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2.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defaultThemeVersion="124226"/>
  <mc:AlternateContent xmlns:mc="http://schemas.openxmlformats.org/markup-compatibility/2006">
    <mc:Choice Requires="x15">
      <x15ac:absPath xmlns:x15ac="http://schemas.microsoft.com/office/spreadsheetml/2010/11/ac" url="\\docserve\docserve\free_space(2530030000)\02_安全対策フォルダ\11定期報告\19_電子申請\02_定期報告様式\★R070623公開版（建）_告示改正対応\"/>
    </mc:Choice>
  </mc:AlternateContent>
  <xr:revisionPtr revIDLastSave="0" documentId="13_ncr:1_{6DEDD482-7194-4405-B06F-6315443E667F}" xr6:coauthVersionLast="47" xr6:coauthVersionMax="47" xr10:uidLastSave="{00000000-0000-0000-0000-000000000000}"/>
  <workbookProtection workbookAlgorithmName="SHA-512" workbookHashValue="6sl2yU2z6P2PY0WYgjJsbY9aNGr2cv7eiGIsdOIdU0CL49Ro2bodoe4e4WP1Ans4M6eOvayJcOsclqxw/lmrvg==" workbookSaltValue="P3TRiZozWcHsq/qpksGzmg==" workbookSpinCount="100000" lockStructure="1"/>
  <bookViews>
    <workbookView xWindow="-120" yWindow="-16320" windowWidth="29040" windowHeight="15840" xr2:uid="{4BF44C8D-3533-46AA-BBD0-5FA93990EA4A}"/>
  </bookViews>
  <sheets>
    <sheet name="使用方法" sheetId="126" r:id="rId1"/>
    <sheet name="チェックシート" sheetId="125" r:id="rId2"/>
    <sheet name="1_入力シート【基本情報】" sheetId="112" r:id="rId3"/>
    <sheet name="2_入力シート【用途面積】" sheetId="37" r:id="rId4"/>
    <sheet name="3_入力シート【写真】" sheetId="111" r:id="rId5"/>
    <sheet name="＜別途添付要＞図面" sheetId="122" r:id="rId6"/>
    <sheet name="＜入力不要＞受付管理票" sheetId="124" r:id="rId7"/>
    <sheet name="＜入力不要＞報告書" sheetId="114" r:id="rId8"/>
    <sheet name="＜入力不要＞概要書" sheetId="115" r:id="rId9"/>
    <sheet name="＜入力不要＞調査結果表" sheetId="121" r:id="rId10"/>
    <sheet name="★CSVシート_台帳取込用" sheetId="140" state="hidden" r:id="rId11"/>
    <sheet name="リンクシート_台帳取込用" sheetId="139" state="hidden" r:id="rId12"/>
    <sheet name="リンクシート_全て_調査結果以外" sheetId="135" state="hidden" r:id="rId13"/>
    <sheet name="リンクシート_全て_調査結果のみ" sheetId="137" state="hidden" r:id="rId14"/>
    <sheet name="CSVシート_全て_調査結果以外" sheetId="141" state="hidden" r:id="rId15"/>
    <sheet name="CSVシート_全て_調査結果のみ" sheetId="142" state="hidden" r:id="rId16"/>
    <sheet name="改善項目管理用" sheetId="138" state="hidden" r:id="rId17"/>
    <sheet name="プルダウン選択肢" sheetId="113" state="hidden" r:id="rId18"/>
  </sheets>
  <definedNames>
    <definedName name="_xlnm._FilterDatabase" localSheetId="2" hidden="1">'1_入力シート【基本情報】'!$A$1:$C$1732</definedName>
    <definedName name="_xlnm._FilterDatabase" localSheetId="3" hidden="1">'2_入力シート【用途面積】'!$A$1:$A$99</definedName>
    <definedName name="_xlnm._FilterDatabase" localSheetId="13" hidden="1">リンクシート_全て_調査結果のみ!#REF!</definedName>
    <definedName name="_xlnm._FilterDatabase" localSheetId="12" hidden="1">リンクシート_全て_調査結果以外!#REF!</definedName>
    <definedName name="_xlnm._FilterDatabase" localSheetId="11" hidden="1">リンクシート_台帳取込用!#REF!</definedName>
    <definedName name="_xlnm.Print_Area" localSheetId="8">'＜入力不要＞概要書'!$A$4:$AT$390</definedName>
    <definedName name="_xlnm.Print_Area" localSheetId="6">'＜入力不要＞受付管理票'!$A$3:$AX$82</definedName>
    <definedName name="_xlnm.Print_Area" localSheetId="9">'＜入力不要＞調査結果表'!$A$2:$AP$256</definedName>
    <definedName name="_xlnm.Print_Area" localSheetId="7">'＜入力不要＞報告書'!$A$4:$AT$602</definedName>
    <definedName name="_xlnm.Print_Area" localSheetId="5">'＜別途添付要＞図面'!$A$2:$U$45</definedName>
    <definedName name="_xlnm.Print_Area" localSheetId="2">'1_入力シート【基本情報】'!$A$1:$CU$534</definedName>
    <definedName name="_xlnm.Print_Area" localSheetId="3">'2_入力シート【用途面積】'!$C$2:$T$72</definedName>
    <definedName name="_xlnm.Print_Area" localSheetId="4">'3_入力シート【写真】'!$A$7:$AU$604</definedName>
    <definedName name="_xlnm.Print_Area" localSheetId="1">チェックシート!$A$3:$H$57</definedName>
    <definedName name="_xlnm.Print_Titles" localSheetId="8">'＜入力不要＞概要書'!$4:$4</definedName>
    <definedName name="_xlnm.Print_Titles" localSheetId="9">'＜入力不要＞調査結果表'!$2:$2</definedName>
    <definedName name="_xlnm.Print_Titles" localSheetId="7">'＜入力不要＞報告書'!$5:$5</definedName>
    <definedName name="スポーツ練習場等">プルダウン選択肢!$AN$4:$AN$8</definedName>
    <definedName name="飲食等">プルダウン選択肢!$AQ$4:$AQ$6</definedName>
    <definedName name="学校_体育館_学校付属">プルダウン選択肢!$AK$4:$AK$5</definedName>
    <definedName name="劇場_映画館等">プルダウン選択肢!$AC$4:$AC$6</definedName>
    <definedName name="事務所_サービス店舗等">プルダウン選択肢!$AT$4:$AT$8</definedName>
    <definedName name="児童福祉施設等_1_市指定">プルダウン選択肢!$AI$4:$AI$14</definedName>
    <definedName name="児童福祉施設等_2_国指定">プルダウン選択肢!$AJ$4:$AJ$23</definedName>
    <definedName name="自動車車庫等">プルダウン選択肢!$AS$4:$AS$7</definedName>
    <definedName name="集会場等">プルダウン選択肢!$AD$4:$AD$6</definedName>
    <definedName name="住居系施設_高齢者_障害者等">プルダウン選択肢!$AH$4:$AH$6</definedName>
    <definedName name="住居系施設_高齢者_障害者等以外">プルダウン選択肢!$AG$4:$AG$6</definedName>
    <definedName name="宿泊施設">プルダウン選択肢!$AF$4:$AF$5</definedName>
    <definedName name="体育館_学校付属以外">プルダウン選択肢!$AL$4</definedName>
    <definedName name="定報対象以外の用途_倉庫">プルダウン選択肢!$AU$4</definedName>
    <definedName name="定報対象以外の用途_倉庫以外">プルダウン選択肢!$AV$4:$AV$6</definedName>
    <definedName name="展示場等">プルダウン選択肢!$AP$4</definedName>
    <definedName name="美術館等">プルダウン選択肢!$AM$4:$AM$6</definedName>
    <definedName name="病院系施設">プルダウン選択肢!$AE$4:$AE$6</definedName>
    <definedName name="物販店等">プルダウン選択肢!$AO$4:$AO$6</definedName>
    <definedName name="遊技場等">プルダウン選択肢!$AR$4:$AR$10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Z221" i="112" l="1"/>
  <c r="DY221" i="112"/>
  <c r="DX221" i="112"/>
  <c r="EA221" i="112" s="1"/>
  <c r="DW221" i="112"/>
  <c r="DW204" i="112"/>
  <c r="EA204" i="112" s="1"/>
  <c r="EA222" i="112" l="1"/>
  <c r="O4" i="125" s="1"/>
  <c r="P526" i="112" l="1"/>
  <c r="P527" i="112"/>
  <c r="P528" i="112"/>
  <c r="P529" i="112"/>
  <c r="P530" i="112"/>
  <c r="P531" i="112"/>
  <c r="P532" i="112"/>
  <c r="P533" i="112"/>
  <c r="P534" i="112"/>
  <c r="BF315" i="112"/>
  <c r="GJ521" i="112" l="1"/>
  <c r="GT521" i="112" s="1"/>
  <c r="HS521" i="112" s="1"/>
  <c r="GJ522" i="112"/>
  <c r="GT522" i="112" s="1"/>
  <c r="HS522" i="112" s="1"/>
  <c r="GJ523" i="112"/>
  <c r="GT523" i="112" s="1"/>
  <c r="HS523" i="112" s="1"/>
  <c r="GJ524" i="112"/>
  <c r="GT524" i="112" s="1"/>
  <c r="HS524" i="112" s="1"/>
  <c r="GJ525" i="112"/>
  <c r="GJ526" i="112"/>
  <c r="GT526" i="112" s="1"/>
  <c r="HS526" i="112" s="1"/>
  <c r="GJ527" i="112"/>
  <c r="GT527" i="112" s="1"/>
  <c r="HS527" i="112" s="1"/>
  <c r="GJ528" i="112"/>
  <c r="GT528" i="112" s="1"/>
  <c r="HS528" i="112" s="1"/>
  <c r="GJ529" i="112"/>
  <c r="GT529" i="112" s="1"/>
  <c r="HS529" i="112" s="1"/>
  <c r="GJ530" i="112"/>
  <c r="GT530" i="112" s="1"/>
  <c r="HS530" i="112" s="1"/>
  <c r="GJ531" i="112"/>
  <c r="GT531" i="112" s="1"/>
  <c r="HS531" i="112" s="1"/>
  <c r="GJ532" i="112"/>
  <c r="GT532" i="112" s="1"/>
  <c r="HS532" i="112" s="1"/>
  <c r="GJ533" i="112"/>
  <c r="GT533" i="112" s="1"/>
  <c r="HS533" i="112" s="1"/>
  <c r="GJ534" i="112"/>
  <c r="GT534" i="112" s="1"/>
  <c r="HS534" i="112" s="1"/>
  <c r="GJ520" i="112"/>
  <c r="GI521" i="112"/>
  <c r="GI522" i="112"/>
  <c r="GI523" i="112"/>
  <c r="GI524" i="112"/>
  <c r="GI525" i="112"/>
  <c r="GI526" i="112"/>
  <c r="GI527" i="112"/>
  <c r="GI528" i="112"/>
  <c r="GI529" i="112"/>
  <c r="GI530" i="112"/>
  <c r="GI531" i="112"/>
  <c r="GI532" i="112"/>
  <c r="GI533" i="112"/>
  <c r="GI534" i="112"/>
  <c r="GI520" i="112"/>
  <c r="DT319" i="112"/>
  <c r="DV319" i="112" s="1"/>
  <c r="DR319" i="112"/>
  <c r="P521" i="112" s="1"/>
  <c r="W13" i="37"/>
  <c r="W12" i="37"/>
  <c r="DW205" i="112"/>
  <c r="DO193" i="112"/>
  <c r="DO187" i="112"/>
  <c r="AN90" i="112"/>
  <c r="AN108" i="112"/>
  <c r="X12" i="37" l="1"/>
  <c r="DW22" i="112"/>
  <c r="DW18" i="112"/>
  <c r="EC66" i="112" l="1"/>
  <c r="DR499" i="112"/>
  <c r="DS499" i="112"/>
  <c r="DK499" i="112" s="1"/>
  <c r="DT499" i="112"/>
  <c r="DZ499" i="112" s="1"/>
  <c r="DW499" i="112"/>
  <c r="DR500" i="112"/>
  <c r="DS500" i="112"/>
  <c r="DK500" i="112" s="1"/>
  <c r="DT500" i="112"/>
  <c r="DY500" i="112" s="1"/>
  <c r="DW500" i="112"/>
  <c r="DM499" i="112"/>
  <c r="DN499" i="112"/>
  <c r="DO499" i="112"/>
  <c r="DP499" i="112"/>
  <c r="DM500" i="112"/>
  <c r="DN500" i="112"/>
  <c r="DO500" i="112"/>
  <c r="DP500" i="112"/>
  <c r="DN13" i="112"/>
  <c r="O82" i="114" s="1"/>
  <c r="A1" i="142" a="1"/>
  <c r="A1" i="142" s="1"/>
  <c r="AG935" i="137"/>
  <c r="AG936" i="137"/>
  <c r="AG937" i="137"/>
  <c r="AG938" i="137"/>
  <c r="AG939" i="137"/>
  <c r="AG940" i="137"/>
  <c r="AG941" i="137"/>
  <c r="AG942" i="137"/>
  <c r="AG943" i="137"/>
  <c r="AG944" i="137"/>
  <c r="AG945" i="137"/>
  <c r="AG946" i="137"/>
  <c r="AG947" i="137"/>
  <c r="AG948" i="137"/>
  <c r="AG949" i="137"/>
  <c r="AG950" i="137"/>
  <c r="AG951" i="137"/>
  <c r="AG952" i="137"/>
  <c r="AG953" i="137"/>
  <c r="AG954" i="137"/>
  <c r="AG955" i="137"/>
  <c r="AG956" i="137"/>
  <c r="AG957" i="137"/>
  <c r="AG958" i="137"/>
  <c r="AG959" i="137"/>
  <c r="AG960" i="137"/>
  <c r="AG961" i="137"/>
  <c r="AG962" i="137"/>
  <c r="AG963" i="137"/>
  <c r="AG964" i="137"/>
  <c r="AG965" i="137"/>
  <c r="AG966" i="137"/>
  <c r="AG967" i="137"/>
  <c r="AG968" i="137"/>
  <c r="AG969" i="137"/>
  <c r="AG970" i="137"/>
  <c r="AG971" i="137"/>
  <c r="AG972" i="137"/>
  <c r="AG973" i="137"/>
  <c r="AG974" i="137"/>
  <c r="AG975" i="137"/>
  <c r="AG976" i="137"/>
  <c r="AG977" i="137"/>
  <c r="AG978" i="137"/>
  <c r="AG979" i="137"/>
  <c r="AG980" i="137"/>
  <c r="AG981" i="137"/>
  <c r="AG982" i="137"/>
  <c r="AG983" i="137"/>
  <c r="AG984" i="137"/>
  <c r="AG985" i="137"/>
  <c r="AG986" i="137"/>
  <c r="AG987" i="137"/>
  <c r="AG988" i="137"/>
  <c r="AG989" i="137"/>
  <c r="AG990" i="137"/>
  <c r="A1" i="141" a="1"/>
  <c r="A1" i="141" s="1"/>
  <c r="DY499" i="112" l="1"/>
  <c r="DZ500" i="112"/>
  <c r="DX500" i="112"/>
  <c r="DX499" i="112"/>
  <c r="DL499" i="112"/>
  <c r="DL500" i="112"/>
  <c r="FK498" i="112"/>
  <c r="FL498" i="112"/>
  <c r="FM498" i="112"/>
  <c r="FN498" i="112"/>
  <c r="FK499" i="112"/>
  <c r="FL499" i="112"/>
  <c r="FM499" i="112"/>
  <c r="FN499" i="112"/>
  <c r="FK500" i="112"/>
  <c r="FL500" i="112"/>
  <c r="FM500" i="112"/>
  <c r="FN500" i="112"/>
  <c r="FK501" i="112"/>
  <c r="FL501" i="112"/>
  <c r="FM501" i="112"/>
  <c r="FN501" i="112"/>
  <c r="FK502" i="112"/>
  <c r="FL502" i="112"/>
  <c r="FM502" i="112"/>
  <c r="FN502" i="112"/>
  <c r="FK503" i="112"/>
  <c r="FL503" i="112"/>
  <c r="FM503" i="112"/>
  <c r="FN503" i="112"/>
  <c r="FK504" i="112"/>
  <c r="FL504" i="112"/>
  <c r="FM504" i="112"/>
  <c r="FN504" i="112"/>
  <c r="FK505" i="112"/>
  <c r="FL505" i="112"/>
  <c r="FM505" i="112"/>
  <c r="FN505" i="112"/>
  <c r="FK506" i="112"/>
  <c r="FL506" i="112"/>
  <c r="FM506" i="112"/>
  <c r="FN506" i="112"/>
  <c r="FK507" i="112"/>
  <c r="FL507" i="112"/>
  <c r="FM507" i="112"/>
  <c r="FN507" i="112"/>
  <c r="FK508" i="112"/>
  <c r="FL508" i="112"/>
  <c r="FM508" i="112"/>
  <c r="FN508" i="112"/>
  <c r="FK509" i="112"/>
  <c r="FL509" i="112"/>
  <c r="FM509" i="112"/>
  <c r="FN509" i="112"/>
  <c r="FK510" i="112"/>
  <c r="FL510" i="112"/>
  <c r="FM510" i="112"/>
  <c r="FN510" i="112"/>
  <c r="FK511" i="112"/>
  <c r="FL511" i="112"/>
  <c r="FM511" i="112"/>
  <c r="FN511" i="112"/>
  <c r="FK512" i="112"/>
  <c r="FL512" i="112"/>
  <c r="FM512" i="112"/>
  <c r="FN512" i="112"/>
  <c r="FK513" i="112"/>
  <c r="FL513" i="112"/>
  <c r="FM513" i="112"/>
  <c r="FN513" i="112"/>
  <c r="FK514" i="112"/>
  <c r="FL514" i="112"/>
  <c r="FM514" i="112"/>
  <c r="FN514" i="112"/>
  <c r="FN497" i="112"/>
  <c r="FM497" i="112"/>
  <c r="FL497" i="112"/>
  <c r="FK497" i="112"/>
  <c r="FK479" i="112"/>
  <c r="FL479" i="112"/>
  <c r="FM479" i="112"/>
  <c r="FN479" i="112"/>
  <c r="FK480" i="112"/>
  <c r="FL480" i="112"/>
  <c r="FM480" i="112"/>
  <c r="FN480" i="112"/>
  <c r="FK481" i="112"/>
  <c r="FL481" i="112"/>
  <c r="FM481" i="112"/>
  <c r="FN481" i="112"/>
  <c r="FK482" i="112"/>
  <c r="FL482" i="112"/>
  <c r="FM482" i="112"/>
  <c r="FN482" i="112"/>
  <c r="FK483" i="112"/>
  <c r="FL483" i="112"/>
  <c r="FM483" i="112"/>
  <c r="FN483" i="112"/>
  <c r="FK484" i="112"/>
  <c r="FL484" i="112"/>
  <c r="FM484" i="112"/>
  <c r="FN484" i="112"/>
  <c r="FK485" i="112"/>
  <c r="FL485" i="112"/>
  <c r="FM485" i="112"/>
  <c r="FN485" i="112"/>
  <c r="FK486" i="112"/>
  <c r="FL486" i="112"/>
  <c r="FM486" i="112"/>
  <c r="FN486" i="112"/>
  <c r="FK487" i="112"/>
  <c r="FL487" i="112"/>
  <c r="FM487" i="112"/>
  <c r="FN487" i="112"/>
  <c r="FK488" i="112"/>
  <c r="FL488" i="112"/>
  <c r="FM488" i="112"/>
  <c r="FN488" i="112"/>
  <c r="FK489" i="112"/>
  <c r="FL489" i="112"/>
  <c r="FM489" i="112"/>
  <c r="FN489" i="112"/>
  <c r="FK490" i="112"/>
  <c r="FL490" i="112"/>
  <c r="FM490" i="112"/>
  <c r="FN490" i="112"/>
  <c r="FK491" i="112"/>
  <c r="FL491" i="112"/>
  <c r="FM491" i="112"/>
  <c r="FN491" i="112"/>
  <c r="FN478" i="112"/>
  <c r="FM478" i="112"/>
  <c r="FL478" i="112"/>
  <c r="FK478" i="112"/>
  <c r="FK437" i="112"/>
  <c r="FL437" i="112"/>
  <c r="FM437" i="112"/>
  <c r="FN437" i="112"/>
  <c r="FK438" i="112"/>
  <c r="FL438" i="112"/>
  <c r="FM438" i="112"/>
  <c r="FN438" i="112"/>
  <c r="FK439" i="112"/>
  <c r="FL439" i="112"/>
  <c r="FM439" i="112"/>
  <c r="FN439" i="112"/>
  <c r="FK440" i="112"/>
  <c r="FL440" i="112"/>
  <c r="FM440" i="112"/>
  <c r="FN440" i="112"/>
  <c r="FK441" i="112"/>
  <c r="FL441" i="112"/>
  <c r="FM441" i="112"/>
  <c r="FN441" i="112"/>
  <c r="FK442" i="112"/>
  <c r="FL442" i="112"/>
  <c r="FM442" i="112"/>
  <c r="FN442" i="112"/>
  <c r="FK443" i="112"/>
  <c r="FL443" i="112"/>
  <c r="FM443" i="112"/>
  <c r="FN443" i="112"/>
  <c r="FK444" i="112"/>
  <c r="FL444" i="112"/>
  <c r="FM444" i="112"/>
  <c r="FN444" i="112"/>
  <c r="FK445" i="112"/>
  <c r="FL445" i="112"/>
  <c r="FM445" i="112"/>
  <c r="FN445" i="112"/>
  <c r="FK446" i="112"/>
  <c r="FL446" i="112"/>
  <c r="FM446" i="112"/>
  <c r="FN446" i="112"/>
  <c r="FK447" i="112"/>
  <c r="FL447" i="112"/>
  <c r="FM447" i="112"/>
  <c r="FN447" i="112"/>
  <c r="FK448" i="112"/>
  <c r="FL448" i="112"/>
  <c r="FM448" i="112"/>
  <c r="FN448" i="112"/>
  <c r="FK449" i="112"/>
  <c r="FL449" i="112"/>
  <c r="FM449" i="112"/>
  <c r="FN449" i="112"/>
  <c r="FK450" i="112"/>
  <c r="FL450" i="112"/>
  <c r="FM450" i="112"/>
  <c r="FN450" i="112"/>
  <c r="FK451" i="112"/>
  <c r="FL451" i="112"/>
  <c r="FM451" i="112"/>
  <c r="FN451" i="112"/>
  <c r="FK452" i="112"/>
  <c r="FL452" i="112"/>
  <c r="FM452" i="112"/>
  <c r="FN452" i="112"/>
  <c r="FK453" i="112"/>
  <c r="FL453" i="112"/>
  <c r="FM453" i="112"/>
  <c r="FN453" i="112"/>
  <c r="FK454" i="112"/>
  <c r="FL454" i="112"/>
  <c r="FM454" i="112"/>
  <c r="FN454" i="112"/>
  <c r="FK455" i="112"/>
  <c r="FL455" i="112"/>
  <c r="FM455" i="112"/>
  <c r="FN455" i="112"/>
  <c r="FK456" i="112"/>
  <c r="FL456" i="112"/>
  <c r="FM456" i="112"/>
  <c r="FN456" i="112"/>
  <c r="FK457" i="112"/>
  <c r="FL457" i="112"/>
  <c r="FM457" i="112"/>
  <c r="FN457" i="112"/>
  <c r="FK458" i="112"/>
  <c r="FL458" i="112"/>
  <c r="FM458" i="112"/>
  <c r="FN458" i="112"/>
  <c r="FK459" i="112"/>
  <c r="FL459" i="112"/>
  <c r="FM459" i="112"/>
  <c r="FN459" i="112"/>
  <c r="FK460" i="112"/>
  <c r="FL460" i="112"/>
  <c r="FM460" i="112"/>
  <c r="FN460" i="112"/>
  <c r="FK461" i="112"/>
  <c r="FL461" i="112"/>
  <c r="FM461" i="112"/>
  <c r="FN461" i="112"/>
  <c r="FK462" i="112"/>
  <c r="FL462" i="112"/>
  <c r="FM462" i="112"/>
  <c r="FN462" i="112"/>
  <c r="FK463" i="112"/>
  <c r="FL463" i="112"/>
  <c r="FM463" i="112"/>
  <c r="FN463" i="112"/>
  <c r="FK464" i="112"/>
  <c r="FL464" i="112"/>
  <c r="FM464" i="112"/>
  <c r="FN464" i="112"/>
  <c r="FK465" i="112"/>
  <c r="FL465" i="112"/>
  <c r="FM465" i="112"/>
  <c r="FN465" i="112"/>
  <c r="FK466" i="112"/>
  <c r="FL466" i="112"/>
  <c r="FM466" i="112"/>
  <c r="FN466" i="112"/>
  <c r="FK467" i="112"/>
  <c r="FL467" i="112"/>
  <c r="FM467" i="112"/>
  <c r="FN467" i="112"/>
  <c r="FK468" i="112"/>
  <c r="FL468" i="112"/>
  <c r="FM468" i="112"/>
  <c r="FN468" i="112"/>
  <c r="FK469" i="112"/>
  <c r="FL469" i="112"/>
  <c r="FM469" i="112"/>
  <c r="FN469" i="112"/>
  <c r="FK470" i="112"/>
  <c r="FL470" i="112"/>
  <c r="FM470" i="112"/>
  <c r="FN470" i="112"/>
  <c r="FK471" i="112"/>
  <c r="FL471" i="112"/>
  <c r="FM471" i="112"/>
  <c r="FN471" i="112"/>
  <c r="FK472" i="112"/>
  <c r="FL472" i="112"/>
  <c r="FM472" i="112"/>
  <c r="FN472" i="112"/>
  <c r="FK473" i="112"/>
  <c r="FL473" i="112"/>
  <c r="FM473" i="112"/>
  <c r="FN473" i="112"/>
  <c r="FN436" i="112"/>
  <c r="FM436" i="112"/>
  <c r="FL436" i="112"/>
  <c r="FK436" i="112"/>
  <c r="FK383" i="112"/>
  <c r="FL383" i="112"/>
  <c r="FM383" i="112"/>
  <c r="FN383" i="112"/>
  <c r="AP53" i="121" s="1"/>
  <c r="FK384" i="112"/>
  <c r="FL384" i="112"/>
  <c r="FM384" i="112"/>
  <c r="FN384" i="112"/>
  <c r="AP54" i="121" s="1"/>
  <c r="FK385" i="112"/>
  <c r="FL385" i="112"/>
  <c r="FM385" i="112"/>
  <c r="FN385" i="112"/>
  <c r="AP55" i="121" s="1"/>
  <c r="FK386" i="112"/>
  <c r="FL386" i="112"/>
  <c r="FM386" i="112"/>
  <c r="FN386" i="112"/>
  <c r="AP56" i="121" s="1"/>
  <c r="FK387" i="112"/>
  <c r="FL387" i="112"/>
  <c r="FM387" i="112"/>
  <c r="FN387" i="112"/>
  <c r="AP57" i="121" s="1"/>
  <c r="FK388" i="112"/>
  <c r="FL388" i="112"/>
  <c r="FM388" i="112"/>
  <c r="FN388" i="112"/>
  <c r="AP58" i="121" s="1"/>
  <c r="FK389" i="112"/>
  <c r="FL389" i="112"/>
  <c r="FM389" i="112"/>
  <c r="FN389" i="112"/>
  <c r="AP59" i="121" s="1"/>
  <c r="FK390" i="112"/>
  <c r="FL390" i="112"/>
  <c r="FM390" i="112"/>
  <c r="FN390" i="112"/>
  <c r="AP60" i="121" s="1"/>
  <c r="FK391" i="112"/>
  <c r="FL391" i="112"/>
  <c r="FM391" i="112"/>
  <c r="FN391" i="112"/>
  <c r="AP61" i="121" s="1"/>
  <c r="FK392" i="112"/>
  <c r="FL392" i="112"/>
  <c r="FM392" i="112"/>
  <c r="FN392" i="112"/>
  <c r="AP62" i="121" s="1"/>
  <c r="FK393" i="112"/>
  <c r="FL393" i="112"/>
  <c r="FM393" i="112"/>
  <c r="FN393" i="112"/>
  <c r="AP63" i="121" s="1"/>
  <c r="FK394" i="112"/>
  <c r="FL394" i="112"/>
  <c r="FM394" i="112"/>
  <c r="FN394" i="112"/>
  <c r="AP64" i="121" s="1"/>
  <c r="FK395" i="112"/>
  <c r="FL395" i="112"/>
  <c r="FM395" i="112"/>
  <c r="FN395" i="112"/>
  <c r="AP65" i="121" s="1"/>
  <c r="FK396" i="112"/>
  <c r="FL396" i="112"/>
  <c r="FM396" i="112"/>
  <c r="FN396" i="112"/>
  <c r="AP66" i="121" s="1"/>
  <c r="FK397" i="112"/>
  <c r="FL397" i="112"/>
  <c r="FM397" i="112"/>
  <c r="FN397" i="112"/>
  <c r="AP67" i="121" s="1"/>
  <c r="FK398" i="112"/>
  <c r="FL398" i="112"/>
  <c r="FM398" i="112"/>
  <c r="FN398" i="112"/>
  <c r="AP68" i="121" s="1"/>
  <c r="FK399" i="112"/>
  <c r="FL399" i="112"/>
  <c r="FM399" i="112"/>
  <c r="FN399" i="112"/>
  <c r="AP69" i="121" s="1"/>
  <c r="FK400" i="112"/>
  <c r="FL400" i="112"/>
  <c r="FM400" i="112"/>
  <c r="FN400" i="112"/>
  <c r="AP70" i="121" s="1"/>
  <c r="FK401" i="112"/>
  <c r="FL401" i="112"/>
  <c r="FM401" i="112"/>
  <c r="FN401" i="112"/>
  <c r="AP71" i="121" s="1"/>
  <c r="FK402" i="112"/>
  <c r="FL402" i="112"/>
  <c r="FM402" i="112"/>
  <c r="FN402" i="112"/>
  <c r="AP72" i="121" s="1"/>
  <c r="FK403" i="112"/>
  <c r="FL403" i="112"/>
  <c r="FM403" i="112"/>
  <c r="FN403" i="112"/>
  <c r="AP73" i="121" s="1"/>
  <c r="FK404" i="112"/>
  <c r="FL404" i="112"/>
  <c r="FM404" i="112"/>
  <c r="FN404" i="112"/>
  <c r="AP74" i="121" s="1"/>
  <c r="FK405" i="112"/>
  <c r="FL405" i="112"/>
  <c r="FM405" i="112"/>
  <c r="FN405" i="112"/>
  <c r="AP75" i="121" s="1"/>
  <c r="FK406" i="112"/>
  <c r="FL406" i="112"/>
  <c r="FM406" i="112"/>
  <c r="FN406" i="112"/>
  <c r="AP76" i="121" s="1"/>
  <c r="FK407" i="112"/>
  <c r="FL407" i="112"/>
  <c r="FM407" i="112"/>
  <c r="FN407" i="112"/>
  <c r="AP77" i="121" s="1"/>
  <c r="FK408" i="112"/>
  <c r="FL408" i="112"/>
  <c r="FM408" i="112"/>
  <c r="FN408" i="112"/>
  <c r="AP78" i="121" s="1"/>
  <c r="FK409" i="112"/>
  <c r="FL409" i="112"/>
  <c r="FM409" i="112"/>
  <c r="FN409" i="112"/>
  <c r="AP79" i="121" s="1"/>
  <c r="FK410" i="112"/>
  <c r="FL410" i="112"/>
  <c r="FM410" i="112"/>
  <c r="FN410" i="112"/>
  <c r="AP80" i="121" s="1"/>
  <c r="FK411" i="112"/>
  <c r="FL411" i="112"/>
  <c r="FM411" i="112"/>
  <c r="FN411" i="112"/>
  <c r="AP81" i="121" s="1"/>
  <c r="FK412" i="112"/>
  <c r="FL412" i="112"/>
  <c r="FM412" i="112"/>
  <c r="FN412" i="112"/>
  <c r="AP82" i="121" s="1"/>
  <c r="FK413" i="112"/>
  <c r="FL413" i="112"/>
  <c r="FM413" i="112"/>
  <c r="FN413" i="112"/>
  <c r="AP83" i="121" s="1"/>
  <c r="FK414" i="112"/>
  <c r="FL414" i="112"/>
  <c r="FM414" i="112"/>
  <c r="FN414" i="112"/>
  <c r="AP84" i="121" s="1"/>
  <c r="FK415" i="112"/>
  <c r="FL415" i="112"/>
  <c r="FM415" i="112"/>
  <c r="FN415" i="112"/>
  <c r="AP85" i="121" s="1"/>
  <c r="FK416" i="112"/>
  <c r="FL416" i="112"/>
  <c r="FM416" i="112"/>
  <c r="FN416" i="112"/>
  <c r="AP86" i="121" s="1"/>
  <c r="FK417" i="112"/>
  <c r="FL417" i="112"/>
  <c r="FM417" i="112"/>
  <c r="FN417" i="112"/>
  <c r="AP87" i="121" s="1"/>
  <c r="FK418" i="112"/>
  <c r="FL418" i="112"/>
  <c r="FM418" i="112"/>
  <c r="FN418" i="112"/>
  <c r="AP88" i="121" s="1"/>
  <c r="FK419" i="112"/>
  <c r="FL419" i="112"/>
  <c r="FM419" i="112"/>
  <c r="FN419" i="112"/>
  <c r="AP89" i="121" s="1"/>
  <c r="FK420" i="112"/>
  <c r="FL420" i="112"/>
  <c r="FM420" i="112"/>
  <c r="FN420" i="112"/>
  <c r="AP90" i="121" s="1"/>
  <c r="FK421" i="112"/>
  <c r="FL421" i="112"/>
  <c r="FM421" i="112"/>
  <c r="FN421" i="112"/>
  <c r="AP91" i="121" s="1"/>
  <c r="FK422" i="112"/>
  <c r="FL422" i="112"/>
  <c r="FM422" i="112"/>
  <c r="FN422" i="112"/>
  <c r="AP92" i="121" s="1"/>
  <c r="FK423" i="112"/>
  <c r="FL423" i="112"/>
  <c r="FM423" i="112"/>
  <c r="FN423" i="112"/>
  <c r="AP93" i="121" s="1"/>
  <c r="FK424" i="112"/>
  <c r="FL424" i="112"/>
  <c r="FM424" i="112"/>
  <c r="FN424" i="112"/>
  <c r="AP94" i="121" s="1"/>
  <c r="FK425" i="112"/>
  <c r="FL425" i="112"/>
  <c r="FM425" i="112"/>
  <c r="FN425" i="112"/>
  <c r="AP95" i="121" s="1"/>
  <c r="FK426" i="112"/>
  <c r="FL426" i="112"/>
  <c r="FM426" i="112"/>
  <c r="FN426" i="112"/>
  <c r="AP96" i="121" s="1"/>
  <c r="FK427" i="112"/>
  <c r="FL427" i="112"/>
  <c r="FM427" i="112"/>
  <c r="FN427" i="112"/>
  <c r="FK428" i="112"/>
  <c r="FL428" i="112"/>
  <c r="FM428" i="112"/>
  <c r="FN428" i="112"/>
  <c r="FK429" i="112"/>
  <c r="FL429" i="112"/>
  <c r="FM429" i="112"/>
  <c r="FN429" i="112"/>
  <c r="FK430" i="112"/>
  <c r="FL430" i="112"/>
  <c r="FM430" i="112"/>
  <c r="FN430" i="112"/>
  <c r="FK431" i="112"/>
  <c r="FL431" i="112"/>
  <c r="FM431" i="112"/>
  <c r="FN431" i="112"/>
  <c r="FN382" i="112"/>
  <c r="AP52" i="121" s="1"/>
  <c r="FM382" i="112"/>
  <c r="FL382" i="112"/>
  <c r="FK382" i="112"/>
  <c r="FK365" i="112"/>
  <c r="FL365" i="112"/>
  <c r="FM365" i="112"/>
  <c r="FN365" i="112"/>
  <c r="FK366" i="112"/>
  <c r="FL366" i="112"/>
  <c r="FM366" i="112"/>
  <c r="FN366" i="112"/>
  <c r="FK367" i="112"/>
  <c r="FL367" i="112"/>
  <c r="FM367" i="112"/>
  <c r="FN367" i="112"/>
  <c r="FK368" i="112"/>
  <c r="FL368" i="112"/>
  <c r="FM368" i="112"/>
  <c r="FN368" i="112"/>
  <c r="FK369" i="112"/>
  <c r="FL369" i="112"/>
  <c r="FM369" i="112"/>
  <c r="FN369" i="112"/>
  <c r="FK370" i="112"/>
  <c r="FL370" i="112"/>
  <c r="FM370" i="112"/>
  <c r="FN370" i="112"/>
  <c r="FK371" i="112"/>
  <c r="FL371" i="112"/>
  <c r="FM371" i="112"/>
  <c r="FN371" i="112"/>
  <c r="FK372" i="112"/>
  <c r="FL372" i="112"/>
  <c r="FM372" i="112"/>
  <c r="FN372" i="112"/>
  <c r="FK373" i="112"/>
  <c r="FL373" i="112"/>
  <c r="FM373" i="112"/>
  <c r="FN373" i="112"/>
  <c r="FK374" i="112"/>
  <c r="FL374" i="112"/>
  <c r="FM374" i="112"/>
  <c r="FN374" i="112"/>
  <c r="FK375" i="112"/>
  <c r="FL375" i="112"/>
  <c r="FM375" i="112"/>
  <c r="FN375" i="112"/>
  <c r="FK376" i="112"/>
  <c r="FL376" i="112"/>
  <c r="FM376" i="112"/>
  <c r="FN376" i="112"/>
  <c r="FK377" i="112"/>
  <c r="FL377" i="112"/>
  <c r="FM377" i="112"/>
  <c r="FN377" i="112"/>
  <c r="FN364" i="112"/>
  <c r="FM364" i="112"/>
  <c r="FL364" i="112"/>
  <c r="FK364" i="112"/>
  <c r="FM338" i="112"/>
  <c r="FM339" i="112"/>
  <c r="FM340" i="112"/>
  <c r="FM341" i="112"/>
  <c r="FM342" i="112"/>
  <c r="FM343" i="112"/>
  <c r="FM344" i="112"/>
  <c r="FM345" i="112"/>
  <c r="FM346" i="112"/>
  <c r="FM347" i="112"/>
  <c r="FM348" i="112"/>
  <c r="FM349" i="112"/>
  <c r="FM350" i="112"/>
  <c r="FM351" i="112"/>
  <c r="FM352" i="112"/>
  <c r="FM353" i="112"/>
  <c r="FM354" i="112"/>
  <c r="FM355" i="112"/>
  <c r="FM356" i="112"/>
  <c r="FM357" i="112"/>
  <c r="FM358" i="112"/>
  <c r="FM359" i="112"/>
  <c r="FM337" i="112"/>
  <c r="FN338" i="112"/>
  <c r="FN339" i="112"/>
  <c r="FN340" i="112"/>
  <c r="FN341" i="112"/>
  <c r="FN342" i="112"/>
  <c r="FN343" i="112"/>
  <c r="FN344" i="112"/>
  <c r="FN345" i="112"/>
  <c r="FN346" i="112"/>
  <c r="FN347" i="112"/>
  <c r="FN348" i="112"/>
  <c r="FN349" i="112"/>
  <c r="FN350" i="112"/>
  <c r="FN351" i="112"/>
  <c r="FN352" i="112"/>
  <c r="FN353" i="112"/>
  <c r="FN354" i="112"/>
  <c r="FN355" i="112"/>
  <c r="FN356" i="112"/>
  <c r="FN357" i="112"/>
  <c r="FN358" i="112"/>
  <c r="FN359" i="112"/>
  <c r="FN337" i="112"/>
  <c r="FL338" i="112"/>
  <c r="FL339" i="112"/>
  <c r="FL340" i="112"/>
  <c r="FL341" i="112"/>
  <c r="FL342" i="112"/>
  <c r="FL343" i="112"/>
  <c r="FL344" i="112"/>
  <c r="FL345" i="112"/>
  <c r="FL346" i="112"/>
  <c r="FL347" i="112"/>
  <c r="FL348" i="112"/>
  <c r="FL349" i="112"/>
  <c r="FL350" i="112"/>
  <c r="FL351" i="112"/>
  <c r="FL352" i="112"/>
  <c r="FL353" i="112"/>
  <c r="FL354" i="112"/>
  <c r="FL355" i="112"/>
  <c r="FL356" i="112"/>
  <c r="FL357" i="112"/>
  <c r="FL358" i="112"/>
  <c r="FL359" i="112"/>
  <c r="FL337" i="112"/>
  <c r="FN320" i="112"/>
  <c r="FN321" i="112"/>
  <c r="FN322" i="112"/>
  <c r="FN323" i="112"/>
  <c r="FN324" i="112"/>
  <c r="FN325" i="112"/>
  <c r="FN326" i="112"/>
  <c r="FN327" i="112"/>
  <c r="FN328" i="112"/>
  <c r="FN329" i="112"/>
  <c r="FN330" i="112"/>
  <c r="FN331" i="112"/>
  <c r="FN332" i="112"/>
  <c r="FN319" i="112" l="1"/>
  <c r="FM320" i="112"/>
  <c r="FM321" i="112"/>
  <c r="FM322" i="112"/>
  <c r="FM323" i="112"/>
  <c r="FM324" i="112"/>
  <c r="FM325" i="112"/>
  <c r="FM326" i="112"/>
  <c r="FM327" i="112"/>
  <c r="FM328" i="112"/>
  <c r="FM329" i="112"/>
  <c r="FM330" i="112"/>
  <c r="FM331" i="112"/>
  <c r="FM332" i="112"/>
  <c r="FM319" i="112"/>
  <c r="FL319" i="112"/>
  <c r="FL320" i="112"/>
  <c r="FL321" i="112"/>
  <c r="FL322" i="112"/>
  <c r="FL323" i="112"/>
  <c r="FL324" i="112"/>
  <c r="FL325" i="112"/>
  <c r="FL326" i="112"/>
  <c r="FL327" i="112"/>
  <c r="FL328" i="112"/>
  <c r="FL329" i="112"/>
  <c r="FL330" i="112"/>
  <c r="FL331" i="112"/>
  <c r="FL332" i="112"/>
  <c r="FK319" i="112"/>
  <c r="DW276" i="112"/>
  <c r="D84" i="139" s="1"/>
  <c r="DW273" i="112"/>
  <c r="D81" i="139" s="1"/>
  <c r="DW274" i="112"/>
  <c r="D82" i="139" s="1"/>
  <c r="DW275" i="112"/>
  <c r="D83" i="139" s="1"/>
  <c r="DW272" i="112"/>
  <c r="D80" i="139" s="1"/>
  <c r="W18" i="37"/>
  <c r="D101" i="139" s="1"/>
  <c r="D15" i="139" l="1"/>
  <c r="AG16" i="135"/>
  <c r="S16" i="135"/>
  <c r="AG11" i="139"/>
  <c r="S11" i="139"/>
  <c r="DN12" i="112"/>
  <c r="D16" i="135" s="1"/>
  <c r="E16" i="135" s="1"/>
  <c r="F16" i="135" s="1"/>
  <c r="G16" i="135" s="1"/>
  <c r="DW198" i="112"/>
  <c r="EB199" i="112"/>
  <c r="EC52" i="112"/>
  <c r="D11" i="139" l="1"/>
  <c r="E11" i="139" s="1"/>
  <c r="F11" i="139" s="1"/>
  <c r="G11" i="139" s="1"/>
  <c r="CB500" i="112"/>
  <c r="CB499" i="112"/>
  <c r="CB511" i="112"/>
  <c r="CB510" i="112"/>
  <c r="DM25" i="112" l="1"/>
  <c r="DN25" i="112" s="1"/>
  <c r="DW25" i="112" s="1"/>
  <c r="DW15" i="112"/>
  <c r="AG272" i="135" l="1"/>
  <c r="AG273" i="135"/>
  <c r="AG288" i="135"/>
  <c r="AG289" i="135"/>
  <c r="AG290" i="135"/>
  <c r="AG291" i="135"/>
  <c r="AG292" i="135"/>
  <c r="AG293" i="135"/>
  <c r="AG294" i="135"/>
  <c r="AG295" i="135"/>
  <c r="AG296" i="135"/>
  <c r="AG297" i="135"/>
  <c r="AG298" i="135"/>
  <c r="AG299" i="135"/>
  <c r="AG300" i="135"/>
  <c r="AG301" i="135"/>
  <c r="AG302" i="135"/>
  <c r="AG303" i="135"/>
  <c r="AG304" i="135"/>
  <c r="AG305" i="135"/>
  <c r="AG306" i="135"/>
  <c r="AG307" i="135"/>
  <c r="S104" i="139"/>
  <c r="AG104" i="139"/>
  <c r="AG78" i="139"/>
  <c r="AG79" i="139"/>
  <c r="AG80" i="139"/>
  <c r="AG81" i="139"/>
  <c r="AG82" i="139"/>
  <c r="AG83" i="139"/>
  <c r="AG84" i="139"/>
  <c r="AG85" i="139"/>
  <c r="AG86" i="139"/>
  <c r="AG87" i="139"/>
  <c r="AG88" i="139"/>
  <c r="AG89" i="139"/>
  <c r="AG90" i="139"/>
  <c r="AG91" i="139"/>
  <c r="AG92" i="139"/>
  <c r="AG93" i="139"/>
  <c r="AG94" i="139"/>
  <c r="AG95" i="139"/>
  <c r="AG96" i="139"/>
  <c r="AG97" i="139"/>
  <c r="AG98" i="139"/>
  <c r="AG99" i="139"/>
  <c r="AG100" i="139"/>
  <c r="AG101" i="139"/>
  <c r="AG102" i="139"/>
  <c r="AG103" i="139"/>
  <c r="AG105" i="139"/>
  <c r="AG106" i="139"/>
  <c r="AG107" i="139"/>
  <c r="AG108" i="139"/>
  <c r="AG109" i="139"/>
  <c r="AG110" i="139"/>
  <c r="AG111" i="139"/>
  <c r="AG112" i="139"/>
  <c r="AG113" i="139"/>
  <c r="AG114" i="139"/>
  <c r="AG115" i="139"/>
  <c r="AG116" i="139"/>
  <c r="AG117" i="139"/>
  <c r="AG118" i="139"/>
  <c r="AG119" i="139"/>
  <c r="AG120" i="139"/>
  <c r="AG121" i="139"/>
  <c r="AG122" i="139"/>
  <c r="AG123" i="139"/>
  <c r="AG124" i="139"/>
  <c r="AG125" i="139"/>
  <c r="AG126" i="139"/>
  <c r="AG127" i="139"/>
  <c r="AG128" i="139"/>
  <c r="AG129" i="139"/>
  <c r="AG130" i="139"/>
  <c r="AG131" i="139"/>
  <c r="AG132" i="139"/>
  <c r="AG133" i="139"/>
  <c r="AG134" i="139"/>
  <c r="AG135" i="139"/>
  <c r="AG136" i="139"/>
  <c r="AG137" i="139"/>
  <c r="AG138" i="139"/>
  <c r="AG139" i="139"/>
  <c r="AG140" i="139"/>
  <c r="AG141" i="139"/>
  <c r="AG142" i="139"/>
  <c r="AG143" i="139"/>
  <c r="AG144" i="139"/>
  <c r="AG145" i="139"/>
  <c r="AG146" i="139"/>
  <c r="AG147" i="139"/>
  <c r="AG148" i="139"/>
  <c r="AG149" i="139"/>
  <c r="AG150" i="139"/>
  <c r="AG151" i="139"/>
  <c r="AG152" i="139"/>
  <c r="AG153" i="139"/>
  <c r="AG154" i="139"/>
  <c r="AG155" i="139"/>
  <c r="AG156" i="139"/>
  <c r="AG157" i="139"/>
  <c r="AG158" i="139"/>
  <c r="AG159" i="139"/>
  <c r="AG160" i="139"/>
  <c r="AG161" i="139"/>
  <c r="AG162" i="139"/>
  <c r="AG163" i="139"/>
  <c r="AG164" i="139"/>
  <c r="AG165" i="139"/>
  <c r="AG166" i="139"/>
  <c r="AG167" i="139"/>
  <c r="AG168" i="139"/>
  <c r="AG169" i="139"/>
  <c r="AG170" i="139"/>
  <c r="AG171" i="139"/>
  <c r="AG172" i="139"/>
  <c r="AG173" i="139"/>
  <c r="AG174" i="139"/>
  <c r="AG175" i="139"/>
  <c r="AG176" i="139"/>
  <c r="AG177" i="139"/>
  <c r="AG178" i="139"/>
  <c r="AG179" i="139"/>
  <c r="AG180" i="139"/>
  <c r="AG181" i="139"/>
  <c r="AG182" i="139"/>
  <c r="AG183" i="139"/>
  <c r="AG184" i="139"/>
  <c r="AG185" i="139"/>
  <c r="AG186" i="139"/>
  <c r="AG187" i="139"/>
  <c r="AG188" i="139"/>
  <c r="AG189" i="139"/>
  <c r="AG190" i="139"/>
  <c r="AG191" i="139"/>
  <c r="AG192" i="139"/>
  <c r="AG193" i="139"/>
  <c r="AG194" i="139"/>
  <c r="AG195" i="139"/>
  <c r="AG196" i="139"/>
  <c r="AG197" i="139"/>
  <c r="AG198" i="139"/>
  <c r="AG199" i="139"/>
  <c r="AG200" i="139"/>
  <c r="AG201" i="139"/>
  <c r="AG202" i="139"/>
  <c r="AG203" i="139"/>
  <c r="AG204" i="139"/>
  <c r="AG205" i="139"/>
  <c r="AG206" i="139"/>
  <c r="AG207" i="139"/>
  <c r="AG208" i="139"/>
  <c r="AG209" i="139"/>
  <c r="AG210" i="139"/>
  <c r="AG211" i="139"/>
  <c r="AG212" i="139"/>
  <c r="AG213" i="139"/>
  <c r="AG214" i="139"/>
  <c r="AG215" i="139"/>
  <c r="AG216" i="139"/>
  <c r="AG217" i="139"/>
  <c r="AG218" i="139"/>
  <c r="AG219" i="139"/>
  <c r="AG220" i="139"/>
  <c r="AG221" i="139"/>
  <c r="AG222" i="139"/>
  <c r="AG223" i="139"/>
  <c r="AG224" i="139"/>
  <c r="AG225" i="139"/>
  <c r="AG226" i="139"/>
  <c r="AG227" i="139"/>
  <c r="AG228" i="139"/>
  <c r="AG229" i="139"/>
  <c r="AG230" i="139"/>
  <c r="AG231" i="139"/>
  <c r="AG232" i="139"/>
  <c r="AG233" i="139"/>
  <c r="AG234" i="139"/>
  <c r="AG235" i="139"/>
  <c r="AG236" i="139"/>
  <c r="AG237" i="139"/>
  <c r="AG238" i="139"/>
  <c r="AG239" i="139"/>
  <c r="AG240" i="139"/>
  <c r="AG241" i="139"/>
  <c r="AG242" i="139"/>
  <c r="AG243" i="139"/>
  <c r="AG244" i="139"/>
  <c r="AG245" i="139"/>
  <c r="AG246" i="139"/>
  <c r="AG247" i="139"/>
  <c r="AG248" i="139"/>
  <c r="AG249" i="139"/>
  <c r="AG250" i="139"/>
  <c r="AG251" i="139"/>
  <c r="AG252" i="139"/>
  <c r="AG253" i="139"/>
  <c r="AG254" i="139"/>
  <c r="AG255" i="139"/>
  <c r="AG256" i="139"/>
  <c r="AG257" i="139"/>
  <c r="AG258" i="139"/>
  <c r="AG259" i="139"/>
  <c r="AG260" i="139"/>
  <c r="AG261" i="139"/>
  <c r="AG262" i="139"/>
  <c r="AG263" i="139"/>
  <c r="AG264" i="139"/>
  <c r="AG265" i="139"/>
  <c r="AG266" i="139"/>
  <c r="AG267" i="139"/>
  <c r="AG268" i="139"/>
  <c r="AG269" i="139"/>
  <c r="AG270" i="139"/>
  <c r="AG271" i="139"/>
  <c r="AG272" i="139"/>
  <c r="AG273" i="139"/>
  <c r="AG274" i="139"/>
  <c r="AG275" i="139"/>
  <c r="AG276" i="139"/>
  <c r="AG277" i="139"/>
  <c r="AG278" i="139"/>
  <c r="AG279" i="139"/>
  <c r="AG280" i="139"/>
  <c r="AG281" i="139"/>
  <c r="AG282" i="139"/>
  <c r="AG283" i="139"/>
  <c r="AG284" i="139"/>
  <c r="S113" i="139"/>
  <c r="S114" i="139"/>
  <c r="S115" i="139"/>
  <c r="S116" i="139"/>
  <c r="S117" i="139"/>
  <c r="S118" i="139"/>
  <c r="S119" i="139"/>
  <c r="S120" i="139"/>
  <c r="S121" i="139"/>
  <c r="S122" i="139"/>
  <c r="S123" i="139"/>
  <c r="S124" i="139"/>
  <c r="S125" i="139"/>
  <c r="S126" i="139"/>
  <c r="S127" i="139"/>
  <c r="S128" i="139"/>
  <c r="S129" i="139"/>
  <c r="S130" i="139"/>
  <c r="S131" i="139"/>
  <c r="S132" i="139"/>
  <c r="S133" i="139"/>
  <c r="S134" i="139"/>
  <c r="S135" i="139"/>
  <c r="S136" i="139"/>
  <c r="S137" i="139"/>
  <c r="S138" i="139"/>
  <c r="S139" i="139"/>
  <c r="S140" i="139"/>
  <c r="S141" i="139"/>
  <c r="S142" i="139"/>
  <c r="S143" i="139"/>
  <c r="S144" i="139"/>
  <c r="S145" i="139"/>
  <c r="S146" i="139"/>
  <c r="S147" i="139"/>
  <c r="S148" i="139"/>
  <c r="S149" i="139"/>
  <c r="S150" i="139"/>
  <c r="S151" i="139"/>
  <c r="S152" i="139"/>
  <c r="S153" i="139"/>
  <c r="S154" i="139"/>
  <c r="S155" i="139"/>
  <c r="S156" i="139"/>
  <c r="S157" i="139"/>
  <c r="S158" i="139"/>
  <c r="S159" i="139"/>
  <c r="S160" i="139"/>
  <c r="S161" i="139"/>
  <c r="S162" i="139"/>
  <c r="S163" i="139"/>
  <c r="S164" i="139"/>
  <c r="S165" i="139"/>
  <c r="S166" i="139"/>
  <c r="S167" i="139"/>
  <c r="S168" i="139"/>
  <c r="S169" i="139"/>
  <c r="S170" i="139"/>
  <c r="S171" i="139"/>
  <c r="S172" i="139"/>
  <c r="S173" i="139"/>
  <c r="S174" i="139"/>
  <c r="S175" i="139"/>
  <c r="S176" i="139"/>
  <c r="S177" i="139"/>
  <c r="S178" i="139"/>
  <c r="S179" i="139"/>
  <c r="S180" i="139"/>
  <c r="S181" i="139"/>
  <c r="S182" i="139"/>
  <c r="S183" i="139"/>
  <c r="S184" i="139"/>
  <c r="S185" i="139"/>
  <c r="S186" i="139"/>
  <c r="S187" i="139"/>
  <c r="S188" i="139"/>
  <c r="S189" i="139"/>
  <c r="S190" i="139"/>
  <c r="S191" i="139"/>
  <c r="S192" i="139"/>
  <c r="S193" i="139"/>
  <c r="S194" i="139"/>
  <c r="S195" i="139"/>
  <c r="S196" i="139"/>
  <c r="S197" i="139"/>
  <c r="S198" i="139"/>
  <c r="S199" i="139"/>
  <c r="S200" i="139"/>
  <c r="S201" i="139"/>
  <c r="S202" i="139"/>
  <c r="S203" i="139"/>
  <c r="S204" i="139"/>
  <c r="S205" i="139"/>
  <c r="S206" i="139"/>
  <c r="S207" i="139"/>
  <c r="S208" i="139"/>
  <c r="S209" i="139"/>
  <c r="S210" i="139"/>
  <c r="S211" i="139"/>
  <c r="S212" i="139"/>
  <c r="S213" i="139"/>
  <c r="S214" i="139"/>
  <c r="S215" i="139"/>
  <c r="S216" i="139"/>
  <c r="S217" i="139"/>
  <c r="S218" i="139"/>
  <c r="S219" i="139"/>
  <c r="S220" i="139"/>
  <c r="S221" i="139"/>
  <c r="S222" i="139"/>
  <c r="S223" i="139"/>
  <c r="S224" i="139"/>
  <c r="S225" i="139"/>
  <c r="S226" i="139"/>
  <c r="S227" i="139"/>
  <c r="S228" i="139"/>
  <c r="S229" i="139"/>
  <c r="S230" i="139"/>
  <c r="S231" i="139"/>
  <c r="S232" i="139"/>
  <c r="S233" i="139"/>
  <c r="S234" i="139"/>
  <c r="S235" i="139"/>
  <c r="S236" i="139"/>
  <c r="S237" i="139"/>
  <c r="S238" i="139"/>
  <c r="S239" i="139"/>
  <c r="S240" i="139"/>
  <c r="S241" i="139"/>
  <c r="S242" i="139"/>
  <c r="S243" i="139"/>
  <c r="S244" i="139"/>
  <c r="S245" i="139"/>
  <c r="S246" i="139"/>
  <c r="S247" i="139"/>
  <c r="S248" i="139"/>
  <c r="S249" i="139"/>
  <c r="S250" i="139"/>
  <c r="S251" i="139"/>
  <c r="S252" i="139"/>
  <c r="S253" i="139"/>
  <c r="S254" i="139"/>
  <c r="S255" i="139"/>
  <c r="S256" i="139"/>
  <c r="S257" i="139"/>
  <c r="S258" i="139"/>
  <c r="S259" i="139"/>
  <c r="S260" i="139"/>
  <c r="S261" i="139"/>
  <c r="S262" i="139"/>
  <c r="S263" i="139"/>
  <c r="S264" i="139"/>
  <c r="S265" i="139"/>
  <c r="S266" i="139"/>
  <c r="S267" i="139"/>
  <c r="S268" i="139"/>
  <c r="S269" i="139"/>
  <c r="S270" i="139"/>
  <c r="S271" i="139"/>
  <c r="S272" i="139"/>
  <c r="S273" i="139"/>
  <c r="S274" i="139"/>
  <c r="S275" i="139"/>
  <c r="S276" i="139"/>
  <c r="S277" i="139"/>
  <c r="S278" i="139"/>
  <c r="S279" i="139"/>
  <c r="S280" i="139"/>
  <c r="S281" i="139"/>
  <c r="S282" i="139"/>
  <c r="S283" i="139"/>
  <c r="T13" i="138"/>
  <c r="D122" i="139" s="1"/>
  <c r="E122" i="139" s="1"/>
  <c r="F122" i="139" s="1"/>
  <c r="G122" i="139" s="1"/>
  <c r="T14" i="138"/>
  <c r="D123" i="139" s="1"/>
  <c r="E123" i="139" s="1"/>
  <c r="F123" i="139" s="1"/>
  <c r="G123" i="139" s="1"/>
  <c r="T15" i="138"/>
  <c r="D124" i="139" s="1"/>
  <c r="E124" i="139" s="1"/>
  <c r="F124" i="139" s="1"/>
  <c r="G124" i="139" s="1"/>
  <c r="T16" i="138"/>
  <c r="D125" i="139" s="1"/>
  <c r="E125" i="139" s="1"/>
  <c r="F125" i="139" s="1"/>
  <c r="G125" i="139" s="1"/>
  <c r="T17" i="138"/>
  <c r="D126" i="139" s="1"/>
  <c r="E126" i="139" s="1"/>
  <c r="F126" i="139" s="1"/>
  <c r="G126" i="139" s="1"/>
  <c r="T36" i="138"/>
  <c r="D145" i="139" s="1"/>
  <c r="E145" i="139" s="1"/>
  <c r="F145" i="139" s="1"/>
  <c r="G145" i="139" s="1"/>
  <c r="T37" i="138"/>
  <c r="D146" i="139" s="1"/>
  <c r="E146" i="139" s="1"/>
  <c r="F146" i="139" s="1"/>
  <c r="G146" i="139" s="1"/>
  <c r="T38" i="138"/>
  <c r="D147" i="139" s="1"/>
  <c r="E147" i="139" s="1"/>
  <c r="F147" i="139" s="1"/>
  <c r="G147" i="139" s="1"/>
  <c r="T39" i="138"/>
  <c r="D148" i="139" s="1"/>
  <c r="E148" i="139" s="1"/>
  <c r="F148" i="139" s="1"/>
  <c r="G148" i="139" s="1"/>
  <c r="T40" i="138"/>
  <c r="D149" i="139" s="1"/>
  <c r="E149" i="139" s="1"/>
  <c r="F149" i="139" s="1"/>
  <c r="G149" i="139" s="1"/>
  <c r="T50" i="138"/>
  <c r="D159" i="139" s="1"/>
  <c r="E159" i="139" s="1"/>
  <c r="F159" i="139" s="1"/>
  <c r="G159" i="139" s="1"/>
  <c r="T51" i="138"/>
  <c r="D160" i="139" s="1"/>
  <c r="E160" i="139" s="1"/>
  <c r="F160" i="139" s="1"/>
  <c r="G160" i="139" s="1"/>
  <c r="T52" i="138"/>
  <c r="D161" i="139" s="1"/>
  <c r="E161" i="139" s="1"/>
  <c r="F161" i="139" s="1"/>
  <c r="G161" i="139" s="1"/>
  <c r="T53" i="138"/>
  <c r="D162" i="139" s="1"/>
  <c r="E162" i="139" s="1"/>
  <c r="F162" i="139" s="1"/>
  <c r="G162" i="139" s="1"/>
  <c r="T54" i="138"/>
  <c r="D163" i="139" s="1"/>
  <c r="E163" i="139" s="1"/>
  <c r="F163" i="139" s="1"/>
  <c r="G163" i="139" s="1"/>
  <c r="T100" i="138"/>
  <c r="D209" i="139" s="1"/>
  <c r="E209" i="139" s="1"/>
  <c r="F209" i="139" s="1"/>
  <c r="G209" i="139" s="1"/>
  <c r="T101" i="138"/>
  <c r="D210" i="139" s="1"/>
  <c r="E210" i="139" s="1"/>
  <c r="F210" i="139" s="1"/>
  <c r="G210" i="139" s="1"/>
  <c r="T102" i="138"/>
  <c r="D211" i="139" s="1"/>
  <c r="E211" i="139" s="1"/>
  <c r="F211" i="139" s="1"/>
  <c r="G211" i="139" s="1"/>
  <c r="T103" i="138"/>
  <c r="D212" i="139" s="1"/>
  <c r="E212" i="139" s="1"/>
  <c r="F212" i="139" s="1"/>
  <c r="G212" i="139" s="1"/>
  <c r="T104" i="138"/>
  <c r="D213" i="139" s="1"/>
  <c r="E213" i="139" s="1"/>
  <c r="F213" i="139" s="1"/>
  <c r="G213" i="139" s="1"/>
  <c r="T138" i="138"/>
  <c r="D247" i="139" s="1"/>
  <c r="E247" i="139" s="1"/>
  <c r="F247" i="139" s="1"/>
  <c r="G247" i="139" s="1"/>
  <c r="T139" i="138"/>
  <c r="D248" i="139" s="1"/>
  <c r="E248" i="139" s="1"/>
  <c r="F248" i="139" s="1"/>
  <c r="G248" i="139" s="1"/>
  <c r="T140" i="138"/>
  <c r="D249" i="139" s="1"/>
  <c r="E249" i="139" s="1"/>
  <c r="F249" i="139" s="1"/>
  <c r="G249" i="139" s="1"/>
  <c r="T141" i="138"/>
  <c r="D250" i="139" s="1"/>
  <c r="E250" i="139" s="1"/>
  <c r="F250" i="139" s="1"/>
  <c r="G250" i="139" s="1"/>
  <c r="T142" i="138"/>
  <c r="D251" i="139" s="1"/>
  <c r="E251" i="139" s="1"/>
  <c r="F251" i="139" s="1"/>
  <c r="G251" i="139" s="1"/>
  <c r="T152" i="138"/>
  <c r="D261" i="139" s="1"/>
  <c r="E261" i="139" s="1"/>
  <c r="F261" i="139" s="1"/>
  <c r="G261" i="139" s="1"/>
  <c r="T153" i="138"/>
  <c r="D262" i="139" s="1"/>
  <c r="E262" i="139" s="1"/>
  <c r="F262" i="139" s="1"/>
  <c r="G262" i="139" s="1"/>
  <c r="T154" i="138"/>
  <c r="D263" i="139" s="1"/>
  <c r="E263" i="139" s="1"/>
  <c r="F263" i="139" s="1"/>
  <c r="G263" i="139" s="1"/>
  <c r="T155" i="138"/>
  <c r="D264" i="139" s="1"/>
  <c r="E264" i="139" s="1"/>
  <c r="F264" i="139" s="1"/>
  <c r="G264" i="139" s="1"/>
  <c r="T156" i="138"/>
  <c r="D265" i="139" s="1"/>
  <c r="E265" i="139" s="1"/>
  <c r="F265" i="139" s="1"/>
  <c r="G265" i="139" s="1"/>
  <c r="S106" i="139"/>
  <c r="S107" i="139"/>
  <c r="S108" i="139"/>
  <c r="S109" i="139"/>
  <c r="S110" i="139"/>
  <c r="S111" i="139"/>
  <c r="S112" i="139"/>
  <c r="S105" i="139"/>
  <c r="D5" i="138"/>
  <c r="N5" i="138" s="1"/>
  <c r="D6" i="138"/>
  <c r="M6" i="138" s="1"/>
  <c r="D7" i="138"/>
  <c r="D8" i="138"/>
  <c r="D9" i="138"/>
  <c r="D10" i="138"/>
  <c r="D11" i="138"/>
  <c r="D12" i="138"/>
  <c r="N12" i="138" s="1"/>
  <c r="D13" i="138"/>
  <c r="O13" i="138" s="1"/>
  <c r="D14" i="138"/>
  <c r="D15" i="138"/>
  <c r="D16" i="138"/>
  <c r="D17" i="138"/>
  <c r="D18" i="138"/>
  <c r="D19" i="138"/>
  <c r="D20" i="138"/>
  <c r="M20" i="138" s="1"/>
  <c r="D21" i="138"/>
  <c r="N21" i="138" s="1"/>
  <c r="D22" i="138"/>
  <c r="M22" i="138" s="1"/>
  <c r="D23" i="138"/>
  <c r="D24" i="138"/>
  <c r="N24" i="138" s="1"/>
  <c r="D25" i="138"/>
  <c r="D26" i="138"/>
  <c r="D27" i="138"/>
  <c r="D28" i="138"/>
  <c r="D29" i="138"/>
  <c r="O29" i="138" s="1"/>
  <c r="D30" i="138"/>
  <c r="D31" i="138"/>
  <c r="D32" i="138"/>
  <c r="D33" i="138"/>
  <c r="D34" i="138"/>
  <c r="D35" i="138"/>
  <c r="D36" i="138"/>
  <c r="N36" i="138" s="1"/>
  <c r="D37" i="138"/>
  <c r="N37" i="138" s="1"/>
  <c r="D38" i="138"/>
  <c r="M38" i="138" s="1"/>
  <c r="D39" i="138"/>
  <c r="D40" i="138"/>
  <c r="D41" i="138"/>
  <c r="O41" i="138" s="1"/>
  <c r="D42" i="138"/>
  <c r="D43" i="138"/>
  <c r="D44" i="138"/>
  <c r="D45" i="138"/>
  <c r="D46" i="138"/>
  <c r="D47" i="138"/>
  <c r="D48" i="138"/>
  <c r="M48" i="138" s="1"/>
  <c r="D49" i="138"/>
  <c r="M49" i="138" s="1"/>
  <c r="D50" i="138"/>
  <c r="M50" i="138" s="1"/>
  <c r="D51" i="138"/>
  <c r="O51" i="138" s="1"/>
  <c r="D52" i="138"/>
  <c r="M52" i="138" s="1"/>
  <c r="D53" i="138"/>
  <c r="D54" i="138"/>
  <c r="D55" i="138"/>
  <c r="D56" i="138"/>
  <c r="O56" i="138" s="1"/>
  <c r="D57" i="138"/>
  <c r="D58" i="138"/>
  <c r="D59" i="138"/>
  <c r="D60" i="138"/>
  <c r="M60" i="138" s="1"/>
  <c r="D61" i="138"/>
  <c r="M61" i="138" s="1"/>
  <c r="D62" i="138"/>
  <c r="M62" i="138" s="1"/>
  <c r="D63" i="138"/>
  <c r="D64" i="138"/>
  <c r="M64" i="138" s="1"/>
  <c r="D65" i="138"/>
  <c r="D66" i="138"/>
  <c r="D67" i="138"/>
  <c r="D68" i="138"/>
  <c r="N68" i="138" s="1"/>
  <c r="D69" i="138"/>
  <c r="O69" i="138" s="1"/>
  <c r="D70" i="138"/>
  <c r="D71" i="138"/>
  <c r="D72" i="138"/>
  <c r="D73" i="138"/>
  <c r="D74" i="138"/>
  <c r="D75" i="138"/>
  <c r="D76" i="138"/>
  <c r="M76" i="138" s="1"/>
  <c r="D77" i="138"/>
  <c r="M77" i="138" s="1"/>
  <c r="D78" i="138"/>
  <c r="M78" i="138" s="1"/>
  <c r="D79" i="138"/>
  <c r="O79" i="138" s="1"/>
  <c r="D80" i="138"/>
  <c r="M80" i="138" s="1"/>
  <c r="D81" i="138"/>
  <c r="D82" i="138"/>
  <c r="D83" i="138"/>
  <c r="D84" i="138"/>
  <c r="N84" i="138" s="1"/>
  <c r="D85" i="138"/>
  <c r="O85" i="138" s="1"/>
  <c r="D86" i="138"/>
  <c r="D87" i="138"/>
  <c r="D88" i="138"/>
  <c r="O88" i="138" s="1"/>
  <c r="D89" i="138"/>
  <c r="D90" i="138"/>
  <c r="D91" i="138"/>
  <c r="D92" i="138"/>
  <c r="M92" i="138" s="1"/>
  <c r="D93" i="138"/>
  <c r="M93" i="138" s="1"/>
  <c r="D94" i="138"/>
  <c r="M94" i="138" s="1"/>
  <c r="D95" i="138"/>
  <c r="D96" i="138"/>
  <c r="M96" i="138" s="1"/>
  <c r="D97" i="138"/>
  <c r="D98" i="138"/>
  <c r="D99" i="138"/>
  <c r="D100" i="138"/>
  <c r="N100" i="138" s="1"/>
  <c r="D101" i="138"/>
  <c r="O101" i="138" s="1"/>
  <c r="D102" i="138"/>
  <c r="D103" i="138"/>
  <c r="D104" i="138"/>
  <c r="M104" i="138" s="1"/>
  <c r="D105" i="138"/>
  <c r="O105" i="138" s="1"/>
  <c r="D106" i="138"/>
  <c r="M106" i="138" s="1"/>
  <c r="D107" i="138"/>
  <c r="D108" i="138"/>
  <c r="M108" i="138" s="1"/>
  <c r="D109" i="138"/>
  <c r="D110" i="138"/>
  <c r="D111" i="138"/>
  <c r="D112" i="138"/>
  <c r="M112" i="138" s="1"/>
  <c r="D113" i="138"/>
  <c r="O113" i="138" s="1"/>
  <c r="D114" i="138"/>
  <c r="D115" i="138"/>
  <c r="D116" i="138"/>
  <c r="M116" i="138" s="1"/>
  <c r="D117" i="138"/>
  <c r="D118" i="138"/>
  <c r="D119" i="138"/>
  <c r="N119" i="138" s="1"/>
  <c r="D120" i="138"/>
  <c r="O120" i="138" s="1"/>
  <c r="D121" i="138"/>
  <c r="O121" i="138" s="1"/>
  <c r="D122" i="138"/>
  <c r="M122" i="138" s="1"/>
  <c r="D123" i="138"/>
  <c r="D124" i="138"/>
  <c r="M124" i="138" s="1"/>
  <c r="D125" i="138"/>
  <c r="D126" i="138"/>
  <c r="D127" i="138"/>
  <c r="D128" i="138"/>
  <c r="M128" i="138" s="1"/>
  <c r="D129" i="138"/>
  <c r="O129" i="138" s="1"/>
  <c r="D130" i="138"/>
  <c r="D131" i="138"/>
  <c r="D132" i="138"/>
  <c r="M132" i="138" s="1"/>
  <c r="D133" i="138"/>
  <c r="D134" i="138"/>
  <c r="D135" i="138"/>
  <c r="N135" i="138" s="1"/>
  <c r="D136" i="138"/>
  <c r="O136" i="138" s="1"/>
  <c r="D137" i="138"/>
  <c r="O137" i="138" s="1"/>
  <c r="D138" i="138"/>
  <c r="M138" i="138" s="1"/>
  <c r="D139" i="138"/>
  <c r="D140" i="138"/>
  <c r="M140" i="138" s="1"/>
  <c r="D141" i="138"/>
  <c r="D142" i="138"/>
  <c r="D143" i="138"/>
  <c r="D144" i="138"/>
  <c r="M144" i="138" s="1"/>
  <c r="D145" i="138"/>
  <c r="D146" i="138"/>
  <c r="D147" i="138"/>
  <c r="N147" i="138" s="1"/>
  <c r="D148" i="138"/>
  <c r="O148" i="138" s="1"/>
  <c r="D149" i="138"/>
  <c r="O149" i="138" s="1"/>
  <c r="D150" i="138"/>
  <c r="M150" i="138" s="1"/>
  <c r="D151" i="138"/>
  <c r="D152" i="138"/>
  <c r="M152" i="138" s="1"/>
  <c r="D153" i="138"/>
  <c r="D154" i="138"/>
  <c r="D155" i="138"/>
  <c r="D156" i="138"/>
  <c r="M156" i="138" s="1"/>
  <c r="D157" i="138"/>
  <c r="D158" i="138"/>
  <c r="D159" i="138"/>
  <c r="N159" i="138" s="1"/>
  <c r="D160" i="138"/>
  <c r="O160" i="138" s="1"/>
  <c r="D161" i="138"/>
  <c r="O161" i="138" s="1"/>
  <c r="D162" i="138"/>
  <c r="M162" i="138" s="1"/>
  <c r="D163" i="138"/>
  <c r="D164" i="138"/>
  <c r="M164" i="138" s="1"/>
  <c r="D165" i="138"/>
  <c r="D166" i="138"/>
  <c r="D167" i="138"/>
  <c r="D168" i="138"/>
  <c r="M168" i="138" s="1"/>
  <c r="D169" i="138"/>
  <c r="O169" i="138" s="1"/>
  <c r="D170" i="138"/>
  <c r="D171" i="138"/>
  <c r="D172" i="138"/>
  <c r="M172" i="138" s="1"/>
  <c r="D173" i="138"/>
  <c r="D174" i="138"/>
  <c r="D4" i="138"/>
  <c r="O4" i="138" s="1"/>
  <c r="C18" i="138"/>
  <c r="C19" i="138"/>
  <c r="G19" i="138" s="1"/>
  <c r="C20" i="138"/>
  <c r="G20" i="138" s="1"/>
  <c r="C21" i="138"/>
  <c r="G21" i="138" s="1"/>
  <c r="C22" i="138"/>
  <c r="C23" i="138"/>
  <c r="J23" i="138" s="1"/>
  <c r="C24" i="138"/>
  <c r="F24" i="138" s="1"/>
  <c r="C25" i="138"/>
  <c r="C26" i="138"/>
  <c r="H26" i="138" s="1"/>
  <c r="C27" i="138"/>
  <c r="G27" i="138" s="1"/>
  <c r="C28" i="138"/>
  <c r="G28" i="138" s="1"/>
  <c r="C29" i="138"/>
  <c r="G29" i="138" s="1"/>
  <c r="C30" i="138"/>
  <c r="C31" i="138"/>
  <c r="J31" i="138" s="1"/>
  <c r="C32" i="138"/>
  <c r="F32" i="138" s="1"/>
  <c r="C33" i="138"/>
  <c r="C34" i="138"/>
  <c r="G34" i="138" s="1"/>
  <c r="C35" i="138"/>
  <c r="G35" i="138" s="1"/>
  <c r="C36" i="138"/>
  <c r="G36" i="138" s="1"/>
  <c r="C37" i="138"/>
  <c r="G37" i="138" s="1"/>
  <c r="C38" i="138"/>
  <c r="C39" i="138"/>
  <c r="J39" i="138" s="1"/>
  <c r="C40" i="138"/>
  <c r="F40" i="138" s="1"/>
  <c r="C41" i="138"/>
  <c r="G41" i="138" s="1"/>
  <c r="C42" i="138"/>
  <c r="C43" i="138"/>
  <c r="J43" i="138" s="1"/>
  <c r="C44" i="138"/>
  <c r="F44" i="138" s="1"/>
  <c r="C45" i="138"/>
  <c r="I45" i="138" s="1"/>
  <c r="C46" i="138"/>
  <c r="G46" i="138" s="1"/>
  <c r="C47" i="138"/>
  <c r="G47" i="138" s="1"/>
  <c r="C48" i="138"/>
  <c r="G48" i="138" s="1"/>
  <c r="C49" i="138"/>
  <c r="G49" i="138" s="1"/>
  <c r="C50" i="138"/>
  <c r="C51" i="138"/>
  <c r="J51" i="138" s="1"/>
  <c r="C52" i="138"/>
  <c r="C53" i="138"/>
  <c r="I53" i="138" s="1"/>
  <c r="C54" i="138"/>
  <c r="G54" i="138" s="1"/>
  <c r="C55" i="138"/>
  <c r="C56" i="138"/>
  <c r="C57" i="138"/>
  <c r="C58" i="138"/>
  <c r="C59" i="138"/>
  <c r="G59" i="138" s="1"/>
  <c r="C60" i="138"/>
  <c r="G60" i="138" s="1"/>
  <c r="C61" i="138"/>
  <c r="G61" i="138" s="1"/>
  <c r="C62" i="138"/>
  <c r="C63" i="138"/>
  <c r="C64" i="138"/>
  <c r="C65" i="138"/>
  <c r="C66" i="138"/>
  <c r="H66" i="138" s="1"/>
  <c r="C67" i="138"/>
  <c r="G67" i="138" s="1"/>
  <c r="C68" i="138"/>
  <c r="G68" i="138" s="1"/>
  <c r="C69" i="138"/>
  <c r="G69" i="138" s="1"/>
  <c r="C70" i="138"/>
  <c r="C71" i="138"/>
  <c r="C72" i="138"/>
  <c r="C73" i="138"/>
  <c r="C74" i="138"/>
  <c r="C75" i="138"/>
  <c r="G75" i="138" s="1"/>
  <c r="C76" i="138"/>
  <c r="G76" i="138" s="1"/>
  <c r="C77" i="138"/>
  <c r="G77" i="138" s="1"/>
  <c r="C78" i="138"/>
  <c r="F78" i="138" s="1"/>
  <c r="C79" i="138"/>
  <c r="J79" i="138" s="1"/>
  <c r="C80" i="138"/>
  <c r="F80" i="138" s="1"/>
  <c r="C81" i="138"/>
  <c r="C82" i="138"/>
  <c r="H82" i="138" s="1"/>
  <c r="C83" i="138"/>
  <c r="G83" i="138" s="1"/>
  <c r="C84" i="138"/>
  <c r="G84" i="138" s="1"/>
  <c r="C85" i="138"/>
  <c r="F85" i="138" s="1"/>
  <c r="C86" i="138"/>
  <c r="F86" i="138" s="1"/>
  <c r="C87" i="138"/>
  <c r="J87" i="138" s="1"/>
  <c r="C88" i="138"/>
  <c r="C89" i="138"/>
  <c r="C90" i="138"/>
  <c r="F90" i="138" s="1"/>
  <c r="C91" i="138"/>
  <c r="G91" i="138" s="1"/>
  <c r="C92" i="138"/>
  <c r="G92" i="138" s="1"/>
  <c r="C93" i="138"/>
  <c r="C94" i="138"/>
  <c r="F94" i="138" s="1"/>
  <c r="C95" i="138"/>
  <c r="C96" i="138"/>
  <c r="C97" i="138"/>
  <c r="I97" i="138" s="1"/>
  <c r="C98" i="138"/>
  <c r="C99" i="138"/>
  <c r="G99" i="138" s="1"/>
  <c r="C100" i="138"/>
  <c r="G100" i="138" s="1"/>
  <c r="C101" i="138"/>
  <c r="C102" i="138"/>
  <c r="F102" i="138" s="1"/>
  <c r="C103" i="138"/>
  <c r="J103" i="138" s="1"/>
  <c r="C104" i="138"/>
  <c r="C105" i="138"/>
  <c r="C106" i="138"/>
  <c r="F106" i="138" s="1"/>
  <c r="C107" i="138"/>
  <c r="J107" i="138" s="1"/>
  <c r="C108" i="138"/>
  <c r="C109" i="138"/>
  <c r="I109" i="138" s="1"/>
  <c r="C110" i="138"/>
  <c r="G110" i="138" s="1"/>
  <c r="C111" i="138"/>
  <c r="G111" i="138" s="1"/>
  <c r="C112" i="138"/>
  <c r="G112" i="138" s="1"/>
  <c r="C113" i="138"/>
  <c r="C114" i="138"/>
  <c r="F114" i="138" s="1"/>
  <c r="C115" i="138"/>
  <c r="F115" i="138" s="1"/>
  <c r="C116" i="138"/>
  <c r="C117" i="138"/>
  <c r="C118" i="138"/>
  <c r="F118" i="138" s="1"/>
  <c r="C119" i="138"/>
  <c r="G119" i="138" s="1"/>
  <c r="C120" i="138"/>
  <c r="G120" i="138" s="1"/>
  <c r="C121" i="138"/>
  <c r="C122" i="138"/>
  <c r="F122" i="138" s="1"/>
  <c r="C123" i="138"/>
  <c r="F123" i="138" s="1"/>
  <c r="C124" i="138"/>
  <c r="C125" i="138"/>
  <c r="C126" i="138"/>
  <c r="H126" i="138" s="1"/>
  <c r="C127" i="138"/>
  <c r="G127" i="138" s="1"/>
  <c r="C128" i="138"/>
  <c r="G128" i="138" s="1"/>
  <c r="C129" i="138"/>
  <c r="G129" i="138" s="1"/>
  <c r="C130" i="138"/>
  <c r="F130" i="138" s="1"/>
  <c r="C131" i="138"/>
  <c r="F131" i="138" s="1"/>
  <c r="C132" i="138"/>
  <c r="C133" i="138"/>
  <c r="C134" i="138"/>
  <c r="C135" i="138"/>
  <c r="G135" i="138" s="1"/>
  <c r="C136" i="138"/>
  <c r="G136" i="138" s="1"/>
  <c r="C137" i="138"/>
  <c r="C138" i="138"/>
  <c r="F138" i="138" s="1"/>
  <c r="C139" i="138"/>
  <c r="J139" i="138" s="1"/>
  <c r="C140" i="138"/>
  <c r="C141" i="138"/>
  <c r="C142" i="138"/>
  <c r="C143" i="138"/>
  <c r="J143" i="138" s="1"/>
  <c r="C144" i="138"/>
  <c r="C145" i="138"/>
  <c r="C146" i="138"/>
  <c r="G146" i="138" s="1"/>
  <c r="C147" i="138"/>
  <c r="G147" i="138" s="1"/>
  <c r="C148" i="138"/>
  <c r="G148" i="138" s="1"/>
  <c r="C149" i="138"/>
  <c r="C150" i="138"/>
  <c r="F150" i="138" s="1"/>
  <c r="C151" i="138"/>
  <c r="C152" i="138"/>
  <c r="C153" i="138"/>
  <c r="I153" i="138" s="1"/>
  <c r="C154" i="138"/>
  <c r="F154" i="138" s="1"/>
  <c r="C155" i="138"/>
  <c r="G155" i="138" s="1"/>
  <c r="C156" i="138"/>
  <c r="G156" i="138" s="1"/>
  <c r="C157" i="138"/>
  <c r="I157" i="138" s="1"/>
  <c r="C158" i="138"/>
  <c r="F158" i="138" s="1"/>
  <c r="C159" i="138"/>
  <c r="G159" i="138" s="1"/>
  <c r="C160" i="138"/>
  <c r="G160" i="138" s="1"/>
  <c r="C161" i="138"/>
  <c r="C162" i="138"/>
  <c r="F162" i="138" s="1"/>
  <c r="C163" i="138"/>
  <c r="C164" i="138"/>
  <c r="C165" i="138"/>
  <c r="I165" i="138" s="1"/>
  <c r="C166" i="138"/>
  <c r="C167" i="138"/>
  <c r="G167" i="138" s="1"/>
  <c r="C168" i="138"/>
  <c r="G168" i="138" s="1"/>
  <c r="C169" i="138"/>
  <c r="C170" i="138"/>
  <c r="F170" i="138" s="1"/>
  <c r="C171" i="138"/>
  <c r="G171" i="138" s="1"/>
  <c r="C172" i="138"/>
  <c r="C173" i="138"/>
  <c r="C174" i="138"/>
  <c r="C5" i="138"/>
  <c r="C6" i="138"/>
  <c r="G6" i="138" s="1"/>
  <c r="C7" i="138"/>
  <c r="G7" i="138" s="1"/>
  <c r="C8" i="138"/>
  <c r="G8" i="138" s="1"/>
  <c r="C9" i="138"/>
  <c r="C10" i="138"/>
  <c r="C11" i="138"/>
  <c r="C12" i="138"/>
  <c r="C13" i="138"/>
  <c r="C14" i="138"/>
  <c r="C15" i="138"/>
  <c r="G15" i="138" s="1"/>
  <c r="C16" i="138"/>
  <c r="G16" i="138" s="1"/>
  <c r="C17" i="138"/>
  <c r="G17" i="138" s="1"/>
  <c r="C4" i="138"/>
  <c r="G4" i="138" s="1"/>
  <c r="B165" i="138"/>
  <c r="B166" i="138"/>
  <c r="B167" i="138"/>
  <c r="B168" i="138"/>
  <c r="B169" i="138"/>
  <c r="B170" i="138"/>
  <c r="B171" i="138"/>
  <c r="B172" i="138"/>
  <c r="B173" i="138"/>
  <c r="B174" i="138"/>
  <c r="B43" i="138"/>
  <c r="B44" i="138"/>
  <c r="B45" i="138"/>
  <c r="B46" i="138"/>
  <c r="B47" i="138"/>
  <c r="B48" i="138"/>
  <c r="B49" i="138"/>
  <c r="B50" i="138"/>
  <c r="B51" i="138"/>
  <c r="B52" i="138"/>
  <c r="B53" i="138"/>
  <c r="B54" i="138"/>
  <c r="B55" i="138"/>
  <c r="B56" i="138"/>
  <c r="B57" i="138"/>
  <c r="B58" i="138"/>
  <c r="B59" i="138"/>
  <c r="B60" i="138"/>
  <c r="B61" i="138"/>
  <c r="B62" i="138"/>
  <c r="B63" i="138"/>
  <c r="B64" i="138"/>
  <c r="B65" i="138"/>
  <c r="B66" i="138"/>
  <c r="B67" i="138"/>
  <c r="B68" i="138"/>
  <c r="B69" i="138"/>
  <c r="B70" i="138"/>
  <c r="B71" i="138"/>
  <c r="B72" i="138"/>
  <c r="B73" i="138"/>
  <c r="B74" i="138"/>
  <c r="B75" i="138"/>
  <c r="B76" i="138"/>
  <c r="B77" i="138"/>
  <c r="B78" i="138"/>
  <c r="B79" i="138"/>
  <c r="B80" i="138"/>
  <c r="B81" i="138"/>
  <c r="B82" i="138"/>
  <c r="B83" i="138"/>
  <c r="B84" i="138"/>
  <c r="B85" i="138"/>
  <c r="B86" i="138"/>
  <c r="B87" i="138"/>
  <c r="B88" i="138"/>
  <c r="B89" i="138"/>
  <c r="B90" i="138"/>
  <c r="B91" i="138"/>
  <c r="B92" i="138"/>
  <c r="B93" i="138"/>
  <c r="B94" i="138"/>
  <c r="B95" i="138"/>
  <c r="B96" i="138"/>
  <c r="B97" i="138"/>
  <c r="B98" i="138"/>
  <c r="B99" i="138"/>
  <c r="B100" i="138"/>
  <c r="B101" i="138"/>
  <c r="B102" i="138"/>
  <c r="B103" i="138"/>
  <c r="B104" i="138"/>
  <c r="B105" i="138"/>
  <c r="B106" i="138"/>
  <c r="B107" i="138"/>
  <c r="B108" i="138"/>
  <c r="B109" i="138"/>
  <c r="B110" i="138"/>
  <c r="B111" i="138"/>
  <c r="B112" i="138"/>
  <c r="B113" i="138"/>
  <c r="B114" i="138"/>
  <c r="B115" i="138"/>
  <c r="B116" i="138"/>
  <c r="B117" i="138"/>
  <c r="B118" i="138"/>
  <c r="B119" i="138"/>
  <c r="B120" i="138"/>
  <c r="B121" i="138"/>
  <c r="B122" i="138"/>
  <c r="B123" i="138"/>
  <c r="B124" i="138"/>
  <c r="B125" i="138"/>
  <c r="B126" i="138"/>
  <c r="B127" i="138"/>
  <c r="B128" i="138"/>
  <c r="B129" i="138"/>
  <c r="B130" i="138"/>
  <c r="B131" i="138"/>
  <c r="B132" i="138"/>
  <c r="B133" i="138"/>
  <c r="B134" i="138"/>
  <c r="B135" i="138"/>
  <c r="B136" i="138"/>
  <c r="B137" i="138"/>
  <c r="B138" i="138"/>
  <c r="B139" i="138"/>
  <c r="B140" i="138"/>
  <c r="B141" i="138"/>
  <c r="B142" i="138"/>
  <c r="B143" i="138"/>
  <c r="B144" i="138"/>
  <c r="B145" i="138"/>
  <c r="B146" i="138"/>
  <c r="B147" i="138"/>
  <c r="B148" i="138"/>
  <c r="B149" i="138"/>
  <c r="B150" i="138"/>
  <c r="B151" i="138"/>
  <c r="B152" i="138"/>
  <c r="B153" i="138"/>
  <c r="B154" i="138"/>
  <c r="B155" i="138"/>
  <c r="B156" i="138"/>
  <c r="B157" i="138"/>
  <c r="B158" i="138"/>
  <c r="B159" i="138"/>
  <c r="B160" i="138"/>
  <c r="B161" i="138"/>
  <c r="B162" i="138"/>
  <c r="B163" i="138"/>
  <c r="B164" i="138"/>
  <c r="B22" i="138"/>
  <c r="B23" i="138"/>
  <c r="B24" i="138"/>
  <c r="B25" i="138"/>
  <c r="B26" i="138"/>
  <c r="B27" i="138"/>
  <c r="B28" i="138"/>
  <c r="B29" i="138"/>
  <c r="B30" i="138"/>
  <c r="B31" i="138"/>
  <c r="B32" i="138"/>
  <c r="B33" i="138"/>
  <c r="B34" i="138"/>
  <c r="B35" i="138"/>
  <c r="B36" i="138"/>
  <c r="B37" i="138"/>
  <c r="B38" i="138"/>
  <c r="B39" i="138"/>
  <c r="B40" i="138"/>
  <c r="B41" i="138"/>
  <c r="B42" i="138"/>
  <c r="B5" i="138"/>
  <c r="B6" i="138"/>
  <c r="B7" i="138"/>
  <c r="B8" i="138"/>
  <c r="B9" i="138"/>
  <c r="B10" i="138"/>
  <c r="B11" i="138"/>
  <c r="B12" i="138"/>
  <c r="B13" i="138"/>
  <c r="B14" i="138"/>
  <c r="B15" i="138"/>
  <c r="B16" i="138"/>
  <c r="B17" i="138"/>
  <c r="B18" i="138"/>
  <c r="B19" i="138"/>
  <c r="B20" i="138"/>
  <c r="B21" i="138"/>
  <c r="B4" i="138"/>
  <c r="FW503" i="112"/>
  <c r="HB503" i="112" s="1"/>
  <c r="GB503" i="112"/>
  <c r="GC503" i="112"/>
  <c r="GD503" i="112"/>
  <c r="HT503" i="112"/>
  <c r="FW504" i="112"/>
  <c r="HB504" i="112" s="1"/>
  <c r="GB504" i="112"/>
  <c r="GC504" i="112"/>
  <c r="GD504" i="112"/>
  <c r="HT504" i="112"/>
  <c r="FW505" i="112"/>
  <c r="HB505" i="112" s="1"/>
  <c r="GB505" i="112"/>
  <c r="GC505" i="112"/>
  <c r="GD505" i="112"/>
  <c r="HT505" i="112"/>
  <c r="FW506" i="112"/>
  <c r="HB506" i="112" s="1"/>
  <c r="GB506" i="112"/>
  <c r="GC506" i="112"/>
  <c r="GD506" i="112"/>
  <c r="HT506" i="112"/>
  <c r="AM148" i="121"/>
  <c r="AN148" i="121"/>
  <c r="FQ503" i="112"/>
  <c r="FR503" i="112" s="1"/>
  <c r="EA503" i="112" s="1"/>
  <c r="FS503" i="112"/>
  <c r="AN149" i="121"/>
  <c r="AP149" i="121"/>
  <c r="FS504" i="112"/>
  <c r="AM150" i="121"/>
  <c r="AP150" i="121"/>
  <c r="FS505" i="112"/>
  <c r="AN151" i="121"/>
  <c r="AP151" i="121"/>
  <c r="FS506" i="112"/>
  <c r="DW503" i="112"/>
  <c r="DW504" i="112"/>
  <c r="DW505" i="112"/>
  <c r="DW506" i="112"/>
  <c r="DR503" i="112"/>
  <c r="DS503" i="112"/>
  <c r="DL503" i="112" s="1"/>
  <c r="DT503" i="112"/>
  <c r="DR504" i="112"/>
  <c r="DS504" i="112"/>
  <c r="DK504" i="112" s="1"/>
  <c r="FQ504" i="112" s="1"/>
  <c r="FR504" i="112" s="1"/>
  <c r="DT504" i="112"/>
  <c r="DR505" i="112"/>
  <c r="DS505" i="112"/>
  <c r="DK505" i="112" s="1"/>
  <c r="FQ505" i="112" s="1"/>
  <c r="FR505" i="112" s="1"/>
  <c r="DT505" i="112"/>
  <c r="HW505" i="112" s="1"/>
  <c r="DR506" i="112"/>
  <c r="DS506" i="112"/>
  <c r="DK506" i="112" s="1"/>
  <c r="FQ506" i="112" s="1"/>
  <c r="FR506" i="112" s="1"/>
  <c r="DT506" i="112"/>
  <c r="DM503" i="112"/>
  <c r="DN503" i="112"/>
  <c r="DO503" i="112"/>
  <c r="DP503" i="112"/>
  <c r="DM504" i="112"/>
  <c r="DN504" i="112"/>
  <c r="DO504" i="112"/>
  <c r="DP504" i="112"/>
  <c r="DM505" i="112"/>
  <c r="DN505" i="112"/>
  <c r="DO505" i="112"/>
  <c r="DP505" i="112"/>
  <c r="DM506" i="112"/>
  <c r="DN506" i="112"/>
  <c r="DO506" i="112"/>
  <c r="DP506" i="112"/>
  <c r="AO148" i="121"/>
  <c r="AP148" i="121"/>
  <c r="AM149" i="121"/>
  <c r="AO149" i="121"/>
  <c r="AO150" i="121"/>
  <c r="AM151" i="121"/>
  <c r="S103" i="139"/>
  <c r="S102" i="139"/>
  <c r="S101" i="139"/>
  <c r="E101" i="139"/>
  <c r="F101" i="139" s="1"/>
  <c r="G101" i="139" s="1"/>
  <c r="S100" i="139"/>
  <c r="D100" i="139"/>
  <c r="E100" i="139" s="1"/>
  <c r="F100" i="139" s="1"/>
  <c r="G100" i="139" s="1"/>
  <c r="S99" i="139"/>
  <c r="S98" i="139"/>
  <c r="S97" i="139"/>
  <c r="S96" i="139"/>
  <c r="S95" i="139"/>
  <c r="S94" i="139"/>
  <c r="S93" i="139"/>
  <c r="S92" i="139"/>
  <c r="S91" i="139"/>
  <c r="S90" i="139"/>
  <c r="S89" i="139"/>
  <c r="D89" i="139"/>
  <c r="E89" i="139" s="1"/>
  <c r="F89" i="139" s="1"/>
  <c r="G89" i="139" s="1"/>
  <c r="S88" i="139"/>
  <c r="D88" i="139"/>
  <c r="E88" i="139" s="1"/>
  <c r="F88" i="139" s="1"/>
  <c r="G88" i="139" s="1"/>
  <c r="S87" i="139"/>
  <c r="D87" i="139"/>
  <c r="E87" i="139" s="1"/>
  <c r="F87" i="139" s="1"/>
  <c r="G87" i="139" s="1"/>
  <c r="S86" i="139"/>
  <c r="D86" i="139"/>
  <c r="E86" i="139" s="1"/>
  <c r="F86" i="139" s="1"/>
  <c r="G86" i="139" s="1"/>
  <c r="S85" i="139"/>
  <c r="D85" i="139"/>
  <c r="E85" i="139" s="1"/>
  <c r="F85" i="139" s="1"/>
  <c r="G85" i="139" s="1"/>
  <c r="S84" i="139"/>
  <c r="E84" i="139"/>
  <c r="F84" i="139" s="1"/>
  <c r="G84" i="139" s="1"/>
  <c r="S83" i="139"/>
  <c r="E83" i="139"/>
  <c r="F83" i="139" s="1"/>
  <c r="G83" i="139" s="1"/>
  <c r="S82" i="139"/>
  <c r="E82" i="139"/>
  <c r="F82" i="139" s="1"/>
  <c r="G82" i="139" s="1"/>
  <c r="S81" i="139"/>
  <c r="E81" i="139"/>
  <c r="F81" i="139" s="1"/>
  <c r="G81" i="139" s="1"/>
  <c r="S80" i="139"/>
  <c r="E80" i="139"/>
  <c r="F80" i="139" s="1"/>
  <c r="G80" i="139" s="1"/>
  <c r="S79" i="139"/>
  <c r="S78" i="139"/>
  <c r="AG77" i="139"/>
  <c r="S77" i="139"/>
  <c r="AG76" i="139"/>
  <c r="S76" i="139"/>
  <c r="AG75" i="139"/>
  <c r="S75" i="139"/>
  <c r="AG74" i="139"/>
  <c r="S74" i="139"/>
  <c r="AG73" i="139"/>
  <c r="S73" i="139"/>
  <c r="AG72" i="139"/>
  <c r="S72" i="139"/>
  <c r="AG71" i="139"/>
  <c r="S71" i="139"/>
  <c r="AG70" i="139"/>
  <c r="S70" i="139"/>
  <c r="AG69" i="139"/>
  <c r="S69" i="139"/>
  <c r="AG68" i="139"/>
  <c r="S68" i="139"/>
  <c r="AG67" i="139"/>
  <c r="S67" i="139"/>
  <c r="AG66" i="139"/>
  <c r="S66" i="139"/>
  <c r="AG65" i="139"/>
  <c r="S65" i="139"/>
  <c r="AG64" i="139"/>
  <c r="S64" i="139"/>
  <c r="AG63" i="139"/>
  <c r="S63" i="139"/>
  <c r="AG62" i="139"/>
  <c r="S62" i="139"/>
  <c r="AG61" i="139"/>
  <c r="S61" i="139"/>
  <c r="AG60" i="139"/>
  <c r="S60" i="139"/>
  <c r="AG59" i="139"/>
  <c r="S59" i="139"/>
  <c r="AG58" i="139"/>
  <c r="S58" i="139"/>
  <c r="AG57" i="139"/>
  <c r="S57" i="139"/>
  <c r="AG56" i="139"/>
  <c r="S56" i="139"/>
  <c r="AG55" i="139"/>
  <c r="S55" i="139"/>
  <c r="AG54" i="139"/>
  <c r="S54" i="139"/>
  <c r="AG53" i="139"/>
  <c r="S53" i="139"/>
  <c r="AG52" i="139"/>
  <c r="S52" i="139"/>
  <c r="AG51" i="139"/>
  <c r="S51" i="139"/>
  <c r="AG50" i="139"/>
  <c r="S50" i="139"/>
  <c r="AG49" i="139"/>
  <c r="S49" i="139"/>
  <c r="D49" i="139"/>
  <c r="E49" i="139" s="1"/>
  <c r="F49" i="139" s="1"/>
  <c r="G49" i="139" s="1"/>
  <c r="AG48" i="139"/>
  <c r="S48" i="139"/>
  <c r="D48" i="139"/>
  <c r="E48" i="139" s="1"/>
  <c r="F48" i="139" s="1"/>
  <c r="G48" i="139" s="1"/>
  <c r="AG47" i="139"/>
  <c r="S47" i="139"/>
  <c r="D47" i="139"/>
  <c r="E47" i="139" s="1"/>
  <c r="F47" i="139" s="1"/>
  <c r="G47" i="139" s="1"/>
  <c r="AG46" i="139"/>
  <c r="S46" i="139"/>
  <c r="D46" i="139"/>
  <c r="E46" i="139" s="1"/>
  <c r="F46" i="139" s="1"/>
  <c r="G46" i="139" s="1"/>
  <c r="AG45" i="139"/>
  <c r="S45" i="139"/>
  <c r="AG44" i="139"/>
  <c r="S44" i="139"/>
  <c r="AG43" i="139"/>
  <c r="S43" i="139"/>
  <c r="AG42" i="139"/>
  <c r="S42" i="139"/>
  <c r="AG41" i="139"/>
  <c r="S41" i="139"/>
  <c r="AG40" i="139"/>
  <c r="S40" i="139"/>
  <c r="AG39" i="139"/>
  <c r="S39" i="139"/>
  <c r="AG38" i="139"/>
  <c r="S38" i="139"/>
  <c r="AG37" i="139"/>
  <c r="S37" i="139"/>
  <c r="AG36" i="139"/>
  <c r="S36" i="139"/>
  <c r="AG35" i="139"/>
  <c r="S35" i="139"/>
  <c r="AG34" i="139"/>
  <c r="S34" i="139"/>
  <c r="AG33" i="139"/>
  <c r="S33" i="139"/>
  <c r="AG32" i="139"/>
  <c r="S32" i="139"/>
  <c r="D32" i="139"/>
  <c r="E32" i="139" s="1"/>
  <c r="F32" i="139" s="1"/>
  <c r="G32" i="139" s="1"/>
  <c r="AG31" i="139"/>
  <c r="S31" i="139"/>
  <c r="AG30" i="139"/>
  <c r="S30" i="139"/>
  <c r="AG29" i="139"/>
  <c r="S29" i="139"/>
  <c r="AG28" i="139"/>
  <c r="S28" i="139"/>
  <c r="AG27" i="139"/>
  <c r="S27" i="139"/>
  <c r="AG26" i="139"/>
  <c r="S26" i="139"/>
  <c r="AG25" i="139"/>
  <c r="S25" i="139"/>
  <c r="AG24" i="139"/>
  <c r="S24" i="139"/>
  <c r="AG23" i="139"/>
  <c r="S23" i="139"/>
  <c r="AG22" i="139"/>
  <c r="S22" i="139"/>
  <c r="AG21" i="139"/>
  <c r="S21" i="139"/>
  <c r="AG20" i="139"/>
  <c r="S20" i="139"/>
  <c r="D20" i="139"/>
  <c r="E20" i="139" s="1"/>
  <c r="F20" i="139" s="1"/>
  <c r="G20" i="139" s="1"/>
  <c r="AG19" i="139"/>
  <c r="S19" i="139"/>
  <c r="AG18" i="139"/>
  <c r="S18" i="139"/>
  <c r="AG17" i="139"/>
  <c r="S17" i="139"/>
  <c r="AG16" i="139"/>
  <c r="S16" i="139"/>
  <c r="AG15" i="139"/>
  <c r="S15" i="139"/>
  <c r="E15" i="139"/>
  <c r="F15" i="139" s="1"/>
  <c r="G15" i="139" s="1"/>
  <c r="AG14" i="139"/>
  <c r="S14" i="139"/>
  <c r="AG13" i="139"/>
  <c r="S13" i="139"/>
  <c r="AG12" i="139"/>
  <c r="S12" i="139"/>
  <c r="AG10" i="139"/>
  <c r="S10" i="139"/>
  <c r="D10" i="139"/>
  <c r="E10" i="139" s="1"/>
  <c r="F10" i="139" s="1"/>
  <c r="G10" i="139" s="1"/>
  <c r="AG9" i="139"/>
  <c r="S9" i="139"/>
  <c r="D9" i="139"/>
  <c r="E9" i="139" s="1"/>
  <c r="F9" i="139" s="1"/>
  <c r="G9" i="139" s="1"/>
  <c r="AG8" i="139"/>
  <c r="S8" i="139"/>
  <c r="AG7" i="139"/>
  <c r="S7" i="139"/>
  <c r="D7" i="139"/>
  <c r="E7" i="139" s="1"/>
  <c r="F7" i="139" s="1"/>
  <c r="G7" i="139" s="1"/>
  <c r="AG6" i="139"/>
  <c r="S6" i="139"/>
  <c r="D6" i="139"/>
  <c r="E6" i="139" s="1"/>
  <c r="F6" i="139" s="1"/>
  <c r="G6" i="139" s="1"/>
  <c r="AG5" i="139"/>
  <c r="S5" i="139"/>
  <c r="AG4" i="139"/>
  <c r="S4" i="139"/>
  <c r="D4" i="139"/>
  <c r="E4" i="139" s="1"/>
  <c r="F4" i="139" s="1"/>
  <c r="G4" i="139" s="1"/>
  <c r="DR457" i="112"/>
  <c r="DR456" i="112"/>
  <c r="HH520" i="112"/>
  <c r="DK503" i="112" l="1"/>
  <c r="EB504" i="112"/>
  <c r="EC504" i="112" s="1"/>
  <c r="FT505" i="112"/>
  <c r="FT503" i="112"/>
  <c r="FT506" i="112"/>
  <c r="FT504" i="112"/>
  <c r="EB506" i="112"/>
  <c r="EC506" i="112" s="1"/>
  <c r="DL504" i="112"/>
  <c r="EA504" i="112" s="1"/>
  <c r="A1" i="140" a="1"/>
  <c r="A1" i="140" s="1"/>
  <c r="FU504" i="112"/>
  <c r="DY506" i="112"/>
  <c r="DX503" i="112"/>
  <c r="DX506" i="112"/>
  <c r="DZ504" i="112"/>
  <c r="FU503" i="112"/>
  <c r="EK506" i="112"/>
  <c r="EG505" i="112"/>
  <c r="EH505" i="112" s="1"/>
  <c r="EB505" i="112"/>
  <c r="EC505" i="112" s="1"/>
  <c r="HU505" i="112"/>
  <c r="EI506" i="112"/>
  <c r="EJ506" i="112" s="1"/>
  <c r="DY505" i="112"/>
  <c r="HW506" i="112"/>
  <c r="DZ506" i="112"/>
  <c r="DX505" i="112"/>
  <c r="FU505" i="112"/>
  <c r="HU506" i="112"/>
  <c r="EF505" i="112"/>
  <c r="AN150" i="121"/>
  <c r="EG506" i="112"/>
  <c r="EH506" i="112" s="1"/>
  <c r="ED505" i="112"/>
  <c r="EE505" i="112" s="1"/>
  <c r="EK504" i="112"/>
  <c r="FU506" i="112"/>
  <c r="EF506" i="112"/>
  <c r="EK505" i="112"/>
  <c r="DL506" i="112"/>
  <c r="EA506" i="112" s="1"/>
  <c r="ED506" i="112"/>
  <c r="EE506" i="112" s="1"/>
  <c r="DY504" i="112"/>
  <c r="EI505" i="112"/>
  <c r="EJ505" i="112" s="1"/>
  <c r="DZ505" i="112"/>
  <c r="M4" i="138"/>
  <c r="M129" i="138"/>
  <c r="M13" i="138"/>
  <c r="N52" i="138"/>
  <c r="O84" i="138"/>
  <c r="M85" i="138"/>
  <c r="N121" i="138"/>
  <c r="N29" i="138"/>
  <c r="O64" i="138"/>
  <c r="M160" i="138"/>
  <c r="M120" i="138"/>
  <c r="M41" i="138"/>
  <c r="N4" i="138"/>
  <c r="M113" i="138"/>
  <c r="N161" i="138"/>
  <c r="N105" i="138"/>
  <c r="O168" i="138"/>
  <c r="M148" i="138"/>
  <c r="M69" i="138"/>
  <c r="M36" i="138"/>
  <c r="O37" i="138"/>
  <c r="M29" i="138"/>
  <c r="N149" i="138"/>
  <c r="N85" i="138"/>
  <c r="O112" i="138"/>
  <c r="O21" i="138"/>
  <c r="M101" i="138"/>
  <c r="N80" i="138"/>
  <c r="O96" i="138"/>
  <c r="O12" i="138"/>
  <c r="M136" i="138"/>
  <c r="N137" i="138"/>
  <c r="G169" i="138"/>
  <c r="F169" i="138"/>
  <c r="G113" i="138"/>
  <c r="F113" i="138"/>
  <c r="M139" i="138"/>
  <c r="N139" i="138"/>
  <c r="O139" i="138"/>
  <c r="G161" i="138"/>
  <c r="F161" i="138"/>
  <c r="G137" i="138"/>
  <c r="F137" i="138"/>
  <c r="G101" i="138"/>
  <c r="F101" i="138"/>
  <c r="G149" i="138"/>
  <c r="F149" i="138"/>
  <c r="G121" i="138"/>
  <c r="F121" i="138"/>
  <c r="M143" i="138"/>
  <c r="O143" i="138"/>
  <c r="N143" i="138"/>
  <c r="F129" i="138"/>
  <c r="F95" i="138"/>
  <c r="J95" i="138"/>
  <c r="O153" i="138"/>
  <c r="N153" i="138"/>
  <c r="M153" i="138"/>
  <c r="G151" i="138"/>
  <c r="J151" i="138"/>
  <c r="O173" i="138"/>
  <c r="N173" i="138"/>
  <c r="M173" i="138"/>
  <c r="O165" i="138"/>
  <c r="N165" i="138"/>
  <c r="M165" i="138"/>
  <c r="O157" i="138"/>
  <c r="N157" i="138"/>
  <c r="M157" i="138"/>
  <c r="O145" i="138"/>
  <c r="N145" i="138"/>
  <c r="M145" i="138"/>
  <c r="O141" i="138"/>
  <c r="N141" i="138"/>
  <c r="M141" i="138"/>
  <c r="O133" i="138"/>
  <c r="N133" i="138"/>
  <c r="M133" i="138"/>
  <c r="O125" i="138"/>
  <c r="N125" i="138"/>
  <c r="M125" i="138"/>
  <c r="O117" i="138"/>
  <c r="N117" i="138"/>
  <c r="M117" i="138"/>
  <c r="O109" i="138"/>
  <c r="N109" i="138"/>
  <c r="M109" i="138"/>
  <c r="O97" i="138"/>
  <c r="M97" i="138"/>
  <c r="N97" i="138"/>
  <c r="O89" i="138"/>
  <c r="N89" i="138"/>
  <c r="M89" i="138"/>
  <c r="O81" i="138"/>
  <c r="M81" i="138"/>
  <c r="N81" i="138"/>
  <c r="O73" i="138"/>
  <c r="N73" i="138"/>
  <c r="M73" i="138"/>
  <c r="O65" i="138"/>
  <c r="M65" i="138"/>
  <c r="N65" i="138"/>
  <c r="O57" i="138"/>
  <c r="N57" i="138"/>
  <c r="M57" i="138"/>
  <c r="O53" i="138"/>
  <c r="M53" i="138"/>
  <c r="N53" i="138"/>
  <c r="O45" i="138"/>
  <c r="N45" i="138"/>
  <c r="M45" i="138"/>
  <c r="O33" i="138"/>
  <c r="N33" i="138"/>
  <c r="M33" i="138"/>
  <c r="O25" i="138"/>
  <c r="M25" i="138"/>
  <c r="N25" i="138"/>
  <c r="O17" i="138"/>
  <c r="N17" i="138"/>
  <c r="M17" i="138"/>
  <c r="O9" i="138"/>
  <c r="M9" i="138"/>
  <c r="N9" i="138"/>
  <c r="G105" i="138"/>
  <c r="F105" i="138"/>
  <c r="G93" i="138"/>
  <c r="F93" i="138"/>
  <c r="M171" i="138"/>
  <c r="O171" i="138"/>
  <c r="N171" i="138"/>
  <c r="M163" i="138"/>
  <c r="N163" i="138"/>
  <c r="O163" i="138"/>
  <c r="M151" i="138"/>
  <c r="N151" i="138"/>
  <c r="O151" i="138"/>
  <c r="M131" i="138"/>
  <c r="O131" i="138"/>
  <c r="N131" i="138"/>
  <c r="M123" i="138"/>
  <c r="N123" i="138"/>
  <c r="O123" i="138"/>
  <c r="M115" i="138"/>
  <c r="O115" i="138"/>
  <c r="N115" i="138"/>
  <c r="M107" i="138"/>
  <c r="N107" i="138"/>
  <c r="O107" i="138"/>
  <c r="M103" i="138"/>
  <c r="O103" i="138"/>
  <c r="N103" i="138"/>
  <c r="N95" i="138"/>
  <c r="M95" i="138"/>
  <c r="O95" i="138"/>
  <c r="N88" i="138"/>
  <c r="M88" i="138"/>
  <c r="N72" i="138"/>
  <c r="M72" i="138"/>
  <c r="N56" i="138"/>
  <c r="M56" i="138"/>
  <c r="N44" i="138"/>
  <c r="M44" i="138"/>
  <c r="O40" i="138"/>
  <c r="M40" i="138"/>
  <c r="O32" i="138"/>
  <c r="N32" i="138"/>
  <c r="M32" i="138"/>
  <c r="O24" i="138"/>
  <c r="M24" i="138"/>
  <c r="O16" i="138"/>
  <c r="N16" i="138"/>
  <c r="M16" i="138"/>
  <c r="O8" i="138"/>
  <c r="M8" i="138"/>
  <c r="M161" i="138"/>
  <c r="P161" i="138" s="1"/>
  <c r="M149" i="138"/>
  <c r="M137" i="138"/>
  <c r="M121" i="138"/>
  <c r="M105" i="138"/>
  <c r="M37" i="138"/>
  <c r="P37" i="138" s="1"/>
  <c r="M21" i="138"/>
  <c r="P21" i="138" s="1"/>
  <c r="M5" i="138"/>
  <c r="N160" i="138"/>
  <c r="P160" i="138" s="1"/>
  <c r="N148" i="138"/>
  <c r="P148" i="138" s="1"/>
  <c r="N136" i="138"/>
  <c r="N120" i="138"/>
  <c r="P120" i="138" s="1"/>
  <c r="O164" i="138"/>
  <c r="O140" i="138"/>
  <c r="O108" i="138"/>
  <c r="O80" i="138"/>
  <c r="P80" i="138" s="1"/>
  <c r="O52" i="138"/>
  <c r="P52" i="138" s="1"/>
  <c r="O5" i="138"/>
  <c r="N87" i="138"/>
  <c r="M87" i="138"/>
  <c r="O87" i="138"/>
  <c r="N55" i="138"/>
  <c r="M55" i="138"/>
  <c r="O55" i="138"/>
  <c r="N7" i="138"/>
  <c r="O7" i="138"/>
  <c r="M7" i="138"/>
  <c r="O170" i="138"/>
  <c r="N170" i="138"/>
  <c r="O162" i="138"/>
  <c r="N162" i="138"/>
  <c r="O150" i="138"/>
  <c r="N150" i="138"/>
  <c r="O138" i="138"/>
  <c r="N138" i="138"/>
  <c r="O130" i="138"/>
  <c r="N130" i="138"/>
  <c r="O122" i="138"/>
  <c r="N122" i="138"/>
  <c r="O114" i="138"/>
  <c r="N114" i="138"/>
  <c r="O106" i="138"/>
  <c r="N106" i="138"/>
  <c r="O102" i="138"/>
  <c r="N102" i="138"/>
  <c r="O94" i="138"/>
  <c r="N94" i="138"/>
  <c r="O86" i="138"/>
  <c r="N86" i="138"/>
  <c r="O78" i="138"/>
  <c r="N78" i="138"/>
  <c r="O70" i="138"/>
  <c r="N70" i="138"/>
  <c r="O62" i="138"/>
  <c r="N62" i="138"/>
  <c r="O50" i="138"/>
  <c r="N50" i="138"/>
  <c r="O42" i="138"/>
  <c r="N42" i="138"/>
  <c r="O38" i="138"/>
  <c r="N38" i="138"/>
  <c r="O30" i="138"/>
  <c r="N30" i="138"/>
  <c r="O22" i="138"/>
  <c r="N22" i="138"/>
  <c r="O14" i="138"/>
  <c r="N14" i="138"/>
  <c r="O6" i="138"/>
  <c r="N6" i="138"/>
  <c r="N172" i="138"/>
  <c r="N144" i="138"/>
  <c r="N132" i="138"/>
  <c r="N116" i="138"/>
  <c r="N104" i="138"/>
  <c r="O132" i="138"/>
  <c r="O104" i="138"/>
  <c r="O72" i="138"/>
  <c r="O44" i="138"/>
  <c r="N39" i="138"/>
  <c r="O39" i="138"/>
  <c r="M39" i="138"/>
  <c r="N93" i="138"/>
  <c r="O93" i="138"/>
  <c r="N77" i="138"/>
  <c r="O77" i="138"/>
  <c r="N61" i="138"/>
  <c r="O61" i="138"/>
  <c r="N49" i="138"/>
  <c r="O49" i="138"/>
  <c r="M170" i="138"/>
  <c r="M130" i="138"/>
  <c r="M114" i="138"/>
  <c r="M102" i="138"/>
  <c r="M86" i="138"/>
  <c r="M70" i="138"/>
  <c r="M42" i="138"/>
  <c r="M30" i="138"/>
  <c r="M14" i="138"/>
  <c r="N169" i="138"/>
  <c r="N129" i="138"/>
  <c r="P129" i="138" s="1"/>
  <c r="N113" i="138"/>
  <c r="P113" i="138" s="1"/>
  <c r="N101" i="138"/>
  <c r="P101" i="138" s="1"/>
  <c r="N69" i="138"/>
  <c r="P69" i="138" s="1"/>
  <c r="N41" i="138"/>
  <c r="P41" i="138" s="1"/>
  <c r="N13" i="138"/>
  <c r="P13" i="138" s="1"/>
  <c r="O156" i="138"/>
  <c r="O128" i="138"/>
  <c r="O100" i="138"/>
  <c r="O68" i="138"/>
  <c r="N63" i="138"/>
  <c r="M63" i="138"/>
  <c r="N31" i="138"/>
  <c r="O31" i="138"/>
  <c r="M31" i="138"/>
  <c r="N92" i="138"/>
  <c r="O92" i="138"/>
  <c r="N76" i="138"/>
  <c r="O76" i="138"/>
  <c r="N60" i="138"/>
  <c r="O60" i="138"/>
  <c r="N48" i="138"/>
  <c r="O48" i="138"/>
  <c r="N28" i="138"/>
  <c r="O28" i="138"/>
  <c r="N20" i="138"/>
  <c r="O20" i="138"/>
  <c r="M169" i="138"/>
  <c r="N168" i="138"/>
  <c r="N156" i="138"/>
  <c r="N128" i="138"/>
  <c r="N112" i="138"/>
  <c r="O152" i="138"/>
  <c r="O124" i="138"/>
  <c r="N79" i="138"/>
  <c r="M79" i="138"/>
  <c r="N51" i="138"/>
  <c r="M51" i="138"/>
  <c r="N23" i="138"/>
  <c r="O23" i="138"/>
  <c r="M23" i="138"/>
  <c r="O167" i="138"/>
  <c r="M167" i="138"/>
  <c r="O159" i="138"/>
  <c r="M159" i="138"/>
  <c r="O155" i="138"/>
  <c r="M155" i="138"/>
  <c r="O147" i="138"/>
  <c r="M147" i="138"/>
  <c r="O135" i="138"/>
  <c r="M135" i="138"/>
  <c r="O127" i="138"/>
  <c r="M127" i="138"/>
  <c r="O119" i="138"/>
  <c r="M119" i="138"/>
  <c r="O111" i="138"/>
  <c r="M111" i="138"/>
  <c r="N99" i="138"/>
  <c r="O99" i="138"/>
  <c r="M99" i="138"/>
  <c r="N91" i="138"/>
  <c r="O91" i="138"/>
  <c r="M91" i="138"/>
  <c r="N83" i="138"/>
  <c r="O83" i="138"/>
  <c r="M83" i="138"/>
  <c r="N75" i="138"/>
  <c r="O75" i="138"/>
  <c r="M75" i="138"/>
  <c r="N67" i="138"/>
  <c r="O67" i="138"/>
  <c r="M67" i="138"/>
  <c r="N59" i="138"/>
  <c r="O59" i="138"/>
  <c r="M59" i="138"/>
  <c r="N47" i="138"/>
  <c r="O47" i="138"/>
  <c r="M47" i="138"/>
  <c r="N35" i="138"/>
  <c r="O35" i="138"/>
  <c r="M35" i="138"/>
  <c r="N27" i="138"/>
  <c r="O27" i="138"/>
  <c r="M27" i="138"/>
  <c r="N19" i="138"/>
  <c r="O19" i="138"/>
  <c r="M19" i="138"/>
  <c r="N11" i="138"/>
  <c r="O11" i="138"/>
  <c r="M11" i="138"/>
  <c r="M100" i="138"/>
  <c r="M84" i="138"/>
  <c r="P84" i="138" s="1"/>
  <c r="M68" i="138"/>
  <c r="M28" i="138"/>
  <c r="M12" i="138"/>
  <c r="N167" i="138"/>
  <c r="N155" i="138"/>
  <c r="N127" i="138"/>
  <c r="N111" i="138"/>
  <c r="N96" i="138"/>
  <c r="P96" i="138" s="1"/>
  <c r="N64" i="138"/>
  <c r="N40" i="138"/>
  <c r="N8" i="138"/>
  <c r="O63" i="138"/>
  <c r="O36" i="138"/>
  <c r="N71" i="138"/>
  <c r="M71" i="138"/>
  <c r="O71" i="138"/>
  <c r="N43" i="138"/>
  <c r="M43" i="138"/>
  <c r="O43" i="138"/>
  <c r="N15" i="138"/>
  <c r="O15" i="138"/>
  <c r="M15" i="138"/>
  <c r="O174" i="138"/>
  <c r="M174" i="138"/>
  <c r="N174" i="138"/>
  <c r="O166" i="138"/>
  <c r="M166" i="138"/>
  <c r="N166" i="138"/>
  <c r="O158" i="138"/>
  <c r="M158" i="138"/>
  <c r="N158" i="138"/>
  <c r="O154" i="138"/>
  <c r="M154" i="138"/>
  <c r="N154" i="138"/>
  <c r="O146" i="138"/>
  <c r="M146" i="138"/>
  <c r="N146" i="138"/>
  <c r="O142" i="138"/>
  <c r="M142" i="138"/>
  <c r="N142" i="138"/>
  <c r="O134" i="138"/>
  <c r="M134" i="138"/>
  <c r="N134" i="138"/>
  <c r="O126" i="138"/>
  <c r="M126" i="138"/>
  <c r="N126" i="138"/>
  <c r="O118" i="138"/>
  <c r="M118" i="138"/>
  <c r="N118" i="138"/>
  <c r="O110" i="138"/>
  <c r="M110" i="138"/>
  <c r="N110" i="138"/>
  <c r="N98" i="138"/>
  <c r="O98" i="138"/>
  <c r="M98" i="138"/>
  <c r="N90" i="138"/>
  <c r="O90" i="138"/>
  <c r="M90" i="138"/>
  <c r="N82" i="138"/>
  <c r="O82" i="138"/>
  <c r="M82" i="138"/>
  <c r="N74" i="138"/>
  <c r="O74" i="138"/>
  <c r="M74" i="138"/>
  <c r="N66" i="138"/>
  <c r="O66" i="138"/>
  <c r="M66" i="138"/>
  <c r="N58" i="138"/>
  <c r="O58" i="138"/>
  <c r="M58" i="138"/>
  <c r="N54" i="138"/>
  <c r="O54" i="138"/>
  <c r="M54" i="138"/>
  <c r="N46" i="138"/>
  <c r="O46" i="138"/>
  <c r="M46" i="138"/>
  <c r="N34" i="138"/>
  <c r="O34" i="138"/>
  <c r="M34" i="138"/>
  <c r="N26" i="138"/>
  <c r="O26" i="138"/>
  <c r="M26" i="138"/>
  <c r="N18" i="138"/>
  <c r="O18" i="138"/>
  <c r="M18" i="138"/>
  <c r="N10" i="138"/>
  <c r="O10" i="138"/>
  <c r="M10" i="138"/>
  <c r="N164" i="138"/>
  <c r="N152" i="138"/>
  <c r="P152" i="138" s="1"/>
  <c r="N140" i="138"/>
  <c r="P140" i="138" s="1"/>
  <c r="N124" i="138"/>
  <c r="N108" i="138"/>
  <c r="P108" i="138" s="1"/>
  <c r="O172" i="138"/>
  <c r="O144" i="138"/>
  <c r="O116" i="138"/>
  <c r="I174" i="138"/>
  <c r="J174" i="138"/>
  <c r="I134" i="138"/>
  <c r="J134" i="138"/>
  <c r="I98" i="138"/>
  <c r="J98" i="138"/>
  <c r="I58" i="138"/>
  <c r="F58" i="138"/>
  <c r="J58" i="138"/>
  <c r="H163" i="138"/>
  <c r="I163" i="138"/>
  <c r="I14" i="138"/>
  <c r="F14" i="138"/>
  <c r="J14" i="138"/>
  <c r="H6" i="138"/>
  <c r="J6" i="138"/>
  <c r="I6" i="138"/>
  <c r="F6" i="138"/>
  <c r="H168" i="138"/>
  <c r="I168" i="138"/>
  <c r="J168" i="138"/>
  <c r="H160" i="138"/>
  <c r="I160" i="138"/>
  <c r="J160" i="138"/>
  <c r="H156" i="138"/>
  <c r="I156" i="138"/>
  <c r="J156" i="138"/>
  <c r="H148" i="138"/>
  <c r="I148" i="138"/>
  <c r="J148" i="138"/>
  <c r="H136" i="138"/>
  <c r="I136" i="138"/>
  <c r="J136" i="138"/>
  <c r="H128" i="138"/>
  <c r="I128" i="138"/>
  <c r="J128" i="138"/>
  <c r="H120" i="138"/>
  <c r="I120" i="138"/>
  <c r="J120" i="138"/>
  <c r="H112" i="138"/>
  <c r="I112" i="138"/>
  <c r="J112" i="138"/>
  <c r="H100" i="138"/>
  <c r="I100" i="138"/>
  <c r="J100" i="138"/>
  <c r="H92" i="138"/>
  <c r="I92" i="138"/>
  <c r="J92" i="138"/>
  <c r="H84" i="138"/>
  <c r="I84" i="138"/>
  <c r="F84" i="138"/>
  <c r="J84" i="138"/>
  <c r="H76" i="138"/>
  <c r="I76" i="138"/>
  <c r="F76" i="138"/>
  <c r="J76" i="138"/>
  <c r="H68" i="138"/>
  <c r="I68" i="138"/>
  <c r="F68" i="138"/>
  <c r="J68" i="138"/>
  <c r="H60" i="138"/>
  <c r="I60" i="138"/>
  <c r="F60" i="138"/>
  <c r="J60" i="138"/>
  <c r="H48" i="138"/>
  <c r="I48" i="138"/>
  <c r="F48" i="138"/>
  <c r="J48" i="138"/>
  <c r="H36" i="138"/>
  <c r="I36" i="138"/>
  <c r="F36" i="138"/>
  <c r="J36" i="138"/>
  <c r="H28" i="138"/>
  <c r="I28" i="138"/>
  <c r="F28" i="138"/>
  <c r="J28" i="138"/>
  <c r="H20" i="138"/>
  <c r="I20" i="138"/>
  <c r="F20" i="138"/>
  <c r="J20" i="138"/>
  <c r="G85" i="138"/>
  <c r="F171" i="138"/>
  <c r="F163" i="138"/>
  <c r="F151" i="138"/>
  <c r="F143" i="138"/>
  <c r="F139" i="138"/>
  <c r="F107" i="138"/>
  <c r="F103" i="138"/>
  <c r="H158" i="138"/>
  <c r="H46" i="138"/>
  <c r="J163" i="138"/>
  <c r="F13" i="138"/>
  <c r="J13" i="138"/>
  <c r="H13" i="138"/>
  <c r="J5" i="138"/>
  <c r="I5" i="138"/>
  <c r="F5" i="138"/>
  <c r="H167" i="138"/>
  <c r="I167" i="138"/>
  <c r="J167" i="138"/>
  <c r="H159" i="138"/>
  <c r="I159" i="138"/>
  <c r="J159" i="138"/>
  <c r="H155" i="138"/>
  <c r="I155" i="138"/>
  <c r="J155" i="138"/>
  <c r="H147" i="138"/>
  <c r="I147" i="138"/>
  <c r="J147" i="138"/>
  <c r="H135" i="138"/>
  <c r="I135" i="138"/>
  <c r="J135" i="138"/>
  <c r="H127" i="138"/>
  <c r="I127" i="138"/>
  <c r="J127" i="138"/>
  <c r="H119" i="138"/>
  <c r="I119" i="138"/>
  <c r="J119" i="138"/>
  <c r="H111" i="138"/>
  <c r="I111" i="138"/>
  <c r="J111" i="138"/>
  <c r="H99" i="138"/>
  <c r="I99" i="138"/>
  <c r="J99" i="138"/>
  <c r="H91" i="138"/>
  <c r="I91" i="138"/>
  <c r="J91" i="138"/>
  <c r="H83" i="138"/>
  <c r="I83" i="138"/>
  <c r="F83" i="138"/>
  <c r="J83" i="138"/>
  <c r="H75" i="138"/>
  <c r="I75" i="138"/>
  <c r="F75" i="138"/>
  <c r="J75" i="138"/>
  <c r="H67" i="138"/>
  <c r="I67" i="138"/>
  <c r="F67" i="138"/>
  <c r="J67" i="138"/>
  <c r="H59" i="138"/>
  <c r="I59" i="138"/>
  <c r="F59" i="138"/>
  <c r="J59" i="138"/>
  <c r="H47" i="138"/>
  <c r="I47" i="138"/>
  <c r="F47" i="138"/>
  <c r="J47" i="138"/>
  <c r="H35" i="138"/>
  <c r="I35" i="138"/>
  <c r="F35" i="138"/>
  <c r="J35" i="138"/>
  <c r="H27" i="138"/>
  <c r="I27" i="138"/>
  <c r="F27" i="138"/>
  <c r="J27" i="138"/>
  <c r="H19" i="138"/>
  <c r="I19" i="138"/>
  <c r="F19" i="138"/>
  <c r="J19" i="138"/>
  <c r="H154" i="138"/>
  <c r="H98" i="138"/>
  <c r="I166" i="138"/>
  <c r="J166" i="138"/>
  <c r="I142" i="138"/>
  <c r="J142" i="138"/>
  <c r="I74" i="138"/>
  <c r="F74" i="138"/>
  <c r="J74" i="138"/>
  <c r="I18" i="138"/>
  <c r="F18" i="138"/>
  <c r="J18" i="138"/>
  <c r="H146" i="138"/>
  <c r="H90" i="138"/>
  <c r="H34" i="138"/>
  <c r="H11" i="138"/>
  <c r="I11" i="138"/>
  <c r="F11" i="138"/>
  <c r="J173" i="138"/>
  <c r="H173" i="138"/>
  <c r="J165" i="138"/>
  <c r="H165" i="138"/>
  <c r="J157" i="138"/>
  <c r="H157" i="138"/>
  <c r="J153" i="138"/>
  <c r="H153" i="138"/>
  <c r="J145" i="138"/>
  <c r="H145" i="138"/>
  <c r="J141" i="138"/>
  <c r="H141" i="138"/>
  <c r="J133" i="138"/>
  <c r="H133" i="138"/>
  <c r="J125" i="138"/>
  <c r="H125" i="138"/>
  <c r="J117" i="138"/>
  <c r="H117" i="138"/>
  <c r="J109" i="138"/>
  <c r="H109" i="138"/>
  <c r="J97" i="138"/>
  <c r="H97" i="138"/>
  <c r="F89" i="138"/>
  <c r="J89" i="138"/>
  <c r="H89" i="138"/>
  <c r="F81" i="138"/>
  <c r="J81" i="138"/>
  <c r="H81" i="138"/>
  <c r="F73" i="138"/>
  <c r="J73" i="138"/>
  <c r="H73" i="138"/>
  <c r="F65" i="138"/>
  <c r="J65" i="138"/>
  <c r="H65" i="138"/>
  <c r="F57" i="138"/>
  <c r="J57" i="138"/>
  <c r="H57" i="138"/>
  <c r="F53" i="138"/>
  <c r="J53" i="138"/>
  <c r="H53" i="138"/>
  <c r="F45" i="138"/>
  <c r="J45" i="138"/>
  <c r="H45" i="138"/>
  <c r="F33" i="138"/>
  <c r="J33" i="138"/>
  <c r="H33" i="138"/>
  <c r="F25" i="138"/>
  <c r="J25" i="138"/>
  <c r="H25" i="138"/>
  <c r="G174" i="138"/>
  <c r="G166" i="138"/>
  <c r="G158" i="138"/>
  <c r="G154" i="138"/>
  <c r="G142" i="138"/>
  <c r="G134" i="138"/>
  <c r="G126" i="138"/>
  <c r="G118" i="138"/>
  <c r="G98" i="138"/>
  <c r="G90" i="138"/>
  <c r="G82" i="138"/>
  <c r="G74" i="138"/>
  <c r="G66" i="138"/>
  <c r="G58" i="138"/>
  <c r="G26" i="138"/>
  <c r="G18" i="138"/>
  <c r="G14" i="138"/>
  <c r="G5" i="138"/>
  <c r="F168" i="138"/>
  <c r="F160" i="138"/>
  <c r="F156" i="138"/>
  <c r="F148" i="138"/>
  <c r="F136" i="138"/>
  <c r="F128" i="138"/>
  <c r="F120" i="138"/>
  <c r="F112" i="138"/>
  <c r="F100" i="138"/>
  <c r="F92" i="138"/>
  <c r="H142" i="138"/>
  <c r="I145" i="138"/>
  <c r="I89" i="138"/>
  <c r="I33" i="138"/>
  <c r="J12" i="138"/>
  <c r="H12" i="138"/>
  <c r="I12" i="138"/>
  <c r="I146" i="138"/>
  <c r="J146" i="138"/>
  <c r="I110" i="138"/>
  <c r="J110" i="138"/>
  <c r="I82" i="138"/>
  <c r="F82" i="138"/>
  <c r="J82" i="138"/>
  <c r="I54" i="138"/>
  <c r="F54" i="138"/>
  <c r="J54" i="138"/>
  <c r="I26" i="138"/>
  <c r="F26" i="138"/>
  <c r="J26" i="138"/>
  <c r="H4" i="138"/>
  <c r="J4" i="138"/>
  <c r="I4" i="138"/>
  <c r="H10" i="138"/>
  <c r="I10" i="138"/>
  <c r="F10" i="138"/>
  <c r="J10" i="138"/>
  <c r="J172" i="138"/>
  <c r="H172" i="138"/>
  <c r="I172" i="138"/>
  <c r="J164" i="138"/>
  <c r="H164" i="138"/>
  <c r="I164" i="138"/>
  <c r="J152" i="138"/>
  <c r="H152" i="138"/>
  <c r="I152" i="138"/>
  <c r="J144" i="138"/>
  <c r="H144" i="138"/>
  <c r="I144" i="138"/>
  <c r="J140" i="138"/>
  <c r="H140" i="138"/>
  <c r="I140" i="138"/>
  <c r="J132" i="138"/>
  <c r="H132" i="138"/>
  <c r="I132" i="138"/>
  <c r="J124" i="138"/>
  <c r="H124" i="138"/>
  <c r="I124" i="138"/>
  <c r="J116" i="138"/>
  <c r="H116" i="138"/>
  <c r="I116" i="138"/>
  <c r="J108" i="138"/>
  <c r="H108" i="138"/>
  <c r="I108" i="138"/>
  <c r="J104" i="138"/>
  <c r="H104" i="138"/>
  <c r="I104" i="138"/>
  <c r="J96" i="138"/>
  <c r="H96" i="138"/>
  <c r="I96" i="138"/>
  <c r="J88" i="138"/>
  <c r="H88" i="138"/>
  <c r="I88" i="138"/>
  <c r="J80" i="138"/>
  <c r="H80" i="138"/>
  <c r="I80" i="138"/>
  <c r="J72" i="138"/>
  <c r="H72" i="138"/>
  <c r="I72" i="138"/>
  <c r="J64" i="138"/>
  <c r="H64" i="138"/>
  <c r="I64" i="138"/>
  <c r="J56" i="138"/>
  <c r="H56" i="138"/>
  <c r="I56" i="138"/>
  <c r="J52" i="138"/>
  <c r="H52" i="138"/>
  <c r="I52" i="138"/>
  <c r="J44" i="138"/>
  <c r="H44" i="138"/>
  <c r="I44" i="138"/>
  <c r="J40" i="138"/>
  <c r="H40" i="138"/>
  <c r="I40" i="138"/>
  <c r="J32" i="138"/>
  <c r="H32" i="138"/>
  <c r="I32" i="138"/>
  <c r="J24" i="138"/>
  <c r="H24" i="138"/>
  <c r="I24" i="138"/>
  <c r="G173" i="138"/>
  <c r="G165" i="138"/>
  <c r="G157" i="138"/>
  <c r="G153" i="138"/>
  <c r="G145" i="138"/>
  <c r="G141" i="138"/>
  <c r="G133" i="138"/>
  <c r="G125" i="138"/>
  <c r="G117" i="138"/>
  <c r="G109" i="138"/>
  <c r="G97" i="138"/>
  <c r="G89" i="138"/>
  <c r="G81" i="138"/>
  <c r="G73" i="138"/>
  <c r="G65" i="138"/>
  <c r="G57" i="138"/>
  <c r="G53" i="138"/>
  <c r="G45" i="138"/>
  <c r="G33" i="138"/>
  <c r="G25" i="138"/>
  <c r="G13" i="138"/>
  <c r="F4" i="138"/>
  <c r="F167" i="138"/>
  <c r="F159" i="138"/>
  <c r="F155" i="138"/>
  <c r="F147" i="138"/>
  <c r="F135" i="138"/>
  <c r="F127" i="138"/>
  <c r="F119" i="138"/>
  <c r="F111" i="138"/>
  <c r="F99" i="138"/>
  <c r="F91" i="138"/>
  <c r="F72" i="138"/>
  <c r="H134" i="138"/>
  <c r="H74" i="138"/>
  <c r="H18" i="138"/>
  <c r="I141" i="138"/>
  <c r="I81" i="138"/>
  <c r="I25" i="138"/>
  <c r="H139" i="138"/>
  <c r="I139" i="138"/>
  <c r="H131" i="138"/>
  <c r="I131" i="138"/>
  <c r="H123" i="138"/>
  <c r="I123" i="138"/>
  <c r="H115" i="138"/>
  <c r="I115" i="138"/>
  <c r="H107" i="138"/>
  <c r="I107" i="138"/>
  <c r="H103" i="138"/>
  <c r="I103" i="138"/>
  <c r="H95" i="138"/>
  <c r="I95" i="138"/>
  <c r="H87" i="138"/>
  <c r="I87" i="138"/>
  <c r="H79" i="138"/>
  <c r="I79" i="138"/>
  <c r="F79" i="138"/>
  <c r="H71" i="138"/>
  <c r="I71" i="138"/>
  <c r="F71" i="138"/>
  <c r="H63" i="138"/>
  <c r="I63" i="138"/>
  <c r="F63" i="138"/>
  <c r="H55" i="138"/>
  <c r="I55" i="138"/>
  <c r="F55" i="138"/>
  <c r="H51" i="138"/>
  <c r="I51" i="138"/>
  <c r="F51" i="138"/>
  <c r="H43" i="138"/>
  <c r="I43" i="138"/>
  <c r="F43" i="138"/>
  <c r="H39" i="138"/>
  <c r="I39" i="138"/>
  <c r="F39" i="138"/>
  <c r="H31" i="138"/>
  <c r="I31" i="138"/>
  <c r="F31" i="138"/>
  <c r="H23" i="138"/>
  <c r="I23" i="138"/>
  <c r="F23" i="138"/>
  <c r="G172" i="138"/>
  <c r="G164" i="138"/>
  <c r="G152" i="138"/>
  <c r="G144" i="138"/>
  <c r="G140" i="138"/>
  <c r="G132" i="138"/>
  <c r="G124" i="138"/>
  <c r="G116" i="138"/>
  <c r="G108" i="138"/>
  <c r="G104" i="138"/>
  <c r="G96" i="138"/>
  <c r="G88" i="138"/>
  <c r="G80" i="138"/>
  <c r="G72" i="138"/>
  <c r="G64" i="138"/>
  <c r="G56" i="138"/>
  <c r="G52" i="138"/>
  <c r="G44" i="138"/>
  <c r="G40" i="138"/>
  <c r="G32" i="138"/>
  <c r="G24" i="138"/>
  <c r="G12" i="138"/>
  <c r="F174" i="138"/>
  <c r="F166" i="138"/>
  <c r="F146" i="138"/>
  <c r="F142" i="138"/>
  <c r="F134" i="138"/>
  <c r="F126" i="138"/>
  <c r="F110" i="138"/>
  <c r="F98" i="138"/>
  <c r="F64" i="138"/>
  <c r="F12" i="138"/>
  <c r="H14" i="138"/>
  <c r="I133" i="138"/>
  <c r="I73" i="138"/>
  <c r="J131" i="138"/>
  <c r="J71" i="138"/>
  <c r="I154" i="138"/>
  <c r="J154" i="138"/>
  <c r="I118" i="138"/>
  <c r="J118" i="138"/>
  <c r="I66" i="138"/>
  <c r="F66" i="138"/>
  <c r="J66" i="138"/>
  <c r="I34" i="138"/>
  <c r="F34" i="138"/>
  <c r="J34" i="138"/>
  <c r="F9" i="138"/>
  <c r="J9" i="138"/>
  <c r="I9" i="138"/>
  <c r="H143" i="138"/>
  <c r="I143" i="138"/>
  <c r="H16" i="138"/>
  <c r="I16" i="138"/>
  <c r="F16" i="138"/>
  <c r="J16" i="138"/>
  <c r="H8" i="138"/>
  <c r="J8" i="138"/>
  <c r="I8" i="138"/>
  <c r="F8" i="138"/>
  <c r="H170" i="138"/>
  <c r="I170" i="138"/>
  <c r="J170" i="138"/>
  <c r="H162" i="138"/>
  <c r="I162" i="138"/>
  <c r="J162" i="138"/>
  <c r="H150" i="138"/>
  <c r="I150" i="138"/>
  <c r="J150" i="138"/>
  <c r="H138" i="138"/>
  <c r="I138" i="138"/>
  <c r="J138" i="138"/>
  <c r="H130" i="138"/>
  <c r="I130" i="138"/>
  <c r="J130" i="138"/>
  <c r="H122" i="138"/>
  <c r="I122" i="138"/>
  <c r="J122" i="138"/>
  <c r="H114" i="138"/>
  <c r="I114" i="138"/>
  <c r="J114" i="138"/>
  <c r="H106" i="138"/>
  <c r="I106" i="138"/>
  <c r="J106" i="138"/>
  <c r="H102" i="138"/>
  <c r="I102" i="138"/>
  <c r="J102" i="138"/>
  <c r="H94" i="138"/>
  <c r="I94" i="138"/>
  <c r="J94" i="138"/>
  <c r="H86" i="138"/>
  <c r="I86" i="138"/>
  <c r="J86" i="138"/>
  <c r="H78" i="138"/>
  <c r="I78" i="138"/>
  <c r="J78" i="138"/>
  <c r="H70" i="138"/>
  <c r="I70" i="138"/>
  <c r="F70" i="138"/>
  <c r="J70" i="138"/>
  <c r="H62" i="138"/>
  <c r="I62" i="138"/>
  <c r="F62" i="138"/>
  <c r="J62" i="138"/>
  <c r="H50" i="138"/>
  <c r="I50" i="138"/>
  <c r="F50" i="138"/>
  <c r="J50" i="138"/>
  <c r="H42" i="138"/>
  <c r="I42" i="138"/>
  <c r="F42" i="138"/>
  <c r="J42" i="138"/>
  <c r="H38" i="138"/>
  <c r="I38" i="138"/>
  <c r="F38" i="138"/>
  <c r="J38" i="138"/>
  <c r="H30" i="138"/>
  <c r="I30" i="138"/>
  <c r="F30" i="138"/>
  <c r="J30" i="138"/>
  <c r="H22" i="138"/>
  <c r="I22" i="138"/>
  <c r="F22" i="138"/>
  <c r="J22" i="138"/>
  <c r="G163" i="138"/>
  <c r="G143" i="138"/>
  <c r="G139" i="138"/>
  <c r="G131" i="138"/>
  <c r="G123" i="138"/>
  <c r="G115" i="138"/>
  <c r="G107" i="138"/>
  <c r="G103" i="138"/>
  <c r="G95" i="138"/>
  <c r="G87" i="138"/>
  <c r="G79" i="138"/>
  <c r="G71" i="138"/>
  <c r="G63" i="138"/>
  <c r="G55" i="138"/>
  <c r="G51" i="138"/>
  <c r="G43" i="138"/>
  <c r="G39" i="138"/>
  <c r="G31" i="138"/>
  <c r="G23" i="138"/>
  <c r="G11" i="138"/>
  <c r="F173" i="138"/>
  <c r="F165" i="138"/>
  <c r="F157" i="138"/>
  <c r="F153" i="138"/>
  <c r="F145" i="138"/>
  <c r="F141" i="138"/>
  <c r="F133" i="138"/>
  <c r="F125" i="138"/>
  <c r="F117" i="138"/>
  <c r="F109" i="138"/>
  <c r="F97" i="138"/>
  <c r="F88" i="138"/>
  <c r="F56" i="138"/>
  <c r="H174" i="138"/>
  <c r="H118" i="138"/>
  <c r="H58" i="138"/>
  <c r="H5" i="138"/>
  <c r="I125" i="138"/>
  <c r="I65" i="138"/>
  <c r="I13" i="138"/>
  <c r="J123" i="138"/>
  <c r="J63" i="138"/>
  <c r="J11" i="138"/>
  <c r="I158" i="138"/>
  <c r="J158" i="138"/>
  <c r="I126" i="138"/>
  <c r="J126" i="138"/>
  <c r="I90" i="138"/>
  <c r="J90" i="138"/>
  <c r="I46" i="138"/>
  <c r="F46" i="138"/>
  <c r="J46" i="138"/>
  <c r="H17" i="138"/>
  <c r="I17" i="138"/>
  <c r="F17" i="138"/>
  <c r="J17" i="138"/>
  <c r="H171" i="138"/>
  <c r="I171" i="138"/>
  <c r="H151" i="138"/>
  <c r="I151" i="138"/>
  <c r="H15" i="138"/>
  <c r="I15" i="138"/>
  <c r="F15" i="138"/>
  <c r="J15" i="138"/>
  <c r="H7" i="138"/>
  <c r="J7" i="138"/>
  <c r="I7" i="138"/>
  <c r="F7" i="138"/>
  <c r="H169" i="138"/>
  <c r="I169" i="138"/>
  <c r="J169" i="138"/>
  <c r="H161" i="138"/>
  <c r="I161" i="138"/>
  <c r="J161" i="138"/>
  <c r="H149" i="138"/>
  <c r="I149" i="138"/>
  <c r="J149" i="138"/>
  <c r="H137" i="138"/>
  <c r="I137" i="138"/>
  <c r="J137" i="138"/>
  <c r="H129" i="138"/>
  <c r="I129" i="138"/>
  <c r="J129" i="138"/>
  <c r="H121" i="138"/>
  <c r="I121" i="138"/>
  <c r="J121" i="138"/>
  <c r="H113" i="138"/>
  <c r="I113" i="138"/>
  <c r="J113" i="138"/>
  <c r="H105" i="138"/>
  <c r="I105" i="138"/>
  <c r="J105" i="138"/>
  <c r="H101" i="138"/>
  <c r="I101" i="138"/>
  <c r="J101" i="138"/>
  <c r="H93" i="138"/>
  <c r="I93" i="138"/>
  <c r="J93" i="138"/>
  <c r="H85" i="138"/>
  <c r="I85" i="138"/>
  <c r="J85" i="138"/>
  <c r="H77" i="138"/>
  <c r="I77" i="138"/>
  <c r="F77" i="138"/>
  <c r="J77" i="138"/>
  <c r="H69" i="138"/>
  <c r="I69" i="138"/>
  <c r="F69" i="138"/>
  <c r="J69" i="138"/>
  <c r="H61" i="138"/>
  <c r="I61" i="138"/>
  <c r="F61" i="138"/>
  <c r="J61" i="138"/>
  <c r="H49" i="138"/>
  <c r="I49" i="138"/>
  <c r="F49" i="138"/>
  <c r="J49" i="138"/>
  <c r="H41" i="138"/>
  <c r="I41" i="138"/>
  <c r="F41" i="138"/>
  <c r="J41" i="138"/>
  <c r="H37" i="138"/>
  <c r="I37" i="138"/>
  <c r="F37" i="138"/>
  <c r="J37" i="138"/>
  <c r="H29" i="138"/>
  <c r="I29" i="138"/>
  <c r="F29" i="138"/>
  <c r="J29" i="138"/>
  <c r="H21" i="138"/>
  <c r="I21" i="138"/>
  <c r="F21" i="138"/>
  <c r="J21" i="138"/>
  <c r="G170" i="138"/>
  <c r="G162" i="138"/>
  <c r="G150" i="138"/>
  <c r="G138" i="138"/>
  <c r="G130" i="138"/>
  <c r="G122" i="138"/>
  <c r="G114" i="138"/>
  <c r="G106" i="138"/>
  <c r="G102" i="138"/>
  <c r="G94" i="138"/>
  <c r="G86" i="138"/>
  <c r="G78" i="138"/>
  <c r="G70" i="138"/>
  <c r="G62" i="138"/>
  <c r="G50" i="138"/>
  <c r="G42" i="138"/>
  <c r="G38" i="138"/>
  <c r="G30" i="138"/>
  <c r="G22" i="138"/>
  <c r="G10" i="138"/>
  <c r="F172" i="138"/>
  <c r="F164" i="138"/>
  <c r="F152" i="138"/>
  <c r="F144" i="138"/>
  <c r="F140" i="138"/>
  <c r="F132" i="138"/>
  <c r="F124" i="138"/>
  <c r="F116" i="138"/>
  <c r="F108" i="138"/>
  <c r="F104" i="138"/>
  <c r="F96" i="138"/>
  <c r="F87" i="138"/>
  <c r="F52" i="138"/>
  <c r="H166" i="138"/>
  <c r="H110" i="138"/>
  <c r="H54" i="138"/>
  <c r="I173" i="138"/>
  <c r="I117" i="138"/>
  <c r="I57" i="138"/>
  <c r="J171" i="138"/>
  <c r="J115" i="138"/>
  <c r="J55" i="138"/>
  <c r="H9" i="138"/>
  <c r="G9" i="138"/>
  <c r="EI504" i="112"/>
  <c r="EJ504" i="112" s="1"/>
  <c r="DX504" i="112"/>
  <c r="EF503" i="112"/>
  <c r="HW504" i="112"/>
  <c r="HW503" i="112"/>
  <c r="EG504" i="112"/>
  <c r="EH504" i="112" s="1"/>
  <c r="ED503" i="112"/>
  <c r="EE503" i="112" s="1"/>
  <c r="HU504" i="112"/>
  <c r="HU503" i="112"/>
  <c r="EF504" i="112"/>
  <c r="EK503" i="112"/>
  <c r="EB503" i="112"/>
  <c r="EC503" i="112" s="1"/>
  <c r="EG503" i="112"/>
  <c r="EH503" i="112" s="1"/>
  <c r="ED504" i="112"/>
  <c r="EE504" i="112" s="1"/>
  <c r="DZ503" i="112"/>
  <c r="EI503" i="112"/>
  <c r="EJ503" i="112" s="1"/>
  <c r="DY503" i="112"/>
  <c r="AO151" i="121"/>
  <c r="DL505" i="112"/>
  <c r="EA505" i="112" s="1"/>
  <c r="W16" i="37"/>
  <c r="D103" i="139" s="1"/>
  <c r="E103" i="139" s="1"/>
  <c r="F103" i="139" s="1"/>
  <c r="G103" i="139" s="1"/>
  <c r="DY319" i="112"/>
  <c r="P6" i="138" l="1"/>
  <c r="K163" i="138"/>
  <c r="K4" i="138"/>
  <c r="K97" i="138"/>
  <c r="K88" i="138"/>
  <c r="K10" i="138"/>
  <c r="K5" i="138"/>
  <c r="P38" i="138"/>
  <c r="O181" i="138"/>
  <c r="P22" i="138"/>
  <c r="P50" i="138"/>
  <c r="P45" i="138"/>
  <c r="J177" i="138"/>
  <c r="I177" i="138" s="1"/>
  <c r="P62" i="138"/>
  <c r="H179" i="138"/>
  <c r="H181" i="138"/>
  <c r="O180" i="138"/>
  <c r="F177" i="138"/>
  <c r="H177" i="138"/>
  <c r="M180" i="138"/>
  <c r="F181" i="138"/>
  <c r="M183" i="138"/>
  <c r="P4" i="138"/>
  <c r="R4" i="138" s="1"/>
  <c r="T4" i="138" s="1"/>
  <c r="D113" i="139" s="1"/>
  <c r="E113" i="139" s="1"/>
  <c r="F113" i="139" s="1"/>
  <c r="G113" i="139" s="1"/>
  <c r="N177" i="138"/>
  <c r="N180" i="138"/>
  <c r="G181" i="138"/>
  <c r="N183" i="138"/>
  <c r="N182" i="138"/>
  <c r="H180" i="138"/>
  <c r="F183" i="138"/>
  <c r="G180" i="138"/>
  <c r="M178" i="138"/>
  <c r="M181" i="138"/>
  <c r="O183" i="138"/>
  <c r="O182" i="138"/>
  <c r="H178" i="138"/>
  <c r="O178" i="138"/>
  <c r="M182" i="138"/>
  <c r="J179" i="138"/>
  <c r="I179" i="138" s="1"/>
  <c r="J182" i="138"/>
  <c r="I182" i="138" s="1"/>
  <c r="J178" i="138"/>
  <c r="I178" i="138" s="1"/>
  <c r="N178" i="138"/>
  <c r="P119" i="138"/>
  <c r="M177" i="138"/>
  <c r="F180" i="138"/>
  <c r="G179" i="138"/>
  <c r="F179" i="138"/>
  <c r="J181" i="138"/>
  <c r="G177" i="138"/>
  <c r="G178" i="138"/>
  <c r="F178" i="138"/>
  <c r="M179" i="138"/>
  <c r="O177" i="138"/>
  <c r="P149" i="138"/>
  <c r="P85" i="138"/>
  <c r="N181" i="138"/>
  <c r="K159" i="138"/>
  <c r="H183" i="138"/>
  <c r="J183" i="138"/>
  <c r="G183" i="138"/>
  <c r="K96" i="138"/>
  <c r="R96" i="138" s="1"/>
  <c r="T96" i="138" s="1"/>
  <c r="D205" i="139" s="1"/>
  <c r="E205" i="139" s="1"/>
  <c r="F205" i="139" s="1"/>
  <c r="G205" i="139" s="1"/>
  <c r="J180" i="138"/>
  <c r="N179" i="138"/>
  <c r="O179" i="138"/>
  <c r="G182" i="138"/>
  <c r="H182" i="138"/>
  <c r="F182" i="138"/>
  <c r="P162" i="138"/>
  <c r="P48" i="138"/>
  <c r="P77" i="138"/>
  <c r="P156" i="138"/>
  <c r="P136" i="138"/>
  <c r="P137" i="138"/>
  <c r="P25" i="138"/>
  <c r="P165" i="138"/>
  <c r="P153" i="138"/>
  <c r="P147" i="138"/>
  <c r="P11" i="138"/>
  <c r="P49" i="138"/>
  <c r="K64" i="138"/>
  <c r="K146" i="138"/>
  <c r="K107" i="138"/>
  <c r="P60" i="138"/>
  <c r="P81" i="138"/>
  <c r="P29" i="138"/>
  <c r="P168" i="138"/>
  <c r="P32" i="138"/>
  <c r="P12" i="138"/>
  <c r="P19" i="138"/>
  <c r="P91" i="138"/>
  <c r="P111" i="138"/>
  <c r="P104" i="138"/>
  <c r="P78" i="138"/>
  <c r="P106" i="138"/>
  <c r="P138" i="138"/>
  <c r="K124" i="138"/>
  <c r="K54" i="138"/>
  <c r="P64" i="138"/>
  <c r="P116" i="138"/>
  <c r="K55" i="138"/>
  <c r="K143" i="138"/>
  <c r="K131" i="138"/>
  <c r="P75" i="138"/>
  <c r="P92" i="138"/>
  <c r="P36" i="138"/>
  <c r="P124" i="138"/>
  <c r="P144" i="138"/>
  <c r="K31" i="138"/>
  <c r="K82" i="138"/>
  <c r="P94" i="138"/>
  <c r="P122" i="138"/>
  <c r="P150" i="138"/>
  <c r="P57" i="138"/>
  <c r="P117" i="138"/>
  <c r="K129" i="138"/>
  <c r="R129" i="138" s="1"/>
  <c r="T129" i="138" s="1"/>
  <c r="D238" i="139" s="1"/>
  <c r="E238" i="139" s="1"/>
  <c r="F238" i="139" s="1"/>
  <c r="G238" i="139" s="1"/>
  <c r="K9" i="138"/>
  <c r="K51" i="138"/>
  <c r="K125" i="138"/>
  <c r="K160" i="138"/>
  <c r="R160" i="138" s="1"/>
  <c r="T160" i="138" s="1"/>
  <c r="D269" i="139" s="1"/>
  <c r="E269" i="139" s="1"/>
  <c r="F269" i="139" s="1"/>
  <c r="G269" i="139" s="1"/>
  <c r="K6" i="138"/>
  <c r="R6" i="138" s="1"/>
  <c r="T6" i="138" s="1"/>
  <c r="D115" i="139" s="1"/>
  <c r="E115" i="139" s="1"/>
  <c r="F115" i="139" s="1"/>
  <c r="G115" i="139" s="1"/>
  <c r="P26" i="138"/>
  <c r="P30" i="138"/>
  <c r="P172" i="138"/>
  <c r="P105" i="138"/>
  <c r="K111" i="138"/>
  <c r="K167" i="138"/>
  <c r="P164" i="138"/>
  <c r="P132" i="138"/>
  <c r="P121" i="138"/>
  <c r="P131" i="138"/>
  <c r="K39" i="138"/>
  <c r="K103" i="138"/>
  <c r="K135" i="138"/>
  <c r="K28" i="138"/>
  <c r="P74" i="138"/>
  <c r="P110" i="138"/>
  <c r="P166" i="138"/>
  <c r="P35" i="138"/>
  <c r="P112" i="138"/>
  <c r="P20" i="138"/>
  <c r="P76" i="138"/>
  <c r="P170" i="138"/>
  <c r="P93" i="138"/>
  <c r="P163" i="138"/>
  <c r="R163" i="138" s="1"/>
  <c r="T163" i="138" s="1"/>
  <c r="D272" i="139" s="1"/>
  <c r="E272" i="139" s="1"/>
  <c r="F272" i="139" s="1"/>
  <c r="G272" i="139" s="1"/>
  <c r="P143" i="138"/>
  <c r="P98" i="138"/>
  <c r="P128" i="138"/>
  <c r="P70" i="138"/>
  <c r="P39" i="138"/>
  <c r="P56" i="138"/>
  <c r="P115" i="138"/>
  <c r="K23" i="138"/>
  <c r="K79" i="138"/>
  <c r="K139" i="138"/>
  <c r="P86" i="138"/>
  <c r="K115" i="138"/>
  <c r="K46" i="138"/>
  <c r="K122" i="138"/>
  <c r="K100" i="138"/>
  <c r="K156" i="138"/>
  <c r="P18" i="138"/>
  <c r="P82" i="138"/>
  <c r="P118" i="138"/>
  <c r="P174" i="138"/>
  <c r="P31" i="138"/>
  <c r="K121" i="138"/>
  <c r="K66" i="138"/>
  <c r="K43" i="138"/>
  <c r="K171" i="138"/>
  <c r="K29" i="138"/>
  <c r="K41" i="138"/>
  <c r="R41" i="138" s="1"/>
  <c r="T41" i="138" s="1"/>
  <c r="D150" i="139" s="1"/>
  <c r="E150" i="139" s="1"/>
  <c r="F150" i="139" s="1"/>
  <c r="G150" i="139" s="1"/>
  <c r="K69" i="138"/>
  <c r="R69" i="138" s="1"/>
  <c r="T69" i="138" s="1"/>
  <c r="D178" i="139" s="1"/>
  <c r="E178" i="139" s="1"/>
  <c r="F178" i="139" s="1"/>
  <c r="G178" i="139" s="1"/>
  <c r="K85" i="138"/>
  <c r="K87" i="138"/>
  <c r="K68" i="138"/>
  <c r="K84" i="138"/>
  <c r="R84" i="138" s="1"/>
  <c r="T84" i="138" s="1"/>
  <c r="D193" i="139" s="1"/>
  <c r="E193" i="139" s="1"/>
  <c r="F193" i="139" s="1"/>
  <c r="G193" i="139" s="1"/>
  <c r="K120" i="138"/>
  <c r="R120" i="138" s="1"/>
  <c r="T120" i="138" s="1"/>
  <c r="D229" i="139" s="1"/>
  <c r="E229" i="139" s="1"/>
  <c r="F229" i="139" s="1"/>
  <c r="G229" i="139" s="1"/>
  <c r="K134" i="138"/>
  <c r="P67" i="138"/>
  <c r="P79" i="138"/>
  <c r="P114" i="138"/>
  <c r="P61" i="138"/>
  <c r="P157" i="138"/>
  <c r="P139" i="138"/>
  <c r="P151" i="138"/>
  <c r="K105" i="138"/>
  <c r="K161" i="138"/>
  <c r="R161" i="138" s="1"/>
  <c r="T161" i="138" s="1"/>
  <c r="D270" i="139" s="1"/>
  <c r="E270" i="139" s="1"/>
  <c r="F270" i="139" s="1"/>
  <c r="G270" i="139" s="1"/>
  <c r="K7" i="138"/>
  <c r="K63" i="138"/>
  <c r="K30" i="138"/>
  <c r="K42" i="138"/>
  <c r="K70" i="138"/>
  <c r="K106" i="138"/>
  <c r="K162" i="138"/>
  <c r="K8" i="138"/>
  <c r="K52" i="138"/>
  <c r="R52" i="138" s="1"/>
  <c r="K108" i="138"/>
  <c r="R108" i="138" s="1"/>
  <c r="T108" i="138" s="1"/>
  <c r="D217" i="139" s="1"/>
  <c r="E217" i="139" s="1"/>
  <c r="F217" i="139" s="1"/>
  <c r="G217" i="139" s="1"/>
  <c r="K164" i="138"/>
  <c r="K25" i="138"/>
  <c r="R25" i="138" s="1"/>
  <c r="T25" i="138" s="1"/>
  <c r="D134" i="139" s="1"/>
  <c r="E134" i="139" s="1"/>
  <c r="F134" i="139" s="1"/>
  <c r="G134" i="139" s="1"/>
  <c r="K81" i="138"/>
  <c r="K133" i="138"/>
  <c r="K157" i="138"/>
  <c r="K166" i="138"/>
  <c r="K99" i="138"/>
  <c r="K155" i="138"/>
  <c r="P58" i="138"/>
  <c r="P154" i="138"/>
  <c r="P28" i="138"/>
  <c r="P102" i="138"/>
  <c r="P55" i="138"/>
  <c r="P5" i="138"/>
  <c r="P8" i="138"/>
  <c r="P103" i="138"/>
  <c r="P171" i="138"/>
  <c r="P141" i="138"/>
  <c r="K57" i="138"/>
  <c r="P97" i="138"/>
  <c r="K90" i="138"/>
  <c r="K130" i="138"/>
  <c r="K118" i="138"/>
  <c r="K72" i="138"/>
  <c r="K132" i="138"/>
  <c r="K45" i="138"/>
  <c r="R45" i="138" s="1"/>
  <c r="T45" i="138" s="1"/>
  <c r="D154" i="139" s="1"/>
  <c r="E154" i="139" s="1"/>
  <c r="F154" i="139" s="1"/>
  <c r="G154" i="139" s="1"/>
  <c r="K74" i="138"/>
  <c r="K27" i="138"/>
  <c r="K67" i="138"/>
  <c r="K83" i="138"/>
  <c r="K119" i="138"/>
  <c r="R119" i="138" s="1"/>
  <c r="T119" i="138" s="1"/>
  <c r="D228" i="139" s="1"/>
  <c r="E228" i="139" s="1"/>
  <c r="F228" i="139" s="1"/>
  <c r="G228" i="139" s="1"/>
  <c r="K174" i="138"/>
  <c r="P23" i="138"/>
  <c r="P123" i="138"/>
  <c r="K32" i="138"/>
  <c r="P134" i="138"/>
  <c r="P167" i="138"/>
  <c r="K123" i="138"/>
  <c r="K93" i="138"/>
  <c r="K149" i="138"/>
  <c r="R149" i="138" s="1"/>
  <c r="T149" i="138" s="1"/>
  <c r="D258" i="139" s="1"/>
  <c r="E258" i="139" s="1"/>
  <c r="F258" i="139" s="1"/>
  <c r="G258" i="139" s="1"/>
  <c r="K15" i="138"/>
  <c r="K17" i="138"/>
  <c r="K94" i="138"/>
  <c r="R94" i="138" s="1"/>
  <c r="T94" i="138" s="1"/>
  <c r="D203" i="139" s="1"/>
  <c r="E203" i="139" s="1"/>
  <c r="F203" i="139" s="1"/>
  <c r="G203" i="139" s="1"/>
  <c r="K150" i="138"/>
  <c r="K16" i="138"/>
  <c r="K40" i="138"/>
  <c r="K152" i="138"/>
  <c r="R152" i="138" s="1"/>
  <c r="K12" i="138"/>
  <c r="K65" i="138"/>
  <c r="K109" i="138"/>
  <c r="K141" i="138"/>
  <c r="K165" i="138"/>
  <c r="K128" i="138"/>
  <c r="K58" i="138"/>
  <c r="P46" i="138"/>
  <c r="P142" i="138"/>
  <c r="P71" i="138"/>
  <c r="P99" i="138"/>
  <c r="P169" i="138"/>
  <c r="P63" i="138"/>
  <c r="P14" i="138"/>
  <c r="P130" i="138"/>
  <c r="R130" i="138" s="1"/>
  <c r="T130" i="138" s="1"/>
  <c r="D239" i="139" s="1"/>
  <c r="E239" i="139" s="1"/>
  <c r="F239" i="139" s="1"/>
  <c r="G239" i="139" s="1"/>
  <c r="P16" i="138"/>
  <c r="P40" i="138"/>
  <c r="P72" i="138"/>
  <c r="P125" i="138"/>
  <c r="K142" i="138"/>
  <c r="K86" i="138"/>
  <c r="P43" i="138"/>
  <c r="K21" i="138"/>
  <c r="R21" i="138" s="1"/>
  <c r="T21" i="138" s="1"/>
  <c r="D130" i="139" s="1"/>
  <c r="E130" i="139" s="1"/>
  <c r="F130" i="139" s="1"/>
  <c r="G130" i="139" s="1"/>
  <c r="K37" i="138"/>
  <c r="R37" i="138" s="1"/>
  <c r="K49" i="138"/>
  <c r="K61" i="138"/>
  <c r="K77" i="138"/>
  <c r="R77" i="138" s="1"/>
  <c r="T77" i="138" s="1"/>
  <c r="D186" i="139" s="1"/>
  <c r="E186" i="139" s="1"/>
  <c r="F186" i="139" s="1"/>
  <c r="G186" i="139" s="1"/>
  <c r="K113" i="138"/>
  <c r="R113" i="138" s="1"/>
  <c r="T113" i="138" s="1"/>
  <c r="D222" i="139" s="1"/>
  <c r="E222" i="139" s="1"/>
  <c r="F222" i="139" s="1"/>
  <c r="G222" i="139" s="1"/>
  <c r="K169" i="138"/>
  <c r="K126" i="138"/>
  <c r="K114" i="138"/>
  <c r="K170" i="138"/>
  <c r="K34" i="138"/>
  <c r="K154" i="138"/>
  <c r="K56" i="138"/>
  <c r="K116" i="138"/>
  <c r="K172" i="138"/>
  <c r="K26" i="138"/>
  <c r="K33" i="138"/>
  <c r="K89" i="138"/>
  <c r="K18" i="138"/>
  <c r="R18" i="138" s="1"/>
  <c r="T18" i="138" s="1"/>
  <c r="D127" i="139" s="1"/>
  <c r="E127" i="139" s="1"/>
  <c r="F127" i="139" s="1"/>
  <c r="G127" i="139" s="1"/>
  <c r="K20" i="138"/>
  <c r="K36" i="138"/>
  <c r="K48" i="138"/>
  <c r="R48" i="138" s="1"/>
  <c r="T48" i="138" s="1"/>
  <c r="D157" i="139" s="1"/>
  <c r="E157" i="139" s="1"/>
  <c r="F157" i="139" s="1"/>
  <c r="G157" i="139" s="1"/>
  <c r="K60" i="138"/>
  <c r="K76" i="138"/>
  <c r="K92" i="138"/>
  <c r="K148" i="138"/>
  <c r="R148" i="138" s="1"/>
  <c r="T148" i="138" s="1"/>
  <c r="D257" i="139" s="1"/>
  <c r="E257" i="139" s="1"/>
  <c r="F257" i="139" s="1"/>
  <c r="G257" i="139" s="1"/>
  <c r="K14" i="138"/>
  <c r="P10" i="138"/>
  <c r="P66" i="138"/>
  <c r="P158" i="138"/>
  <c r="P15" i="138"/>
  <c r="P68" i="138"/>
  <c r="P59" i="138"/>
  <c r="P127" i="138"/>
  <c r="P155" i="138"/>
  <c r="R155" i="138" s="1"/>
  <c r="P87" i="138"/>
  <c r="P107" i="138"/>
  <c r="P9" i="138"/>
  <c r="P33" i="138"/>
  <c r="P65" i="138"/>
  <c r="P89" i="138"/>
  <c r="P145" i="138"/>
  <c r="K95" i="138"/>
  <c r="K144" i="138"/>
  <c r="K137" i="138"/>
  <c r="K22" i="138"/>
  <c r="R22" i="138" s="1"/>
  <c r="T22" i="138" s="1"/>
  <c r="D131" i="139" s="1"/>
  <c r="E131" i="139" s="1"/>
  <c r="F131" i="139" s="1"/>
  <c r="G131" i="139" s="1"/>
  <c r="K38" i="138"/>
  <c r="K50" i="138"/>
  <c r="R50" i="138" s="1"/>
  <c r="K62" i="138"/>
  <c r="R62" i="138" s="1"/>
  <c r="T62" i="138" s="1"/>
  <c r="D171" i="139" s="1"/>
  <c r="E171" i="139" s="1"/>
  <c r="F171" i="139" s="1"/>
  <c r="G171" i="139" s="1"/>
  <c r="K78" i="138"/>
  <c r="R78" i="138" s="1"/>
  <c r="T78" i="138" s="1"/>
  <c r="D187" i="139" s="1"/>
  <c r="E187" i="139" s="1"/>
  <c r="F187" i="139" s="1"/>
  <c r="G187" i="139" s="1"/>
  <c r="K138" i="138"/>
  <c r="K24" i="138"/>
  <c r="K80" i="138"/>
  <c r="R80" i="138" s="1"/>
  <c r="T80" i="138" s="1"/>
  <c r="D189" i="139" s="1"/>
  <c r="E189" i="139" s="1"/>
  <c r="F189" i="139" s="1"/>
  <c r="G189" i="139" s="1"/>
  <c r="K140" i="138"/>
  <c r="R140" i="138" s="1"/>
  <c r="K110" i="138"/>
  <c r="K53" i="138"/>
  <c r="K117" i="138"/>
  <c r="R117" i="138" s="1"/>
  <c r="T117" i="138" s="1"/>
  <c r="D226" i="139" s="1"/>
  <c r="E226" i="139" s="1"/>
  <c r="F226" i="139" s="1"/>
  <c r="G226" i="139" s="1"/>
  <c r="K145" i="138"/>
  <c r="K173" i="138"/>
  <c r="K127" i="138"/>
  <c r="K112" i="138"/>
  <c r="R112" i="138" s="1"/>
  <c r="T112" i="138" s="1"/>
  <c r="D221" i="139" s="1"/>
  <c r="E221" i="139" s="1"/>
  <c r="F221" i="139" s="1"/>
  <c r="G221" i="139" s="1"/>
  <c r="K168" i="138"/>
  <c r="R168" i="138" s="1"/>
  <c r="T168" i="138" s="1"/>
  <c r="D277" i="139" s="1"/>
  <c r="E277" i="139" s="1"/>
  <c r="F277" i="139" s="1"/>
  <c r="G277" i="139" s="1"/>
  <c r="P34" i="138"/>
  <c r="P90" i="138"/>
  <c r="P126" i="138"/>
  <c r="P27" i="138"/>
  <c r="P83" i="138"/>
  <c r="P51" i="138"/>
  <c r="P42" i="138"/>
  <c r="P7" i="138"/>
  <c r="P44" i="138"/>
  <c r="P95" i="138"/>
  <c r="P109" i="138"/>
  <c r="P173" i="138"/>
  <c r="K151" i="138"/>
  <c r="K153" i="138"/>
  <c r="R153" i="138" s="1"/>
  <c r="K11" i="138"/>
  <c r="R11" i="138" s="1"/>
  <c r="T11" i="138" s="1"/>
  <c r="D120" i="139" s="1"/>
  <c r="E120" i="139" s="1"/>
  <c r="F120" i="139" s="1"/>
  <c r="G120" i="139" s="1"/>
  <c r="K101" i="138"/>
  <c r="R101" i="138" s="1"/>
  <c r="K158" i="138"/>
  <c r="K102" i="138"/>
  <c r="K71" i="138"/>
  <c r="K44" i="138"/>
  <c r="K104" i="138"/>
  <c r="K73" i="138"/>
  <c r="K19" i="138"/>
  <c r="K35" i="138"/>
  <c r="R35" i="138" s="1"/>
  <c r="T35" i="138" s="1"/>
  <c r="D144" i="139" s="1"/>
  <c r="E144" i="139" s="1"/>
  <c r="F144" i="139" s="1"/>
  <c r="G144" i="139" s="1"/>
  <c r="K47" i="138"/>
  <c r="K59" i="138"/>
  <c r="K75" i="138"/>
  <c r="K91" i="138"/>
  <c r="K147" i="138"/>
  <c r="R147" i="138" s="1"/>
  <c r="T147" i="138" s="1"/>
  <c r="D256" i="139" s="1"/>
  <c r="E256" i="139" s="1"/>
  <c r="F256" i="139" s="1"/>
  <c r="G256" i="139" s="1"/>
  <c r="K13" i="138"/>
  <c r="R13" i="138" s="1"/>
  <c r="K136" i="138"/>
  <c r="K98" i="138"/>
  <c r="R98" i="138" s="1"/>
  <c r="T98" i="138" s="1"/>
  <c r="D207" i="139" s="1"/>
  <c r="E207" i="139" s="1"/>
  <c r="F207" i="139" s="1"/>
  <c r="G207" i="139" s="1"/>
  <c r="P54" i="138"/>
  <c r="R54" i="138" s="1"/>
  <c r="P146" i="138"/>
  <c r="P100" i="138"/>
  <c r="P47" i="138"/>
  <c r="P135" i="138"/>
  <c r="R135" i="138" s="1"/>
  <c r="T135" i="138" s="1"/>
  <c r="D244" i="139" s="1"/>
  <c r="E244" i="139" s="1"/>
  <c r="F244" i="139" s="1"/>
  <c r="G244" i="139" s="1"/>
  <c r="P159" i="138"/>
  <c r="P24" i="138"/>
  <c r="P88" i="138"/>
  <c r="P17" i="138"/>
  <c r="P53" i="138"/>
  <c r="P73" i="138"/>
  <c r="P133" i="138"/>
  <c r="D99" i="139"/>
  <c r="E99" i="139" s="1"/>
  <c r="F99" i="139" s="1"/>
  <c r="G99" i="139" s="1"/>
  <c r="R144" i="138" l="1"/>
  <c r="T144" i="138" s="1"/>
  <c r="D253" i="139" s="1"/>
  <c r="E253" i="139" s="1"/>
  <c r="F253" i="139" s="1"/>
  <c r="G253" i="139" s="1"/>
  <c r="R85" i="138"/>
  <c r="T85" i="138" s="1"/>
  <c r="D194" i="139" s="1"/>
  <c r="E194" i="139" s="1"/>
  <c r="F194" i="139" s="1"/>
  <c r="G194" i="139" s="1"/>
  <c r="P182" i="138"/>
  <c r="R136" i="138"/>
  <c r="T136" i="138" s="1"/>
  <c r="D245" i="139" s="1"/>
  <c r="E245" i="139" s="1"/>
  <c r="F245" i="139" s="1"/>
  <c r="G245" i="139" s="1"/>
  <c r="R38" i="138"/>
  <c r="R17" i="138"/>
  <c r="R162" i="138"/>
  <c r="T162" i="138" s="1"/>
  <c r="D271" i="139" s="1"/>
  <c r="E271" i="139" s="1"/>
  <c r="F271" i="139" s="1"/>
  <c r="G271" i="139" s="1"/>
  <c r="R172" i="138"/>
  <c r="T172" i="138" s="1"/>
  <c r="D281" i="139" s="1"/>
  <c r="E281" i="139" s="1"/>
  <c r="F281" i="139" s="1"/>
  <c r="G281" i="139" s="1"/>
  <c r="R132" i="138"/>
  <c r="T132" i="138" s="1"/>
  <c r="D241" i="139" s="1"/>
  <c r="E241" i="139" s="1"/>
  <c r="F241" i="139" s="1"/>
  <c r="G241" i="139" s="1"/>
  <c r="P183" i="138"/>
  <c r="R128" i="138"/>
  <c r="T128" i="138" s="1"/>
  <c r="D237" i="139" s="1"/>
  <c r="E237" i="139" s="1"/>
  <c r="F237" i="139" s="1"/>
  <c r="G237" i="139" s="1"/>
  <c r="R5" i="138"/>
  <c r="T5" i="138" s="1"/>
  <c r="D114" i="139" s="1"/>
  <c r="E114" i="139" s="1"/>
  <c r="F114" i="139" s="1"/>
  <c r="G114" i="139" s="1"/>
  <c r="R10" i="138"/>
  <c r="T10" i="138" s="1"/>
  <c r="D119" i="139" s="1"/>
  <c r="E119" i="139" s="1"/>
  <c r="F119" i="139" s="1"/>
  <c r="G119" i="139" s="1"/>
  <c r="K177" i="138"/>
  <c r="R159" i="138"/>
  <c r="T159" i="138" s="1"/>
  <c r="D268" i="139" s="1"/>
  <c r="E268" i="139" s="1"/>
  <c r="F268" i="139" s="1"/>
  <c r="G268" i="139" s="1"/>
  <c r="R125" i="138"/>
  <c r="T125" i="138" s="1"/>
  <c r="D234" i="139" s="1"/>
  <c r="E234" i="139" s="1"/>
  <c r="F234" i="139" s="1"/>
  <c r="G234" i="139" s="1"/>
  <c r="R133" i="138"/>
  <c r="T133" i="138" s="1"/>
  <c r="D242" i="139" s="1"/>
  <c r="E242" i="139" s="1"/>
  <c r="F242" i="139" s="1"/>
  <c r="G242" i="139" s="1"/>
  <c r="R97" i="138"/>
  <c r="T97" i="138" s="1"/>
  <c r="D206" i="139" s="1"/>
  <c r="E206" i="139" s="1"/>
  <c r="F206" i="139" s="1"/>
  <c r="G206" i="139" s="1"/>
  <c r="K178" i="138"/>
  <c r="J186" i="138"/>
  <c r="R88" i="138"/>
  <c r="T88" i="138" s="1"/>
  <c r="D197" i="139" s="1"/>
  <c r="E197" i="139" s="1"/>
  <c r="F197" i="139" s="1"/>
  <c r="G197" i="139" s="1"/>
  <c r="R87" i="138"/>
  <c r="T87" i="138" s="1"/>
  <c r="D196" i="139" s="1"/>
  <c r="E196" i="139" s="1"/>
  <c r="F196" i="139" s="1"/>
  <c r="G196" i="139" s="1"/>
  <c r="R55" i="138"/>
  <c r="T55" i="138" s="1"/>
  <c r="D164" i="139" s="1"/>
  <c r="E164" i="139" s="1"/>
  <c r="F164" i="139" s="1"/>
  <c r="G164" i="139" s="1"/>
  <c r="H186" i="138"/>
  <c r="R106" i="138"/>
  <c r="T106" i="138" s="1"/>
  <c r="D215" i="139" s="1"/>
  <c r="E215" i="139" s="1"/>
  <c r="F215" i="139" s="1"/>
  <c r="G215" i="139" s="1"/>
  <c r="R31" i="138"/>
  <c r="T31" i="138" s="1"/>
  <c r="D140" i="139" s="1"/>
  <c r="E140" i="139" s="1"/>
  <c r="F140" i="139" s="1"/>
  <c r="G140" i="139" s="1"/>
  <c r="P180" i="138"/>
  <c r="R143" i="138"/>
  <c r="T143" i="138" s="1"/>
  <c r="D252" i="139" s="1"/>
  <c r="E252" i="139" s="1"/>
  <c r="F252" i="139" s="1"/>
  <c r="G252" i="139" s="1"/>
  <c r="R16" i="138"/>
  <c r="R131" i="138"/>
  <c r="T131" i="138" s="1"/>
  <c r="D240" i="139" s="1"/>
  <c r="E240" i="139" s="1"/>
  <c r="F240" i="139" s="1"/>
  <c r="G240" i="139" s="1"/>
  <c r="O186" i="138"/>
  <c r="R67" i="138"/>
  <c r="T67" i="138" s="1"/>
  <c r="D176" i="139" s="1"/>
  <c r="E176" i="139" s="1"/>
  <c r="F176" i="139" s="1"/>
  <c r="G176" i="139" s="1"/>
  <c r="R82" i="138"/>
  <c r="T82" i="138" s="1"/>
  <c r="D191" i="139" s="1"/>
  <c r="E191" i="139" s="1"/>
  <c r="F191" i="139" s="1"/>
  <c r="G191" i="139" s="1"/>
  <c r="F186" i="138"/>
  <c r="R32" i="138"/>
  <c r="T32" i="138" s="1"/>
  <c r="D141" i="139" s="1"/>
  <c r="E141" i="139" s="1"/>
  <c r="F141" i="139" s="1"/>
  <c r="G141" i="139" s="1"/>
  <c r="R156" i="138"/>
  <c r="R115" i="138"/>
  <c r="T115" i="138" s="1"/>
  <c r="D224" i="139" s="1"/>
  <c r="E224" i="139" s="1"/>
  <c r="F224" i="139" s="1"/>
  <c r="G224" i="139" s="1"/>
  <c r="M186" i="138"/>
  <c r="R20" i="138"/>
  <c r="T20" i="138" s="1"/>
  <c r="D129" i="139" s="1"/>
  <c r="E129" i="139" s="1"/>
  <c r="F129" i="139" s="1"/>
  <c r="G129" i="139" s="1"/>
  <c r="R138" i="138"/>
  <c r="R49" i="138"/>
  <c r="T49" i="138" s="1"/>
  <c r="D158" i="139" s="1"/>
  <c r="E158" i="139" s="1"/>
  <c r="F158" i="139" s="1"/>
  <c r="G158" i="139" s="1"/>
  <c r="N186" i="138"/>
  <c r="R95" i="138"/>
  <c r="T95" i="138" s="1"/>
  <c r="D204" i="139" s="1"/>
  <c r="E204" i="139" s="1"/>
  <c r="F204" i="139" s="1"/>
  <c r="G204" i="139" s="1"/>
  <c r="R170" i="138"/>
  <c r="T170" i="138" s="1"/>
  <c r="D279" i="139" s="1"/>
  <c r="E279" i="139" s="1"/>
  <c r="F279" i="139" s="1"/>
  <c r="G279" i="139" s="1"/>
  <c r="R46" i="138"/>
  <c r="T46" i="138" s="1"/>
  <c r="D155" i="139" s="1"/>
  <c r="E155" i="139" s="1"/>
  <c r="F155" i="139" s="1"/>
  <c r="G155" i="139" s="1"/>
  <c r="K179" i="138"/>
  <c r="R19" i="138"/>
  <c r="T19" i="138" s="1"/>
  <c r="D128" i="139" s="1"/>
  <c r="E128" i="139" s="1"/>
  <c r="F128" i="139" s="1"/>
  <c r="G128" i="139" s="1"/>
  <c r="R114" i="138"/>
  <c r="T114" i="138" s="1"/>
  <c r="D223" i="139" s="1"/>
  <c r="E223" i="139" s="1"/>
  <c r="F223" i="139" s="1"/>
  <c r="G223" i="139" s="1"/>
  <c r="G186" i="138"/>
  <c r="P177" i="138"/>
  <c r="R28" i="138"/>
  <c r="T28" i="138" s="1"/>
  <c r="D137" i="139" s="1"/>
  <c r="E137" i="139" s="1"/>
  <c r="F137" i="139" s="1"/>
  <c r="G137" i="139" s="1"/>
  <c r="R81" i="138"/>
  <c r="T81" i="138" s="1"/>
  <c r="D190" i="139" s="1"/>
  <c r="E190" i="139" s="1"/>
  <c r="F190" i="139" s="1"/>
  <c r="G190" i="139" s="1"/>
  <c r="P181" i="138"/>
  <c r="K182" i="138"/>
  <c r="R182" i="138" s="1"/>
  <c r="T182" i="138" s="1"/>
  <c r="D111" i="139" s="1"/>
  <c r="E111" i="139" s="1"/>
  <c r="F111" i="139" s="1"/>
  <c r="G111" i="139" s="1"/>
  <c r="I183" i="138"/>
  <c r="K183" i="138" s="1"/>
  <c r="I181" i="138"/>
  <c r="K181" i="138" s="1"/>
  <c r="P178" i="138"/>
  <c r="R75" i="138"/>
  <c r="T75" i="138" s="1"/>
  <c r="D184" i="139" s="1"/>
  <c r="E184" i="139" s="1"/>
  <c r="F184" i="139" s="1"/>
  <c r="G184" i="139" s="1"/>
  <c r="R137" i="138"/>
  <c r="T137" i="138" s="1"/>
  <c r="D246" i="139" s="1"/>
  <c r="E246" i="139" s="1"/>
  <c r="F246" i="139" s="1"/>
  <c r="G246" i="139" s="1"/>
  <c r="R146" i="138"/>
  <c r="T146" i="138" s="1"/>
  <c r="D255" i="139" s="1"/>
  <c r="E255" i="139" s="1"/>
  <c r="F255" i="139" s="1"/>
  <c r="G255" i="139" s="1"/>
  <c r="R23" i="138"/>
  <c r="T23" i="138" s="1"/>
  <c r="D132" i="139" s="1"/>
  <c r="E132" i="139" s="1"/>
  <c r="F132" i="139" s="1"/>
  <c r="G132" i="139" s="1"/>
  <c r="R164" i="138"/>
  <c r="T164" i="138" s="1"/>
  <c r="D273" i="139" s="1"/>
  <c r="E273" i="139" s="1"/>
  <c r="F273" i="139" s="1"/>
  <c r="G273" i="139" s="1"/>
  <c r="R121" i="138"/>
  <c r="T121" i="138" s="1"/>
  <c r="D230" i="139" s="1"/>
  <c r="E230" i="139" s="1"/>
  <c r="F230" i="139" s="1"/>
  <c r="G230" i="139" s="1"/>
  <c r="I180" i="138"/>
  <c r="K180" i="138" s="1"/>
  <c r="R180" i="138" s="1"/>
  <c r="T180" i="138" s="1"/>
  <c r="D109" i="139" s="1"/>
  <c r="E109" i="139" s="1"/>
  <c r="F109" i="139" s="1"/>
  <c r="G109" i="139" s="1"/>
  <c r="R53" i="138"/>
  <c r="P179" i="138"/>
  <c r="R73" i="138"/>
  <c r="T73" i="138" s="1"/>
  <c r="D182" i="139" s="1"/>
  <c r="E182" i="139" s="1"/>
  <c r="F182" i="139" s="1"/>
  <c r="G182" i="139" s="1"/>
  <c r="R91" i="138"/>
  <c r="T91" i="138" s="1"/>
  <c r="D200" i="139" s="1"/>
  <c r="E200" i="139" s="1"/>
  <c r="F200" i="139" s="1"/>
  <c r="G200" i="139" s="1"/>
  <c r="R100" i="138"/>
  <c r="R42" i="138"/>
  <c r="T42" i="138" s="1"/>
  <c r="D151" i="139" s="1"/>
  <c r="E151" i="139" s="1"/>
  <c r="F151" i="139" s="1"/>
  <c r="G151" i="139" s="1"/>
  <c r="R110" i="138"/>
  <c r="T110" i="138" s="1"/>
  <c r="D219" i="139" s="1"/>
  <c r="E219" i="139" s="1"/>
  <c r="F219" i="139" s="1"/>
  <c r="G219" i="139" s="1"/>
  <c r="R68" i="138"/>
  <c r="T68" i="138" s="1"/>
  <c r="D177" i="139" s="1"/>
  <c r="E177" i="139" s="1"/>
  <c r="F177" i="139" s="1"/>
  <c r="G177" i="139" s="1"/>
  <c r="R43" i="138"/>
  <c r="T43" i="138" s="1"/>
  <c r="D152" i="139" s="1"/>
  <c r="E152" i="139" s="1"/>
  <c r="F152" i="139" s="1"/>
  <c r="G152" i="139" s="1"/>
  <c r="R60" i="138"/>
  <c r="T60" i="138" s="1"/>
  <c r="D169" i="139" s="1"/>
  <c r="E169" i="139" s="1"/>
  <c r="F169" i="139" s="1"/>
  <c r="G169" i="139" s="1"/>
  <c r="R165" i="138"/>
  <c r="T165" i="138" s="1"/>
  <c r="D274" i="139" s="1"/>
  <c r="E274" i="139" s="1"/>
  <c r="F274" i="139" s="1"/>
  <c r="G274" i="139" s="1"/>
  <c r="R150" i="138"/>
  <c r="T150" i="138" s="1"/>
  <c r="D259" i="139" s="1"/>
  <c r="E259" i="139" s="1"/>
  <c r="F259" i="139" s="1"/>
  <c r="G259" i="139" s="1"/>
  <c r="R166" i="138"/>
  <c r="T166" i="138" s="1"/>
  <c r="D275" i="139" s="1"/>
  <c r="E275" i="139" s="1"/>
  <c r="F275" i="139" s="1"/>
  <c r="G275" i="139" s="1"/>
  <c r="R116" i="138"/>
  <c r="T116" i="138" s="1"/>
  <c r="D225" i="139" s="1"/>
  <c r="E225" i="139" s="1"/>
  <c r="F225" i="139" s="1"/>
  <c r="G225" i="139" s="1"/>
  <c r="R107" i="138"/>
  <c r="T107" i="138" s="1"/>
  <c r="D216" i="139" s="1"/>
  <c r="E216" i="139" s="1"/>
  <c r="F216" i="139" s="1"/>
  <c r="G216" i="139" s="1"/>
  <c r="R66" i="138"/>
  <c r="T66" i="138" s="1"/>
  <c r="D175" i="139" s="1"/>
  <c r="E175" i="139" s="1"/>
  <c r="F175" i="139" s="1"/>
  <c r="G175" i="139" s="1"/>
  <c r="R36" i="138"/>
  <c r="R61" i="138"/>
  <c r="T61" i="138" s="1"/>
  <c r="D170" i="139" s="1"/>
  <c r="E170" i="139" s="1"/>
  <c r="F170" i="139" s="1"/>
  <c r="G170" i="139" s="1"/>
  <c r="R39" i="138"/>
  <c r="R12" i="138"/>
  <c r="T12" i="138" s="1"/>
  <c r="D121" i="139" s="1"/>
  <c r="E121" i="139" s="1"/>
  <c r="F121" i="139" s="1"/>
  <c r="G121" i="139" s="1"/>
  <c r="R29" i="138"/>
  <c r="T29" i="138" s="1"/>
  <c r="D138" i="139" s="1"/>
  <c r="E138" i="139" s="1"/>
  <c r="F138" i="139" s="1"/>
  <c r="G138" i="139" s="1"/>
  <c r="R124" i="138"/>
  <c r="T124" i="138" s="1"/>
  <c r="D233" i="139" s="1"/>
  <c r="E233" i="139" s="1"/>
  <c r="F233" i="139" s="1"/>
  <c r="G233" i="139" s="1"/>
  <c r="R74" i="138"/>
  <c r="T74" i="138" s="1"/>
  <c r="D183" i="139" s="1"/>
  <c r="E183" i="139" s="1"/>
  <c r="F183" i="139" s="1"/>
  <c r="G183" i="139" s="1"/>
  <c r="R51" i="138"/>
  <c r="R103" i="138"/>
  <c r="R64" i="138"/>
  <c r="T64" i="138" s="1"/>
  <c r="D173" i="139" s="1"/>
  <c r="E173" i="139" s="1"/>
  <c r="F173" i="139" s="1"/>
  <c r="G173" i="139" s="1"/>
  <c r="R70" i="138"/>
  <c r="T70" i="138" s="1"/>
  <c r="D179" i="139" s="1"/>
  <c r="E179" i="139" s="1"/>
  <c r="F179" i="139" s="1"/>
  <c r="G179" i="139" s="1"/>
  <c r="R174" i="138"/>
  <c r="T174" i="138" s="1"/>
  <c r="D283" i="139" s="1"/>
  <c r="E283" i="139" s="1"/>
  <c r="F283" i="139" s="1"/>
  <c r="G283" i="139" s="1"/>
  <c r="R111" i="138"/>
  <c r="T111" i="138" s="1"/>
  <c r="D220" i="139" s="1"/>
  <c r="E220" i="139" s="1"/>
  <c r="F220" i="139" s="1"/>
  <c r="G220" i="139" s="1"/>
  <c r="R34" i="138"/>
  <c r="T34" i="138" s="1"/>
  <c r="D143" i="139" s="1"/>
  <c r="E143" i="139" s="1"/>
  <c r="F143" i="139" s="1"/>
  <c r="G143" i="139" s="1"/>
  <c r="R26" i="138"/>
  <c r="T26" i="138" s="1"/>
  <c r="D135" i="139" s="1"/>
  <c r="E135" i="139" s="1"/>
  <c r="F135" i="139" s="1"/>
  <c r="G135" i="139" s="1"/>
  <c r="R157" i="138"/>
  <c r="T157" i="138" s="1"/>
  <c r="D266" i="139" s="1"/>
  <c r="E266" i="139" s="1"/>
  <c r="F266" i="139" s="1"/>
  <c r="G266" i="139" s="1"/>
  <c r="R104" i="138"/>
  <c r="R57" i="138"/>
  <c r="T57" i="138" s="1"/>
  <c r="D166" i="139" s="1"/>
  <c r="E166" i="139" s="1"/>
  <c r="F166" i="139" s="1"/>
  <c r="G166" i="139" s="1"/>
  <c r="R173" i="138"/>
  <c r="T173" i="138" s="1"/>
  <c r="D282" i="139" s="1"/>
  <c r="E282" i="139" s="1"/>
  <c r="F282" i="139" s="1"/>
  <c r="G282" i="139" s="1"/>
  <c r="R92" i="138"/>
  <c r="T92" i="138" s="1"/>
  <c r="D201" i="139" s="1"/>
  <c r="E201" i="139" s="1"/>
  <c r="F201" i="139" s="1"/>
  <c r="G201" i="139" s="1"/>
  <c r="R167" i="138"/>
  <c r="T167" i="138" s="1"/>
  <c r="D276" i="139" s="1"/>
  <c r="E276" i="139" s="1"/>
  <c r="F276" i="139" s="1"/>
  <c r="G276" i="139" s="1"/>
  <c r="R171" i="138"/>
  <c r="T171" i="138" s="1"/>
  <c r="D280" i="139" s="1"/>
  <c r="E280" i="139" s="1"/>
  <c r="F280" i="139" s="1"/>
  <c r="G280" i="139" s="1"/>
  <c r="R105" i="138"/>
  <c r="T105" i="138" s="1"/>
  <c r="D214" i="139" s="1"/>
  <c r="E214" i="139" s="1"/>
  <c r="F214" i="139" s="1"/>
  <c r="G214" i="139" s="1"/>
  <c r="R76" i="138"/>
  <c r="T76" i="138" s="1"/>
  <c r="D185" i="139" s="1"/>
  <c r="E185" i="139" s="1"/>
  <c r="F185" i="139" s="1"/>
  <c r="G185" i="139" s="1"/>
  <c r="R71" i="138"/>
  <c r="T71" i="138" s="1"/>
  <c r="D180" i="139" s="1"/>
  <c r="E180" i="139" s="1"/>
  <c r="F180" i="139" s="1"/>
  <c r="G180" i="139" s="1"/>
  <c r="R134" i="138"/>
  <c r="T134" i="138" s="1"/>
  <c r="D243" i="139" s="1"/>
  <c r="E243" i="139" s="1"/>
  <c r="F243" i="139" s="1"/>
  <c r="G243" i="139" s="1"/>
  <c r="R79" i="138"/>
  <c r="T79" i="138" s="1"/>
  <c r="D188" i="139" s="1"/>
  <c r="E188" i="139" s="1"/>
  <c r="F188" i="139" s="1"/>
  <c r="G188" i="139" s="1"/>
  <c r="R83" i="138"/>
  <c r="T83" i="138" s="1"/>
  <c r="D192" i="139" s="1"/>
  <c r="E192" i="139" s="1"/>
  <c r="F192" i="139" s="1"/>
  <c r="G192" i="139" s="1"/>
  <c r="R40" i="138"/>
  <c r="R122" i="138"/>
  <c r="T122" i="138" s="1"/>
  <c r="D231" i="139" s="1"/>
  <c r="E231" i="139" s="1"/>
  <c r="F231" i="139" s="1"/>
  <c r="G231" i="139" s="1"/>
  <c r="R86" i="138"/>
  <c r="T86" i="138" s="1"/>
  <c r="D195" i="139" s="1"/>
  <c r="E195" i="139" s="1"/>
  <c r="F195" i="139" s="1"/>
  <c r="G195" i="139" s="1"/>
  <c r="R56" i="138"/>
  <c r="T56" i="138" s="1"/>
  <c r="D165" i="139" s="1"/>
  <c r="E165" i="139" s="1"/>
  <c r="F165" i="139" s="1"/>
  <c r="G165" i="139" s="1"/>
  <c r="R139" i="138"/>
  <c r="R118" i="138"/>
  <c r="T118" i="138" s="1"/>
  <c r="D227" i="139" s="1"/>
  <c r="E227" i="139" s="1"/>
  <c r="F227" i="139" s="1"/>
  <c r="G227" i="139" s="1"/>
  <c r="R15" i="138"/>
  <c r="R14" i="138"/>
  <c r="R24" i="138"/>
  <c r="T24" i="138" s="1"/>
  <c r="D133" i="139" s="1"/>
  <c r="E133" i="139" s="1"/>
  <c r="F133" i="139" s="1"/>
  <c r="G133" i="139" s="1"/>
  <c r="R93" i="138"/>
  <c r="T93" i="138" s="1"/>
  <c r="D202" i="139" s="1"/>
  <c r="E202" i="139" s="1"/>
  <c r="F202" i="139" s="1"/>
  <c r="G202" i="139" s="1"/>
  <c r="R145" i="138"/>
  <c r="T145" i="138" s="1"/>
  <c r="D254" i="139" s="1"/>
  <c r="E254" i="139" s="1"/>
  <c r="F254" i="139" s="1"/>
  <c r="G254" i="139" s="1"/>
  <c r="R30" i="138"/>
  <c r="T30" i="138" s="1"/>
  <c r="D139" i="139" s="1"/>
  <c r="E139" i="139" s="1"/>
  <c r="F139" i="139" s="1"/>
  <c r="G139" i="139" s="1"/>
  <c r="R9" i="138"/>
  <c r="T9" i="138" s="1"/>
  <c r="D118" i="139" s="1"/>
  <c r="E118" i="139" s="1"/>
  <c r="F118" i="139" s="1"/>
  <c r="G118" i="139" s="1"/>
  <c r="R158" i="138"/>
  <c r="T158" i="138" s="1"/>
  <c r="D267" i="139" s="1"/>
  <c r="E267" i="139" s="1"/>
  <c r="F267" i="139" s="1"/>
  <c r="G267" i="139" s="1"/>
  <c r="R63" i="138"/>
  <c r="T63" i="138" s="1"/>
  <c r="D172" i="139" s="1"/>
  <c r="E172" i="139" s="1"/>
  <c r="F172" i="139" s="1"/>
  <c r="G172" i="139" s="1"/>
  <c r="R44" i="138"/>
  <c r="T44" i="138" s="1"/>
  <c r="D153" i="139" s="1"/>
  <c r="E153" i="139" s="1"/>
  <c r="F153" i="139" s="1"/>
  <c r="G153" i="139" s="1"/>
  <c r="R27" i="138"/>
  <c r="T27" i="138" s="1"/>
  <c r="D136" i="139" s="1"/>
  <c r="E136" i="139" s="1"/>
  <c r="F136" i="139" s="1"/>
  <c r="G136" i="139" s="1"/>
  <c r="R89" i="138"/>
  <c r="T89" i="138" s="1"/>
  <c r="D198" i="139" s="1"/>
  <c r="E198" i="139" s="1"/>
  <c r="F198" i="139" s="1"/>
  <c r="G198" i="139" s="1"/>
  <c r="R169" i="138"/>
  <c r="T169" i="138" s="1"/>
  <c r="D278" i="139" s="1"/>
  <c r="E278" i="139" s="1"/>
  <c r="F278" i="139" s="1"/>
  <c r="G278" i="139" s="1"/>
  <c r="R141" i="138"/>
  <c r="R65" i="138"/>
  <c r="T65" i="138" s="1"/>
  <c r="D174" i="139" s="1"/>
  <c r="E174" i="139" s="1"/>
  <c r="F174" i="139" s="1"/>
  <c r="G174" i="139" s="1"/>
  <c r="R72" i="138"/>
  <c r="T72" i="138" s="1"/>
  <c r="D181" i="139" s="1"/>
  <c r="E181" i="139" s="1"/>
  <c r="F181" i="139" s="1"/>
  <c r="G181" i="139" s="1"/>
  <c r="R123" i="138"/>
  <c r="T123" i="138" s="1"/>
  <c r="D232" i="139" s="1"/>
  <c r="E232" i="139" s="1"/>
  <c r="F232" i="139" s="1"/>
  <c r="G232" i="139" s="1"/>
  <c r="R154" i="138"/>
  <c r="R142" i="138"/>
  <c r="R47" i="138"/>
  <c r="T47" i="138" s="1"/>
  <c r="D156" i="139" s="1"/>
  <c r="E156" i="139" s="1"/>
  <c r="F156" i="139" s="1"/>
  <c r="G156" i="139" s="1"/>
  <c r="R7" i="138"/>
  <c r="T7" i="138" s="1"/>
  <c r="D116" i="139" s="1"/>
  <c r="E116" i="139" s="1"/>
  <c r="F116" i="139" s="1"/>
  <c r="G116" i="139" s="1"/>
  <c r="R126" i="138"/>
  <c r="T126" i="138" s="1"/>
  <c r="D235" i="139" s="1"/>
  <c r="E235" i="139" s="1"/>
  <c r="F235" i="139" s="1"/>
  <c r="G235" i="139" s="1"/>
  <c r="R33" i="138"/>
  <c r="T33" i="138" s="1"/>
  <c r="D142" i="139" s="1"/>
  <c r="E142" i="139" s="1"/>
  <c r="F142" i="139" s="1"/>
  <c r="G142" i="139" s="1"/>
  <c r="R99" i="138"/>
  <c r="T99" i="138" s="1"/>
  <c r="D208" i="139" s="1"/>
  <c r="E208" i="139" s="1"/>
  <c r="F208" i="139" s="1"/>
  <c r="G208" i="139" s="1"/>
  <c r="R8" i="138"/>
  <c r="T8" i="138" s="1"/>
  <c r="D117" i="139" s="1"/>
  <c r="E117" i="139" s="1"/>
  <c r="F117" i="139" s="1"/>
  <c r="G117" i="139" s="1"/>
  <c r="R58" i="138"/>
  <c r="T58" i="138" s="1"/>
  <c r="D167" i="139" s="1"/>
  <c r="E167" i="139" s="1"/>
  <c r="F167" i="139" s="1"/>
  <c r="G167" i="139" s="1"/>
  <c r="R151" i="138"/>
  <c r="T151" i="138" s="1"/>
  <c r="D260" i="139" s="1"/>
  <c r="E260" i="139" s="1"/>
  <c r="F260" i="139" s="1"/>
  <c r="G260" i="139" s="1"/>
  <c r="R127" i="138"/>
  <c r="T127" i="138" s="1"/>
  <c r="D236" i="139" s="1"/>
  <c r="E236" i="139" s="1"/>
  <c r="F236" i="139" s="1"/>
  <c r="G236" i="139" s="1"/>
  <c r="R90" i="138"/>
  <c r="T90" i="138" s="1"/>
  <c r="D199" i="139" s="1"/>
  <c r="E199" i="139" s="1"/>
  <c r="F199" i="139" s="1"/>
  <c r="G199" i="139" s="1"/>
  <c r="R109" i="138"/>
  <c r="T109" i="138" s="1"/>
  <c r="D218" i="139" s="1"/>
  <c r="E218" i="139" s="1"/>
  <c r="F218" i="139" s="1"/>
  <c r="G218" i="139" s="1"/>
  <c r="R59" i="138"/>
  <c r="T59" i="138" s="1"/>
  <c r="D168" i="139" s="1"/>
  <c r="E168" i="139" s="1"/>
  <c r="F168" i="139" s="1"/>
  <c r="G168" i="139" s="1"/>
  <c r="R102" i="138"/>
  <c r="R177" i="138" l="1"/>
  <c r="T177" i="138" s="1"/>
  <c r="D106" i="139" s="1"/>
  <c r="E106" i="139" s="1"/>
  <c r="F106" i="139" s="1"/>
  <c r="G106" i="139" s="1"/>
  <c r="R183" i="138"/>
  <c r="T183" i="138" s="1"/>
  <c r="D112" i="139" s="1"/>
  <c r="E112" i="139" s="1"/>
  <c r="F112" i="139" s="1"/>
  <c r="G112" i="139" s="1"/>
  <c r="P186" i="138"/>
  <c r="R178" i="138"/>
  <c r="T178" i="138" s="1"/>
  <c r="D107" i="139" s="1"/>
  <c r="E107" i="139" s="1"/>
  <c r="F107" i="139" s="1"/>
  <c r="G107" i="139" s="1"/>
  <c r="R179" i="138"/>
  <c r="T179" i="138" s="1"/>
  <c r="D108" i="139" s="1"/>
  <c r="E108" i="139" s="1"/>
  <c r="F108" i="139" s="1"/>
  <c r="G108" i="139" s="1"/>
  <c r="I186" i="138"/>
  <c r="K186" i="138" s="1"/>
  <c r="R181" i="138"/>
  <c r="T181" i="138" s="1"/>
  <c r="D110" i="139" s="1"/>
  <c r="E110" i="139" s="1"/>
  <c r="F110" i="139" s="1"/>
  <c r="G110" i="139" s="1"/>
  <c r="DS319" i="112"/>
  <c r="D990" i="137"/>
  <c r="D989" i="137"/>
  <c r="E989" i="137" s="1"/>
  <c r="F989" i="137" s="1"/>
  <c r="G989" i="137" s="1"/>
  <c r="D988" i="137"/>
  <c r="E988" i="137" s="1"/>
  <c r="F988" i="137" s="1"/>
  <c r="G988" i="137" s="1"/>
  <c r="D987" i="137"/>
  <c r="D986" i="137"/>
  <c r="E986" i="137" s="1"/>
  <c r="F986" i="137" s="1"/>
  <c r="G986" i="137" s="1"/>
  <c r="D985" i="137"/>
  <c r="E985" i="137" s="1"/>
  <c r="F985" i="137" s="1"/>
  <c r="G985" i="137" s="1"/>
  <c r="D984" i="137"/>
  <c r="E984" i="137" s="1"/>
  <c r="F984" i="137" s="1"/>
  <c r="G984" i="137" s="1"/>
  <c r="D983" i="137"/>
  <c r="E983" i="137" s="1"/>
  <c r="F983" i="137" s="1"/>
  <c r="G983" i="137" s="1"/>
  <c r="D982" i="137"/>
  <c r="D981" i="137"/>
  <c r="D980" i="137"/>
  <c r="D979" i="137"/>
  <c r="E979" i="137" s="1"/>
  <c r="F979" i="137" s="1"/>
  <c r="G979" i="137" s="1"/>
  <c r="D978" i="137"/>
  <c r="E978" i="137" s="1"/>
  <c r="F978" i="137" s="1"/>
  <c r="G978" i="137" s="1"/>
  <c r="D977" i="137"/>
  <c r="E977" i="137" s="1"/>
  <c r="F977" i="137" s="1"/>
  <c r="G977" i="137" s="1"/>
  <c r="D976" i="137"/>
  <c r="D975" i="137"/>
  <c r="E975" i="137" s="1"/>
  <c r="F975" i="137" s="1"/>
  <c r="G975" i="137" s="1"/>
  <c r="D974" i="137"/>
  <c r="E974" i="137" s="1"/>
  <c r="F974" i="137" s="1"/>
  <c r="G974" i="137" s="1"/>
  <c r="D973" i="137"/>
  <c r="E973" i="137" s="1"/>
  <c r="F973" i="137" s="1"/>
  <c r="G973" i="137" s="1"/>
  <c r="D972" i="137"/>
  <c r="E972" i="137" s="1"/>
  <c r="F972" i="137" s="1"/>
  <c r="G972" i="137" s="1"/>
  <c r="D971" i="137"/>
  <c r="E971" i="137" s="1"/>
  <c r="F971" i="137" s="1"/>
  <c r="G971" i="137" s="1"/>
  <c r="D970" i="137"/>
  <c r="E970" i="137" s="1"/>
  <c r="F970" i="137" s="1"/>
  <c r="G970" i="137" s="1"/>
  <c r="D969" i="137"/>
  <c r="D968" i="137"/>
  <c r="E968" i="137" s="1"/>
  <c r="F968" i="137" s="1"/>
  <c r="G968" i="137" s="1"/>
  <c r="D967" i="137"/>
  <c r="E967" i="137" s="1"/>
  <c r="F967" i="137" s="1"/>
  <c r="G967" i="137" s="1"/>
  <c r="D966" i="137"/>
  <c r="E966" i="137" s="1"/>
  <c r="F966" i="137" s="1"/>
  <c r="G966" i="137" s="1"/>
  <c r="D965" i="137"/>
  <c r="E965" i="137" s="1"/>
  <c r="F965" i="137" s="1"/>
  <c r="G965" i="137" s="1"/>
  <c r="D964" i="137"/>
  <c r="E964" i="137" s="1"/>
  <c r="F964" i="137" s="1"/>
  <c r="G964" i="137" s="1"/>
  <c r="D963" i="137"/>
  <c r="E963" i="137" s="1"/>
  <c r="F963" i="137" s="1"/>
  <c r="G963" i="137" s="1"/>
  <c r="D955" i="137"/>
  <c r="E955" i="137" s="1"/>
  <c r="F955" i="137" s="1"/>
  <c r="G955" i="137" s="1"/>
  <c r="D954" i="137"/>
  <c r="E954" i="137" s="1"/>
  <c r="F954" i="137" s="1"/>
  <c r="G954" i="137" s="1"/>
  <c r="D953" i="137"/>
  <c r="E953" i="137" s="1"/>
  <c r="F953" i="137" s="1"/>
  <c r="G953" i="137" s="1"/>
  <c r="D952" i="137"/>
  <c r="E952" i="137" s="1"/>
  <c r="F952" i="137" s="1"/>
  <c r="G952" i="137" s="1"/>
  <c r="D951" i="137"/>
  <c r="E951" i="137" s="1"/>
  <c r="F951" i="137" s="1"/>
  <c r="G951" i="137" s="1"/>
  <c r="D950" i="137"/>
  <c r="E950" i="137" s="1"/>
  <c r="F950" i="137" s="1"/>
  <c r="G950" i="137" s="1"/>
  <c r="D949" i="137"/>
  <c r="E949" i="137" s="1"/>
  <c r="F949" i="137" s="1"/>
  <c r="G949" i="137" s="1"/>
  <c r="D948" i="137"/>
  <c r="E948" i="137" s="1"/>
  <c r="F948" i="137" s="1"/>
  <c r="G948" i="137" s="1"/>
  <c r="D947" i="137"/>
  <c r="E947" i="137" s="1"/>
  <c r="F947" i="137" s="1"/>
  <c r="G947" i="137" s="1"/>
  <c r="D946" i="137"/>
  <c r="E946" i="137" s="1"/>
  <c r="F946" i="137" s="1"/>
  <c r="G946" i="137" s="1"/>
  <c r="D945" i="137"/>
  <c r="E945" i="137" s="1"/>
  <c r="F945" i="137" s="1"/>
  <c r="G945" i="137" s="1"/>
  <c r="D944" i="137"/>
  <c r="E944" i="137" s="1"/>
  <c r="F944" i="137" s="1"/>
  <c r="G944" i="137" s="1"/>
  <c r="D943" i="137"/>
  <c r="E943" i="137" s="1"/>
  <c r="F943" i="137" s="1"/>
  <c r="G943" i="137" s="1"/>
  <c r="D942" i="137"/>
  <c r="E942" i="137" s="1"/>
  <c r="F942" i="137" s="1"/>
  <c r="G942" i="137" s="1"/>
  <c r="D941" i="137"/>
  <c r="E941" i="137" s="1"/>
  <c r="F941" i="137" s="1"/>
  <c r="G941" i="137" s="1"/>
  <c r="D940" i="137"/>
  <c r="E940" i="137" s="1"/>
  <c r="F940" i="137" s="1"/>
  <c r="G940" i="137" s="1"/>
  <c r="D939" i="137"/>
  <c r="E939" i="137" s="1"/>
  <c r="F939" i="137" s="1"/>
  <c r="G939" i="137" s="1"/>
  <c r="D938" i="137"/>
  <c r="E938" i="137" s="1"/>
  <c r="F938" i="137" s="1"/>
  <c r="G938" i="137" s="1"/>
  <c r="D937" i="137"/>
  <c r="E937" i="137" s="1"/>
  <c r="F937" i="137" s="1"/>
  <c r="G937" i="137" s="1"/>
  <c r="D936" i="137"/>
  <c r="E936" i="137" s="1"/>
  <c r="F936" i="137" s="1"/>
  <c r="G936" i="137" s="1"/>
  <c r="D935" i="137"/>
  <c r="E935" i="137" s="1"/>
  <c r="F935" i="137" s="1"/>
  <c r="G935" i="137" s="1"/>
  <c r="D934" i="137"/>
  <c r="D933" i="137"/>
  <c r="D932" i="137"/>
  <c r="D931" i="137"/>
  <c r="D930" i="137"/>
  <c r="D929" i="137"/>
  <c r="D928" i="137"/>
  <c r="D927" i="137"/>
  <c r="D926" i="137"/>
  <c r="D925" i="137"/>
  <c r="D924" i="137"/>
  <c r="D923" i="137"/>
  <c r="D922" i="137"/>
  <c r="D921" i="137"/>
  <c r="D920" i="137"/>
  <c r="D919" i="137"/>
  <c r="D918" i="137"/>
  <c r="D917" i="137"/>
  <c r="D916" i="137"/>
  <c r="D915" i="137"/>
  <c r="D914" i="137"/>
  <c r="D913" i="137"/>
  <c r="D912" i="137"/>
  <c r="D911" i="137"/>
  <c r="D910" i="137"/>
  <c r="D909" i="137"/>
  <c r="D908" i="137"/>
  <c r="D907" i="137"/>
  <c r="E969" i="137"/>
  <c r="F969" i="137" s="1"/>
  <c r="G969" i="137" s="1"/>
  <c r="E976" i="137"/>
  <c r="F976" i="137" s="1"/>
  <c r="G976" i="137" s="1"/>
  <c r="E980" i="137"/>
  <c r="F980" i="137" s="1"/>
  <c r="G980" i="137" s="1"/>
  <c r="E981" i="137"/>
  <c r="F981" i="137" s="1"/>
  <c r="G981" i="137" s="1"/>
  <c r="E982" i="137"/>
  <c r="F982" i="137" s="1"/>
  <c r="G982" i="137" s="1"/>
  <c r="E987" i="137"/>
  <c r="F987" i="137" s="1"/>
  <c r="G987" i="137" s="1"/>
  <c r="E990" i="137"/>
  <c r="F990" i="137" s="1"/>
  <c r="G990" i="137" s="1"/>
  <c r="D962" i="137"/>
  <c r="E962" i="137" s="1"/>
  <c r="F962" i="137" s="1"/>
  <c r="G962" i="137" s="1"/>
  <c r="D961" i="137"/>
  <c r="E961" i="137" s="1"/>
  <c r="F961" i="137" s="1"/>
  <c r="G961" i="137" s="1"/>
  <c r="D960" i="137"/>
  <c r="E960" i="137" s="1"/>
  <c r="F960" i="137" s="1"/>
  <c r="G960" i="137" s="1"/>
  <c r="D959" i="137"/>
  <c r="E959" i="137" s="1"/>
  <c r="F959" i="137" s="1"/>
  <c r="G959" i="137" s="1"/>
  <c r="D958" i="137"/>
  <c r="E958" i="137" s="1"/>
  <c r="F958" i="137" s="1"/>
  <c r="G958" i="137" s="1"/>
  <c r="D957" i="137"/>
  <c r="E957" i="137" s="1"/>
  <c r="F957" i="137" s="1"/>
  <c r="G957" i="137" s="1"/>
  <c r="D956" i="137"/>
  <c r="E956" i="137" s="1"/>
  <c r="F956" i="137" s="1"/>
  <c r="G956" i="137" s="1"/>
  <c r="D801" i="137"/>
  <c r="D800" i="137"/>
  <c r="D799" i="137"/>
  <c r="D798" i="137"/>
  <c r="D797" i="137"/>
  <c r="D796" i="137"/>
  <c r="D795" i="137"/>
  <c r="D794" i="137"/>
  <c r="D793" i="137"/>
  <c r="D792" i="137"/>
  <c r="D791" i="137"/>
  <c r="D790" i="137"/>
  <c r="D789" i="137"/>
  <c r="D788" i="137"/>
  <c r="D787" i="137"/>
  <c r="D786" i="137"/>
  <c r="D785" i="137"/>
  <c r="D784" i="137"/>
  <c r="D783" i="137"/>
  <c r="D782" i="137"/>
  <c r="D781" i="137"/>
  <c r="D780" i="137"/>
  <c r="D779" i="137"/>
  <c r="D778" i="137"/>
  <c r="D777" i="137"/>
  <c r="D776" i="137"/>
  <c r="D775" i="137"/>
  <c r="D774" i="137"/>
  <c r="D773" i="137"/>
  <c r="D772" i="137"/>
  <c r="D771" i="137"/>
  <c r="D770" i="137"/>
  <c r="D769" i="137"/>
  <c r="D768" i="137"/>
  <c r="D767" i="137"/>
  <c r="D766" i="137"/>
  <c r="D765" i="137"/>
  <c r="D764" i="137"/>
  <c r="D763" i="137"/>
  <c r="D762" i="137"/>
  <c r="D761" i="137"/>
  <c r="D760" i="137"/>
  <c r="D759" i="137"/>
  <c r="D758" i="137"/>
  <c r="D757" i="137"/>
  <c r="D756" i="137"/>
  <c r="D755" i="137"/>
  <c r="D754" i="137"/>
  <c r="D753" i="137"/>
  <c r="D752" i="137"/>
  <c r="D751" i="137"/>
  <c r="D750" i="137"/>
  <c r="D749" i="137"/>
  <c r="D748" i="137"/>
  <c r="D747" i="137"/>
  <c r="D746" i="137"/>
  <c r="D745" i="137"/>
  <c r="D744" i="137"/>
  <c r="D743" i="137"/>
  <c r="D742" i="137"/>
  <c r="D741" i="137"/>
  <c r="D740" i="137"/>
  <c r="D739" i="137"/>
  <c r="D738" i="137"/>
  <c r="D737" i="137"/>
  <c r="D736" i="137"/>
  <c r="D735" i="137"/>
  <c r="D734" i="137"/>
  <c r="D733" i="137"/>
  <c r="D732" i="137"/>
  <c r="D731" i="137"/>
  <c r="D730" i="137"/>
  <c r="D729" i="137"/>
  <c r="D728" i="137"/>
  <c r="D727" i="137"/>
  <c r="D726" i="137"/>
  <c r="D725" i="137"/>
  <c r="D724" i="137"/>
  <c r="D723" i="137"/>
  <c r="D722" i="137"/>
  <c r="D721" i="137"/>
  <c r="D720" i="137"/>
  <c r="D719" i="137"/>
  <c r="D718" i="137"/>
  <c r="D717" i="137"/>
  <c r="D716" i="137"/>
  <c r="D715" i="137"/>
  <c r="D714" i="137"/>
  <c r="D713" i="137"/>
  <c r="D712" i="137"/>
  <c r="D711" i="137"/>
  <c r="D570" i="137"/>
  <c r="D569" i="137"/>
  <c r="D568" i="137"/>
  <c r="D567" i="137"/>
  <c r="D566" i="137"/>
  <c r="D565" i="137"/>
  <c r="D564" i="137"/>
  <c r="D563" i="137"/>
  <c r="D562" i="137"/>
  <c r="D561" i="137"/>
  <c r="D560" i="137"/>
  <c r="D559" i="137"/>
  <c r="D558" i="137"/>
  <c r="D557" i="137"/>
  <c r="D556" i="137"/>
  <c r="D555" i="137"/>
  <c r="D554" i="137"/>
  <c r="D553" i="137"/>
  <c r="D552" i="137"/>
  <c r="D551" i="137"/>
  <c r="D550" i="137"/>
  <c r="D549" i="137"/>
  <c r="D548" i="137"/>
  <c r="D547" i="137"/>
  <c r="D546" i="137"/>
  <c r="D545" i="137"/>
  <c r="D544" i="137"/>
  <c r="D543" i="137"/>
  <c r="DL319" i="112" l="1"/>
  <c r="ED319" i="112"/>
  <c r="R186" i="138"/>
  <c r="T186" i="138" s="1"/>
  <c r="D105" i="139" s="1"/>
  <c r="E105" i="139" s="1"/>
  <c r="F105" i="139" s="1"/>
  <c r="G105" i="139" s="1"/>
  <c r="D514" i="137"/>
  <c r="D513" i="137"/>
  <c r="D512" i="137"/>
  <c r="D511" i="137"/>
  <c r="D510" i="137"/>
  <c r="D509" i="137"/>
  <c r="D508" i="137"/>
  <c r="D507" i="137"/>
  <c r="D506" i="137"/>
  <c r="D505" i="137"/>
  <c r="D504" i="137"/>
  <c r="D503" i="137"/>
  <c r="D502" i="137"/>
  <c r="D501" i="137"/>
  <c r="D500" i="137"/>
  <c r="D499" i="137"/>
  <c r="D498" i="137"/>
  <c r="D497" i="137"/>
  <c r="D496" i="137"/>
  <c r="D495" i="137"/>
  <c r="D494" i="137"/>
  <c r="D493" i="137"/>
  <c r="D492" i="137"/>
  <c r="D491" i="137"/>
  <c r="D490" i="137"/>
  <c r="D489" i="137"/>
  <c r="D488" i="137"/>
  <c r="D487" i="137"/>
  <c r="D906" i="137"/>
  <c r="D905" i="137"/>
  <c r="D904" i="137"/>
  <c r="D903" i="137"/>
  <c r="D902" i="137"/>
  <c r="D901" i="137"/>
  <c r="D900" i="137"/>
  <c r="D899" i="137"/>
  <c r="D898" i="137"/>
  <c r="D897" i="137"/>
  <c r="D896" i="137"/>
  <c r="D895" i="137"/>
  <c r="D894" i="137"/>
  <c r="D893" i="137"/>
  <c r="D892" i="137"/>
  <c r="D891" i="137"/>
  <c r="D890" i="137"/>
  <c r="D889" i="137"/>
  <c r="D888" i="137"/>
  <c r="D887" i="137"/>
  <c r="D886" i="137"/>
  <c r="D885" i="137"/>
  <c r="D884" i="137"/>
  <c r="D883" i="137"/>
  <c r="D882" i="137"/>
  <c r="D881" i="137"/>
  <c r="D880" i="137"/>
  <c r="D879" i="137"/>
  <c r="D878" i="137"/>
  <c r="D877" i="137"/>
  <c r="D876" i="137"/>
  <c r="D875" i="137"/>
  <c r="D874" i="137"/>
  <c r="D873" i="137"/>
  <c r="D872" i="137"/>
  <c r="D871" i="137"/>
  <c r="D870" i="137"/>
  <c r="D869" i="137"/>
  <c r="D868" i="137"/>
  <c r="D867" i="137"/>
  <c r="D866" i="137"/>
  <c r="D865" i="137"/>
  <c r="D864" i="137"/>
  <c r="D863" i="137"/>
  <c r="D862" i="137"/>
  <c r="D861" i="137"/>
  <c r="D860" i="137"/>
  <c r="D859" i="137"/>
  <c r="D858" i="137"/>
  <c r="D857" i="137"/>
  <c r="D856" i="137"/>
  <c r="D855" i="137"/>
  <c r="D854" i="137"/>
  <c r="D853" i="137"/>
  <c r="D852" i="137"/>
  <c r="D851" i="137"/>
  <c r="D850" i="137"/>
  <c r="D849" i="137"/>
  <c r="D848" i="137"/>
  <c r="D847" i="137"/>
  <c r="D846" i="137"/>
  <c r="D845" i="137"/>
  <c r="D844" i="137"/>
  <c r="D843" i="137"/>
  <c r="D842" i="137"/>
  <c r="D841" i="137"/>
  <c r="D840" i="137"/>
  <c r="D839" i="137"/>
  <c r="D838" i="137"/>
  <c r="D837" i="137"/>
  <c r="D836" i="137"/>
  <c r="D835" i="137"/>
  <c r="D834" i="137"/>
  <c r="D833" i="137"/>
  <c r="D832" i="137"/>
  <c r="D831" i="137"/>
  <c r="D830" i="137"/>
  <c r="D829" i="137"/>
  <c r="D828" i="137"/>
  <c r="D827" i="137"/>
  <c r="D826" i="137"/>
  <c r="D825" i="137"/>
  <c r="D824" i="137"/>
  <c r="D823" i="137"/>
  <c r="D822" i="137"/>
  <c r="D821" i="137"/>
  <c r="D820" i="137"/>
  <c r="D819" i="137"/>
  <c r="D818" i="137"/>
  <c r="D817" i="137"/>
  <c r="D816" i="137"/>
  <c r="D815" i="137"/>
  <c r="D814" i="137"/>
  <c r="D813" i="137"/>
  <c r="D812" i="137"/>
  <c r="D811" i="137"/>
  <c r="D810" i="137"/>
  <c r="D809" i="137"/>
  <c r="D808" i="137"/>
  <c r="D807" i="137"/>
  <c r="D806" i="137"/>
  <c r="D805" i="137"/>
  <c r="D804" i="137"/>
  <c r="D803" i="137"/>
  <c r="D802" i="137"/>
  <c r="D710" i="137"/>
  <c r="D709" i="137"/>
  <c r="D708" i="137"/>
  <c r="D707" i="137"/>
  <c r="D706" i="137"/>
  <c r="D705" i="137"/>
  <c r="D704" i="137"/>
  <c r="D703" i="137"/>
  <c r="D702" i="137"/>
  <c r="D701" i="137"/>
  <c r="D700" i="137"/>
  <c r="D699" i="137"/>
  <c r="D698" i="137"/>
  <c r="D697" i="137"/>
  <c r="D696" i="137"/>
  <c r="D695" i="137"/>
  <c r="D694" i="137"/>
  <c r="D693" i="137"/>
  <c r="D692" i="137"/>
  <c r="D691" i="137"/>
  <c r="D690" i="137"/>
  <c r="D689" i="137"/>
  <c r="D688" i="137"/>
  <c r="D687" i="137"/>
  <c r="D686" i="137"/>
  <c r="D685" i="137"/>
  <c r="D684" i="137"/>
  <c r="D683" i="137"/>
  <c r="D682" i="137"/>
  <c r="D681" i="137"/>
  <c r="D680" i="137"/>
  <c r="D679" i="137"/>
  <c r="D678" i="137"/>
  <c r="D677" i="137"/>
  <c r="D676" i="137"/>
  <c r="D675" i="137"/>
  <c r="D674" i="137"/>
  <c r="D673" i="137"/>
  <c r="D672" i="137"/>
  <c r="D671" i="137"/>
  <c r="D670" i="137"/>
  <c r="D669" i="137"/>
  <c r="D668" i="137"/>
  <c r="D667" i="137"/>
  <c r="D666" i="137"/>
  <c r="D665" i="137"/>
  <c r="D664" i="137"/>
  <c r="D663" i="137"/>
  <c r="D662" i="137"/>
  <c r="D661" i="137"/>
  <c r="D660" i="137"/>
  <c r="D659" i="137"/>
  <c r="D658" i="137"/>
  <c r="D657" i="137"/>
  <c r="D656" i="137"/>
  <c r="D655" i="137"/>
  <c r="D654" i="137"/>
  <c r="D653" i="137"/>
  <c r="D652" i="137"/>
  <c r="D651" i="137"/>
  <c r="D650" i="137"/>
  <c r="D649" i="137"/>
  <c r="D648" i="137"/>
  <c r="D647" i="137"/>
  <c r="D646" i="137"/>
  <c r="D645" i="137"/>
  <c r="D644" i="137"/>
  <c r="D643" i="137"/>
  <c r="D642" i="137"/>
  <c r="D641" i="137"/>
  <c r="D640" i="137"/>
  <c r="D639" i="137"/>
  <c r="D638" i="137"/>
  <c r="D637" i="137"/>
  <c r="D636" i="137"/>
  <c r="D635" i="137"/>
  <c r="D634" i="137"/>
  <c r="D633" i="137"/>
  <c r="D632" i="137"/>
  <c r="D631" i="137"/>
  <c r="D630" i="137"/>
  <c r="D629" i="137"/>
  <c r="D628" i="137"/>
  <c r="D627" i="137"/>
  <c r="D626" i="137"/>
  <c r="D625" i="137"/>
  <c r="D624" i="137"/>
  <c r="D623" i="137"/>
  <c r="D622" i="137"/>
  <c r="D621" i="137"/>
  <c r="D620" i="137"/>
  <c r="D619" i="137"/>
  <c r="D618" i="137"/>
  <c r="D617" i="137"/>
  <c r="D616" i="137"/>
  <c r="D615" i="137"/>
  <c r="D614" i="137"/>
  <c r="D613" i="137"/>
  <c r="D612" i="137"/>
  <c r="D611" i="137"/>
  <c r="D610" i="137"/>
  <c r="D609" i="137"/>
  <c r="D608" i="137"/>
  <c r="D607" i="137"/>
  <c r="D606" i="137"/>
  <c r="D605" i="137"/>
  <c r="D604" i="137"/>
  <c r="D603" i="137"/>
  <c r="D602" i="137"/>
  <c r="D601" i="137"/>
  <c r="D600" i="137"/>
  <c r="D599" i="137"/>
  <c r="D598" i="137"/>
  <c r="D597" i="137"/>
  <c r="D596" i="137"/>
  <c r="D595" i="137"/>
  <c r="D594" i="137"/>
  <c r="D593" i="137"/>
  <c r="D592" i="137"/>
  <c r="D591" i="137"/>
  <c r="D590" i="137"/>
  <c r="D589" i="137"/>
  <c r="D588" i="137"/>
  <c r="D587" i="137"/>
  <c r="D586" i="137"/>
  <c r="D585" i="137"/>
  <c r="D584" i="137"/>
  <c r="D583" i="137"/>
  <c r="D582" i="137"/>
  <c r="D581" i="137"/>
  <c r="D580" i="137"/>
  <c r="D579" i="137"/>
  <c r="D578" i="137"/>
  <c r="D577" i="137"/>
  <c r="D576" i="137"/>
  <c r="D575" i="137"/>
  <c r="D574" i="137"/>
  <c r="D573" i="137"/>
  <c r="D572" i="137"/>
  <c r="D571" i="137"/>
  <c r="D542" i="137"/>
  <c r="D541" i="137"/>
  <c r="D540" i="137"/>
  <c r="D539" i="137"/>
  <c r="D538" i="137"/>
  <c r="D537" i="137"/>
  <c r="D536" i="137"/>
  <c r="D535" i="137"/>
  <c r="D534" i="137"/>
  <c r="D533" i="137"/>
  <c r="D532" i="137"/>
  <c r="D531" i="137"/>
  <c r="D530" i="137"/>
  <c r="D529" i="137"/>
  <c r="D528" i="137"/>
  <c r="D527" i="137"/>
  <c r="D526" i="137"/>
  <c r="D525" i="137"/>
  <c r="D524" i="137"/>
  <c r="D523" i="137"/>
  <c r="D522" i="137"/>
  <c r="D521" i="137"/>
  <c r="D520" i="137"/>
  <c r="D519" i="137"/>
  <c r="D518" i="137"/>
  <c r="D517" i="137"/>
  <c r="D516" i="137"/>
  <c r="D515" i="137"/>
  <c r="D486" i="137"/>
  <c r="D485" i="137"/>
  <c r="D484" i="137"/>
  <c r="D483" i="137"/>
  <c r="D482" i="137"/>
  <c r="D481" i="137"/>
  <c r="D480" i="137"/>
  <c r="D479" i="137"/>
  <c r="D478" i="137"/>
  <c r="D477" i="137"/>
  <c r="D476" i="137"/>
  <c r="D475" i="137"/>
  <c r="D474" i="137"/>
  <c r="D473" i="137"/>
  <c r="D472" i="137"/>
  <c r="D471" i="137"/>
  <c r="D470" i="137"/>
  <c r="D469" i="137"/>
  <c r="D468" i="137"/>
  <c r="D467" i="137"/>
  <c r="D466" i="137"/>
  <c r="D465" i="137"/>
  <c r="D464" i="137"/>
  <c r="D463" i="137"/>
  <c r="D462" i="137"/>
  <c r="D461" i="137"/>
  <c r="D460" i="137"/>
  <c r="D459" i="137"/>
  <c r="D458" i="137"/>
  <c r="D457" i="137"/>
  <c r="D456" i="137"/>
  <c r="D455" i="137"/>
  <c r="D454" i="137"/>
  <c r="D453" i="137"/>
  <c r="D452" i="137"/>
  <c r="D451" i="137"/>
  <c r="D450" i="137"/>
  <c r="D449" i="137"/>
  <c r="D448" i="137"/>
  <c r="D447" i="137"/>
  <c r="D446" i="137"/>
  <c r="D445" i="137"/>
  <c r="D444" i="137"/>
  <c r="D443" i="137"/>
  <c r="D442" i="137"/>
  <c r="D441" i="137"/>
  <c r="D440" i="137"/>
  <c r="D439" i="137"/>
  <c r="D438" i="137"/>
  <c r="D437" i="137"/>
  <c r="D436" i="137"/>
  <c r="D435" i="137"/>
  <c r="D434" i="137"/>
  <c r="D433" i="137"/>
  <c r="D432" i="137"/>
  <c r="D431" i="137"/>
  <c r="D430" i="137"/>
  <c r="D429" i="137"/>
  <c r="D428" i="137"/>
  <c r="D427" i="137"/>
  <c r="D426" i="137"/>
  <c r="D425" i="137"/>
  <c r="D424" i="137"/>
  <c r="D423" i="137"/>
  <c r="D422" i="137"/>
  <c r="D421" i="137"/>
  <c r="D420" i="137"/>
  <c r="D419" i="137"/>
  <c r="D418" i="137"/>
  <c r="D417" i="137"/>
  <c r="D416" i="137"/>
  <c r="D415" i="137"/>
  <c r="D414" i="137"/>
  <c r="D413" i="137"/>
  <c r="D412" i="137"/>
  <c r="D411" i="137"/>
  <c r="D410" i="137"/>
  <c r="D409" i="137"/>
  <c r="D408" i="137"/>
  <c r="D407" i="137"/>
  <c r="D406" i="137"/>
  <c r="D405" i="137"/>
  <c r="D404" i="137"/>
  <c r="D403" i="137"/>
  <c r="D402" i="137"/>
  <c r="D401" i="137"/>
  <c r="D400" i="137"/>
  <c r="D399" i="137"/>
  <c r="D398" i="137"/>
  <c r="D397" i="137"/>
  <c r="D396" i="137"/>
  <c r="D395" i="137"/>
  <c r="D394" i="137"/>
  <c r="D393" i="137"/>
  <c r="D392" i="137"/>
  <c r="D391" i="137"/>
  <c r="D390" i="137"/>
  <c r="D389" i="137"/>
  <c r="D388" i="137"/>
  <c r="D387" i="137"/>
  <c r="D386" i="137"/>
  <c r="D385" i="137"/>
  <c r="D384" i="137"/>
  <c r="D383" i="137"/>
  <c r="D382" i="137"/>
  <c r="D381" i="137"/>
  <c r="D380" i="137"/>
  <c r="D379" i="137"/>
  <c r="D378" i="137"/>
  <c r="D377" i="137"/>
  <c r="D376" i="137"/>
  <c r="D375" i="137"/>
  <c r="D374" i="137"/>
  <c r="D373" i="137"/>
  <c r="D372" i="137"/>
  <c r="D371" i="137"/>
  <c r="D370" i="137"/>
  <c r="D369" i="137"/>
  <c r="D368" i="137"/>
  <c r="D367" i="137"/>
  <c r="D366" i="137"/>
  <c r="D365" i="137"/>
  <c r="D364" i="137"/>
  <c r="D363" i="137"/>
  <c r="D362" i="137"/>
  <c r="D361" i="137"/>
  <c r="D360" i="137"/>
  <c r="D359" i="137"/>
  <c r="D358" i="137"/>
  <c r="D357" i="137"/>
  <c r="D356" i="137"/>
  <c r="D355" i="137"/>
  <c r="D354" i="137"/>
  <c r="D353" i="137"/>
  <c r="D352" i="137"/>
  <c r="D351" i="137"/>
  <c r="D350" i="137"/>
  <c r="D349" i="137"/>
  <c r="D348" i="137"/>
  <c r="D347" i="137"/>
  <c r="D346" i="137"/>
  <c r="D345" i="137"/>
  <c r="D344" i="137"/>
  <c r="D343" i="137"/>
  <c r="D342" i="137"/>
  <c r="D341" i="137"/>
  <c r="D340" i="137"/>
  <c r="D339" i="137"/>
  <c r="D338" i="137"/>
  <c r="D337" i="137"/>
  <c r="D336" i="137"/>
  <c r="D335" i="137"/>
  <c r="D334" i="137"/>
  <c r="D333" i="137"/>
  <c r="D332" i="137"/>
  <c r="D331" i="137"/>
  <c r="D330" i="137"/>
  <c r="D329" i="137"/>
  <c r="D328" i="137"/>
  <c r="D327" i="137"/>
  <c r="D326" i="137"/>
  <c r="D325" i="137"/>
  <c r="D324" i="137"/>
  <c r="D323" i="137"/>
  <c r="D322" i="137"/>
  <c r="D321" i="137"/>
  <c r="D320" i="137"/>
  <c r="D319" i="137"/>
  <c r="D318" i="137"/>
  <c r="D317" i="137"/>
  <c r="D316" i="137"/>
  <c r="D315" i="137"/>
  <c r="D314" i="137"/>
  <c r="D313" i="137"/>
  <c r="D312" i="137"/>
  <c r="D311" i="137"/>
  <c r="D310" i="137"/>
  <c r="D309" i="137"/>
  <c r="D308" i="137"/>
  <c r="D307" i="137"/>
  <c r="D306" i="137"/>
  <c r="D305" i="137"/>
  <c r="D304" i="137"/>
  <c r="D303" i="137"/>
  <c r="D302" i="137"/>
  <c r="D301" i="137"/>
  <c r="D300" i="137"/>
  <c r="D299" i="137"/>
  <c r="D298" i="137"/>
  <c r="D297" i="137"/>
  <c r="D296" i="137"/>
  <c r="D295" i="137"/>
  <c r="D294" i="137"/>
  <c r="D293" i="137"/>
  <c r="D292" i="137"/>
  <c r="D291" i="137"/>
  <c r="D290" i="137"/>
  <c r="D289" i="137"/>
  <c r="D288" i="137"/>
  <c r="D287" i="137"/>
  <c r="D286" i="137"/>
  <c r="D285" i="137"/>
  <c r="D284" i="137"/>
  <c r="D283" i="137"/>
  <c r="D282" i="137"/>
  <c r="D281" i="137"/>
  <c r="D280" i="137"/>
  <c r="D279" i="137"/>
  <c r="D278" i="137"/>
  <c r="D277" i="137"/>
  <c r="D276" i="137"/>
  <c r="D275" i="137"/>
  <c r="D274" i="137"/>
  <c r="D273" i="137"/>
  <c r="D272" i="137"/>
  <c r="D271" i="137"/>
  <c r="D270" i="137"/>
  <c r="D269" i="137"/>
  <c r="D268" i="137"/>
  <c r="D267" i="137"/>
  <c r="D266" i="137"/>
  <c r="D265" i="137"/>
  <c r="D264" i="137"/>
  <c r="D263" i="137"/>
  <c r="D262" i="137"/>
  <c r="D261" i="137"/>
  <c r="D260" i="137"/>
  <c r="D259" i="137"/>
  <c r="D258" i="137"/>
  <c r="D257" i="137"/>
  <c r="D256" i="137"/>
  <c r="D255" i="137"/>
  <c r="D254" i="137"/>
  <c r="D253" i="137"/>
  <c r="D252" i="137"/>
  <c r="D251" i="137"/>
  <c r="D250" i="137"/>
  <c r="D249" i="137"/>
  <c r="D248" i="137"/>
  <c r="D247" i="137"/>
  <c r="D246" i="137"/>
  <c r="D245" i="137"/>
  <c r="D244" i="137"/>
  <c r="D243" i="137"/>
  <c r="D242" i="137"/>
  <c r="D241" i="137"/>
  <c r="D240" i="137"/>
  <c r="D239" i="137"/>
  <c r="D238" i="137"/>
  <c r="D237" i="137"/>
  <c r="D236" i="137"/>
  <c r="D235" i="137"/>
  <c r="D234" i="137"/>
  <c r="D233" i="137"/>
  <c r="D232" i="137"/>
  <c r="D231" i="137"/>
  <c r="D230" i="137"/>
  <c r="D229" i="137"/>
  <c r="D228" i="137"/>
  <c r="D227" i="137"/>
  <c r="D226" i="137"/>
  <c r="D225" i="137"/>
  <c r="D224" i="137"/>
  <c r="D223" i="137"/>
  <c r="D222" i="137"/>
  <c r="D221" i="137"/>
  <c r="D220" i="137"/>
  <c r="D219" i="137"/>
  <c r="D218" i="137"/>
  <c r="D217" i="137"/>
  <c r="D216" i="137"/>
  <c r="D215" i="137"/>
  <c r="D214" i="137"/>
  <c r="D213" i="137"/>
  <c r="D212" i="137"/>
  <c r="D211" i="137"/>
  <c r="D210" i="137"/>
  <c r="D209" i="137"/>
  <c r="D208" i="137"/>
  <c r="D207" i="137"/>
  <c r="D206" i="137"/>
  <c r="D205" i="137"/>
  <c r="D204" i="137"/>
  <c r="D203" i="137"/>
  <c r="D202" i="137"/>
  <c r="D201" i="137"/>
  <c r="D200" i="137"/>
  <c r="D199" i="137"/>
  <c r="D198" i="137"/>
  <c r="D197" i="137"/>
  <c r="D196" i="137"/>
  <c r="D195" i="137"/>
  <c r="D194" i="137"/>
  <c r="D193" i="137"/>
  <c r="D192" i="137"/>
  <c r="D191" i="137"/>
  <c r="D190" i="137"/>
  <c r="D189" i="137"/>
  <c r="D188" i="137"/>
  <c r="D187" i="137"/>
  <c r="D186" i="137"/>
  <c r="D185" i="137"/>
  <c r="D184" i="137"/>
  <c r="D183" i="137"/>
  <c r="D182" i="137"/>
  <c r="D181" i="137"/>
  <c r="D180" i="137"/>
  <c r="D179" i="137"/>
  <c r="D178" i="137"/>
  <c r="D177" i="137"/>
  <c r="D176" i="137"/>
  <c r="D175" i="137"/>
  <c r="D174" i="137"/>
  <c r="D173" i="137"/>
  <c r="D172" i="137"/>
  <c r="D171" i="137"/>
  <c r="D170" i="137"/>
  <c r="D169" i="137"/>
  <c r="D168" i="137"/>
  <c r="D167" i="137"/>
  <c r="D166" i="137"/>
  <c r="D165" i="137"/>
  <c r="D164" i="137"/>
  <c r="D163" i="137"/>
  <c r="D162" i="137"/>
  <c r="D161" i="137"/>
  <c r="D160" i="137"/>
  <c r="D159" i="137"/>
  <c r="D158" i="137"/>
  <c r="D157" i="137"/>
  <c r="D156" i="137"/>
  <c r="D155" i="137"/>
  <c r="D154" i="137"/>
  <c r="D153" i="137"/>
  <c r="D152" i="137"/>
  <c r="D151" i="137"/>
  <c r="D150" i="137"/>
  <c r="D149" i="137"/>
  <c r="D148" i="137"/>
  <c r="D147" i="137"/>
  <c r="D146" i="137"/>
  <c r="D145" i="137"/>
  <c r="D144" i="137"/>
  <c r="D143" i="137"/>
  <c r="D142" i="137"/>
  <c r="D141" i="137"/>
  <c r="D140" i="137"/>
  <c r="D139" i="137"/>
  <c r="D138" i="137"/>
  <c r="D137" i="137"/>
  <c r="D136" i="137"/>
  <c r="D135" i="137"/>
  <c r="D134" i="137"/>
  <c r="D133" i="137"/>
  <c r="D132" i="137"/>
  <c r="D131" i="137"/>
  <c r="D130" i="137"/>
  <c r="D129" i="137"/>
  <c r="D128" i="137"/>
  <c r="D127" i="137"/>
  <c r="D126" i="137"/>
  <c r="D125" i="137"/>
  <c r="D124" i="137"/>
  <c r="D123" i="137"/>
  <c r="D122" i="137"/>
  <c r="D121" i="137"/>
  <c r="D120" i="137"/>
  <c r="D119" i="137"/>
  <c r="D118" i="137"/>
  <c r="D117" i="137"/>
  <c r="D116" i="137"/>
  <c r="D115" i="137"/>
  <c r="D114" i="137"/>
  <c r="D113" i="137"/>
  <c r="D112" i="137"/>
  <c r="D111" i="137"/>
  <c r="D110" i="137"/>
  <c r="D109" i="137"/>
  <c r="D108" i="137"/>
  <c r="D107" i="137"/>
  <c r="D106" i="137"/>
  <c r="D105" i="137"/>
  <c r="D104" i="137"/>
  <c r="D103" i="137"/>
  <c r="D102" i="137"/>
  <c r="D101" i="137"/>
  <c r="D100" i="137"/>
  <c r="D99" i="137"/>
  <c r="D98" i="137"/>
  <c r="D97" i="137"/>
  <c r="D96" i="137"/>
  <c r="D95" i="137"/>
  <c r="D94" i="137"/>
  <c r="D93" i="137"/>
  <c r="D92" i="137"/>
  <c r="D91" i="137"/>
  <c r="D90" i="137"/>
  <c r="D89" i="137"/>
  <c r="D88" i="137"/>
  <c r="D87" i="137"/>
  <c r="D86" i="137"/>
  <c r="D85" i="137"/>
  <c r="D84" i="137"/>
  <c r="D83" i="137"/>
  <c r="D82" i="137"/>
  <c r="D81" i="137"/>
  <c r="D80" i="137"/>
  <c r="D79" i="137"/>
  <c r="D78" i="137"/>
  <c r="D77" i="137"/>
  <c r="D76" i="137"/>
  <c r="D75" i="137"/>
  <c r="D74" i="137"/>
  <c r="D73" i="137"/>
  <c r="D72" i="137"/>
  <c r="D71" i="137"/>
  <c r="D70" i="137"/>
  <c r="D69" i="137"/>
  <c r="D68" i="137"/>
  <c r="D67" i="137"/>
  <c r="D66" i="137"/>
  <c r="D65" i="137"/>
  <c r="D64" i="137"/>
  <c r="D63" i="137"/>
  <c r="D62" i="137"/>
  <c r="D61" i="137"/>
  <c r="D60" i="137"/>
  <c r="D59" i="137"/>
  <c r="D58" i="137"/>
  <c r="D57" i="137"/>
  <c r="D56" i="137"/>
  <c r="D55" i="137"/>
  <c r="D54" i="137"/>
  <c r="D53" i="137"/>
  <c r="D52" i="137"/>
  <c r="D51" i="137"/>
  <c r="D50" i="137"/>
  <c r="D49" i="137"/>
  <c r="D48" i="137"/>
  <c r="D47" i="137"/>
  <c r="D46" i="137"/>
  <c r="D45" i="137"/>
  <c r="D44" i="137"/>
  <c r="D43" i="137"/>
  <c r="D42" i="137"/>
  <c r="D41" i="137"/>
  <c r="D40" i="137"/>
  <c r="D39" i="137"/>
  <c r="D38" i="137"/>
  <c r="D37" i="137"/>
  <c r="D36" i="137"/>
  <c r="D35" i="137"/>
  <c r="D34" i="137"/>
  <c r="D33" i="137"/>
  <c r="D32" i="137"/>
  <c r="D31" i="137"/>
  <c r="D30" i="137"/>
  <c r="D29" i="137"/>
  <c r="D28" i="137"/>
  <c r="D27" i="137"/>
  <c r="D26" i="137"/>
  <c r="D25" i="137"/>
  <c r="D24" i="137"/>
  <c r="D23" i="137"/>
  <c r="D22" i="137"/>
  <c r="D21" i="137"/>
  <c r="D20" i="137"/>
  <c r="D19" i="137"/>
  <c r="D18" i="137"/>
  <c r="D17" i="137"/>
  <c r="D16" i="137"/>
  <c r="D15" i="137"/>
  <c r="D14" i="137"/>
  <c r="D13" i="137"/>
  <c r="D12" i="137"/>
  <c r="D11" i="137"/>
  <c r="D10" i="137"/>
  <c r="D9" i="137"/>
  <c r="D8" i="137"/>
  <c r="D7" i="137"/>
  <c r="D6" i="137"/>
  <c r="D5" i="137"/>
  <c r="D4" i="137"/>
  <c r="S743" i="135"/>
  <c r="S742" i="135"/>
  <c r="S371" i="135"/>
  <c r="S309" i="135"/>
  <c r="S307" i="135"/>
  <c r="S306" i="135"/>
  <c r="S305" i="135"/>
  <c r="S304" i="135"/>
  <c r="S303" i="135"/>
  <c r="S302" i="135"/>
  <c r="S301" i="135"/>
  <c r="S296" i="135"/>
  <c r="S291" i="135"/>
  <c r="S290" i="135"/>
  <c r="D747" i="135"/>
  <c r="D746" i="135"/>
  <c r="D745" i="135"/>
  <c r="D744" i="135"/>
  <c r="AG744" i="135"/>
  <c r="AG745" i="135"/>
  <c r="AG746" i="135"/>
  <c r="AG747" i="135"/>
  <c r="AG743" i="135"/>
  <c r="D307" i="135"/>
  <c r="E307" i="135" l="1"/>
  <c r="F307" i="135" s="1"/>
  <c r="G307" i="135" s="1"/>
  <c r="D743" i="135"/>
  <c r="AG934" i="137"/>
  <c r="E934" i="137"/>
  <c r="F934" i="137" s="1"/>
  <c r="G934" i="137" s="1"/>
  <c r="AG933" i="137"/>
  <c r="E933" i="137"/>
  <c r="F933" i="137" s="1"/>
  <c r="G933" i="137" s="1"/>
  <c r="AG932" i="137"/>
  <c r="E932" i="137"/>
  <c r="F932" i="137" s="1"/>
  <c r="G932" i="137" s="1"/>
  <c r="AG931" i="137"/>
  <c r="E931" i="137"/>
  <c r="F931" i="137" s="1"/>
  <c r="G931" i="137" s="1"/>
  <c r="AG930" i="137"/>
  <c r="E930" i="137"/>
  <c r="F930" i="137" s="1"/>
  <c r="G930" i="137" s="1"/>
  <c r="AG929" i="137"/>
  <c r="E929" i="137"/>
  <c r="F929" i="137" s="1"/>
  <c r="G929" i="137" s="1"/>
  <c r="AG928" i="137"/>
  <c r="E928" i="137"/>
  <c r="F928" i="137" s="1"/>
  <c r="G928" i="137" s="1"/>
  <c r="AG927" i="137"/>
  <c r="E927" i="137"/>
  <c r="F927" i="137" s="1"/>
  <c r="G927" i="137" s="1"/>
  <c r="AG926" i="137"/>
  <c r="E926" i="137"/>
  <c r="F926" i="137" s="1"/>
  <c r="G926" i="137" s="1"/>
  <c r="AG925" i="137"/>
  <c r="E925" i="137"/>
  <c r="F925" i="137" s="1"/>
  <c r="G925" i="137" s="1"/>
  <c r="AG924" i="137"/>
  <c r="E924" i="137"/>
  <c r="F924" i="137" s="1"/>
  <c r="G924" i="137" s="1"/>
  <c r="AG923" i="137"/>
  <c r="E923" i="137"/>
  <c r="F923" i="137" s="1"/>
  <c r="G923" i="137" s="1"/>
  <c r="AG922" i="137"/>
  <c r="E922" i="137"/>
  <c r="F922" i="137" s="1"/>
  <c r="G922" i="137" s="1"/>
  <c r="AG921" i="137"/>
  <c r="E921" i="137"/>
  <c r="F921" i="137" s="1"/>
  <c r="G921" i="137" s="1"/>
  <c r="AG920" i="137"/>
  <c r="E920" i="137"/>
  <c r="F920" i="137" s="1"/>
  <c r="G920" i="137" s="1"/>
  <c r="AG919" i="137"/>
  <c r="E919" i="137"/>
  <c r="F919" i="137" s="1"/>
  <c r="G919" i="137" s="1"/>
  <c r="AG918" i="137"/>
  <c r="E918" i="137"/>
  <c r="F918" i="137" s="1"/>
  <c r="G918" i="137" s="1"/>
  <c r="AG917" i="137"/>
  <c r="E917" i="137"/>
  <c r="F917" i="137" s="1"/>
  <c r="G917" i="137" s="1"/>
  <c r="AG916" i="137"/>
  <c r="E916" i="137"/>
  <c r="F916" i="137" s="1"/>
  <c r="G916" i="137" s="1"/>
  <c r="AG915" i="137"/>
  <c r="E915" i="137"/>
  <c r="F915" i="137" s="1"/>
  <c r="G915" i="137" s="1"/>
  <c r="AG914" i="137"/>
  <c r="E914" i="137"/>
  <c r="F914" i="137" s="1"/>
  <c r="G914" i="137" s="1"/>
  <c r="AG913" i="137"/>
  <c r="E913" i="137"/>
  <c r="F913" i="137" s="1"/>
  <c r="G913" i="137" s="1"/>
  <c r="AG912" i="137"/>
  <c r="E912" i="137"/>
  <c r="F912" i="137" s="1"/>
  <c r="G912" i="137" s="1"/>
  <c r="AG911" i="137"/>
  <c r="E911" i="137"/>
  <c r="F911" i="137" s="1"/>
  <c r="G911" i="137" s="1"/>
  <c r="AG910" i="137"/>
  <c r="E910" i="137"/>
  <c r="F910" i="137" s="1"/>
  <c r="G910" i="137" s="1"/>
  <c r="AG909" i="137"/>
  <c r="E909" i="137"/>
  <c r="F909" i="137" s="1"/>
  <c r="G909" i="137" s="1"/>
  <c r="AG908" i="137"/>
  <c r="E908" i="137"/>
  <c r="F908" i="137" s="1"/>
  <c r="G908" i="137" s="1"/>
  <c r="AG907" i="137"/>
  <c r="E907" i="137"/>
  <c r="F907" i="137" s="1"/>
  <c r="G907" i="137" s="1"/>
  <c r="AG906" i="137"/>
  <c r="E906" i="137"/>
  <c r="F906" i="137" s="1"/>
  <c r="G906" i="137" s="1"/>
  <c r="AG905" i="137"/>
  <c r="E905" i="137"/>
  <c r="F905" i="137" s="1"/>
  <c r="G905" i="137" s="1"/>
  <c r="AG904" i="137"/>
  <c r="E904" i="137"/>
  <c r="F904" i="137" s="1"/>
  <c r="G904" i="137" s="1"/>
  <c r="AG903" i="137"/>
  <c r="E903" i="137"/>
  <c r="F903" i="137" s="1"/>
  <c r="G903" i="137" s="1"/>
  <c r="AG902" i="137"/>
  <c r="E902" i="137"/>
  <c r="F902" i="137" s="1"/>
  <c r="G902" i="137" s="1"/>
  <c r="AG901" i="137"/>
  <c r="E901" i="137"/>
  <c r="F901" i="137" s="1"/>
  <c r="G901" i="137" s="1"/>
  <c r="AG900" i="137"/>
  <c r="E900" i="137"/>
  <c r="F900" i="137" s="1"/>
  <c r="G900" i="137" s="1"/>
  <c r="AG899" i="137"/>
  <c r="E899" i="137"/>
  <c r="F899" i="137" s="1"/>
  <c r="G899" i="137" s="1"/>
  <c r="AG898" i="137"/>
  <c r="E898" i="137"/>
  <c r="F898" i="137" s="1"/>
  <c r="G898" i="137" s="1"/>
  <c r="AG897" i="137"/>
  <c r="E897" i="137"/>
  <c r="F897" i="137" s="1"/>
  <c r="G897" i="137" s="1"/>
  <c r="AG896" i="137"/>
  <c r="E896" i="137"/>
  <c r="F896" i="137" s="1"/>
  <c r="G896" i="137" s="1"/>
  <c r="AG895" i="137"/>
  <c r="E895" i="137"/>
  <c r="F895" i="137" s="1"/>
  <c r="G895" i="137" s="1"/>
  <c r="AG894" i="137"/>
  <c r="E894" i="137"/>
  <c r="F894" i="137" s="1"/>
  <c r="G894" i="137" s="1"/>
  <c r="AG893" i="137"/>
  <c r="E893" i="137"/>
  <c r="F893" i="137" s="1"/>
  <c r="G893" i="137" s="1"/>
  <c r="AG892" i="137"/>
  <c r="E892" i="137"/>
  <c r="F892" i="137" s="1"/>
  <c r="G892" i="137" s="1"/>
  <c r="AG891" i="137"/>
  <c r="E891" i="137"/>
  <c r="F891" i="137" s="1"/>
  <c r="G891" i="137" s="1"/>
  <c r="AG890" i="137"/>
  <c r="E890" i="137"/>
  <c r="F890" i="137" s="1"/>
  <c r="G890" i="137" s="1"/>
  <c r="AG889" i="137"/>
  <c r="E889" i="137"/>
  <c r="F889" i="137" s="1"/>
  <c r="G889" i="137" s="1"/>
  <c r="AG888" i="137"/>
  <c r="E888" i="137"/>
  <c r="F888" i="137" s="1"/>
  <c r="G888" i="137" s="1"/>
  <c r="AG887" i="137"/>
  <c r="E887" i="137"/>
  <c r="F887" i="137" s="1"/>
  <c r="G887" i="137" s="1"/>
  <c r="AG886" i="137"/>
  <c r="E886" i="137"/>
  <c r="F886" i="137" s="1"/>
  <c r="G886" i="137" s="1"/>
  <c r="AG885" i="137"/>
  <c r="E885" i="137"/>
  <c r="F885" i="137" s="1"/>
  <c r="G885" i="137" s="1"/>
  <c r="AG884" i="137"/>
  <c r="E884" i="137"/>
  <c r="F884" i="137" s="1"/>
  <c r="G884" i="137" s="1"/>
  <c r="AG883" i="137"/>
  <c r="E883" i="137"/>
  <c r="F883" i="137" s="1"/>
  <c r="G883" i="137" s="1"/>
  <c r="AG882" i="137"/>
  <c r="E882" i="137"/>
  <c r="F882" i="137" s="1"/>
  <c r="G882" i="137" s="1"/>
  <c r="AG881" i="137"/>
  <c r="E881" i="137"/>
  <c r="F881" i="137" s="1"/>
  <c r="G881" i="137" s="1"/>
  <c r="AG880" i="137"/>
  <c r="E880" i="137"/>
  <c r="F880" i="137" s="1"/>
  <c r="G880" i="137" s="1"/>
  <c r="AG879" i="137"/>
  <c r="E879" i="137"/>
  <c r="F879" i="137" s="1"/>
  <c r="G879" i="137" s="1"/>
  <c r="AG878" i="137"/>
  <c r="E878" i="137"/>
  <c r="F878" i="137" s="1"/>
  <c r="G878" i="137" s="1"/>
  <c r="AG877" i="137"/>
  <c r="E877" i="137"/>
  <c r="F877" i="137" s="1"/>
  <c r="G877" i="137" s="1"/>
  <c r="AG876" i="137"/>
  <c r="E876" i="137"/>
  <c r="F876" i="137" s="1"/>
  <c r="G876" i="137" s="1"/>
  <c r="AG875" i="137"/>
  <c r="E875" i="137"/>
  <c r="F875" i="137" s="1"/>
  <c r="G875" i="137" s="1"/>
  <c r="AG874" i="137"/>
  <c r="E874" i="137"/>
  <c r="F874" i="137" s="1"/>
  <c r="G874" i="137" s="1"/>
  <c r="AG873" i="137"/>
  <c r="E873" i="137"/>
  <c r="F873" i="137" s="1"/>
  <c r="G873" i="137" s="1"/>
  <c r="AG872" i="137"/>
  <c r="E872" i="137"/>
  <c r="F872" i="137" s="1"/>
  <c r="G872" i="137" s="1"/>
  <c r="AG871" i="137"/>
  <c r="E871" i="137"/>
  <c r="F871" i="137" s="1"/>
  <c r="G871" i="137" s="1"/>
  <c r="AG870" i="137"/>
  <c r="E870" i="137"/>
  <c r="F870" i="137" s="1"/>
  <c r="G870" i="137" s="1"/>
  <c r="AG869" i="137"/>
  <c r="E869" i="137"/>
  <c r="F869" i="137" s="1"/>
  <c r="G869" i="137" s="1"/>
  <c r="AG868" i="137"/>
  <c r="E868" i="137"/>
  <c r="F868" i="137" s="1"/>
  <c r="G868" i="137" s="1"/>
  <c r="AG867" i="137"/>
  <c r="E867" i="137"/>
  <c r="F867" i="137" s="1"/>
  <c r="G867" i="137" s="1"/>
  <c r="AG866" i="137"/>
  <c r="E866" i="137"/>
  <c r="F866" i="137" s="1"/>
  <c r="G866" i="137" s="1"/>
  <c r="AG865" i="137"/>
  <c r="E865" i="137"/>
  <c r="F865" i="137" s="1"/>
  <c r="G865" i="137" s="1"/>
  <c r="AG864" i="137"/>
  <c r="E864" i="137"/>
  <c r="F864" i="137" s="1"/>
  <c r="G864" i="137" s="1"/>
  <c r="AG863" i="137"/>
  <c r="E863" i="137"/>
  <c r="F863" i="137" s="1"/>
  <c r="G863" i="137" s="1"/>
  <c r="AG862" i="137"/>
  <c r="E862" i="137"/>
  <c r="F862" i="137" s="1"/>
  <c r="G862" i="137" s="1"/>
  <c r="AG861" i="137"/>
  <c r="E861" i="137"/>
  <c r="F861" i="137" s="1"/>
  <c r="G861" i="137" s="1"/>
  <c r="AG860" i="137"/>
  <c r="E860" i="137"/>
  <c r="F860" i="137" s="1"/>
  <c r="G860" i="137" s="1"/>
  <c r="AG859" i="137"/>
  <c r="E859" i="137"/>
  <c r="F859" i="137" s="1"/>
  <c r="G859" i="137" s="1"/>
  <c r="AG858" i="137"/>
  <c r="E858" i="137"/>
  <c r="F858" i="137" s="1"/>
  <c r="G858" i="137" s="1"/>
  <c r="AG857" i="137"/>
  <c r="E857" i="137"/>
  <c r="F857" i="137" s="1"/>
  <c r="G857" i="137" s="1"/>
  <c r="AG856" i="137"/>
  <c r="E856" i="137"/>
  <c r="F856" i="137" s="1"/>
  <c r="G856" i="137" s="1"/>
  <c r="AG855" i="137"/>
  <c r="E855" i="137"/>
  <c r="F855" i="137" s="1"/>
  <c r="G855" i="137" s="1"/>
  <c r="AG854" i="137"/>
  <c r="E854" i="137"/>
  <c r="F854" i="137" s="1"/>
  <c r="G854" i="137" s="1"/>
  <c r="AG853" i="137"/>
  <c r="E853" i="137"/>
  <c r="F853" i="137" s="1"/>
  <c r="G853" i="137" s="1"/>
  <c r="AG852" i="137"/>
  <c r="E852" i="137"/>
  <c r="F852" i="137" s="1"/>
  <c r="G852" i="137" s="1"/>
  <c r="AG851" i="137"/>
  <c r="E851" i="137"/>
  <c r="F851" i="137" s="1"/>
  <c r="G851" i="137" s="1"/>
  <c r="AG850" i="137"/>
  <c r="E850" i="137"/>
  <c r="F850" i="137" s="1"/>
  <c r="G850" i="137" s="1"/>
  <c r="AG849" i="137"/>
  <c r="E849" i="137"/>
  <c r="F849" i="137" s="1"/>
  <c r="G849" i="137" s="1"/>
  <c r="AG848" i="137"/>
  <c r="E848" i="137"/>
  <c r="F848" i="137" s="1"/>
  <c r="G848" i="137" s="1"/>
  <c r="AG847" i="137"/>
  <c r="E847" i="137"/>
  <c r="F847" i="137" s="1"/>
  <c r="G847" i="137" s="1"/>
  <c r="AG846" i="137"/>
  <c r="E846" i="137"/>
  <c r="F846" i="137" s="1"/>
  <c r="G846" i="137" s="1"/>
  <c r="AG845" i="137"/>
  <c r="E845" i="137"/>
  <c r="F845" i="137" s="1"/>
  <c r="G845" i="137" s="1"/>
  <c r="AG844" i="137"/>
  <c r="E844" i="137"/>
  <c r="F844" i="137" s="1"/>
  <c r="G844" i="137" s="1"/>
  <c r="AG843" i="137"/>
  <c r="E843" i="137"/>
  <c r="F843" i="137" s="1"/>
  <c r="G843" i="137" s="1"/>
  <c r="AG842" i="137"/>
  <c r="E842" i="137"/>
  <c r="F842" i="137" s="1"/>
  <c r="G842" i="137" s="1"/>
  <c r="AG841" i="137"/>
  <c r="E841" i="137"/>
  <c r="F841" i="137" s="1"/>
  <c r="G841" i="137" s="1"/>
  <c r="AG840" i="137"/>
  <c r="E840" i="137"/>
  <c r="F840" i="137" s="1"/>
  <c r="G840" i="137" s="1"/>
  <c r="AG839" i="137"/>
  <c r="E839" i="137"/>
  <c r="F839" i="137" s="1"/>
  <c r="G839" i="137" s="1"/>
  <c r="AG838" i="137"/>
  <c r="E838" i="137"/>
  <c r="F838" i="137" s="1"/>
  <c r="G838" i="137" s="1"/>
  <c r="AG837" i="137"/>
  <c r="E837" i="137"/>
  <c r="F837" i="137" s="1"/>
  <c r="G837" i="137" s="1"/>
  <c r="AG836" i="137"/>
  <c r="E836" i="137"/>
  <c r="F836" i="137" s="1"/>
  <c r="G836" i="137" s="1"/>
  <c r="AG835" i="137"/>
  <c r="E835" i="137"/>
  <c r="F835" i="137" s="1"/>
  <c r="G835" i="137" s="1"/>
  <c r="AG834" i="137"/>
  <c r="E834" i="137"/>
  <c r="F834" i="137" s="1"/>
  <c r="G834" i="137" s="1"/>
  <c r="AG833" i="137"/>
  <c r="E833" i="137"/>
  <c r="F833" i="137" s="1"/>
  <c r="G833" i="137" s="1"/>
  <c r="AG832" i="137"/>
  <c r="E832" i="137"/>
  <c r="F832" i="137" s="1"/>
  <c r="G832" i="137" s="1"/>
  <c r="AG831" i="137"/>
  <c r="E831" i="137"/>
  <c r="F831" i="137" s="1"/>
  <c r="G831" i="137" s="1"/>
  <c r="AG830" i="137"/>
  <c r="E830" i="137"/>
  <c r="F830" i="137" s="1"/>
  <c r="G830" i="137" s="1"/>
  <c r="AG829" i="137"/>
  <c r="E829" i="137"/>
  <c r="F829" i="137" s="1"/>
  <c r="G829" i="137" s="1"/>
  <c r="AG828" i="137"/>
  <c r="E828" i="137"/>
  <c r="F828" i="137" s="1"/>
  <c r="G828" i="137" s="1"/>
  <c r="AG827" i="137"/>
  <c r="E827" i="137"/>
  <c r="F827" i="137" s="1"/>
  <c r="G827" i="137" s="1"/>
  <c r="AG826" i="137"/>
  <c r="E826" i="137"/>
  <c r="F826" i="137" s="1"/>
  <c r="G826" i="137" s="1"/>
  <c r="AG825" i="137"/>
  <c r="E825" i="137"/>
  <c r="F825" i="137" s="1"/>
  <c r="G825" i="137" s="1"/>
  <c r="AG824" i="137"/>
  <c r="E824" i="137"/>
  <c r="F824" i="137" s="1"/>
  <c r="G824" i="137" s="1"/>
  <c r="AG823" i="137"/>
  <c r="E823" i="137"/>
  <c r="F823" i="137" s="1"/>
  <c r="G823" i="137" s="1"/>
  <c r="AG822" i="137"/>
  <c r="E822" i="137"/>
  <c r="F822" i="137" s="1"/>
  <c r="G822" i="137" s="1"/>
  <c r="AG821" i="137"/>
  <c r="E821" i="137"/>
  <c r="F821" i="137" s="1"/>
  <c r="G821" i="137" s="1"/>
  <c r="AG820" i="137"/>
  <c r="E820" i="137"/>
  <c r="F820" i="137" s="1"/>
  <c r="G820" i="137" s="1"/>
  <c r="AG819" i="137"/>
  <c r="E819" i="137"/>
  <c r="F819" i="137" s="1"/>
  <c r="G819" i="137" s="1"/>
  <c r="AG818" i="137"/>
  <c r="E818" i="137"/>
  <c r="F818" i="137" s="1"/>
  <c r="G818" i="137" s="1"/>
  <c r="AG817" i="137"/>
  <c r="E817" i="137"/>
  <c r="F817" i="137" s="1"/>
  <c r="G817" i="137" s="1"/>
  <c r="AG816" i="137"/>
  <c r="E816" i="137"/>
  <c r="F816" i="137" s="1"/>
  <c r="G816" i="137" s="1"/>
  <c r="AG815" i="137"/>
  <c r="E815" i="137"/>
  <c r="F815" i="137" s="1"/>
  <c r="G815" i="137" s="1"/>
  <c r="AG814" i="137"/>
  <c r="E814" i="137"/>
  <c r="F814" i="137" s="1"/>
  <c r="G814" i="137" s="1"/>
  <c r="AG813" i="137"/>
  <c r="E813" i="137"/>
  <c r="F813" i="137" s="1"/>
  <c r="G813" i="137" s="1"/>
  <c r="AG812" i="137"/>
  <c r="E812" i="137"/>
  <c r="F812" i="137" s="1"/>
  <c r="G812" i="137" s="1"/>
  <c r="AG811" i="137"/>
  <c r="E811" i="137"/>
  <c r="F811" i="137" s="1"/>
  <c r="G811" i="137" s="1"/>
  <c r="AG810" i="137"/>
  <c r="E810" i="137"/>
  <c r="F810" i="137" s="1"/>
  <c r="G810" i="137" s="1"/>
  <c r="AG809" i="137"/>
  <c r="E809" i="137"/>
  <c r="F809" i="137" s="1"/>
  <c r="G809" i="137" s="1"/>
  <c r="AG808" i="137"/>
  <c r="E808" i="137"/>
  <c r="F808" i="137" s="1"/>
  <c r="G808" i="137" s="1"/>
  <c r="AG807" i="137"/>
  <c r="E807" i="137"/>
  <c r="F807" i="137" s="1"/>
  <c r="G807" i="137" s="1"/>
  <c r="AG806" i="137"/>
  <c r="E806" i="137"/>
  <c r="F806" i="137" s="1"/>
  <c r="G806" i="137" s="1"/>
  <c r="AG805" i="137"/>
  <c r="E805" i="137"/>
  <c r="F805" i="137" s="1"/>
  <c r="G805" i="137" s="1"/>
  <c r="AG804" i="137"/>
  <c r="E804" i="137"/>
  <c r="F804" i="137" s="1"/>
  <c r="G804" i="137" s="1"/>
  <c r="AG803" i="137"/>
  <c r="E803" i="137"/>
  <c r="F803" i="137" s="1"/>
  <c r="G803" i="137" s="1"/>
  <c r="AG802" i="137"/>
  <c r="E802" i="137"/>
  <c r="F802" i="137" s="1"/>
  <c r="G802" i="137" s="1"/>
  <c r="AG801" i="137"/>
  <c r="E801" i="137"/>
  <c r="F801" i="137" s="1"/>
  <c r="G801" i="137" s="1"/>
  <c r="AG800" i="137"/>
  <c r="E800" i="137"/>
  <c r="F800" i="137" s="1"/>
  <c r="G800" i="137" s="1"/>
  <c r="AG799" i="137"/>
  <c r="E799" i="137"/>
  <c r="F799" i="137" s="1"/>
  <c r="G799" i="137" s="1"/>
  <c r="AG798" i="137"/>
  <c r="E798" i="137"/>
  <c r="F798" i="137" s="1"/>
  <c r="G798" i="137" s="1"/>
  <c r="AG797" i="137"/>
  <c r="E797" i="137"/>
  <c r="F797" i="137" s="1"/>
  <c r="G797" i="137" s="1"/>
  <c r="AG796" i="137"/>
  <c r="E796" i="137"/>
  <c r="F796" i="137" s="1"/>
  <c r="G796" i="137" s="1"/>
  <c r="AG795" i="137"/>
  <c r="E795" i="137"/>
  <c r="F795" i="137" s="1"/>
  <c r="G795" i="137" s="1"/>
  <c r="AG794" i="137"/>
  <c r="E794" i="137"/>
  <c r="F794" i="137" s="1"/>
  <c r="G794" i="137" s="1"/>
  <c r="AG793" i="137"/>
  <c r="E793" i="137"/>
  <c r="F793" i="137" s="1"/>
  <c r="G793" i="137" s="1"/>
  <c r="AG792" i="137"/>
  <c r="E792" i="137"/>
  <c r="F792" i="137" s="1"/>
  <c r="G792" i="137" s="1"/>
  <c r="AG791" i="137"/>
  <c r="E791" i="137"/>
  <c r="F791" i="137" s="1"/>
  <c r="G791" i="137" s="1"/>
  <c r="AG790" i="137"/>
  <c r="E790" i="137"/>
  <c r="F790" i="137" s="1"/>
  <c r="G790" i="137" s="1"/>
  <c r="AG789" i="137"/>
  <c r="E789" i="137"/>
  <c r="F789" i="137" s="1"/>
  <c r="G789" i="137" s="1"/>
  <c r="AG788" i="137"/>
  <c r="E788" i="137"/>
  <c r="F788" i="137" s="1"/>
  <c r="G788" i="137" s="1"/>
  <c r="AG787" i="137"/>
  <c r="E787" i="137"/>
  <c r="F787" i="137" s="1"/>
  <c r="G787" i="137" s="1"/>
  <c r="AG786" i="137"/>
  <c r="E786" i="137"/>
  <c r="F786" i="137" s="1"/>
  <c r="G786" i="137" s="1"/>
  <c r="AG785" i="137"/>
  <c r="E785" i="137"/>
  <c r="F785" i="137" s="1"/>
  <c r="G785" i="137" s="1"/>
  <c r="AG784" i="137"/>
  <c r="E784" i="137"/>
  <c r="F784" i="137" s="1"/>
  <c r="G784" i="137" s="1"/>
  <c r="AG783" i="137"/>
  <c r="E783" i="137"/>
  <c r="F783" i="137" s="1"/>
  <c r="G783" i="137" s="1"/>
  <c r="AG782" i="137"/>
  <c r="E782" i="137"/>
  <c r="F782" i="137" s="1"/>
  <c r="G782" i="137" s="1"/>
  <c r="AG781" i="137"/>
  <c r="E781" i="137"/>
  <c r="F781" i="137" s="1"/>
  <c r="G781" i="137" s="1"/>
  <c r="AG780" i="137"/>
  <c r="E780" i="137"/>
  <c r="F780" i="137" s="1"/>
  <c r="G780" i="137" s="1"/>
  <c r="AG779" i="137"/>
  <c r="E779" i="137"/>
  <c r="F779" i="137" s="1"/>
  <c r="G779" i="137" s="1"/>
  <c r="AG778" i="137"/>
  <c r="E778" i="137"/>
  <c r="F778" i="137" s="1"/>
  <c r="G778" i="137" s="1"/>
  <c r="AG777" i="137"/>
  <c r="E777" i="137"/>
  <c r="F777" i="137" s="1"/>
  <c r="G777" i="137" s="1"/>
  <c r="AG776" i="137"/>
  <c r="E776" i="137"/>
  <c r="F776" i="137" s="1"/>
  <c r="G776" i="137" s="1"/>
  <c r="AG775" i="137"/>
  <c r="E775" i="137"/>
  <c r="F775" i="137" s="1"/>
  <c r="G775" i="137" s="1"/>
  <c r="AG774" i="137"/>
  <c r="E774" i="137"/>
  <c r="F774" i="137" s="1"/>
  <c r="G774" i="137" s="1"/>
  <c r="AG773" i="137"/>
  <c r="E773" i="137"/>
  <c r="F773" i="137" s="1"/>
  <c r="G773" i="137" s="1"/>
  <c r="AG772" i="137"/>
  <c r="E772" i="137"/>
  <c r="F772" i="137" s="1"/>
  <c r="G772" i="137" s="1"/>
  <c r="AG771" i="137"/>
  <c r="E771" i="137"/>
  <c r="F771" i="137" s="1"/>
  <c r="G771" i="137" s="1"/>
  <c r="AG770" i="137"/>
  <c r="E770" i="137"/>
  <c r="F770" i="137" s="1"/>
  <c r="G770" i="137" s="1"/>
  <c r="AG769" i="137"/>
  <c r="E769" i="137"/>
  <c r="F769" i="137" s="1"/>
  <c r="G769" i="137" s="1"/>
  <c r="AG768" i="137"/>
  <c r="E768" i="137"/>
  <c r="F768" i="137" s="1"/>
  <c r="G768" i="137" s="1"/>
  <c r="AG767" i="137"/>
  <c r="E767" i="137"/>
  <c r="F767" i="137" s="1"/>
  <c r="G767" i="137" s="1"/>
  <c r="AG766" i="137"/>
  <c r="E766" i="137"/>
  <c r="F766" i="137" s="1"/>
  <c r="G766" i="137" s="1"/>
  <c r="AG765" i="137"/>
  <c r="E765" i="137"/>
  <c r="F765" i="137" s="1"/>
  <c r="G765" i="137" s="1"/>
  <c r="AG764" i="137"/>
  <c r="E764" i="137"/>
  <c r="F764" i="137" s="1"/>
  <c r="G764" i="137" s="1"/>
  <c r="AG763" i="137"/>
  <c r="E763" i="137"/>
  <c r="F763" i="137" s="1"/>
  <c r="G763" i="137" s="1"/>
  <c r="AG762" i="137"/>
  <c r="E762" i="137"/>
  <c r="F762" i="137" s="1"/>
  <c r="G762" i="137" s="1"/>
  <c r="AG761" i="137"/>
  <c r="E761" i="137"/>
  <c r="F761" i="137" s="1"/>
  <c r="G761" i="137" s="1"/>
  <c r="AG760" i="137"/>
  <c r="E760" i="137"/>
  <c r="F760" i="137" s="1"/>
  <c r="G760" i="137" s="1"/>
  <c r="AG759" i="137"/>
  <c r="E759" i="137"/>
  <c r="F759" i="137" s="1"/>
  <c r="G759" i="137" s="1"/>
  <c r="AG758" i="137"/>
  <c r="E758" i="137"/>
  <c r="F758" i="137" s="1"/>
  <c r="G758" i="137" s="1"/>
  <c r="AG757" i="137"/>
  <c r="E757" i="137"/>
  <c r="F757" i="137" s="1"/>
  <c r="G757" i="137" s="1"/>
  <c r="AG756" i="137"/>
  <c r="E756" i="137"/>
  <c r="F756" i="137" s="1"/>
  <c r="G756" i="137" s="1"/>
  <c r="AG755" i="137"/>
  <c r="E755" i="137"/>
  <c r="F755" i="137" s="1"/>
  <c r="G755" i="137" s="1"/>
  <c r="AG754" i="137"/>
  <c r="E754" i="137"/>
  <c r="F754" i="137" s="1"/>
  <c r="G754" i="137" s="1"/>
  <c r="AG753" i="137"/>
  <c r="E753" i="137"/>
  <c r="F753" i="137" s="1"/>
  <c r="G753" i="137" s="1"/>
  <c r="AG752" i="137"/>
  <c r="E752" i="137"/>
  <c r="F752" i="137" s="1"/>
  <c r="G752" i="137" s="1"/>
  <c r="AG751" i="137"/>
  <c r="E751" i="137"/>
  <c r="F751" i="137" s="1"/>
  <c r="G751" i="137" s="1"/>
  <c r="AG750" i="137"/>
  <c r="E750" i="137"/>
  <c r="F750" i="137" s="1"/>
  <c r="G750" i="137" s="1"/>
  <c r="AG749" i="137"/>
  <c r="E749" i="137"/>
  <c r="F749" i="137" s="1"/>
  <c r="G749" i="137" s="1"/>
  <c r="AG748" i="137"/>
  <c r="E748" i="137"/>
  <c r="F748" i="137" s="1"/>
  <c r="G748" i="137" s="1"/>
  <c r="AG747" i="137"/>
  <c r="E747" i="137"/>
  <c r="F747" i="137" s="1"/>
  <c r="G747" i="137" s="1"/>
  <c r="AG746" i="137"/>
  <c r="E746" i="137"/>
  <c r="F746" i="137" s="1"/>
  <c r="G746" i="137" s="1"/>
  <c r="AG745" i="137"/>
  <c r="E745" i="137"/>
  <c r="F745" i="137" s="1"/>
  <c r="G745" i="137" s="1"/>
  <c r="AG744" i="137"/>
  <c r="E744" i="137"/>
  <c r="F744" i="137" s="1"/>
  <c r="G744" i="137" s="1"/>
  <c r="AG743" i="137"/>
  <c r="E743" i="137"/>
  <c r="F743" i="137" s="1"/>
  <c r="G743" i="137" s="1"/>
  <c r="AG742" i="137"/>
  <c r="E742" i="137"/>
  <c r="F742" i="137" s="1"/>
  <c r="G742" i="137" s="1"/>
  <c r="AG741" i="137"/>
  <c r="E741" i="137"/>
  <c r="F741" i="137" s="1"/>
  <c r="G741" i="137" s="1"/>
  <c r="AG740" i="137"/>
  <c r="E740" i="137"/>
  <c r="F740" i="137" s="1"/>
  <c r="G740" i="137" s="1"/>
  <c r="AG739" i="137"/>
  <c r="E739" i="137"/>
  <c r="F739" i="137" s="1"/>
  <c r="G739" i="137" s="1"/>
  <c r="AG738" i="137"/>
  <c r="E738" i="137"/>
  <c r="F738" i="137" s="1"/>
  <c r="G738" i="137" s="1"/>
  <c r="AG737" i="137"/>
  <c r="E737" i="137"/>
  <c r="F737" i="137" s="1"/>
  <c r="G737" i="137" s="1"/>
  <c r="AG736" i="137"/>
  <c r="E736" i="137"/>
  <c r="F736" i="137" s="1"/>
  <c r="G736" i="137" s="1"/>
  <c r="AG735" i="137"/>
  <c r="E735" i="137"/>
  <c r="F735" i="137" s="1"/>
  <c r="G735" i="137" s="1"/>
  <c r="AG734" i="137"/>
  <c r="E734" i="137"/>
  <c r="F734" i="137" s="1"/>
  <c r="G734" i="137" s="1"/>
  <c r="AG733" i="137"/>
  <c r="E733" i="137"/>
  <c r="F733" i="137" s="1"/>
  <c r="G733" i="137" s="1"/>
  <c r="AG732" i="137"/>
  <c r="E732" i="137"/>
  <c r="F732" i="137" s="1"/>
  <c r="G732" i="137" s="1"/>
  <c r="AG731" i="137"/>
  <c r="E731" i="137"/>
  <c r="F731" i="137" s="1"/>
  <c r="G731" i="137" s="1"/>
  <c r="AG730" i="137"/>
  <c r="E730" i="137"/>
  <c r="F730" i="137" s="1"/>
  <c r="G730" i="137" s="1"/>
  <c r="AG729" i="137"/>
  <c r="E729" i="137"/>
  <c r="F729" i="137" s="1"/>
  <c r="G729" i="137" s="1"/>
  <c r="AG728" i="137"/>
  <c r="E728" i="137"/>
  <c r="F728" i="137" s="1"/>
  <c r="G728" i="137" s="1"/>
  <c r="AG727" i="137"/>
  <c r="E727" i="137"/>
  <c r="F727" i="137" s="1"/>
  <c r="G727" i="137" s="1"/>
  <c r="AG726" i="137"/>
  <c r="E726" i="137"/>
  <c r="F726" i="137" s="1"/>
  <c r="G726" i="137" s="1"/>
  <c r="AG725" i="137"/>
  <c r="E725" i="137"/>
  <c r="F725" i="137" s="1"/>
  <c r="G725" i="137" s="1"/>
  <c r="AG724" i="137"/>
  <c r="E724" i="137"/>
  <c r="F724" i="137" s="1"/>
  <c r="G724" i="137" s="1"/>
  <c r="AG723" i="137"/>
  <c r="E723" i="137"/>
  <c r="F723" i="137" s="1"/>
  <c r="G723" i="137" s="1"/>
  <c r="AG722" i="137"/>
  <c r="E722" i="137"/>
  <c r="F722" i="137" s="1"/>
  <c r="G722" i="137" s="1"/>
  <c r="AG721" i="137"/>
  <c r="E721" i="137"/>
  <c r="F721" i="137" s="1"/>
  <c r="G721" i="137" s="1"/>
  <c r="AG720" i="137"/>
  <c r="E720" i="137"/>
  <c r="F720" i="137" s="1"/>
  <c r="G720" i="137" s="1"/>
  <c r="AG719" i="137"/>
  <c r="E719" i="137"/>
  <c r="F719" i="137" s="1"/>
  <c r="G719" i="137" s="1"/>
  <c r="AG718" i="137"/>
  <c r="E718" i="137"/>
  <c r="F718" i="137" s="1"/>
  <c r="G718" i="137" s="1"/>
  <c r="AG717" i="137"/>
  <c r="E717" i="137"/>
  <c r="F717" i="137" s="1"/>
  <c r="G717" i="137" s="1"/>
  <c r="AG716" i="137"/>
  <c r="E716" i="137"/>
  <c r="F716" i="137" s="1"/>
  <c r="G716" i="137" s="1"/>
  <c r="AG715" i="137"/>
  <c r="E715" i="137"/>
  <c r="F715" i="137" s="1"/>
  <c r="G715" i="137" s="1"/>
  <c r="AG714" i="137"/>
  <c r="E714" i="137"/>
  <c r="F714" i="137" s="1"/>
  <c r="G714" i="137" s="1"/>
  <c r="AG713" i="137"/>
  <c r="E713" i="137"/>
  <c r="F713" i="137" s="1"/>
  <c r="G713" i="137" s="1"/>
  <c r="AG712" i="137"/>
  <c r="E712" i="137"/>
  <c r="F712" i="137" s="1"/>
  <c r="G712" i="137" s="1"/>
  <c r="AG711" i="137"/>
  <c r="E711" i="137"/>
  <c r="F711" i="137" s="1"/>
  <c r="G711" i="137" s="1"/>
  <c r="AG710" i="137"/>
  <c r="E710" i="137"/>
  <c r="F710" i="137" s="1"/>
  <c r="G710" i="137" s="1"/>
  <c r="AG709" i="137"/>
  <c r="E709" i="137"/>
  <c r="F709" i="137" s="1"/>
  <c r="G709" i="137" s="1"/>
  <c r="AG708" i="137"/>
  <c r="E708" i="137"/>
  <c r="F708" i="137" s="1"/>
  <c r="G708" i="137" s="1"/>
  <c r="AG707" i="137"/>
  <c r="E707" i="137"/>
  <c r="F707" i="137" s="1"/>
  <c r="G707" i="137" s="1"/>
  <c r="AG706" i="137"/>
  <c r="E706" i="137"/>
  <c r="F706" i="137" s="1"/>
  <c r="G706" i="137" s="1"/>
  <c r="AG705" i="137"/>
  <c r="E705" i="137"/>
  <c r="F705" i="137" s="1"/>
  <c r="G705" i="137" s="1"/>
  <c r="AG704" i="137"/>
  <c r="E704" i="137"/>
  <c r="F704" i="137" s="1"/>
  <c r="G704" i="137" s="1"/>
  <c r="AG703" i="137"/>
  <c r="E703" i="137"/>
  <c r="F703" i="137" s="1"/>
  <c r="G703" i="137" s="1"/>
  <c r="AG702" i="137"/>
  <c r="E702" i="137"/>
  <c r="F702" i="137" s="1"/>
  <c r="G702" i="137" s="1"/>
  <c r="AG701" i="137"/>
  <c r="E701" i="137"/>
  <c r="F701" i="137" s="1"/>
  <c r="G701" i="137" s="1"/>
  <c r="AG700" i="137"/>
  <c r="E700" i="137"/>
  <c r="F700" i="137" s="1"/>
  <c r="G700" i="137" s="1"/>
  <c r="AG699" i="137"/>
  <c r="E699" i="137"/>
  <c r="F699" i="137" s="1"/>
  <c r="G699" i="137" s="1"/>
  <c r="AG698" i="137"/>
  <c r="E698" i="137"/>
  <c r="F698" i="137" s="1"/>
  <c r="G698" i="137" s="1"/>
  <c r="AG697" i="137"/>
  <c r="E697" i="137"/>
  <c r="F697" i="137" s="1"/>
  <c r="G697" i="137" s="1"/>
  <c r="AG696" i="137"/>
  <c r="E696" i="137"/>
  <c r="F696" i="137" s="1"/>
  <c r="G696" i="137" s="1"/>
  <c r="AG695" i="137"/>
  <c r="E695" i="137"/>
  <c r="F695" i="137" s="1"/>
  <c r="G695" i="137" s="1"/>
  <c r="AG694" i="137"/>
  <c r="E694" i="137"/>
  <c r="F694" i="137" s="1"/>
  <c r="G694" i="137" s="1"/>
  <c r="AG693" i="137"/>
  <c r="E693" i="137"/>
  <c r="F693" i="137" s="1"/>
  <c r="G693" i="137" s="1"/>
  <c r="AG692" i="137"/>
  <c r="E692" i="137"/>
  <c r="F692" i="137" s="1"/>
  <c r="G692" i="137" s="1"/>
  <c r="AG691" i="137"/>
  <c r="E691" i="137"/>
  <c r="F691" i="137" s="1"/>
  <c r="G691" i="137" s="1"/>
  <c r="AG690" i="137"/>
  <c r="E690" i="137"/>
  <c r="F690" i="137" s="1"/>
  <c r="G690" i="137" s="1"/>
  <c r="AG689" i="137"/>
  <c r="E689" i="137"/>
  <c r="F689" i="137" s="1"/>
  <c r="G689" i="137" s="1"/>
  <c r="AG688" i="137"/>
  <c r="E688" i="137"/>
  <c r="F688" i="137" s="1"/>
  <c r="G688" i="137" s="1"/>
  <c r="AG687" i="137"/>
  <c r="E687" i="137"/>
  <c r="F687" i="137" s="1"/>
  <c r="G687" i="137" s="1"/>
  <c r="AG686" i="137"/>
  <c r="E686" i="137"/>
  <c r="F686" i="137" s="1"/>
  <c r="G686" i="137" s="1"/>
  <c r="AG685" i="137"/>
  <c r="E685" i="137"/>
  <c r="F685" i="137" s="1"/>
  <c r="G685" i="137" s="1"/>
  <c r="AG684" i="137"/>
  <c r="E684" i="137"/>
  <c r="F684" i="137" s="1"/>
  <c r="G684" i="137" s="1"/>
  <c r="AG683" i="137"/>
  <c r="E683" i="137"/>
  <c r="F683" i="137" s="1"/>
  <c r="G683" i="137" s="1"/>
  <c r="AG682" i="137"/>
  <c r="E682" i="137"/>
  <c r="F682" i="137" s="1"/>
  <c r="G682" i="137" s="1"/>
  <c r="AG681" i="137"/>
  <c r="E681" i="137"/>
  <c r="F681" i="137" s="1"/>
  <c r="G681" i="137" s="1"/>
  <c r="AG680" i="137"/>
  <c r="E680" i="137"/>
  <c r="F680" i="137" s="1"/>
  <c r="G680" i="137" s="1"/>
  <c r="AG679" i="137"/>
  <c r="E679" i="137"/>
  <c r="F679" i="137" s="1"/>
  <c r="G679" i="137" s="1"/>
  <c r="AG678" i="137"/>
  <c r="E678" i="137"/>
  <c r="F678" i="137" s="1"/>
  <c r="G678" i="137" s="1"/>
  <c r="AG677" i="137"/>
  <c r="E677" i="137"/>
  <c r="F677" i="137" s="1"/>
  <c r="G677" i="137" s="1"/>
  <c r="AG676" i="137"/>
  <c r="E676" i="137"/>
  <c r="F676" i="137" s="1"/>
  <c r="G676" i="137" s="1"/>
  <c r="AG675" i="137"/>
  <c r="E675" i="137"/>
  <c r="F675" i="137" s="1"/>
  <c r="G675" i="137" s="1"/>
  <c r="AG674" i="137"/>
  <c r="E674" i="137"/>
  <c r="F674" i="137" s="1"/>
  <c r="G674" i="137" s="1"/>
  <c r="AG673" i="137"/>
  <c r="E673" i="137"/>
  <c r="F673" i="137" s="1"/>
  <c r="G673" i="137" s="1"/>
  <c r="AG672" i="137"/>
  <c r="E672" i="137"/>
  <c r="F672" i="137" s="1"/>
  <c r="G672" i="137" s="1"/>
  <c r="AG671" i="137"/>
  <c r="E671" i="137"/>
  <c r="F671" i="137" s="1"/>
  <c r="G671" i="137" s="1"/>
  <c r="AG670" i="137"/>
  <c r="E670" i="137"/>
  <c r="F670" i="137" s="1"/>
  <c r="G670" i="137" s="1"/>
  <c r="AG669" i="137"/>
  <c r="E669" i="137"/>
  <c r="F669" i="137" s="1"/>
  <c r="G669" i="137" s="1"/>
  <c r="AG668" i="137"/>
  <c r="E668" i="137"/>
  <c r="F668" i="137" s="1"/>
  <c r="G668" i="137" s="1"/>
  <c r="AG667" i="137"/>
  <c r="E667" i="137"/>
  <c r="F667" i="137" s="1"/>
  <c r="G667" i="137" s="1"/>
  <c r="AG666" i="137"/>
  <c r="E666" i="137"/>
  <c r="F666" i="137" s="1"/>
  <c r="G666" i="137" s="1"/>
  <c r="AG665" i="137"/>
  <c r="E665" i="137"/>
  <c r="F665" i="137" s="1"/>
  <c r="G665" i="137" s="1"/>
  <c r="AG664" i="137"/>
  <c r="E664" i="137"/>
  <c r="F664" i="137" s="1"/>
  <c r="G664" i="137" s="1"/>
  <c r="AG663" i="137"/>
  <c r="E663" i="137"/>
  <c r="F663" i="137" s="1"/>
  <c r="G663" i="137" s="1"/>
  <c r="AG662" i="137"/>
  <c r="E662" i="137"/>
  <c r="F662" i="137" s="1"/>
  <c r="G662" i="137" s="1"/>
  <c r="AG661" i="137"/>
  <c r="E661" i="137"/>
  <c r="F661" i="137" s="1"/>
  <c r="G661" i="137" s="1"/>
  <c r="AG660" i="137"/>
  <c r="E660" i="137"/>
  <c r="F660" i="137" s="1"/>
  <c r="G660" i="137" s="1"/>
  <c r="AG659" i="137"/>
  <c r="E659" i="137"/>
  <c r="F659" i="137" s="1"/>
  <c r="G659" i="137" s="1"/>
  <c r="AG658" i="137"/>
  <c r="E658" i="137"/>
  <c r="F658" i="137" s="1"/>
  <c r="G658" i="137" s="1"/>
  <c r="AG657" i="137"/>
  <c r="E657" i="137"/>
  <c r="F657" i="137" s="1"/>
  <c r="G657" i="137" s="1"/>
  <c r="AG656" i="137"/>
  <c r="E656" i="137"/>
  <c r="F656" i="137" s="1"/>
  <c r="G656" i="137" s="1"/>
  <c r="AG655" i="137"/>
  <c r="E655" i="137"/>
  <c r="F655" i="137" s="1"/>
  <c r="G655" i="137" s="1"/>
  <c r="AG654" i="137"/>
  <c r="E654" i="137"/>
  <c r="F654" i="137" s="1"/>
  <c r="G654" i="137" s="1"/>
  <c r="AG653" i="137"/>
  <c r="E653" i="137"/>
  <c r="F653" i="137" s="1"/>
  <c r="G653" i="137" s="1"/>
  <c r="AG652" i="137"/>
  <c r="E652" i="137"/>
  <c r="F652" i="137" s="1"/>
  <c r="G652" i="137" s="1"/>
  <c r="AG651" i="137"/>
  <c r="E651" i="137"/>
  <c r="F651" i="137" s="1"/>
  <c r="G651" i="137" s="1"/>
  <c r="AG650" i="137"/>
  <c r="E650" i="137"/>
  <c r="F650" i="137" s="1"/>
  <c r="G650" i="137" s="1"/>
  <c r="AG649" i="137"/>
  <c r="E649" i="137"/>
  <c r="F649" i="137" s="1"/>
  <c r="G649" i="137" s="1"/>
  <c r="AG648" i="137"/>
  <c r="E648" i="137"/>
  <c r="F648" i="137" s="1"/>
  <c r="G648" i="137" s="1"/>
  <c r="AG647" i="137"/>
  <c r="E647" i="137"/>
  <c r="F647" i="137" s="1"/>
  <c r="G647" i="137" s="1"/>
  <c r="AG646" i="137"/>
  <c r="E646" i="137"/>
  <c r="F646" i="137" s="1"/>
  <c r="G646" i="137" s="1"/>
  <c r="AG645" i="137"/>
  <c r="E645" i="137"/>
  <c r="F645" i="137" s="1"/>
  <c r="G645" i="137" s="1"/>
  <c r="AG644" i="137"/>
  <c r="E644" i="137"/>
  <c r="F644" i="137" s="1"/>
  <c r="G644" i="137" s="1"/>
  <c r="AG643" i="137"/>
  <c r="E643" i="137"/>
  <c r="F643" i="137" s="1"/>
  <c r="G643" i="137" s="1"/>
  <c r="AG642" i="137"/>
  <c r="E642" i="137"/>
  <c r="F642" i="137" s="1"/>
  <c r="G642" i="137" s="1"/>
  <c r="AG641" i="137"/>
  <c r="E641" i="137"/>
  <c r="F641" i="137" s="1"/>
  <c r="G641" i="137" s="1"/>
  <c r="AG640" i="137"/>
  <c r="E640" i="137"/>
  <c r="F640" i="137" s="1"/>
  <c r="G640" i="137" s="1"/>
  <c r="AG639" i="137"/>
  <c r="E639" i="137"/>
  <c r="F639" i="137" s="1"/>
  <c r="G639" i="137" s="1"/>
  <c r="AG638" i="137"/>
  <c r="E638" i="137"/>
  <c r="F638" i="137" s="1"/>
  <c r="G638" i="137" s="1"/>
  <c r="AG637" i="137"/>
  <c r="E637" i="137"/>
  <c r="F637" i="137" s="1"/>
  <c r="G637" i="137" s="1"/>
  <c r="AG636" i="137"/>
  <c r="E636" i="137"/>
  <c r="F636" i="137" s="1"/>
  <c r="G636" i="137" s="1"/>
  <c r="AG635" i="137"/>
  <c r="E635" i="137"/>
  <c r="F635" i="137" s="1"/>
  <c r="G635" i="137" s="1"/>
  <c r="AG634" i="137"/>
  <c r="E634" i="137"/>
  <c r="F634" i="137" s="1"/>
  <c r="G634" i="137" s="1"/>
  <c r="AG633" i="137"/>
  <c r="E633" i="137"/>
  <c r="F633" i="137" s="1"/>
  <c r="G633" i="137" s="1"/>
  <c r="AG632" i="137"/>
  <c r="E632" i="137"/>
  <c r="F632" i="137" s="1"/>
  <c r="G632" i="137" s="1"/>
  <c r="AG631" i="137"/>
  <c r="E631" i="137"/>
  <c r="F631" i="137" s="1"/>
  <c r="G631" i="137" s="1"/>
  <c r="AG630" i="137"/>
  <c r="E630" i="137"/>
  <c r="F630" i="137" s="1"/>
  <c r="G630" i="137" s="1"/>
  <c r="AG629" i="137"/>
  <c r="E629" i="137"/>
  <c r="F629" i="137" s="1"/>
  <c r="G629" i="137" s="1"/>
  <c r="AG628" i="137"/>
  <c r="E628" i="137"/>
  <c r="F628" i="137" s="1"/>
  <c r="G628" i="137" s="1"/>
  <c r="AG627" i="137"/>
  <c r="E627" i="137"/>
  <c r="F627" i="137" s="1"/>
  <c r="G627" i="137" s="1"/>
  <c r="AG626" i="137"/>
  <c r="E626" i="137"/>
  <c r="F626" i="137" s="1"/>
  <c r="G626" i="137" s="1"/>
  <c r="AG625" i="137"/>
  <c r="E625" i="137"/>
  <c r="F625" i="137" s="1"/>
  <c r="G625" i="137" s="1"/>
  <c r="AG624" i="137"/>
  <c r="E624" i="137"/>
  <c r="F624" i="137" s="1"/>
  <c r="G624" i="137" s="1"/>
  <c r="AG623" i="137"/>
  <c r="E623" i="137"/>
  <c r="F623" i="137" s="1"/>
  <c r="G623" i="137" s="1"/>
  <c r="AG622" i="137"/>
  <c r="E622" i="137"/>
  <c r="F622" i="137" s="1"/>
  <c r="G622" i="137" s="1"/>
  <c r="AG621" i="137"/>
  <c r="E621" i="137"/>
  <c r="F621" i="137" s="1"/>
  <c r="G621" i="137" s="1"/>
  <c r="AG620" i="137"/>
  <c r="E620" i="137"/>
  <c r="F620" i="137" s="1"/>
  <c r="G620" i="137" s="1"/>
  <c r="AG619" i="137"/>
  <c r="E619" i="137"/>
  <c r="F619" i="137" s="1"/>
  <c r="G619" i="137" s="1"/>
  <c r="AG618" i="137"/>
  <c r="E618" i="137"/>
  <c r="F618" i="137" s="1"/>
  <c r="G618" i="137" s="1"/>
  <c r="AG617" i="137"/>
  <c r="E617" i="137"/>
  <c r="F617" i="137" s="1"/>
  <c r="G617" i="137" s="1"/>
  <c r="AG616" i="137"/>
  <c r="E616" i="137"/>
  <c r="F616" i="137" s="1"/>
  <c r="G616" i="137" s="1"/>
  <c r="AG615" i="137"/>
  <c r="E615" i="137"/>
  <c r="F615" i="137" s="1"/>
  <c r="G615" i="137" s="1"/>
  <c r="AG614" i="137"/>
  <c r="E614" i="137"/>
  <c r="F614" i="137" s="1"/>
  <c r="G614" i="137" s="1"/>
  <c r="AG613" i="137"/>
  <c r="E613" i="137"/>
  <c r="F613" i="137" s="1"/>
  <c r="G613" i="137" s="1"/>
  <c r="AG612" i="137"/>
  <c r="E612" i="137"/>
  <c r="F612" i="137" s="1"/>
  <c r="G612" i="137" s="1"/>
  <c r="AG611" i="137"/>
  <c r="E611" i="137"/>
  <c r="F611" i="137" s="1"/>
  <c r="G611" i="137" s="1"/>
  <c r="AG610" i="137"/>
  <c r="E610" i="137"/>
  <c r="F610" i="137" s="1"/>
  <c r="G610" i="137" s="1"/>
  <c r="AG609" i="137"/>
  <c r="E609" i="137"/>
  <c r="F609" i="137" s="1"/>
  <c r="G609" i="137" s="1"/>
  <c r="AG608" i="137"/>
  <c r="E608" i="137"/>
  <c r="F608" i="137" s="1"/>
  <c r="G608" i="137" s="1"/>
  <c r="AG607" i="137"/>
  <c r="E607" i="137"/>
  <c r="F607" i="137" s="1"/>
  <c r="G607" i="137" s="1"/>
  <c r="AG606" i="137"/>
  <c r="E606" i="137"/>
  <c r="F606" i="137" s="1"/>
  <c r="G606" i="137" s="1"/>
  <c r="AG605" i="137"/>
  <c r="E605" i="137"/>
  <c r="F605" i="137" s="1"/>
  <c r="G605" i="137" s="1"/>
  <c r="AG604" i="137"/>
  <c r="E604" i="137"/>
  <c r="F604" i="137" s="1"/>
  <c r="G604" i="137" s="1"/>
  <c r="AG603" i="137"/>
  <c r="E603" i="137"/>
  <c r="F603" i="137" s="1"/>
  <c r="G603" i="137" s="1"/>
  <c r="AG602" i="137"/>
  <c r="E602" i="137"/>
  <c r="F602" i="137" s="1"/>
  <c r="G602" i="137" s="1"/>
  <c r="AG601" i="137"/>
  <c r="E601" i="137"/>
  <c r="F601" i="137" s="1"/>
  <c r="G601" i="137" s="1"/>
  <c r="AG600" i="137"/>
  <c r="E600" i="137"/>
  <c r="F600" i="137" s="1"/>
  <c r="G600" i="137" s="1"/>
  <c r="AG599" i="137"/>
  <c r="E599" i="137"/>
  <c r="F599" i="137" s="1"/>
  <c r="G599" i="137" s="1"/>
  <c r="AG598" i="137"/>
  <c r="E598" i="137"/>
  <c r="F598" i="137" s="1"/>
  <c r="G598" i="137" s="1"/>
  <c r="AG597" i="137"/>
  <c r="E597" i="137"/>
  <c r="F597" i="137" s="1"/>
  <c r="G597" i="137" s="1"/>
  <c r="AG596" i="137"/>
  <c r="E596" i="137"/>
  <c r="F596" i="137" s="1"/>
  <c r="G596" i="137" s="1"/>
  <c r="AG595" i="137"/>
  <c r="E595" i="137"/>
  <c r="F595" i="137" s="1"/>
  <c r="G595" i="137" s="1"/>
  <c r="AG594" i="137"/>
  <c r="E594" i="137"/>
  <c r="F594" i="137" s="1"/>
  <c r="G594" i="137" s="1"/>
  <c r="AG593" i="137"/>
  <c r="E593" i="137"/>
  <c r="F593" i="137" s="1"/>
  <c r="G593" i="137" s="1"/>
  <c r="AG592" i="137"/>
  <c r="E592" i="137"/>
  <c r="F592" i="137" s="1"/>
  <c r="G592" i="137" s="1"/>
  <c r="AG591" i="137"/>
  <c r="E591" i="137"/>
  <c r="F591" i="137" s="1"/>
  <c r="G591" i="137" s="1"/>
  <c r="AG590" i="137"/>
  <c r="E590" i="137"/>
  <c r="F590" i="137" s="1"/>
  <c r="G590" i="137" s="1"/>
  <c r="AG589" i="137"/>
  <c r="E589" i="137"/>
  <c r="F589" i="137" s="1"/>
  <c r="G589" i="137" s="1"/>
  <c r="AG588" i="137"/>
  <c r="E588" i="137"/>
  <c r="F588" i="137" s="1"/>
  <c r="G588" i="137" s="1"/>
  <c r="AG587" i="137"/>
  <c r="E587" i="137"/>
  <c r="F587" i="137" s="1"/>
  <c r="G587" i="137" s="1"/>
  <c r="AG586" i="137"/>
  <c r="E586" i="137"/>
  <c r="F586" i="137" s="1"/>
  <c r="G586" i="137" s="1"/>
  <c r="AG585" i="137"/>
  <c r="E585" i="137"/>
  <c r="F585" i="137" s="1"/>
  <c r="G585" i="137" s="1"/>
  <c r="AG584" i="137"/>
  <c r="E584" i="137"/>
  <c r="F584" i="137" s="1"/>
  <c r="G584" i="137" s="1"/>
  <c r="AG583" i="137"/>
  <c r="E583" i="137"/>
  <c r="F583" i="137" s="1"/>
  <c r="G583" i="137" s="1"/>
  <c r="AG582" i="137"/>
  <c r="E582" i="137"/>
  <c r="F582" i="137" s="1"/>
  <c r="G582" i="137" s="1"/>
  <c r="AG581" i="137"/>
  <c r="E581" i="137"/>
  <c r="F581" i="137" s="1"/>
  <c r="G581" i="137" s="1"/>
  <c r="AG580" i="137"/>
  <c r="E580" i="137"/>
  <c r="F580" i="137" s="1"/>
  <c r="G580" i="137" s="1"/>
  <c r="AG579" i="137"/>
  <c r="E579" i="137"/>
  <c r="F579" i="137" s="1"/>
  <c r="G579" i="137" s="1"/>
  <c r="AG578" i="137"/>
  <c r="E578" i="137"/>
  <c r="F578" i="137" s="1"/>
  <c r="G578" i="137" s="1"/>
  <c r="AG577" i="137"/>
  <c r="E577" i="137"/>
  <c r="F577" i="137" s="1"/>
  <c r="G577" i="137" s="1"/>
  <c r="AG576" i="137"/>
  <c r="E576" i="137"/>
  <c r="F576" i="137" s="1"/>
  <c r="G576" i="137" s="1"/>
  <c r="AG575" i="137"/>
  <c r="E575" i="137"/>
  <c r="F575" i="137" s="1"/>
  <c r="G575" i="137" s="1"/>
  <c r="AG574" i="137"/>
  <c r="E574" i="137"/>
  <c r="F574" i="137" s="1"/>
  <c r="G574" i="137" s="1"/>
  <c r="AG573" i="137"/>
  <c r="E573" i="137"/>
  <c r="F573" i="137" s="1"/>
  <c r="G573" i="137" s="1"/>
  <c r="AG572" i="137"/>
  <c r="E572" i="137"/>
  <c r="F572" i="137" s="1"/>
  <c r="G572" i="137" s="1"/>
  <c r="AG571" i="137"/>
  <c r="E571" i="137"/>
  <c r="F571" i="137" s="1"/>
  <c r="G571" i="137" s="1"/>
  <c r="AG570" i="137"/>
  <c r="E570" i="137"/>
  <c r="F570" i="137" s="1"/>
  <c r="G570" i="137" s="1"/>
  <c r="AG569" i="137"/>
  <c r="E569" i="137"/>
  <c r="F569" i="137" s="1"/>
  <c r="G569" i="137" s="1"/>
  <c r="AG568" i="137"/>
  <c r="E568" i="137"/>
  <c r="F568" i="137" s="1"/>
  <c r="G568" i="137" s="1"/>
  <c r="AG567" i="137"/>
  <c r="E567" i="137"/>
  <c r="F567" i="137" s="1"/>
  <c r="G567" i="137" s="1"/>
  <c r="AG566" i="137"/>
  <c r="E566" i="137"/>
  <c r="F566" i="137" s="1"/>
  <c r="G566" i="137" s="1"/>
  <c r="AG565" i="137"/>
  <c r="E565" i="137"/>
  <c r="F565" i="137" s="1"/>
  <c r="G565" i="137" s="1"/>
  <c r="AG564" i="137"/>
  <c r="E564" i="137"/>
  <c r="F564" i="137" s="1"/>
  <c r="G564" i="137" s="1"/>
  <c r="AG563" i="137"/>
  <c r="E563" i="137"/>
  <c r="F563" i="137" s="1"/>
  <c r="G563" i="137" s="1"/>
  <c r="AG562" i="137"/>
  <c r="E562" i="137"/>
  <c r="F562" i="137" s="1"/>
  <c r="G562" i="137" s="1"/>
  <c r="AG561" i="137"/>
  <c r="E561" i="137"/>
  <c r="F561" i="137" s="1"/>
  <c r="G561" i="137" s="1"/>
  <c r="AG560" i="137"/>
  <c r="E560" i="137"/>
  <c r="F560" i="137" s="1"/>
  <c r="G560" i="137" s="1"/>
  <c r="AG559" i="137"/>
  <c r="E559" i="137"/>
  <c r="F559" i="137" s="1"/>
  <c r="G559" i="137" s="1"/>
  <c r="AG558" i="137"/>
  <c r="E558" i="137"/>
  <c r="F558" i="137" s="1"/>
  <c r="G558" i="137" s="1"/>
  <c r="AG557" i="137"/>
  <c r="E557" i="137"/>
  <c r="F557" i="137" s="1"/>
  <c r="G557" i="137" s="1"/>
  <c r="AG556" i="137"/>
  <c r="E556" i="137"/>
  <c r="F556" i="137" s="1"/>
  <c r="G556" i="137" s="1"/>
  <c r="AG555" i="137"/>
  <c r="E555" i="137"/>
  <c r="F555" i="137" s="1"/>
  <c r="G555" i="137" s="1"/>
  <c r="AG554" i="137"/>
  <c r="E554" i="137"/>
  <c r="F554" i="137" s="1"/>
  <c r="G554" i="137" s="1"/>
  <c r="AG553" i="137"/>
  <c r="E553" i="137"/>
  <c r="F553" i="137" s="1"/>
  <c r="G553" i="137" s="1"/>
  <c r="AG552" i="137"/>
  <c r="E552" i="137"/>
  <c r="F552" i="137" s="1"/>
  <c r="G552" i="137" s="1"/>
  <c r="AG551" i="137"/>
  <c r="E551" i="137"/>
  <c r="F551" i="137" s="1"/>
  <c r="G551" i="137" s="1"/>
  <c r="AG550" i="137"/>
  <c r="E550" i="137"/>
  <c r="F550" i="137" s="1"/>
  <c r="G550" i="137" s="1"/>
  <c r="AG549" i="137"/>
  <c r="E549" i="137"/>
  <c r="F549" i="137" s="1"/>
  <c r="G549" i="137" s="1"/>
  <c r="AG548" i="137"/>
  <c r="E548" i="137"/>
  <c r="F548" i="137" s="1"/>
  <c r="G548" i="137" s="1"/>
  <c r="AG547" i="137"/>
  <c r="E547" i="137"/>
  <c r="F547" i="137" s="1"/>
  <c r="G547" i="137" s="1"/>
  <c r="AG546" i="137"/>
  <c r="E546" i="137"/>
  <c r="F546" i="137" s="1"/>
  <c r="G546" i="137" s="1"/>
  <c r="AG545" i="137"/>
  <c r="E545" i="137"/>
  <c r="F545" i="137" s="1"/>
  <c r="G545" i="137" s="1"/>
  <c r="AG544" i="137"/>
  <c r="E544" i="137"/>
  <c r="F544" i="137" s="1"/>
  <c r="G544" i="137" s="1"/>
  <c r="AG543" i="137"/>
  <c r="E543" i="137"/>
  <c r="F543" i="137" s="1"/>
  <c r="G543" i="137" s="1"/>
  <c r="AG542" i="137"/>
  <c r="E542" i="137"/>
  <c r="F542" i="137" s="1"/>
  <c r="G542" i="137" s="1"/>
  <c r="AG541" i="137"/>
  <c r="E541" i="137"/>
  <c r="F541" i="137" s="1"/>
  <c r="G541" i="137" s="1"/>
  <c r="AG540" i="137"/>
  <c r="E540" i="137"/>
  <c r="F540" i="137" s="1"/>
  <c r="G540" i="137" s="1"/>
  <c r="AG539" i="137"/>
  <c r="E539" i="137"/>
  <c r="F539" i="137" s="1"/>
  <c r="G539" i="137" s="1"/>
  <c r="AG538" i="137"/>
  <c r="E538" i="137"/>
  <c r="F538" i="137" s="1"/>
  <c r="G538" i="137" s="1"/>
  <c r="AG537" i="137"/>
  <c r="E537" i="137"/>
  <c r="F537" i="137" s="1"/>
  <c r="G537" i="137" s="1"/>
  <c r="AG536" i="137"/>
  <c r="E536" i="137"/>
  <c r="F536" i="137" s="1"/>
  <c r="G536" i="137" s="1"/>
  <c r="AG535" i="137"/>
  <c r="E535" i="137"/>
  <c r="F535" i="137" s="1"/>
  <c r="G535" i="137" s="1"/>
  <c r="AG534" i="137"/>
  <c r="E534" i="137"/>
  <c r="F534" i="137" s="1"/>
  <c r="G534" i="137" s="1"/>
  <c r="AG533" i="137"/>
  <c r="E533" i="137"/>
  <c r="F533" i="137" s="1"/>
  <c r="G533" i="137" s="1"/>
  <c r="AG532" i="137"/>
  <c r="E532" i="137"/>
  <c r="F532" i="137" s="1"/>
  <c r="G532" i="137" s="1"/>
  <c r="AG531" i="137"/>
  <c r="E531" i="137"/>
  <c r="F531" i="137" s="1"/>
  <c r="G531" i="137" s="1"/>
  <c r="AG530" i="137"/>
  <c r="E530" i="137"/>
  <c r="F530" i="137" s="1"/>
  <c r="G530" i="137" s="1"/>
  <c r="AG529" i="137"/>
  <c r="E529" i="137"/>
  <c r="F529" i="137" s="1"/>
  <c r="G529" i="137" s="1"/>
  <c r="AG528" i="137"/>
  <c r="E528" i="137"/>
  <c r="F528" i="137" s="1"/>
  <c r="G528" i="137" s="1"/>
  <c r="AG527" i="137"/>
  <c r="E527" i="137"/>
  <c r="F527" i="137" s="1"/>
  <c r="G527" i="137" s="1"/>
  <c r="AG526" i="137"/>
  <c r="E526" i="137"/>
  <c r="F526" i="137" s="1"/>
  <c r="G526" i="137" s="1"/>
  <c r="AG525" i="137"/>
  <c r="E525" i="137"/>
  <c r="F525" i="137" s="1"/>
  <c r="G525" i="137" s="1"/>
  <c r="AG524" i="137"/>
  <c r="E524" i="137"/>
  <c r="F524" i="137" s="1"/>
  <c r="G524" i="137" s="1"/>
  <c r="AG523" i="137"/>
  <c r="E523" i="137"/>
  <c r="F523" i="137" s="1"/>
  <c r="G523" i="137" s="1"/>
  <c r="AG522" i="137"/>
  <c r="E522" i="137"/>
  <c r="F522" i="137" s="1"/>
  <c r="G522" i="137" s="1"/>
  <c r="AG521" i="137"/>
  <c r="E521" i="137"/>
  <c r="F521" i="137" s="1"/>
  <c r="G521" i="137" s="1"/>
  <c r="AG520" i="137"/>
  <c r="E520" i="137"/>
  <c r="F520" i="137" s="1"/>
  <c r="G520" i="137" s="1"/>
  <c r="AG519" i="137"/>
  <c r="E519" i="137"/>
  <c r="F519" i="137" s="1"/>
  <c r="G519" i="137" s="1"/>
  <c r="AG518" i="137"/>
  <c r="E518" i="137"/>
  <c r="F518" i="137" s="1"/>
  <c r="G518" i="137" s="1"/>
  <c r="AG517" i="137"/>
  <c r="E517" i="137"/>
  <c r="F517" i="137" s="1"/>
  <c r="G517" i="137" s="1"/>
  <c r="AG516" i="137"/>
  <c r="E516" i="137"/>
  <c r="F516" i="137" s="1"/>
  <c r="G516" i="137" s="1"/>
  <c r="AG515" i="137"/>
  <c r="E515" i="137"/>
  <c r="F515" i="137" s="1"/>
  <c r="G515" i="137" s="1"/>
  <c r="AG514" i="137"/>
  <c r="E514" i="137"/>
  <c r="F514" i="137" s="1"/>
  <c r="G514" i="137" s="1"/>
  <c r="AG513" i="137"/>
  <c r="E513" i="137"/>
  <c r="F513" i="137" s="1"/>
  <c r="G513" i="137" s="1"/>
  <c r="AG512" i="137"/>
  <c r="E512" i="137"/>
  <c r="F512" i="137" s="1"/>
  <c r="G512" i="137" s="1"/>
  <c r="AG511" i="137"/>
  <c r="E511" i="137"/>
  <c r="F511" i="137" s="1"/>
  <c r="G511" i="137" s="1"/>
  <c r="AG510" i="137"/>
  <c r="E510" i="137"/>
  <c r="F510" i="137" s="1"/>
  <c r="G510" i="137" s="1"/>
  <c r="AG509" i="137"/>
  <c r="E509" i="137"/>
  <c r="F509" i="137" s="1"/>
  <c r="G509" i="137" s="1"/>
  <c r="AG508" i="137"/>
  <c r="E508" i="137"/>
  <c r="F508" i="137" s="1"/>
  <c r="G508" i="137" s="1"/>
  <c r="AG507" i="137"/>
  <c r="E507" i="137"/>
  <c r="F507" i="137" s="1"/>
  <c r="G507" i="137" s="1"/>
  <c r="AG506" i="137"/>
  <c r="E506" i="137"/>
  <c r="F506" i="137" s="1"/>
  <c r="G506" i="137" s="1"/>
  <c r="AG505" i="137"/>
  <c r="E505" i="137"/>
  <c r="F505" i="137" s="1"/>
  <c r="G505" i="137" s="1"/>
  <c r="AG504" i="137"/>
  <c r="E504" i="137"/>
  <c r="F504" i="137" s="1"/>
  <c r="G504" i="137" s="1"/>
  <c r="AG503" i="137"/>
  <c r="E503" i="137"/>
  <c r="F503" i="137" s="1"/>
  <c r="G503" i="137" s="1"/>
  <c r="AG502" i="137"/>
  <c r="E502" i="137"/>
  <c r="F502" i="137" s="1"/>
  <c r="G502" i="137" s="1"/>
  <c r="AG501" i="137"/>
  <c r="E501" i="137"/>
  <c r="F501" i="137" s="1"/>
  <c r="G501" i="137" s="1"/>
  <c r="AG500" i="137"/>
  <c r="E500" i="137"/>
  <c r="F500" i="137" s="1"/>
  <c r="G500" i="137" s="1"/>
  <c r="AG499" i="137"/>
  <c r="E499" i="137"/>
  <c r="F499" i="137" s="1"/>
  <c r="G499" i="137" s="1"/>
  <c r="AG498" i="137"/>
  <c r="E498" i="137"/>
  <c r="F498" i="137" s="1"/>
  <c r="G498" i="137" s="1"/>
  <c r="AG497" i="137"/>
  <c r="E497" i="137"/>
  <c r="F497" i="137" s="1"/>
  <c r="G497" i="137" s="1"/>
  <c r="AG496" i="137"/>
  <c r="E496" i="137"/>
  <c r="F496" i="137" s="1"/>
  <c r="G496" i="137" s="1"/>
  <c r="AG495" i="137"/>
  <c r="E495" i="137"/>
  <c r="F495" i="137" s="1"/>
  <c r="G495" i="137" s="1"/>
  <c r="AG494" i="137"/>
  <c r="E494" i="137"/>
  <c r="F494" i="137" s="1"/>
  <c r="G494" i="137" s="1"/>
  <c r="AG493" i="137"/>
  <c r="E493" i="137"/>
  <c r="F493" i="137" s="1"/>
  <c r="G493" i="137" s="1"/>
  <c r="AG492" i="137"/>
  <c r="E492" i="137"/>
  <c r="F492" i="137" s="1"/>
  <c r="G492" i="137" s="1"/>
  <c r="AG491" i="137"/>
  <c r="E491" i="137"/>
  <c r="F491" i="137" s="1"/>
  <c r="G491" i="137" s="1"/>
  <c r="AG490" i="137"/>
  <c r="E490" i="137"/>
  <c r="F490" i="137" s="1"/>
  <c r="G490" i="137" s="1"/>
  <c r="AG489" i="137"/>
  <c r="E489" i="137"/>
  <c r="F489" i="137" s="1"/>
  <c r="G489" i="137" s="1"/>
  <c r="AG488" i="137"/>
  <c r="E488" i="137"/>
  <c r="F488" i="137" s="1"/>
  <c r="G488" i="137" s="1"/>
  <c r="AG487" i="137"/>
  <c r="E487" i="137"/>
  <c r="F487" i="137" s="1"/>
  <c r="G487" i="137" s="1"/>
  <c r="AG486" i="137"/>
  <c r="E486" i="137"/>
  <c r="F486" i="137" s="1"/>
  <c r="G486" i="137" s="1"/>
  <c r="AG485" i="137"/>
  <c r="E485" i="137"/>
  <c r="F485" i="137" s="1"/>
  <c r="G485" i="137" s="1"/>
  <c r="AG484" i="137"/>
  <c r="E484" i="137"/>
  <c r="F484" i="137" s="1"/>
  <c r="G484" i="137" s="1"/>
  <c r="AG483" i="137"/>
  <c r="E483" i="137"/>
  <c r="F483" i="137" s="1"/>
  <c r="G483" i="137" s="1"/>
  <c r="AG482" i="137"/>
  <c r="E482" i="137"/>
  <c r="F482" i="137" s="1"/>
  <c r="G482" i="137" s="1"/>
  <c r="AG481" i="137"/>
  <c r="E481" i="137"/>
  <c r="F481" i="137" s="1"/>
  <c r="G481" i="137" s="1"/>
  <c r="AG480" i="137"/>
  <c r="E480" i="137"/>
  <c r="F480" i="137" s="1"/>
  <c r="G480" i="137" s="1"/>
  <c r="AG479" i="137"/>
  <c r="E479" i="137"/>
  <c r="F479" i="137" s="1"/>
  <c r="G479" i="137" s="1"/>
  <c r="AG478" i="137"/>
  <c r="E478" i="137"/>
  <c r="F478" i="137" s="1"/>
  <c r="G478" i="137" s="1"/>
  <c r="AG477" i="137"/>
  <c r="E477" i="137"/>
  <c r="F477" i="137" s="1"/>
  <c r="G477" i="137" s="1"/>
  <c r="AG476" i="137"/>
  <c r="E476" i="137"/>
  <c r="F476" i="137" s="1"/>
  <c r="G476" i="137" s="1"/>
  <c r="AG475" i="137"/>
  <c r="E475" i="137"/>
  <c r="F475" i="137" s="1"/>
  <c r="G475" i="137" s="1"/>
  <c r="AG474" i="137"/>
  <c r="E474" i="137"/>
  <c r="F474" i="137" s="1"/>
  <c r="G474" i="137" s="1"/>
  <c r="AG473" i="137"/>
  <c r="E473" i="137"/>
  <c r="F473" i="137" s="1"/>
  <c r="G473" i="137" s="1"/>
  <c r="AG472" i="137"/>
  <c r="E472" i="137"/>
  <c r="F472" i="137" s="1"/>
  <c r="G472" i="137" s="1"/>
  <c r="AG471" i="137"/>
  <c r="E471" i="137"/>
  <c r="F471" i="137" s="1"/>
  <c r="G471" i="137" s="1"/>
  <c r="AG470" i="137"/>
  <c r="E470" i="137"/>
  <c r="F470" i="137" s="1"/>
  <c r="G470" i="137" s="1"/>
  <c r="AG469" i="137"/>
  <c r="E469" i="137"/>
  <c r="F469" i="137" s="1"/>
  <c r="G469" i="137" s="1"/>
  <c r="AG468" i="137"/>
  <c r="E468" i="137"/>
  <c r="F468" i="137" s="1"/>
  <c r="G468" i="137" s="1"/>
  <c r="AG467" i="137"/>
  <c r="E467" i="137"/>
  <c r="F467" i="137" s="1"/>
  <c r="G467" i="137" s="1"/>
  <c r="AG466" i="137"/>
  <c r="E466" i="137"/>
  <c r="F466" i="137" s="1"/>
  <c r="G466" i="137" s="1"/>
  <c r="AG465" i="137"/>
  <c r="E465" i="137"/>
  <c r="F465" i="137" s="1"/>
  <c r="G465" i="137" s="1"/>
  <c r="AG464" i="137"/>
  <c r="E464" i="137"/>
  <c r="F464" i="137" s="1"/>
  <c r="G464" i="137" s="1"/>
  <c r="AG463" i="137"/>
  <c r="E463" i="137"/>
  <c r="F463" i="137" s="1"/>
  <c r="G463" i="137" s="1"/>
  <c r="AG462" i="137"/>
  <c r="E462" i="137"/>
  <c r="F462" i="137" s="1"/>
  <c r="G462" i="137" s="1"/>
  <c r="AG461" i="137"/>
  <c r="E461" i="137"/>
  <c r="F461" i="137" s="1"/>
  <c r="G461" i="137" s="1"/>
  <c r="AG460" i="137"/>
  <c r="E460" i="137"/>
  <c r="F460" i="137" s="1"/>
  <c r="G460" i="137" s="1"/>
  <c r="AG459" i="137"/>
  <c r="E459" i="137"/>
  <c r="F459" i="137" s="1"/>
  <c r="G459" i="137" s="1"/>
  <c r="AG458" i="137"/>
  <c r="E458" i="137"/>
  <c r="F458" i="137" s="1"/>
  <c r="G458" i="137" s="1"/>
  <c r="AG457" i="137"/>
  <c r="E457" i="137"/>
  <c r="F457" i="137" s="1"/>
  <c r="G457" i="137" s="1"/>
  <c r="AG456" i="137"/>
  <c r="E456" i="137"/>
  <c r="F456" i="137" s="1"/>
  <c r="G456" i="137" s="1"/>
  <c r="AG455" i="137"/>
  <c r="E455" i="137"/>
  <c r="F455" i="137" s="1"/>
  <c r="G455" i="137" s="1"/>
  <c r="AG454" i="137"/>
  <c r="E454" i="137"/>
  <c r="F454" i="137" s="1"/>
  <c r="G454" i="137" s="1"/>
  <c r="AG453" i="137"/>
  <c r="E453" i="137"/>
  <c r="F453" i="137" s="1"/>
  <c r="G453" i="137" s="1"/>
  <c r="AG452" i="137"/>
  <c r="E452" i="137"/>
  <c r="F452" i="137" s="1"/>
  <c r="G452" i="137" s="1"/>
  <c r="AG451" i="137"/>
  <c r="E451" i="137"/>
  <c r="F451" i="137" s="1"/>
  <c r="G451" i="137" s="1"/>
  <c r="AG450" i="137"/>
  <c r="E450" i="137"/>
  <c r="F450" i="137" s="1"/>
  <c r="G450" i="137" s="1"/>
  <c r="AG449" i="137"/>
  <c r="E449" i="137"/>
  <c r="F449" i="137" s="1"/>
  <c r="G449" i="137" s="1"/>
  <c r="AG448" i="137"/>
  <c r="E448" i="137"/>
  <c r="F448" i="137" s="1"/>
  <c r="G448" i="137" s="1"/>
  <c r="AG447" i="137"/>
  <c r="E447" i="137"/>
  <c r="F447" i="137" s="1"/>
  <c r="G447" i="137" s="1"/>
  <c r="AG446" i="137"/>
  <c r="E446" i="137"/>
  <c r="F446" i="137" s="1"/>
  <c r="G446" i="137" s="1"/>
  <c r="AG445" i="137"/>
  <c r="E445" i="137"/>
  <c r="F445" i="137" s="1"/>
  <c r="G445" i="137" s="1"/>
  <c r="AG444" i="137"/>
  <c r="E444" i="137"/>
  <c r="F444" i="137" s="1"/>
  <c r="G444" i="137" s="1"/>
  <c r="AG443" i="137"/>
  <c r="E443" i="137"/>
  <c r="F443" i="137" s="1"/>
  <c r="G443" i="137" s="1"/>
  <c r="AG442" i="137"/>
  <c r="E442" i="137"/>
  <c r="F442" i="137" s="1"/>
  <c r="G442" i="137" s="1"/>
  <c r="AG441" i="137"/>
  <c r="E441" i="137"/>
  <c r="F441" i="137" s="1"/>
  <c r="G441" i="137" s="1"/>
  <c r="AG440" i="137"/>
  <c r="E440" i="137"/>
  <c r="F440" i="137" s="1"/>
  <c r="G440" i="137" s="1"/>
  <c r="AG439" i="137"/>
  <c r="E439" i="137"/>
  <c r="F439" i="137" s="1"/>
  <c r="G439" i="137" s="1"/>
  <c r="AG438" i="137"/>
  <c r="E438" i="137"/>
  <c r="F438" i="137" s="1"/>
  <c r="G438" i="137" s="1"/>
  <c r="AG437" i="137"/>
  <c r="E437" i="137"/>
  <c r="F437" i="137" s="1"/>
  <c r="G437" i="137" s="1"/>
  <c r="AG436" i="137"/>
  <c r="E436" i="137"/>
  <c r="F436" i="137" s="1"/>
  <c r="G436" i="137" s="1"/>
  <c r="AG435" i="137"/>
  <c r="E435" i="137"/>
  <c r="F435" i="137" s="1"/>
  <c r="G435" i="137" s="1"/>
  <c r="AG434" i="137"/>
  <c r="E434" i="137"/>
  <c r="F434" i="137" s="1"/>
  <c r="G434" i="137" s="1"/>
  <c r="AG433" i="137"/>
  <c r="E433" i="137"/>
  <c r="F433" i="137" s="1"/>
  <c r="G433" i="137" s="1"/>
  <c r="AG432" i="137"/>
  <c r="E432" i="137"/>
  <c r="F432" i="137" s="1"/>
  <c r="G432" i="137" s="1"/>
  <c r="AG431" i="137"/>
  <c r="E431" i="137"/>
  <c r="F431" i="137" s="1"/>
  <c r="G431" i="137" s="1"/>
  <c r="AG430" i="137"/>
  <c r="E430" i="137"/>
  <c r="F430" i="137" s="1"/>
  <c r="G430" i="137" s="1"/>
  <c r="AG429" i="137"/>
  <c r="E429" i="137"/>
  <c r="F429" i="137" s="1"/>
  <c r="G429" i="137" s="1"/>
  <c r="AG428" i="137"/>
  <c r="E428" i="137"/>
  <c r="F428" i="137" s="1"/>
  <c r="G428" i="137" s="1"/>
  <c r="AG427" i="137"/>
  <c r="E427" i="137"/>
  <c r="F427" i="137" s="1"/>
  <c r="G427" i="137" s="1"/>
  <c r="AG426" i="137"/>
  <c r="E426" i="137"/>
  <c r="F426" i="137" s="1"/>
  <c r="G426" i="137" s="1"/>
  <c r="AG425" i="137"/>
  <c r="E425" i="137"/>
  <c r="F425" i="137" s="1"/>
  <c r="G425" i="137" s="1"/>
  <c r="AG424" i="137"/>
  <c r="E424" i="137"/>
  <c r="F424" i="137" s="1"/>
  <c r="G424" i="137" s="1"/>
  <c r="AG423" i="137"/>
  <c r="E423" i="137"/>
  <c r="F423" i="137" s="1"/>
  <c r="G423" i="137" s="1"/>
  <c r="AG422" i="137"/>
  <c r="E422" i="137"/>
  <c r="F422" i="137" s="1"/>
  <c r="G422" i="137" s="1"/>
  <c r="AG421" i="137"/>
  <c r="E421" i="137"/>
  <c r="F421" i="137" s="1"/>
  <c r="G421" i="137" s="1"/>
  <c r="AG420" i="137"/>
  <c r="E420" i="137"/>
  <c r="F420" i="137" s="1"/>
  <c r="G420" i="137" s="1"/>
  <c r="AG419" i="137"/>
  <c r="E419" i="137"/>
  <c r="F419" i="137" s="1"/>
  <c r="G419" i="137" s="1"/>
  <c r="AG418" i="137"/>
  <c r="E418" i="137"/>
  <c r="F418" i="137" s="1"/>
  <c r="G418" i="137" s="1"/>
  <c r="AG417" i="137"/>
  <c r="E417" i="137"/>
  <c r="F417" i="137" s="1"/>
  <c r="G417" i="137" s="1"/>
  <c r="AG416" i="137"/>
  <c r="E416" i="137"/>
  <c r="F416" i="137" s="1"/>
  <c r="G416" i="137" s="1"/>
  <c r="AG415" i="137"/>
  <c r="E415" i="137"/>
  <c r="F415" i="137" s="1"/>
  <c r="G415" i="137" s="1"/>
  <c r="AG414" i="137"/>
  <c r="E414" i="137"/>
  <c r="F414" i="137" s="1"/>
  <c r="G414" i="137" s="1"/>
  <c r="AG413" i="137"/>
  <c r="E413" i="137"/>
  <c r="F413" i="137" s="1"/>
  <c r="G413" i="137" s="1"/>
  <c r="AG412" i="137"/>
  <c r="E412" i="137"/>
  <c r="F412" i="137" s="1"/>
  <c r="G412" i="137" s="1"/>
  <c r="AG411" i="137"/>
  <c r="E411" i="137"/>
  <c r="F411" i="137" s="1"/>
  <c r="G411" i="137" s="1"/>
  <c r="AG410" i="137"/>
  <c r="E410" i="137"/>
  <c r="F410" i="137" s="1"/>
  <c r="G410" i="137" s="1"/>
  <c r="AG409" i="137"/>
  <c r="E409" i="137"/>
  <c r="F409" i="137" s="1"/>
  <c r="G409" i="137" s="1"/>
  <c r="AG408" i="137"/>
  <c r="E408" i="137"/>
  <c r="F408" i="137" s="1"/>
  <c r="G408" i="137" s="1"/>
  <c r="AG407" i="137"/>
  <c r="E407" i="137"/>
  <c r="F407" i="137" s="1"/>
  <c r="G407" i="137" s="1"/>
  <c r="AG406" i="137"/>
  <c r="E406" i="137"/>
  <c r="F406" i="137" s="1"/>
  <c r="G406" i="137" s="1"/>
  <c r="AG405" i="137"/>
  <c r="E405" i="137"/>
  <c r="F405" i="137" s="1"/>
  <c r="G405" i="137" s="1"/>
  <c r="AG404" i="137"/>
  <c r="E404" i="137"/>
  <c r="F404" i="137" s="1"/>
  <c r="G404" i="137" s="1"/>
  <c r="AG403" i="137"/>
  <c r="E403" i="137"/>
  <c r="F403" i="137" s="1"/>
  <c r="G403" i="137" s="1"/>
  <c r="AG402" i="137"/>
  <c r="E402" i="137"/>
  <c r="F402" i="137" s="1"/>
  <c r="G402" i="137" s="1"/>
  <c r="AG401" i="137"/>
  <c r="E401" i="137"/>
  <c r="F401" i="137" s="1"/>
  <c r="G401" i="137" s="1"/>
  <c r="AG400" i="137"/>
  <c r="E400" i="137"/>
  <c r="F400" i="137" s="1"/>
  <c r="G400" i="137" s="1"/>
  <c r="AG399" i="137"/>
  <c r="E399" i="137"/>
  <c r="F399" i="137" s="1"/>
  <c r="G399" i="137" s="1"/>
  <c r="AG398" i="137"/>
  <c r="E398" i="137"/>
  <c r="F398" i="137" s="1"/>
  <c r="G398" i="137" s="1"/>
  <c r="AG397" i="137"/>
  <c r="E397" i="137"/>
  <c r="F397" i="137" s="1"/>
  <c r="G397" i="137" s="1"/>
  <c r="AG396" i="137"/>
  <c r="E396" i="137"/>
  <c r="F396" i="137" s="1"/>
  <c r="G396" i="137" s="1"/>
  <c r="AG395" i="137"/>
  <c r="E395" i="137"/>
  <c r="F395" i="137" s="1"/>
  <c r="G395" i="137" s="1"/>
  <c r="AG394" i="137"/>
  <c r="E394" i="137"/>
  <c r="F394" i="137" s="1"/>
  <c r="G394" i="137" s="1"/>
  <c r="AG393" i="137"/>
  <c r="E393" i="137"/>
  <c r="F393" i="137" s="1"/>
  <c r="G393" i="137" s="1"/>
  <c r="AG392" i="137"/>
  <c r="E392" i="137"/>
  <c r="F392" i="137" s="1"/>
  <c r="G392" i="137" s="1"/>
  <c r="AG391" i="137"/>
  <c r="E391" i="137"/>
  <c r="F391" i="137" s="1"/>
  <c r="G391" i="137" s="1"/>
  <c r="AG390" i="137"/>
  <c r="E390" i="137"/>
  <c r="F390" i="137" s="1"/>
  <c r="G390" i="137" s="1"/>
  <c r="AG389" i="137"/>
  <c r="E389" i="137"/>
  <c r="F389" i="137" s="1"/>
  <c r="G389" i="137" s="1"/>
  <c r="AG388" i="137"/>
  <c r="E388" i="137"/>
  <c r="F388" i="137" s="1"/>
  <c r="G388" i="137" s="1"/>
  <c r="AG387" i="137"/>
  <c r="E387" i="137"/>
  <c r="F387" i="137" s="1"/>
  <c r="G387" i="137" s="1"/>
  <c r="AG386" i="137"/>
  <c r="E386" i="137"/>
  <c r="F386" i="137" s="1"/>
  <c r="G386" i="137" s="1"/>
  <c r="AG385" i="137"/>
  <c r="E385" i="137"/>
  <c r="F385" i="137" s="1"/>
  <c r="G385" i="137" s="1"/>
  <c r="AG384" i="137"/>
  <c r="E384" i="137"/>
  <c r="F384" i="137" s="1"/>
  <c r="G384" i="137" s="1"/>
  <c r="AG383" i="137"/>
  <c r="E383" i="137"/>
  <c r="F383" i="137" s="1"/>
  <c r="G383" i="137" s="1"/>
  <c r="AG382" i="137"/>
  <c r="E382" i="137"/>
  <c r="F382" i="137" s="1"/>
  <c r="G382" i="137" s="1"/>
  <c r="AG381" i="137"/>
  <c r="E381" i="137"/>
  <c r="F381" i="137" s="1"/>
  <c r="G381" i="137" s="1"/>
  <c r="AG380" i="137"/>
  <c r="E380" i="137"/>
  <c r="F380" i="137" s="1"/>
  <c r="G380" i="137" s="1"/>
  <c r="AG379" i="137"/>
  <c r="E379" i="137"/>
  <c r="F379" i="137" s="1"/>
  <c r="G379" i="137" s="1"/>
  <c r="AG378" i="137"/>
  <c r="E378" i="137"/>
  <c r="F378" i="137" s="1"/>
  <c r="G378" i="137" s="1"/>
  <c r="AG377" i="137"/>
  <c r="E377" i="137"/>
  <c r="F377" i="137" s="1"/>
  <c r="G377" i="137" s="1"/>
  <c r="AG376" i="137"/>
  <c r="E376" i="137"/>
  <c r="F376" i="137" s="1"/>
  <c r="G376" i="137" s="1"/>
  <c r="AG375" i="137"/>
  <c r="E375" i="137"/>
  <c r="F375" i="137" s="1"/>
  <c r="G375" i="137" s="1"/>
  <c r="AG374" i="137"/>
  <c r="E374" i="137"/>
  <c r="F374" i="137" s="1"/>
  <c r="G374" i="137" s="1"/>
  <c r="AG373" i="137"/>
  <c r="E373" i="137"/>
  <c r="F373" i="137" s="1"/>
  <c r="G373" i="137" s="1"/>
  <c r="AG372" i="137"/>
  <c r="E372" i="137"/>
  <c r="F372" i="137" s="1"/>
  <c r="G372" i="137" s="1"/>
  <c r="AG371" i="137"/>
  <c r="E371" i="137"/>
  <c r="F371" i="137" s="1"/>
  <c r="G371" i="137" s="1"/>
  <c r="AG370" i="137"/>
  <c r="E370" i="137"/>
  <c r="F370" i="137" s="1"/>
  <c r="G370" i="137" s="1"/>
  <c r="AG369" i="137"/>
  <c r="E369" i="137"/>
  <c r="F369" i="137" s="1"/>
  <c r="G369" i="137" s="1"/>
  <c r="AG368" i="137"/>
  <c r="E368" i="137"/>
  <c r="F368" i="137" s="1"/>
  <c r="G368" i="137" s="1"/>
  <c r="AG367" i="137"/>
  <c r="E367" i="137"/>
  <c r="F367" i="137" s="1"/>
  <c r="G367" i="137" s="1"/>
  <c r="AG366" i="137"/>
  <c r="E366" i="137"/>
  <c r="F366" i="137" s="1"/>
  <c r="G366" i="137" s="1"/>
  <c r="AG365" i="137"/>
  <c r="E365" i="137"/>
  <c r="F365" i="137" s="1"/>
  <c r="G365" i="137" s="1"/>
  <c r="AG364" i="137"/>
  <c r="E364" i="137"/>
  <c r="F364" i="137" s="1"/>
  <c r="G364" i="137" s="1"/>
  <c r="AG363" i="137"/>
  <c r="E363" i="137"/>
  <c r="F363" i="137" s="1"/>
  <c r="G363" i="137" s="1"/>
  <c r="AG362" i="137"/>
  <c r="E362" i="137"/>
  <c r="F362" i="137" s="1"/>
  <c r="G362" i="137" s="1"/>
  <c r="AG361" i="137"/>
  <c r="E361" i="137"/>
  <c r="F361" i="137" s="1"/>
  <c r="G361" i="137" s="1"/>
  <c r="AG360" i="137"/>
  <c r="E360" i="137"/>
  <c r="F360" i="137" s="1"/>
  <c r="G360" i="137" s="1"/>
  <c r="AG359" i="137"/>
  <c r="E359" i="137"/>
  <c r="F359" i="137" s="1"/>
  <c r="G359" i="137" s="1"/>
  <c r="AG358" i="137"/>
  <c r="E358" i="137"/>
  <c r="F358" i="137" s="1"/>
  <c r="G358" i="137" s="1"/>
  <c r="AG357" i="137"/>
  <c r="E357" i="137"/>
  <c r="F357" i="137" s="1"/>
  <c r="G357" i="137" s="1"/>
  <c r="AG356" i="137"/>
  <c r="E356" i="137"/>
  <c r="F356" i="137" s="1"/>
  <c r="G356" i="137" s="1"/>
  <c r="AG355" i="137"/>
  <c r="E355" i="137"/>
  <c r="F355" i="137" s="1"/>
  <c r="G355" i="137" s="1"/>
  <c r="AG354" i="137"/>
  <c r="E354" i="137"/>
  <c r="F354" i="137" s="1"/>
  <c r="G354" i="137" s="1"/>
  <c r="AG353" i="137"/>
  <c r="E353" i="137"/>
  <c r="F353" i="137" s="1"/>
  <c r="G353" i="137" s="1"/>
  <c r="AG352" i="137"/>
  <c r="E352" i="137"/>
  <c r="F352" i="137" s="1"/>
  <c r="G352" i="137" s="1"/>
  <c r="AG351" i="137"/>
  <c r="E351" i="137"/>
  <c r="F351" i="137" s="1"/>
  <c r="G351" i="137" s="1"/>
  <c r="AG350" i="137"/>
  <c r="E350" i="137"/>
  <c r="F350" i="137" s="1"/>
  <c r="G350" i="137" s="1"/>
  <c r="AG349" i="137"/>
  <c r="E349" i="137"/>
  <c r="F349" i="137" s="1"/>
  <c r="G349" i="137" s="1"/>
  <c r="AG348" i="137"/>
  <c r="E348" i="137"/>
  <c r="F348" i="137" s="1"/>
  <c r="G348" i="137" s="1"/>
  <c r="AG347" i="137"/>
  <c r="E347" i="137"/>
  <c r="F347" i="137" s="1"/>
  <c r="G347" i="137" s="1"/>
  <c r="AG346" i="137"/>
  <c r="E346" i="137"/>
  <c r="F346" i="137" s="1"/>
  <c r="G346" i="137" s="1"/>
  <c r="AG345" i="137"/>
  <c r="E345" i="137"/>
  <c r="F345" i="137" s="1"/>
  <c r="G345" i="137" s="1"/>
  <c r="AG344" i="137"/>
  <c r="E344" i="137"/>
  <c r="F344" i="137" s="1"/>
  <c r="G344" i="137" s="1"/>
  <c r="AG343" i="137"/>
  <c r="E343" i="137"/>
  <c r="F343" i="137" s="1"/>
  <c r="G343" i="137" s="1"/>
  <c r="AG342" i="137"/>
  <c r="E342" i="137"/>
  <c r="F342" i="137" s="1"/>
  <c r="G342" i="137" s="1"/>
  <c r="AG341" i="137"/>
  <c r="E341" i="137"/>
  <c r="F341" i="137" s="1"/>
  <c r="G341" i="137" s="1"/>
  <c r="AG340" i="137"/>
  <c r="E340" i="137"/>
  <c r="F340" i="137" s="1"/>
  <c r="G340" i="137" s="1"/>
  <c r="AG339" i="137"/>
  <c r="E339" i="137"/>
  <c r="F339" i="137" s="1"/>
  <c r="G339" i="137" s="1"/>
  <c r="AG338" i="137"/>
  <c r="E338" i="137"/>
  <c r="F338" i="137" s="1"/>
  <c r="G338" i="137" s="1"/>
  <c r="AG337" i="137"/>
  <c r="E337" i="137"/>
  <c r="F337" i="137" s="1"/>
  <c r="G337" i="137" s="1"/>
  <c r="AG336" i="137"/>
  <c r="E336" i="137"/>
  <c r="F336" i="137" s="1"/>
  <c r="G336" i="137" s="1"/>
  <c r="AG335" i="137"/>
  <c r="E335" i="137"/>
  <c r="F335" i="137" s="1"/>
  <c r="G335" i="137" s="1"/>
  <c r="AG334" i="137"/>
  <c r="E334" i="137"/>
  <c r="F334" i="137" s="1"/>
  <c r="G334" i="137" s="1"/>
  <c r="AG333" i="137"/>
  <c r="E333" i="137"/>
  <c r="F333" i="137" s="1"/>
  <c r="G333" i="137" s="1"/>
  <c r="AG332" i="137"/>
  <c r="E332" i="137"/>
  <c r="F332" i="137" s="1"/>
  <c r="G332" i="137" s="1"/>
  <c r="AG331" i="137"/>
  <c r="E331" i="137"/>
  <c r="F331" i="137" s="1"/>
  <c r="G331" i="137" s="1"/>
  <c r="AG330" i="137"/>
  <c r="E330" i="137"/>
  <c r="F330" i="137" s="1"/>
  <c r="G330" i="137" s="1"/>
  <c r="AG329" i="137"/>
  <c r="E329" i="137"/>
  <c r="F329" i="137" s="1"/>
  <c r="G329" i="137" s="1"/>
  <c r="AG328" i="137"/>
  <c r="E328" i="137"/>
  <c r="F328" i="137" s="1"/>
  <c r="G328" i="137" s="1"/>
  <c r="AG327" i="137"/>
  <c r="E327" i="137"/>
  <c r="F327" i="137" s="1"/>
  <c r="G327" i="137" s="1"/>
  <c r="AG326" i="137"/>
  <c r="E326" i="137"/>
  <c r="F326" i="137" s="1"/>
  <c r="G326" i="137" s="1"/>
  <c r="AG325" i="137"/>
  <c r="E325" i="137"/>
  <c r="F325" i="137" s="1"/>
  <c r="G325" i="137" s="1"/>
  <c r="AG324" i="137"/>
  <c r="E324" i="137"/>
  <c r="F324" i="137" s="1"/>
  <c r="G324" i="137" s="1"/>
  <c r="AG323" i="137"/>
  <c r="E323" i="137"/>
  <c r="F323" i="137" s="1"/>
  <c r="G323" i="137" s="1"/>
  <c r="AG322" i="137"/>
  <c r="E322" i="137"/>
  <c r="F322" i="137" s="1"/>
  <c r="G322" i="137" s="1"/>
  <c r="AG321" i="137"/>
  <c r="E321" i="137"/>
  <c r="F321" i="137" s="1"/>
  <c r="G321" i="137" s="1"/>
  <c r="AG320" i="137"/>
  <c r="E320" i="137"/>
  <c r="F320" i="137" s="1"/>
  <c r="G320" i="137" s="1"/>
  <c r="AG319" i="137"/>
  <c r="E319" i="137"/>
  <c r="F319" i="137" s="1"/>
  <c r="G319" i="137" s="1"/>
  <c r="AG318" i="137"/>
  <c r="E318" i="137"/>
  <c r="F318" i="137" s="1"/>
  <c r="G318" i="137" s="1"/>
  <c r="AG317" i="137"/>
  <c r="E317" i="137"/>
  <c r="F317" i="137" s="1"/>
  <c r="G317" i="137" s="1"/>
  <c r="AG316" i="137"/>
  <c r="E316" i="137"/>
  <c r="F316" i="137" s="1"/>
  <c r="G316" i="137" s="1"/>
  <c r="AG315" i="137"/>
  <c r="E315" i="137"/>
  <c r="F315" i="137" s="1"/>
  <c r="G315" i="137" s="1"/>
  <c r="AG314" i="137"/>
  <c r="E314" i="137"/>
  <c r="F314" i="137" s="1"/>
  <c r="G314" i="137" s="1"/>
  <c r="AG313" i="137"/>
  <c r="E313" i="137"/>
  <c r="F313" i="137" s="1"/>
  <c r="G313" i="137" s="1"/>
  <c r="AG312" i="137"/>
  <c r="E312" i="137"/>
  <c r="F312" i="137" s="1"/>
  <c r="G312" i="137" s="1"/>
  <c r="AG311" i="137"/>
  <c r="E311" i="137"/>
  <c r="F311" i="137" s="1"/>
  <c r="G311" i="137" s="1"/>
  <c r="AG310" i="137"/>
  <c r="E310" i="137"/>
  <c r="F310" i="137" s="1"/>
  <c r="G310" i="137" s="1"/>
  <c r="AG309" i="137"/>
  <c r="E309" i="137"/>
  <c r="F309" i="137" s="1"/>
  <c r="G309" i="137" s="1"/>
  <c r="AG308" i="137"/>
  <c r="E308" i="137"/>
  <c r="F308" i="137" s="1"/>
  <c r="G308" i="137" s="1"/>
  <c r="AG307" i="137"/>
  <c r="E307" i="137"/>
  <c r="F307" i="137" s="1"/>
  <c r="G307" i="137" s="1"/>
  <c r="AG306" i="137"/>
  <c r="E306" i="137"/>
  <c r="F306" i="137" s="1"/>
  <c r="G306" i="137" s="1"/>
  <c r="AG305" i="137"/>
  <c r="E305" i="137"/>
  <c r="F305" i="137" s="1"/>
  <c r="G305" i="137" s="1"/>
  <c r="AG304" i="137"/>
  <c r="E304" i="137"/>
  <c r="F304" i="137" s="1"/>
  <c r="G304" i="137" s="1"/>
  <c r="AG303" i="137"/>
  <c r="E303" i="137"/>
  <c r="F303" i="137" s="1"/>
  <c r="G303" i="137" s="1"/>
  <c r="AG302" i="137"/>
  <c r="E302" i="137"/>
  <c r="F302" i="137" s="1"/>
  <c r="G302" i="137" s="1"/>
  <c r="AG301" i="137"/>
  <c r="E301" i="137"/>
  <c r="F301" i="137" s="1"/>
  <c r="G301" i="137" s="1"/>
  <c r="AG300" i="137"/>
  <c r="E300" i="137"/>
  <c r="F300" i="137" s="1"/>
  <c r="G300" i="137" s="1"/>
  <c r="AG299" i="137"/>
  <c r="E299" i="137"/>
  <c r="F299" i="137" s="1"/>
  <c r="G299" i="137" s="1"/>
  <c r="AG298" i="137"/>
  <c r="E298" i="137"/>
  <c r="F298" i="137" s="1"/>
  <c r="G298" i="137" s="1"/>
  <c r="AG297" i="137"/>
  <c r="E297" i="137"/>
  <c r="F297" i="137" s="1"/>
  <c r="G297" i="137" s="1"/>
  <c r="AG296" i="137"/>
  <c r="E296" i="137"/>
  <c r="F296" i="137" s="1"/>
  <c r="G296" i="137" s="1"/>
  <c r="AG295" i="137"/>
  <c r="E295" i="137"/>
  <c r="F295" i="137" s="1"/>
  <c r="G295" i="137" s="1"/>
  <c r="AG294" i="137"/>
  <c r="E294" i="137"/>
  <c r="F294" i="137" s="1"/>
  <c r="G294" i="137" s="1"/>
  <c r="AG293" i="137"/>
  <c r="E293" i="137"/>
  <c r="F293" i="137" s="1"/>
  <c r="G293" i="137" s="1"/>
  <c r="AG292" i="137"/>
  <c r="E292" i="137"/>
  <c r="F292" i="137" s="1"/>
  <c r="G292" i="137" s="1"/>
  <c r="AG291" i="137"/>
  <c r="E291" i="137"/>
  <c r="F291" i="137" s="1"/>
  <c r="G291" i="137" s="1"/>
  <c r="AG290" i="137"/>
  <c r="E290" i="137"/>
  <c r="F290" i="137" s="1"/>
  <c r="G290" i="137" s="1"/>
  <c r="AG289" i="137"/>
  <c r="E289" i="137"/>
  <c r="F289" i="137" s="1"/>
  <c r="G289" i="137" s="1"/>
  <c r="AG288" i="137"/>
  <c r="E288" i="137"/>
  <c r="F288" i="137" s="1"/>
  <c r="G288" i="137" s="1"/>
  <c r="AG287" i="137"/>
  <c r="E287" i="137"/>
  <c r="F287" i="137" s="1"/>
  <c r="G287" i="137" s="1"/>
  <c r="AG286" i="137"/>
  <c r="E286" i="137"/>
  <c r="F286" i="137" s="1"/>
  <c r="G286" i="137" s="1"/>
  <c r="AG285" i="137"/>
  <c r="E285" i="137"/>
  <c r="F285" i="137" s="1"/>
  <c r="G285" i="137" s="1"/>
  <c r="AG284" i="137"/>
  <c r="E284" i="137"/>
  <c r="F284" i="137" s="1"/>
  <c r="G284" i="137" s="1"/>
  <c r="AG283" i="137"/>
  <c r="E283" i="137"/>
  <c r="F283" i="137" s="1"/>
  <c r="G283" i="137" s="1"/>
  <c r="AG282" i="137"/>
  <c r="E282" i="137"/>
  <c r="F282" i="137" s="1"/>
  <c r="G282" i="137" s="1"/>
  <c r="AG281" i="137"/>
  <c r="E281" i="137"/>
  <c r="F281" i="137" s="1"/>
  <c r="G281" i="137" s="1"/>
  <c r="AG280" i="137"/>
  <c r="E280" i="137"/>
  <c r="F280" i="137" s="1"/>
  <c r="G280" i="137" s="1"/>
  <c r="AG279" i="137"/>
  <c r="E279" i="137"/>
  <c r="F279" i="137" s="1"/>
  <c r="G279" i="137" s="1"/>
  <c r="AG278" i="137"/>
  <c r="E278" i="137"/>
  <c r="F278" i="137" s="1"/>
  <c r="G278" i="137" s="1"/>
  <c r="AG277" i="137"/>
  <c r="E277" i="137"/>
  <c r="F277" i="137" s="1"/>
  <c r="G277" i="137" s="1"/>
  <c r="AG276" i="137"/>
  <c r="E276" i="137"/>
  <c r="F276" i="137" s="1"/>
  <c r="G276" i="137" s="1"/>
  <c r="AG275" i="137"/>
  <c r="E275" i="137"/>
  <c r="F275" i="137" s="1"/>
  <c r="G275" i="137" s="1"/>
  <c r="AG274" i="137"/>
  <c r="E274" i="137"/>
  <c r="F274" i="137" s="1"/>
  <c r="G274" i="137" s="1"/>
  <c r="AG273" i="137"/>
  <c r="E273" i="137"/>
  <c r="F273" i="137" s="1"/>
  <c r="G273" i="137" s="1"/>
  <c r="AG272" i="137"/>
  <c r="E272" i="137"/>
  <c r="F272" i="137" s="1"/>
  <c r="G272" i="137" s="1"/>
  <c r="AG271" i="137"/>
  <c r="E271" i="137"/>
  <c r="F271" i="137" s="1"/>
  <c r="G271" i="137" s="1"/>
  <c r="AG270" i="137"/>
  <c r="E270" i="137"/>
  <c r="F270" i="137" s="1"/>
  <c r="G270" i="137" s="1"/>
  <c r="AG269" i="137"/>
  <c r="E269" i="137"/>
  <c r="F269" i="137" s="1"/>
  <c r="G269" i="137" s="1"/>
  <c r="AG268" i="137"/>
  <c r="E268" i="137"/>
  <c r="F268" i="137" s="1"/>
  <c r="G268" i="137" s="1"/>
  <c r="AG267" i="137"/>
  <c r="E267" i="137"/>
  <c r="F267" i="137" s="1"/>
  <c r="G267" i="137" s="1"/>
  <c r="AG266" i="137"/>
  <c r="E266" i="137"/>
  <c r="F266" i="137" s="1"/>
  <c r="G266" i="137" s="1"/>
  <c r="AG265" i="137"/>
  <c r="E265" i="137"/>
  <c r="F265" i="137" s="1"/>
  <c r="G265" i="137" s="1"/>
  <c r="AG264" i="137"/>
  <c r="E264" i="137"/>
  <c r="F264" i="137" s="1"/>
  <c r="G264" i="137" s="1"/>
  <c r="AG263" i="137"/>
  <c r="E263" i="137"/>
  <c r="F263" i="137" s="1"/>
  <c r="G263" i="137" s="1"/>
  <c r="AG262" i="137"/>
  <c r="E262" i="137"/>
  <c r="F262" i="137" s="1"/>
  <c r="G262" i="137" s="1"/>
  <c r="AG261" i="137"/>
  <c r="E261" i="137"/>
  <c r="F261" i="137" s="1"/>
  <c r="G261" i="137" s="1"/>
  <c r="AG260" i="137"/>
  <c r="E260" i="137"/>
  <c r="F260" i="137" s="1"/>
  <c r="G260" i="137" s="1"/>
  <c r="AG259" i="137"/>
  <c r="E259" i="137"/>
  <c r="F259" i="137" s="1"/>
  <c r="G259" i="137" s="1"/>
  <c r="AG258" i="137"/>
  <c r="E258" i="137"/>
  <c r="F258" i="137" s="1"/>
  <c r="G258" i="137" s="1"/>
  <c r="AG257" i="137"/>
  <c r="E257" i="137"/>
  <c r="F257" i="137" s="1"/>
  <c r="G257" i="137" s="1"/>
  <c r="AG256" i="137"/>
  <c r="E256" i="137"/>
  <c r="F256" i="137" s="1"/>
  <c r="G256" i="137" s="1"/>
  <c r="AG255" i="137"/>
  <c r="E255" i="137"/>
  <c r="F255" i="137" s="1"/>
  <c r="G255" i="137" s="1"/>
  <c r="AG254" i="137"/>
  <c r="E254" i="137"/>
  <c r="F254" i="137" s="1"/>
  <c r="G254" i="137" s="1"/>
  <c r="AG253" i="137"/>
  <c r="E253" i="137"/>
  <c r="F253" i="137" s="1"/>
  <c r="G253" i="137" s="1"/>
  <c r="AG252" i="137"/>
  <c r="E252" i="137"/>
  <c r="F252" i="137" s="1"/>
  <c r="G252" i="137" s="1"/>
  <c r="AG251" i="137"/>
  <c r="E251" i="137"/>
  <c r="F251" i="137" s="1"/>
  <c r="G251" i="137" s="1"/>
  <c r="AG250" i="137"/>
  <c r="E250" i="137"/>
  <c r="F250" i="137" s="1"/>
  <c r="G250" i="137" s="1"/>
  <c r="AG249" i="137"/>
  <c r="E249" i="137"/>
  <c r="F249" i="137" s="1"/>
  <c r="G249" i="137" s="1"/>
  <c r="AG248" i="137"/>
  <c r="E248" i="137"/>
  <c r="F248" i="137" s="1"/>
  <c r="G248" i="137" s="1"/>
  <c r="AG247" i="137"/>
  <c r="E247" i="137"/>
  <c r="F247" i="137" s="1"/>
  <c r="G247" i="137" s="1"/>
  <c r="AG246" i="137"/>
  <c r="E246" i="137"/>
  <c r="F246" i="137" s="1"/>
  <c r="G246" i="137" s="1"/>
  <c r="AG245" i="137"/>
  <c r="E245" i="137"/>
  <c r="F245" i="137" s="1"/>
  <c r="G245" i="137" s="1"/>
  <c r="AG244" i="137"/>
  <c r="E244" i="137"/>
  <c r="F244" i="137" s="1"/>
  <c r="G244" i="137" s="1"/>
  <c r="AG243" i="137"/>
  <c r="E243" i="137"/>
  <c r="F243" i="137" s="1"/>
  <c r="G243" i="137" s="1"/>
  <c r="AG242" i="137"/>
  <c r="E242" i="137"/>
  <c r="F242" i="137" s="1"/>
  <c r="G242" i="137" s="1"/>
  <c r="AG241" i="137"/>
  <c r="E241" i="137"/>
  <c r="F241" i="137" s="1"/>
  <c r="G241" i="137" s="1"/>
  <c r="AG240" i="137"/>
  <c r="E240" i="137"/>
  <c r="F240" i="137" s="1"/>
  <c r="G240" i="137" s="1"/>
  <c r="AG239" i="137"/>
  <c r="E239" i="137"/>
  <c r="F239" i="137" s="1"/>
  <c r="G239" i="137" s="1"/>
  <c r="AG238" i="137"/>
  <c r="E238" i="137"/>
  <c r="F238" i="137" s="1"/>
  <c r="G238" i="137" s="1"/>
  <c r="AG237" i="137"/>
  <c r="E237" i="137"/>
  <c r="F237" i="137" s="1"/>
  <c r="G237" i="137" s="1"/>
  <c r="AG236" i="137"/>
  <c r="E236" i="137"/>
  <c r="F236" i="137" s="1"/>
  <c r="G236" i="137" s="1"/>
  <c r="AG235" i="137"/>
  <c r="E235" i="137"/>
  <c r="F235" i="137" s="1"/>
  <c r="G235" i="137" s="1"/>
  <c r="AG234" i="137"/>
  <c r="E234" i="137"/>
  <c r="F234" i="137" s="1"/>
  <c r="G234" i="137" s="1"/>
  <c r="AG233" i="137"/>
  <c r="E233" i="137"/>
  <c r="F233" i="137" s="1"/>
  <c r="G233" i="137" s="1"/>
  <c r="AG232" i="137"/>
  <c r="E232" i="137"/>
  <c r="F232" i="137" s="1"/>
  <c r="G232" i="137" s="1"/>
  <c r="AG231" i="137"/>
  <c r="E231" i="137"/>
  <c r="F231" i="137" s="1"/>
  <c r="G231" i="137" s="1"/>
  <c r="AG230" i="137"/>
  <c r="E230" i="137"/>
  <c r="F230" i="137" s="1"/>
  <c r="G230" i="137" s="1"/>
  <c r="AG229" i="137"/>
  <c r="E229" i="137"/>
  <c r="F229" i="137" s="1"/>
  <c r="G229" i="137" s="1"/>
  <c r="AG228" i="137"/>
  <c r="E228" i="137"/>
  <c r="F228" i="137" s="1"/>
  <c r="G228" i="137" s="1"/>
  <c r="AG227" i="137"/>
  <c r="E227" i="137"/>
  <c r="F227" i="137" s="1"/>
  <c r="G227" i="137" s="1"/>
  <c r="AG226" i="137"/>
  <c r="E226" i="137"/>
  <c r="F226" i="137" s="1"/>
  <c r="G226" i="137" s="1"/>
  <c r="AG225" i="137"/>
  <c r="E225" i="137"/>
  <c r="F225" i="137" s="1"/>
  <c r="G225" i="137" s="1"/>
  <c r="AG224" i="137"/>
  <c r="E224" i="137"/>
  <c r="F224" i="137" s="1"/>
  <c r="G224" i="137" s="1"/>
  <c r="AG223" i="137"/>
  <c r="E223" i="137"/>
  <c r="F223" i="137" s="1"/>
  <c r="G223" i="137" s="1"/>
  <c r="AG222" i="137"/>
  <c r="E222" i="137"/>
  <c r="F222" i="137" s="1"/>
  <c r="G222" i="137" s="1"/>
  <c r="AG221" i="137"/>
  <c r="E221" i="137"/>
  <c r="F221" i="137" s="1"/>
  <c r="G221" i="137" s="1"/>
  <c r="AG220" i="137"/>
  <c r="E220" i="137"/>
  <c r="F220" i="137" s="1"/>
  <c r="G220" i="137" s="1"/>
  <c r="AG219" i="137"/>
  <c r="E219" i="137"/>
  <c r="F219" i="137" s="1"/>
  <c r="G219" i="137" s="1"/>
  <c r="AG218" i="137"/>
  <c r="E218" i="137"/>
  <c r="F218" i="137" s="1"/>
  <c r="G218" i="137" s="1"/>
  <c r="AG217" i="137"/>
  <c r="E217" i="137"/>
  <c r="F217" i="137" s="1"/>
  <c r="G217" i="137" s="1"/>
  <c r="AG216" i="137"/>
  <c r="E216" i="137"/>
  <c r="F216" i="137" s="1"/>
  <c r="G216" i="137" s="1"/>
  <c r="AG215" i="137"/>
  <c r="E215" i="137"/>
  <c r="F215" i="137" s="1"/>
  <c r="G215" i="137" s="1"/>
  <c r="AG214" i="137"/>
  <c r="E214" i="137"/>
  <c r="F214" i="137" s="1"/>
  <c r="G214" i="137" s="1"/>
  <c r="AG213" i="137"/>
  <c r="E213" i="137"/>
  <c r="F213" i="137" s="1"/>
  <c r="G213" i="137" s="1"/>
  <c r="AG212" i="137"/>
  <c r="E212" i="137"/>
  <c r="F212" i="137" s="1"/>
  <c r="G212" i="137" s="1"/>
  <c r="AG211" i="137"/>
  <c r="E211" i="137"/>
  <c r="F211" i="137" s="1"/>
  <c r="G211" i="137" s="1"/>
  <c r="AG210" i="137"/>
  <c r="E210" i="137"/>
  <c r="F210" i="137" s="1"/>
  <c r="G210" i="137" s="1"/>
  <c r="AG209" i="137"/>
  <c r="E209" i="137"/>
  <c r="F209" i="137" s="1"/>
  <c r="G209" i="137" s="1"/>
  <c r="AG208" i="137"/>
  <c r="E208" i="137"/>
  <c r="F208" i="137" s="1"/>
  <c r="G208" i="137" s="1"/>
  <c r="AG207" i="137"/>
  <c r="E207" i="137"/>
  <c r="F207" i="137" s="1"/>
  <c r="G207" i="137" s="1"/>
  <c r="AG206" i="137"/>
  <c r="E206" i="137"/>
  <c r="F206" i="137" s="1"/>
  <c r="G206" i="137" s="1"/>
  <c r="AG205" i="137"/>
  <c r="E205" i="137"/>
  <c r="F205" i="137" s="1"/>
  <c r="G205" i="137" s="1"/>
  <c r="AG204" i="137"/>
  <c r="E204" i="137"/>
  <c r="F204" i="137" s="1"/>
  <c r="G204" i="137" s="1"/>
  <c r="AG203" i="137"/>
  <c r="E203" i="137"/>
  <c r="F203" i="137" s="1"/>
  <c r="G203" i="137" s="1"/>
  <c r="AG202" i="137"/>
  <c r="E202" i="137"/>
  <c r="F202" i="137" s="1"/>
  <c r="G202" i="137" s="1"/>
  <c r="AG201" i="137"/>
  <c r="E201" i="137"/>
  <c r="F201" i="137" s="1"/>
  <c r="G201" i="137" s="1"/>
  <c r="AG200" i="137"/>
  <c r="E200" i="137"/>
  <c r="F200" i="137" s="1"/>
  <c r="G200" i="137" s="1"/>
  <c r="AG199" i="137"/>
  <c r="E199" i="137"/>
  <c r="F199" i="137" s="1"/>
  <c r="G199" i="137" s="1"/>
  <c r="AG198" i="137"/>
  <c r="E198" i="137"/>
  <c r="F198" i="137" s="1"/>
  <c r="G198" i="137" s="1"/>
  <c r="AG197" i="137"/>
  <c r="E197" i="137"/>
  <c r="F197" i="137" s="1"/>
  <c r="G197" i="137" s="1"/>
  <c r="AG196" i="137"/>
  <c r="E196" i="137"/>
  <c r="F196" i="137" s="1"/>
  <c r="G196" i="137" s="1"/>
  <c r="AG195" i="137"/>
  <c r="E195" i="137"/>
  <c r="F195" i="137" s="1"/>
  <c r="G195" i="137" s="1"/>
  <c r="AG194" i="137"/>
  <c r="E194" i="137"/>
  <c r="F194" i="137" s="1"/>
  <c r="G194" i="137" s="1"/>
  <c r="AG193" i="137"/>
  <c r="E193" i="137"/>
  <c r="F193" i="137" s="1"/>
  <c r="G193" i="137" s="1"/>
  <c r="AG192" i="137"/>
  <c r="E192" i="137"/>
  <c r="F192" i="137" s="1"/>
  <c r="G192" i="137" s="1"/>
  <c r="AG191" i="137"/>
  <c r="E191" i="137"/>
  <c r="F191" i="137" s="1"/>
  <c r="G191" i="137" s="1"/>
  <c r="AG190" i="137"/>
  <c r="E190" i="137"/>
  <c r="F190" i="137" s="1"/>
  <c r="G190" i="137" s="1"/>
  <c r="AG189" i="137"/>
  <c r="E189" i="137"/>
  <c r="F189" i="137" s="1"/>
  <c r="G189" i="137" s="1"/>
  <c r="AG188" i="137"/>
  <c r="E188" i="137"/>
  <c r="F188" i="137" s="1"/>
  <c r="G188" i="137" s="1"/>
  <c r="AG187" i="137"/>
  <c r="E187" i="137"/>
  <c r="F187" i="137" s="1"/>
  <c r="G187" i="137" s="1"/>
  <c r="AG186" i="137"/>
  <c r="E186" i="137"/>
  <c r="F186" i="137" s="1"/>
  <c r="G186" i="137" s="1"/>
  <c r="AG185" i="137"/>
  <c r="E185" i="137"/>
  <c r="F185" i="137" s="1"/>
  <c r="G185" i="137" s="1"/>
  <c r="AG184" i="137"/>
  <c r="E184" i="137"/>
  <c r="F184" i="137" s="1"/>
  <c r="G184" i="137" s="1"/>
  <c r="AG183" i="137"/>
  <c r="E183" i="137"/>
  <c r="F183" i="137" s="1"/>
  <c r="G183" i="137" s="1"/>
  <c r="AG182" i="137"/>
  <c r="E182" i="137"/>
  <c r="F182" i="137" s="1"/>
  <c r="G182" i="137" s="1"/>
  <c r="AG181" i="137"/>
  <c r="E181" i="137"/>
  <c r="F181" i="137" s="1"/>
  <c r="G181" i="137" s="1"/>
  <c r="AG180" i="137"/>
  <c r="E180" i="137"/>
  <c r="F180" i="137" s="1"/>
  <c r="G180" i="137" s="1"/>
  <c r="AG179" i="137"/>
  <c r="E179" i="137"/>
  <c r="F179" i="137" s="1"/>
  <c r="G179" i="137" s="1"/>
  <c r="AG178" i="137"/>
  <c r="E178" i="137"/>
  <c r="F178" i="137" s="1"/>
  <c r="G178" i="137" s="1"/>
  <c r="AG177" i="137"/>
  <c r="E177" i="137"/>
  <c r="F177" i="137" s="1"/>
  <c r="G177" i="137" s="1"/>
  <c r="AG176" i="137"/>
  <c r="E176" i="137"/>
  <c r="F176" i="137" s="1"/>
  <c r="G176" i="137" s="1"/>
  <c r="AG175" i="137"/>
  <c r="E175" i="137"/>
  <c r="F175" i="137" s="1"/>
  <c r="G175" i="137" s="1"/>
  <c r="AG174" i="137"/>
  <c r="E174" i="137"/>
  <c r="F174" i="137" s="1"/>
  <c r="G174" i="137" s="1"/>
  <c r="AG173" i="137"/>
  <c r="E173" i="137"/>
  <c r="F173" i="137" s="1"/>
  <c r="G173" i="137" s="1"/>
  <c r="AG172" i="137"/>
  <c r="E172" i="137"/>
  <c r="F172" i="137" s="1"/>
  <c r="G172" i="137" s="1"/>
  <c r="AG171" i="137"/>
  <c r="E171" i="137"/>
  <c r="F171" i="137" s="1"/>
  <c r="G171" i="137" s="1"/>
  <c r="AG170" i="137"/>
  <c r="E170" i="137"/>
  <c r="F170" i="137" s="1"/>
  <c r="G170" i="137" s="1"/>
  <c r="AG169" i="137"/>
  <c r="E169" i="137"/>
  <c r="F169" i="137" s="1"/>
  <c r="G169" i="137" s="1"/>
  <c r="AG168" i="137"/>
  <c r="E168" i="137"/>
  <c r="F168" i="137" s="1"/>
  <c r="G168" i="137" s="1"/>
  <c r="AG167" i="137"/>
  <c r="E167" i="137"/>
  <c r="F167" i="137" s="1"/>
  <c r="G167" i="137" s="1"/>
  <c r="AG166" i="137"/>
  <c r="E166" i="137"/>
  <c r="F166" i="137" s="1"/>
  <c r="G166" i="137" s="1"/>
  <c r="AG165" i="137"/>
  <c r="E165" i="137"/>
  <c r="F165" i="137" s="1"/>
  <c r="G165" i="137" s="1"/>
  <c r="AG164" i="137"/>
  <c r="E164" i="137"/>
  <c r="F164" i="137" s="1"/>
  <c r="G164" i="137" s="1"/>
  <c r="AG163" i="137"/>
  <c r="E163" i="137"/>
  <c r="F163" i="137" s="1"/>
  <c r="G163" i="137" s="1"/>
  <c r="AG162" i="137"/>
  <c r="E162" i="137"/>
  <c r="F162" i="137" s="1"/>
  <c r="G162" i="137" s="1"/>
  <c r="AG161" i="137"/>
  <c r="E161" i="137"/>
  <c r="F161" i="137" s="1"/>
  <c r="G161" i="137" s="1"/>
  <c r="AG160" i="137"/>
  <c r="E160" i="137"/>
  <c r="F160" i="137" s="1"/>
  <c r="G160" i="137" s="1"/>
  <c r="AG159" i="137"/>
  <c r="E159" i="137"/>
  <c r="F159" i="137" s="1"/>
  <c r="G159" i="137" s="1"/>
  <c r="AG158" i="137"/>
  <c r="E158" i="137"/>
  <c r="F158" i="137" s="1"/>
  <c r="G158" i="137" s="1"/>
  <c r="AG157" i="137"/>
  <c r="E157" i="137"/>
  <c r="F157" i="137" s="1"/>
  <c r="G157" i="137" s="1"/>
  <c r="AG156" i="137"/>
  <c r="E156" i="137"/>
  <c r="F156" i="137" s="1"/>
  <c r="G156" i="137" s="1"/>
  <c r="AG155" i="137"/>
  <c r="E155" i="137"/>
  <c r="F155" i="137" s="1"/>
  <c r="G155" i="137" s="1"/>
  <c r="AG154" i="137"/>
  <c r="E154" i="137"/>
  <c r="F154" i="137" s="1"/>
  <c r="G154" i="137" s="1"/>
  <c r="AG153" i="137"/>
  <c r="E153" i="137"/>
  <c r="F153" i="137" s="1"/>
  <c r="G153" i="137" s="1"/>
  <c r="AG152" i="137"/>
  <c r="E152" i="137"/>
  <c r="F152" i="137" s="1"/>
  <c r="G152" i="137" s="1"/>
  <c r="AG151" i="137"/>
  <c r="E151" i="137"/>
  <c r="F151" i="137" s="1"/>
  <c r="G151" i="137" s="1"/>
  <c r="AG150" i="137"/>
  <c r="E150" i="137"/>
  <c r="F150" i="137" s="1"/>
  <c r="G150" i="137" s="1"/>
  <c r="AG149" i="137"/>
  <c r="E149" i="137"/>
  <c r="F149" i="137" s="1"/>
  <c r="G149" i="137" s="1"/>
  <c r="AG148" i="137"/>
  <c r="E148" i="137"/>
  <c r="F148" i="137" s="1"/>
  <c r="G148" i="137" s="1"/>
  <c r="AG147" i="137"/>
  <c r="E147" i="137"/>
  <c r="F147" i="137" s="1"/>
  <c r="G147" i="137" s="1"/>
  <c r="AG146" i="137"/>
  <c r="E146" i="137"/>
  <c r="F146" i="137" s="1"/>
  <c r="G146" i="137" s="1"/>
  <c r="AG145" i="137"/>
  <c r="E145" i="137"/>
  <c r="F145" i="137" s="1"/>
  <c r="G145" i="137" s="1"/>
  <c r="AG144" i="137"/>
  <c r="E144" i="137"/>
  <c r="F144" i="137" s="1"/>
  <c r="G144" i="137" s="1"/>
  <c r="AG143" i="137"/>
  <c r="E143" i="137"/>
  <c r="F143" i="137" s="1"/>
  <c r="G143" i="137" s="1"/>
  <c r="AG142" i="137"/>
  <c r="E142" i="137"/>
  <c r="F142" i="137" s="1"/>
  <c r="G142" i="137" s="1"/>
  <c r="AG141" i="137"/>
  <c r="E141" i="137"/>
  <c r="F141" i="137" s="1"/>
  <c r="G141" i="137" s="1"/>
  <c r="AG140" i="137"/>
  <c r="E140" i="137"/>
  <c r="F140" i="137" s="1"/>
  <c r="G140" i="137" s="1"/>
  <c r="AG139" i="137"/>
  <c r="E139" i="137"/>
  <c r="F139" i="137" s="1"/>
  <c r="G139" i="137" s="1"/>
  <c r="AG138" i="137"/>
  <c r="E138" i="137"/>
  <c r="F138" i="137" s="1"/>
  <c r="G138" i="137" s="1"/>
  <c r="AG137" i="137"/>
  <c r="E137" i="137"/>
  <c r="F137" i="137" s="1"/>
  <c r="G137" i="137" s="1"/>
  <c r="AG136" i="137"/>
  <c r="E136" i="137"/>
  <c r="F136" i="137" s="1"/>
  <c r="G136" i="137" s="1"/>
  <c r="AG135" i="137"/>
  <c r="E135" i="137"/>
  <c r="F135" i="137" s="1"/>
  <c r="G135" i="137" s="1"/>
  <c r="AG134" i="137"/>
  <c r="E134" i="137"/>
  <c r="F134" i="137" s="1"/>
  <c r="G134" i="137" s="1"/>
  <c r="AG133" i="137"/>
  <c r="E133" i="137"/>
  <c r="F133" i="137" s="1"/>
  <c r="G133" i="137" s="1"/>
  <c r="AG132" i="137"/>
  <c r="E132" i="137"/>
  <c r="F132" i="137" s="1"/>
  <c r="G132" i="137" s="1"/>
  <c r="AG131" i="137"/>
  <c r="E131" i="137"/>
  <c r="F131" i="137" s="1"/>
  <c r="G131" i="137" s="1"/>
  <c r="AG130" i="137"/>
  <c r="E130" i="137"/>
  <c r="F130" i="137" s="1"/>
  <c r="G130" i="137" s="1"/>
  <c r="AG129" i="137"/>
  <c r="E129" i="137"/>
  <c r="F129" i="137" s="1"/>
  <c r="G129" i="137" s="1"/>
  <c r="AG128" i="137"/>
  <c r="E128" i="137"/>
  <c r="F128" i="137" s="1"/>
  <c r="G128" i="137" s="1"/>
  <c r="AG127" i="137"/>
  <c r="E127" i="137"/>
  <c r="F127" i="137" s="1"/>
  <c r="G127" i="137" s="1"/>
  <c r="AG126" i="137"/>
  <c r="E126" i="137"/>
  <c r="F126" i="137" s="1"/>
  <c r="G126" i="137" s="1"/>
  <c r="AG125" i="137"/>
  <c r="E125" i="137"/>
  <c r="F125" i="137" s="1"/>
  <c r="G125" i="137" s="1"/>
  <c r="AG124" i="137"/>
  <c r="E124" i="137"/>
  <c r="F124" i="137" s="1"/>
  <c r="G124" i="137" s="1"/>
  <c r="AG123" i="137"/>
  <c r="E123" i="137"/>
  <c r="F123" i="137" s="1"/>
  <c r="G123" i="137" s="1"/>
  <c r="AG122" i="137"/>
  <c r="E122" i="137"/>
  <c r="F122" i="137" s="1"/>
  <c r="G122" i="137" s="1"/>
  <c r="AG121" i="137"/>
  <c r="E121" i="137"/>
  <c r="F121" i="137" s="1"/>
  <c r="G121" i="137" s="1"/>
  <c r="AG120" i="137"/>
  <c r="E120" i="137"/>
  <c r="F120" i="137" s="1"/>
  <c r="G120" i="137" s="1"/>
  <c r="AG119" i="137"/>
  <c r="E119" i="137"/>
  <c r="F119" i="137" s="1"/>
  <c r="G119" i="137" s="1"/>
  <c r="AG118" i="137"/>
  <c r="E118" i="137"/>
  <c r="F118" i="137" s="1"/>
  <c r="G118" i="137" s="1"/>
  <c r="AG117" i="137"/>
  <c r="E117" i="137"/>
  <c r="F117" i="137" s="1"/>
  <c r="G117" i="137" s="1"/>
  <c r="AG116" i="137"/>
  <c r="E116" i="137"/>
  <c r="F116" i="137" s="1"/>
  <c r="G116" i="137" s="1"/>
  <c r="AG115" i="137"/>
  <c r="E115" i="137"/>
  <c r="F115" i="137" s="1"/>
  <c r="G115" i="137" s="1"/>
  <c r="AG114" i="137"/>
  <c r="E114" i="137"/>
  <c r="F114" i="137" s="1"/>
  <c r="G114" i="137" s="1"/>
  <c r="AG113" i="137"/>
  <c r="E113" i="137"/>
  <c r="F113" i="137" s="1"/>
  <c r="G113" i="137" s="1"/>
  <c r="AG112" i="137"/>
  <c r="E112" i="137"/>
  <c r="F112" i="137" s="1"/>
  <c r="G112" i="137" s="1"/>
  <c r="AG111" i="137"/>
  <c r="E111" i="137"/>
  <c r="F111" i="137" s="1"/>
  <c r="G111" i="137" s="1"/>
  <c r="AG110" i="137"/>
  <c r="E110" i="137"/>
  <c r="F110" i="137" s="1"/>
  <c r="G110" i="137" s="1"/>
  <c r="AG109" i="137"/>
  <c r="E109" i="137"/>
  <c r="F109" i="137" s="1"/>
  <c r="G109" i="137" s="1"/>
  <c r="AG108" i="137"/>
  <c r="E108" i="137"/>
  <c r="F108" i="137" s="1"/>
  <c r="G108" i="137" s="1"/>
  <c r="AG107" i="137"/>
  <c r="E107" i="137"/>
  <c r="F107" i="137" s="1"/>
  <c r="G107" i="137" s="1"/>
  <c r="AG106" i="137"/>
  <c r="E106" i="137"/>
  <c r="F106" i="137" s="1"/>
  <c r="G106" i="137" s="1"/>
  <c r="AG105" i="137"/>
  <c r="E105" i="137"/>
  <c r="F105" i="137" s="1"/>
  <c r="G105" i="137" s="1"/>
  <c r="AG104" i="137"/>
  <c r="E104" i="137"/>
  <c r="F104" i="137" s="1"/>
  <c r="G104" i="137" s="1"/>
  <c r="AG103" i="137"/>
  <c r="E103" i="137"/>
  <c r="F103" i="137" s="1"/>
  <c r="G103" i="137" s="1"/>
  <c r="AG102" i="137"/>
  <c r="E102" i="137"/>
  <c r="F102" i="137" s="1"/>
  <c r="G102" i="137" s="1"/>
  <c r="AG101" i="137"/>
  <c r="E101" i="137"/>
  <c r="F101" i="137" s="1"/>
  <c r="G101" i="137" s="1"/>
  <c r="AG100" i="137"/>
  <c r="E100" i="137"/>
  <c r="F100" i="137" s="1"/>
  <c r="G100" i="137" s="1"/>
  <c r="AG99" i="137"/>
  <c r="E99" i="137"/>
  <c r="F99" i="137" s="1"/>
  <c r="G99" i="137" s="1"/>
  <c r="AG98" i="137"/>
  <c r="E98" i="137"/>
  <c r="F98" i="137" s="1"/>
  <c r="G98" i="137" s="1"/>
  <c r="AG97" i="137"/>
  <c r="E97" i="137"/>
  <c r="F97" i="137" s="1"/>
  <c r="G97" i="137" s="1"/>
  <c r="AG96" i="137"/>
  <c r="E96" i="137"/>
  <c r="F96" i="137" s="1"/>
  <c r="G96" i="137" s="1"/>
  <c r="AG95" i="137"/>
  <c r="E95" i="137"/>
  <c r="F95" i="137" s="1"/>
  <c r="G95" i="137" s="1"/>
  <c r="AG94" i="137"/>
  <c r="E94" i="137"/>
  <c r="F94" i="137" s="1"/>
  <c r="G94" i="137" s="1"/>
  <c r="AG93" i="137"/>
  <c r="E93" i="137"/>
  <c r="F93" i="137" s="1"/>
  <c r="G93" i="137" s="1"/>
  <c r="AG92" i="137"/>
  <c r="E92" i="137"/>
  <c r="F92" i="137" s="1"/>
  <c r="G92" i="137" s="1"/>
  <c r="AG91" i="137"/>
  <c r="E91" i="137"/>
  <c r="F91" i="137" s="1"/>
  <c r="G91" i="137" s="1"/>
  <c r="AG90" i="137"/>
  <c r="E90" i="137"/>
  <c r="F90" i="137" s="1"/>
  <c r="G90" i="137" s="1"/>
  <c r="AG89" i="137"/>
  <c r="E89" i="137"/>
  <c r="F89" i="137" s="1"/>
  <c r="G89" i="137" s="1"/>
  <c r="AG88" i="137"/>
  <c r="E88" i="137"/>
  <c r="F88" i="137" s="1"/>
  <c r="G88" i="137" s="1"/>
  <c r="AG87" i="137"/>
  <c r="E87" i="137"/>
  <c r="F87" i="137" s="1"/>
  <c r="G87" i="137" s="1"/>
  <c r="AG86" i="137"/>
  <c r="E86" i="137"/>
  <c r="F86" i="137" s="1"/>
  <c r="G86" i="137" s="1"/>
  <c r="AG85" i="137"/>
  <c r="E85" i="137"/>
  <c r="F85" i="137" s="1"/>
  <c r="G85" i="137" s="1"/>
  <c r="AG84" i="137"/>
  <c r="E84" i="137"/>
  <c r="F84" i="137" s="1"/>
  <c r="G84" i="137" s="1"/>
  <c r="AG83" i="137"/>
  <c r="E83" i="137"/>
  <c r="F83" i="137" s="1"/>
  <c r="G83" i="137" s="1"/>
  <c r="AG82" i="137"/>
  <c r="E82" i="137"/>
  <c r="F82" i="137" s="1"/>
  <c r="G82" i="137" s="1"/>
  <c r="AG81" i="137"/>
  <c r="E81" i="137"/>
  <c r="F81" i="137" s="1"/>
  <c r="G81" i="137" s="1"/>
  <c r="AG80" i="137"/>
  <c r="E80" i="137"/>
  <c r="F80" i="137" s="1"/>
  <c r="G80" i="137" s="1"/>
  <c r="AG79" i="137"/>
  <c r="E79" i="137"/>
  <c r="F79" i="137" s="1"/>
  <c r="G79" i="137" s="1"/>
  <c r="AG78" i="137"/>
  <c r="E78" i="137"/>
  <c r="F78" i="137" s="1"/>
  <c r="G78" i="137" s="1"/>
  <c r="AG77" i="137"/>
  <c r="E77" i="137"/>
  <c r="F77" i="137" s="1"/>
  <c r="G77" i="137" s="1"/>
  <c r="AG76" i="137"/>
  <c r="E76" i="137"/>
  <c r="F76" i="137" s="1"/>
  <c r="G76" i="137" s="1"/>
  <c r="AG75" i="137"/>
  <c r="E75" i="137"/>
  <c r="F75" i="137" s="1"/>
  <c r="G75" i="137" s="1"/>
  <c r="AG74" i="137"/>
  <c r="E74" i="137"/>
  <c r="F74" i="137" s="1"/>
  <c r="G74" i="137" s="1"/>
  <c r="AG73" i="137"/>
  <c r="E73" i="137"/>
  <c r="F73" i="137" s="1"/>
  <c r="G73" i="137" s="1"/>
  <c r="AG72" i="137"/>
  <c r="E72" i="137"/>
  <c r="F72" i="137" s="1"/>
  <c r="G72" i="137" s="1"/>
  <c r="AG71" i="137"/>
  <c r="E71" i="137"/>
  <c r="F71" i="137" s="1"/>
  <c r="G71" i="137" s="1"/>
  <c r="AG70" i="137"/>
  <c r="E70" i="137"/>
  <c r="F70" i="137" s="1"/>
  <c r="G70" i="137" s="1"/>
  <c r="AG69" i="137"/>
  <c r="E69" i="137"/>
  <c r="F69" i="137" s="1"/>
  <c r="G69" i="137" s="1"/>
  <c r="AG68" i="137"/>
  <c r="E68" i="137"/>
  <c r="F68" i="137" s="1"/>
  <c r="G68" i="137" s="1"/>
  <c r="AG67" i="137"/>
  <c r="E67" i="137"/>
  <c r="F67" i="137" s="1"/>
  <c r="G67" i="137" s="1"/>
  <c r="AG66" i="137"/>
  <c r="E66" i="137"/>
  <c r="F66" i="137" s="1"/>
  <c r="G66" i="137" s="1"/>
  <c r="AG65" i="137"/>
  <c r="E65" i="137"/>
  <c r="F65" i="137" s="1"/>
  <c r="G65" i="137" s="1"/>
  <c r="AG64" i="137"/>
  <c r="E64" i="137"/>
  <c r="F64" i="137" s="1"/>
  <c r="G64" i="137" s="1"/>
  <c r="AG63" i="137"/>
  <c r="E63" i="137"/>
  <c r="F63" i="137" s="1"/>
  <c r="G63" i="137" s="1"/>
  <c r="AG62" i="137"/>
  <c r="E62" i="137"/>
  <c r="F62" i="137" s="1"/>
  <c r="G62" i="137" s="1"/>
  <c r="AG61" i="137"/>
  <c r="E61" i="137"/>
  <c r="F61" i="137" s="1"/>
  <c r="G61" i="137" s="1"/>
  <c r="AG60" i="137"/>
  <c r="E60" i="137"/>
  <c r="F60" i="137" s="1"/>
  <c r="G60" i="137" s="1"/>
  <c r="AG59" i="137"/>
  <c r="E59" i="137"/>
  <c r="F59" i="137" s="1"/>
  <c r="G59" i="137" s="1"/>
  <c r="AG58" i="137"/>
  <c r="E58" i="137"/>
  <c r="F58" i="137" s="1"/>
  <c r="G58" i="137" s="1"/>
  <c r="AG57" i="137"/>
  <c r="E57" i="137"/>
  <c r="F57" i="137" s="1"/>
  <c r="G57" i="137" s="1"/>
  <c r="AG56" i="137"/>
  <c r="E56" i="137"/>
  <c r="F56" i="137" s="1"/>
  <c r="G56" i="137" s="1"/>
  <c r="AG55" i="137"/>
  <c r="E55" i="137"/>
  <c r="F55" i="137" s="1"/>
  <c r="G55" i="137" s="1"/>
  <c r="AG54" i="137"/>
  <c r="E54" i="137"/>
  <c r="F54" i="137" s="1"/>
  <c r="G54" i="137" s="1"/>
  <c r="AG53" i="137"/>
  <c r="E53" i="137"/>
  <c r="F53" i="137" s="1"/>
  <c r="G53" i="137" s="1"/>
  <c r="AG52" i="137"/>
  <c r="E52" i="137"/>
  <c r="F52" i="137" s="1"/>
  <c r="G52" i="137" s="1"/>
  <c r="AG51" i="137"/>
  <c r="E51" i="137"/>
  <c r="F51" i="137" s="1"/>
  <c r="G51" i="137" s="1"/>
  <c r="AG50" i="137"/>
  <c r="E50" i="137"/>
  <c r="F50" i="137" s="1"/>
  <c r="G50" i="137" s="1"/>
  <c r="AG49" i="137"/>
  <c r="E49" i="137"/>
  <c r="F49" i="137" s="1"/>
  <c r="G49" i="137" s="1"/>
  <c r="AG48" i="137"/>
  <c r="E48" i="137"/>
  <c r="F48" i="137" s="1"/>
  <c r="G48" i="137" s="1"/>
  <c r="AG47" i="137"/>
  <c r="E47" i="137"/>
  <c r="F47" i="137" s="1"/>
  <c r="G47" i="137" s="1"/>
  <c r="AG46" i="137"/>
  <c r="E46" i="137"/>
  <c r="F46" i="137" s="1"/>
  <c r="G46" i="137" s="1"/>
  <c r="AG45" i="137"/>
  <c r="E45" i="137"/>
  <c r="F45" i="137" s="1"/>
  <c r="G45" i="137" s="1"/>
  <c r="AG44" i="137"/>
  <c r="E44" i="137"/>
  <c r="F44" i="137" s="1"/>
  <c r="G44" i="137" s="1"/>
  <c r="AG43" i="137"/>
  <c r="E43" i="137"/>
  <c r="F43" i="137" s="1"/>
  <c r="G43" i="137" s="1"/>
  <c r="AG42" i="137"/>
  <c r="E42" i="137"/>
  <c r="F42" i="137" s="1"/>
  <c r="G42" i="137" s="1"/>
  <c r="AG41" i="137"/>
  <c r="E41" i="137"/>
  <c r="F41" i="137" s="1"/>
  <c r="G41" i="137" s="1"/>
  <c r="AG40" i="137"/>
  <c r="E40" i="137"/>
  <c r="F40" i="137" s="1"/>
  <c r="G40" i="137" s="1"/>
  <c r="AG39" i="137"/>
  <c r="E39" i="137"/>
  <c r="F39" i="137" s="1"/>
  <c r="G39" i="137" s="1"/>
  <c r="AG38" i="137"/>
  <c r="E38" i="137"/>
  <c r="F38" i="137" s="1"/>
  <c r="G38" i="137" s="1"/>
  <c r="AG37" i="137"/>
  <c r="E37" i="137"/>
  <c r="F37" i="137" s="1"/>
  <c r="G37" i="137" s="1"/>
  <c r="AG36" i="137"/>
  <c r="E36" i="137"/>
  <c r="F36" i="137" s="1"/>
  <c r="G36" i="137" s="1"/>
  <c r="AG35" i="137"/>
  <c r="E35" i="137"/>
  <c r="F35" i="137" s="1"/>
  <c r="G35" i="137" s="1"/>
  <c r="AG34" i="137"/>
  <c r="E34" i="137"/>
  <c r="F34" i="137" s="1"/>
  <c r="G34" i="137" s="1"/>
  <c r="AG33" i="137"/>
  <c r="E33" i="137"/>
  <c r="F33" i="137" s="1"/>
  <c r="G33" i="137" s="1"/>
  <c r="AG32" i="137"/>
  <c r="E32" i="137"/>
  <c r="F32" i="137" s="1"/>
  <c r="G32" i="137" s="1"/>
  <c r="AG31" i="137"/>
  <c r="E31" i="137"/>
  <c r="F31" i="137" s="1"/>
  <c r="G31" i="137" s="1"/>
  <c r="AG30" i="137"/>
  <c r="E30" i="137"/>
  <c r="F30" i="137" s="1"/>
  <c r="G30" i="137" s="1"/>
  <c r="AG29" i="137"/>
  <c r="E29" i="137"/>
  <c r="F29" i="137" s="1"/>
  <c r="G29" i="137" s="1"/>
  <c r="AG28" i="137"/>
  <c r="E28" i="137"/>
  <c r="F28" i="137" s="1"/>
  <c r="G28" i="137" s="1"/>
  <c r="AG27" i="137"/>
  <c r="E27" i="137"/>
  <c r="F27" i="137" s="1"/>
  <c r="G27" i="137" s="1"/>
  <c r="AG26" i="137"/>
  <c r="E26" i="137"/>
  <c r="F26" i="137" s="1"/>
  <c r="G26" i="137" s="1"/>
  <c r="AG25" i="137"/>
  <c r="E25" i="137"/>
  <c r="F25" i="137" s="1"/>
  <c r="G25" i="137" s="1"/>
  <c r="AG24" i="137"/>
  <c r="E24" i="137"/>
  <c r="F24" i="137" s="1"/>
  <c r="G24" i="137" s="1"/>
  <c r="AG23" i="137"/>
  <c r="E23" i="137"/>
  <c r="F23" i="137" s="1"/>
  <c r="G23" i="137" s="1"/>
  <c r="AG22" i="137"/>
  <c r="E22" i="137"/>
  <c r="F22" i="137" s="1"/>
  <c r="G22" i="137" s="1"/>
  <c r="AG21" i="137"/>
  <c r="E21" i="137"/>
  <c r="F21" i="137" s="1"/>
  <c r="G21" i="137" s="1"/>
  <c r="AG20" i="137"/>
  <c r="E20" i="137"/>
  <c r="F20" i="137" s="1"/>
  <c r="G20" i="137" s="1"/>
  <c r="AG19" i="137"/>
  <c r="E19" i="137"/>
  <c r="F19" i="137" s="1"/>
  <c r="G19" i="137" s="1"/>
  <c r="AG18" i="137"/>
  <c r="E18" i="137"/>
  <c r="F18" i="137" s="1"/>
  <c r="G18" i="137" s="1"/>
  <c r="AG17" i="137"/>
  <c r="E17" i="137"/>
  <c r="F17" i="137" s="1"/>
  <c r="G17" i="137" s="1"/>
  <c r="AG16" i="137"/>
  <c r="E16" i="137"/>
  <c r="F16" i="137" s="1"/>
  <c r="G16" i="137" s="1"/>
  <c r="AG15" i="137"/>
  <c r="E15" i="137"/>
  <c r="F15" i="137" s="1"/>
  <c r="G15" i="137" s="1"/>
  <c r="AG14" i="137"/>
  <c r="E14" i="137"/>
  <c r="F14" i="137" s="1"/>
  <c r="G14" i="137" s="1"/>
  <c r="AG13" i="137"/>
  <c r="E13" i="137"/>
  <c r="F13" i="137" s="1"/>
  <c r="G13" i="137" s="1"/>
  <c r="AG12" i="137"/>
  <c r="E12" i="137"/>
  <c r="F12" i="137" s="1"/>
  <c r="G12" i="137" s="1"/>
  <c r="AG11" i="137"/>
  <c r="E11" i="137"/>
  <c r="F11" i="137" s="1"/>
  <c r="G11" i="137" s="1"/>
  <c r="AG10" i="137"/>
  <c r="E10" i="137"/>
  <c r="F10" i="137" s="1"/>
  <c r="G10" i="137" s="1"/>
  <c r="AG9" i="137"/>
  <c r="E9" i="137"/>
  <c r="F9" i="137" s="1"/>
  <c r="G9" i="137" s="1"/>
  <c r="AG8" i="137"/>
  <c r="E8" i="137"/>
  <c r="F8" i="137" s="1"/>
  <c r="G8" i="137" s="1"/>
  <c r="AG7" i="137"/>
  <c r="E7" i="137"/>
  <c r="F7" i="137" s="1"/>
  <c r="G7" i="137" s="1"/>
  <c r="AG6" i="137"/>
  <c r="E6" i="137"/>
  <c r="F6" i="137" s="1"/>
  <c r="G6" i="137" s="1"/>
  <c r="AG5" i="137"/>
  <c r="E5" i="137"/>
  <c r="F5" i="137" s="1"/>
  <c r="G5" i="137" s="1"/>
  <c r="AG4" i="137"/>
  <c r="E4" i="137"/>
  <c r="F4" i="137" s="1"/>
  <c r="G4" i="137" s="1"/>
  <c r="D741" i="135"/>
  <c r="E741" i="135" s="1"/>
  <c r="F741" i="135" s="1"/>
  <c r="G741" i="135" s="1"/>
  <c r="D740" i="135"/>
  <c r="E740" i="135" s="1"/>
  <c r="F740" i="135" s="1"/>
  <c r="G740" i="135" s="1"/>
  <c r="D739" i="135"/>
  <c r="E739" i="135" s="1"/>
  <c r="F739" i="135" s="1"/>
  <c r="G739" i="135" s="1"/>
  <c r="D738" i="135"/>
  <c r="E738" i="135" s="1"/>
  <c r="F738" i="135" s="1"/>
  <c r="G738" i="135" s="1"/>
  <c r="D737" i="135"/>
  <c r="E737" i="135" s="1"/>
  <c r="F737" i="135" s="1"/>
  <c r="G737" i="135" s="1"/>
  <c r="D736" i="135"/>
  <c r="E736" i="135" s="1"/>
  <c r="F736" i="135" s="1"/>
  <c r="G736" i="135" s="1"/>
  <c r="D735" i="135"/>
  <c r="E735" i="135" s="1"/>
  <c r="F735" i="135" s="1"/>
  <c r="G735" i="135" s="1"/>
  <c r="D734" i="135"/>
  <c r="E734" i="135" s="1"/>
  <c r="F734" i="135" s="1"/>
  <c r="G734" i="135" s="1"/>
  <c r="D733" i="135"/>
  <c r="E733" i="135" s="1"/>
  <c r="F733" i="135" s="1"/>
  <c r="G733" i="135" s="1"/>
  <c r="D732" i="135"/>
  <c r="E732" i="135" s="1"/>
  <c r="F732" i="135" s="1"/>
  <c r="G732" i="135" s="1"/>
  <c r="D731" i="135"/>
  <c r="E731" i="135" s="1"/>
  <c r="F731" i="135" s="1"/>
  <c r="G731" i="135" s="1"/>
  <c r="D730" i="135"/>
  <c r="E730" i="135" s="1"/>
  <c r="F730" i="135" s="1"/>
  <c r="G730" i="135" s="1"/>
  <c r="D729" i="135"/>
  <c r="E729" i="135" s="1"/>
  <c r="F729" i="135" s="1"/>
  <c r="G729" i="135" s="1"/>
  <c r="D728" i="135"/>
  <c r="E728" i="135" s="1"/>
  <c r="F728" i="135" s="1"/>
  <c r="G728" i="135" s="1"/>
  <c r="D727" i="135"/>
  <c r="E727" i="135" s="1"/>
  <c r="F727" i="135" s="1"/>
  <c r="G727" i="135" s="1"/>
  <c r="D726" i="135"/>
  <c r="E726" i="135" s="1"/>
  <c r="F726" i="135" s="1"/>
  <c r="G726" i="135" s="1"/>
  <c r="D725" i="135"/>
  <c r="E725" i="135" s="1"/>
  <c r="F725" i="135" s="1"/>
  <c r="G725" i="135" s="1"/>
  <c r="D724" i="135"/>
  <c r="E724" i="135" s="1"/>
  <c r="F724" i="135" s="1"/>
  <c r="G724" i="135" s="1"/>
  <c r="D723" i="135"/>
  <c r="E723" i="135" s="1"/>
  <c r="F723" i="135" s="1"/>
  <c r="G723" i="135" s="1"/>
  <c r="D722" i="135"/>
  <c r="E722" i="135" s="1"/>
  <c r="F722" i="135" s="1"/>
  <c r="G722" i="135" s="1"/>
  <c r="D721" i="135"/>
  <c r="E721" i="135" s="1"/>
  <c r="F721" i="135" s="1"/>
  <c r="G721" i="135" s="1"/>
  <c r="D720" i="135"/>
  <c r="E720" i="135" s="1"/>
  <c r="F720" i="135" s="1"/>
  <c r="G720" i="135" s="1"/>
  <c r="D719" i="135"/>
  <c r="E719" i="135" s="1"/>
  <c r="F719" i="135" s="1"/>
  <c r="G719" i="135" s="1"/>
  <c r="D718" i="135"/>
  <c r="E718" i="135" s="1"/>
  <c r="F718" i="135" s="1"/>
  <c r="G718" i="135" s="1"/>
  <c r="D717" i="135"/>
  <c r="E717" i="135" s="1"/>
  <c r="F717" i="135" s="1"/>
  <c r="G717" i="135" s="1"/>
  <c r="D716" i="135"/>
  <c r="E716" i="135" s="1"/>
  <c r="F716" i="135" s="1"/>
  <c r="G716" i="135" s="1"/>
  <c r="D715" i="135"/>
  <c r="E715" i="135" s="1"/>
  <c r="F715" i="135" s="1"/>
  <c r="G715" i="135" s="1"/>
  <c r="D714" i="135"/>
  <c r="E714" i="135" s="1"/>
  <c r="F714" i="135" s="1"/>
  <c r="G714" i="135" s="1"/>
  <c r="D713" i="135"/>
  <c r="E713" i="135" s="1"/>
  <c r="F713" i="135" s="1"/>
  <c r="G713" i="135" s="1"/>
  <c r="D712" i="135"/>
  <c r="E712" i="135" s="1"/>
  <c r="F712" i="135" s="1"/>
  <c r="G712" i="135" s="1"/>
  <c r="D711" i="135"/>
  <c r="E711" i="135" s="1"/>
  <c r="F711" i="135" s="1"/>
  <c r="G711" i="135" s="1"/>
  <c r="D710" i="135"/>
  <c r="E710" i="135" s="1"/>
  <c r="F710" i="135" s="1"/>
  <c r="G710" i="135" s="1"/>
  <c r="D709" i="135"/>
  <c r="E709" i="135" s="1"/>
  <c r="F709" i="135" s="1"/>
  <c r="G709" i="135" s="1"/>
  <c r="D708" i="135"/>
  <c r="E708" i="135" s="1"/>
  <c r="F708" i="135" s="1"/>
  <c r="G708" i="135" s="1"/>
  <c r="D707" i="135"/>
  <c r="E707" i="135" s="1"/>
  <c r="F707" i="135" s="1"/>
  <c r="G707" i="135" s="1"/>
  <c r="D706" i="135"/>
  <c r="E706" i="135" s="1"/>
  <c r="F706" i="135" s="1"/>
  <c r="G706" i="135" s="1"/>
  <c r="D705" i="135"/>
  <c r="E705" i="135" s="1"/>
  <c r="F705" i="135" s="1"/>
  <c r="G705" i="135" s="1"/>
  <c r="D704" i="135"/>
  <c r="E704" i="135" s="1"/>
  <c r="F704" i="135" s="1"/>
  <c r="G704" i="135" s="1"/>
  <c r="D703" i="135"/>
  <c r="E703" i="135" s="1"/>
  <c r="F703" i="135" s="1"/>
  <c r="G703" i="135" s="1"/>
  <c r="D702" i="135"/>
  <c r="E702" i="135" s="1"/>
  <c r="F702" i="135" s="1"/>
  <c r="G702" i="135" s="1"/>
  <c r="D701" i="135"/>
  <c r="E701" i="135" s="1"/>
  <c r="F701" i="135" s="1"/>
  <c r="G701" i="135" s="1"/>
  <c r="D700" i="135"/>
  <c r="E700" i="135" s="1"/>
  <c r="F700" i="135" s="1"/>
  <c r="G700" i="135" s="1"/>
  <c r="D699" i="135"/>
  <c r="E699" i="135" s="1"/>
  <c r="F699" i="135" s="1"/>
  <c r="G699" i="135" s="1"/>
  <c r="D698" i="135"/>
  <c r="E698" i="135" s="1"/>
  <c r="F698" i="135" s="1"/>
  <c r="G698" i="135" s="1"/>
  <c r="D697" i="135"/>
  <c r="E697" i="135" s="1"/>
  <c r="F697" i="135" s="1"/>
  <c r="G697" i="135" s="1"/>
  <c r="D696" i="135"/>
  <c r="E696" i="135" s="1"/>
  <c r="F696" i="135" s="1"/>
  <c r="G696" i="135" s="1"/>
  <c r="D695" i="135"/>
  <c r="E695" i="135" s="1"/>
  <c r="F695" i="135" s="1"/>
  <c r="G695" i="135" s="1"/>
  <c r="D694" i="135"/>
  <c r="E694" i="135" s="1"/>
  <c r="F694" i="135" s="1"/>
  <c r="G694" i="135" s="1"/>
  <c r="D693" i="135"/>
  <c r="E693" i="135" s="1"/>
  <c r="F693" i="135" s="1"/>
  <c r="G693" i="135" s="1"/>
  <c r="D692" i="135"/>
  <c r="E692" i="135" s="1"/>
  <c r="F692" i="135" s="1"/>
  <c r="G692" i="135" s="1"/>
  <c r="D691" i="135"/>
  <c r="E691" i="135" s="1"/>
  <c r="F691" i="135" s="1"/>
  <c r="G691" i="135" s="1"/>
  <c r="D690" i="135"/>
  <c r="E690" i="135" s="1"/>
  <c r="F690" i="135" s="1"/>
  <c r="G690" i="135" s="1"/>
  <c r="D689" i="135"/>
  <c r="E689" i="135" s="1"/>
  <c r="F689" i="135" s="1"/>
  <c r="G689" i="135" s="1"/>
  <c r="D688" i="135"/>
  <c r="E688" i="135" s="1"/>
  <c r="F688" i="135" s="1"/>
  <c r="G688" i="135" s="1"/>
  <c r="D687" i="135"/>
  <c r="E687" i="135" s="1"/>
  <c r="F687" i="135" s="1"/>
  <c r="G687" i="135" s="1"/>
  <c r="D686" i="135"/>
  <c r="E686" i="135" s="1"/>
  <c r="F686" i="135" s="1"/>
  <c r="G686" i="135" s="1"/>
  <c r="D685" i="135"/>
  <c r="E685" i="135" s="1"/>
  <c r="F685" i="135" s="1"/>
  <c r="G685" i="135" s="1"/>
  <c r="D684" i="135"/>
  <c r="E684" i="135" s="1"/>
  <c r="F684" i="135" s="1"/>
  <c r="G684" i="135" s="1"/>
  <c r="D683" i="135"/>
  <c r="E683" i="135" s="1"/>
  <c r="F683" i="135" s="1"/>
  <c r="G683" i="135" s="1"/>
  <c r="D682" i="135"/>
  <c r="E682" i="135" s="1"/>
  <c r="F682" i="135" s="1"/>
  <c r="G682" i="135" s="1"/>
  <c r="D681" i="135"/>
  <c r="E681" i="135" s="1"/>
  <c r="F681" i="135" s="1"/>
  <c r="G681" i="135" s="1"/>
  <c r="D680" i="135"/>
  <c r="E680" i="135" s="1"/>
  <c r="F680" i="135" s="1"/>
  <c r="G680" i="135" s="1"/>
  <c r="D679" i="135"/>
  <c r="E679" i="135" s="1"/>
  <c r="F679" i="135" s="1"/>
  <c r="G679" i="135" s="1"/>
  <c r="D678" i="135"/>
  <c r="E678" i="135" s="1"/>
  <c r="F678" i="135" s="1"/>
  <c r="G678" i="135" s="1"/>
  <c r="D677" i="135"/>
  <c r="E677" i="135" s="1"/>
  <c r="F677" i="135" s="1"/>
  <c r="G677" i="135" s="1"/>
  <c r="D676" i="135"/>
  <c r="E676" i="135" s="1"/>
  <c r="F676" i="135" s="1"/>
  <c r="G676" i="135" s="1"/>
  <c r="D675" i="135"/>
  <c r="E675" i="135" s="1"/>
  <c r="F675" i="135" s="1"/>
  <c r="G675" i="135" s="1"/>
  <c r="D674" i="135"/>
  <c r="E674" i="135" s="1"/>
  <c r="F674" i="135" s="1"/>
  <c r="G674" i="135" s="1"/>
  <c r="D673" i="135"/>
  <c r="E673" i="135" s="1"/>
  <c r="F673" i="135" s="1"/>
  <c r="G673" i="135" s="1"/>
  <c r="D672" i="135"/>
  <c r="E672" i="135" s="1"/>
  <c r="F672" i="135" s="1"/>
  <c r="G672" i="135" s="1"/>
  <c r="D671" i="135"/>
  <c r="E671" i="135" s="1"/>
  <c r="F671" i="135" s="1"/>
  <c r="G671" i="135" s="1"/>
  <c r="D670" i="135"/>
  <c r="E670" i="135" s="1"/>
  <c r="F670" i="135" s="1"/>
  <c r="G670" i="135" s="1"/>
  <c r="D669" i="135"/>
  <c r="E669" i="135" s="1"/>
  <c r="F669" i="135" s="1"/>
  <c r="G669" i="135" s="1"/>
  <c r="D668" i="135"/>
  <c r="E668" i="135" s="1"/>
  <c r="F668" i="135" s="1"/>
  <c r="G668" i="135" s="1"/>
  <c r="D667" i="135"/>
  <c r="E667" i="135" s="1"/>
  <c r="F667" i="135" s="1"/>
  <c r="G667" i="135" s="1"/>
  <c r="D666" i="135"/>
  <c r="E666" i="135" s="1"/>
  <c r="F666" i="135" s="1"/>
  <c r="G666" i="135" s="1"/>
  <c r="D665" i="135"/>
  <c r="E665" i="135" s="1"/>
  <c r="F665" i="135" s="1"/>
  <c r="G665" i="135" s="1"/>
  <c r="D664" i="135"/>
  <c r="E664" i="135" s="1"/>
  <c r="F664" i="135" s="1"/>
  <c r="G664" i="135" s="1"/>
  <c r="D663" i="135"/>
  <c r="E663" i="135" s="1"/>
  <c r="F663" i="135" s="1"/>
  <c r="G663" i="135" s="1"/>
  <c r="D662" i="135"/>
  <c r="E662" i="135" s="1"/>
  <c r="F662" i="135" s="1"/>
  <c r="G662" i="135" s="1"/>
  <c r="D661" i="135"/>
  <c r="E661" i="135" s="1"/>
  <c r="F661" i="135" s="1"/>
  <c r="G661" i="135" s="1"/>
  <c r="D660" i="135"/>
  <c r="E660" i="135" s="1"/>
  <c r="F660" i="135" s="1"/>
  <c r="G660" i="135" s="1"/>
  <c r="D659" i="135"/>
  <c r="E659" i="135" s="1"/>
  <c r="F659" i="135" s="1"/>
  <c r="G659" i="135" s="1"/>
  <c r="D658" i="135"/>
  <c r="E658" i="135" s="1"/>
  <c r="F658" i="135" s="1"/>
  <c r="G658" i="135" s="1"/>
  <c r="D657" i="135"/>
  <c r="E657" i="135" s="1"/>
  <c r="F657" i="135" s="1"/>
  <c r="G657" i="135" s="1"/>
  <c r="D656" i="135"/>
  <c r="E656" i="135" s="1"/>
  <c r="F656" i="135" s="1"/>
  <c r="G656" i="135" s="1"/>
  <c r="D655" i="135"/>
  <c r="E655" i="135" s="1"/>
  <c r="F655" i="135" s="1"/>
  <c r="G655" i="135" s="1"/>
  <c r="D654" i="135"/>
  <c r="E654" i="135" s="1"/>
  <c r="F654" i="135" s="1"/>
  <c r="G654" i="135" s="1"/>
  <c r="D653" i="135"/>
  <c r="E653" i="135" s="1"/>
  <c r="F653" i="135" s="1"/>
  <c r="G653" i="135" s="1"/>
  <c r="D652" i="135"/>
  <c r="E652" i="135" s="1"/>
  <c r="F652" i="135" s="1"/>
  <c r="G652" i="135" s="1"/>
  <c r="D651" i="135"/>
  <c r="E651" i="135" s="1"/>
  <c r="F651" i="135" s="1"/>
  <c r="G651" i="135" s="1"/>
  <c r="D650" i="135"/>
  <c r="E650" i="135" s="1"/>
  <c r="F650" i="135" s="1"/>
  <c r="G650" i="135" s="1"/>
  <c r="D649" i="135"/>
  <c r="E649" i="135" s="1"/>
  <c r="F649" i="135" s="1"/>
  <c r="G649" i="135" s="1"/>
  <c r="D648" i="135"/>
  <c r="E648" i="135" s="1"/>
  <c r="F648" i="135" s="1"/>
  <c r="G648" i="135" s="1"/>
  <c r="D647" i="135"/>
  <c r="E647" i="135" s="1"/>
  <c r="F647" i="135" s="1"/>
  <c r="G647" i="135" s="1"/>
  <c r="D646" i="135"/>
  <c r="E646" i="135" s="1"/>
  <c r="F646" i="135" s="1"/>
  <c r="G646" i="135" s="1"/>
  <c r="D645" i="135"/>
  <c r="E645" i="135" s="1"/>
  <c r="F645" i="135" s="1"/>
  <c r="G645" i="135" s="1"/>
  <c r="D644" i="135"/>
  <c r="E644" i="135" s="1"/>
  <c r="F644" i="135" s="1"/>
  <c r="G644" i="135" s="1"/>
  <c r="D643" i="135"/>
  <c r="E643" i="135" s="1"/>
  <c r="F643" i="135" s="1"/>
  <c r="G643" i="135" s="1"/>
  <c r="D642" i="135"/>
  <c r="E642" i="135" s="1"/>
  <c r="F642" i="135" s="1"/>
  <c r="G642" i="135" s="1"/>
  <c r="D641" i="135"/>
  <c r="E641" i="135" s="1"/>
  <c r="F641" i="135" s="1"/>
  <c r="G641" i="135" s="1"/>
  <c r="D640" i="135"/>
  <c r="E640" i="135" s="1"/>
  <c r="F640" i="135" s="1"/>
  <c r="G640" i="135" s="1"/>
  <c r="D639" i="135"/>
  <c r="E639" i="135" s="1"/>
  <c r="F639" i="135" s="1"/>
  <c r="G639" i="135" s="1"/>
  <c r="D638" i="135"/>
  <c r="E638" i="135" s="1"/>
  <c r="F638" i="135" s="1"/>
  <c r="G638" i="135" s="1"/>
  <c r="D637" i="135"/>
  <c r="E637" i="135" s="1"/>
  <c r="F637" i="135" s="1"/>
  <c r="G637" i="135" s="1"/>
  <c r="D636" i="135"/>
  <c r="E636" i="135" s="1"/>
  <c r="F636" i="135" s="1"/>
  <c r="G636" i="135" s="1"/>
  <c r="D635" i="135"/>
  <c r="E635" i="135" s="1"/>
  <c r="F635" i="135" s="1"/>
  <c r="G635" i="135" s="1"/>
  <c r="D634" i="135"/>
  <c r="E634" i="135" s="1"/>
  <c r="F634" i="135" s="1"/>
  <c r="G634" i="135" s="1"/>
  <c r="D633" i="135"/>
  <c r="E633" i="135" s="1"/>
  <c r="F633" i="135" s="1"/>
  <c r="G633" i="135" s="1"/>
  <c r="D632" i="135"/>
  <c r="E632" i="135" s="1"/>
  <c r="F632" i="135" s="1"/>
  <c r="G632" i="135" s="1"/>
  <c r="D631" i="135"/>
  <c r="E631" i="135" s="1"/>
  <c r="F631" i="135" s="1"/>
  <c r="G631" i="135" s="1"/>
  <c r="D630" i="135"/>
  <c r="E630" i="135" s="1"/>
  <c r="F630" i="135" s="1"/>
  <c r="G630" i="135" s="1"/>
  <c r="D629" i="135"/>
  <c r="E629" i="135" s="1"/>
  <c r="F629" i="135" s="1"/>
  <c r="G629" i="135" s="1"/>
  <c r="D628" i="135"/>
  <c r="E628" i="135" s="1"/>
  <c r="F628" i="135" s="1"/>
  <c r="G628" i="135" s="1"/>
  <c r="D627" i="135"/>
  <c r="E627" i="135" s="1"/>
  <c r="F627" i="135" s="1"/>
  <c r="G627" i="135" s="1"/>
  <c r="D626" i="135"/>
  <c r="E626" i="135" s="1"/>
  <c r="F626" i="135" s="1"/>
  <c r="G626" i="135" s="1"/>
  <c r="D625" i="135"/>
  <c r="E625" i="135" s="1"/>
  <c r="F625" i="135" s="1"/>
  <c r="G625" i="135" s="1"/>
  <c r="D624" i="135"/>
  <c r="E624" i="135" s="1"/>
  <c r="F624" i="135" s="1"/>
  <c r="G624" i="135" s="1"/>
  <c r="D623" i="135"/>
  <c r="E623" i="135" s="1"/>
  <c r="F623" i="135" s="1"/>
  <c r="G623" i="135" s="1"/>
  <c r="D622" i="135"/>
  <c r="E622" i="135" s="1"/>
  <c r="F622" i="135" s="1"/>
  <c r="G622" i="135" s="1"/>
  <c r="D621" i="135"/>
  <c r="E621" i="135" s="1"/>
  <c r="F621" i="135" s="1"/>
  <c r="G621" i="135" s="1"/>
  <c r="D620" i="135"/>
  <c r="E620" i="135" s="1"/>
  <c r="F620" i="135" s="1"/>
  <c r="G620" i="135" s="1"/>
  <c r="D619" i="135"/>
  <c r="E619" i="135" s="1"/>
  <c r="F619" i="135" s="1"/>
  <c r="G619" i="135" s="1"/>
  <c r="D618" i="135"/>
  <c r="E618" i="135" s="1"/>
  <c r="F618" i="135" s="1"/>
  <c r="G618" i="135" s="1"/>
  <c r="D617" i="135"/>
  <c r="E617" i="135" s="1"/>
  <c r="F617" i="135" s="1"/>
  <c r="G617" i="135" s="1"/>
  <c r="D616" i="135"/>
  <c r="E616" i="135" s="1"/>
  <c r="F616" i="135" s="1"/>
  <c r="G616" i="135" s="1"/>
  <c r="D615" i="135"/>
  <c r="E615" i="135" s="1"/>
  <c r="F615" i="135" s="1"/>
  <c r="G615" i="135" s="1"/>
  <c r="D614" i="135"/>
  <c r="E614" i="135" s="1"/>
  <c r="F614" i="135" s="1"/>
  <c r="G614" i="135" s="1"/>
  <c r="D613" i="135"/>
  <c r="E613" i="135" s="1"/>
  <c r="F613" i="135" s="1"/>
  <c r="G613" i="135" s="1"/>
  <c r="D612" i="135"/>
  <c r="E612" i="135" s="1"/>
  <c r="F612" i="135" s="1"/>
  <c r="G612" i="135" s="1"/>
  <c r="D611" i="135"/>
  <c r="E611" i="135" s="1"/>
  <c r="F611" i="135" s="1"/>
  <c r="G611" i="135" s="1"/>
  <c r="D610" i="135"/>
  <c r="E610" i="135" s="1"/>
  <c r="F610" i="135" s="1"/>
  <c r="G610" i="135" s="1"/>
  <c r="D609" i="135"/>
  <c r="E609" i="135" s="1"/>
  <c r="F609" i="135" s="1"/>
  <c r="G609" i="135" s="1"/>
  <c r="D608" i="135"/>
  <c r="E608" i="135" s="1"/>
  <c r="F608" i="135" s="1"/>
  <c r="G608" i="135" s="1"/>
  <c r="D607" i="135"/>
  <c r="E607" i="135" s="1"/>
  <c r="F607" i="135" s="1"/>
  <c r="G607" i="135" s="1"/>
  <c r="D606" i="135"/>
  <c r="E606" i="135" s="1"/>
  <c r="F606" i="135" s="1"/>
  <c r="G606" i="135" s="1"/>
  <c r="D605" i="135"/>
  <c r="E605" i="135" s="1"/>
  <c r="F605" i="135" s="1"/>
  <c r="G605" i="135" s="1"/>
  <c r="D604" i="135"/>
  <c r="E604" i="135" s="1"/>
  <c r="F604" i="135" s="1"/>
  <c r="G604" i="135" s="1"/>
  <c r="D603" i="135"/>
  <c r="E603" i="135" s="1"/>
  <c r="F603" i="135" s="1"/>
  <c r="G603" i="135" s="1"/>
  <c r="D602" i="135"/>
  <c r="E602" i="135" s="1"/>
  <c r="F602" i="135" s="1"/>
  <c r="G602" i="135" s="1"/>
  <c r="D601" i="135"/>
  <c r="E601" i="135" s="1"/>
  <c r="F601" i="135" s="1"/>
  <c r="G601" i="135" s="1"/>
  <c r="D600" i="135"/>
  <c r="E600" i="135" s="1"/>
  <c r="F600" i="135" s="1"/>
  <c r="G600" i="135" s="1"/>
  <c r="D599" i="135"/>
  <c r="E599" i="135" s="1"/>
  <c r="F599" i="135" s="1"/>
  <c r="G599" i="135" s="1"/>
  <c r="D598" i="135"/>
  <c r="E598" i="135" s="1"/>
  <c r="F598" i="135" s="1"/>
  <c r="G598" i="135" s="1"/>
  <c r="D597" i="135"/>
  <c r="E597" i="135" s="1"/>
  <c r="F597" i="135" s="1"/>
  <c r="G597" i="135" s="1"/>
  <c r="D596" i="135"/>
  <c r="E596" i="135" s="1"/>
  <c r="F596" i="135" s="1"/>
  <c r="G596" i="135" s="1"/>
  <c r="D595" i="135"/>
  <c r="E595" i="135" s="1"/>
  <c r="F595" i="135" s="1"/>
  <c r="G595" i="135" s="1"/>
  <c r="D594" i="135"/>
  <c r="E594" i="135" s="1"/>
  <c r="F594" i="135" s="1"/>
  <c r="G594" i="135" s="1"/>
  <c r="D593" i="135"/>
  <c r="E593" i="135" s="1"/>
  <c r="F593" i="135" s="1"/>
  <c r="G593" i="135" s="1"/>
  <c r="D592" i="135"/>
  <c r="E592" i="135" s="1"/>
  <c r="F592" i="135" s="1"/>
  <c r="G592" i="135" s="1"/>
  <c r="D591" i="135"/>
  <c r="E591" i="135" s="1"/>
  <c r="F591" i="135" s="1"/>
  <c r="G591" i="135" s="1"/>
  <c r="D590" i="135"/>
  <c r="E590" i="135" s="1"/>
  <c r="F590" i="135" s="1"/>
  <c r="G590" i="135" s="1"/>
  <c r="D589" i="135"/>
  <c r="E589" i="135" s="1"/>
  <c r="F589" i="135" s="1"/>
  <c r="G589" i="135" s="1"/>
  <c r="D588" i="135"/>
  <c r="E588" i="135" s="1"/>
  <c r="F588" i="135" s="1"/>
  <c r="G588" i="135" s="1"/>
  <c r="D587" i="135"/>
  <c r="E587" i="135" s="1"/>
  <c r="F587" i="135" s="1"/>
  <c r="G587" i="135" s="1"/>
  <c r="D586" i="135"/>
  <c r="E586" i="135" s="1"/>
  <c r="F586" i="135" s="1"/>
  <c r="G586" i="135" s="1"/>
  <c r="D585" i="135"/>
  <c r="E585" i="135" s="1"/>
  <c r="F585" i="135" s="1"/>
  <c r="G585" i="135" s="1"/>
  <c r="D584" i="135"/>
  <c r="E584" i="135" s="1"/>
  <c r="F584" i="135" s="1"/>
  <c r="G584" i="135" s="1"/>
  <c r="D583" i="135"/>
  <c r="E583" i="135" s="1"/>
  <c r="F583" i="135" s="1"/>
  <c r="G583" i="135" s="1"/>
  <c r="D582" i="135"/>
  <c r="E582" i="135" s="1"/>
  <c r="F582" i="135" s="1"/>
  <c r="G582" i="135" s="1"/>
  <c r="D581" i="135"/>
  <c r="E581" i="135" s="1"/>
  <c r="F581" i="135" s="1"/>
  <c r="G581" i="135" s="1"/>
  <c r="D580" i="135"/>
  <c r="E580" i="135" s="1"/>
  <c r="F580" i="135" s="1"/>
  <c r="G580" i="135" s="1"/>
  <c r="D579" i="135"/>
  <c r="E579" i="135" s="1"/>
  <c r="F579" i="135" s="1"/>
  <c r="G579" i="135" s="1"/>
  <c r="D578" i="135"/>
  <c r="E578" i="135" s="1"/>
  <c r="F578" i="135" s="1"/>
  <c r="G578" i="135" s="1"/>
  <c r="D577" i="135"/>
  <c r="E577" i="135" s="1"/>
  <c r="F577" i="135" s="1"/>
  <c r="G577" i="135" s="1"/>
  <c r="D576" i="135"/>
  <c r="E576" i="135" s="1"/>
  <c r="F576" i="135" s="1"/>
  <c r="G576" i="135" s="1"/>
  <c r="D575" i="135"/>
  <c r="E575" i="135" s="1"/>
  <c r="F575" i="135" s="1"/>
  <c r="G575" i="135" s="1"/>
  <c r="D574" i="135"/>
  <c r="E574" i="135" s="1"/>
  <c r="F574" i="135" s="1"/>
  <c r="G574" i="135" s="1"/>
  <c r="D573" i="135"/>
  <c r="E573" i="135" s="1"/>
  <c r="F573" i="135" s="1"/>
  <c r="G573" i="135" s="1"/>
  <c r="D572" i="135"/>
  <c r="E572" i="135" s="1"/>
  <c r="F572" i="135" s="1"/>
  <c r="G572" i="135" s="1"/>
  <c r="D571" i="135"/>
  <c r="E571" i="135" s="1"/>
  <c r="F571" i="135" s="1"/>
  <c r="G571" i="135" s="1"/>
  <c r="D570" i="135"/>
  <c r="E570" i="135" s="1"/>
  <c r="F570" i="135" s="1"/>
  <c r="G570" i="135" s="1"/>
  <c r="D569" i="135"/>
  <c r="E569" i="135" s="1"/>
  <c r="F569" i="135" s="1"/>
  <c r="G569" i="135" s="1"/>
  <c r="D568" i="135"/>
  <c r="E568" i="135" s="1"/>
  <c r="F568" i="135" s="1"/>
  <c r="G568" i="135" s="1"/>
  <c r="D567" i="135"/>
  <c r="E567" i="135" s="1"/>
  <c r="F567" i="135" s="1"/>
  <c r="G567" i="135" s="1"/>
  <c r="D566" i="135"/>
  <c r="E566" i="135" s="1"/>
  <c r="F566" i="135" s="1"/>
  <c r="G566" i="135" s="1"/>
  <c r="D565" i="135"/>
  <c r="E565" i="135" s="1"/>
  <c r="F565" i="135" s="1"/>
  <c r="G565" i="135" s="1"/>
  <c r="D564" i="135"/>
  <c r="E564" i="135" s="1"/>
  <c r="F564" i="135" s="1"/>
  <c r="G564" i="135" s="1"/>
  <c r="D563" i="135"/>
  <c r="E563" i="135" s="1"/>
  <c r="F563" i="135" s="1"/>
  <c r="G563" i="135" s="1"/>
  <c r="D562" i="135"/>
  <c r="E562" i="135" s="1"/>
  <c r="F562" i="135" s="1"/>
  <c r="G562" i="135" s="1"/>
  <c r="D561" i="135"/>
  <c r="E561" i="135" s="1"/>
  <c r="F561" i="135" s="1"/>
  <c r="G561" i="135" s="1"/>
  <c r="D560" i="135"/>
  <c r="E560" i="135" s="1"/>
  <c r="F560" i="135" s="1"/>
  <c r="G560" i="135" s="1"/>
  <c r="D559" i="135"/>
  <c r="E559" i="135" s="1"/>
  <c r="F559" i="135" s="1"/>
  <c r="G559" i="135" s="1"/>
  <c r="D558" i="135"/>
  <c r="E558" i="135" s="1"/>
  <c r="F558" i="135" s="1"/>
  <c r="G558" i="135" s="1"/>
  <c r="D557" i="135"/>
  <c r="E557" i="135" s="1"/>
  <c r="F557" i="135" s="1"/>
  <c r="G557" i="135" s="1"/>
  <c r="D556" i="135"/>
  <c r="E556" i="135" s="1"/>
  <c r="F556" i="135" s="1"/>
  <c r="G556" i="135" s="1"/>
  <c r="D555" i="135"/>
  <c r="E555" i="135" s="1"/>
  <c r="F555" i="135" s="1"/>
  <c r="G555" i="135" s="1"/>
  <c r="D554" i="135"/>
  <c r="E554" i="135" s="1"/>
  <c r="F554" i="135" s="1"/>
  <c r="G554" i="135" s="1"/>
  <c r="D553" i="135"/>
  <c r="E553" i="135" s="1"/>
  <c r="F553" i="135" s="1"/>
  <c r="G553" i="135" s="1"/>
  <c r="D552" i="135"/>
  <c r="E552" i="135" s="1"/>
  <c r="F552" i="135" s="1"/>
  <c r="G552" i="135" s="1"/>
  <c r="D551" i="135"/>
  <c r="E551" i="135" s="1"/>
  <c r="F551" i="135" s="1"/>
  <c r="G551" i="135" s="1"/>
  <c r="D550" i="135"/>
  <c r="E550" i="135" s="1"/>
  <c r="F550" i="135" s="1"/>
  <c r="G550" i="135" s="1"/>
  <c r="D549" i="135"/>
  <c r="E549" i="135" s="1"/>
  <c r="F549" i="135" s="1"/>
  <c r="G549" i="135" s="1"/>
  <c r="D548" i="135"/>
  <c r="E548" i="135" s="1"/>
  <c r="F548" i="135" s="1"/>
  <c r="G548" i="135" s="1"/>
  <c r="D547" i="135"/>
  <c r="E547" i="135" s="1"/>
  <c r="F547" i="135" s="1"/>
  <c r="G547" i="135" s="1"/>
  <c r="D546" i="135"/>
  <c r="E546" i="135" s="1"/>
  <c r="F546" i="135" s="1"/>
  <c r="G546" i="135" s="1"/>
  <c r="D545" i="135"/>
  <c r="E545" i="135" s="1"/>
  <c r="F545" i="135" s="1"/>
  <c r="G545" i="135" s="1"/>
  <c r="D544" i="135"/>
  <c r="E544" i="135" s="1"/>
  <c r="F544" i="135" s="1"/>
  <c r="G544" i="135" s="1"/>
  <c r="D543" i="135"/>
  <c r="E543" i="135" s="1"/>
  <c r="F543" i="135" s="1"/>
  <c r="G543" i="135" s="1"/>
  <c r="D542" i="135"/>
  <c r="E542" i="135" s="1"/>
  <c r="F542" i="135" s="1"/>
  <c r="G542" i="135" s="1"/>
  <c r="D541" i="135"/>
  <c r="E541" i="135" s="1"/>
  <c r="F541" i="135" s="1"/>
  <c r="G541" i="135" s="1"/>
  <c r="D540" i="135"/>
  <c r="E540" i="135" s="1"/>
  <c r="F540" i="135" s="1"/>
  <c r="G540" i="135" s="1"/>
  <c r="D539" i="135"/>
  <c r="E539" i="135" s="1"/>
  <c r="F539" i="135" s="1"/>
  <c r="G539" i="135" s="1"/>
  <c r="D538" i="135"/>
  <c r="E538" i="135" s="1"/>
  <c r="F538" i="135" s="1"/>
  <c r="G538" i="135" s="1"/>
  <c r="D537" i="135"/>
  <c r="E537" i="135" s="1"/>
  <c r="F537" i="135" s="1"/>
  <c r="G537" i="135" s="1"/>
  <c r="D536" i="135"/>
  <c r="E536" i="135" s="1"/>
  <c r="F536" i="135" s="1"/>
  <c r="G536" i="135" s="1"/>
  <c r="D535" i="135"/>
  <c r="E535" i="135" s="1"/>
  <c r="F535" i="135" s="1"/>
  <c r="G535" i="135" s="1"/>
  <c r="D534" i="135"/>
  <c r="E534" i="135" s="1"/>
  <c r="F534" i="135" s="1"/>
  <c r="G534" i="135" s="1"/>
  <c r="D533" i="135"/>
  <c r="E533" i="135" s="1"/>
  <c r="F533" i="135" s="1"/>
  <c r="G533" i="135" s="1"/>
  <c r="D532" i="135"/>
  <c r="E532" i="135" s="1"/>
  <c r="F532" i="135" s="1"/>
  <c r="G532" i="135" s="1"/>
  <c r="D531" i="135"/>
  <c r="E531" i="135" s="1"/>
  <c r="F531" i="135" s="1"/>
  <c r="G531" i="135" s="1"/>
  <c r="D530" i="135"/>
  <c r="E530" i="135" s="1"/>
  <c r="F530" i="135" s="1"/>
  <c r="G530" i="135" s="1"/>
  <c r="D529" i="135"/>
  <c r="E529" i="135" s="1"/>
  <c r="F529" i="135" s="1"/>
  <c r="G529" i="135" s="1"/>
  <c r="D528" i="135"/>
  <c r="E528" i="135" s="1"/>
  <c r="F528" i="135" s="1"/>
  <c r="G528" i="135" s="1"/>
  <c r="D527" i="135"/>
  <c r="E527" i="135" s="1"/>
  <c r="F527" i="135" s="1"/>
  <c r="G527" i="135" s="1"/>
  <c r="D526" i="135"/>
  <c r="E526" i="135" s="1"/>
  <c r="F526" i="135" s="1"/>
  <c r="G526" i="135" s="1"/>
  <c r="D525" i="135"/>
  <c r="E525" i="135" s="1"/>
  <c r="F525" i="135" s="1"/>
  <c r="G525" i="135" s="1"/>
  <c r="D524" i="135"/>
  <c r="E524" i="135" s="1"/>
  <c r="F524" i="135" s="1"/>
  <c r="G524" i="135" s="1"/>
  <c r="D523" i="135"/>
  <c r="E523" i="135" s="1"/>
  <c r="F523" i="135" s="1"/>
  <c r="G523" i="135" s="1"/>
  <c r="D522" i="135"/>
  <c r="E522" i="135" s="1"/>
  <c r="F522" i="135" s="1"/>
  <c r="G522" i="135" s="1"/>
  <c r="D521" i="135"/>
  <c r="E521" i="135" s="1"/>
  <c r="F521" i="135" s="1"/>
  <c r="G521" i="135" s="1"/>
  <c r="D520" i="135"/>
  <c r="E520" i="135" s="1"/>
  <c r="F520" i="135" s="1"/>
  <c r="G520" i="135" s="1"/>
  <c r="D519" i="135"/>
  <c r="E519" i="135" s="1"/>
  <c r="F519" i="135" s="1"/>
  <c r="G519" i="135" s="1"/>
  <c r="D518" i="135"/>
  <c r="E518" i="135" s="1"/>
  <c r="F518" i="135" s="1"/>
  <c r="G518" i="135" s="1"/>
  <c r="D517" i="135"/>
  <c r="E517" i="135" s="1"/>
  <c r="F517" i="135" s="1"/>
  <c r="G517" i="135" s="1"/>
  <c r="D516" i="135"/>
  <c r="E516" i="135" s="1"/>
  <c r="F516" i="135" s="1"/>
  <c r="G516" i="135" s="1"/>
  <c r="D515" i="135"/>
  <c r="E515" i="135" s="1"/>
  <c r="F515" i="135" s="1"/>
  <c r="G515" i="135" s="1"/>
  <c r="D514" i="135"/>
  <c r="E514" i="135" s="1"/>
  <c r="F514" i="135" s="1"/>
  <c r="G514" i="135" s="1"/>
  <c r="D513" i="135"/>
  <c r="E513" i="135" s="1"/>
  <c r="F513" i="135" s="1"/>
  <c r="G513" i="135" s="1"/>
  <c r="D512" i="135"/>
  <c r="E512" i="135" s="1"/>
  <c r="F512" i="135" s="1"/>
  <c r="G512" i="135" s="1"/>
  <c r="D511" i="135"/>
  <c r="E511" i="135" s="1"/>
  <c r="F511" i="135" s="1"/>
  <c r="G511" i="135" s="1"/>
  <c r="D510" i="135"/>
  <c r="E510" i="135" s="1"/>
  <c r="F510" i="135" s="1"/>
  <c r="G510" i="135" s="1"/>
  <c r="D509" i="135"/>
  <c r="E509" i="135" s="1"/>
  <c r="F509" i="135" s="1"/>
  <c r="G509" i="135" s="1"/>
  <c r="D508" i="135"/>
  <c r="E508" i="135" s="1"/>
  <c r="F508" i="135" s="1"/>
  <c r="G508" i="135" s="1"/>
  <c r="D507" i="135"/>
  <c r="E507" i="135" s="1"/>
  <c r="F507" i="135" s="1"/>
  <c r="G507" i="135" s="1"/>
  <c r="D506" i="135"/>
  <c r="E506" i="135" s="1"/>
  <c r="F506" i="135" s="1"/>
  <c r="G506" i="135" s="1"/>
  <c r="D505" i="135"/>
  <c r="E505" i="135" s="1"/>
  <c r="F505" i="135" s="1"/>
  <c r="G505" i="135" s="1"/>
  <c r="D504" i="135"/>
  <c r="E504" i="135" s="1"/>
  <c r="F504" i="135" s="1"/>
  <c r="G504" i="135" s="1"/>
  <c r="D503" i="135"/>
  <c r="E503" i="135" s="1"/>
  <c r="F503" i="135" s="1"/>
  <c r="G503" i="135" s="1"/>
  <c r="D502" i="135"/>
  <c r="E502" i="135" s="1"/>
  <c r="F502" i="135" s="1"/>
  <c r="G502" i="135" s="1"/>
  <c r="D501" i="135"/>
  <c r="E501" i="135" s="1"/>
  <c r="F501" i="135" s="1"/>
  <c r="G501" i="135" s="1"/>
  <c r="D500" i="135"/>
  <c r="E500" i="135" s="1"/>
  <c r="F500" i="135" s="1"/>
  <c r="G500" i="135" s="1"/>
  <c r="D499" i="135"/>
  <c r="E499" i="135" s="1"/>
  <c r="F499" i="135" s="1"/>
  <c r="G499" i="135" s="1"/>
  <c r="D498" i="135"/>
  <c r="E498" i="135" s="1"/>
  <c r="F498" i="135" s="1"/>
  <c r="G498" i="135" s="1"/>
  <c r="D497" i="135"/>
  <c r="E497" i="135" s="1"/>
  <c r="F497" i="135" s="1"/>
  <c r="G497" i="135" s="1"/>
  <c r="D496" i="135"/>
  <c r="E496" i="135" s="1"/>
  <c r="F496" i="135" s="1"/>
  <c r="G496" i="135" s="1"/>
  <c r="D495" i="135"/>
  <c r="E495" i="135" s="1"/>
  <c r="F495" i="135" s="1"/>
  <c r="G495" i="135" s="1"/>
  <c r="D494" i="135"/>
  <c r="E494" i="135" s="1"/>
  <c r="F494" i="135" s="1"/>
  <c r="G494" i="135" s="1"/>
  <c r="D493" i="135"/>
  <c r="E493" i="135" s="1"/>
  <c r="F493" i="135" s="1"/>
  <c r="G493" i="135" s="1"/>
  <c r="D492" i="135"/>
  <c r="E492" i="135" s="1"/>
  <c r="F492" i="135" s="1"/>
  <c r="G492" i="135" s="1"/>
  <c r="D491" i="135"/>
  <c r="E491" i="135" s="1"/>
  <c r="F491" i="135" s="1"/>
  <c r="G491" i="135" s="1"/>
  <c r="D490" i="135"/>
  <c r="E490" i="135" s="1"/>
  <c r="F490" i="135" s="1"/>
  <c r="G490" i="135" s="1"/>
  <c r="D489" i="135"/>
  <c r="E489" i="135" s="1"/>
  <c r="F489" i="135" s="1"/>
  <c r="G489" i="135" s="1"/>
  <c r="D488" i="135"/>
  <c r="E488" i="135" s="1"/>
  <c r="F488" i="135" s="1"/>
  <c r="G488" i="135" s="1"/>
  <c r="D487" i="135"/>
  <c r="E487" i="135" s="1"/>
  <c r="F487" i="135" s="1"/>
  <c r="G487" i="135" s="1"/>
  <c r="D486" i="135"/>
  <c r="E486" i="135" s="1"/>
  <c r="F486" i="135" s="1"/>
  <c r="G486" i="135" s="1"/>
  <c r="D485" i="135"/>
  <c r="E485" i="135" s="1"/>
  <c r="F485" i="135" s="1"/>
  <c r="G485" i="135" s="1"/>
  <c r="D484" i="135"/>
  <c r="E484" i="135" s="1"/>
  <c r="F484" i="135" s="1"/>
  <c r="G484" i="135" s="1"/>
  <c r="D483" i="135"/>
  <c r="E483" i="135" s="1"/>
  <c r="F483" i="135" s="1"/>
  <c r="G483" i="135" s="1"/>
  <c r="D482" i="135"/>
  <c r="E482" i="135" s="1"/>
  <c r="F482" i="135" s="1"/>
  <c r="G482" i="135" s="1"/>
  <c r="D481" i="135"/>
  <c r="E481" i="135" s="1"/>
  <c r="F481" i="135" s="1"/>
  <c r="G481" i="135" s="1"/>
  <c r="D480" i="135"/>
  <c r="E480" i="135" s="1"/>
  <c r="F480" i="135" s="1"/>
  <c r="G480" i="135" s="1"/>
  <c r="D479" i="135"/>
  <c r="E479" i="135" s="1"/>
  <c r="F479" i="135" s="1"/>
  <c r="G479" i="135" s="1"/>
  <c r="D478" i="135"/>
  <c r="E478" i="135" s="1"/>
  <c r="F478" i="135" s="1"/>
  <c r="G478" i="135" s="1"/>
  <c r="D477" i="135"/>
  <c r="E477" i="135" s="1"/>
  <c r="F477" i="135" s="1"/>
  <c r="G477" i="135" s="1"/>
  <c r="D476" i="135"/>
  <c r="E476" i="135" s="1"/>
  <c r="F476" i="135" s="1"/>
  <c r="G476" i="135" s="1"/>
  <c r="D475" i="135"/>
  <c r="E475" i="135" s="1"/>
  <c r="F475" i="135" s="1"/>
  <c r="G475" i="135" s="1"/>
  <c r="D474" i="135"/>
  <c r="E474" i="135" s="1"/>
  <c r="F474" i="135" s="1"/>
  <c r="G474" i="135" s="1"/>
  <c r="D473" i="135"/>
  <c r="E473" i="135" s="1"/>
  <c r="F473" i="135" s="1"/>
  <c r="G473" i="135" s="1"/>
  <c r="D472" i="135"/>
  <c r="E472" i="135" s="1"/>
  <c r="F472" i="135" s="1"/>
  <c r="G472" i="135" s="1"/>
  <c r="D471" i="135"/>
  <c r="E471" i="135" s="1"/>
  <c r="F471" i="135" s="1"/>
  <c r="G471" i="135" s="1"/>
  <c r="D470" i="135"/>
  <c r="E470" i="135" s="1"/>
  <c r="F470" i="135" s="1"/>
  <c r="G470" i="135" s="1"/>
  <c r="D469" i="135"/>
  <c r="E469" i="135" s="1"/>
  <c r="F469" i="135" s="1"/>
  <c r="G469" i="135" s="1"/>
  <c r="D468" i="135"/>
  <c r="E468" i="135" s="1"/>
  <c r="F468" i="135" s="1"/>
  <c r="G468" i="135" s="1"/>
  <c r="D467" i="135"/>
  <c r="E467" i="135" s="1"/>
  <c r="F467" i="135" s="1"/>
  <c r="G467" i="135" s="1"/>
  <c r="D466" i="135"/>
  <c r="E466" i="135" s="1"/>
  <c r="F466" i="135" s="1"/>
  <c r="G466" i="135" s="1"/>
  <c r="D465" i="135"/>
  <c r="E465" i="135" s="1"/>
  <c r="F465" i="135" s="1"/>
  <c r="G465" i="135" s="1"/>
  <c r="D464" i="135"/>
  <c r="E464" i="135" s="1"/>
  <c r="F464" i="135" s="1"/>
  <c r="G464" i="135" s="1"/>
  <c r="D463" i="135"/>
  <c r="E463" i="135" s="1"/>
  <c r="F463" i="135" s="1"/>
  <c r="G463" i="135" s="1"/>
  <c r="D462" i="135"/>
  <c r="E462" i="135" s="1"/>
  <c r="F462" i="135" s="1"/>
  <c r="G462" i="135" s="1"/>
  <c r="D461" i="135"/>
  <c r="E461" i="135" s="1"/>
  <c r="F461" i="135" s="1"/>
  <c r="G461" i="135" s="1"/>
  <c r="D460" i="135"/>
  <c r="E460" i="135" s="1"/>
  <c r="F460" i="135" s="1"/>
  <c r="G460" i="135" s="1"/>
  <c r="D459" i="135"/>
  <c r="E459" i="135" s="1"/>
  <c r="F459" i="135" s="1"/>
  <c r="G459" i="135" s="1"/>
  <c r="D458" i="135"/>
  <c r="E458" i="135" s="1"/>
  <c r="F458" i="135" s="1"/>
  <c r="G458" i="135" s="1"/>
  <c r="D457" i="135"/>
  <c r="E457" i="135" s="1"/>
  <c r="F457" i="135" s="1"/>
  <c r="G457" i="135" s="1"/>
  <c r="D456" i="135"/>
  <c r="E456" i="135" s="1"/>
  <c r="F456" i="135" s="1"/>
  <c r="G456" i="135" s="1"/>
  <c r="D455" i="135"/>
  <c r="E455" i="135" s="1"/>
  <c r="F455" i="135" s="1"/>
  <c r="G455" i="135" s="1"/>
  <c r="D454" i="135"/>
  <c r="E454" i="135" s="1"/>
  <c r="F454" i="135" s="1"/>
  <c r="G454" i="135" s="1"/>
  <c r="D453" i="135"/>
  <c r="E453" i="135" s="1"/>
  <c r="F453" i="135" s="1"/>
  <c r="G453" i="135" s="1"/>
  <c r="D452" i="135"/>
  <c r="E452" i="135" s="1"/>
  <c r="F452" i="135" s="1"/>
  <c r="G452" i="135" s="1"/>
  <c r="D451" i="135"/>
  <c r="E451" i="135" s="1"/>
  <c r="F451" i="135" s="1"/>
  <c r="G451" i="135" s="1"/>
  <c r="D450" i="135"/>
  <c r="E450" i="135" s="1"/>
  <c r="F450" i="135" s="1"/>
  <c r="G450" i="135" s="1"/>
  <c r="D449" i="135"/>
  <c r="E449" i="135" s="1"/>
  <c r="F449" i="135" s="1"/>
  <c r="G449" i="135" s="1"/>
  <c r="D448" i="135"/>
  <c r="E448" i="135" s="1"/>
  <c r="F448" i="135" s="1"/>
  <c r="G448" i="135" s="1"/>
  <c r="D447" i="135"/>
  <c r="E447" i="135" s="1"/>
  <c r="F447" i="135" s="1"/>
  <c r="G447" i="135" s="1"/>
  <c r="D446" i="135"/>
  <c r="E446" i="135" s="1"/>
  <c r="F446" i="135" s="1"/>
  <c r="G446" i="135" s="1"/>
  <c r="D445" i="135"/>
  <c r="E445" i="135" s="1"/>
  <c r="F445" i="135" s="1"/>
  <c r="G445" i="135" s="1"/>
  <c r="D444" i="135"/>
  <c r="E444" i="135" s="1"/>
  <c r="F444" i="135" s="1"/>
  <c r="G444" i="135" s="1"/>
  <c r="D443" i="135"/>
  <c r="E443" i="135" s="1"/>
  <c r="F443" i="135" s="1"/>
  <c r="G443" i="135" s="1"/>
  <c r="D442" i="135"/>
  <c r="E442" i="135" s="1"/>
  <c r="F442" i="135" s="1"/>
  <c r="G442" i="135" s="1"/>
  <c r="D441" i="135"/>
  <c r="E441" i="135" s="1"/>
  <c r="F441" i="135" s="1"/>
  <c r="G441" i="135" s="1"/>
  <c r="D440" i="135"/>
  <c r="E440" i="135" s="1"/>
  <c r="F440" i="135" s="1"/>
  <c r="G440" i="135" s="1"/>
  <c r="D439" i="135"/>
  <c r="E439" i="135" s="1"/>
  <c r="F439" i="135" s="1"/>
  <c r="G439" i="135" s="1"/>
  <c r="D438" i="135"/>
  <c r="E438" i="135" s="1"/>
  <c r="F438" i="135" s="1"/>
  <c r="G438" i="135" s="1"/>
  <c r="D437" i="135"/>
  <c r="E437" i="135" s="1"/>
  <c r="F437" i="135" s="1"/>
  <c r="G437" i="135" s="1"/>
  <c r="D436" i="135"/>
  <c r="E436" i="135" s="1"/>
  <c r="F436" i="135" s="1"/>
  <c r="G436" i="135" s="1"/>
  <c r="D435" i="135"/>
  <c r="E435" i="135" s="1"/>
  <c r="F435" i="135" s="1"/>
  <c r="G435" i="135" s="1"/>
  <c r="D434" i="135"/>
  <c r="E434" i="135" s="1"/>
  <c r="F434" i="135" s="1"/>
  <c r="G434" i="135" s="1"/>
  <c r="D433" i="135"/>
  <c r="E433" i="135" s="1"/>
  <c r="F433" i="135" s="1"/>
  <c r="G433" i="135" s="1"/>
  <c r="D432" i="135"/>
  <c r="E432" i="135" s="1"/>
  <c r="F432" i="135" s="1"/>
  <c r="G432" i="135" s="1"/>
  <c r="D431" i="135"/>
  <c r="E431" i="135" s="1"/>
  <c r="F431" i="135" s="1"/>
  <c r="G431" i="135" s="1"/>
  <c r="D430" i="135"/>
  <c r="E430" i="135" s="1"/>
  <c r="F430" i="135" s="1"/>
  <c r="G430" i="135" s="1"/>
  <c r="D429" i="135"/>
  <c r="E429" i="135" s="1"/>
  <c r="F429" i="135" s="1"/>
  <c r="G429" i="135" s="1"/>
  <c r="D428" i="135"/>
  <c r="E428" i="135" s="1"/>
  <c r="F428" i="135" s="1"/>
  <c r="G428" i="135" s="1"/>
  <c r="D427" i="135"/>
  <c r="E427" i="135" s="1"/>
  <c r="F427" i="135" s="1"/>
  <c r="G427" i="135" s="1"/>
  <c r="D426" i="135"/>
  <c r="E426" i="135" s="1"/>
  <c r="F426" i="135" s="1"/>
  <c r="G426" i="135" s="1"/>
  <c r="D425" i="135"/>
  <c r="E425" i="135" s="1"/>
  <c r="F425" i="135" s="1"/>
  <c r="G425" i="135" s="1"/>
  <c r="D424" i="135"/>
  <c r="E424" i="135" s="1"/>
  <c r="F424" i="135" s="1"/>
  <c r="G424" i="135" s="1"/>
  <c r="D423" i="135"/>
  <c r="E423" i="135" s="1"/>
  <c r="F423" i="135" s="1"/>
  <c r="G423" i="135" s="1"/>
  <c r="D422" i="135"/>
  <c r="E422" i="135" s="1"/>
  <c r="F422" i="135" s="1"/>
  <c r="G422" i="135" s="1"/>
  <c r="D421" i="135"/>
  <c r="E421" i="135" s="1"/>
  <c r="F421" i="135" s="1"/>
  <c r="G421" i="135" s="1"/>
  <c r="D420" i="135"/>
  <c r="E420" i="135" s="1"/>
  <c r="F420" i="135" s="1"/>
  <c r="G420" i="135" s="1"/>
  <c r="D419" i="135"/>
  <c r="E419" i="135" s="1"/>
  <c r="F419" i="135" s="1"/>
  <c r="G419" i="135" s="1"/>
  <c r="D418" i="135"/>
  <c r="E418" i="135" s="1"/>
  <c r="F418" i="135" s="1"/>
  <c r="G418" i="135" s="1"/>
  <c r="D417" i="135"/>
  <c r="E417" i="135" s="1"/>
  <c r="F417" i="135" s="1"/>
  <c r="G417" i="135" s="1"/>
  <c r="D416" i="135"/>
  <c r="E416" i="135" s="1"/>
  <c r="F416" i="135" s="1"/>
  <c r="G416" i="135" s="1"/>
  <c r="D415" i="135"/>
  <c r="E415" i="135" s="1"/>
  <c r="F415" i="135" s="1"/>
  <c r="G415" i="135" s="1"/>
  <c r="D414" i="135"/>
  <c r="E414" i="135" s="1"/>
  <c r="F414" i="135" s="1"/>
  <c r="G414" i="135" s="1"/>
  <c r="D413" i="135"/>
  <c r="E413" i="135" s="1"/>
  <c r="F413" i="135" s="1"/>
  <c r="G413" i="135" s="1"/>
  <c r="D412" i="135"/>
  <c r="E412" i="135" s="1"/>
  <c r="F412" i="135" s="1"/>
  <c r="G412" i="135" s="1"/>
  <c r="D411" i="135"/>
  <c r="E411" i="135" s="1"/>
  <c r="F411" i="135" s="1"/>
  <c r="G411" i="135" s="1"/>
  <c r="D410" i="135"/>
  <c r="E410" i="135" s="1"/>
  <c r="F410" i="135" s="1"/>
  <c r="G410" i="135" s="1"/>
  <c r="D409" i="135"/>
  <c r="E409" i="135" s="1"/>
  <c r="F409" i="135" s="1"/>
  <c r="G409" i="135" s="1"/>
  <c r="D408" i="135"/>
  <c r="E408" i="135" s="1"/>
  <c r="F408" i="135" s="1"/>
  <c r="G408" i="135" s="1"/>
  <c r="D407" i="135"/>
  <c r="E407" i="135" s="1"/>
  <c r="F407" i="135" s="1"/>
  <c r="G407" i="135" s="1"/>
  <c r="D406" i="135"/>
  <c r="E406" i="135" s="1"/>
  <c r="F406" i="135" s="1"/>
  <c r="G406" i="135" s="1"/>
  <c r="D405" i="135"/>
  <c r="E405" i="135" s="1"/>
  <c r="F405" i="135" s="1"/>
  <c r="G405" i="135" s="1"/>
  <c r="D404" i="135"/>
  <c r="E404" i="135" s="1"/>
  <c r="F404" i="135" s="1"/>
  <c r="G404" i="135" s="1"/>
  <c r="D403" i="135"/>
  <c r="E403" i="135" s="1"/>
  <c r="F403" i="135" s="1"/>
  <c r="G403" i="135" s="1"/>
  <c r="D402" i="135"/>
  <c r="E402" i="135" s="1"/>
  <c r="F402" i="135" s="1"/>
  <c r="G402" i="135" s="1"/>
  <c r="D401" i="135"/>
  <c r="E401" i="135" s="1"/>
  <c r="F401" i="135" s="1"/>
  <c r="G401" i="135" s="1"/>
  <c r="D400" i="135"/>
  <c r="E400" i="135" s="1"/>
  <c r="F400" i="135" s="1"/>
  <c r="G400" i="135" s="1"/>
  <c r="D399" i="135"/>
  <c r="E399" i="135" s="1"/>
  <c r="F399" i="135" s="1"/>
  <c r="G399" i="135" s="1"/>
  <c r="D398" i="135"/>
  <c r="E398" i="135" s="1"/>
  <c r="F398" i="135" s="1"/>
  <c r="G398" i="135" s="1"/>
  <c r="D397" i="135"/>
  <c r="E397" i="135" s="1"/>
  <c r="F397" i="135" s="1"/>
  <c r="G397" i="135" s="1"/>
  <c r="D396" i="135"/>
  <c r="E396" i="135" s="1"/>
  <c r="F396" i="135" s="1"/>
  <c r="G396" i="135" s="1"/>
  <c r="D395" i="135"/>
  <c r="E395" i="135" s="1"/>
  <c r="F395" i="135" s="1"/>
  <c r="G395" i="135" s="1"/>
  <c r="D394" i="135"/>
  <c r="E394" i="135" s="1"/>
  <c r="F394" i="135" s="1"/>
  <c r="G394" i="135" s="1"/>
  <c r="D393" i="135"/>
  <c r="E393" i="135" s="1"/>
  <c r="F393" i="135" s="1"/>
  <c r="G393" i="135" s="1"/>
  <c r="D392" i="135"/>
  <c r="E392" i="135" s="1"/>
  <c r="F392" i="135" s="1"/>
  <c r="G392" i="135" s="1"/>
  <c r="D391" i="135"/>
  <c r="E391" i="135" s="1"/>
  <c r="F391" i="135" s="1"/>
  <c r="G391" i="135" s="1"/>
  <c r="D390" i="135"/>
  <c r="E390" i="135" s="1"/>
  <c r="F390" i="135" s="1"/>
  <c r="G390" i="135" s="1"/>
  <c r="D389" i="135"/>
  <c r="E389" i="135" s="1"/>
  <c r="F389" i="135" s="1"/>
  <c r="G389" i="135" s="1"/>
  <c r="D388" i="135"/>
  <c r="E388" i="135" s="1"/>
  <c r="F388" i="135" s="1"/>
  <c r="G388" i="135" s="1"/>
  <c r="D387" i="135"/>
  <c r="E387" i="135" s="1"/>
  <c r="F387" i="135" s="1"/>
  <c r="G387" i="135" s="1"/>
  <c r="D386" i="135"/>
  <c r="E386" i="135" s="1"/>
  <c r="F386" i="135" s="1"/>
  <c r="G386" i="135" s="1"/>
  <c r="D385" i="135"/>
  <c r="E385" i="135" s="1"/>
  <c r="F385" i="135" s="1"/>
  <c r="G385" i="135" s="1"/>
  <c r="D384" i="135"/>
  <c r="E384" i="135" s="1"/>
  <c r="F384" i="135" s="1"/>
  <c r="G384" i="135" s="1"/>
  <c r="D383" i="135"/>
  <c r="E383" i="135" s="1"/>
  <c r="F383" i="135" s="1"/>
  <c r="G383" i="135" s="1"/>
  <c r="D382" i="135"/>
  <c r="E382" i="135" s="1"/>
  <c r="F382" i="135" s="1"/>
  <c r="G382" i="135" s="1"/>
  <c r="D381" i="135"/>
  <c r="E381" i="135" s="1"/>
  <c r="F381" i="135" s="1"/>
  <c r="G381" i="135" s="1"/>
  <c r="D380" i="135"/>
  <c r="E380" i="135" s="1"/>
  <c r="F380" i="135" s="1"/>
  <c r="G380" i="135" s="1"/>
  <c r="D379" i="135"/>
  <c r="E379" i="135" s="1"/>
  <c r="F379" i="135" s="1"/>
  <c r="G379" i="135" s="1"/>
  <c r="D378" i="135"/>
  <c r="E378" i="135" s="1"/>
  <c r="F378" i="135" s="1"/>
  <c r="G378" i="135" s="1"/>
  <c r="D377" i="135"/>
  <c r="E377" i="135" s="1"/>
  <c r="F377" i="135" s="1"/>
  <c r="G377" i="135" s="1"/>
  <c r="D376" i="135"/>
  <c r="E376" i="135" s="1"/>
  <c r="F376" i="135" s="1"/>
  <c r="G376" i="135" s="1"/>
  <c r="D375" i="135"/>
  <c r="E375" i="135" s="1"/>
  <c r="F375" i="135" s="1"/>
  <c r="G375" i="135" s="1"/>
  <c r="D374" i="135"/>
  <c r="E374" i="135" s="1"/>
  <c r="F374" i="135" s="1"/>
  <c r="G374" i="135" s="1"/>
  <c r="D373" i="135"/>
  <c r="E373" i="135" s="1"/>
  <c r="F373" i="135" s="1"/>
  <c r="G373" i="135" s="1"/>
  <c r="D372" i="135"/>
  <c r="E372" i="135" s="1"/>
  <c r="F372" i="135" s="1"/>
  <c r="G372" i="135" s="1"/>
  <c r="D371" i="135"/>
  <c r="E371" i="135" s="1"/>
  <c r="F371" i="135" s="1"/>
  <c r="G371" i="135" s="1"/>
  <c r="D370" i="135"/>
  <c r="E370" i="135" s="1"/>
  <c r="F370" i="135" s="1"/>
  <c r="G370" i="135" s="1"/>
  <c r="D369" i="135"/>
  <c r="E369" i="135" s="1"/>
  <c r="F369" i="135" s="1"/>
  <c r="G369" i="135" s="1"/>
  <c r="D368" i="135"/>
  <c r="E368" i="135" s="1"/>
  <c r="F368" i="135" s="1"/>
  <c r="G368" i="135" s="1"/>
  <c r="D367" i="135"/>
  <c r="E367" i="135" s="1"/>
  <c r="F367" i="135" s="1"/>
  <c r="G367" i="135" s="1"/>
  <c r="D366" i="135"/>
  <c r="E366" i="135" s="1"/>
  <c r="F366" i="135" s="1"/>
  <c r="G366" i="135" s="1"/>
  <c r="D365" i="135"/>
  <c r="E365" i="135" s="1"/>
  <c r="F365" i="135" s="1"/>
  <c r="G365" i="135" s="1"/>
  <c r="D364" i="135"/>
  <c r="E364" i="135" s="1"/>
  <c r="F364" i="135" s="1"/>
  <c r="G364" i="135" s="1"/>
  <c r="D363" i="135"/>
  <c r="E363" i="135" s="1"/>
  <c r="F363" i="135" s="1"/>
  <c r="G363" i="135" s="1"/>
  <c r="D362" i="135"/>
  <c r="E362" i="135" s="1"/>
  <c r="F362" i="135" s="1"/>
  <c r="G362" i="135" s="1"/>
  <c r="D361" i="135"/>
  <c r="E361" i="135" s="1"/>
  <c r="F361" i="135" s="1"/>
  <c r="G361" i="135" s="1"/>
  <c r="D360" i="135"/>
  <c r="E360" i="135" s="1"/>
  <c r="F360" i="135" s="1"/>
  <c r="G360" i="135" s="1"/>
  <c r="D359" i="135"/>
  <c r="E359" i="135" s="1"/>
  <c r="F359" i="135" s="1"/>
  <c r="G359" i="135" s="1"/>
  <c r="D358" i="135"/>
  <c r="E358" i="135" s="1"/>
  <c r="F358" i="135" s="1"/>
  <c r="G358" i="135" s="1"/>
  <c r="D357" i="135"/>
  <c r="E357" i="135" s="1"/>
  <c r="F357" i="135" s="1"/>
  <c r="G357" i="135" s="1"/>
  <c r="D356" i="135"/>
  <c r="E356" i="135" s="1"/>
  <c r="F356" i="135" s="1"/>
  <c r="G356" i="135" s="1"/>
  <c r="D355" i="135"/>
  <c r="E355" i="135" s="1"/>
  <c r="F355" i="135" s="1"/>
  <c r="G355" i="135" s="1"/>
  <c r="D354" i="135"/>
  <c r="E354" i="135" s="1"/>
  <c r="F354" i="135" s="1"/>
  <c r="G354" i="135" s="1"/>
  <c r="D353" i="135"/>
  <c r="E353" i="135" s="1"/>
  <c r="F353" i="135" s="1"/>
  <c r="G353" i="135" s="1"/>
  <c r="D352" i="135"/>
  <c r="E352" i="135" s="1"/>
  <c r="F352" i="135" s="1"/>
  <c r="G352" i="135" s="1"/>
  <c r="D351" i="135"/>
  <c r="E351" i="135" s="1"/>
  <c r="F351" i="135" s="1"/>
  <c r="G351" i="135" s="1"/>
  <c r="D350" i="135"/>
  <c r="E350" i="135" s="1"/>
  <c r="F350" i="135" s="1"/>
  <c r="G350" i="135" s="1"/>
  <c r="D349" i="135"/>
  <c r="E349" i="135" s="1"/>
  <c r="F349" i="135" s="1"/>
  <c r="G349" i="135" s="1"/>
  <c r="D348" i="135"/>
  <c r="E348" i="135" s="1"/>
  <c r="F348" i="135" s="1"/>
  <c r="G348" i="135" s="1"/>
  <c r="D347" i="135"/>
  <c r="E347" i="135" s="1"/>
  <c r="F347" i="135" s="1"/>
  <c r="G347" i="135" s="1"/>
  <c r="D346" i="135"/>
  <c r="E346" i="135" s="1"/>
  <c r="F346" i="135" s="1"/>
  <c r="G346" i="135" s="1"/>
  <c r="D345" i="135"/>
  <c r="E345" i="135" s="1"/>
  <c r="F345" i="135" s="1"/>
  <c r="G345" i="135" s="1"/>
  <c r="D344" i="135"/>
  <c r="E344" i="135" s="1"/>
  <c r="F344" i="135" s="1"/>
  <c r="G344" i="135" s="1"/>
  <c r="D343" i="135"/>
  <c r="E343" i="135" s="1"/>
  <c r="F343" i="135" s="1"/>
  <c r="G343" i="135" s="1"/>
  <c r="D342" i="135"/>
  <c r="E342" i="135" s="1"/>
  <c r="F342" i="135" s="1"/>
  <c r="G342" i="135" s="1"/>
  <c r="D341" i="135"/>
  <c r="E341" i="135" s="1"/>
  <c r="F341" i="135" s="1"/>
  <c r="G341" i="135" s="1"/>
  <c r="D340" i="135"/>
  <c r="E340" i="135" s="1"/>
  <c r="F340" i="135" s="1"/>
  <c r="G340" i="135" s="1"/>
  <c r="D339" i="135"/>
  <c r="E339" i="135" s="1"/>
  <c r="F339" i="135" s="1"/>
  <c r="G339" i="135" s="1"/>
  <c r="D338" i="135"/>
  <c r="E338" i="135" s="1"/>
  <c r="F338" i="135" s="1"/>
  <c r="G338" i="135" s="1"/>
  <c r="D337" i="135"/>
  <c r="E337" i="135" s="1"/>
  <c r="F337" i="135" s="1"/>
  <c r="G337" i="135" s="1"/>
  <c r="D336" i="135"/>
  <c r="E336" i="135" s="1"/>
  <c r="F336" i="135" s="1"/>
  <c r="G336" i="135" s="1"/>
  <c r="D335" i="135"/>
  <c r="E335" i="135" s="1"/>
  <c r="F335" i="135" s="1"/>
  <c r="G335" i="135" s="1"/>
  <c r="D334" i="135"/>
  <c r="E334" i="135" s="1"/>
  <c r="F334" i="135" s="1"/>
  <c r="G334" i="135" s="1"/>
  <c r="D333" i="135"/>
  <c r="E333" i="135" s="1"/>
  <c r="F333" i="135" s="1"/>
  <c r="G333" i="135" s="1"/>
  <c r="D332" i="135"/>
  <c r="E332" i="135" s="1"/>
  <c r="F332" i="135" s="1"/>
  <c r="G332" i="135" s="1"/>
  <c r="D331" i="135"/>
  <c r="E331" i="135" s="1"/>
  <c r="F331" i="135" s="1"/>
  <c r="G331" i="135" s="1"/>
  <c r="D330" i="135"/>
  <c r="E330" i="135" s="1"/>
  <c r="F330" i="135" s="1"/>
  <c r="G330" i="135" s="1"/>
  <c r="D329" i="135"/>
  <c r="E329" i="135" s="1"/>
  <c r="F329" i="135" s="1"/>
  <c r="G329" i="135" s="1"/>
  <c r="D328" i="135"/>
  <c r="E328" i="135" s="1"/>
  <c r="F328" i="135" s="1"/>
  <c r="G328" i="135" s="1"/>
  <c r="D327" i="135"/>
  <c r="E327" i="135" s="1"/>
  <c r="F327" i="135" s="1"/>
  <c r="G327" i="135" s="1"/>
  <c r="D326" i="135"/>
  <c r="E326" i="135" s="1"/>
  <c r="F326" i="135" s="1"/>
  <c r="G326" i="135" s="1"/>
  <c r="D325" i="135"/>
  <c r="E325" i="135" s="1"/>
  <c r="F325" i="135" s="1"/>
  <c r="G325" i="135" s="1"/>
  <c r="D324" i="135"/>
  <c r="E324" i="135" s="1"/>
  <c r="F324" i="135" s="1"/>
  <c r="G324" i="135" s="1"/>
  <c r="D323" i="135"/>
  <c r="E323" i="135" s="1"/>
  <c r="F323" i="135" s="1"/>
  <c r="G323" i="135" s="1"/>
  <c r="D322" i="135"/>
  <c r="E322" i="135" s="1"/>
  <c r="F322" i="135" s="1"/>
  <c r="G322" i="135" s="1"/>
  <c r="D321" i="135"/>
  <c r="E321" i="135" s="1"/>
  <c r="F321" i="135" s="1"/>
  <c r="G321" i="135" s="1"/>
  <c r="D320" i="135"/>
  <c r="E320" i="135" s="1"/>
  <c r="F320" i="135" s="1"/>
  <c r="G320" i="135" s="1"/>
  <c r="D319" i="135"/>
  <c r="E319" i="135" s="1"/>
  <c r="F319" i="135" s="1"/>
  <c r="G319" i="135" s="1"/>
  <c r="D318" i="135"/>
  <c r="E318" i="135" s="1"/>
  <c r="F318" i="135" s="1"/>
  <c r="G318" i="135" s="1"/>
  <c r="D317" i="135"/>
  <c r="E317" i="135" s="1"/>
  <c r="F317" i="135" s="1"/>
  <c r="G317" i="135" s="1"/>
  <c r="D316" i="135"/>
  <c r="E316" i="135" s="1"/>
  <c r="F316" i="135" s="1"/>
  <c r="G316" i="135" s="1"/>
  <c r="D315" i="135"/>
  <c r="E315" i="135" s="1"/>
  <c r="F315" i="135" s="1"/>
  <c r="G315" i="135" s="1"/>
  <c r="D314" i="135"/>
  <c r="E314" i="135" s="1"/>
  <c r="F314" i="135" s="1"/>
  <c r="G314" i="135" s="1"/>
  <c r="D313" i="135"/>
  <c r="E313" i="135" s="1"/>
  <c r="F313" i="135" s="1"/>
  <c r="G313" i="135" s="1"/>
  <c r="D312" i="135"/>
  <c r="E312" i="135" s="1"/>
  <c r="F312" i="135" s="1"/>
  <c r="G312" i="135" s="1"/>
  <c r="D311" i="135"/>
  <c r="E311" i="135" s="1"/>
  <c r="F311" i="135" s="1"/>
  <c r="G311" i="135" s="1"/>
  <c r="D310" i="135"/>
  <c r="E310" i="135" s="1"/>
  <c r="F310" i="135" s="1"/>
  <c r="G310" i="135" s="1"/>
  <c r="D309" i="135"/>
  <c r="E309" i="135" s="1"/>
  <c r="F309" i="135" s="1"/>
  <c r="G309" i="135" s="1"/>
  <c r="D308" i="135"/>
  <c r="E308" i="135" s="1"/>
  <c r="F308" i="135" s="1"/>
  <c r="G308" i="135" s="1"/>
  <c r="D287" i="135"/>
  <c r="E287" i="135" s="1"/>
  <c r="F287" i="135" s="1"/>
  <c r="G287" i="135" s="1"/>
  <c r="S279" i="135"/>
  <c r="S280" i="135"/>
  <c r="S281" i="135"/>
  <c r="S282" i="135"/>
  <c r="S283" i="135"/>
  <c r="S284" i="135"/>
  <c r="S285" i="135"/>
  <c r="S286" i="135"/>
  <c r="D286" i="135"/>
  <c r="E286" i="135" s="1"/>
  <c r="F286" i="135" s="1"/>
  <c r="G286" i="135" s="1"/>
  <c r="D285" i="135"/>
  <c r="E285" i="135" s="1"/>
  <c r="F285" i="135" s="1"/>
  <c r="G285" i="135" s="1"/>
  <c r="D284" i="135"/>
  <c r="E284" i="135" s="1"/>
  <c r="F284" i="135" s="1"/>
  <c r="G284" i="135" s="1"/>
  <c r="D283" i="135"/>
  <c r="E283" i="135" s="1"/>
  <c r="F283" i="135" s="1"/>
  <c r="G283" i="135" s="1"/>
  <c r="D282" i="135"/>
  <c r="E282" i="135" s="1"/>
  <c r="F282" i="135" s="1"/>
  <c r="G282" i="135" s="1"/>
  <c r="D281" i="135"/>
  <c r="E281" i="135" s="1"/>
  <c r="F281" i="135" s="1"/>
  <c r="G281" i="135" s="1"/>
  <c r="D280" i="135"/>
  <c r="E280" i="135" s="1"/>
  <c r="F280" i="135" s="1"/>
  <c r="G280" i="135" s="1"/>
  <c r="AH289" i="112"/>
  <c r="AS288" i="112"/>
  <c r="D279" i="135"/>
  <c r="E279" i="135" s="1"/>
  <c r="F279" i="135" s="1"/>
  <c r="G279" i="135" s="1"/>
  <c r="S272" i="135"/>
  <c r="S273" i="135"/>
  <c r="S274" i="135"/>
  <c r="S275" i="135"/>
  <c r="S276" i="135"/>
  <c r="S277" i="135"/>
  <c r="S278" i="135"/>
  <c r="D278" i="135"/>
  <c r="E278" i="135" s="1"/>
  <c r="F278" i="135" s="1"/>
  <c r="G278" i="135" s="1"/>
  <c r="D277" i="135"/>
  <c r="E277" i="135" s="1"/>
  <c r="F277" i="135" s="1"/>
  <c r="G277" i="135" s="1"/>
  <c r="D276" i="135"/>
  <c r="E276" i="135" s="1"/>
  <c r="F276" i="135" s="1"/>
  <c r="G276" i="135" s="1"/>
  <c r="D275" i="135"/>
  <c r="E275" i="135" s="1"/>
  <c r="F275" i="135" s="1"/>
  <c r="G275" i="135" s="1"/>
  <c r="D274" i="135"/>
  <c r="E274" i="135" s="1"/>
  <c r="F274" i="135" s="1"/>
  <c r="G274" i="135" s="1"/>
  <c r="DN271" i="112"/>
  <c r="AG212" i="135"/>
  <c r="AG213" i="135"/>
  <c r="AG214" i="135"/>
  <c r="AG215" i="135"/>
  <c r="AG216" i="135"/>
  <c r="AG217" i="135"/>
  <c r="AG218" i="135"/>
  <c r="AG219" i="135"/>
  <c r="AG220" i="135"/>
  <c r="AG221" i="135"/>
  <c r="AG222" i="135"/>
  <c r="AG223" i="135"/>
  <c r="D271" i="135"/>
  <c r="E271" i="135" s="1"/>
  <c r="F271" i="135" s="1"/>
  <c r="G271" i="135" s="1"/>
  <c r="D225" i="135"/>
  <c r="E225" i="135" s="1"/>
  <c r="F225" i="135" s="1"/>
  <c r="G225" i="135" s="1"/>
  <c r="D226" i="135"/>
  <c r="E226" i="135" s="1"/>
  <c r="F226" i="135" s="1"/>
  <c r="G226" i="135" s="1"/>
  <c r="D227" i="135"/>
  <c r="E227" i="135" s="1"/>
  <c r="F227" i="135" s="1"/>
  <c r="G227" i="135" s="1"/>
  <c r="D228" i="135"/>
  <c r="E228" i="135" s="1"/>
  <c r="F228" i="135" s="1"/>
  <c r="G228" i="135" s="1"/>
  <c r="D229" i="135"/>
  <c r="E229" i="135" s="1"/>
  <c r="F229" i="135" s="1"/>
  <c r="G229" i="135" s="1"/>
  <c r="D230" i="135"/>
  <c r="E230" i="135" s="1"/>
  <c r="F230" i="135" s="1"/>
  <c r="G230" i="135" s="1"/>
  <c r="D231" i="135"/>
  <c r="E231" i="135" s="1"/>
  <c r="F231" i="135" s="1"/>
  <c r="G231" i="135" s="1"/>
  <c r="D232" i="135"/>
  <c r="E232" i="135" s="1"/>
  <c r="F232" i="135" s="1"/>
  <c r="G232" i="135" s="1"/>
  <c r="D233" i="135"/>
  <c r="E233" i="135" s="1"/>
  <c r="F233" i="135" s="1"/>
  <c r="G233" i="135" s="1"/>
  <c r="D234" i="135"/>
  <c r="E234" i="135" s="1"/>
  <c r="F234" i="135" s="1"/>
  <c r="G234" i="135" s="1"/>
  <c r="D235" i="135"/>
  <c r="E235" i="135" s="1"/>
  <c r="F235" i="135" s="1"/>
  <c r="G235" i="135" s="1"/>
  <c r="D236" i="135"/>
  <c r="E236" i="135" s="1"/>
  <c r="F236" i="135" s="1"/>
  <c r="G236" i="135" s="1"/>
  <c r="D237" i="135"/>
  <c r="E237" i="135" s="1"/>
  <c r="F237" i="135" s="1"/>
  <c r="G237" i="135" s="1"/>
  <c r="D238" i="135"/>
  <c r="E238" i="135" s="1"/>
  <c r="F238" i="135" s="1"/>
  <c r="G238" i="135" s="1"/>
  <c r="D239" i="135"/>
  <c r="E239" i="135" s="1"/>
  <c r="F239" i="135" s="1"/>
  <c r="G239" i="135" s="1"/>
  <c r="D240" i="135"/>
  <c r="E240" i="135" s="1"/>
  <c r="F240" i="135" s="1"/>
  <c r="G240" i="135" s="1"/>
  <c r="D241" i="135"/>
  <c r="E241" i="135" s="1"/>
  <c r="F241" i="135" s="1"/>
  <c r="G241" i="135" s="1"/>
  <c r="D242" i="135"/>
  <c r="E242" i="135" s="1"/>
  <c r="F242" i="135" s="1"/>
  <c r="G242" i="135" s="1"/>
  <c r="D243" i="135"/>
  <c r="E243" i="135" s="1"/>
  <c r="F243" i="135" s="1"/>
  <c r="G243" i="135" s="1"/>
  <c r="D244" i="135"/>
  <c r="E244" i="135" s="1"/>
  <c r="F244" i="135" s="1"/>
  <c r="G244" i="135" s="1"/>
  <c r="D245" i="135"/>
  <c r="E245" i="135" s="1"/>
  <c r="F245" i="135" s="1"/>
  <c r="G245" i="135" s="1"/>
  <c r="D246" i="135"/>
  <c r="E246" i="135" s="1"/>
  <c r="F246" i="135" s="1"/>
  <c r="G246" i="135" s="1"/>
  <c r="D247" i="135"/>
  <c r="E247" i="135" s="1"/>
  <c r="F247" i="135" s="1"/>
  <c r="G247" i="135" s="1"/>
  <c r="D248" i="135"/>
  <c r="E248" i="135" s="1"/>
  <c r="F248" i="135" s="1"/>
  <c r="G248" i="135" s="1"/>
  <c r="D249" i="135"/>
  <c r="E249" i="135" s="1"/>
  <c r="F249" i="135" s="1"/>
  <c r="G249" i="135" s="1"/>
  <c r="D250" i="135"/>
  <c r="E250" i="135" s="1"/>
  <c r="F250" i="135" s="1"/>
  <c r="G250" i="135" s="1"/>
  <c r="D251" i="135"/>
  <c r="E251" i="135" s="1"/>
  <c r="F251" i="135" s="1"/>
  <c r="G251" i="135" s="1"/>
  <c r="D252" i="135"/>
  <c r="E252" i="135" s="1"/>
  <c r="F252" i="135" s="1"/>
  <c r="G252" i="135" s="1"/>
  <c r="D253" i="135"/>
  <c r="E253" i="135" s="1"/>
  <c r="F253" i="135" s="1"/>
  <c r="G253" i="135" s="1"/>
  <c r="D254" i="135"/>
  <c r="E254" i="135" s="1"/>
  <c r="F254" i="135" s="1"/>
  <c r="G254" i="135" s="1"/>
  <c r="D255" i="135"/>
  <c r="E255" i="135" s="1"/>
  <c r="F255" i="135" s="1"/>
  <c r="G255" i="135" s="1"/>
  <c r="D256" i="135"/>
  <c r="E256" i="135" s="1"/>
  <c r="F256" i="135" s="1"/>
  <c r="G256" i="135" s="1"/>
  <c r="D257" i="135"/>
  <c r="E257" i="135" s="1"/>
  <c r="F257" i="135" s="1"/>
  <c r="G257" i="135" s="1"/>
  <c r="D258" i="135"/>
  <c r="E258" i="135" s="1"/>
  <c r="F258" i="135" s="1"/>
  <c r="G258" i="135" s="1"/>
  <c r="D259" i="135"/>
  <c r="E259" i="135" s="1"/>
  <c r="F259" i="135" s="1"/>
  <c r="G259" i="135" s="1"/>
  <c r="D260" i="135"/>
  <c r="E260" i="135" s="1"/>
  <c r="F260" i="135" s="1"/>
  <c r="G260" i="135" s="1"/>
  <c r="D261" i="135"/>
  <c r="E261" i="135" s="1"/>
  <c r="F261" i="135" s="1"/>
  <c r="G261" i="135" s="1"/>
  <c r="D262" i="135"/>
  <c r="E262" i="135" s="1"/>
  <c r="F262" i="135" s="1"/>
  <c r="G262" i="135" s="1"/>
  <c r="D263" i="135"/>
  <c r="E263" i="135" s="1"/>
  <c r="F263" i="135" s="1"/>
  <c r="G263" i="135" s="1"/>
  <c r="D264" i="135"/>
  <c r="E264" i="135" s="1"/>
  <c r="F264" i="135" s="1"/>
  <c r="G264" i="135" s="1"/>
  <c r="D265" i="135"/>
  <c r="E265" i="135" s="1"/>
  <c r="F265" i="135" s="1"/>
  <c r="G265" i="135" s="1"/>
  <c r="D266" i="135"/>
  <c r="E266" i="135" s="1"/>
  <c r="F266" i="135" s="1"/>
  <c r="G266" i="135" s="1"/>
  <c r="D267" i="135"/>
  <c r="E267" i="135" s="1"/>
  <c r="F267" i="135" s="1"/>
  <c r="G267" i="135" s="1"/>
  <c r="D268" i="135"/>
  <c r="E268" i="135" s="1"/>
  <c r="F268" i="135" s="1"/>
  <c r="G268" i="135" s="1"/>
  <c r="D269" i="135"/>
  <c r="E269" i="135" s="1"/>
  <c r="F269" i="135" s="1"/>
  <c r="G269" i="135" s="1"/>
  <c r="D270" i="135"/>
  <c r="E270" i="135" s="1"/>
  <c r="F270" i="135" s="1"/>
  <c r="G270" i="135" s="1"/>
  <c r="D224" i="135"/>
  <c r="E224" i="135" s="1"/>
  <c r="F224" i="135" s="1"/>
  <c r="G224" i="135" s="1"/>
  <c r="S224" i="135"/>
  <c r="AG224" i="135"/>
  <c r="S225" i="135"/>
  <c r="AG225" i="135"/>
  <c r="S226" i="135"/>
  <c r="AG226" i="135"/>
  <c r="S227" i="135"/>
  <c r="AG227" i="135"/>
  <c r="S228" i="135"/>
  <c r="AG228" i="135"/>
  <c r="S229" i="135"/>
  <c r="AG229" i="135"/>
  <c r="S230" i="135"/>
  <c r="AG230" i="135"/>
  <c r="S231" i="135"/>
  <c r="AG231" i="135"/>
  <c r="S232" i="135"/>
  <c r="AG232" i="135"/>
  <c r="S233" i="135"/>
  <c r="AG233" i="135"/>
  <c r="S234" i="135"/>
  <c r="AG234" i="135"/>
  <c r="S235" i="135"/>
  <c r="AG235" i="135"/>
  <c r="S236" i="135"/>
  <c r="AG236" i="135"/>
  <c r="S237" i="135"/>
  <c r="AG237" i="135"/>
  <c r="S238" i="135"/>
  <c r="AG238" i="135"/>
  <c r="S239" i="135"/>
  <c r="AG239" i="135"/>
  <c r="S240" i="135"/>
  <c r="AG240" i="135"/>
  <c r="S241" i="135"/>
  <c r="AG241" i="135"/>
  <c r="S242" i="135"/>
  <c r="AG242" i="135"/>
  <c r="S243" i="135"/>
  <c r="AG243" i="135"/>
  <c r="S244" i="135"/>
  <c r="AG244" i="135"/>
  <c r="S245" i="135"/>
  <c r="AG245" i="135"/>
  <c r="S246" i="135"/>
  <c r="AG246" i="135"/>
  <c r="S247" i="135"/>
  <c r="AG247" i="135"/>
  <c r="S248" i="135"/>
  <c r="AG248" i="135"/>
  <c r="S249" i="135"/>
  <c r="AG249" i="135"/>
  <c r="S250" i="135"/>
  <c r="AG250" i="135"/>
  <c r="S251" i="135"/>
  <c r="AG251" i="135"/>
  <c r="AG252" i="135"/>
  <c r="AG253" i="135"/>
  <c r="AG254" i="135"/>
  <c r="AG255" i="135"/>
  <c r="AG256" i="135"/>
  <c r="AG257" i="135"/>
  <c r="AG258" i="135"/>
  <c r="AG259" i="135"/>
  <c r="AG260" i="135"/>
  <c r="AG261" i="135"/>
  <c r="AG262" i="135"/>
  <c r="AG263" i="135"/>
  <c r="AG264" i="135"/>
  <c r="AG265" i="135"/>
  <c r="AG266" i="135"/>
  <c r="AG267" i="135"/>
  <c r="AG268" i="135"/>
  <c r="AG269" i="135"/>
  <c r="AG270" i="135"/>
  <c r="A2" i="142" l="1" a="1"/>
  <c r="A2" i="142" s="1"/>
  <c r="S223" i="135"/>
  <c r="S222" i="135"/>
  <c r="S221" i="135"/>
  <c r="S220" i="135"/>
  <c r="S219" i="135"/>
  <c r="S218" i="135"/>
  <c r="S217" i="135"/>
  <c r="S216" i="135"/>
  <c r="S215" i="135"/>
  <c r="S214" i="135"/>
  <c r="S213" i="135"/>
  <c r="S212" i="135"/>
  <c r="EP244" i="112"/>
  <c r="EO244" i="112"/>
  <c r="EN244" i="112"/>
  <c r="EG244" i="112"/>
  <c r="EF244" i="112"/>
  <c r="EE244" i="112"/>
  <c r="AG202" i="135"/>
  <c r="AG203" i="135"/>
  <c r="AG204" i="135"/>
  <c r="AG205" i="135"/>
  <c r="AG206" i="135"/>
  <c r="AG207" i="135"/>
  <c r="AG208" i="135"/>
  <c r="AG209" i="135"/>
  <c r="AG210" i="135"/>
  <c r="AG211" i="135"/>
  <c r="D196" i="135"/>
  <c r="E196" i="135" s="1"/>
  <c r="F196" i="135" s="1"/>
  <c r="G196" i="135" s="1"/>
  <c r="S196" i="135"/>
  <c r="AG196" i="135"/>
  <c r="D197" i="135"/>
  <c r="E197" i="135" s="1"/>
  <c r="F197" i="135" s="1"/>
  <c r="G197" i="135" s="1"/>
  <c r="S197" i="135"/>
  <c r="AG197" i="135"/>
  <c r="D198" i="135"/>
  <c r="E198" i="135" s="1"/>
  <c r="F198" i="135" s="1"/>
  <c r="G198" i="135" s="1"/>
  <c r="S198" i="135"/>
  <c r="AG198" i="135"/>
  <c r="D199" i="135"/>
  <c r="E199" i="135" s="1"/>
  <c r="F199" i="135" s="1"/>
  <c r="G199" i="135" s="1"/>
  <c r="S199" i="135"/>
  <c r="AG199" i="135"/>
  <c r="D200" i="135"/>
  <c r="E200" i="135" s="1"/>
  <c r="F200" i="135" s="1"/>
  <c r="G200" i="135" s="1"/>
  <c r="S200" i="135"/>
  <c r="AG200" i="135"/>
  <c r="D201" i="135"/>
  <c r="E201" i="135" s="1"/>
  <c r="F201" i="135" s="1"/>
  <c r="G201" i="135" s="1"/>
  <c r="S201" i="135"/>
  <c r="AG201" i="135"/>
  <c r="S211" i="135"/>
  <c r="S210" i="135"/>
  <c r="S209" i="135"/>
  <c r="S208" i="135"/>
  <c r="S207" i="135"/>
  <c r="S206" i="135"/>
  <c r="S205" i="135"/>
  <c r="S204" i="135"/>
  <c r="S203" i="135"/>
  <c r="S202" i="135"/>
  <c r="S169" i="135"/>
  <c r="S168" i="135"/>
  <c r="D195" i="135"/>
  <c r="D194" i="135"/>
  <c r="D193" i="135"/>
  <c r="D192" i="135"/>
  <c r="D191" i="135"/>
  <c r="D190" i="135"/>
  <c r="D189" i="135"/>
  <c r="D188" i="135"/>
  <c r="D187" i="135"/>
  <c r="D186" i="135"/>
  <c r="D185" i="135"/>
  <c r="D184" i="135"/>
  <c r="D183" i="135"/>
  <c r="D182" i="135"/>
  <c r="D181" i="135"/>
  <c r="D180" i="135"/>
  <c r="D179" i="135"/>
  <c r="D178" i="135"/>
  <c r="D177" i="135"/>
  <c r="D176" i="135"/>
  <c r="D175" i="135"/>
  <c r="D174" i="135"/>
  <c r="D173" i="135"/>
  <c r="D172" i="135"/>
  <c r="DR236" i="112"/>
  <c r="DS236" i="112"/>
  <c r="AV236" i="112"/>
  <c r="D217" i="135" l="1"/>
  <c r="E217" i="135" s="1"/>
  <c r="F217" i="135" s="1"/>
  <c r="G217" i="135" s="1"/>
  <c r="D71" i="139"/>
  <c r="E71" i="139" s="1"/>
  <c r="F71" i="139" s="1"/>
  <c r="G71" i="139" s="1"/>
  <c r="D221" i="135"/>
  <c r="E221" i="135" s="1"/>
  <c r="F221" i="135" s="1"/>
  <c r="G221" i="135" s="1"/>
  <c r="D75" i="139"/>
  <c r="E75" i="139" s="1"/>
  <c r="F75" i="139" s="1"/>
  <c r="G75" i="139" s="1"/>
  <c r="D222" i="135"/>
  <c r="E222" i="135" s="1"/>
  <c r="F222" i="135" s="1"/>
  <c r="G222" i="135" s="1"/>
  <c r="D76" i="139"/>
  <c r="E76" i="139" s="1"/>
  <c r="F76" i="139" s="1"/>
  <c r="G76" i="139" s="1"/>
  <c r="D223" i="135"/>
  <c r="E223" i="135" s="1"/>
  <c r="F223" i="135" s="1"/>
  <c r="G223" i="135" s="1"/>
  <c r="D77" i="139"/>
  <c r="E77" i="139" s="1"/>
  <c r="F77" i="139" s="1"/>
  <c r="G77" i="139" s="1"/>
  <c r="D215" i="135"/>
  <c r="E215" i="135" s="1"/>
  <c r="F215" i="135" s="1"/>
  <c r="G215" i="135" s="1"/>
  <c r="D69" i="139"/>
  <c r="E69" i="139" s="1"/>
  <c r="F69" i="139" s="1"/>
  <c r="G69" i="139" s="1"/>
  <c r="D216" i="135"/>
  <c r="E216" i="135" s="1"/>
  <c r="F216" i="135" s="1"/>
  <c r="G216" i="135" s="1"/>
  <c r="D70" i="139"/>
  <c r="E70" i="139" s="1"/>
  <c r="F70" i="139" s="1"/>
  <c r="G70" i="139" s="1"/>
  <c r="D171" i="135" l="1"/>
  <c r="AG168" i="135"/>
  <c r="AG169" i="135"/>
  <c r="DP210" i="112"/>
  <c r="DO210" i="112"/>
  <c r="DO209" i="112"/>
  <c r="D169" i="135" l="1"/>
  <c r="E169" i="135" s="1"/>
  <c r="F169" i="135" s="1"/>
  <c r="G169" i="135" s="1"/>
  <c r="D55" i="139"/>
  <c r="E55" i="139" s="1"/>
  <c r="F55" i="139" s="1"/>
  <c r="G55" i="139" s="1"/>
  <c r="D168" i="135"/>
  <c r="E168" i="135" s="1"/>
  <c r="F168" i="135" s="1"/>
  <c r="G168" i="135" s="1"/>
  <c r="D54" i="139"/>
  <c r="E54" i="139" s="1"/>
  <c r="F54" i="139" s="1"/>
  <c r="G54" i="139" s="1"/>
  <c r="S164" i="135"/>
  <c r="S163" i="135"/>
  <c r="S153" i="135"/>
  <c r="AG163" i="135" l="1"/>
  <c r="AG153" i="135"/>
  <c r="D170" i="135"/>
  <c r="D167" i="135"/>
  <c r="DN196" i="112"/>
  <c r="DW195" i="112"/>
  <c r="D146" i="135" s="1"/>
  <c r="AG142" i="135"/>
  <c r="AG132" i="135"/>
  <c r="D145" i="135"/>
  <c r="D144" i="135"/>
  <c r="D143" i="135"/>
  <c r="D141" i="135"/>
  <c r="D140" i="135"/>
  <c r="D139" i="135"/>
  <c r="D138" i="135"/>
  <c r="D137" i="135"/>
  <c r="D136" i="135"/>
  <c r="D135" i="135"/>
  <c r="D134" i="135"/>
  <c r="D133" i="135"/>
  <c r="D131" i="135"/>
  <c r="D130" i="135"/>
  <c r="D129" i="135"/>
  <c r="D128" i="135"/>
  <c r="D127" i="135"/>
  <c r="D126" i="135"/>
  <c r="D125" i="135"/>
  <c r="E125" i="135" s="1"/>
  <c r="F125" i="135" s="1"/>
  <c r="G125" i="135" s="1"/>
  <c r="S125" i="135"/>
  <c r="AG125" i="135"/>
  <c r="D124" i="135"/>
  <c r="D123" i="135"/>
  <c r="D122" i="135"/>
  <c r="D121" i="135"/>
  <c r="D120" i="135"/>
  <c r="D119" i="135"/>
  <c r="D118" i="135"/>
  <c r="D117" i="135"/>
  <c r="D116" i="135"/>
  <c r="D115" i="135"/>
  <c r="D114" i="135"/>
  <c r="D113" i="135"/>
  <c r="D112" i="135"/>
  <c r="D111" i="135"/>
  <c r="D110" i="135"/>
  <c r="D109" i="135"/>
  <c r="D108" i="135"/>
  <c r="D107" i="135"/>
  <c r="D106" i="135"/>
  <c r="D105" i="135"/>
  <c r="D104" i="135"/>
  <c r="D103" i="135"/>
  <c r="D102" i="135"/>
  <c r="D101" i="135"/>
  <c r="DN163" i="112" l="1"/>
  <c r="D100" i="135"/>
  <c r="E100" i="135" s="1"/>
  <c r="F100" i="135" s="1"/>
  <c r="G100" i="135" s="1"/>
  <c r="D99" i="135"/>
  <c r="E99" i="135" s="1"/>
  <c r="F99" i="135" s="1"/>
  <c r="G99" i="135" s="1"/>
  <c r="D98" i="135"/>
  <c r="E98" i="135" s="1"/>
  <c r="F98" i="135" s="1"/>
  <c r="G98" i="135" s="1"/>
  <c r="D97" i="135"/>
  <c r="E97" i="135" s="1"/>
  <c r="F97" i="135" s="1"/>
  <c r="G97" i="135" s="1"/>
  <c r="D96" i="135"/>
  <c r="E96" i="135" s="1"/>
  <c r="F96" i="135" s="1"/>
  <c r="G96" i="135" s="1"/>
  <c r="D95" i="135"/>
  <c r="E95" i="135" s="1"/>
  <c r="F95" i="135" s="1"/>
  <c r="G95" i="135" s="1"/>
  <c r="D94" i="135"/>
  <c r="E94" i="135" s="1"/>
  <c r="F94" i="135" s="1"/>
  <c r="G94" i="135" s="1"/>
  <c r="D93" i="135"/>
  <c r="E93" i="135" s="1"/>
  <c r="F93" i="135" s="1"/>
  <c r="G93" i="135" s="1"/>
  <c r="D92" i="135"/>
  <c r="E92" i="135" s="1"/>
  <c r="F92" i="135" s="1"/>
  <c r="G92" i="135" s="1"/>
  <c r="D89" i="135"/>
  <c r="E89" i="135" s="1"/>
  <c r="F89" i="135" s="1"/>
  <c r="G89" i="135" s="1"/>
  <c r="D90" i="135"/>
  <c r="E90" i="135" s="1"/>
  <c r="F90" i="135" s="1"/>
  <c r="G90" i="135" s="1"/>
  <c r="D91" i="135"/>
  <c r="E91" i="135" s="1"/>
  <c r="F91" i="135" s="1"/>
  <c r="G91" i="135" s="1"/>
  <c r="D88" i="135"/>
  <c r="E88" i="135" s="1"/>
  <c r="F88" i="135" s="1"/>
  <c r="G88" i="135" s="1"/>
  <c r="E101" i="135"/>
  <c r="F101" i="135" s="1"/>
  <c r="G101" i="135" s="1"/>
  <c r="E102" i="135"/>
  <c r="F102" i="135" s="1"/>
  <c r="G102" i="135" s="1"/>
  <c r="E103" i="135"/>
  <c r="F103" i="135" s="1"/>
  <c r="G103" i="135" s="1"/>
  <c r="E104" i="135"/>
  <c r="F104" i="135" s="1"/>
  <c r="G104" i="135" s="1"/>
  <c r="E105" i="135"/>
  <c r="F105" i="135" s="1"/>
  <c r="G105" i="135" s="1"/>
  <c r="E106" i="135"/>
  <c r="F106" i="135" s="1"/>
  <c r="G106" i="135" s="1"/>
  <c r="E107" i="135"/>
  <c r="F107" i="135" s="1"/>
  <c r="G107" i="135" s="1"/>
  <c r="E108" i="135"/>
  <c r="F108" i="135" s="1"/>
  <c r="G108" i="135" s="1"/>
  <c r="E109" i="135"/>
  <c r="F109" i="135" s="1"/>
  <c r="G109" i="135" s="1"/>
  <c r="E110" i="135"/>
  <c r="F110" i="135" s="1"/>
  <c r="G110" i="135" s="1"/>
  <c r="E111" i="135"/>
  <c r="F111" i="135" s="1"/>
  <c r="G111" i="135" s="1"/>
  <c r="E112" i="135"/>
  <c r="F112" i="135" s="1"/>
  <c r="G112" i="135" s="1"/>
  <c r="E113" i="135"/>
  <c r="F113" i="135" s="1"/>
  <c r="G113" i="135" s="1"/>
  <c r="E114" i="135"/>
  <c r="F114" i="135" s="1"/>
  <c r="G114" i="135" s="1"/>
  <c r="E115" i="135"/>
  <c r="F115" i="135" s="1"/>
  <c r="G115" i="135" s="1"/>
  <c r="E116" i="135"/>
  <c r="F116" i="135" s="1"/>
  <c r="G116" i="135" s="1"/>
  <c r="E117" i="135"/>
  <c r="F117" i="135" s="1"/>
  <c r="G117" i="135" s="1"/>
  <c r="E118" i="135"/>
  <c r="F118" i="135" s="1"/>
  <c r="G118" i="135" s="1"/>
  <c r="E119" i="135"/>
  <c r="F119" i="135" s="1"/>
  <c r="G119" i="135" s="1"/>
  <c r="E120" i="135"/>
  <c r="F120" i="135" s="1"/>
  <c r="G120" i="135" s="1"/>
  <c r="E121" i="135"/>
  <c r="F121" i="135" s="1"/>
  <c r="G121" i="135" s="1"/>
  <c r="E122" i="135"/>
  <c r="F122" i="135" s="1"/>
  <c r="G122" i="135" s="1"/>
  <c r="E123" i="135"/>
  <c r="F123" i="135" s="1"/>
  <c r="G123" i="135" s="1"/>
  <c r="E124" i="135"/>
  <c r="F124" i="135" s="1"/>
  <c r="G124" i="135" s="1"/>
  <c r="E126" i="135"/>
  <c r="F126" i="135" s="1"/>
  <c r="G126" i="135" s="1"/>
  <c r="E127" i="135"/>
  <c r="F127" i="135" s="1"/>
  <c r="G127" i="135" s="1"/>
  <c r="E128" i="135"/>
  <c r="F128" i="135" s="1"/>
  <c r="G128" i="135" s="1"/>
  <c r="E129" i="135"/>
  <c r="F129" i="135" s="1"/>
  <c r="G129" i="135" s="1"/>
  <c r="E130" i="135"/>
  <c r="F130" i="135" s="1"/>
  <c r="G130" i="135" s="1"/>
  <c r="E131" i="135"/>
  <c r="F131" i="135" s="1"/>
  <c r="G131" i="135" s="1"/>
  <c r="E133" i="135"/>
  <c r="F133" i="135" s="1"/>
  <c r="G133" i="135" s="1"/>
  <c r="E134" i="135"/>
  <c r="F134" i="135" s="1"/>
  <c r="G134" i="135" s="1"/>
  <c r="E135" i="135"/>
  <c r="F135" i="135" s="1"/>
  <c r="G135" i="135" s="1"/>
  <c r="E136" i="135"/>
  <c r="F136" i="135" s="1"/>
  <c r="G136" i="135" s="1"/>
  <c r="E137" i="135"/>
  <c r="F137" i="135" s="1"/>
  <c r="G137" i="135" s="1"/>
  <c r="E138" i="135"/>
  <c r="F138" i="135" s="1"/>
  <c r="G138" i="135" s="1"/>
  <c r="E139" i="135"/>
  <c r="F139" i="135" s="1"/>
  <c r="G139" i="135" s="1"/>
  <c r="E140" i="135"/>
  <c r="F140" i="135" s="1"/>
  <c r="G140" i="135" s="1"/>
  <c r="E141" i="135"/>
  <c r="F141" i="135" s="1"/>
  <c r="G141" i="135" s="1"/>
  <c r="E143" i="135"/>
  <c r="F143" i="135" s="1"/>
  <c r="G143" i="135" s="1"/>
  <c r="E144" i="135"/>
  <c r="F144" i="135" s="1"/>
  <c r="G144" i="135" s="1"/>
  <c r="E145" i="135"/>
  <c r="F145" i="135" s="1"/>
  <c r="G145" i="135" s="1"/>
  <c r="E146" i="135"/>
  <c r="F146" i="135" s="1"/>
  <c r="G146" i="135" s="1"/>
  <c r="E167" i="135"/>
  <c r="F167" i="135" s="1"/>
  <c r="G167" i="135" s="1"/>
  <c r="E170" i="135"/>
  <c r="F170" i="135" s="1"/>
  <c r="G170" i="135" s="1"/>
  <c r="E171" i="135"/>
  <c r="F171" i="135" s="1"/>
  <c r="G171" i="135" s="1"/>
  <c r="E172" i="135"/>
  <c r="F172" i="135" s="1"/>
  <c r="G172" i="135" s="1"/>
  <c r="E173" i="135"/>
  <c r="F173" i="135" s="1"/>
  <c r="G173" i="135" s="1"/>
  <c r="E174" i="135"/>
  <c r="F174" i="135" s="1"/>
  <c r="G174" i="135" s="1"/>
  <c r="E175" i="135"/>
  <c r="F175" i="135" s="1"/>
  <c r="G175" i="135" s="1"/>
  <c r="E176" i="135"/>
  <c r="F176" i="135" s="1"/>
  <c r="G176" i="135" s="1"/>
  <c r="E177" i="135"/>
  <c r="F177" i="135" s="1"/>
  <c r="G177" i="135" s="1"/>
  <c r="E178" i="135"/>
  <c r="F178" i="135" s="1"/>
  <c r="G178" i="135" s="1"/>
  <c r="E179" i="135"/>
  <c r="F179" i="135" s="1"/>
  <c r="G179" i="135" s="1"/>
  <c r="E180" i="135"/>
  <c r="F180" i="135" s="1"/>
  <c r="G180" i="135" s="1"/>
  <c r="E181" i="135"/>
  <c r="F181" i="135" s="1"/>
  <c r="G181" i="135" s="1"/>
  <c r="E182" i="135"/>
  <c r="F182" i="135" s="1"/>
  <c r="G182" i="135" s="1"/>
  <c r="E183" i="135"/>
  <c r="F183" i="135" s="1"/>
  <c r="G183" i="135" s="1"/>
  <c r="E184" i="135"/>
  <c r="F184" i="135" s="1"/>
  <c r="G184" i="135" s="1"/>
  <c r="E185" i="135"/>
  <c r="F185" i="135" s="1"/>
  <c r="G185" i="135" s="1"/>
  <c r="E186" i="135"/>
  <c r="F186" i="135" s="1"/>
  <c r="G186" i="135" s="1"/>
  <c r="E187" i="135"/>
  <c r="F187" i="135" s="1"/>
  <c r="G187" i="135" s="1"/>
  <c r="E188" i="135"/>
  <c r="F188" i="135" s="1"/>
  <c r="G188" i="135" s="1"/>
  <c r="E189" i="135"/>
  <c r="F189" i="135" s="1"/>
  <c r="G189" i="135" s="1"/>
  <c r="E190" i="135"/>
  <c r="F190" i="135" s="1"/>
  <c r="G190" i="135" s="1"/>
  <c r="E191" i="135"/>
  <c r="F191" i="135" s="1"/>
  <c r="G191" i="135" s="1"/>
  <c r="E192" i="135"/>
  <c r="F192" i="135" s="1"/>
  <c r="G192" i="135" s="1"/>
  <c r="E193" i="135"/>
  <c r="F193" i="135" s="1"/>
  <c r="G193" i="135" s="1"/>
  <c r="E194" i="135"/>
  <c r="F194" i="135" s="1"/>
  <c r="G194" i="135" s="1"/>
  <c r="E195" i="135"/>
  <c r="F195" i="135" s="1"/>
  <c r="G195" i="135" s="1"/>
  <c r="DW142" i="112"/>
  <c r="DW140" i="112"/>
  <c r="DW141" i="112"/>
  <c r="DW139" i="112"/>
  <c r="DW127" i="112"/>
  <c r="DM140" i="112"/>
  <c r="AQ127" i="112"/>
  <c r="D65" i="135"/>
  <c r="E65" i="135" s="1"/>
  <c r="F65" i="135" s="1"/>
  <c r="G65" i="135" s="1"/>
  <c r="D53" i="135"/>
  <c r="DS74" i="112"/>
  <c r="D42" i="135" s="1"/>
  <c r="D84" i="135" l="1"/>
  <c r="E84" i="135" s="1"/>
  <c r="F84" i="135" s="1"/>
  <c r="G84" i="135" s="1"/>
  <c r="D42" i="139"/>
  <c r="E42" i="139" s="1"/>
  <c r="F42" i="139" s="1"/>
  <c r="G42" i="139" s="1"/>
  <c r="D86" i="135"/>
  <c r="E86" i="135" s="1"/>
  <c r="F86" i="135" s="1"/>
  <c r="G86" i="135" s="1"/>
  <c r="D44" i="139"/>
  <c r="E44" i="139" s="1"/>
  <c r="F44" i="139" s="1"/>
  <c r="G44" i="139" s="1"/>
  <c r="D85" i="135"/>
  <c r="E85" i="135" s="1"/>
  <c r="F85" i="135" s="1"/>
  <c r="G85" i="135" s="1"/>
  <c r="D43" i="139"/>
  <c r="E43" i="139" s="1"/>
  <c r="F43" i="139" s="1"/>
  <c r="G43" i="139" s="1"/>
  <c r="D87" i="135"/>
  <c r="E87" i="135" s="1"/>
  <c r="F87" i="135" s="1"/>
  <c r="G87" i="135" s="1"/>
  <c r="D45" i="139"/>
  <c r="E45" i="139" s="1"/>
  <c r="F45" i="139" s="1"/>
  <c r="G45" i="139" s="1"/>
  <c r="D77" i="135"/>
  <c r="D35" i="139"/>
  <c r="E35" i="139" s="1"/>
  <c r="F35" i="139" s="1"/>
  <c r="G35" i="139" s="1"/>
  <c r="E42" i="135"/>
  <c r="F42" i="135" s="1"/>
  <c r="G42" i="135" s="1"/>
  <c r="DS75" i="112"/>
  <c r="EC68" i="112"/>
  <c r="AG31" i="135"/>
  <c r="AG32" i="135"/>
  <c r="AG33" i="135"/>
  <c r="D12" i="139"/>
  <c r="E12" i="139" s="1"/>
  <c r="F12" i="139" s="1"/>
  <c r="G12" i="139" s="1"/>
  <c r="D43" i="135" l="1"/>
  <c r="E43" i="135" s="1"/>
  <c r="F43" i="135" s="1"/>
  <c r="G43" i="135" s="1"/>
  <c r="AM55" i="114"/>
  <c r="D40" i="135"/>
  <c r="D31" i="139"/>
  <c r="E31" i="139" s="1"/>
  <c r="F31" i="139" s="1"/>
  <c r="G31" i="139" s="1"/>
  <c r="DN11" i="112"/>
  <c r="D10" i="135"/>
  <c r="E10" i="135" s="1"/>
  <c r="F10" i="135" s="1"/>
  <c r="G10" i="135" s="1"/>
  <c r="D9" i="135"/>
  <c r="E9" i="135" s="1"/>
  <c r="F9" i="135" s="1"/>
  <c r="G9" i="135" s="1"/>
  <c r="D8" i="135"/>
  <c r="E8" i="135" s="1"/>
  <c r="F8" i="135" s="1"/>
  <c r="G8" i="135" s="1"/>
  <c r="D7" i="135"/>
  <c r="E7" i="135" s="1"/>
  <c r="F7" i="135" s="1"/>
  <c r="G7" i="135" s="1"/>
  <c r="U133" i="121" l="1"/>
  <c r="U134" i="121"/>
  <c r="U135" i="121"/>
  <c r="U136" i="121"/>
  <c r="U137" i="121"/>
  <c r="U138" i="121"/>
  <c r="U139" i="121"/>
  <c r="U140" i="121"/>
  <c r="U132" i="121"/>
  <c r="U130" i="121"/>
  <c r="U126" i="121"/>
  <c r="U127" i="121"/>
  <c r="U128" i="121"/>
  <c r="U129" i="121"/>
  <c r="U124" i="121"/>
  <c r="U125" i="121"/>
  <c r="U120" i="121"/>
  <c r="U121" i="121"/>
  <c r="U122" i="121"/>
  <c r="U123" i="121"/>
  <c r="U116" i="121"/>
  <c r="U117" i="121"/>
  <c r="U118" i="121"/>
  <c r="U119" i="121"/>
  <c r="U113" i="121"/>
  <c r="U114" i="121"/>
  <c r="U115" i="121"/>
  <c r="U108" i="121"/>
  <c r="U109" i="121"/>
  <c r="U110" i="121"/>
  <c r="U111" i="121"/>
  <c r="U112" i="121"/>
  <c r="U99" i="121"/>
  <c r="U100" i="121"/>
  <c r="U101" i="121"/>
  <c r="U102" i="121"/>
  <c r="U103" i="121"/>
  <c r="U104" i="121"/>
  <c r="U105" i="121"/>
  <c r="U106" i="121"/>
  <c r="U107" i="121"/>
  <c r="U98" i="121"/>
  <c r="U96" i="121"/>
  <c r="U93" i="121"/>
  <c r="U94" i="121"/>
  <c r="U95" i="121"/>
  <c r="U87" i="121"/>
  <c r="U88" i="121"/>
  <c r="U89" i="121"/>
  <c r="U90" i="121"/>
  <c r="U91" i="121"/>
  <c r="U92" i="121"/>
  <c r="U84" i="121"/>
  <c r="U85" i="121"/>
  <c r="U86" i="121"/>
  <c r="U83" i="121"/>
  <c r="U82" i="121"/>
  <c r="U81" i="121"/>
  <c r="U80" i="121"/>
  <c r="U79" i="121"/>
  <c r="U78" i="121"/>
  <c r="U77" i="121"/>
  <c r="U68" i="121"/>
  <c r="U69" i="121"/>
  <c r="U70" i="121"/>
  <c r="U71" i="121"/>
  <c r="U72" i="121"/>
  <c r="U73" i="121"/>
  <c r="U74" i="121"/>
  <c r="U75" i="121"/>
  <c r="U76" i="121"/>
  <c r="U66" i="121"/>
  <c r="U67" i="121"/>
  <c r="U62" i="121"/>
  <c r="U63" i="121"/>
  <c r="U64" i="121"/>
  <c r="U65" i="121"/>
  <c r="U57" i="121"/>
  <c r="U58" i="121"/>
  <c r="U59" i="121"/>
  <c r="U60" i="121"/>
  <c r="U61" i="121"/>
  <c r="U56" i="121"/>
  <c r="U55" i="121"/>
  <c r="U50" i="121"/>
  <c r="G53" i="121"/>
  <c r="G54" i="121"/>
  <c r="G52" i="121"/>
  <c r="U43" i="121"/>
  <c r="U44" i="121"/>
  <c r="U45" i="121"/>
  <c r="U46" i="121"/>
  <c r="U47" i="121"/>
  <c r="U48" i="121"/>
  <c r="U49" i="121"/>
  <c r="U42" i="121"/>
  <c r="U40" i="121"/>
  <c r="U39" i="121"/>
  <c r="U38" i="121"/>
  <c r="U37" i="121"/>
  <c r="U36" i="121"/>
  <c r="U35" i="121"/>
  <c r="U34" i="121"/>
  <c r="U33" i="121"/>
  <c r="U32" i="121"/>
  <c r="U31" i="121"/>
  <c r="U30" i="121"/>
  <c r="U29" i="121"/>
  <c r="U28" i="121"/>
  <c r="U27" i="121"/>
  <c r="U26" i="121"/>
  <c r="U25" i="121"/>
  <c r="U24" i="121"/>
  <c r="U23" i="121"/>
  <c r="U21" i="121"/>
  <c r="U20" i="121" l="1"/>
  <c r="U19" i="121"/>
  <c r="U18" i="121"/>
  <c r="U17" i="121"/>
  <c r="U16" i="121"/>
  <c r="U15" i="121"/>
  <c r="U14" i="121"/>
  <c r="U13" i="121"/>
  <c r="E158" i="121"/>
  <c r="L154" i="121"/>
  <c r="L155" i="121"/>
  <c r="L156" i="121"/>
  <c r="L157" i="121"/>
  <c r="L158" i="121"/>
  <c r="L159" i="121"/>
  <c r="E157" i="121"/>
  <c r="E155" i="121"/>
  <c r="E156" i="121"/>
  <c r="E154" i="121"/>
  <c r="E152" i="121"/>
  <c r="L143" i="121"/>
  <c r="L144" i="121"/>
  <c r="L145" i="121"/>
  <c r="L146" i="121"/>
  <c r="L147" i="121"/>
  <c r="L148" i="121"/>
  <c r="L149" i="121"/>
  <c r="L150" i="121"/>
  <c r="L151" i="121"/>
  <c r="L152" i="121"/>
  <c r="L153" i="121"/>
  <c r="E147" i="121"/>
  <c r="E142" i="121"/>
  <c r="L142" i="121"/>
  <c r="AG6" i="135" l="1"/>
  <c r="DN7" i="112"/>
  <c r="D8" i="139" s="1"/>
  <c r="E8" i="139" s="1"/>
  <c r="F8" i="139" s="1"/>
  <c r="G8" i="139" s="1"/>
  <c r="AG742" i="135" l="1"/>
  <c r="AG741" i="135"/>
  <c r="AG740" i="135"/>
  <c r="AG739" i="135"/>
  <c r="AG738" i="135"/>
  <c r="AG737" i="135"/>
  <c r="AG736" i="135"/>
  <c r="AG735" i="135"/>
  <c r="AG734" i="135"/>
  <c r="AG733" i="135"/>
  <c r="AG732" i="135"/>
  <c r="AG731" i="135"/>
  <c r="AG730" i="135"/>
  <c r="AG729" i="135"/>
  <c r="AG728" i="135"/>
  <c r="AG727" i="135"/>
  <c r="AG726" i="135"/>
  <c r="AG725" i="135"/>
  <c r="AG724" i="135"/>
  <c r="AG723" i="135"/>
  <c r="AG722" i="135"/>
  <c r="AG721" i="135"/>
  <c r="AG720" i="135"/>
  <c r="AG719" i="135"/>
  <c r="AG718" i="135"/>
  <c r="AG717" i="135"/>
  <c r="AG716" i="135"/>
  <c r="AG715" i="135"/>
  <c r="AG714" i="135"/>
  <c r="AG713" i="135"/>
  <c r="AG712" i="135"/>
  <c r="AG711" i="135"/>
  <c r="AG710" i="135"/>
  <c r="AG709" i="135"/>
  <c r="AG708" i="135"/>
  <c r="AG707" i="135"/>
  <c r="AG706" i="135"/>
  <c r="AG705" i="135"/>
  <c r="AG704" i="135"/>
  <c r="AG703" i="135"/>
  <c r="AG702" i="135"/>
  <c r="AG701" i="135"/>
  <c r="AG700" i="135"/>
  <c r="AG699" i="135"/>
  <c r="AG698" i="135"/>
  <c r="AG697" i="135"/>
  <c r="AG696" i="135"/>
  <c r="AG695" i="135"/>
  <c r="AG694" i="135"/>
  <c r="AG693" i="135"/>
  <c r="AG692" i="135"/>
  <c r="AG691" i="135"/>
  <c r="AG690" i="135"/>
  <c r="AG689" i="135"/>
  <c r="AG688" i="135"/>
  <c r="AG687" i="135"/>
  <c r="AG686" i="135"/>
  <c r="AG685" i="135"/>
  <c r="AG684" i="135"/>
  <c r="AG683" i="135"/>
  <c r="AG682" i="135"/>
  <c r="AG681" i="135"/>
  <c r="AG680" i="135"/>
  <c r="AG679" i="135"/>
  <c r="AG678" i="135"/>
  <c r="AG677" i="135"/>
  <c r="AG676" i="135"/>
  <c r="AG675" i="135"/>
  <c r="AG674" i="135"/>
  <c r="AG673" i="135"/>
  <c r="AG672" i="135"/>
  <c r="AG671" i="135"/>
  <c r="AG670" i="135"/>
  <c r="AG669" i="135"/>
  <c r="AG668" i="135"/>
  <c r="AG667" i="135"/>
  <c r="AG666" i="135"/>
  <c r="AG665" i="135"/>
  <c r="AG664" i="135"/>
  <c r="AG663" i="135"/>
  <c r="AG662" i="135"/>
  <c r="AG661" i="135"/>
  <c r="AG660" i="135"/>
  <c r="AG659" i="135"/>
  <c r="AG658" i="135"/>
  <c r="AG657" i="135"/>
  <c r="AG656" i="135"/>
  <c r="AG655" i="135"/>
  <c r="AG654" i="135"/>
  <c r="AG653" i="135"/>
  <c r="AG652" i="135"/>
  <c r="AG651" i="135"/>
  <c r="AG650" i="135"/>
  <c r="AG649" i="135"/>
  <c r="AG648" i="135"/>
  <c r="AG647" i="135"/>
  <c r="AG646" i="135"/>
  <c r="AG645" i="135"/>
  <c r="AG644" i="135"/>
  <c r="AG643" i="135"/>
  <c r="AG642" i="135"/>
  <c r="AG641" i="135"/>
  <c r="AG640" i="135"/>
  <c r="AG639" i="135"/>
  <c r="AG638" i="135"/>
  <c r="AG637" i="135"/>
  <c r="AG636" i="135"/>
  <c r="AG635" i="135"/>
  <c r="AG634" i="135"/>
  <c r="AG633" i="135"/>
  <c r="AG632" i="135"/>
  <c r="AG631" i="135"/>
  <c r="AG630" i="135"/>
  <c r="AG629" i="135"/>
  <c r="AG628" i="135"/>
  <c r="AG627" i="135"/>
  <c r="AG626" i="135"/>
  <c r="AG625" i="135"/>
  <c r="AG624" i="135"/>
  <c r="AG623" i="135"/>
  <c r="AG622" i="135"/>
  <c r="AG621" i="135"/>
  <c r="AG620" i="135"/>
  <c r="AG619" i="135"/>
  <c r="AG618" i="135"/>
  <c r="AG617" i="135"/>
  <c r="AG616" i="135"/>
  <c r="AG615" i="135"/>
  <c r="AG614" i="135"/>
  <c r="AG613" i="135"/>
  <c r="AG612" i="135"/>
  <c r="AG611" i="135"/>
  <c r="AG610" i="135"/>
  <c r="AG609" i="135"/>
  <c r="AG608" i="135"/>
  <c r="AG607" i="135"/>
  <c r="AG606" i="135"/>
  <c r="AG605" i="135"/>
  <c r="AG604" i="135"/>
  <c r="AG603" i="135"/>
  <c r="AG602" i="135"/>
  <c r="AG601" i="135"/>
  <c r="AG600" i="135"/>
  <c r="AG599" i="135"/>
  <c r="AG598" i="135"/>
  <c r="AG597" i="135"/>
  <c r="AG596" i="135"/>
  <c r="AG595" i="135"/>
  <c r="AG594" i="135"/>
  <c r="AG593" i="135"/>
  <c r="AG592" i="135"/>
  <c r="AG591" i="135"/>
  <c r="AG590" i="135"/>
  <c r="AG589" i="135"/>
  <c r="AG588" i="135"/>
  <c r="AG587" i="135"/>
  <c r="AG586" i="135"/>
  <c r="AG585" i="135"/>
  <c r="AG584" i="135"/>
  <c r="AG583" i="135"/>
  <c r="AG582" i="135"/>
  <c r="AG581" i="135"/>
  <c r="AG580" i="135"/>
  <c r="AG579" i="135"/>
  <c r="AG578" i="135"/>
  <c r="AG577" i="135"/>
  <c r="AG576" i="135"/>
  <c r="AG575" i="135"/>
  <c r="AG574" i="135"/>
  <c r="AG573" i="135"/>
  <c r="AG572" i="135"/>
  <c r="AG571" i="135"/>
  <c r="AG570" i="135"/>
  <c r="AG569" i="135"/>
  <c r="AG568" i="135"/>
  <c r="AG567" i="135"/>
  <c r="AG566" i="135"/>
  <c r="AG565" i="135"/>
  <c r="AG564" i="135"/>
  <c r="AG563" i="135"/>
  <c r="AG562" i="135"/>
  <c r="AG561" i="135"/>
  <c r="AG560" i="135"/>
  <c r="AG559" i="135"/>
  <c r="AG558" i="135"/>
  <c r="AG557" i="135"/>
  <c r="AG556" i="135"/>
  <c r="AG555" i="135"/>
  <c r="AG554" i="135"/>
  <c r="AG553" i="135"/>
  <c r="AG552" i="135"/>
  <c r="AG551" i="135"/>
  <c r="AG550" i="135"/>
  <c r="AG549" i="135"/>
  <c r="AG548" i="135"/>
  <c r="AG547" i="135"/>
  <c r="AG546" i="135"/>
  <c r="AG545" i="135"/>
  <c r="AG544" i="135"/>
  <c r="AG543" i="135"/>
  <c r="AG542" i="135"/>
  <c r="AG541" i="135"/>
  <c r="AG540" i="135"/>
  <c r="AG539" i="135"/>
  <c r="AG538" i="135"/>
  <c r="AG537" i="135"/>
  <c r="AG536" i="135"/>
  <c r="AG535" i="135"/>
  <c r="AG534" i="135"/>
  <c r="AG533" i="135"/>
  <c r="AG532" i="135"/>
  <c r="AG531" i="135"/>
  <c r="AG530" i="135"/>
  <c r="AG529" i="135"/>
  <c r="AG528" i="135"/>
  <c r="AG527" i="135"/>
  <c r="AG526" i="135"/>
  <c r="AG525" i="135"/>
  <c r="AG524" i="135"/>
  <c r="AG523" i="135"/>
  <c r="AG522" i="135"/>
  <c r="AG521" i="135"/>
  <c r="AG520" i="135"/>
  <c r="AG519" i="135"/>
  <c r="AG518" i="135"/>
  <c r="AG517" i="135"/>
  <c r="AG516" i="135"/>
  <c r="AG515" i="135"/>
  <c r="AG514" i="135"/>
  <c r="AG513" i="135"/>
  <c r="AG512" i="135"/>
  <c r="AG511" i="135"/>
  <c r="AG510" i="135"/>
  <c r="AG509" i="135"/>
  <c r="AG508" i="135"/>
  <c r="AG507" i="135"/>
  <c r="AG506" i="135"/>
  <c r="AG505" i="135"/>
  <c r="AG504" i="135"/>
  <c r="AG503" i="135"/>
  <c r="AG502" i="135"/>
  <c r="AG501" i="135"/>
  <c r="AG500" i="135"/>
  <c r="AG499" i="135"/>
  <c r="AG498" i="135"/>
  <c r="AG497" i="135"/>
  <c r="AG496" i="135"/>
  <c r="AG495" i="135"/>
  <c r="AG494" i="135"/>
  <c r="AG493" i="135"/>
  <c r="AG492" i="135"/>
  <c r="AG491" i="135"/>
  <c r="AG490" i="135"/>
  <c r="AG489" i="135"/>
  <c r="AG488" i="135"/>
  <c r="AG487" i="135"/>
  <c r="AG486" i="135"/>
  <c r="AG485" i="135"/>
  <c r="AG484" i="135"/>
  <c r="AG483" i="135"/>
  <c r="AG482" i="135"/>
  <c r="AG481" i="135"/>
  <c r="AG480" i="135"/>
  <c r="AG479" i="135"/>
  <c r="AG478" i="135"/>
  <c r="AG477" i="135"/>
  <c r="AG476" i="135"/>
  <c r="AG475" i="135"/>
  <c r="AG474" i="135"/>
  <c r="AG473" i="135"/>
  <c r="AG472" i="135"/>
  <c r="AG471" i="135"/>
  <c r="AG470" i="135"/>
  <c r="AG469" i="135"/>
  <c r="AG468" i="135"/>
  <c r="AG467" i="135"/>
  <c r="AG466" i="135"/>
  <c r="AG465" i="135"/>
  <c r="AG464" i="135"/>
  <c r="AG463" i="135"/>
  <c r="AG462" i="135"/>
  <c r="AG461" i="135"/>
  <c r="AG460" i="135"/>
  <c r="AG459" i="135"/>
  <c r="AG458" i="135"/>
  <c r="AG457" i="135"/>
  <c r="AG456" i="135"/>
  <c r="AG455" i="135"/>
  <c r="AG454" i="135"/>
  <c r="AG453" i="135"/>
  <c r="AG452" i="135"/>
  <c r="AG451" i="135"/>
  <c r="AG450" i="135"/>
  <c r="AG449" i="135"/>
  <c r="AG448" i="135"/>
  <c r="AG447" i="135"/>
  <c r="AG446" i="135"/>
  <c r="AG445" i="135"/>
  <c r="AG444" i="135"/>
  <c r="AG443" i="135"/>
  <c r="AG442" i="135"/>
  <c r="AG441" i="135"/>
  <c r="AG440" i="135"/>
  <c r="AG439" i="135"/>
  <c r="AG438" i="135"/>
  <c r="AG437" i="135"/>
  <c r="AG436" i="135"/>
  <c r="AG435" i="135"/>
  <c r="AG434" i="135"/>
  <c r="AG433" i="135"/>
  <c r="AG432" i="135"/>
  <c r="AG431" i="135"/>
  <c r="AG430" i="135"/>
  <c r="AG429" i="135"/>
  <c r="AG428" i="135"/>
  <c r="AG427" i="135"/>
  <c r="AG426" i="135"/>
  <c r="AG425" i="135"/>
  <c r="AG424" i="135"/>
  <c r="AG423" i="135"/>
  <c r="AG422" i="135"/>
  <c r="AG421" i="135"/>
  <c r="AG420" i="135"/>
  <c r="AG419" i="135"/>
  <c r="AG418" i="135"/>
  <c r="AG417" i="135"/>
  <c r="AG416" i="135"/>
  <c r="AG415" i="135"/>
  <c r="AG414" i="135"/>
  <c r="AG413" i="135"/>
  <c r="AG412" i="135"/>
  <c r="AG411" i="135"/>
  <c r="AG410" i="135"/>
  <c r="AG409" i="135"/>
  <c r="AG408" i="135"/>
  <c r="AG407" i="135"/>
  <c r="AG406" i="135"/>
  <c r="AG405" i="135"/>
  <c r="AG404" i="135"/>
  <c r="AG403" i="135"/>
  <c r="AG402" i="135"/>
  <c r="AG401" i="135"/>
  <c r="AG400" i="135"/>
  <c r="AG399" i="135"/>
  <c r="AG398" i="135"/>
  <c r="AG397" i="135"/>
  <c r="AG396" i="135"/>
  <c r="AG395" i="135"/>
  <c r="AG394" i="135"/>
  <c r="AG393" i="135"/>
  <c r="AG392" i="135"/>
  <c r="AG391" i="135"/>
  <c r="AG390" i="135"/>
  <c r="AG389" i="135"/>
  <c r="AG388" i="135"/>
  <c r="AG387" i="135"/>
  <c r="AG386" i="135"/>
  <c r="AG385" i="135"/>
  <c r="AG384" i="135"/>
  <c r="AG383" i="135"/>
  <c r="AG382" i="135"/>
  <c r="AG381" i="135"/>
  <c r="AG380" i="135"/>
  <c r="AG379" i="135"/>
  <c r="AG378" i="135"/>
  <c r="AG377" i="135"/>
  <c r="AG376" i="135"/>
  <c r="AG375" i="135"/>
  <c r="AG374" i="135"/>
  <c r="AG373" i="135"/>
  <c r="AG372" i="135"/>
  <c r="AG371" i="135"/>
  <c r="AG370" i="135"/>
  <c r="AG369" i="135"/>
  <c r="AG368" i="135"/>
  <c r="AG367" i="135"/>
  <c r="AG366" i="135"/>
  <c r="AG365" i="135"/>
  <c r="AG364" i="135"/>
  <c r="AG363" i="135"/>
  <c r="AG362" i="135"/>
  <c r="AG361" i="135"/>
  <c r="AG360" i="135"/>
  <c r="AG359" i="135"/>
  <c r="AG358" i="135"/>
  <c r="AG357" i="135"/>
  <c r="AG356" i="135"/>
  <c r="AG355" i="135"/>
  <c r="AG354" i="135"/>
  <c r="AG353" i="135"/>
  <c r="AG352" i="135"/>
  <c r="AG351" i="135"/>
  <c r="AG350" i="135"/>
  <c r="AG349" i="135"/>
  <c r="AG348" i="135"/>
  <c r="AG347" i="135"/>
  <c r="AG346" i="135"/>
  <c r="AG345" i="135"/>
  <c r="AG344" i="135"/>
  <c r="AG343" i="135"/>
  <c r="AG342" i="135"/>
  <c r="AG341" i="135"/>
  <c r="AG340" i="135"/>
  <c r="AG339" i="135"/>
  <c r="AG338" i="135"/>
  <c r="AG337" i="135"/>
  <c r="AG336" i="135"/>
  <c r="AG335" i="135"/>
  <c r="AG334" i="135"/>
  <c r="AG333" i="135"/>
  <c r="AG332" i="135"/>
  <c r="AG331" i="135"/>
  <c r="AG330" i="135"/>
  <c r="AG329" i="135"/>
  <c r="AG328" i="135"/>
  <c r="AG327" i="135"/>
  <c r="AG326" i="135"/>
  <c r="AG325" i="135"/>
  <c r="AG324" i="135"/>
  <c r="AG323" i="135"/>
  <c r="AG322" i="135"/>
  <c r="AG321" i="135"/>
  <c r="AG320" i="135"/>
  <c r="AG319" i="135"/>
  <c r="AG318" i="135"/>
  <c r="AG317" i="135"/>
  <c r="AG316" i="135"/>
  <c r="AG315" i="135"/>
  <c r="AG314" i="135"/>
  <c r="AG313" i="135"/>
  <c r="AG312" i="135"/>
  <c r="AG311" i="135"/>
  <c r="AG310" i="135"/>
  <c r="AG309" i="135"/>
  <c r="AG308" i="135"/>
  <c r="AG287" i="135"/>
  <c r="AG286" i="135"/>
  <c r="AG285" i="135"/>
  <c r="AG284" i="135"/>
  <c r="AG283" i="135"/>
  <c r="AG282" i="135"/>
  <c r="AG281" i="135"/>
  <c r="AG280" i="135"/>
  <c r="AG279" i="135"/>
  <c r="AG278" i="135"/>
  <c r="AG277" i="135"/>
  <c r="AG276" i="135"/>
  <c r="AG275" i="135"/>
  <c r="AG274" i="135"/>
  <c r="AG271" i="135"/>
  <c r="AG195" i="135"/>
  <c r="S195" i="135"/>
  <c r="AG194" i="135"/>
  <c r="S194" i="135"/>
  <c r="AG193" i="135"/>
  <c r="S193" i="135"/>
  <c r="AG192" i="135"/>
  <c r="S192" i="135"/>
  <c r="AG191" i="135"/>
  <c r="S191" i="135"/>
  <c r="AG190" i="135"/>
  <c r="S190" i="135"/>
  <c r="AG189" i="135"/>
  <c r="S189" i="135"/>
  <c r="AG188" i="135"/>
  <c r="S188" i="135"/>
  <c r="AG187" i="135"/>
  <c r="S187" i="135"/>
  <c r="AG186" i="135"/>
  <c r="S186" i="135"/>
  <c r="AG185" i="135"/>
  <c r="S185" i="135"/>
  <c r="AG184" i="135"/>
  <c r="S184" i="135"/>
  <c r="AG183" i="135"/>
  <c r="S183" i="135"/>
  <c r="AG182" i="135"/>
  <c r="S182" i="135"/>
  <c r="AG181" i="135"/>
  <c r="S181" i="135"/>
  <c r="AG180" i="135"/>
  <c r="S180" i="135"/>
  <c r="AG179" i="135"/>
  <c r="S179" i="135"/>
  <c r="AG178" i="135"/>
  <c r="S178" i="135"/>
  <c r="AG177" i="135"/>
  <c r="S177" i="135"/>
  <c r="AG176" i="135"/>
  <c r="S176" i="135"/>
  <c r="AG175" i="135"/>
  <c r="S175" i="135"/>
  <c r="AG174" i="135"/>
  <c r="S174" i="135"/>
  <c r="AG173" i="135"/>
  <c r="S173" i="135"/>
  <c r="AG172" i="135"/>
  <c r="S172" i="135"/>
  <c r="AG171" i="135"/>
  <c r="S171" i="135"/>
  <c r="AG170" i="135"/>
  <c r="S170" i="135"/>
  <c r="AG167" i="135"/>
  <c r="S167" i="135"/>
  <c r="AG166" i="135"/>
  <c r="S166" i="135"/>
  <c r="AG165" i="135"/>
  <c r="S165" i="135"/>
  <c r="AG164" i="135"/>
  <c r="AG162" i="135"/>
  <c r="S162" i="135"/>
  <c r="AG161" i="135"/>
  <c r="S161" i="135"/>
  <c r="AG160" i="135"/>
  <c r="S160" i="135"/>
  <c r="AG159" i="135"/>
  <c r="S159" i="135"/>
  <c r="AG158" i="135"/>
  <c r="S158" i="135"/>
  <c r="AG157" i="135"/>
  <c r="S157" i="135"/>
  <c r="AG156" i="135"/>
  <c r="S156" i="135"/>
  <c r="AG155" i="135"/>
  <c r="S155" i="135"/>
  <c r="AG154" i="135"/>
  <c r="S154" i="135"/>
  <c r="AG152" i="135"/>
  <c r="S152" i="135"/>
  <c r="AG151" i="135"/>
  <c r="S151" i="135"/>
  <c r="AG150" i="135"/>
  <c r="S150" i="135"/>
  <c r="AG149" i="135"/>
  <c r="S149" i="135"/>
  <c r="AG148" i="135"/>
  <c r="S148" i="135"/>
  <c r="AG147" i="135"/>
  <c r="S147" i="135"/>
  <c r="AG146" i="135"/>
  <c r="S146" i="135"/>
  <c r="AG145" i="135"/>
  <c r="S145" i="135"/>
  <c r="AG144" i="135"/>
  <c r="S144" i="135"/>
  <c r="AG143" i="135"/>
  <c r="S143" i="135"/>
  <c r="AG141" i="135"/>
  <c r="S141" i="135"/>
  <c r="AG140" i="135"/>
  <c r="S140" i="135"/>
  <c r="AG139" i="135"/>
  <c r="S139" i="135"/>
  <c r="AG138" i="135"/>
  <c r="S138" i="135"/>
  <c r="AG137" i="135"/>
  <c r="S137" i="135"/>
  <c r="AG136" i="135"/>
  <c r="S136" i="135"/>
  <c r="AG135" i="135"/>
  <c r="S135" i="135"/>
  <c r="AG134" i="135"/>
  <c r="S134" i="135"/>
  <c r="AG133" i="135"/>
  <c r="S133" i="135"/>
  <c r="AG131" i="135"/>
  <c r="S131" i="135"/>
  <c r="AG130" i="135"/>
  <c r="S130" i="135"/>
  <c r="AG129" i="135"/>
  <c r="S129" i="135"/>
  <c r="AG128" i="135"/>
  <c r="S128" i="135"/>
  <c r="AG127" i="135"/>
  <c r="S127" i="135"/>
  <c r="AG126" i="135"/>
  <c r="S126" i="135"/>
  <c r="AG124" i="135"/>
  <c r="S124" i="135"/>
  <c r="AG123" i="135"/>
  <c r="S123" i="135"/>
  <c r="AG122" i="135"/>
  <c r="S122" i="135"/>
  <c r="AG121" i="135"/>
  <c r="S121" i="135"/>
  <c r="AG120" i="135"/>
  <c r="S120" i="135"/>
  <c r="AG119" i="135"/>
  <c r="S119" i="135"/>
  <c r="AG118" i="135"/>
  <c r="S118" i="135"/>
  <c r="AG117" i="135"/>
  <c r="S117" i="135"/>
  <c r="AG116" i="135"/>
  <c r="S116" i="135"/>
  <c r="AG115" i="135"/>
  <c r="S115" i="135"/>
  <c r="AG114" i="135"/>
  <c r="S114" i="135"/>
  <c r="AG113" i="135"/>
  <c r="S113" i="135"/>
  <c r="AG112" i="135"/>
  <c r="S112" i="135"/>
  <c r="AG111" i="135"/>
  <c r="S111" i="135"/>
  <c r="AG110" i="135"/>
  <c r="S110" i="135"/>
  <c r="AG109" i="135"/>
  <c r="S109" i="135"/>
  <c r="AG108" i="135"/>
  <c r="S108" i="135"/>
  <c r="AG107" i="135"/>
  <c r="S107" i="135"/>
  <c r="AG106" i="135"/>
  <c r="S106" i="135"/>
  <c r="AG105" i="135"/>
  <c r="S105" i="135"/>
  <c r="AG104" i="135"/>
  <c r="S104" i="135"/>
  <c r="AG103" i="135"/>
  <c r="S103" i="135"/>
  <c r="AG102" i="135"/>
  <c r="S102" i="135"/>
  <c r="AG101" i="135"/>
  <c r="S101" i="135"/>
  <c r="AG100" i="135"/>
  <c r="S100" i="135"/>
  <c r="AG99" i="135"/>
  <c r="S99" i="135"/>
  <c r="AG98" i="135"/>
  <c r="S98" i="135"/>
  <c r="AG97" i="135"/>
  <c r="S97" i="135"/>
  <c r="AG96" i="135"/>
  <c r="S96" i="135"/>
  <c r="AG95" i="135"/>
  <c r="S95" i="135"/>
  <c r="AG94" i="135"/>
  <c r="S94" i="135"/>
  <c r="AG93" i="135"/>
  <c r="S93" i="135"/>
  <c r="AG92" i="135"/>
  <c r="S92" i="135"/>
  <c r="AG91" i="135"/>
  <c r="S91" i="135"/>
  <c r="AG90" i="135"/>
  <c r="S90" i="135"/>
  <c r="AG89" i="135"/>
  <c r="S89" i="135"/>
  <c r="AG88" i="135"/>
  <c r="S88" i="135"/>
  <c r="AG87" i="135"/>
  <c r="S87" i="135"/>
  <c r="AG86" i="135"/>
  <c r="S86" i="135"/>
  <c r="AG85" i="135"/>
  <c r="S85" i="135"/>
  <c r="AG84" i="135"/>
  <c r="S84" i="135"/>
  <c r="AG83" i="135"/>
  <c r="S83" i="135"/>
  <c r="AG82" i="135"/>
  <c r="S82" i="135"/>
  <c r="AG81" i="135"/>
  <c r="S81" i="135"/>
  <c r="AG80" i="135"/>
  <c r="S80" i="135"/>
  <c r="AG79" i="135"/>
  <c r="S79" i="135"/>
  <c r="AG78" i="135"/>
  <c r="S78" i="135"/>
  <c r="AG77" i="135"/>
  <c r="S77" i="135"/>
  <c r="AG76" i="135"/>
  <c r="S76" i="135"/>
  <c r="AG75" i="135"/>
  <c r="S75" i="135"/>
  <c r="AG74" i="135"/>
  <c r="S74" i="135"/>
  <c r="AG73" i="135"/>
  <c r="S73" i="135"/>
  <c r="AG72" i="135"/>
  <c r="S72" i="135"/>
  <c r="AG71" i="135"/>
  <c r="S71" i="135"/>
  <c r="AG70" i="135"/>
  <c r="S70" i="135"/>
  <c r="AG69" i="135"/>
  <c r="S69" i="135"/>
  <c r="AG68" i="135"/>
  <c r="S68" i="135"/>
  <c r="AG67" i="135"/>
  <c r="S67" i="135"/>
  <c r="AG66" i="135"/>
  <c r="S66" i="135"/>
  <c r="AG65" i="135"/>
  <c r="S65" i="135"/>
  <c r="AG64" i="135"/>
  <c r="S64" i="135"/>
  <c r="AG63" i="135"/>
  <c r="S63" i="135"/>
  <c r="AG62" i="135"/>
  <c r="S62" i="135"/>
  <c r="AG61" i="135"/>
  <c r="S61" i="135"/>
  <c r="AG60" i="135"/>
  <c r="S60" i="135"/>
  <c r="AG59" i="135"/>
  <c r="S59" i="135"/>
  <c r="AG58" i="135"/>
  <c r="S58" i="135"/>
  <c r="AG57" i="135"/>
  <c r="S57" i="135"/>
  <c r="AG56" i="135"/>
  <c r="S56" i="135"/>
  <c r="AG55" i="135"/>
  <c r="S55" i="135"/>
  <c r="AG54" i="135"/>
  <c r="S54" i="135"/>
  <c r="AG53" i="135"/>
  <c r="S53" i="135"/>
  <c r="AG52" i="135"/>
  <c r="S52" i="135"/>
  <c r="AG51" i="135"/>
  <c r="S51" i="135"/>
  <c r="AG50" i="135"/>
  <c r="S50" i="135"/>
  <c r="AG49" i="135"/>
  <c r="S49" i="135"/>
  <c r="AG48" i="135"/>
  <c r="S48" i="135"/>
  <c r="AG47" i="135"/>
  <c r="S47" i="135"/>
  <c r="AG46" i="135"/>
  <c r="S46" i="135"/>
  <c r="AG45" i="135"/>
  <c r="S45" i="135"/>
  <c r="AG44" i="135"/>
  <c r="AG43" i="135"/>
  <c r="AG42" i="135"/>
  <c r="AG41" i="135"/>
  <c r="S41" i="135"/>
  <c r="D41" i="135"/>
  <c r="E41" i="135" s="1"/>
  <c r="F41" i="135" s="1"/>
  <c r="G41" i="135" s="1"/>
  <c r="AG40" i="135"/>
  <c r="S40" i="135"/>
  <c r="E40" i="135"/>
  <c r="F40" i="135" s="1"/>
  <c r="G40" i="135" s="1"/>
  <c r="AG39" i="135"/>
  <c r="S39" i="135"/>
  <c r="AG38" i="135"/>
  <c r="S38" i="135"/>
  <c r="AG37" i="135"/>
  <c r="S37" i="135"/>
  <c r="AG36" i="135"/>
  <c r="S36" i="135"/>
  <c r="AG35" i="135"/>
  <c r="S35" i="135"/>
  <c r="AG34" i="135"/>
  <c r="S34" i="135"/>
  <c r="S33" i="135"/>
  <c r="S32" i="135"/>
  <c r="S31" i="135"/>
  <c r="AG30" i="135"/>
  <c r="S30" i="135"/>
  <c r="AG29" i="135"/>
  <c r="S29" i="135"/>
  <c r="D29" i="135"/>
  <c r="E29" i="135" s="1"/>
  <c r="F29" i="135" s="1"/>
  <c r="G29" i="135" s="1"/>
  <c r="AG28" i="135"/>
  <c r="S28" i="135"/>
  <c r="AG27" i="135"/>
  <c r="S27" i="135"/>
  <c r="AG26" i="135"/>
  <c r="S26" i="135"/>
  <c r="AG25" i="135"/>
  <c r="S25" i="135"/>
  <c r="AG24" i="135"/>
  <c r="S24" i="135"/>
  <c r="D24" i="135"/>
  <c r="E24" i="135" s="1"/>
  <c r="F24" i="135" s="1"/>
  <c r="G24" i="135" s="1"/>
  <c r="AG23" i="135"/>
  <c r="S23" i="135"/>
  <c r="AG22" i="135"/>
  <c r="S22" i="135"/>
  <c r="AG21" i="135"/>
  <c r="S21" i="135"/>
  <c r="AG20" i="135"/>
  <c r="S20" i="135"/>
  <c r="AG19" i="135"/>
  <c r="S19" i="135"/>
  <c r="AG18" i="135"/>
  <c r="S18" i="135"/>
  <c r="D18" i="135"/>
  <c r="E18" i="135" s="1"/>
  <c r="F18" i="135" s="1"/>
  <c r="G18" i="135" s="1"/>
  <c r="AG17" i="135"/>
  <c r="S17" i="135"/>
  <c r="D17" i="135"/>
  <c r="E17" i="135" s="1"/>
  <c r="F17" i="135" s="1"/>
  <c r="G17" i="135" s="1"/>
  <c r="AG15" i="135"/>
  <c r="S15" i="135"/>
  <c r="D15" i="135"/>
  <c r="E15" i="135" s="1"/>
  <c r="F15" i="135" s="1"/>
  <c r="G15" i="135" s="1"/>
  <c r="AG14" i="135"/>
  <c r="S14" i="135"/>
  <c r="D14" i="135"/>
  <c r="E14" i="135" s="1"/>
  <c r="AG13" i="135"/>
  <c r="S13" i="135"/>
  <c r="AG12" i="135"/>
  <c r="S12" i="135"/>
  <c r="D12" i="135"/>
  <c r="E12" i="135" s="1"/>
  <c r="F12" i="135" s="1"/>
  <c r="G12" i="135" s="1"/>
  <c r="AG11" i="135"/>
  <c r="S11" i="135"/>
  <c r="D11" i="135"/>
  <c r="E11" i="135" s="1"/>
  <c r="F11" i="135" s="1"/>
  <c r="G11" i="135" s="1"/>
  <c r="AG10" i="135"/>
  <c r="AG9" i="135"/>
  <c r="AG8" i="135"/>
  <c r="AG7" i="135"/>
  <c r="S6" i="135"/>
  <c r="AG5" i="135"/>
  <c r="S5" i="135"/>
  <c r="D5" i="135"/>
  <c r="E5" i="135" s="1"/>
  <c r="F5" i="135" s="1"/>
  <c r="G5" i="135" s="1"/>
  <c r="AG4" i="135"/>
  <c r="S4" i="135"/>
  <c r="D4" i="135"/>
  <c r="DO140" i="112"/>
  <c r="DM128" i="112"/>
  <c r="DW132" i="112"/>
  <c r="DW133" i="112"/>
  <c r="DW131" i="112"/>
  <c r="DW130" i="112"/>
  <c r="DW128" i="112"/>
  <c r="DW129" i="112"/>
  <c r="O194" i="114"/>
  <c r="DS128" i="112"/>
  <c r="DR128" i="112"/>
  <c r="DO128" i="112"/>
  <c r="O69" i="114"/>
  <c r="DS113" i="112"/>
  <c r="O175" i="114" s="1"/>
  <c r="DS95" i="112"/>
  <c r="O68" i="114" s="1"/>
  <c r="DM119" i="112"/>
  <c r="DM121" i="112"/>
  <c r="DN121" i="112" s="1"/>
  <c r="DS112" i="112"/>
  <c r="AM174" i="114" s="1"/>
  <c r="DS111" i="112"/>
  <c r="AM173" i="114" s="1"/>
  <c r="DS110" i="112"/>
  <c r="D66" i="135" s="1"/>
  <c r="E66" i="135" s="1"/>
  <c r="F66" i="135" s="1"/>
  <c r="G66" i="135" s="1"/>
  <c r="DM108" i="112"/>
  <c r="DS102" i="112"/>
  <c r="DW102" i="112" s="1"/>
  <c r="DS97" i="112"/>
  <c r="DW97" i="112" s="1"/>
  <c r="D58" i="135" s="1"/>
  <c r="E58" i="135" s="1"/>
  <c r="F58" i="135" s="1"/>
  <c r="G58" i="135" s="1"/>
  <c r="DM116" i="112"/>
  <c r="DM80" i="112"/>
  <c r="DN119" i="112" l="1"/>
  <c r="DS119" i="112" s="1"/>
  <c r="DW119" i="112" s="1"/>
  <c r="D78" i="135"/>
  <c r="E78" i="135" s="1"/>
  <c r="F78" i="135" s="1"/>
  <c r="G78" i="135" s="1"/>
  <c r="D36" i="139"/>
  <c r="E36" i="139" s="1"/>
  <c r="F36" i="139" s="1"/>
  <c r="G36" i="139" s="1"/>
  <c r="D38" i="139"/>
  <c r="E38" i="139" s="1"/>
  <c r="F38" i="139" s="1"/>
  <c r="G38" i="139" s="1"/>
  <c r="D81" i="135"/>
  <c r="E81" i="135" s="1"/>
  <c r="F81" i="135" s="1"/>
  <c r="G81" i="135" s="1"/>
  <c r="D39" i="139"/>
  <c r="E39" i="139" s="1"/>
  <c r="F39" i="139" s="1"/>
  <c r="G39" i="139" s="1"/>
  <c r="D83" i="135"/>
  <c r="E83" i="135" s="1"/>
  <c r="F83" i="135" s="1"/>
  <c r="G83" i="135" s="1"/>
  <c r="D41" i="139"/>
  <c r="E41" i="139" s="1"/>
  <c r="F41" i="139" s="1"/>
  <c r="G41" i="139" s="1"/>
  <c r="D82" i="135"/>
  <c r="E82" i="135" s="1"/>
  <c r="F82" i="135" s="1"/>
  <c r="G82" i="135" s="1"/>
  <c r="D40" i="139"/>
  <c r="E40" i="139" s="1"/>
  <c r="F40" i="139" s="1"/>
  <c r="G40" i="139" s="1"/>
  <c r="D37" i="139"/>
  <c r="E37" i="139" s="1"/>
  <c r="F37" i="139" s="1"/>
  <c r="G37" i="139" s="1"/>
  <c r="F14" i="135"/>
  <c r="G14" i="135" s="1"/>
  <c r="D68" i="135"/>
  <c r="E68" i="135" s="1"/>
  <c r="F68" i="135" s="1"/>
  <c r="G68" i="135" s="1"/>
  <c r="D67" i="135"/>
  <c r="E67" i="135" s="1"/>
  <c r="F67" i="135" s="1"/>
  <c r="G67" i="135" s="1"/>
  <c r="O73" i="114"/>
  <c r="D63" i="135"/>
  <c r="E63" i="135" s="1"/>
  <c r="F63" i="135" s="1"/>
  <c r="G63" i="135" s="1"/>
  <c r="E77" i="135"/>
  <c r="F77" i="135" s="1"/>
  <c r="G77" i="135" s="1"/>
  <c r="E4" i="135"/>
  <c r="D79" i="135"/>
  <c r="E79" i="135" s="1"/>
  <c r="F79" i="135" s="1"/>
  <c r="G79" i="135" s="1"/>
  <c r="D80" i="135"/>
  <c r="E80" i="135" s="1"/>
  <c r="F80" i="135" s="1"/>
  <c r="G80" i="135" s="1"/>
  <c r="O70" i="114"/>
  <c r="D74" i="135" l="1"/>
  <c r="E74" i="135" s="1"/>
  <c r="F74" i="135" s="1"/>
  <c r="G74" i="135" s="1"/>
  <c r="O179" i="114"/>
  <c r="F4" i="135"/>
  <c r="G4" i="135" s="1"/>
  <c r="DM101" i="112"/>
  <c r="DN101" i="112" s="1"/>
  <c r="DS93" i="112" l="1"/>
  <c r="AM66" i="114" s="1"/>
  <c r="DS92" i="112"/>
  <c r="D19" i="135"/>
  <c r="E19" i="135" s="1"/>
  <c r="F19" i="135" s="1"/>
  <c r="G19" i="135" s="1"/>
  <c r="D55" i="135" l="1"/>
  <c r="E55" i="135" s="1"/>
  <c r="F55" i="135" s="1"/>
  <c r="G55" i="135" s="1"/>
  <c r="Z66" i="114"/>
  <c r="D54" i="135"/>
  <c r="E54" i="135" s="1"/>
  <c r="F54" i="135" s="1"/>
  <c r="G54" i="135" s="1"/>
  <c r="DW59" i="112"/>
  <c r="DW36" i="112"/>
  <c r="D17" i="139" l="1"/>
  <c r="E17" i="139" s="1"/>
  <c r="F17" i="139" s="1"/>
  <c r="G17" i="139" s="1"/>
  <c r="EC62" i="112"/>
  <c r="D26" i="135"/>
  <c r="E26" i="135" s="1"/>
  <c r="F26" i="135" s="1"/>
  <c r="G26" i="135" s="1"/>
  <c r="DS4" i="112" l="1"/>
  <c r="DQ4" i="112"/>
  <c r="DM4" i="112"/>
  <c r="DN4" i="112" s="1"/>
  <c r="D6" i="135" l="1"/>
  <c r="E6" i="135" s="1"/>
  <c r="F6" i="135" s="1"/>
  <c r="G6" i="135" s="1"/>
  <c r="D5" i="139"/>
  <c r="E5" i="139" s="1"/>
  <c r="F5" i="139" s="1"/>
  <c r="G5" i="139" s="1"/>
  <c r="DS77" i="112" l="1"/>
  <c r="O57" i="114" s="1"/>
  <c r="AE22" i="114"/>
  <c r="O164" i="114" l="1"/>
  <c r="O164" i="115"/>
  <c r="D35" i="135"/>
  <c r="E35" i="135" s="1"/>
  <c r="F35" i="135" s="1"/>
  <c r="G35" i="135" s="1"/>
  <c r="D26" i="139"/>
  <c r="E26" i="139" s="1"/>
  <c r="F26" i="139" s="1"/>
  <c r="G26" i="139" s="1"/>
  <c r="D38" i="135"/>
  <c r="E38" i="135" s="1"/>
  <c r="F38" i="135" s="1"/>
  <c r="G38" i="135" s="1"/>
  <c r="D29" i="139"/>
  <c r="E29" i="139" s="1"/>
  <c r="F29" i="139" s="1"/>
  <c r="G29" i="139" s="1"/>
  <c r="D13" i="135"/>
  <c r="E13" i="135" s="1"/>
  <c r="F13" i="135" s="1"/>
  <c r="G13" i="135" s="1"/>
  <c r="AP4" i="114"/>
  <c r="O45" i="114"/>
  <c r="EJ62" i="112"/>
  <c r="P8" i="124"/>
  <c r="O34" i="114"/>
  <c r="DM234" i="112"/>
  <c r="DM220" i="112"/>
  <c r="DM179" i="112"/>
  <c r="DM162" i="112"/>
  <c r="DM138" i="112"/>
  <c r="DM126" i="112"/>
  <c r="DM90" i="112"/>
  <c r="DM72" i="112"/>
  <c r="DM58" i="112"/>
  <c r="DM43" i="112"/>
  <c r="DM32" i="112"/>
  <c r="DM6" i="112"/>
  <c r="DM74" i="112"/>
  <c r="DM73" i="112"/>
  <c r="DS73" i="112" s="1"/>
  <c r="HT418" i="112" l="1"/>
  <c r="GD418" i="112"/>
  <c r="GC418" i="112"/>
  <c r="GB418" i="112"/>
  <c r="FW418" i="112"/>
  <c r="HB418" i="112" s="1"/>
  <c r="FS418" i="112"/>
  <c r="FT418" i="112" s="1"/>
  <c r="FQ418" i="112"/>
  <c r="FR418" i="112" s="1"/>
  <c r="EA418" i="112" s="1"/>
  <c r="FO418" i="112"/>
  <c r="AO88" i="121"/>
  <c r="AN88" i="121"/>
  <c r="AM88" i="121"/>
  <c r="DW418" i="112"/>
  <c r="DT418" i="112"/>
  <c r="ED418" i="112" s="1"/>
  <c r="EE418" i="112" s="1"/>
  <c r="DS418" i="112"/>
  <c r="DR418" i="112"/>
  <c r="DP418" i="112"/>
  <c r="DO418" i="112"/>
  <c r="DN418" i="112"/>
  <c r="DM418" i="112"/>
  <c r="HT417" i="112"/>
  <c r="GD417" i="112"/>
  <c r="GC417" i="112"/>
  <c r="GB417" i="112"/>
  <c r="FW417" i="112"/>
  <c r="HB417" i="112" s="1"/>
  <c r="FS417" i="112"/>
  <c r="FQ417" i="112"/>
  <c r="FR417" i="112" s="1"/>
  <c r="EA417" i="112" s="1"/>
  <c r="FO417" i="112"/>
  <c r="AO87" i="121"/>
  <c r="AN87" i="121"/>
  <c r="AM87" i="121"/>
  <c r="DW417" i="112"/>
  <c r="DT417" i="112"/>
  <c r="EI417" i="112" s="1"/>
  <c r="EJ417" i="112" s="1"/>
  <c r="DS417" i="112"/>
  <c r="DL417" i="112" s="1"/>
  <c r="DR417" i="112"/>
  <c r="DP417" i="112"/>
  <c r="DO417" i="112"/>
  <c r="DN417" i="112"/>
  <c r="DM417" i="112"/>
  <c r="EI418" i="112" l="1"/>
  <c r="EJ418" i="112" s="1"/>
  <c r="DY418" i="112"/>
  <c r="DZ418" i="112"/>
  <c r="EF418" i="112"/>
  <c r="DX418" i="112"/>
  <c r="EK418" i="112"/>
  <c r="FT417" i="112"/>
  <c r="DZ417" i="112"/>
  <c r="ED417" i="112"/>
  <c r="EE417" i="112" s="1"/>
  <c r="EF417" i="112"/>
  <c r="EG417" i="112"/>
  <c r="EH417" i="112" s="1"/>
  <c r="DY417" i="112"/>
  <c r="HW417" i="112"/>
  <c r="DK417" i="112"/>
  <c r="FU417" i="112"/>
  <c r="DX417" i="112"/>
  <c r="HW418" i="112"/>
  <c r="FU418" i="112"/>
  <c r="HU417" i="112"/>
  <c r="EB417" i="112"/>
  <c r="EC417" i="112" s="1"/>
  <c r="EK417" i="112"/>
  <c r="DK418" i="112"/>
  <c r="EB418" i="112"/>
  <c r="EC418" i="112" s="1"/>
  <c r="DL418" i="112"/>
  <c r="HU418" i="112"/>
  <c r="EG418" i="112"/>
  <c r="EH418" i="112" s="1"/>
  <c r="DM53" i="112" l="1"/>
  <c r="DN53" i="112" s="1"/>
  <c r="EC53" i="112" s="1"/>
  <c r="DM51" i="112"/>
  <c r="DW50" i="112"/>
  <c r="D24" i="139" s="1"/>
  <c r="E24" i="139" s="1"/>
  <c r="F24" i="139" s="1"/>
  <c r="G24" i="139" s="1"/>
  <c r="DW49" i="112"/>
  <c r="DW48" i="112"/>
  <c r="D23" i="139" s="1"/>
  <c r="E23" i="139" s="1"/>
  <c r="F23" i="139" s="1"/>
  <c r="G23" i="139" s="1"/>
  <c r="DW47" i="112"/>
  <c r="DW46" i="112"/>
  <c r="D22" i="139" s="1"/>
  <c r="E22" i="139" s="1"/>
  <c r="F22" i="139" s="1"/>
  <c r="G22" i="139" s="1"/>
  <c r="DW45" i="112"/>
  <c r="DN51" i="112" l="1"/>
  <c r="EC51" i="112" s="1"/>
  <c r="D31" i="135"/>
  <c r="E31" i="135" s="1"/>
  <c r="F31" i="135" s="1"/>
  <c r="G31" i="135" s="1"/>
  <c r="D32" i="135"/>
  <c r="E32" i="135" s="1"/>
  <c r="F32" i="135" s="1"/>
  <c r="G32" i="135" s="1"/>
  <c r="D33" i="135"/>
  <c r="E33" i="135" s="1"/>
  <c r="F33" i="135" s="1"/>
  <c r="G33" i="135" s="1"/>
  <c r="DY45" i="112"/>
  <c r="DZ45" i="112" s="1"/>
  <c r="DY46" i="112"/>
  <c r="DZ46" i="112" s="1"/>
  <c r="O161" i="114" l="1"/>
  <c r="O161" i="115"/>
  <c r="O162" i="114"/>
  <c r="O162" i="115"/>
  <c r="DW35" i="112"/>
  <c r="EC61" i="112" s="1"/>
  <c r="DW34" i="112"/>
  <c r="D16" i="139" l="1"/>
  <c r="E16" i="139" s="1"/>
  <c r="F16" i="139" s="1"/>
  <c r="G16" i="139" s="1"/>
  <c r="EC60" i="112"/>
  <c r="D25" i="135"/>
  <c r="E25" i="135" s="1"/>
  <c r="F25" i="135" s="1"/>
  <c r="G25" i="135" s="1"/>
  <c r="DV6" i="112"/>
  <c r="EJ60" i="112" l="1"/>
  <c r="EM59" i="112" s="1"/>
  <c r="AE18" i="114" s="1"/>
  <c r="D34" i="135"/>
  <c r="E34" i="135" s="1"/>
  <c r="F34" i="135" s="1"/>
  <c r="G34" i="135" s="1"/>
  <c r="D25" i="139"/>
  <c r="E25" i="139" s="1"/>
  <c r="F25" i="139" s="1"/>
  <c r="G25" i="139" s="1"/>
  <c r="HT534" i="112"/>
  <c r="HT533" i="112"/>
  <c r="HT532" i="112"/>
  <c r="HT531" i="112"/>
  <c r="HT530" i="112"/>
  <c r="HT529" i="112"/>
  <c r="HT528" i="112"/>
  <c r="HT527" i="112"/>
  <c r="HT526" i="112"/>
  <c r="HT525" i="112"/>
  <c r="HT524" i="112"/>
  <c r="HT523" i="112"/>
  <c r="HT522" i="112"/>
  <c r="HT521" i="112"/>
  <c r="HT520" i="112"/>
  <c r="HT514" i="112"/>
  <c r="HT513" i="112"/>
  <c r="HT512" i="112"/>
  <c r="HT511" i="112"/>
  <c r="HT510" i="112"/>
  <c r="HT509" i="112"/>
  <c r="HT508" i="112"/>
  <c r="HT507" i="112"/>
  <c r="HT502" i="112"/>
  <c r="HT501" i="112"/>
  <c r="HT500" i="112"/>
  <c r="HT499" i="112"/>
  <c r="HT498" i="112"/>
  <c r="HT497" i="112"/>
  <c r="HT491" i="112"/>
  <c r="HT490" i="112"/>
  <c r="HT489" i="112"/>
  <c r="HT488" i="112"/>
  <c r="HT487" i="112"/>
  <c r="HT486" i="112"/>
  <c r="HT485" i="112"/>
  <c r="HT484" i="112"/>
  <c r="HT483" i="112"/>
  <c r="HT482" i="112"/>
  <c r="HT481" i="112"/>
  <c r="HT480" i="112"/>
  <c r="HT479" i="112"/>
  <c r="HT478" i="112"/>
  <c r="HT473" i="112"/>
  <c r="HT472" i="112"/>
  <c r="HT471" i="112"/>
  <c r="HT470" i="112"/>
  <c r="HT469" i="112"/>
  <c r="HT468" i="112"/>
  <c r="HT467" i="112"/>
  <c r="HT466" i="112"/>
  <c r="HT465" i="112"/>
  <c r="HT464" i="112"/>
  <c r="HT463" i="112"/>
  <c r="HT462" i="112"/>
  <c r="HT461" i="112"/>
  <c r="HT460" i="112"/>
  <c r="HT459" i="112"/>
  <c r="HT458" i="112"/>
  <c r="HT457" i="112"/>
  <c r="HT456" i="112"/>
  <c r="HT455" i="112"/>
  <c r="HT454" i="112"/>
  <c r="HT453" i="112"/>
  <c r="HT452" i="112"/>
  <c r="HT451" i="112"/>
  <c r="HT450" i="112"/>
  <c r="HT449" i="112"/>
  <c r="HT448" i="112"/>
  <c r="HT447" i="112"/>
  <c r="HT446" i="112"/>
  <c r="HT445" i="112"/>
  <c r="HT444" i="112"/>
  <c r="HT443" i="112"/>
  <c r="HT442" i="112"/>
  <c r="HT441" i="112"/>
  <c r="HT440" i="112"/>
  <c r="HT439" i="112"/>
  <c r="HT438" i="112"/>
  <c r="HT437" i="112"/>
  <c r="HT436" i="112"/>
  <c r="HT431" i="112"/>
  <c r="HT430" i="112"/>
  <c r="HT429" i="112"/>
  <c r="HT428" i="112"/>
  <c r="HT427" i="112"/>
  <c r="HT426" i="112"/>
  <c r="HT425" i="112"/>
  <c r="HT424" i="112"/>
  <c r="HT423" i="112"/>
  <c r="HT422" i="112"/>
  <c r="HT421" i="112"/>
  <c r="HT420" i="112"/>
  <c r="HT419" i="112"/>
  <c r="HT416" i="112"/>
  <c r="HT415" i="112"/>
  <c r="HT414" i="112"/>
  <c r="HT413" i="112"/>
  <c r="HT412" i="112"/>
  <c r="HT411" i="112"/>
  <c r="HT410" i="112"/>
  <c r="HT409" i="112"/>
  <c r="HT408" i="112"/>
  <c r="HT407" i="112"/>
  <c r="HT406" i="112"/>
  <c r="HT405" i="112"/>
  <c r="HT404" i="112"/>
  <c r="HT403" i="112"/>
  <c r="HT402" i="112"/>
  <c r="HT401" i="112"/>
  <c r="HT400" i="112"/>
  <c r="HT399" i="112"/>
  <c r="HT398" i="112"/>
  <c r="HT397" i="112"/>
  <c r="HT396" i="112"/>
  <c r="HT395" i="112"/>
  <c r="HT394" i="112"/>
  <c r="HT393" i="112"/>
  <c r="HT392" i="112"/>
  <c r="HT391" i="112"/>
  <c r="HT390" i="112"/>
  <c r="HT389" i="112"/>
  <c r="HT388" i="112"/>
  <c r="HT387" i="112"/>
  <c r="HT386" i="112"/>
  <c r="HT385" i="112"/>
  <c r="HT384" i="112"/>
  <c r="HT383" i="112"/>
  <c r="HT382" i="112"/>
  <c r="HT377" i="112"/>
  <c r="HT376" i="112"/>
  <c r="HT375" i="112"/>
  <c r="HT374" i="112"/>
  <c r="HT373" i="112"/>
  <c r="HT372" i="112"/>
  <c r="HT371" i="112"/>
  <c r="HT370" i="112"/>
  <c r="HT369" i="112"/>
  <c r="HT368" i="112"/>
  <c r="HT367" i="112"/>
  <c r="HT366" i="112"/>
  <c r="HT365" i="112"/>
  <c r="HT364" i="112"/>
  <c r="HT359" i="112"/>
  <c r="HT358" i="112"/>
  <c r="HT357" i="112"/>
  <c r="HT356" i="112"/>
  <c r="HT355" i="112"/>
  <c r="HT354" i="112"/>
  <c r="HT353" i="112"/>
  <c r="HT352" i="112"/>
  <c r="HT351" i="112"/>
  <c r="HT350" i="112"/>
  <c r="HT349" i="112"/>
  <c r="HT348" i="112"/>
  <c r="HT347" i="112"/>
  <c r="HT346" i="112"/>
  <c r="HT345" i="112"/>
  <c r="HT344" i="112"/>
  <c r="HT343" i="112"/>
  <c r="HT342" i="112"/>
  <c r="HT341" i="112"/>
  <c r="HT340" i="112"/>
  <c r="HT339" i="112"/>
  <c r="HT338" i="112"/>
  <c r="HT337" i="112"/>
  <c r="HT332" i="112"/>
  <c r="HT331" i="112"/>
  <c r="HT330" i="112"/>
  <c r="HT329" i="112"/>
  <c r="HT328" i="112"/>
  <c r="HT327" i="112"/>
  <c r="HT326" i="112"/>
  <c r="HT325" i="112"/>
  <c r="HT324" i="112"/>
  <c r="HT323" i="112"/>
  <c r="HT322" i="112"/>
  <c r="HT321" i="112"/>
  <c r="HT320" i="112"/>
  <c r="HT319" i="112"/>
  <c r="FQ534" i="112"/>
  <c r="FR534" i="112" s="1"/>
  <c r="EA534" i="112" s="1"/>
  <c r="FQ533" i="112"/>
  <c r="FR533" i="112" s="1"/>
  <c r="EA533" i="112" s="1"/>
  <c r="FQ532" i="112"/>
  <c r="FR532" i="112" s="1"/>
  <c r="EA532" i="112" s="1"/>
  <c r="FQ531" i="112"/>
  <c r="FR531" i="112" s="1"/>
  <c r="EA531" i="112" s="1"/>
  <c r="FQ530" i="112"/>
  <c r="FR530" i="112" s="1"/>
  <c r="EA530" i="112" s="1"/>
  <c r="FQ529" i="112"/>
  <c r="FR529" i="112" s="1"/>
  <c r="EA529" i="112" s="1"/>
  <c r="FQ528" i="112"/>
  <c r="FR528" i="112" s="1"/>
  <c r="EA528" i="112" s="1"/>
  <c r="FQ527" i="112"/>
  <c r="FR527" i="112" s="1"/>
  <c r="EA527" i="112" s="1"/>
  <c r="FQ526" i="112"/>
  <c r="FR526" i="112" s="1"/>
  <c r="EA526" i="112" s="1"/>
  <c r="FQ525" i="112"/>
  <c r="FR525" i="112" s="1"/>
  <c r="EA525" i="112" s="1"/>
  <c r="FQ524" i="112"/>
  <c r="FR524" i="112" s="1"/>
  <c r="EA524" i="112" s="1"/>
  <c r="FQ523" i="112"/>
  <c r="FR523" i="112" s="1"/>
  <c r="EA523" i="112" s="1"/>
  <c r="FQ522" i="112"/>
  <c r="FR522" i="112" s="1"/>
  <c r="EA522" i="112" s="1"/>
  <c r="FQ500" i="112"/>
  <c r="FR500" i="112" s="1"/>
  <c r="EA500" i="112" s="1"/>
  <c r="FQ499" i="112"/>
  <c r="FR499" i="112" s="1"/>
  <c r="EA499" i="112" s="1"/>
  <c r="FQ491" i="112"/>
  <c r="FR491" i="112" s="1"/>
  <c r="EA491" i="112" s="1"/>
  <c r="FQ490" i="112"/>
  <c r="FR490" i="112" s="1"/>
  <c r="EA490" i="112" s="1"/>
  <c r="FQ489" i="112"/>
  <c r="FR489" i="112" s="1"/>
  <c r="EA489" i="112" s="1"/>
  <c r="FQ488" i="112"/>
  <c r="FR488" i="112" s="1"/>
  <c r="EA488" i="112" s="1"/>
  <c r="FQ487" i="112"/>
  <c r="FR487" i="112" s="1"/>
  <c r="EA487" i="112" s="1"/>
  <c r="FQ486" i="112"/>
  <c r="FR486" i="112" s="1"/>
  <c r="EA486" i="112" s="1"/>
  <c r="FQ485" i="112"/>
  <c r="FR485" i="112" s="1"/>
  <c r="EA485" i="112" s="1"/>
  <c r="FQ484" i="112"/>
  <c r="FR484" i="112" s="1"/>
  <c r="EA484" i="112" s="1"/>
  <c r="FQ483" i="112"/>
  <c r="FR483" i="112" s="1"/>
  <c r="EA483" i="112" s="1"/>
  <c r="FQ482" i="112"/>
  <c r="FR482" i="112" s="1"/>
  <c r="EA482" i="112" s="1"/>
  <c r="FQ481" i="112"/>
  <c r="FR481" i="112" s="1"/>
  <c r="EA481" i="112" s="1"/>
  <c r="FQ480" i="112"/>
  <c r="FR480" i="112" s="1"/>
  <c r="EA480" i="112" s="1"/>
  <c r="FQ479" i="112"/>
  <c r="FR479" i="112" s="1"/>
  <c r="EA479" i="112" s="1"/>
  <c r="FQ478" i="112"/>
  <c r="FR478" i="112" s="1"/>
  <c r="EA478" i="112" s="1"/>
  <c r="FQ473" i="112"/>
  <c r="FR473" i="112" s="1"/>
  <c r="EA473" i="112" s="1"/>
  <c r="FQ472" i="112"/>
  <c r="FR472" i="112" s="1"/>
  <c r="EA472" i="112" s="1"/>
  <c r="FQ471" i="112"/>
  <c r="FR471" i="112" s="1"/>
  <c r="EA471" i="112" s="1"/>
  <c r="FQ470" i="112"/>
  <c r="FR470" i="112" s="1"/>
  <c r="EA470" i="112" s="1"/>
  <c r="FQ469" i="112"/>
  <c r="FR469" i="112" s="1"/>
  <c r="EA469" i="112" s="1"/>
  <c r="FQ468" i="112"/>
  <c r="FR468" i="112" s="1"/>
  <c r="EA468" i="112" s="1"/>
  <c r="FQ467" i="112"/>
  <c r="FR467" i="112" s="1"/>
  <c r="EA467" i="112" s="1"/>
  <c r="FQ466" i="112"/>
  <c r="FR466" i="112" s="1"/>
  <c r="EA466" i="112" s="1"/>
  <c r="FQ465" i="112"/>
  <c r="FR465" i="112" s="1"/>
  <c r="EA465" i="112" s="1"/>
  <c r="FQ464" i="112"/>
  <c r="FR464" i="112" s="1"/>
  <c r="EA464" i="112" s="1"/>
  <c r="FQ463" i="112"/>
  <c r="FR463" i="112" s="1"/>
  <c r="EA463" i="112" s="1"/>
  <c r="FQ462" i="112"/>
  <c r="FR462" i="112" s="1"/>
  <c r="EA462" i="112" s="1"/>
  <c r="FQ461" i="112"/>
  <c r="FR461" i="112" s="1"/>
  <c r="EA461" i="112" s="1"/>
  <c r="FQ460" i="112"/>
  <c r="FR460" i="112" s="1"/>
  <c r="EA460" i="112" s="1"/>
  <c r="FQ459" i="112"/>
  <c r="FR459" i="112" s="1"/>
  <c r="EA459" i="112" s="1"/>
  <c r="FQ458" i="112"/>
  <c r="FR458" i="112" s="1"/>
  <c r="EA458" i="112" s="1"/>
  <c r="FQ457" i="112"/>
  <c r="FR457" i="112" s="1"/>
  <c r="EA457" i="112" s="1"/>
  <c r="FQ456" i="112"/>
  <c r="FR456" i="112" s="1"/>
  <c r="EA456" i="112" s="1"/>
  <c r="FQ455" i="112"/>
  <c r="FR455" i="112" s="1"/>
  <c r="EA455" i="112" s="1"/>
  <c r="FQ454" i="112"/>
  <c r="FR454" i="112" s="1"/>
  <c r="EA454" i="112" s="1"/>
  <c r="FQ453" i="112"/>
  <c r="FR453" i="112" s="1"/>
  <c r="EA453" i="112" s="1"/>
  <c r="FQ452" i="112"/>
  <c r="FR452" i="112" s="1"/>
  <c r="EA452" i="112" s="1"/>
  <c r="FQ451" i="112"/>
  <c r="FR451" i="112" s="1"/>
  <c r="EA451" i="112" s="1"/>
  <c r="FQ450" i="112"/>
  <c r="FR450" i="112" s="1"/>
  <c r="EA450" i="112" s="1"/>
  <c r="FQ449" i="112"/>
  <c r="FR449" i="112" s="1"/>
  <c r="EA449" i="112" s="1"/>
  <c r="FQ448" i="112"/>
  <c r="FR448" i="112" s="1"/>
  <c r="EA448" i="112" s="1"/>
  <c r="FQ447" i="112"/>
  <c r="FR447" i="112" s="1"/>
  <c r="EA447" i="112" s="1"/>
  <c r="FQ446" i="112"/>
  <c r="FR446" i="112" s="1"/>
  <c r="EA446" i="112" s="1"/>
  <c r="FQ445" i="112"/>
  <c r="FR445" i="112" s="1"/>
  <c r="EA445" i="112" s="1"/>
  <c r="FQ444" i="112"/>
  <c r="FR444" i="112" s="1"/>
  <c r="EA444" i="112" s="1"/>
  <c r="FQ443" i="112"/>
  <c r="FR443" i="112" s="1"/>
  <c r="EA443" i="112" s="1"/>
  <c r="FQ442" i="112"/>
  <c r="FR442" i="112" s="1"/>
  <c r="EA442" i="112" s="1"/>
  <c r="FQ441" i="112"/>
  <c r="FR441" i="112" s="1"/>
  <c r="EA441" i="112" s="1"/>
  <c r="FQ440" i="112"/>
  <c r="FR440" i="112" s="1"/>
  <c r="EA440" i="112" s="1"/>
  <c r="FQ439" i="112"/>
  <c r="FR439" i="112" s="1"/>
  <c r="EA439" i="112" s="1"/>
  <c r="FQ438" i="112"/>
  <c r="FR438" i="112" s="1"/>
  <c r="EA438" i="112" s="1"/>
  <c r="FQ437" i="112"/>
  <c r="FR437" i="112" s="1"/>
  <c r="EA437" i="112" s="1"/>
  <c r="FQ436" i="112"/>
  <c r="FR436" i="112" s="1"/>
  <c r="EA436" i="112" s="1"/>
  <c r="FQ431" i="112"/>
  <c r="FR431" i="112" s="1"/>
  <c r="EA431" i="112" s="1"/>
  <c r="FQ430" i="112"/>
  <c r="FR430" i="112" s="1"/>
  <c r="EA430" i="112" s="1"/>
  <c r="FQ429" i="112"/>
  <c r="FR429" i="112" s="1"/>
  <c r="EA429" i="112" s="1"/>
  <c r="FQ428" i="112"/>
  <c r="FR428" i="112" s="1"/>
  <c r="EA428" i="112" s="1"/>
  <c r="FQ427" i="112"/>
  <c r="FR427" i="112" s="1"/>
  <c r="EA427" i="112" s="1"/>
  <c r="FQ426" i="112"/>
  <c r="FR426" i="112" s="1"/>
  <c r="EA426" i="112" s="1"/>
  <c r="FQ425" i="112"/>
  <c r="FR425" i="112" s="1"/>
  <c r="EA425" i="112" s="1"/>
  <c r="FQ424" i="112"/>
  <c r="FR424" i="112" s="1"/>
  <c r="EA424" i="112" s="1"/>
  <c r="FQ423" i="112"/>
  <c r="FR423" i="112" s="1"/>
  <c r="EA423" i="112" s="1"/>
  <c r="FQ422" i="112"/>
  <c r="FR422" i="112" s="1"/>
  <c r="EA422" i="112" s="1"/>
  <c r="FQ421" i="112"/>
  <c r="FR421" i="112" s="1"/>
  <c r="EA421" i="112" s="1"/>
  <c r="FQ420" i="112"/>
  <c r="FR420" i="112" s="1"/>
  <c r="EA420" i="112" s="1"/>
  <c r="FQ419" i="112"/>
  <c r="FR419" i="112" s="1"/>
  <c r="EA419" i="112" s="1"/>
  <c r="FQ416" i="112"/>
  <c r="FR416" i="112" s="1"/>
  <c r="EA416" i="112" s="1"/>
  <c r="FQ414" i="112"/>
  <c r="FR414" i="112" s="1"/>
  <c r="EA414" i="112" s="1"/>
  <c r="FQ413" i="112"/>
  <c r="FR413" i="112" s="1"/>
  <c r="EA413" i="112" s="1"/>
  <c r="FQ412" i="112"/>
  <c r="FR412" i="112" s="1"/>
  <c r="EA412" i="112" s="1"/>
  <c r="FQ411" i="112"/>
  <c r="FR411" i="112" s="1"/>
  <c r="EA411" i="112" s="1"/>
  <c r="FQ410" i="112"/>
  <c r="FR410" i="112" s="1"/>
  <c r="EA410" i="112" s="1"/>
  <c r="FQ409" i="112"/>
  <c r="FR409" i="112" s="1"/>
  <c r="EA409" i="112" s="1"/>
  <c r="FQ408" i="112"/>
  <c r="FR408" i="112" s="1"/>
  <c r="EA408" i="112" s="1"/>
  <c r="FQ407" i="112"/>
  <c r="FR407" i="112" s="1"/>
  <c r="EA407" i="112" s="1"/>
  <c r="FQ406" i="112"/>
  <c r="FR406" i="112" s="1"/>
  <c r="EA406" i="112" s="1"/>
  <c r="FQ405" i="112"/>
  <c r="FR405" i="112" s="1"/>
  <c r="EA405" i="112" s="1"/>
  <c r="FQ404" i="112"/>
  <c r="FR404" i="112" s="1"/>
  <c r="EA404" i="112" s="1"/>
  <c r="FQ403" i="112"/>
  <c r="FR403" i="112" s="1"/>
  <c r="EA403" i="112" s="1"/>
  <c r="FQ402" i="112"/>
  <c r="FR402" i="112" s="1"/>
  <c r="EA402" i="112" s="1"/>
  <c r="FQ401" i="112"/>
  <c r="FR401" i="112" s="1"/>
  <c r="EA401" i="112" s="1"/>
  <c r="FQ400" i="112"/>
  <c r="FR400" i="112" s="1"/>
  <c r="EA400" i="112" s="1"/>
  <c r="FQ399" i="112"/>
  <c r="FR399" i="112" s="1"/>
  <c r="EA399" i="112" s="1"/>
  <c r="FQ398" i="112"/>
  <c r="FR398" i="112" s="1"/>
  <c r="EA398" i="112" s="1"/>
  <c r="FQ397" i="112"/>
  <c r="FR397" i="112" s="1"/>
  <c r="EA397" i="112" s="1"/>
  <c r="FQ396" i="112"/>
  <c r="FR396" i="112" s="1"/>
  <c r="EA396" i="112" s="1"/>
  <c r="FQ395" i="112"/>
  <c r="FR395" i="112" s="1"/>
  <c r="EA395" i="112" s="1"/>
  <c r="FQ394" i="112"/>
  <c r="FR394" i="112" s="1"/>
  <c r="EA394" i="112" s="1"/>
  <c r="FQ393" i="112"/>
  <c r="FR393" i="112" s="1"/>
  <c r="EA393" i="112" s="1"/>
  <c r="FQ392" i="112"/>
  <c r="FR392" i="112" s="1"/>
  <c r="EA392" i="112" s="1"/>
  <c r="FQ391" i="112"/>
  <c r="FR391" i="112" s="1"/>
  <c r="EA391" i="112" s="1"/>
  <c r="FQ390" i="112"/>
  <c r="FR390" i="112" s="1"/>
  <c r="EA390" i="112" s="1"/>
  <c r="FQ389" i="112"/>
  <c r="FR389" i="112" s="1"/>
  <c r="EA389" i="112" s="1"/>
  <c r="FQ388" i="112"/>
  <c r="FR388" i="112" s="1"/>
  <c r="EA388" i="112" s="1"/>
  <c r="FQ387" i="112"/>
  <c r="FR387" i="112" s="1"/>
  <c r="EA387" i="112" s="1"/>
  <c r="FQ386" i="112"/>
  <c r="FR386" i="112" s="1"/>
  <c r="EA386" i="112" s="1"/>
  <c r="FQ385" i="112"/>
  <c r="FR385" i="112" s="1"/>
  <c r="EA385" i="112" s="1"/>
  <c r="FQ384" i="112"/>
  <c r="FR384" i="112" s="1"/>
  <c r="EA384" i="112" s="1"/>
  <c r="FQ383" i="112"/>
  <c r="FR383" i="112" s="1"/>
  <c r="EA383" i="112" s="1"/>
  <c r="FQ382" i="112"/>
  <c r="FR382" i="112" s="1"/>
  <c r="EA382" i="112" s="1"/>
  <c r="FQ377" i="112"/>
  <c r="FR377" i="112" s="1"/>
  <c r="EA377" i="112" s="1"/>
  <c r="FQ376" i="112"/>
  <c r="FR376" i="112" s="1"/>
  <c r="EA376" i="112" s="1"/>
  <c r="FQ375" i="112"/>
  <c r="FR375" i="112" s="1"/>
  <c r="EA375" i="112" s="1"/>
  <c r="FQ374" i="112"/>
  <c r="FR374" i="112" s="1"/>
  <c r="EA374" i="112" s="1"/>
  <c r="FQ373" i="112"/>
  <c r="FR373" i="112" s="1"/>
  <c r="EA373" i="112" s="1"/>
  <c r="FQ372" i="112"/>
  <c r="FR372" i="112" s="1"/>
  <c r="EA372" i="112" s="1"/>
  <c r="FQ371" i="112"/>
  <c r="FR371" i="112" s="1"/>
  <c r="EA371" i="112" s="1"/>
  <c r="FQ370" i="112"/>
  <c r="FR370" i="112" s="1"/>
  <c r="EA370" i="112" s="1"/>
  <c r="FQ369" i="112"/>
  <c r="FR369" i="112" s="1"/>
  <c r="EA369" i="112" s="1"/>
  <c r="FQ368" i="112"/>
  <c r="FR368" i="112" s="1"/>
  <c r="EA368" i="112" s="1"/>
  <c r="FQ367" i="112"/>
  <c r="FR367" i="112" s="1"/>
  <c r="EA367" i="112" s="1"/>
  <c r="FQ366" i="112"/>
  <c r="FR366" i="112" s="1"/>
  <c r="EA366" i="112" s="1"/>
  <c r="FQ365" i="112"/>
  <c r="FR365" i="112" s="1"/>
  <c r="EA365" i="112" s="1"/>
  <c r="FQ364" i="112"/>
  <c r="FR364" i="112" s="1"/>
  <c r="EA364" i="112" s="1"/>
  <c r="FQ359" i="112"/>
  <c r="FR359" i="112" s="1"/>
  <c r="EA359" i="112" s="1"/>
  <c r="FQ358" i="112"/>
  <c r="FR358" i="112" s="1"/>
  <c r="EA358" i="112" s="1"/>
  <c r="FQ357" i="112"/>
  <c r="FR357" i="112" s="1"/>
  <c r="EA357" i="112" s="1"/>
  <c r="FQ356" i="112"/>
  <c r="FR356" i="112" s="1"/>
  <c r="EA356" i="112" s="1"/>
  <c r="FQ355" i="112"/>
  <c r="FR355" i="112" s="1"/>
  <c r="EA355" i="112" s="1"/>
  <c r="FQ354" i="112"/>
  <c r="FR354" i="112" s="1"/>
  <c r="EA354" i="112" s="1"/>
  <c r="FQ353" i="112"/>
  <c r="FR353" i="112" s="1"/>
  <c r="EA353" i="112" s="1"/>
  <c r="FQ352" i="112"/>
  <c r="FR352" i="112" s="1"/>
  <c r="EA352" i="112" s="1"/>
  <c r="FQ351" i="112"/>
  <c r="FR351" i="112" s="1"/>
  <c r="EA351" i="112" s="1"/>
  <c r="FQ350" i="112"/>
  <c r="FR350" i="112" s="1"/>
  <c r="EA350" i="112" s="1"/>
  <c r="FQ349" i="112"/>
  <c r="FR349" i="112" s="1"/>
  <c r="EA349" i="112" s="1"/>
  <c r="FQ348" i="112"/>
  <c r="FR348" i="112" s="1"/>
  <c r="EA348" i="112" s="1"/>
  <c r="FQ347" i="112"/>
  <c r="FR347" i="112" s="1"/>
  <c r="EA347" i="112" s="1"/>
  <c r="FQ346" i="112"/>
  <c r="FR346" i="112" s="1"/>
  <c r="EA346" i="112" s="1"/>
  <c r="FQ345" i="112"/>
  <c r="FR345" i="112" s="1"/>
  <c r="EA345" i="112" s="1"/>
  <c r="FQ344" i="112"/>
  <c r="FR344" i="112" s="1"/>
  <c r="EA344" i="112" s="1"/>
  <c r="FQ343" i="112"/>
  <c r="FR343" i="112" s="1"/>
  <c r="EA343" i="112" s="1"/>
  <c r="FQ342" i="112"/>
  <c r="FR342" i="112" s="1"/>
  <c r="EA342" i="112" s="1"/>
  <c r="FQ341" i="112"/>
  <c r="FR341" i="112" s="1"/>
  <c r="EA341" i="112" s="1"/>
  <c r="FQ340" i="112"/>
  <c r="FR340" i="112" s="1"/>
  <c r="EA340" i="112" s="1"/>
  <c r="FQ339" i="112"/>
  <c r="FR339" i="112" s="1"/>
  <c r="EA339" i="112" s="1"/>
  <c r="FQ338" i="112"/>
  <c r="FR338" i="112" s="1"/>
  <c r="EA338" i="112" s="1"/>
  <c r="FQ332" i="112"/>
  <c r="FR332" i="112" s="1"/>
  <c r="EA332" i="112" s="1"/>
  <c r="FQ331" i="112"/>
  <c r="FR331" i="112" s="1"/>
  <c r="EA331" i="112" s="1"/>
  <c r="FQ330" i="112"/>
  <c r="FR330" i="112" s="1"/>
  <c r="EA330" i="112" s="1"/>
  <c r="FQ329" i="112"/>
  <c r="FR329" i="112" s="1"/>
  <c r="EA329" i="112" s="1"/>
  <c r="FQ328" i="112"/>
  <c r="FR328" i="112" s="1"/>
  <c r="EA328" i="112" s="1"/>
  <c r="FQ327" i="112"/>
  <c r="FR327" i="112" s="1"/>
  <c r="EA327" i="112" s="1"/>
  <c r="FQ326" i="112"/>
  <c r="FR326" i="112" s="1"/>
  <c r="EA326" i="112" s="1"/>
  <c r="FQ324" i="112"/>
  <c r="FR324" i="112" s="1"/>
  <c r="EA324" i="112" s="1"/>
  <c r="FQ323" i="112"/>
  <c r="FR323" i="112" s="1"/>
  <c r="EA323" i="112" s="1"/>
  <c r="FQ322" i="112"/>
  <c r="FR322" i="112" s="1"/>
  <c r="EA322" i="112" s="1"/>
  <c r="DK261" i="112" l="1"/>
  <c r="DK260" i="112"/>
  <c r="DK259" i="112"/>
  <c r="DK258" i="112"/>
  <c r="DK257" i="112"/>
  <c r="EB187" i="112"/>
  <c r="EB184" i="112"/>
  <c r="EB185" i="112"/>
  <c r="EB186" i="112"/>
  <c r="EC187" i="112"/>
  <c r="DV8" i="112"/>
  <c r="DN5" i="112" s="1"/>
  <c r="DV7" i="112"/>
  <c r="EC185" i="112" s="1"/>
  <c r="EC184" i="112"/>
  <c r="EA190" i="112" l="1"/>
  <c r="EA191" i="112" s="1"/>
  <c r="D142" i="135" s="1"/>
  <c r="E142" i="135" s="1"/>
  <c r="F142" i="135" s="1"/>
  <c r="G142" i="135" s="1"/>
  <c r="EA184" i="112"/>
  <c r="EA185" i="112" s="1"/>
  <c r="D132" i="135" s="1"/>
  <c r="E132" i="135" s="1"/>
  <c r="F132" i="135" s="1"/>
  <c r="G132" i="135" s="1"/>
  <c r="EC186" i="112"/>
  <c r="Q35" i="124" l="1"/>
  <c r="H3" i="125" l="1"/>
  <c r="T2" i="37" s="1"/>
  <c r="Q29" i="126" l="1"/>
  <c r="AH4" i="115"/>
  <c r="S2" i="122"/>
  <c r="CV1" i="112"/>
  <c r="CU5" i="112"/>
  <c r="M1" i="126"/>
  <c r="AA2" i="37"/>
  <c r="HQ318" i="112"/>
  <c r="HP318" i="112"/>
  <c r="HO318" i="112"/>
  <c r="HN318" i="112"/>
  <c r="HM318" i="112"/>
  <c r="HL318" i="112"/>
  <c r="HK318" i="112"/>
  <c r="HJ318" i="112"/>
  <c r="HI318" i="112"/>
  <c r="HH318" i="112"/>
  <c r="HG318" i="112"/>
  <c r="HF318" i="112"/>
  <c r="HE318" i="112"/>
  <c r="HD318" i="112"/>
  <c r="HC318" i="112"/>
  <c r="AO1" i="121"/>
  <c r="HH504" i="112" l="1"/>
  <c r="HH506" i="112"/>
  <c r="HH505" i="112"/>
  <c r="HH503" i="112"/>
  <c r="HD506" i="112"/>
  <c r="HD505" i="112"/>
  <c r="HD503" i="112"/>
  <c r="HD504" i="112"/>
  <c r="HG504" i="112"/>
  <c r="HG506" i="112"/>
  <c r="HG505" i="112"/>
  <c r="HG503" i="112"/>
  <c r="HO504" i="112"/>
  <c r="HO506" i="112"/>
  <c r="HO505" i="112"/>
  <c r="HO503" i="112"/>
  <c r="HI504" i="112"/>
  <c r="HI506" i="112"/>
  <c r="HI505" i="112"/>
  <c r="HI503" i="112"/>
  <c r="HQ504" i="112"/>
  <c r="HQ506" i="112"/>
  <c r="HQ505" i="112"/>
  <c r="HQ503" i="112"/>
  <c r="HJ503" i="112"/>
  <c r="HJ504" i="112"/>
  <c r="HJ506" i="112"/>
  <c r="HJ505" i="112"/>
  <c r="HC505" i="112"/>
  <c r="HC503" i="112"/>
  <c r="HC504" i="112"/>
  <c r="HC506" i="112"/>
  <c r="HK505" i="112"/>
  <c r="HK503" i="112"/>
  <c r="HK504" i="112"/>
  <c r="HK506" i="112"/>
  <c r="HP504" i="112"/>
  <c r="HP506" i="112"/>
  <c r="HP505" i="112"/>
  <c r="HP503" i="112"/>
  <c r="HL506" i="112"/>
  <c r="HL505" i="112"/>
  <c r="HL503" i="112"/>
  <c r="HL504" i="112"/>
  <c r="HM506" i="112"/>
  <c r="HM505" i="112"/>
  <c r="HM503" i="112"/>
  <c r="HM504" i="112"/>
  <c r="HE506" i="112"/>
  <c r="HE505" i="112"/>
  <c r="HE503" i="112"/>
  <c r="HE504" i="112"/>
  <c r="HF506" i="112"/>
  <c r="HF505" i="112"/>
  <c r="HF503" i="112"/>
  <c r="HF504" i="112"/>
  <c r="HN506" i="112"/>
  <c r="HN505" i="112"/>
  <c r="HN503" i="112"/>
  <c r="HN504" i="112"/>
  <c r="HG320" i="112"/>
  <c r="HG418" i="112"/>
  <c r="HG417" i="112"/>
  <c r="HO418" i="112"/>
  <c r="HO417" i="112"/>
  <c r="HI320" i="112"/>
  <c r="HI418" i="112"/>
  <c r="HI417" i="112"/>
  <c r="HQ348" i="112"/>
  <c r="HQ418" i="112"/>
  <c r="HQ417" i="112"/>
  <c r="HH322" i="112"/>
  <c r="HH417" i="112"/>
  <c r="HH418" i="112"/>
  <c r="HJ369" i="112"/>
  <c r="HJ418" i="112"/>
  <c r="HJ417" i="112"/>
  <c r="HP395" i="112"/>
  <c r="HP417" i="112"/>
  <c r="HP418" i="112"/>
  <c r="HC377" i="112"/>
  <c r="HC417" i="112"/>
  <c r="HC418" i="112"/>
  <c r="HK418" i="112"/>
  <c r="HK417" i="112"/>
  <c r="HD418" i="112"/>
  <c r="HD417" i="112"/>
  <c r="HL370" i="112"/>
  <c r="HL417" i="112"/>
  <c r="HL418" i="112"/>
  <c r="HE371" i="112"/>
  <c r="HE417" i="112"/>
  <c r="HE418" i="112"/>
  <c r="HM418" i="112"/>
  <c r="HM417" i="112"/>
  <c r="HF367" i="112"/>
  <c r="HF418" i="112"/>
  <c r="HF417" i="112"/>
  <c r="HN321" i="112"/>
  <c r="HN418" i="112"/>
  <c r="HN417" i="112"/>
  <c r="HJ323" i="112"/>
  <c r="HN346" i="112"/>
  <c r="HE382" i="112"/>
  <c r="HF321" i="112"/>
  <c r="HL324" i="112"/>
  <c r="HM416" i="112"/>
  <c r="HE320" i="112"/>
  <c r="HF328" i="112"/>
  <c r="HF320" i="112"/>
  <c r="HN328" i="112"/>
  <c r="HL320" i="112"/>
  <c r="HL337" i="112"/>
  <c r="HM320" i="112"/>
  <c r="HL341" i="112"/>
  <c r="HN320" i="112"/>
  <c r="HF342" i="112"/>
  <c r="HO510" i="112"/>
  <c r="HO488" i="112"/>
  <c r="HO484" i="112"/>
  <c r="HO480" i="112"/>
  <c r="HO472" i="112"/>
  <c r="HO467" i="112"/>
  <c r="HO464" i="112"/>
  <c r="HO513" i="112"/>
  <c r="HO497" i="112"/>
  <c r="HO508" i="112"/>
  <c r="HO501" i="112"/>
  <c r="HO489" i="112"/>
  <c r="HO485" i="112"/>
  <c r="HO481" i="112"/>
  <c r="HO473" i="112"/>
  <c r="HO469" i="112"/>
  <c r="HO465" i="112"/>
  <c r="HO461" i="112"/>
  <c r="HO511" i="112"/>
  <c r="HO498" i="112"/>
  <c r="HO459" i="112"/>
  <c r="HO514" i="112"/>
  <c r="HO502" i="112"/>
  <c r="HO490" i="112"/>
  <c r="HO486" i="112"/>
  <c r="HO482" i="112"/>
  <c r="HO478" i="112"/>
  <c r="HO470" i="112"/>
  <c r="HO468" i="112"/>
  <c r="HO462" i="112"/>
  <c r="HO509" i="112"/>
  <c r="HO499" i="112"/>
  <c r="HO512" i="112"/>
  <c r="HO491" i="112"/>
  <c r="HO487" i="112"/>
  <c r="HO483" i="112"/>
  <c r="HO479" i="112"/>
  <c r="HO471" i="112"/>
  <c r="HO460" i="112"/>
  <c r="HO456" i="112"/>
  <c r="HO453" i="112"/>
  <c r="HO440" i="112"/>
  <c r="HO436" i="112"/>
  <c r="HO422" i="112"/>
  <c r="HO449" i="112"/>
  <c r="HO445" i="112"/>
  <c r="HO441" i="112"/>
  <c r="HO429" i="112"/>
  <c r="HO425" i="112"/>
  <c r="HO507" i="112"/>
  <c r="HO463" i="112"/>
  <c r="HO457" i="112"/>
  <c r="HO454" i="112"/>
  <c r="HO437" i="112"/>
  <c r="HO419" i="112"/>
  <c r="HO450" i="112"/>
  <c r="HO446" i="112"/>
  <c r="HO442" i="112"/>
  <c r="HO430" i="112"/>
  <c r="HO426" i="112"/>
  <c r="HO466" i="112"/>
  <c r="HO458" i="112"/>
  <c r="HO455" i="112"/>
  <c r="HO451" i="112"/>
  <c r="HO438" i="112"/>
  <c r="HO420" i="112"/>
  <c r="HO447" i="112"/>
  <c r="HO443" i="112"/>
  <c r="HO431" i="112"/>
  <c r="HO427" i="112"/>
  <c r="HO423" i="112"/>
  <c r="HO452" i="112"/>
  <c r="HO439" i="112"/>
  <c r="HO421" i="112"/>
  <c r="HO444" i="112"/>
  <c r="HO448" i="112"/>
  <c r="HO412" i="112"/>
  <c r="HO408" i="112"/>
  <c r="HO404" i="112"/>
  <c r="HO400" i="112"/>
  <c r="HO396" i="112"/>
  <c r="HO392" i="112"/>
  <c r="HO388" i="112"/>
  <c r="HO384" i="112"/>
  <c r="HO377" i="112"/>
  <c r="HO373" i="112"/>
  <c r="HO415" i="112"/>
  <c r="HO413" i="112"/>
  <c r="HO409" i="112"/>
  <c r="HO405" i="112"/>
  <c r="HO401" i="112"/>
  <c r="HO397" i="112"/>
  <c r="HO393" i="112"/>
  <c r="HO389" i="112"/>
  <c r="HO385" i="112"/>
  <c r="HO374" i="112"/>
  <c r="HO424" i="112"/>
  <c r="HO416" i="112"/>
  <c r="HO382" i="112"/>
  <c r="HO428" i="112"/>
  <c r="HO414" i="112"/>
  <c r="HO410" i="112"/>
  <c r="HO406" i="112"/>
  <c r="HO402" i="112"/>
  <c r="HO398" i="112"/>
  <c r="HO394" i="112"/>
  <c r="HO390" i="112"/>
  <c r="HO386" i="112"/>
  <c r="HO375" i="112"/>
  <c r="HO500" i="112"/>
  <c r="HO411" i="112"/>
  <c r="HO407" i="112"/>
  <c r="HO403" i="112"/>
  <c r="HO399" i="112"/>
  <c r="HO395" i="112"/>
  <c r="HO391" i="112"/>
  <c r="HO387" i="112"/>
  <c r="HO383" i="112"/>
  <c r="HO376" i="112"/>
  <c r="HO372" i="112"/>
  <c r="HO368" i="112"/>
  <c r="HO364" i="112"/>
  <c r="HO343" i="112"/>
  <c r="HO339" i="112"/>
  <c r="HO326" i="112"/>
  <c r="HO322" i="112"/>
  <c r="HO356" i="112"/>
  <c r="HO352" i="112"/>
  <c r="HO348" i="112"/>
  <c r="HO329" i="112"/>
  <c r="HO369" i="112"/>
  <c r="HO365" i="112"/>
  <c r="HO357" i="112"/>
  <c r="HO344" i="112"/>
  <c r="HO340" i="112"/>
  <c r="HO332" i="112"/>
  <c r="HO323" i="112"/>
  <c r="HO353" i="112"/>
  <c r="HO349" i="112"/>
  <c r="HO327" i="112"/>
  <c r="HO370" i="112"/>
  <c r="HO366" i="112"/>
  <c r="HO358" i="112"/>
  <c r="HO345" i="112"/>
  <c r="HO341" i="112"/>
  <c r="HO337" i="112"/>
  <c r="HO330" i="112"/>
  <c r="HO324" i="112"/>
  <c r="HO371" i="112"/>
  <c r="HO354" i="112"/>
  <c r="HO350" i="112"/>
  <c r="HO367" i="112"/>
  <c r="HO359" i="112"/>
  <c r="HO346" i="112"/>
  <c r="HO342" i="112"/>
  <c r="HO338" i="112"/>
  <c r="HO328" i="112"/>
  <c r="HO325" i="112"/>
  <c r="HO321" i="112"/>
  <c r="HF346" i="112"/>
  <c r="HM350" i="112"/>
  <c r="HG355" i="112"/>
  <c r="HN359" i="112"/>
  <c r="HH368" i="112"/>
  <c r="HL374" i="112"/>
  <c r="HF414" i="112"/>
  <c r="HP368" i="112"/>
  <c r="HI329" i="112"/>
  <c r="HF338" i="112"/>
  <c r="HN342" i="112"/>
  <c r="HG347" i="112"/>
  <c r="HO351" i="112"/>
  <c r="HI356" i="112"/>
  <c r="HP364" i="112"/>
  <c r="HN386" i="112"/>
  <c r="HH321" i="112"/>
  <c r="HJ511" i="112"/>
  <c r="HJ498" i="112"/>
  <c r="HJ514" i="112"/>
  <c r="HJ502" i="112"/>
  <c r="HJ490" i="112"/>
  <c r="HJ486" i="112"/>
  <c r="HJ482" i="112"/>
  <c r="HJ478" i="112"/>
  <c r="HJ470" i="112"/>
  <c r="HJ468" i="112"/>
  <c r="HJ462" i="112"/>
  <c r="HJ509" i="112"/>
  <c r="HJ499" i="112"/>
  <c r="HJ512" i="112"/>
  <c r="HJ491" i="112"/>
  <c r="HJ487" i="112"/>
  <c r="HJ483" i="112"/>
  <c r="HJ479" i="112"/>
  <c r="HJ471" i="112"/>
  <c r="HJ466" i="112"/>
  <c r="HJ463" i="112"/>
  <c r="HJ460" i="112"/>
  <c r="HJ507" i="112"/>
  <c r="HJ500" i="112"/>
  <c r="HJ510" i="112"/>
  <c r="HJ488" i="112"/>
  <c r="HJ480" i="112"/>
  <c r="HJ472" i="112"/>
  <c r="HJ467" i="112"/>
  <c r="HJ464" i="112"/>
  <c r="HJ513" i="112"/>
  <c r="HJ497" i="112"/>
  <c r="HJ481" i="112"/>
  <c r="HJ450" i="112"/>
  <c r="HJ446" i="112"/>
  <c r="HJ442" i="112"/>
  <c r="HJ430" i="112"/>
  <c r="HJ426" i="112"/>
  <c r="HJ508" i="112"/>
  <c r="HJ485" i="112"/>
  <c r="HJ469" i="112"/>
  <c r="HJ458" i="112"/>
  <c r="HJ455" i="112"/>
  <c r="HJ451" i="112"/>
  <c r="HJ438" i="112"/>
  <c r="HJ420" i="112"/>
  <c r="HJ489" i="112"/>
  <c r="HJ447" i="112"/>
  <c r="HJ443" i="112"/>
  <c r="HJ431" i="112"/>
  <c r="HJ427" i="112"/>
  <c r="HJ423" i="112"/>
  <c r="HJ473" i="112"/>
  <c r="HJ461" i="112"/>
  <c r="HJ459" i="112"/>
  <c r="HJ452" i="112"/>
  <c r="HJ439" i="112"/>
  <c r="HJ421" i="112"/>
  <c r="HJ448" i="112"/>
  <c r="HJ444" i="112"/>
  <c r="HJ428" i="112"/>
  <c r="HJ424" i="112"/>
  <c r="HJ465" i="112"/>
  <c r="HJ456" i="112"/>
  <c r="HJ453" i="112"/>
  <c r="HJ440" i="112"/>
  <c r="HJ436" i="112"/>
  <c r="HJ422" i="112"/>
  <c r="HJ501" i="112"/>
  <c r="HJ449" i="112"/>
  <c r="HJ445" i="112"/>
  <c r="HJ441" i="112"/>
  <c r="HJ429" i="112"/>
  <c r="HJ425" i="112"/>
  <c r="HJ457" i="112"/>
  <c r="HJ413" i="112"/>
  <c r="HJ409" i="112"/>
  <c r="HJ405" i="112"/>
  <c r="HJ401" i="112"/>
  <c r="HJ397" i="112"/>
  <c r="HJ393" i="112"/>
  <c r="HJ389" i="112"/>
  <c r="HJ385" i="112"/>
  <c r="HJ374" i="112"/>
  <c r="HJ419" i="112"/>
  <c r="HJ416" i="112"/>
  <c r="HJ382" i="112"/>
  <c r="HJ414" i="112"/>
  <c r="HJ410" i="112"/>
  <c r="HJ406" i="112"/>
  <c r="HJ402" i="112"/>
  <c r="HJ398" i="112"/>
  <c r="HJ394" i="112"/>
  <c r="HJ390" i="112"/>
  <c r="HJ386" i="112"/>
  <c r="HJ375" i="112"/>
  <c r="HJ411" i="112"/>
  <c r="HJ407" i="112"/>
  <c r="HJ403" i="112"/>
  <c r="HJ399" i="112"/>
  <c r="HJ395" i="112"/>
  <c r="HJ391" i="112"/>
  <c r="HJ387" i="112"/>
  <c r="HJ383" i="112"/>
  <c r="HJ376" i="112"/>
  <c r="HJ437" i="112"/>
  <c r="HJ454" i="112"/>
  <c r="HJ415" i="112"/>
  <c r="HJ404" i="112"/>
  <c r="HJ377" i="112"/>
  <c r="HJ353" i="112"/>
  <c r="HJ349" i="112"/>
  <c r="HJ327" i="112"/>
  <c r="HJ408" i="112"/>
  <c r="HJ370" i="112"/>
  <c r="HJ366" i="112"/>
  <c r="HJ358" i="112"/>
  <c r="HJ345" i="112"/>
  <c r="HJ341" i="112"/>
  <c r="HJ337" i="112"/>
  <c r="HJ330" i="112"/>
  <c r="HJ324" i="112"/>
  <c r="HJ412" i="112"/>
  <c r="HJ371" i="112"/>
  <c r="HJ354" i="112"/>
  <c r="HJ350" i="112"/>
  <c r="HJ384" i="112"/>
  <c r="HJ373" i="112"/>
  <c r="HJ367" i="112"/>
  <c r="HJ359" i="112"/>
  <c r="HJ346" i="112"/>
  <c r="HJ342" i="112"/>
  <c r="HJ338" i="112"/>
  <c r="HJ328" i="112"/>
  <c r="HJ325" i="112"/>
  <c r="HJ388" i="112"/>
  <c r="HJ355" i="112"/>
  <c r="HJ351" i="112"/>
  <c r="HJ347" i="112"/>
  <c r="HJ331" i="112"/>
  <c r="HJ392" i="112"/>
  <c r="HJ368" i="112"/>
  <c r="HJ364" i="112"/>
  <c r="HJ343" i="112"/>
  <c r="HJ339" i="112"/>
  <c r="HJ326" i="112"/>
  <c r="HJ322" i="112"/>
  <c r="HJ396" i="112"/>
  <c r="HJ372" i="112"/>
  <c r="HJ356" i="112"/>
  <c r="HJ352" i="112"/>
  <c r="HJ348" i="112"/>
  <c r="HJ329" i="112"/>
  <c r="HO320" i="112"/>
  <c r="HJ321" i="112"/>
  <c r="HF325" i="112"/>
  <c r="HQ329" i="112"/>
  <c r="HN338" i="112"/>
  <c r="HH343" i="112"/>
  <c r="HO347" i="112"/>
  <c r="HI352" i="112"/>
  <c r="HQ356" i="112"/>
  <c r="HJ365" i="112"/>
  <c r="HH391" i="112"/>
  <c r="HK514" i="112"/>
  <c r="HK502" i="112"/>
  <c r="HK490" i="112"/>
  <c r="HK486" i="112"/>
  <c r="HK482" i="112"/>
  <c r="HK478" i="112"/>
  <c r="HK470" i="112"/>
  <c r="HK468" i="112"/>
  <c r="HK462" i="112"/>
  <c r="HK509" i="112"/>
  <c r="HK499" i="112"/>
  <c r="HK512" i="112"/>
  <c r="HK491" i="112"/>
  <c r="HK487" i="112"/>
  <c r="HK483" i="112"/>
  <c r="HK479" i="112"/>
  <c r="HK471" i="112"/>
  <c r="HK466" i="112"/>
  <c r="HK463" i="112"/>
  <c r="HK460" i="112"/>
  <c r="HK507" i="112"/>
  <c r="HK500" i="112"/>
  <c r="HK510" i="112"/>
  <c r="HK488" i="112"/>
  <c r="HK484" i="112"/>
  <c r="HK480" i="112"/>
  <c r="HK472" i="112"/>
  <c r="HK467" i="112"/>
  <c r="HK464" i="112"/>
  <c r="HK513" i="112"/>
  <c r="HK497" i="112"/>
  <c r="HK508" i="112"/>
  <c r="HK501" i="112"/>
  <c r="HK489" i="112"/>
  <c r="HK485" i="112"/>
  <c r="HK481" i="112"/>
  <c r="HK469" i="112"/>
  <c r="HK458" i="112"/>
  <c r="HK455" i="112"/>
  <c r="HK451" i="112"/>
  <c r="HK438" i="112"/>
  <c r="HK420" i="112"/>
  <c r="HK447" i="112"/>
  <c r="HK443" i="112"/>
  <c r="HK431" i="112"/>
  <c r="HK427" i="112"/>
  <c r="HK423" i="112"/>
  <c r="HK473" i="112"/>
  <c r="HK461" i="112"/>
  <c r="HK459" i="112"/>
  <c r="HK452" i="112"/>
  <c r="HK439" i="112"/>
  <c r="HK421" i="112"/>
  <c r="HK498" i="112"/>
  <c r="HK448" i="112"/>
  <c r="HK444" i="112"/>
  <c r="HK428" i="112"/>
  <c r="HK424" i="112"/>
  <c r="HK511" i="112"/>
  <c r="HK465" i="112"/>
  <c r="HK456" i="112"/>
  <c r="HK453" i="112"/>
  <c r="HK440" i="112"/>
  <c r="HK436" i="112"/>
  <c r="HK422" i="112"/>
  <c r="HK449" i="112"/>
  <c r="HK445" i="112"/>
  <c r="HK441" i="112"/>
  <c r="HK429" i="112"/>
  <c r="HK425" i="112"/>
  <c r="HK457" i="112"/>
  <c r="HK454" i="112"/>
  <c r="HK437" i="112"/>
  <c r="HK419" i="112"/>
  <c r="HK416" i="112"/>
  <c r="HK382" i="112"/>
  <c r="HK426" i="112"/>
  <c r="HK414" i="112"/>
  <c r="HK410" i="112"/>
  <c r="HK406" i="112"/>
  <c r="HK402" i="112"/>
  <c r="HK398" i="112"/>
  <c r="HK394" i="112"/>
  <c r="HK390" i="112"/>
  <c r="HK386" i="112"/>
  <c r="HK375" i="112"/>
  <c r="HK430" i="112"/>
  <c r="HK411" i="112"/>
  <c r="HK407" i="112"/>
  <c r="HK403" i="112"/>
  <c r="HK399" i="112"/>
  <c r="HK395" i="112"/>
  <c r="HK391" i="112"/>
  <c r="HK387" i="112"/>
  <c r="HK383" i="112"/>
  <c r="HK376" i="112"/>
  <c r="HK372" i="112"/>
  <c r="HK442" i="112"/>
  <c r="HK446" i="112"/>
  <c r="HK412" i="112"/>
  <c r="HK408" i="112"/>
  <c r="HK404" i="112"/>
  <c r="HK400" i="112"/>
  <c r="HK396" i="112"/>
  <c r="HK392" i="112"/>
  <c r="HK388" i="112"/>
  <c r="HK384" i="112"/>
  <c r="HK377" i="112"/>
  <c r="HK373" i="112"/>
  <c r="HK413" i="112"/>
  <c r="HK409" i="112"/>
  <c r="HK405" i="112"/>
  <c r="HK401" i="112"/>
  <c r="HK397" i="112"/>
  <c r="HK393" i="112"/>
  <c r="HK389" i="112"/>
  <c r="HK385" i="112"/>
  <c r="HK374" i="112"/>
  <c r="HK450" i="112"/>
  <c r="HK370" i="112"/>
  <c r="HK366" i="112"/>
  <c r="HK358" i="112"/>
  <c r="HK345" i="112"/>
  <c r="HK341" i="112"/>
  <c r="HK337" i="112"/>
  <c r="HK330" i="112"/>
  <c r="HK324" i="112"/>
  <c r="HK415" i="112"/>
  <c r="HK371" i="112"/>
  <c r="HK354" i="112"/>
  <c r="HK350" i="112"/>
  <c r="HK367" i="112"/>
  <c r="HK359" i="112"/>
  <c r="HK346" i="112"/>
  <c r="HK342" i="112"/>
  <c r="HK338" i="112"/>
  <c r="HK328" i="112"/>
  <c r="HK325" i="112"/>
  <c r="HK355" i="112"/>
  <c r="HK351" i="112"/>
  <c r="HK347" i="112"/>
  <c r="HK331" i="112"/>
  <c r="HK368" i="112"/>
  <c r="HK364" i="112"/>
  <c r="HK343" i="112"/>
  <c r="HK339" i="112"/>
  <c r="HK326" i="112"/>
  <c r="HK356" i="112"/>
  <c r="HK352" i="112"/>
  <c r="HK348" i="112"/>
  <c r="HK329" i="112"/>
  <c r="HK369" i="112"/>
  <c r="HK365" i="112"/>
  <c r="HK357" i="112"/>
  <c r="HK344" i="112"/>
  <c r="HK340" i="112"/>
  <c r="HK332" i="112"/>
  <c r="HK323" i="112"/>
  <c r="HH320" i="112"/>
  <c r="HP320" i="112"/>
  <c r="HK321" i="112"/>
  <c r="HN325" i="112"/>
  <c r="HL330" i="112"/>
  <c r="HH339" i="112"/>
  <c r="HP343" i="112"/>
  <c r="HI348" i="112"/>
  <c r="HQ352" i="112"/>
  <c r="HJ357" i="112"/>
  <c r="HG510" i="112"/>
  <c r="HG488" i="112"/>
  <c r="HG484" i="112"/>
  <c r="HG480" i="112"/>
  <c r="HG472" i="112"/>
  <c r="HG467" i="112"/>
  <c r="HG464" i="112"/>
  <c r="HG513" i="112"/>
  <c r="HG497" i="112"/>
  <c r="HG508" i="112"/>
  <c r="HG501" i="112"/>
  <c r="HG489" i="112"/>
  <c r="HG485" i="112"/>
  <c r="HG481" i="112"/>
  <c r="HG473" i="112"/>
  <c r="HG469" i="112"/>
  <c r="HG465" i="112"/>
  <c r="HG461" i="112"/>
  <c r="HG511" i="112"/>
  <c r="HG498" i="112"/>
  <c r="HG514" i="112"/>
  <c r="HG502" i="112"/>
  <c r="HG490" i="112"/>
  <c r="HG486" i="112"/>
  <c r="HG482" i="112"/>
  <c r="HG478" i="112"/>
  <c r="HG470" i="112"/>
  <c r="HG468" i="112"/>
  <c r="HG462" i="112"/>
  <c r="HG509" i="112"/>
  <c r="HG499" i="112"/>
  <c r="HG512" i="112"/>
  <c r="HG491" i="112"/>
  <c r="HG487" i="112"/>
  <c r="HG483" i="112"/>
  <c r="HG500" i="112"/>
  <c r="HG456" i="112"/>
  <c r="HG453" i="112"/>
  <c r="HG440" i="112"/>
  <c r="HG436" i="112"/>
  <c r="HG422" i="112"/>
  <c r="HG449" i="112"/>
  <c r="HG445" i="112"/>
  <c r="HG441" i="112"/>
  <c r="HG429" i="112"/>
  <c r="HG425" i="112"/>
  <c r="HG471" i="112"/>
  <c r="HG460" i="112"/>
  <c r="HG457" i="112"/>
  <c r="HG454" i="112"/>
  <c r="HG437" i="112"/>
  <c r="HG419" i="112"/>
  <c r="HG507" i="112"/>
  <c r="HG450" i="112"/>
  <c r="HG446" i="112"/>
  <c r="HG442" i="112"/>
  <c r="HG430" i="112"/>
  <c r="HG426" i="112"/>
  <c r="HG479" i="112"/>
  <c r="HG463" i="112"/>
  <c r="HG458" i="112"/>
  <c r="HG455" i="112"/>
  <c r="HG451" i="112"/>
  <c r="HG438" i="112"/>
  <c r="HG420" i="112"/>
  <c r="HG447" i="112"/>
  <c r="HG443" i="112"/>
  <c r="HG431" i="112"/>
  <c r="HG427" i="112"/>
  <c r="HG423" i="112"/>
  <c r="HG466" i="112"/>
  <c r="HG459" i="112"/>
  <c r="HG452" i="112"/>
  <c r="HG439" i="112"/>
  <c r="HG421" i="112"/>
  <c r="HG444" i="112"/>
  <c r="HG412" i="112"/>
  <c r="HG408" i="112"/>
  <c r="HG404" i="112"/>
  <c r="HG400" i="112"/>
  <c r="HG396" i="112"/>
  <c r="HG392" i="112"/>
  <c r="HG388" i="112"/>
  <c r="HG384" i="112"/>
  <c r="HG377" i="112"/>
  <c r="HG373" i="112"/>
  <c r="HG448" i="112"/>
  <c r="HG415" i="112"/>
  <c r="HG413" i="112"/>
  <c r="HG409" i="112"/>
  <c r="HG405" i="112"/>
  <c r="HG401" i="112"/>
  <c r="HG397" i="112"/>
  <c r="HG393" i="112"/>
  <c r="HG389" i="112"/>
  <c r="HG385" i="112"/>
  <c r="HG374" i="112"/>
  <c r="HG416" i="112"/>
  <c r="HG382" i="112"/>
  <c r="HG424" i="112"/>
  <c r="HG414" i="112"/>
  <c r="HG410" i="112"/>
  <c r="HG406" i="112"/>
  <c r="HG402" i="112"/>
  <c r="HG398" i="112"/>
  <c r="HG394" i="112"/>
  <c r="HG390" i="112"/>
  <c r="HG386" i="112"/>
  <c r="HG375" i="112"/>
  <c r="HG411" i="112"/>
  <c r="HG407" i="112"/>
  <c r="HG403" i="112"/>
  <c r="HG399" i="112"/>
  <c r="HG395" i="112"/>
  <c r="HG391" i="112"/>
  <c r="HG387" i="112"/>
  <c r="HG383" i="112"/>
  <c r="HG376" i="112"/>
  <c r="HG372" i="112"/>
  <c r="HG368" i="112"/>
  <c r="HG364" i="112"/>
  <c r="HG343" i="112"/>
  <c r="HG339" i="112"/>
  <c r="HG326" i="112"/>
  <c r="HG322" i="112"/>
  <c r="HG356" i="112"/>
  <c r="HG352" i="112"/>
  <c r="HG348" i="112"/>
  <c r="HG329" i="112"/>
  <c r="HG369" i="112"/>
  <c r="HG365" i="112"/>
  <c r="HG357" i="112"/>
  <c r="HG344" i="112"/>
  <c r="HG340" i="112"/>
  <c r="HG332" i="112"/>
  <c r="HG323" i="112"/>
  <c r="HG353" i="112"/>
  <c r="HG349" i="112"/>
  <c r="HG327" i="112"/>
  <c r="HG428" i="112"/>
  <c r="HG370" i="112"/>
  <c r="HG366" i="112"/>
  <c r="HG358" i="112"/>
  <c r="HG345" i="112"/>
  <c r="HG341" i="112"/>
  <c r="HG330" i="112"/>
  <c r="HG324" i="112"/>
  <c r="HG371" i="112"/>
  <c r="HG354" i="112"/>
  <c r="HG350" i="112"/>
  <c r="HG367" i="112"/>
  <c r="HG359" i="112"/>
  <c r="HG346" i="112"/>
  <c r="HG342" i="112"/>
  <c r="HG338" i="112"/>
  <c r="HG328" i="112"/>
  <c r="HG325" i="112"/>
  <c r="HP513" i="112"/>
  <c r="HP497" i="112"/>
  <c r="HP508" i="112"/>
  <c r="HP501" i="112"/>
  <c r="HP489" i="112"/>
  <c r="HP485" i="112"/>
  <c r="HP481" i="112"/>
  <c r="HP473" i="112"/>
  <c r="HP469" i="112"/>
  <c r="HP465" i="112"/>
  <c r="HP461" i="112"/>
  <c r="HP511" i="112"/>
  <c r="HP498" i="112"/>
  <c r="HP459" i="112"/>
  <c r="HP514" i="112"/>
  <c r="HP502" i="112"/>
  <c r="HP490" i="112"/>
  <c r="HP486" i="112"/>
  <c r="HP482" i="112"/>
  <c r="HP478" i="112"/>
  <c r="HP470" i="112"/>
  <c r="HP468" i="112"/>
  <c r="HP462" i="112"/>
  <c r="HP509" i="112"/>
  <c r="HP499" i="112"/>
  <c r="HP512" i="112"/>
  <c r="HP491" i="112"/>
  <c r="HP487" i="112"/>
  <c r="HP483" i="112"/>
  <c r="HP479" i="112"/>
  <c r="HP471" i="112"/>
  <c r="HP466" i="112"/>
  <c r="HP463" i="112"/>
  <c r="HP460" i="112"/>
  <c r="HP507" i="112"/>
  <c r="HP500" i="112"/>
  <c r="HP449" i="112"/>
  <c r="HP445" i="112"/>
  <c r="HP441" i="112"/>
  <c r="HP429" i="112"/>
  <c r="HP425" i="112"/>
  <c r="HP480" i="112"/>
  <c r="HP467" i="112"/>
  <c r="HP457" i="112"/>
  <c r="HP454" i="112"/>
  <c r="HP437" i="112"/>
  <c r="HP419" i="112"/>
  <c r="HP484" i="112"/>
  <c r="HP450" i="112"/>
  <c r="HP446" i="112"/>
  <c r="HP442" i="112"/>
  <c r="HP430" i="112"/>
  <c r="HP426" i="112"/>
  <c r="HP488" i="112"/>
  <c r="HP458" i="112"/>
  <c r="HP455" i="112"/>
  <c r="HP451" i="112"/>
  <c r="HP438" i="112"/>
  <c r="HP420" i="112"/>
  <c r="HP447" i="112"/>
  <c r="HP443" i="112"/>
  <c r="HP431" i="112"/>
  <c r="HP427" i="112"/>
  <c r="HP423" i="112"/>
  <c r="HP510" i="112"/>
  <c r="HP472" i="112"/>
  <c r="HP452" i="112"/>
  <c r="HP439" i="112"/>
  <c r="HP421" i="112"/>
  <c r="HP448" i="112"/>
  <c r="HP444" i="112"/>
  <c r="HP428" i="112"/>
  <c r="HP424" i="112"/>
  <c r="HP453" i="112"/>
  <c r="HP412" i="112"/>
  <c r="HP408" i="112"/>
  <c r="HP404" i="112"/>
  <c r="HP400" i="112"/>
  <c r="HP396" i="112"/>
  <c r="HP392" i="112"/>
  <c r="HP388" i="112"/>
  <c r="HP384" i="112"/>
  <c r="HP377" i="112"/>
  <c r="HP373" i="112"/>
  <c r="HP464" i="112"/>
  <c r="HP456" i="112"/>
  <c r="HP415" i="112"/>
  <c r="HP413" i="112"/>
  <c r="HP409" i="112"/>
  <c r="HP405" i="112"/>
  <c r="HP401" i="112"/>
  <c r="HP397" i="112"/>
  <c r="HP393" i="112"/>
  <c r="HP389" i="112"/>
  <c r="HP385" i="112"/>
  <c r="HP374" i="112"/>
  <c r="HP422" i="112"/>
  <c r="HP416" i="112"/>
  <c r="HP382" i="112"/>
  <c r="HP414" i="112"/>
  <c r="HP410" i="112"/>
  <c r="HP406" i="112"/>
  <c r="HP402" i="112"/>
  <c r="HP398" i="112"/>
  <c r="HP394" i="112"/>
  <c r="HP390" i="112"/>
  <c r="HP386" i="112"/>
  <c r="HP375" i="112"/>
  <c r="HP440" i="112"/>
  <c r="HP399" i="112"/>
  <c r="HP356" i="112"/>
  <c r="HP352" i="112"/>
  <c r="HP348" i="112"/>
  <c r="HP329" i="112"/>
  <c r="HP403" i="112"/>
  <c r="HP376" i="112"/>
  <c r="HP369" i="112"/>
  <c r="HP365" i="112"/>
  <c r="HP357" i="112"/>
  <c r="HP344" i="112"/>
  <c r="HP340" i="112"/>
  <c r="HP332" i="112"/>
  <c r="HP323" i="112"/>
  <c r="HP407" i="112"/>
  <c r="HP353" i="112"/>
  <c r="HP349" i="112"/>
  <c r="HP327" i="112"/>
  <c r="HP436" i="112"/>
  <c r="HP411" i="112"/>
  <c r="HP370" i="112"/>
  <c r="HP366" i="112"/>
  <c r="HP358" i="112"/>
  <c r="HP345" i="112"/>
  <c r="HP341" i="112"/>
  <c r="HP337" i="112"/>
  <c r="HP330" i="112"/>
  <c r="HP324" i="112"/>
  <c r="HP383" i="112"/>
  <c r="HP371" i="112"/>
  <c r="HP354" i="112"/>
  <c r="HP350" i="112"/>
  <c r="HP387" i="112"/>
  <c r="HP372" i="112"/>
  <c r="HP367" i="112"/>
  <c r="HP359" i="112"/>
  <c r="HP346" i="112"/>
  <c r="HP342" i="112"/>
  <c r="HP338" i="112"/>
  <c r="HP328" i="112"/>
  <c r="HP325" i="112"/>
  <c r="HP321" i="112"/>
  <c r="HP391" i="112"/>
  <c r="HP355" i="112"/>
  <c r="HP351" i="112"/>
  <c r="HP347" i="112"/>
  <c r="HP331" i="112"/>
  <c r="HG351" i="112"/>
  <c r="HD511" i="112"/>
  <c r="HD423" i="112"/>
  <c r="HD441" i="112"/>
  <c r="HD502" i="112"/>
  <c r="HD451" i="112"/>
  <c r="HD371" i="112"/>
  <c r="HD347" i="112"/>
  <c r="HD357" i="112"/>
  <c r="HL509" i="112"/>
  <c r="HL499" i="112"/>
  <c r="HL512" i="112"/>
  <c r="HL491" i="112"/>
  <c r="HL487" i="112"/>
  <c r="HL483" i="112"/>
  <c r="HL479" i="112"/>
  <c r="HL471" i="112"/>
  <c r="HL466" i="112"/>
  <c r="HL463" i="112"/>
  <c r="HL460" i="112"/>
  <c r="HL507" i="112"/>
  <c r="HL500" i="112"/>
  <c r="HL510" i="112"/>
  <c r="HL488" i="112"/>
  <c r="HL484" i="112"/>
  <c r="HL480" i="112"/>
  <c r="HL472" i="112"/>
  <c r="HL467" i="112"/>
  <c r="HL464" i="112"/>
  <c r="HL513" i="112"/>
  <c r="HL497" i="112"/>
  <c r="HL508" i="112"/>
  <c r="HL501" i="112"/>
  <c r="HL489" i="112"/>
  <c r="HL485" i="112"/>
  <c r="HL481" i="112"/>
  <c r="HL473" i="112"/>
  <c r="HL469" i="112"/>
  <c r="HL465" i="112"/>
  <c r="HL461" i="112"/>
  <c r="HL511" i="112"/>
  <c r="HL498" i="112"/>
  <c r="HL490" i="112"/>
  <c r="HL447" i="112"/>
  <c r="HL443" i="112"/>
  <c r="HL431" i="112"/>
  <c r="HL427" i="112"/>
  <c r="HL423" i="112"/>
  <c r="HL459" i="112"/>
  <c r="HL452" i="112"/>
  <c r="HL439" i="112"/>
  <c r="HL421" i="112"/>
  <c r="HL448" i="112"/>
  <c r="HL444" i="112"/>
  <c r="HL428" i="112"/>
  <c r="HL424" i="112"/>
  <c r="HL468" i="112"/>
  <c r="HL456" i="112"/>
  <c r="HL453" i="112"/>
  <c r="HL440" i="112"/>
  <c r="HL436" i="112"/>
  <c r="HL422" i="112"/>
  <c r="HL502" i="112"/>
  <c r="HL449" i="112"/>
  <c r="HL445" i="112"/>
  <c r="HL441" i="112"/>
  <c r="HL429" i="112"/>
  <c r="HL425" i="112"/>
  <c r="HL470" i="112"/>
  <c r="HL457" i="112"/>
  <c r="HL454" i="112"/>
  <c r="HL437" i="112"/>
  <c r="HL419" i="112"/>
  <c r="HL482" i="112"/>
  <c r="HL450" i="112"/>
  <c r="HL446" i="112"/>
  <c r="HL442" i="112"/>
  <c r="HL430" i="112"/>
  <c r="HL426" i="112"/>
  <c r="HL414" i="112"/>
  <c r="HL410" i="112"/>
  <c r="HL406" i="112"/>
  <c r="HL402" i="112"/>
  <c r="HL398" i="112"/>
  <c r="HL394" i="112"/>
  <c r="HL390" i="112"/>
  <c r="HL386" i="112"/>
  <c r="HL375" i="112"/>
  <c r="HL486" i="112"/>
  <c r="HL462" i="112"/>
  <c r="HL411" i="112"/>
  <c r="HL407" i="112"/>
  <c r="HL403" i="112"/>
  <c r="HL399" i="112"/>
  <c r="HL395" i="112"/>
  <c r="HL391" i="112"/>
  <c r="HL387" i="112"/>
  <c r="HL383" i="112"/>
  <c r="HL376" i="112"/>
  <c r="HL372" i="112"/>
  <c r="HL478" i="112"/>
  <c r="HL438" i="112"/>
  <c r="HL451" i="112"/>
  <c r="HL412" i="112"/>
  <c r="HL408" i="112"/>
  <c r="HL404" i="112"/>
  <c r="HL400" i="112"/>
  <c r="HL396" i="112"/>
  <c r="HL392" i="112"/>
  <c r="HL388" i="112"/>
  <c r="HL384" i="112"/>
  <c r="HL377" i="112"/>
  <c r="HL514" i="112"/>
  <c r="HL455" i="112"/>
  <c r="HL415" i="112"/>
  <c r="HL420" i="112"/>
  <c r="HL416" i="112"/>
  <c r="HL382" i="112"/>
  <c r="HL413" i="112"/>
  <c r="HL371" i="112"/>
  <c r="HL354" i="112"/>
  <c r="HL350" i="112"/>
  <c r="HL385" i="112"/>
  <c r="HL367" i="112"/>
  <c r="HL359" i="112"/>
  <c r="HL346" i="112"/>
  <c r="HL342" i="112"/>
  <c r="HL338" i="112"/>
  <c r="HL328" i="112"/>
  <c r="HL325" i="112"/>
  <c r="HL321" i="112"/>
  <c r="HL389" i="112"/>
  <c r="HL373" i="112"/>
  <c r="HL355" i="112"/>
  <c r="HL351" i="112"/>
  <c r="HL347" i="112"/>
  <c r="HL331" i="112"/>
  <c r="HL393" i="112"/>
  <c r="HL368" i="112"/>
  <c r="HL364" i="112"/>
  <c r="HL343" i="112"/>
  <c r="HL339" i="112"/>
  <c r="HL326" i="112"/>
  <c r="HL322" i="112"/>
  <c r="HL397" i="112"/>
  <c r="HL356" i="112"/>
  <c r="HL352" i="112"/>
  <c r="HL348" i="112"/>
  <c r="HL329" i="112"/>
  <c r="HL401" i="112"/>
  <c r="HL369" i="112"/>
  <c r="HL365" i="112"/>
  <c r="HL357" i="112"/>
  <c r="HL344" i="112"/>
  <c r="HL340" i="112"/>
  <c r="HL332" i="112"/>
  <c r="HL323" i="112"/>
  <c r="HL458" i="112"/>
  <c r="HL405" i="112"/>
  <c r="HL353" i="112"/>
  <c r="HL349" i="112"/>
  <c r="HL327" i="112"/>
  <c r="HQ320" i="112"/>
  <c r="HH326" i="112"/>
  <c r="HG331" i="112"/>
  <c r="HP339" i="112"/>
  <c r="HJ344" i="112"/>
  <c r="HK353" i="112"/>
  <c r="HL366" i="112"/>
  <c r="HJ400" i="112"/>
  <c r="HO355" i="112"/>
  <c r="HI508" i="112"/>
  <c r="HI501" i="112"/>
  <c r="HI489" i="112"/>
  <c r="HI485" i="112"/>
  <c r="HI481" i="112"/>
  <c r="HI473" i="112"/>
  <c r="HI469" i="112"/>
  <c r="HI465" i="112"/>
  <c r="HI461" i="112"/>
  <c r="HI511" i="112"/>
  <c r="HI498" i="112"/>
  <c r="HI514" i="112"/>
  <c r="HI502" i="112"/>
  <c r="HI490" i="112"/>
  <c r="HI486" i="112"/>
  <c r="HI482" i="112"/>
  <c r="HI478" i="112"/>
  <c r="HI470" i="112"/>
  <c r="HI468" i="112"/>
  <c r="HI462" i="112"/>
  <c r="HI509" i="112"/>
  <c r="HI499" i="112"/>
  <c r="HI512" i="112"/>
  <c r="HI491" i="112"/>
  <c r="HI487" i="112"/>
  <c r="HI483" i="112"/>
  <c r="HI479" i="112"/>
  <c r="HI471" i="112"/>
  <c r="HI466" i="112"/>
  <c r="HI463" i="112"/>
  <c r="HI460" i="112"/>
  <c r="HI507" i="112"/>
  <c r="HI500" i="112"/>
  <c r="HI510" i="112"/>
  <c r="HI488" i="112"/>
  <c r="HI484" i="112"/>
  <c r="HI480" i="112"/>
  <c r="HI464" i="112"/>
  <c r="HI457" i="112"/>
  <c r="HI454" i="112"/>
  <c r="HI437" i="112"/>
  <c r="HI419" i="112"/>
  <c r="HI513" i="112"/>
  <c r="HI450" i="112"/>
  <c r="HI446" i="112"/>
  <c r="HI442" i="112"/>
  <c r="HI430" i="112"/>
  <c r="HI426" i="112"/>
  <c r="HI467" i="112"/>
  <c r="HI458" i="112"/>
  <c r="HI455" i="112"/>
  <c r="HI451" i="112"/>
  <c r="HI438" i="112"/>
  <c r="HI420" i="112"/>
  <c r="HI447" i="112"/>
  <c r="HI443" i="112"/>
  <c r="HI431" i="112"/>
  <c r="HI427" i="112"/>
  <c r="HI423" i="112"/>
  <c r="HI459" i="112"/>
  <c r="HI452" i="112"/>
  <c r="HI439" i="112"/>
  <c r="HI421" i="112"/>
  <c r="HI497" i="112"/>
  <c r="HI448" i="112"/>
  <c r="HI444" i="112"/>
  <c r="HI428" i="112"/>
  <c r="HI424" i="112"/>
  <c r="HI472" i="112"/>
  <c r="HI456" i="112"/>
  <c r="HI453" i="112"/>
  <c r="HI440" i="112"/>
  <c r="HI436" i="112"/>
  <c r="HI422" i="112"/>
  <c r="HI449" i="112"/>
  <c r="HI415" i="112"/>
  <c r="HI413" i="112"/>
  <c r="HI409" i="112"/>
  <c r="HI405" i="112"/>
  <c r="HI401" i="112"/>
  <c r="HI397" i="112"/>
  <c r="HI393" i="112"/>
  <c r="HI389" i="112"/>
  <c r="HI385" i="112"/>
  <c r="HI374" i="112"/>
  <c r="HI416" i="112"/>
  <c r="HI382" i="112"/>
  <c r="HI425" i="112"/>
  <c r="HI414" i="112"/>
  <c r="HI410" i="112"/>
  <c r="HI406" i="112"/>
  <c r="HI402" i="112"/>
  <c r="HI398" i="112"/>
  <c r="HI394" i="112"/>
  <c r="HI390" i="112"/>
  <c r="HI386" i="112"/>
  <c r="HI375" i="112"/>
  <c r="HI429" i="112"/>
  <c r="HI411" i="112"/>
  <c r="HI407" i="112"/>
  <c r="HI403" i="112"/>
  <c r="HI399" i="112"/>
  <c r="HI395" i="112"/>
  <c r="HI387" i="112"/>
  <c r="HI383" i="112"/>
  <c r="HI376" i="112"/>
  <c r="HI372" i="112"/>
  <c r="HI445" i="112"/>
  <c r="HI412" i="112"/>
  <c r="HI408" i="112"/>
  <c r="HI404" i="112"/>
  <c r="HI400" i="112"/>
  <c r="HI396" i="112"/>
  <c r="HI392" i="112"/>
  <c r="HI388" i="112"/>
  <c r="HI384" i="112"/>
  <c r="HI377" i="112"/>
  <c r="HI373" i="112"/>
  <c r="HI369" i="112"/>
  <c r="HI365" i="112"/>
  <c r="HI357" i="112"/>
  <c r="HI344" i="112"/>
  <c r="HI340" i="112"/>
  <c r="HI332" i="112"/>
  <c r="HI323" i="112"/>
  <c r="HI353" i="112"/>
  <c r="HI349" i="112"/>
  <c r="HI327" i="112"/>
  <c r="HI441" i="112"/>
  <c r="HI370" i="112"/>
  <c r="HI366" i="112"/>
  <c r="HI358" i="112"/>
  <c r="HI345" i="112"/>
  <c r="HI341" i="112"/>
  <c r="HI337" i="112"/>
  <c r="HI330" i="112"/>
  <c r="HI324" i="112"/>
  <c r="HI371" i="112"/>
  <c r="HI354" i="112"/>
  <c r="HI350" i="112"/>
  <c r="HI367" i="112"/>
  <c r="HI359" i="112"/>
  <c r="HI346" i="112"/>
  <c r="HI342" i="112"/>
  <c r="HI338" i="112"/>
  <c r="HI328" i="112"/>
  <c r="HI325" i="112"/>
  <c r="HI321" i="112"/>
  <c r="HI355" i="112"/>
  <c r="HI351" i="112"/>
  <c r="HI347" i="112"/>
  <c r="HI331" i="112"/>
  <c r="HI368" i="112"/>
  <c r="HI364" i="112"/>
  <c r="HI343" i="112"/>
  <c r="HI339" i="112"/>
  <c r="HI326" i="112"/>
  <c r="HI322" i="112"/>
  <c r="HQ508" i="112"/>
  <c r="HQ501" i="112"/>
  <c r="HQ489" i="112"/>
  <c r="HQ485" i="112"/>
  <c r="HQ481" i="112"/>
  <c r="HQ473" i="112"/>
  <c r="HQ469" i="112"/>
  <c r="HQ465" i="112"/>
  <c r="HQ461" i="112"/>
  <c r="HQ511" i="112"/>
  <c r="HQ498" i="112"/>
  <c r="HQ459" i="112"/>
  <c r="HQ514" i="112"/>
  <c r="HQ502" i="112"/>
  <c r="HQ490" i="112"/>
  <c r="HQ486" i="112"/>
  <c r="HQ482" i="112"/>
  <c r="HQ478" i="112"/>
  <c r="HQ470" i="112"/>
  <c r="HQ468" i="112"/>
  <c r="HQ462" i="112"/>
  <c r="HQ509" i="112"/>
  <c r="HQ499" i="112"/>
  <c r="HQ512" i="112"/>
  <c r="HQ491" i="112"/>
  <c r="HQ487" i="112"/>
  <c r="HQ483" i="112"/>
  <c r="HQ479" i="112"/>
  <c r="HQ471" i="112"/>
  <c r="HQ466" i="112"/>
  <c r="HQ463" i="112"/>
  <c r="HQ460" i="112"/>
  <c r="HQ507" i="112"/>
  <c r="HQ500" i="112"/>
  <c r="HQ510" i="112"/>
  <c r="HQ488" i="112"/>
  <c r="HQ484" i="112"/>
  <c r="HQ480" i="112"/>
  <c r="HQ513" i="112"/>
  <c r="HQ467" i="112"/>
  <c r="HQ457" i="112"/>
  <c r="HQ454" i="112"/>
  <c r="HQ437" i="112"/>
  <c r="HQ419" i="112"/>
  <c r="HQ450" i="112"/>
  <c r="HQ446" i="112"/>
  <c r="HQ442" i="112"/>
  <c r="HQ430" i="112"/>
  <c r="HQ426" i="112"/>
  <c r="HQ458" i="112"/>
  <c r="HQ455" i="112"/>
  <c r="HQ451" i="112"/>
  <c r="HQ438" i="112"/>
  <c r="HQ420" i="112"/>
  <c r="HQ447" i="112"/>
  <c r="HQ443" i="112"/>
  <c r="HQ431" i="112"/>
  <c r="HQ427" i="112"/>
  <c r="HQ423" i="112"/>
  <c r="HQ497" i="112"/>
  <c r="HQ472" i="112"/>
  <c r="HQ452" i="112"/>
  <c r="HQ439" i="112"/>
  <c r="HQ421" i="112"/>
  <c r="HQ448" i="112"/>
  <c r="HQ444" i="112"/>
  <c r="HQ428" i="112"/>
  <c r="HQ424" i="112"/>
  <c r="HQ464" i="112"/>
  <c r="HQ456" i="112"/>
  <c r="HQ453" i="112"/>
  <c r="HQ440" i="112"/>
  <c r="HQ436" i="112"/>
  <c r="HQ422" i="112"/>
  <c r="HQ415" i="112"/>
  <c r="HQ413" i="112"/>
  <c r="HQ409" i="112"/>
  <c r="HQ405" i="112"/>
  <c r="HQ401" i="112"/>
  <c r="HQ397" i="112"/>
  <c r="HQ393" i="112"/>
  <c r="HQ389" i="112"/>
  <c r="HQ385" i="112"/>
  <c r="HQ374" i="112"/>
  <c r="HQ425" i="112"/>
  <c r="HQ416" i="112"/>
  <c r="HQ382" i="112"/>
  <c r="HQ429" i="112"/>
  <c r="HQ414" i="112"/>
  <c r="HQ410" i="112"/>
  <c r="HQ406" i="112"/>
  <c r="HQ402" i="112"/>
  <c r="HQ398" i="112"/>
  <c r="HQ394" i="112"/>
  <c r="HQ390" i="112"/>
  <c r="HQ386" i="112"/>
  <c r="HQ375" i="112"/>
  <c r="HQ441" i="112"/>
  <c r="HQ411" i="112"/>
  <c r="HQ407" i="112"/>
  <c r="HQ403" i="112"/>
  <c r="HQ399" i="112"/>
  <c r="HQ395" i="112"/>
  <c r="HQ391" i="112"/>
  <c r="HQ387" i="112"/>
  <c r="HQ383" i="112"/>
  <c r="HQ376" i="112"/>
  <c r="HQ372" i="112"/>
  <c r="HQ449" i="112"/>
  <c r="HQ412" i="112"/>
  <c r="HQ408" i="112"/>
  <c r="HQ404" i="112"/>
  <c r="HQ400" i="112"/>
  <c r="HQ396" i="112"/>
  <c r="HQ392" i="112"/>
  <c r="HQ388" i="112"/>
  <c r="HQ384" i="112"/>
  <c r="HQ377" i="112"/>
  <c r="HQ373" i="112"/>
  <c r="HQ369" i="112"/>
  <c r="HQ365" i="112"/>
  <c r="HQ357" i="112"/>
  <c r="HQ344" i="112"/>
  <c r="HQ340" i="112"/>
  <c r="HQ332" i="112"/>
  <c r="HQ323" i="112"/>
  <c r="HQ445" i="112"/>
  <c r="HQ353" i="112"/>
  <c r="HQ349" i="112"/>
  <c r="HQ327" i="112"/>
  <c r="HQ370" i="112"/>
  <c r="HQ366" i="112"/>
  <c r="HQ358" i="112"/>
  <c r="HQ345" i="112"/>
  <c r="HQ341" i="112"/>
  <c r="HQ337" i="112"/>
  <c r="HQ330" i="112"/>
  <c r="HQ324" i="112"/>
  <c r="HQ371" i="112"/>
  <c r="HQ354" i="112"/>
  <c r="HQ350" i="112"/>
  <c r="HQ367" i="112"/>
  <c r="HQ359" i="112"/>
  <c r="HQ346" i="112"/>
  <c r="HQ342" i="112"/>
  <c r="HQ338" i="112"/>
  <c r="HQ328" i="112"/>
  <c r="HQ325" i="112"/>
  <c r="HQ321" i="112"/>
  <c r="HQ355" i="112"/>
  <c r="HQ351" i="112"/>
  <c r="HQ347" i="112"/>
  <c r="HQ331" i="112"/>
  <c r="HQ368" i="112"/>
  <c r="HQ364" i="112"/>
  <c r="HQ343" i="112"/>
  <c r="HQ339" i="112"/>
  <c r="HQ326" i="112"/>
  <c r="HQ322" i="112"/>
  <c r="HE512" i="112"/>
  <c r="HE491" i="112"/>
  <c r="HE487" i="112"/>
  <c r="HE483" i="112"/>
  <c r="HE479" i="112"/>
  <c r="HE471" i="112"/>
  <c r="HE466" i="112"/>
  <c r="HE463" i="112"/>
  <c r="HE460" i="112"/>
  <c r="HE507" i="112"/>
  <c r="HE500" i="112"/>
  <c r="HE510" i="112"/>
  <c r="HE488" i="112"/>
  <c r="HE484" i="112"/>
  <c r="HE480" i="112"/>
  <c r="HE472" i="112"/>
  <c r="HE467" i="112"/>
  <c r="HE464" i="112"/>
  <c r="HE513" i="112"/>
  <c r="HE497" i="112"/>
  <c r="HE508" i="112"/>
  <c r="HE501" i="112"/>
  <c r="HE489" i="112"/>
  <c r="HE485" i="112"/>
  <c r="HE481" i="112"/>
  <c r="HE473" i="112"/>
  <c r="HE469" i="112"/>
  <c r="HE465" i="112"/>
  <c r="HE461" i="112"/>
  <c r="HE511" i="112"/>
  <c r="HE498" i="112"/>
  <c r="HE514" i="112"/>
  <c r="HE502" i="112"/>
  <c r="HE490" i="112"/>
  <c r="HE486" i="112"/>
  <c r="HE482" i="112"/>
  <c r="HE509" i="112"/>
  <c r="HE478" i="112"/>
  <c r="HE462" i="112"/>
  <c r="HE459" i="112"/>
  <c r="HE452" i="112"/>
  <c r="HE439" i="112"/>
  <c r="HE421" i="112"/>
  <c r="HE448" i="112"/>
  <c r="HE444" i="112"/>
  <c r="HE428" i="112"/>
  <c r="HE424" i="112"/>
  <c r="HE499" i="112"/>
  <c r="HE456" i="112"/>
  <c r="HE453" i="112"/>
  <c r="HE440" i="112"/>
  <c r="HE436" i="112"/>
  <c r="HE422" i="112"/>
  <c r="HE449" i="112"/>
  <c r="HE445" i="112"/>
  <c r="HE441" i="112"/>
  <c r="HE429" i="112"/>
  <c r="HE425" i="112"/>
  <c r="HE457" i="112"/>
  <c r="HE454" i="112"/>
  <c r="HE437" i="112"/>
  <c r="HE419" i="112"/>
  <c r="HE450" i="112"/>
  <c r="HE446" i="112"/>
  <c r="HE442" i="112"/>
  <c r="HE430" i="112"/>
  <c r="HE426" i="112"/>
  <c r="HE470" i="112"/>
  <c r="HE458" i="112"/>
  <c r="HE455" i="112"/>
  <c r="HE451" i="112"/>
  <c r="HE438" i="112"/>
  <c r="HE420" i="112"/>
  <c r="HE427" i="112"/>
  <c r="HE431" i="112"/>
  <c r="HE411" i="112"/>
  <c r="HE407" i="112"/>
  <c r="HE403" i="112"/>
  <c r="HE399" i="112"/>
  <c r="HE395" i="112"/>
  <c r="HE391" i="112"/>
  <c r="HE387" i="112"/>
  <c r="HE383" i="112"/>
  <c r="HE376" i="112"/>
  <c r="HE443" i="112"/>
  <c r="HE412" i="112"/>
  <c r="HE408" i="112"/>
  <c r="HE404" i="112"/>
  <c r="HE400" i="112"/>
  <c r="HE396" i="112"/>
  <c r="HE392" i="112"/>
  <c r="HE388" i="112"/>
  <c r="HE384" i="112"/>
  <c r="HE377" i="112"/>
  <c r="HE373" i="112"/>
  <c r="HE447" i="112"/>
  <c r="HE415" i="112"/>
  <c r="HE413" i="112"/>
  <c r="HE409" i="112"/>
  <c r="HE405" i="112"/>
  <c r="HE401" i="112"/>
  <c r="HE397" i="112"/>
  <c r="HE393" i="112"/>
  <c r="HE389" i="112"/>
  <c r="HE385" i="112"/>
  <c r="HE374" i="112"/>
  <c r="HE423" i="112"/>
  <c r="HE414" i="112"/>
  <c r="HE410" i="112"/>
  <c r="HE406" i="112"/>
  <c r="HE402" i="112"/>
  <c r="HE398" i="112"/>
  <c r="HE394" i="112"/>
  <c r="HE390" i="112"/>
  <c r="HE386" i="112"/>
  <c r="HE375" i="112"/>
  <c r="HE416" i="112"/>
  <c r="HE367" i="112"/>
  <c r="HE359" i="112"/>
  <c r="HE346" i="112"/>
  <c r="HE342" i="112"/>
  <c r="HE338" i="112"/>
  <c r="HE328" i="112"/>
  <c r="HE325" i="112"/>
  <c r="HE355" i="112"/>
  <c r="HE351" i="112"/>
  <c r="HE347" i="112"/>
  <c r="HE331" i="112"/>
  <c r="HE372" i="112"/>
  <c r="HE368" i="112"/>
  <c r="HE364" i="112"/>
  <c r="HE343" i="112"/>
  <c r="HE339" i="112"/>
  <c r="HE326" i="112"/>
  <c r="HE322" i="112"/>
  <c r="HE356" i="112"/>
  <c r="HE352" i="112"/>
  <c r="HE348" i="112"/>
  <c r="HE329" i="112"/>
  <c r="HE369" i="112"/>
  <c r="HE365" i="112"/>
  <c r="HE357" i="112"/>
  <c r="HE344" i="112"/>
  <c r="HE340" i="112"/>
  <c r="HE332" i="112"/>
  <c r="HE323" i="112"/>
  <c r="HE353" i="112"/>
  <c r="HE349" i="112"/>
  <c r="HE327" i="112"/>
  <c r="HE370" i="112"/>
  <c r="HE366" i="112"/>
  <c r="HE358" i="112"/>
  <c r="HE345" i="112"/>
  <c r="HE341" i="112"/>
  <c r="HE337" i="112"/>
  <c r="HE330" i="112"/>
  <c r="HE324" i="112"/>
  <c r="HM512" i="112"/>
  <c r="HM491" i="112"/>
  <c r="HM487" i="112"/>
  <c r="HM483" i="112"/>
  <c r="HM479" i="112"/>
  <c r="HM471" i="112"/>
  <c r="HM466" i="112"/>
  <c r="HM463" i="112"/>
  <c r="HM460" i="112"/>
  <c r="HM507" i="112"/>
  <c r="HM500" i="112"/>
  <c r="HM510" i="112"/>
  <c r="HM488" i="112"/>
  <c r="HM484" i="112"/>
  <c r="HM480" i="112"/>
  <c r="HM472" i="112"/>
  <c r="HM467" i="112"/>
  <c r="HM464" i="112"/>
  <c r="HM513" i="112"/>
  <c r="HM497" i="112"/>
  <c r="HM508" i="112"/>
  <c r="HM501" i="112"/>
  <c r="HM489" i="112"/>
  <c r="HM485" i="112"/>
  <c r="HM481" i="112"/>
  <c r="HM473" i="112"/>
  <c r="HM469" i="112"/>
  <c r="HM465" i="112"/>
  <c r="HM461" i="112"/>
  <c r="HM511" i="112"/>
  <c r="HM498" i="112"/>
  <c r="HM514" i="112"/>
  <c r="HM502" i="112"/>
  <c r="HM490" i="112"/>
  <c r="HM486" i="112"/>
  <c r="HM482" i="112"/>
  <c r="HM459" i="112"/>
  <c r="HM452" i="112"/>
  <c r="HM439" i="112"/>
  <c r="HM421" i="112"/>
  <c r="HM499" i="112"/>
  <c r="HM448" i="112"/>
  <c r="HM444" i="112"/>
  <c r="HM428" i="112"/>
  <c r="HM424" i="112"/>
  <c r="HM468" i="112"/>
  <c r="HM456" i="112"/>
  <c r="HM453" i="112"/>
  <c r="HM440" i="112"/>
  <c r="HM436" i="112"/>
  <c r="HM422" i="112"/>
  <c r="HM449" i="112"/>
  <c r="HM445" i="112"/>
  <c r="HM441" i="112"/>
  <c r="HM429" i="112"/>
  <c r="HM425" i="112"/>
  <c r="HM470" i="112"/>
  <c r="HM457" i="112"/>
  <c r="HM454" i="112"/>
  <c r="HM437" i="112"/>
  <c r="HM419" i="112"/>
  <c r="HM450" i="112"/>
  <c r="HM446" i="112"/>
  <c r="HM442" i="112"/>
  <c r="HM430" i="112"/>
  <c r="HM426" i="112"/>
  <c r="HM478" i="112"/>
  <c r="HM462" i="112"/>
  <c r="HM458" i="112"/>
  <c r="HM455" i="112"/>
  <c r="HM451" i="112"/>
  <c r="HM438" i="112"/>
  <c r="HM420" i="112"/>
  <c r="HM431" i="112"/>
  <c r="HM411" i="112"/>
  <c r="HM407" i="112"/>
  <c r="HM403" i="112"/>
  <c r="HM399" i="112"/>
  <c r="HM395" i="112"/>
  <c r="HM391" i="112"/>
  <c r="HM387" i="112"/>
  <c r="HM383" i="112"/>
  <c r="HM376" i="112"/>
  <c r="HM372" i="112"/>
  <c r="HM443" i="112"/>
  <c r="HM447" i="112"/>
  <c r="HM412" i="112"/>
  <c r="HM408" i="112"/>
  <c r="HM404" i="112"/>
  <c r="HM400" i="112"/>
  <c r="HM396" i="112"/>
  <c r="HM392" i="112"/>
  <c r="HM388" i="112"/>
  <c r="HM384" i="112"/>
  <c r="HM377" i="112"/>
  <c r="HM373" i="112"/>
  <c r="HM415" i="112"/>
  <c r="HM413" i="112"/>
  <c r="HM409" i="112"/>
  <c r="HM405" i="112"/>
  <c r="HM401" i="112"/>
  <c r="HM397" i="112"/>
  <c r="HM393" i="112"/>
  <c r="HM389" i="112"/>
  <c r="HM385" i="112"/>
  <c r="HM374" i="112"/>
  <c r="HM427" i="112"/>
  <c r="HM414" i="112"/>
  <c r="HM410" i="112"/>
  <c r="HM406" i="112"/>
  <c r="HM402" i="112"/>
  <c r="HM398" i="112"/>
  <c r="HM394" i="112"/>
  <c r="HM390" i="112"/>
  <c r="HM386" i="112"/>
  <c r="HM375" i="112"/>
  <c r="HM367" i="112"/>
  <c r="HM359" i="112"/>
  <c r="HM346" i="112"/>
  <c r="HM342" i="112"/>
  <c r="HM338" i="112"/>
  <c r="HM328" i="112"/>
  <c r="HM325" i="112"/>
  <c r="HM321" i="112"/>
  <c r="HM355" i="112"/>
  <c r="HM351" i="112"/>
  <c r="HM347" i="112"/>
  <c r="HM331" i="112"/>
  <c r="HM368" i="112"/>
  <c r="HM364" i="112"/>
  <c r="HM343" i="112"/>
  <c r="HM339" i="112"/>
  <c r="HM326" i="112"/>
  <c r="HM322" i="112"/>
  <c r="HM356" i="112"/>
  <c r="HM352" i="112"/>
  <c r="HM348" i="112"/>
  <c r="HM329" i="112"/>
  <c r="HM509" i="112"/>
  <c r="HM369" i="112"/>
  <c r="HM365" i="112"/>
  <c r="HM357" i="112"/>
  <c r="HM344" i="112"/>
  <c r="HM340" i="112"/>
  <c r="HM332" i="112"/>
  <c r="HM323" i="112"/>
  <c r="HM423" i="112"/>
  <c r="HM353" i="112"/>
  <c r="HM349" i="112"/>
  <c r="HM327" i="112"/>
  <c r="HM382" i="112"/>
  <c r="HM370" i="112"/>
  <c r="HM366" i="112"/>
  <c r="HM358" i="112"/>
  <c r="HM345" i="112"/>
  <c r="HM341" i="112"/>
  <c r="HM337" i="112"/>
  <c r="HM330" i="112"/>
  <c r="HM324" i="112"/>
  <c r="HJ320" i="112"/>
  <c r="HP326" i="112"/>
  <c r="HO331" i="112"/>
  <c r="HJ340" i="112"/>
  <c r="HK349" i="112"/>
  <c r="HE354" i="112"/>
  <c r="HL358" i="112"/>
  <c r="HM371" i="112"/>
  <c r="HH513" i="112"/>
  <c r="HH497" i="112"/>
  <c r="HH508" i="112"/>
  <c r="HH501" i="112"/>
  <c r="HH489" i="112"/>
  <c r="HH485" i="112"/>
  <c r="HH481" i="112"/>
  <c r="HH473" i="112"/>
  <c r="HH469" i="112"/>
  <c r="HH465" i="112"/>
  <c r="HH461" i="112"/>
  <c r="HH511" i="112"/>
  <c r="HH498" i="112"/>
  <c r="HH514" i="112"/>
  <c r="HH502" i="112"/>
  <c r="HH490" i="112"/>
  <c r="HH486" i="112"/>
  <c r="HH482" i="112"/>
  <c r="HH478" i="112"/>
  <c r="HH470" i="112"/>
  <c r="HH468" i="112"/>
  <c r="HH462" i="112"/>
  <c r="HH499" i="112"/>
  <c r="HH512" i="112"/>
  <c r="HH491" i="112"/>
  <c r="HH487" i="112"/>
  <c r="HH483" i="112"/>
  <c r="HH479" i="112"/>
  <c r="HH471" i="112"/>
  <c r="HH466" i="112"/>
  <c r="HH463" i="112"/>
  <c r="HH460" i="112"/>
  <c r="HH507" i="112"/>
  <c r="HH500" i="112"/>
  <c r="HH449" i="112"/>
  <c r="HH445" i="112"/>
  <c r="HH441" i="112"/>
  <c r="HH429" i="112"/>
  <c r="HH425" i="112"/>
  <c r="HH464" i="112"/>
  <c r="HH457" i="112"/>
  <c r="HH454" i="112"/>
  <c r="HH437" i="112"/>
  <c r="HH419" i="112"/>
  <c r="HH480" i="112"/>
  <c r="HH450" i="112"/>
  <c r="HH446" i="112"/>
  <c r="HH442" i="112"/>
  <c r="HH430" i="112"/>
  <c r="HH426" i="112"/>
  <c r="HH484" i="112"/>
  <c r="HH467" i="112"/>
  <c r="HH458" i="112"/>
  <c r="HH455" i="112"/>
  <c r="HH451" i="112"/>
  <c r="HH438" i="112"/>
  <c r="HH420" i="112"/>
  <c r="HH488" i="112"/>
  <c r="HH447" i="112"/>
  <c r="HH443" i="112"/>
  <c r="HH431" i="112"/>
  <c r="HH427" i="112"/>
  <c r="HH423" i="112"/>
  <c r="HH459" i="112"/>
  <c r="HH452" i="112"/>
  <c r="HH439" i="112"/>
  <c r="HH421" i="112"/>
  <c r="HH510" i="112"/>
  <c r="HH448" i="112"/>
  <c r="HH444" i="112"/>
  <c r="HH428" i="112"/>
  <c r="HH424" i="112"/>
  <c r="HH440" i="112"/>
  <c r="HH412" i="112"/>
  <c r="HH408" i="112"/>
  <c r="HH404" i="112"/>
  <c r="HH400" i="112"/>
  <c r="HH396" i="112"/>
  <c r="HH392" i="112"/>
  <c r="HH388" i="112"/>
  <c r="HH384" i="112"/>
  <c r="HH377" i="112"/>
  <c r="HH373" i="112"/>
  <c r="HH453" i="112"/>
  <c r="HH415" i="112"/>
  <c r="HH456" i="112"/>
  <c r="HH413" i="112"/>
  <c r="HH409" i="112"/>
  <c r="HH405" i="112"/>
  <c r="HH401" i="112"/>
  <c r="HH397" i="112"/>
  <c r="HH393" i="112"/>
  <c r="HH389" i="112"/>
  <c r="HH385" i="112"/>
  <c r="HH374" i="112"/>
  <c r="HH416" i="112"/>
  <c r="HH382" i="112"/>
  <c r="HH472" i="112"/>
  <c r="HH422" i="112"/>
  <c r="HH414" i="112"/>
  <c r="HH410" i="112"/>
  <c r="HH406" i="112"/>
  <c r="HH402" i="112"/>
  <c r="HH398" i="112"/>
  <c r="HH394" i="112"/>
  <c r="HH390" i="112"/>
  <c r="HH386" i="112"/>
  <c r="HH436" i="112"/>
  <c r="HH395" i="112"/>
  <c r="HH356" i="112"/>
  <c r="HH352" i="112"/>
  <c r="HH348" i="112"/>
  <c r="HH329" i="112"/>
  <c r="HH399" i="112"/>
  <c r="HH369" i="112"/>
  <c r="HH365" i="112"/>
  <c r="HH357" i="112"/>
  <c r="HH344" i="112"/>
  <c r="HH340" i="112"/>
  <c r="HH332" i="112"/>
  <c r="HH323" i="112"/>
  <c r="HH403" i="112"/>
  <c r="HH376" i="112"/>
  <c r="HH353" i="112"/>
  <c r="HH349" i="112"/>
  <c r="HH327" i="112"/>
  <c r="HH407" i="112"/>
  <c r="HH370" i="112"/>
  <c r="HH366" i="112"/>
  <c r="HH358" i="112"/>
  <c r="HH345" i="112"/>
  <c r="HH341" i="112"/>
  <c r="HH337" i="112"/>
  <c r="HH330" i="112"/>
  <c r="HH324" i="112"/>
  <c r="HH411" i="112"/>
  <c r="HH375" i="112"/>
  <c r="HH371" i="112"/>
  <c r="HH354" i="112"/>
  <c r="HH350" i="112"/>
  <c r="HH383" i="112"/>
  <c r="HH367" i="112"/>
  <c r="HH359" i="112"/>
  <c r="HH346" i="112"/>
  <c r="HH342" i="112"/>
  <c r="HH338" i="112"/>
  <c r="HH328" i="112"/>
  <c r="HH325" i="112"/>
  <c r="HH387" i="112"/>
  <c r="HH355" i="112"/>
  <c r="HH351" i="112"/>
  <c r="HH347" i="112"/>
  <c r="HH331" i="112"/>
  <c r="HG321" i="112"/>
  <c r="HF507" i="112"/>
  <c r="HF500" i="112"/>
  <c r="HF510" i="112"/>
  <c r="HF488" i="112"/>
  <c r="HF484" i="112"/>
  <c r="HF480" i="112"/>
  <c r="HF472" i="112"/>
  <c r="HF467" i="112"/>
  <c r="HF464" i="112"/>
  <c r="HF513" i="112"/>
  <c r="HF508" i="112"/>
  <c r="HF501" i="112"/>
  <c r="HF489" i="112"/>
  <c r="HF485" i="112"/>
  <c r="HF481" i="112"/>
  <c r="HF473" i="112"/>
  <c r="HF469" i="112"/>
  <c r="HF465" i="112"/>
  <c r="HF461" i="112"/>
  <c r="HF511" i="112"/>
  <c r="HF498" i="112"/>
  <c r="HF514" i="112"/>
  <c r="HF502" i="112"/>
  <c r="HF490" i="112"/>
  <c r="HF486" i="112"/>
  <c r="HF482" i="112"/>
  <c r="HF478" i="112"/>
  <c r="HF470" i="112"/>
  <c r="HF468" i="112"/>
  <c r="HF462" i="112"/>
  <c r="HF509" i="112"/>
  <c r="HF499" i="112"/>
  <c r="HF448" i="112"/>
  <c r="HF444" i="112"/>
  <c r="HF428" i="112"/>
  <c r="HF424" i="112"/>
  <c r="HF456" i="112"/>
  <c r="HF453" i="112"/>
  <c r="HF440" i="112"/>
  <c r="HF436" i="112"/>
  <c r="HF422" i="112"/>
  <c r="HF449" i="112"/>
  <c r="HF445" i="112"/>
  <c r="HF441" i="112"/>
  <c r="HF429" i="112"/>
  <c r="HF425" i="112"/>
  <c r="HF512" i="112"/>
  <c r="HF471" i="112"/>
  <c r="HF460" i="112"/>
  <c r="HF457" i="112"/>
  <c r="HF454" i="112"/>
  <c r="HF437" i="112"/>
  <c r="HF419" i="112"/>
  <c r="HF450" i="112"/>
  <c r="HF446" i="112"/>
  <c r="HF442" i="112"/>
  <c r="HF430" i="112"/>
  <c r="HF426" i="112"/>
  <c r="HF483" i="112"/>
  <c r="HF479" i="112"/>
  <c r="HF463" i="112"/>
  <c r="HF458" i="112"/>
  <c r="HF455" i="112"/>
  <c r="HF451" i="112"/>
  <c r="HF438" i="112"/>
  <c r="HF420" i="112"/>
  <c r="HF487" i="112"/>
  <c r="HF447" i="112"/>
  <c r="HF443" i="112"/>
  <c r="HF431" i="112"/>
  <c r="HF427" i="112"/>
  <c r="HF491" i="112"/>
  <c r="HF466" i="112"/>
  <c r="HF411" i="112"/>
  <c r="HF407" i="112"/>
  <c r="HF403" i="112"/>
  <c r="HF399" i="112"/>
  <c r="HF395" i="112"/>
  <c r="HF391" i="112"/>
  <c r="HF387" i="112"/>
  <c r="HF383" i="112"/>
  <c r="HF376" i="112"/>
  <c r="HF439" i="112"/>
  <c r="HF412" i="112"/>
  <c r="HF408" i="112"/>
  <c r="HF404" i="112"/>
  <c r="HF400" i="112"/>
  <c r="HF396" i="112"/>
  <c r="HF392" i="112"/>
  <c r="HF388" i="112"/>
  <c r="HF384" i="112"/>
  <c r="HF377" i="112"/>
  <c r="HF373" i="112"/>
  <c r="HF452" i="112"/>
  <c r="HF415" i="112"/>
  <c r="HF413" i="112"/>
  <c r="HF409" i="112"/>
  <c r="HF405" i="112"/>
  <c r="HF401" i="112"/>
  <c r="HF397" i="112"/>
  <c r="HF393" i="112"/>
  <c r="HF389" i="112"/>
  <c r="HF385" i="112"/>
  <c r="HF459" i="112"/>
  <c r="HF416" i="112"/>
  <c r="HF382" i="112"/>
  <c r="HF386" i="112"/>
  <c r="HF374" i="112"/>
  <c r="HF355" i="112"/>
  <c r="HF351" i="112"/>
  <c r="HF347" i="112"/>
  <c r="HF331" i="112"/>
  <c r="HF390" i="112"/>
  <c r="HF372" i="112"/>
  <c r="HF368" i="112"/>
  <c r="HF364" i="112"/>
  <c r="HF343" i="112"/>
  <c r="HF339" i="112"/>
  <c r="HF326" i="112"/>
  <c r="HF322" i="112"/>
  <c r="HF394" i="112"/>
  <c r="HF356" i="112"/>
  <c r="HF352" i="112"/>
  <c r="HF348" i="112"/>
  <c r="HF329" i="112"/>
  <c r="HF398" i="112"/>
  <c r="HF369" i="112"/>
  <c r="HF365" i="112"/>
  <c r="HF357" i="112"/>
  <c r="HF344" i="112"/>
  <c r="HF340" i="112"/>
  <c r="HF332" i="112"/>
  <c r="HF323" i="112"/>
  <c r="HF402" i="112"/>
  <c r="HF353" i="112"/>
  <c r="HF349" i="112"/>
  <c r="HF327" i="112"/>
  <c r="HF406" i="112"/>
  <c r="HF375" i="112"/>
  <c r="HF370" i="112"/>
  <c r="HF366" i="112"/>
  <c r="HF358" i="112"/>
  <c r="HF345" i="112"/>
  <c r="HF341" i="112"/>
  <c r="HF337" i="112"/>
  <c r="HF330" i="112"/>
  <c r="HF324" i="112"/>
  <c r="HF421" i="112"/>
  <c r="HF410" i="112"/>
  <c r="HF371" i="112"/>
  <c r="HF354" i="112"/>
  <c r="HF350" i="112"/>
  <c r="HN507" i="112"/>
  <c r="HN500" i="112"/>
  <c r="HN510" i="112"/>
  <c r="HN488" i="112"/>
  <c r="HN484" i="112"/>
  <c r="HN480" i="112"/>
  <c r="HN472" i="112"/>
  <c r="HN467" i="112"/>
  <c r="HN464" i="112"/>
  <c r="HN513" i="112"/>
  <c r="HN497" i="112"/>
  <c r="HN508" i="112"/>
  <c r="HN501" i="112"/>
  <c r="HN489" i="112"/>
  <c r="HN485" i="112"/>
  <c r="HN481" i="112"/>
  <c r="HN473" i="112"/>
  <c r="HN469" i="112"/>
  <c r="HN465" i="112"/>
  <c r="HN461" i="112"/>
  <c r="HN511" i="112"/>
  <c r="HN498" i="112"/>
  <c r="HN459" i="112"/>
  <c r="HN514" i="112"/>
  <c r="HN502" i="112"/>
  <c r="HN490" i="112"/>
  <c r="HN486" i="112"/>
  <c r="HN482" i="112"/>
  <c r="HN478" i="112"/>
  <c r="HN470" i="112"/>
  <c r="HN468" i="112"/>
  <c r="HN462" i="112"/>
  <c r="HN509" i="112"/>
  <c r="HN499" i="112"/>
  <c r="HN448" i="112"/>
  <c r="HN444" i="112"/>
  <c r="HN428" i="112"/>
  <c r="HN424" i="112"/>
  <c r="HN471" i="112"/>
  <c r="HN460" i="112"/>
  <c r="HN456" i="112"/>
  <c r="HN453" i="112"/>
  <c r="HN440" i="112"/>
  <c r="HN436" i="112"/>
  <c r="HN422" i="112"/>
  <c r="HN512" i="112"/>
  <c r="HN449" i="112"/>
  <c r="HN445" i="112"/>
  <c r="HN441" i="112"/>
  <c r="HN429" i="112"/>
  <c r="HN425" i="112"/>
  <c r="HN479" i="112"/>
  <c r="HN463" i="112"/>
  <c r="HN457" i="112"/>
  <c r="HN454" i="112"/>
  <c r="HN437" i="112"/>
  <c r="HN419" i="112"/>
  <c r="HN483" i="112"/>
  <c r="HN450" i="112"/>
  <c r="HN446" i="112"/>
  <c r="HN442" i="112"/>
  <c r="HN430" i="112"/>
  <c r="HN426" i="112"/>
  <c r="HN487" i="112"/>
  <c r="HN466" i="112"/>
  <c r="HN458" i="112"/>
  <c r="HN455" i="112"/>
  <c r="HN451" i="112"/>
  <c r="HN438" i="112"/>
  <c r="HN420" i="112"/>
  <c r="HN491" i="112"/>
  <c r="HN447" i="112"/>
  <c r="HN443" i="112"/>
  <c r="HN431" i="112"/>
  <c r="HN427" i="112"/>
  <c r="HN423" i="112"/>
  <c r="HN411" i="112"/>
  <c r="HN407" i="112"/>
  <c r="HN403" i="112"/>
  <c r="HN399" i="112"/>
  <c r="HN395" i="112"/>
  <c r="HN391" i="112"/>
  <c r="HN387" i="112"/>
  <c r="HN383" i="112"/>
  <c r="HN376" i="112"/>
  <c r="HN372" i="112"/>
  <c r="HN439" i="112"/>
  <c r="HN452" i="112"/>
  <c r="HN412" i="112"/>
  <c r="HN408" i="112"/>
  <c r="HN404" i="112"/>
  <c r="HN400" i="112"/>
  <c r="HN396" i="112"/>
  <c r="HN392" i="112"/>
  <c r="HN388" i="112"/>
  <c r="HN384" i="112"/>
  <c r="HN377" i="112"/>
  <c r="HN373" i="112"/>
  <c r="HN415" i="112"/>
  <c r="HN413" i="112"/>
  <c r="HN409" i="112"/>
  <c r="HN405" i="112"/>
  <c r="HN401" i="112"/>
  <c r="HN397" i="112"/>
  <c r="HN393" i="112"/>
  <c r="HN389" i="112"/>
  <c r="HN385" i="112"/>
  <c r="HN421" i="112"/>
  <c r="HN416" i="112"/>
  <c r="HN382" i="112"/>
  <c r="HN390" i="112"/>
  <c r="HN355" i="112"/>
  <c r="HN351" i="112"/>
  <c r="HN347" i="112"/>
  <c r="HN331" i="112"/>
  <c r="HN394" i="112"/>
  <c r="HN368" i="112"/>
  <c r="HN364" i="112"/>
  <c r="HN343" i="112"/>
  <c r="HN339" i="112"/>
  <c r="HN326" i="112"/>
  <c r="HN322" i="112"/>
  <c r="HN398" i="112"/>
  <c r="HN356" i="112"/>
  <c r="HN352" i="112"/>
  <c r="HN348" i="112"/>
  <c r="HN329" i="112"/>
  <c r="HN402" i="112"/>
  <c r="HN375" i="112"/>
  <c r="HN369" i="112"/>
  <c r="HN365" i="112"/>
  <c r="HN357" i="112"/>
  <c r="HN344" i="112"/>
  <c r="HN340" i="112"/>
  <c r="HN332" i="112"/>
  <c r="HN323" i="112"/>
  <c r="HN406" i="112"/>
  <c r="HN353" i="112"/>
  <c r="HN349" i="112"/>
  <c r="HN327" i="112"/>
  <c r="HN410" i="112"/>
  <c r="HN370" i="112"/>
  <c r="HN366" i="112"/>
  <c r="HN358" i="112"/>
  <c r="HN345" i="112"/>
  <c r="HN341" i="112"/>
  <c r="HN337" i="112"/>
  <c r="HN330" i="112"/>
  <c r="HN324" i="112"/>
  <c r="HN414" i="112"/>
  <c r="HN374" i="112"/>
  <c r="HN371" i="112"/>
  <c r="HN354" i="112"/>
  <c r="HN350" i="112"/>
  <c r="HK320" i="112"/>
  <c r="HP322" i="112"/>
  <c r="HK327" i="112"/>
  <c r="HJ332" i="112"/>
  <c r="HL345" i="112"/>
  <c r="HE350" i="112"/>
  <c r="HM354" i="112"/>
  <c r="HF359" i="112"/>
  <c r="HN367" i="112"/>
  <c r="HH372" i="112"/>
  <c r="HL409" i="112"/>
  <c r="HC385" i="112"/>
  <c r="HC393" i="112"/>
  <c r="HC401" i="112"/>
  <c r="HC409" i="112"/>
  <c r="HD323" i="112"/>
  <c r="HD375" i="112"/>
  <c r="HC384" i="112"/>
  <c r="HC392" i="112"/>
  <c r="HC400" i="112"/>
  <c r="HC408" i="112"/>
  <c r="HD462" i="112"/>
  <c r="HD482" i="112"/>
  <c r="HD510" i="112"/>
  <c r="HD327" i="112"/>
  <c r="HD341" i="112"/>
  <c r="HD351" i="112"/>
  <c r="HC383" i="112"/>
  <c r="HC391" i="112"/>
  <c r="HC399" i="112"/>
  <c r="HC407" i="112"/>
  <c r="HD419" i="112"/>
  <c r="HD445" i="112"/>
  <c r="HD486" i="112"/>
  <c r="HD355" i="112"/>
  <c r="HD369" i="112"/>
  <c r="HC390" i="112"/>
  <c r="HC398" i="112"/>
  <c r="HC406" i="112"/>
  <c r="HD431" i="112"/>
  <c r="HD449" i="112"/>
  <c r="HD458" i="112"/>
  <c r="HD500" i="112"/>
  <c r="HD514" i="112"/>
  <c r="HD321" i="112"/>
  <c r="HD331" i="112"/>
  <c r="HD382" i="112"/>
  <c r="HC389" i="112"/>
  <c r="HC397" i="112"/>
  <c r="HC405" i="112"/>
  <c r="HD468" i="112"/>
  <c r="HD480" i="112"/>
  <c r="HD490" i="112"/>
  <c r="HD339" i="112"/>
  <c r="HD349" i="112"/>
  <c r="HD359" i="112"/>
  <c r="HC388" i="112"/>
  <c r="HC396" i="112"/>
  <c r="HC404" i="112"/>
  <c r="HC412" i="112"/>
  <c r="HD415" i="112"/>
  <c r="HD425" i="112"/>
  <c r="HD443" i="112"/>
  <c r="HD453" i="112"/>
  <c r="HD367" i="112"/>
  <c r="HD377" i="112"/>
  <c r="HC387" i="112"/>
  <c r="HC395" i="112"/>
  <c r="HC403" i="112"/>
  <c r="HC411" i="112"/>
  <c r="HD429" i="112"/>
  <c r="HD456" i="112"/>
  <c r="HD464" i="112"/>
  <c r="HD470" i="112"/>
  <c r="HD498" i="112"/>
  <c r="HD512" i="112"/>
  <c r="HD329" i="112"/>
  <c r="HD343" i="112"/>
  <c r="HC386" i="112"/>
  <c r="HC394" i="112"/>
  <c r="HC402" i="112"/>
  <c r="HC410" i="112"/>
  <c r="HD437" i="112"/>
  <c r="HD478" i="112"/>
  <c r="HD488" i="112"/>
  <c r="HD326" i="112"/>
  <c r="HD338" i="112"/>
  <c r="HD346" i="112"/>
  <c r="HD354" i="112"/>
  <c r="HD366" i="112"/>
  <c r="HD374" i="112"/>
  <c r="HD414" i="112"/>
  <c r="HD422" i="112"/>
  <c r="HD428" i="112"/>
  <c r="HD440" i="112"/>
  <c r="HD448" i="112"/>
  <c r="HD461" i="112"/>
  <c r="HD473" i="112"/>
  <c r="HD485" i="112"/>
  <c r="HD509" i="112"/>
  <c r="HD325" i="112"/>
  <c r="HD337" i="112"/>
  <c r="HD345" i="112"/>
  <c r="HD353" i="112"/>
  <c r="HD365" i="112"/>
  <c r="HD373" i="112"/>
  <c r="HD413" i="112"/>
  <c r="HD421" i="112"/>
  <c r="HD427" i="112"/>
  <c r="HD439" i="112"/>
  <c r="HD447" i="112"/>
  <c r="HD455" i="112"/>
  <c r="HD467" i="112"/>
  <c r="HD472" i="112"/>
  <c r="HD484" i="112"/>
  <c r="HD508" i="112"/>
  <c r="HD324" i="112"/>
  <c r="HD332" i="112"/>
  <c r="HD344" i="112"/>
  <c r="HD352" i="112"/>
  <c r="HD364" i="112"/>
  <c r="HD372" i="112"/>
  <c r="HD383" i="112"/>
  <c r="HD384" i="112"/>
  <c r="HD385" i="112"/>
  <c r="HD386" i="112"/>
  <c r="HD387" i="112"/>
  <c r="HD388" i="112"/>
  <c r="HD389" i="112"/>
  <c r="HD390" i="112"/>
  <c r="HD391" i="112"/>
  <c r="HD392" i="112"/>
  <c r="HD393" i="112"/>
  <c r="HD394" i="112"/>
  <c r="HD395" i="112"/>
  <c r="HD396" i="112"/>
  <c r="HD397" i="112"/>
  <c r="HD398" i="112"/>
  <c r="HD399" i="112"/>
  <c r="HD400" i="112"/>
  <c r="HD401" i="112"/>
  <c r="HD402" i="112"/>
  <c r="HD403" i="112"/>
  <c r="HD404" i="112"/>
  <c r="HD405" i="112"/>
  <c r="HD406" i="112"/>
  <c r="HD407" i="112"/>
  <c r="HD408" i="112"/>
  <c r="HD409" i="112"/>
  <c r="HD410" i="112"/>
  <c r="HD411" i="112"/>
  <c r="HD412" i="112"/>
  <c r="HD420" i="112"/>
  <c r="HD426" i="112"/>
  <c r="HD438" i="112"/>
  <c r="HD446" i="112"/>
  <c r="HD454" i="112"/>
  <c r="HD460" i="112"/>
  <c r="HD466" i="112"/>
  <c r="HD471" i="112"/>
  <c r="HD483" i="112"/>
  <c r="HD491" i="112"/>
  <c r="HD507" i="112"/>
  <c r="HD322" i="112"/>
  <c r="HD330" i="112"/>
  <c r="HD342" i="112"/>
  <c r="HD350" i="112"/>
  <c r="HD358" i="112"/>
  <c r="HD370" i="112"/>
  <c r="HD416" i="112"/>
  <c r="HD424" i="112"/>
  <c r="HD436" i="112"/>
  <c r="HD444" i="112"/>
  <c r="HD452" i="112"/>
  <c r="HD459" i="112"/>
  <c r="HD465" i="112"/>
  <c r="HD469" i="112"/>
  <c r="HD481" i="112"/>
  <c r="HD489" i="112"/>
  <c r="HD501" i="112"/>
  <c r="HD513" i="112"/>
  <c r="HD320" i="112"/>
  <c r="HD328" i="112"/>
  <c r="HD340" i="112"/>
  <c r="HD348" i="112"/>
  <c r="HD356" i="112"/>
  <c r="HD368" i="112"/>
  <c r="HD376" i="112"/>
  <c r="HD430" i="112"/>
  <c r="HD442" i="112"/>
  <c r="HD450" i="112"/>
  <c r="HD457" i="112"/>
  <c r="HD463" i="112"/>
  <c r="HD479" i="112"/>
  <c r="HD487" i="112"/>
  <c r="HD499" i="112"/>
  <c r="HC413" i="112"/>
  <c r="HC414" i="112"/>
  <c r="HC415" i="112"/>
  <c r="HC416" i="112"/>
  <c r="HC419" i="112"/>
  <c r="HC420" i="112"/>
  <c r="HC421" i="112"/>
  <c r="HC422" i="112"/>
  <c r="HC423" i="112"/>
  <c r="HC424" i="112"/>
  <c r="HC425" i="112"/>
  <c r="HC426" i="112"/>
  <c r="HC427" i="112"/>
  <c r="HC428" i="112"/>
  <c r="HC429" i="112"/>
  <c r="HC430" i="112"/>
  <c r="HC431" i="112"/>
  <c r="HC436" i="112"/>
  <c r="HC437" i="112"/>
  <c r="HC438" i="112"/>
  <c r="HC439" i="112"/>
  <c r="HC440" i="112"/>
  <c r="HC441" i="112"/>
  <c r="HC442" i="112"/>
  <c r="HC443" i="112"/>
  <c r="HC444" i="112"/>
  <c r="HC445" i="112"/>
  <c r="HC446" i="112"/>
  <c r="HC447" i="112"/>
  <c r="HC448" i="112"/>
  <c r="HC449" i="112"/>
  <c r="HC450" i="112"/>
  <c r="HC451" i="112"/>
  <c r="HC452" i="112"/>
  <c r="HC453" i="112"/>
  <c r="HC454" i="112"/>
  <c r="HC455" i="112"/>
  <c r="HC456" i="112"/>
  <c r="HC457" i="112"/>
  <c r="HC458" i="112"/>
  <c r="HC459" i="112"/>
  <c r="HC460" i="112"/>
  <c r="HC461" i="112"/>
  <c r="HC462" i="112"/>
  <c r="HC463" i="112"/>
  <c r="HC464" i="112"/>
  <c r="HC465" i="112"/>
  <c r="HC466" i="112"/>
  <c r="HC467" i="112"/>
  <c r="HC468" i="112"/>
  <c r="HC469" i="112"/>
  <c r="HC470" i="112"/>
  <c r="HC471" i="112"/>
  <c r="HC472" i="112"/>
  <c r="HC473" i="112"/>
  <c r="HC478" i="112"/>
  <c r="HC479" i="112"/>
  <c r="HC480" i="112"/>
  <c r="HC481" i="112"/>
  <c r="HC482" i="112"/>
  <c r="HC483" i="112"/>
  <c r="HC484" i="112"/>
  <c r="HC485" i="112"/>
  <c r="HC486" i="112"/>
  <c r="HC487" i="112"/>
  <c r="HC488" i="112"/>
  <c r="HC489" i="112"/>
  <c r="HC490" i="112"/>
  <c r="HC491" i="112"/>
  <c r="HC321" i="112"/>
  <c r="HC323" i="112"/>
  <c r="HC325" i="112"/>
  <c r="HC328" i="112"/>
  <c r="HC330" i="112"/>
  <c r="HC332" i="112"/>
  <c r="HC337" i="112"/>
  <c r="HC341" i="112"/>
  <c r="HC344" i="112"/>
  <c r="HC347" i="112"/>
  <c r="HC348" i="112"/>
  <c r="HC349" i="112"/>
  <c r="HC350" i="112"/>
  <c r="HC351" i="112"/>
  <c r="HC352" i="112"/>
  <c r="HC353" i="112"/>
  <c r="HC354" i="112"/>
  <c r="HC357" i="112"/>
  <c r="HC358" i="112"/>
  <c r="HC359" i="112"/>
  <c r="HC364" i="112"/>
  <c r="HC365" i="112"/>
  <c r="HC366" i="112"/>
  <c r="HC367" i="112"/>
  <c r="HC368" i="112"/>
  <c r="HC369" i="112"/>
  <c r="HC370" i="112"/>
  <c r="HC371" i="112"/>
  <c r="HC372" i="112"/>
  <c r="HC373" i="112"/>
  <c r="HC374" i="112"/>
  <c r="HC375" i="112"/>
  <c r="HC376" i="112"/>
  <c r="HC513" i="112"/>
  <c r="HC512" i="112"/>
  <c r="HC511" i="112"/>
  <c r="HC510" i="112"/>
  <c r="HC508" i="112"/>
  <c r="HC507" i="112"/>
  <c r="HC502" i="112"/>
  <c r="HC501" i="112"/>
  <c r="HC500" i="112"/>
  <c r="HC499" i="112"/>
  <c r="HC498" i="112"/>
  <c r="HC320" i="112"/>
  <c r="HC324" i="112"/>
  <c r="HC326" i="112"/>
  <c r="HC338" i="112"/>
  <c r="HC342" i="112"/>
  <c r="HC345" i="112"/>
  <c r="HC356" i="112"/>
  <c r="HC322" i="112"/>
  <c r="HC327" i="112"/>
  <c r="HC329" i="112"/>
  <c r="HC331" i="112"/>
  <c r="HC339" i="112"/>
  <c r="HC340" i="112"/>
  <c r="HC343" i="112"/>
  <c r="HC346" i="112"/>
  <c r="HC355" i="112"/>
  <c r="Z14" i="37"/>
  <c r="Z28" i="37"/>
  <c r="Z30" i="37"/>
  <c r="Z29" i="37"/>
  <c r="Z27" i="37"/>
  <c r="AF14" i="37"/>
  <c r="AG14" i="37"/>
  <c r="AH14" i="37"/>
  <c r="AI14" i="37"/>
  <c r="AJ14" i="37"/>
  <c r="AK14" i="37"/>
  <c r="AL14" i="37"/>
  <c r="AF15" i="37"/>
  <c r="AG15" i="37"/>
  <c r="AH15" i="37"/>
  <c r="AI15" i="37"/>
  <c r="AJ15" i="37"/>
  <c r="AK15" i="37"/>
  <c r="AL15" i="37"/>
  <c r="AF16" i="37"/>
  <c r="AG16" i="37"/>
  <c r="AH16" i="37"/>
  <c r="AI16" i="37"/>
  <c r="AJ16" i="37"/>
  <c r="AK16" i="37"/>
  <c r="AL16" i="37"/>
  <c r="AF17" i="37"/>
  <c r="AG17" i="37"/>
  <c r="AH17" i="37"/>
  <c r="AI17" i="37"/>
  <c r="AJ17" i="37"/>
  <c r="AK17" i="37"/>
  <c r="AL17" i="37"/>
  <c r="AF18" i="37"/>
  <c r="AG18" i="37"/>
  <c r="AH18" i="37"/>
  <c r="AI18" i="37"/>
  <c r="AJ18" i="37"/>
  <c r="AK18" i="37"/>
  <c r="AL18" i="37"/>
  <c r="AF19" i="37"/>
  <c r="AG19" i="37"/>
  <c r="AH19" i="37"/>
  <c r="AI19" i="37"/>
  <c r="AJ19" i="37"/>
  <c r="AK19" i="37"/>
  <c r="AL19" i="37"/>
  <c r="AF20" i="37"/>
  <c r="AG20" i="37"/>
  <c r="AH20" i="37"/>
  <c r="AI20" i="37"/>
  <c r="AJ20" i="37"/>
  <c r="AK20" i="37"/>
  <c r="AL20" i="37"/>
  <c r="AF21" i="37"/>
  <c r="AG21" i="37"/>
  <c r="AH21" i="37"/>
  <c r="AI21" i="37"/>
  <c r="AJ21" i="37"/>
  <c r="AK21" i="37"/>
  <c r="AL21" i="37"/>
  <c r="AF22" i="37"/>
  <c r="AG22" i="37"/>
  <c r="AH22" i="37"/>
  <c r="AI22" i="37"/>
  <c r="AJ22" i="37"/>
  <c r="AK22" i="37"/>
  <c r="AL22" i="37"/>
  <c r="AF23" i="37"/>
  <c r="AG23" i="37"/>
  <c r="AH23" i="37"/>
  <c r="AI23" i="37"/>
  <c r="AJ23" i="37"/>
  <c r="AK23" i="37"/>
  <c r="AL23" i="37"/>
  <c r="AF24" i="37"/>
  <c r="AG24" i="37"/>
  <c r="AH24" i="37"/>
  <c r="AI24" i="37"/>
  <c r="AJ24" i="37"/>
  <c r="AK24" i="37"/>
  <c r="AL24" i="37"/>
  <c r="AF25" i="37"/>
  <c r="AG25" i="37"/>
  <c r="AH25" i="37"/>
  <c r="AI25" i="37"/>
  <c r="AJ25" i="37"/>
  <c r="AK25" i="37"/>
  <c r="AL25" i="37"/>
  <c r="AF26" i="37"/>
  <c r="AG26" i="37"/>
  <c r="AH26" i="37"/>
  <c r="AI26" i="37"/>
  <c r="AJ26" i="37"/>
  <c r="AK26" i="37"/>
  <c r="AL26" i="37"/>
  <c r="AF27" i="37"/>
  <c r="AG27" i="37"/>
  <c r="AH27" i="37"/>
  <c r="AI27" i="37"/>
  <c r="AJ27" i="37"/>
  <c r="AK27" i="37"/>
  <c r="AL27" i="37"/>
  <c r="AF28" i="37"/>
  <c r="AG28" i="37"/>
  <c r="AH28" i="37"/>
  <c r="AI28" i="37"/>
  <c r="AJ28" i="37"/>
  <c r="AK28" i="37"/>
  <c r="AL28" i="37"/>
  <c r="AF29" i="37"/>
  <c r="AG29" i="37"/>
  <c r="AH29" i="37"/>
  <c r="AI29" i="37"/>
  <c r="AJ29" i="37"/>
  <c r="AK29" i="37"/>
  <c r="AL29" i="37"/>
  <c r="AF30" i="37"/>
  <c r="AG30" i="37"/>
  <c r="AH30" i="37"/>
  <c r="AI30" i="37"/>
  <c r="AJ30" i="37"/>
  <c r="AK30" i="37"/>
  <c r="AL30" i="37"/>
  <c r="AF31" i="37"/>
  <c r="AG31" i="37"/>
  <c r="AH31" i="37"/>
  <c r="AI31" i="37"/>
  <c r="AJ31" i="37"/>
  <c r="AK31" i="37"/>
  <c r="AL31" i="37"/>
  <c r="AF32" i="37"/>
  <c r="AG32" i="37"/>
  <c r="AH32" i="37"/>
  <c r="AI32" i="37"/>
  <c r="AJ32" i="37"/>
  <c r="AK32" i="37"/>
  <c r="AL32" i="37"/>
  <c r="AF33" i="37"/>
  <c r="AG33" i="37"/>
  <c r="AH33" i="37"/>
  <c r="AI33" i="37"/>
  <c r="AJ33" i="37"/>
  <c r="AK33" i="37"/>
  <c r="AL33" i="37"/>
  <c r="AF34" i="37"/>
  <c r="AG34" i="37"/>
  <c r="AH34" i="37"/>
  <c r="AI34" i="37"/>
  <c r="AJ34" i="37"/>
  <c r="AK34" i="37"/>
  <c r="AL34" i="37"/>
  <c r="AF35" i="37"/>
  <c r="AG35" i="37"/>
  <c r="AH35" i="37"/>
  <c r="AI35" i="37"/>
  <c r="AJ35" i="37"/>
  <c r="AK35" i="37"/>
  <c r="AL35" i="37"/>
  <c r="AF36" i="37"/>
  <c r="AG36" i="37"/>
  <c r="AH36" i="37"/>
  <c r="AI36" i="37"/>
  <c r="AJ36" i="37"/>
  <c r="AK36" i="37"/>
  <c r="AL36" i="37"/>
  <c r="AF37" i="37"/>
  <c r="AG37" i="37"/>
  <c r="AH37" i="37"/>
  <c r="AI37" i="37"/>
  <c r="AJ37" i="37"/>
  <c r="AK37" i="37"/>
  <c r="AL37" i="37"/>
  <c r="AF38" i="37"/>
  <c r="AG38" i="37"/>
  <c r="AH38" i="37"/>
  <c r="AI38" i="37"/>
  <c r="AJ38" i="37"/>
  <c r="AK38" i="37"/>
  <c r="AL38" i="37"/>
  <c r="AF39" i="37"/>
  <c r="AG39" i="37"/>
  <c r="AH39" i="37"/>
  <c r="AI39" i="37"/>
  <c r="AJ39" i="37"/>
  <c r="AK39" i="37"/>
  <c r="AL39" i="37"/>
  <c r="AF40" i="37"/>
  <c r="AG40" i="37"/>
  <c r="AH40" i="37"/>
  <c r="AI40" i="37"/>
  <c r="AJ40" i="37"/>
  <c r="AK40" i="37"/>
  <c r="AL40" i="37"/>
  <c r="AF41" i="37"/>
  <c r="AG41" i="37"/>
  <c r="AH41" i="37"/>
  <c r="AI41" i="37"/>
  <c r="AJ41" i="37"/>
  <c r="AK41" i="37"/>
  <c r="AL41" i="37"/>
  <c r="AF42" i="37"/>
  <c r="AG42" i="37"/>
  <c r="AH42" i="37"/>
  <c r="AI42" i="37"/>
  <c r="AJ42" i="37"/>
  <c r="AK42" i="37"/>
  <c r="AL42" i="37"/>
  <c r="AF43" i="37"/>
  <c r="AG43" i="37"/>
  <c r="AH43" i="37"/>
  <c r="AI43" i="37"/>
  <c r="AJ43" i="37"/>
  <c r="AK43" i="37"/>
  <c r="AL43" i="37"/>
  <c r="AF44" i="37"/>
  <c r="AG44" i="37"/>
  <c r="AH44" i="37"/>
  <c r="AI44" i="37"/>
  <c r="AJ44" i="37"/>
  <c r="AK44" i="37"/>
  <c r="AL44" i="37"/>
  <c r="AF45" i="37"/>
  <c r="AG45" i="37"/>
  <c r="AH45" i="37"/>
  <c r="AI45" i="37"/>
  <c r="AJ45" i="37"/>
  <c r="AK45" i="37"/>
  <c r="AL45" i="37"/>
  <c r="AF46" i="37"/>
  <c r="AG46" i="37"/>
  <c r="AH46" i="37"/>
  <c r="AI46" i="37"/>
  <c r="AJ46" i="37"/>
  <c r="AK46" i="37"/>
  <c r="AL46" i="37"/>
  <c r="AF47" i="37"/>
  <c r="AG47" i="37"/>
  <c r="AH47" i="37"/>
  <c r="AI47" i="37"/>
  <c r="AJ47" i="37"/>
  <c r="AK47" i="37"/>
  <c r="AL47" i="37"/>
  <c r="AF48" i="37"/>
  <c r="AG48" i="37"/>
  <c r="AH48" i="37"/>
  <c r="AI48" i="37"/>
  <c r="AJ48" i="37"/>
  <c r="AK48" i="37"/>
  <c r="AL48" i="37"/>
  <c r="AF49" i="37"/>
  <c r="AG49" i="37"/>
  <c r="AH49" i="37"/>
  <c r="AI49" i="37"/>
  <c r="AJ49" i="37"/>
  <c r="AK49" i="37"/>
  <c r="AL49" i="37"/>
  <c r="AF50" i="37"/>
  <c r="AG50" i="37"/>
  <c r="AH50" i="37"/>
  <c r="AI50" i="37"/>
  <c r="AJ50" i="37"/>
  <c r="AK50" i="37"/>
  <c r="AL50" i="37"/>
  <c r="AF51" i="37"/>
  <c r="AG51" i="37"/>
  <c r="AH51" i="37"/>
  <c r="AI51" i="37"/>
  <c r="AJ51" i="37"/>
  <c r="AK51" i="37"/>
  <c r="AL51" i="37"/>
  <c r="AF52" i="37"/>
  <c r="AG52" i="37"/>
  <c r="AH52" i="37"/>
  <c r="AI52" i="37"/>
  <c r="AJ52" i="37"/>
  <c r="AK52" i="37"/>
  <c r="AL52" i="37"/>
  <c r="AF53" i="37"/>
  <c r="AG53" i="37"/>
  <c r="AH53" i="37"/>
  <c r="AI53" i="37"/>
  <c r="AJ53" i="37"/>
  <c r="AK53" i="37"/>
  <c r="AL53" i="37"/>
  <c r="AF54" i="37"/>
  <c r="AG54" i="37"/>
  <c r="AH54" i="37"/>
  <c r="AI54" i="37"/>
  <c r="AJ54" i="37"/>
  <c r="AK54" i="37"/>
  <c r="AL54" i="37"/>
  <c r="AF55" i="37"/>
  <c r="AG55" i="37"/>
  <c r="AH55" i="37"/>
  <c r="AI55" i="37"/>
  <c r="AJ55" i="37"/>
  <c r="AK55" i="37"/>
  <c r="AL55" i="37"/>
  <c r="AF56" i="37"/>
  <c r="AG56" i="37"/>
  <c r="AH56" i="37"/>
  <c r="AI56" i="37"/>
  <c r="AJ56" i="37"/>
  <c r="AK56" i="37"/>
  <c r="AL56" i="37"/>
  <c r="AF57" i="37"/>
  <c r="AG57" i="37"/>
  <c r="AH57" i="37"/>
  <c r="AI57" i="37"/>
  <c r="AJ57" i="37"/>
  <c r="AK57" i="37"/>
  <c r="AL57" i="37"/>
  <c r="AF58" i="37"/>
  <c r="AG58" i="37"/>
  <c r="AH58" i="37"/>
  <c r="AI58" i="37"/>
  <c r="AJ58" i="37"/>
  <c r="AK58" i="37"/>
  <c r="AL58" i="37"/>
  <c r="AF59" i="37"/>
  <c r="AG59" i="37"/>
  <c r="AH59" i="37"/>
  <c r="AI59" i="37"/>
  <c r="AJ59" i="37"/>
  <c r="AK59" i="37"/>
  <c r="AL59" i="37"/>
  <c r="AF60" i="37"/>
  <c r="AG60" i="37"/>
  <c r="AH60" i="37"/>
  <c r="AI60" i="37"/>
  <c r="AJ60" i="37"/>
  <c r="AK60" i="37"/>
  <c r="AL60" i="37"/>
  <c r="AF61" i="37"/>
  <c r="AG61" i="37"/>
  <c r="AH61" i="37"/>
  <c r="AI61" i="37"/>
  <c r="AJ61" i="37"/>
  <c r="AK61" i="37"/>
  <c r="AL61" i="37"/>
  <c r="AF62" i="37"/>
  <c r="AG62" i="37"/>
  <c r="AH62" i="37"/>
  <c r="AI62" i="37"/>
  <c r="AJ62" i="37"/>
  <c r="AK62" i="37"/>
  <c r="AL62" i="37"/>
  <c r="AF63" i="37"/>
  <c r="AG63" i="37"/>
  <c r="AH63" i="37"/>
  <c r="AI63" i="37"/>
  <c r="AJ63" i="37"/>
  <c r="AK63" i="37"/>
  <c r="AL63" i="37"/>
  <c r="AF64" i="37"/>
  <c r="AG64" i="37"/>
  <c r="AH64" i="37"/>
  <c r="AI64" i="37"/>
  <c r="AJ64" i="37"/>
  <c r="AK64" i="37"/>
  <c r="AL64" i="37"/>
  <c r="AF65" i="37"/>
  <c r="AG65" i="37"/>
  <c r="AH65" i="37"/>
  <c r="AI65" i="37"/>
  <c r="AJ65" i="37"/>
  <c r="AK65" i="37"/>
  <c r="AL65" i="37"/>
  <c r="AF66" i="37"/>
  <c r="AG66" i="37"/>
  <c r="AH66" i="37"/>
  <c r="AI66" i="37"/>
  <c r="AJ66" i="37"/>
  <c r="AK66" i="37"/>
  <c r="AL66" i="37"/>
  <c r="AF67" i="37"/>
  <c r="AG67" i="37"/>
  <c r="AH67" i="37"/>
  <c r="AI67" i="37"/>
  <c r="AJ67" i="37"/>
  <c r="AK67" i="37"/>
  <c r="AL67" i="37"/>
  <c r="AF68" i="37"/>
  <c r="AG68" i="37"/>
  <c r="AH68" i="37"/>
  <c r="AI68" i="37"/>
  <c r="AJ68" i="37"/>
  <c r="AK68" i="37"/>
  <c r="AL68" i="37"/>
  <c r="AF69" i="37"/>
  <c r="AG69" i="37"/>
  <c r="AH69" i="37"/>
  <c r="AI69" i="37"/>
  <c r="AJ69" i="37"/>
  <c r="AK69" i="37"/>
  <c r="AL69" i="37"/>
  <c r="AF70" i="37"/>
  <c r="AG70" i="37"/>
  <c r="AH70" i="37"/>
  <c r="AI70" i="37"/>
  <c r="AJ70" i="37"/>
  <c r="AK70" i="37"/>
  <c r="AL70" i="37"/>
  <c r="AF71" i="37"/>
  <c r="AG71" i="37"/>
  <c r="AH71" i="37"/>
  <c r="AI71" i="37"/>
  <c r="AJ71" i="37"/>
  <c r="AK71" i="37"/>
  <c r="AL71" i="37"/>
  <c r="AF72" i="37"/>
  <c r="AG72" i="37"/>
  <c r="AH72" i="37"/>
  <c r="AI72" i="37"/>
  <c r="AJ72" i="37"/>
  <c r="AK72" i="37"/>
  <c r="AL72" i="37"/>
  <c r="AL12" i="37"/>
  <c r="AK12" i="37"/>
  <c r="AJ12" i="37"/>
  <c r="AI12" i="37"/>
  <c r="AH12" i="37"/>
  <c r="AG12" i="37"/>
  <c r="AF12" i="37"/>
  <c r="AL8" i="37"/>
  <c r="AK8" i="37"/>
  <c r="AJ8" i="37"/>
  <c r="AI8" i="37"/>
  <c r="AH8" i="37"/>
  <c r="AG8" i="37"/>
  <c r="AF8" i="37"/>
  <c r="AL7" i="37"/>
  <c r="AK7" i="37"/>
  <c r="AJ7" i="37"/>
  <c r="AI7" i="37"/>
  <c r="AH7" i="37"/>
  <c r="AG7" i="37"/>
  <c r="AF7" i="37"/>
  <c r="AQ21" i="37"/>
  <c r="AP21" i="37"/>
  <c r="AQ19" i="37"/>
  <c r="AR19" i="37" s="1"/>
  <c r="BO179" i="37" s="1"/>
  <c r="Z46" i="37"/>
  <c r="Z43" i="37"/>
  <c r="Z44" i="37"/>
  <c r="Z45" i="37"/>
  <c r="Z42" i="37"/>
  <c r="Z17" i="37"/>
  <c r="BR145" i="37"/>
  <c r="BR148" i="37" s="1"/>
  <c r="BS145" i="37"/>
  <c r="BS148" i="37" s="1"/>
  <c r="Z40" i="37"/>
  <c r="Z16" i="37"/>
  <c r="Z19" i="37"/>
  <c r="Z22" i="37"/>
  <c r="Z25" i="37"/>
  <c r="AR14" i="37"/>
  <c r="BR179" i="37" s="1"/>
  <c r="AA22" i="37" s="1"/>
  <c r="AQ14" i="37"/>
  <c r="CI128" i="37" s="1"/>
  <c r="AA16" i="37" s="1"/>
  <c r="Z23" i="37"/>
  <c r="Z24" i="37"/>
  <c r="BR176" i="37"/>
  <c r="HR506" i="112" l="1"/>
  <c r="HR504" i="112"/>
  <c r="HR503" i="112"/>
  <c r="HR505" i="112"/>
  <c r="HR418" i="112"/>
  <c r="HR417" i="112"/>
  <c r="AA27" i="37"/>
  <c r="AR21" i="37"/>
  <c r="BP179" i="37" s="1"/>
  <c r="Z20" i="37"/>
  <c r="AP14" i="37"/>
  <c r="AO14" i="37"/>
  <c r="CI139" i="37" s="1"/>
  <c r="Z36" i="37"/>
  <c r="Z35" i="37"/>
  <c r="AA29" i="37" l="1"/>
  <c r="Z39" i="37"/>
  <c r="Z38" i="37"/>
  <c r="Z33" i="37"/>
  <c r="Z34" i="37"/>
  <c r="Z18" i="37"/>
  <c r="Z37" i="37"/>
  <c r="Z32" i="37"/>
  <c r="BR146" i="37" l="1"/>
  <c r="BS146" i="37"/>
  <c r="BR88" i="37"/>
  <c r="BT88" i="37"/>
  <c r="BV88" i="37"/>
  <c r="BW88" i="37"/>
  <c r="BX88" i="37"/>
  <c r="BY88" i="37"/>
  <c r="BO89" i="37"/>
  <c r="BR89" i="37"/>
  <c r="BT89" i="37"/>
  <c r="BV89" i="37"/>
  <c r="BW89" i="37"/>
  <c r="BX89" i="37"/>
  <c r="BY89" i="37"/>
  <c r="BR90" i="37"/>
  <c r="BT90" i="37"/>
  <c r="BV90" i="37"/>
  <c r="BO91" i="37"/>
  <c r="BP91" i="37"/>
  <c r="BQ91" i="37"/>
  <c r="BR91" i="37"/>
  <c r="BS91" i="37"/>
  <c r="BT91" i="37"/>
  <c r="BU91" i="37"/>
  <c r="BV91" i="37"/>
  <c r="BN89" i="37"/>
  <c r="BN91" i="37"/>
  <c r="F1" i="125" l="1"/>
  <c r="BF1" i="112"/>
  <c r="U1" i="37"/>
  <c r="CG3" i="37" l="1"/>
  <c r="CF3" i="37"/>
  <c r="CE3" i="37"/>
  <c r="CD3" i="37"/>
  <c r="CC3" i="37"/>
  <c r="CB3" i="37"/>
  <c r="CA3" i="37"/>
  <c r="BZ3" i="37"/>
  <c r="BY3" i="37"/>
  <c r="BX3" i="37"/>
  <c r="BW3" i="37"/>
  <c r="BV3" i="37"/>
  <c r="BU3" i="37"/>
  <c r="BT3" i="37"/>
  <c r="BS3" i="37"/>
  <c r="BR3" i="37"/>
  <c r="BQ3" i="37"/>
  <c r="BP3" i="37"/>
  <c r="BO3" i="37"/>
  <c r="BN3" i="37"/>
  <c r="CG24" i="37"/>
  <c r="CF24" i="37"/>
  <c r="CE24" i="37"/>
  <c r="CD24" i="37"/>
  <c r="CC24" i="37"/>
  <c r="CB24" i="37"/>
  <c r="CA24" i="37"/>
  <c r="BZ24" i="37"/>
  <c r="BY24" i="37"/>
  <c r="BX24" i="37"/>
  <c r="BW24" i="37"/>
  <c r="BV24" i="37"/>
  <c r="BU24" i="37"/>
  <c r="BT24" i="37"/>
  <c r="BS24" i="37"/>
  <c r="BR24" i="37"/>
  <c r="BQ24" i="37"/>
  <c r="BP24" i="37"/>
  <c r="BO24" i="37"/>
  <c r="CG23" i="37"/>
  <c r="CF23" i="37"/>
  <c r="CE23" i="37"/>
  <c r="CD23" i="37"/>
  <c r="CC23" i="37"/>
  <c r="CB23" i="37"/>
  <c r="CA23" i="37"/>
  <c r="BZ23" i="37"/>
  <c r="BY23" i="37"/>
  <c r="BX23" i="37"/>
  <c r="BW23" i="37"/>
  <c r="BV23" i="37"/>
  <c r="BU23" i="37"/>
  <c r="BT23" i="37"/>
  <c r="BS23" i="37"/>
  <c r="BR23" i="37"/>
  <c r="BQ23" i="37"/>
  <c r="BP23" i="37"/>
  <c r="BO23" i="37"/>
  <c r="CG22" i="37"/>
  <c r="CF22" i="37"/>
  <c r="CE22" i="37"/>
  <c r="CD22" i="37"/>
  <c r="CC22" i="37"/>
  <c r="CB22" i="37"/>
  <c r="CA22" i="37"/>
  <c r="BZ22" i="37"/>
  <c r="BY22" i="37"/>
  <c r="BX22" i="37"/>
  <c r="BW22" i="37"/>
  <c r="BV22" i="37"/>
  <c r="BU22" i="37"/>
  <c r="BT22" i="37"/>
  <c r="BS22" i="37"/>
  <c r="BR22" i="37"/>
  <c r="BQ22" i="37"/>
  <c r="BP22" i="37"/>
  <c r="BO22" i="37"/>
  <c r="CG21" i="37"/>
  <c r="CF21" i="37"/>
  <c r="CE21" i="37"/>
  <c r="CD21" i="37"/>
  <c r="CC21" i="37"/>
  <c r="CB21" i="37"/>
  <c r="CA21" i="37"/>
  <c r="BZ21" i="37"/>
  <c r="BY21" i="37"/>
  <c r="BX21" i="37"/>
  <c r="BW21" i="37"/>
  <c r="BV21" i="37"/>
  <c r="BU21" i="37"/>
  <c r="BT21" i="37"/>
  <c r="BS21" i="37"/>
  <c r="BR21" i="37"/>
  <c r="BQ21" i="37"/>
  <c r="BP21" i="37"/>
  <c r="BO21" i="37"/>
  <c r="CG20" i="37"/>
  <c r="CF20" i="37"/>
  <c r="CE20" i="37"/>
  <c r="CD20" i="37"/>
  <c r="CC20" i="37"/>
  <c r="CB20" i="37"/>
  <c r="CA20" i="37"/>
  <c r="BZ20" i="37"/>
  <c r="BY20" i="37"/>
  <c r="BX20" i="37"/>
  <c r="BW20" i="37"/>
  <c r="BV20" i="37"/>
  <c r="BU20" i="37"/>
  <c r="BT20" i="37"/>
  <c r="BS20" i="37"/>
  <c r="BR20" i="37"/>
  <c r="BQ20" i="37"/>
  <c r="BP20" i="37"/>
  <c r="BO20" i="37"/>
  <c r="CG19" i="37"/>
  <c r="CF19" i="37"/>
  <c r="CE19" i="37"/>
  <c r="CD19" i="37"/>
  <c r="CC19" i="37"/>
  <c r="CB19" i="37"/>
  <c r="CA19" i="37"/>
  <c r="BZ19" i="37"/>
  <c r="BY19" i="37"/>
  <c r="BX19" i="37"/>
  <c r="BW19" i="37"/>
  <c r="BV19" i="37"/>
  <c r="BU19" i="37"/>
  <c r="BT19" i="37"/>
  <c r="BS19" i="37"/>
  <c r="BR19" i="37"/>
  <c r="BQ19" i="37"/>
  <c r="BP19" i="37"/>
  <c r="BO19" i="37"/>
  <c r="CG18" i="37"/>
  <c r="CF18" i="37"/>
  <c r="CE18" i="37"/>
  <c r="CD18" i="37"/>
  <c r="CC18" i="37"/>
  <c r="CB18" i="37"/>
  <c r="CA18" i="37"/>
  <c r="BZ18" i="37"/>
  <c r="BY18" i="37"/>
  <c r="BX18" i="37"/>
  <c r="BW18" i="37"/>
  <c r="BV18" i="37"/>
  <c r="BU18" i="37"/>
  <c r="BT18" i="37"/>
  <c r="BS18" i="37"/>
  <c r="BR18" i="37"/>
  <c r="BQ18" i="37"/>
  <c r="BP18" i="37"/>
  <c r="BO18" i="37"/>
  <c r="CG17" i="37"/>
  <c r="CF17" i="37"/>
  <c r="CE17" i="37"/>
  <c r="CD17" i="37"/>
  <c r="CC17" i="37"/>
  <c r="CB17" i="37"/>
  <c r="CA17" i="37"/>
  <c r="BZ17" i="37"/>
  <c r="BY17" i="37"/>
  <c r="BX17" i="37"/>
  <c r="BW17" i="37"/>
  <c r="BV17" i="37"/>
  <c r="BU17" i="37"/>
  <c r="BT17" i="37"/>
  <c r="BS17" i="37"/>
  <c r="BR17" i="37"/>
  <c r="BQ17" i="37"/>
  <c r="BP17" i="37"/>
  <c r="BO17" i="37"/>
  <c r="CG16" i="37"/>
  <c r="CF16" i="37"/>
  <c r="CE16" i="37"/>
  <c r="CD16" i="37"/>
  <c r="CC16" i="37"/>
  <c r="CB16" i="37"/>
  <c r="CA16" i="37"/>
  <c r="BZ16" i="37"/>
  <c r="BY16" i="37"/>
  <c r="BX16" i="37"/>
  <c r="BW16" i="37"/>
  <c r="BV16" i="37"/>
  <c r="BU16" i="37"/>
  <c r="BT16" i="37"/>
  <c r="BS16" i="37"/>
  <c r="BR16" i="37"/>
  <c r="BQ16" i="37"/>
  <c r="BP16" i="37"/>
  <c r="BO16" i="37"/>
  <c r="CG15" i="37"/>
  <c r="CF15" i="37"/>
  <c r="CE15" i="37"/>
  <c r="CD15" i="37"/>
  <c r="CC15" i="37"/>
  <c r="CB15" i="37"/>
  <c r="CA15" i="37"/>
  <c r="BZ15" i="37"/>
  <c r="BY15" i="37"/>
  <c r="BX15" i="37"/>
  <c r="BW15" i="37"/>
  <c r="BV15" i="37"/>
  <c r="BU15" i="37"/>
  <c r="BT15" i="37"/>
  <c r="BS15" i="37"/>
  <c r="BR15" i="37"/>
  <c r="BQ15" i="37"/>
  <c r="BP15" i="37"/>
  <c r="BO15" i="37"/>
  <c r="CG14" i="37"/>
  <c r="CF14" i="37"/>
  <c r="CE14" i="37"/>
  <c r="CD14" i="37"/>
  <c r="CC14" i="37"/>
  <c r="CB14" i="37"/>
  <c r="CA14" i="37"/>
  <c r="BZ14" i="37"/>
  <c r="BY14" i="37"/>
  <c r="BX14" i="37"/>
  <c r="BW14" i="37"/>
  <c r="BV14" i="37"/>
  <c r="BU14" i="37"/>
  <c r="BT14" i="37"/>
  <c r="BS14" i="37"/>
  <c r="BR14" i="37"/>
  <c r="BQ14" i="37"/>
  <c r="BP14" i="37"/>
  <c r="BO14" i="37"/>
  <c r="CG13" i="37"/>
  <c r="CF13" i="37"/>
  <c r="CE13" i="37"/>
  <c r="CD13" i="37"/>
  <c r="CC13" i="37"/>
  <c r="CB13" i="37"/>
  <c r="CA13" i="37"/>
  <c r="BZ13" i="37"/>
  <c r="BY13" i="37"/>
  <c r="BX13" i="37"/>
  <c r="BW13" i="37"/>
  <c r="BV13" i="37"/>
  <c r="BU13" i="37"/>
  <c r="BT13" i="37"/>
  <c r="BS13" i="37"/>
  <c r="BR13" i="37"/>
  <c r="BQ13" i="37"/>
  <c r="BP13" i="37"/>
  <c r="BO13" i="37"/>
  <c r="CG12" i="37"/>
  <c r="CF12" i="37"/>
  <c r="CE12" i="37"/>
  <c r="CD12" i="37"/>
  <c r="CC12" i="37"/>
  <c r="CB12" i="37"/>
  <c r="CA12" i="37"/>
  <c r="BZ12" i="37"/>
  <c r="BY12" i="37"/>
  <c r="BX12" i="37"/>
  <c r="BW12" i="37"/>
  <c r="BV12" i="37"/>
  <c r="BU12" i="37"/>
  <c r="BT12" i="37"/>
  <c r="BS12" i="37"/>
  <c r="BR12" i="37"/>
  <c r="BQ12" i="37"/>
  <c r="BP12" i="37"/>
  <c r="BO12" i="37"/>
  <c r="CG11" i="37"/>
  <c r="CF11" i="37"/>
  <c r="CE11" i="37"/>
  <c r="CD11" i="37"/>
  <c r="CC11" i="37"/>
  <c r="CB11" i="37"/>
  <c r="CA11" i="37"/>
  <c r="BZ11" i="37"/>
  <c r="BY11" i="37"/>
  <c r="BX11" i="37"/>
  <c r="BW11" i="37"/>
  <c r="BV11" i="37"/>
  <c r="BU11" i="37"/>
  <c r="BT11" i="37"/>
  <c r="BS11" i="37"/>
  <c r="BR11" i="37"/>
  <c r="BQ11" i="37"/>
  <c r="BP11" i="37"/>
  <c r="BO11" i="37"/>
  <c r="CG10" i="37"/>
  <c r="CF10" i="37"/>
  <c r="CE10" i="37"/>
  <c r="CD10" i="37"/>
  <c r="CC10" i="37"/>
  <c r="CB10" i="37"/>
  <c r="CA10" i="37"/>
  <c r="BZ10" i="37"/>
  <c r="BY10" i="37"/>
  <c r="BX10" i="37"/>
  <c r="BW10" i="37"/>
  <c r="BV10" i="37"/>
  <c r="BU10" i="37"/>
  <c r="BT10" i="37"/>
  <c r="BS10" i="37"/>
  <c r="BR10" i="37"/>
  <c r="BQ10" i="37"/>
  <c r="BP10" i="37"/>
  <c r="BO10" i="37"/>
  <c r="CG9" i="37"/>
  <c r="CF9" i="37"/>
  <c r="CE9" i="37"/>
  <c r="CD9" i="37"/>
  <c r="CC9" i="37"/>
  <c r="CB9" i="37"/>
  <c r="CA9" i="37"/>
  <c r="BZ9" i="37"/>
  <c r="BY9" i="37"/>
  <c r="BX9" i="37"/>
  <c r="BW9" i="37"/>
  <c r="BV9" i="37"/>
  <c r="BU9" i="37"/>
  <c r="BT9" i="37"/>
  <c r="BS9" i="37"/>
  <c r="BR9" i="37"/>
  <c r="BQ9" i="37"/>
  <c r="BP9" i="37"/>
  <c r="BO9" i="37"/>
  <c r="CG8" i="37"/>
  <c r="CF8" i="37"/>
  <c r="CE8" i="37"/>
  <c r="CD8" i="37"/>
  <c r="CC8" i="37"/>
  <c r="CB8" i="37"/>
  <c r="CA8" i="37"/>
  <c r="BZ8" i="37"/>
  <c r="BY8" i="37"/>
  <c r="BX8" i="37"/>
  <c r="BW8" i="37"/>
  <c r="BV8" i="37"/>
  <c r="BU8" i="37"/>
  <c r="BT8" i="37"/>
  <c r="BS8" i="37"/>
  <c r="BR8" i="37"/>
  <c r="BQ8" i="37"/>
  <c r="BP8" i="37"/>
  <c r="BO8" i="37"/>
  <c r="CG7" i="37"/>
  <c r="CF7" i="37"/>
  <c r="CE7" i="37"/>
  <c r="CD7" i="37"/>
  <c r="CC7" i="37"/>
  <c r="CB7" i="37"/>
  <c r="CA7" i="37"/>
  <c r="BZ7" i="37"/>
  <c r="BY7" i="37"/>
  <c r="BX7" i="37"/>
  <c r="BW7" i="37"/>
  <c r="BV7" i="37"/>
  <c r="BU7" i="37"/>
  <c r="BT7" i="37"/>
  <c r="BS7" i="37"/>
  <c r="BR7" i="37"/>
  <c r="BQ7" i="37"/>
  <c r="BP7" i="37"/>
  <c r="BO7" i="37"/>
  <c r="CG6" i="37"/>
  <c r="CF6" i="37"/>
  <c r="CE6" i="37"/>
  <c r="CD6" i="37"/>
  <c r="CC6" i="37"/>
  <c r="CB6" i="37"/>
  <c r="CA6" i="37"/>
  <c r="BZ6" i="37"/>
  <c r="BY6" i="37"/>
  <c r="BX6" i="37"/>
  <c r="BW6" i="37"/>
  <c r="BV6" i="37"/>
  <c r="BU6" i="37"/>
  <c r="BT6" i="37"/>
  <c r="BS6" i="37"/>
  <c r="BR6" i="37"/>
  <c r="BQ6" i="37"/>
  <c r="BP6" i="37"/>
  <c r="BO6" i="37"/>
  <c r="CG5" i="37"/>
  <c r="CF5" i="37"/>
  <c r="CE5" i="37"/>
  <c r="CD5" i="37"/>
  <c r="CC5" i="37"/>
  <c r="CB5" i="37"/>
  <c r="CA5" i="37"/>
  <c r="BZ5" i="37"/>
  <c r="BY5" i="37"/>
  <c r="BX5" i="37"/>
  <c r="BW5" i="37"/>
  <c r="BV5" i="37"/>
  <c r="BU5" i="37"/>
  <c r="BT5" i="37"/>
  <c r="BS5" i="37"/>
  <c r="BR5" i="37"/>
  <c r="BQ5" i="37"/>
  <c r="BP5" i="37"/>
  <c r="BO5" i="37"/>
  <c r="BN6" i="37"/>
  <c r="BN7" i="37"/>
  <c r="BN8" i="37"/>
  <c r="BN9" i="37"/>
  <c r="BN10" i="37"/>
  <c r="BN11" i="37"/>
  <c r="BN12" i="37"/>
  <c r="BN13" i="37"/>
  <c r="BN14" i="37"/>
  <c r="BN15" i="37"/>
  <c r="BN16" i="37"/>
  <c r="BN17" i="37"/>
  <c r="BN18" i="37"/>
  <c r="BN19" i="37"/>
  <c r="BN20" i="37"/>
  <c r="BN21" i="37"/>
  <c r="BN22" i="37"/>
  <c r="BN23" i="37"/>
  <c r="BN24" i="37"/>
  <c r="BN5" i="37"/>
  <c r="AU9" i="37"/>
  <c r="AU10" i="37" s="1"/>
  <c r="AU11" i="37" s="1"/>
  <c r="AU12" i="37" s="1"/>
  <c r="AU13" i="37" s="1"/>
  <c r="AU22" i="37" s="1"/>
  <c r="AU23" i="37" s="1"/>
  <c r="AU24" i="37" s="1"/>
  <c r="AU25" i="37" s="1"/>
  <c r="AU26" i="37" s="1"/>
  <c r="AU27" i="37" s="1"/>
  <c r="AU28" i="37" s="1"/>
  <c r="AU29" i="37" s="1"/>
  <c r="AU30" i="37" s="1"/>
  <c r="AU31" i="37" s="1"/>
  <c r="AU32" i="37" s="1"/>
  <c r="AU33" i="37" s="1"/>
  <c r="AU34" i="37" s="1"/>
  <c r="AU35" i="37" s="1"/>
  <c r="AU36" i="37" s="1"/>
  <c r="AU37" i="37" s="1"/>
  <c r="AU38" i="37" s="1"/>
  <c r="AU39" i="37" s="1"/>
  <c r="AU40" i="37" s="1"/>
  <c r="AU41" i="37" s="1"/>
  <c r="AU42" i="37" s="1"/>
  <c r="AU43" i="37" s="1"/>
  <c r="AU44" i="37" s="1"/>
  <c r="AU45" i="37" s="1"/>
  <c r="AU46" i="37" s="1"/>
  <c r="AU47" i="37" s="1"/>
  <c r="AU48" i="37" s="1"/>
  <c r="AU49" i="37" s="1"/>
  <c r="AU50" i="37" s="1"/>
  <c r="AU51" i="37" s="1"/>
  <c r="AU52" i="37" s="1"/>
  <c r="AU53" i="37" s="1"/>
  <c r="AU54" i="37" s="1"/>
  <c r="AU55" i="37" s="1"/>
  <c r="AU56" i="37" s="1"/>
  <c r="AU57" i="37" s="1"/>
  <c r="AU58" i="37" s="1"/>
  <c r="AU59" i="37" s="1"/>
  <c r="AU60" i="37" s="1"/>
  <c r="AU61" i="37" s="1"/>
  <c r="AU62" i="37" s="1"/>
  <c r="AU63" i="37" s="1"/>
  <c r="AU64" i="37" s="1"/>
  <c r="AU65" i="37" s="1"/>
  <c r="AU66" i="37" s="1"/>
  <c r="AU67" i="37" s="1"/>
  <c r="AU68" i="37" s="1"/>
  <c r="AU69" i="37" s="1"/>
  <c r="AU70" i="37" s="1"/>
  <c r="AU71" i="37" s="1"/>
  <c r="AU72" i="37" s="1"/>
  <c r="AU73" i="37" s="1"/>
  <c r="AU74" i="37" s="1"/>
  <c r="AU75" i="37" s="1"/>
  <c r="AU76" i="37" s="1"/>
  <c r="AU77" i="37" s="1"/>
  <c r="AV9" i="37"/>
  <c r="AV10" i="37" s="1"/>
  <c r="AV11" i="37" s="1"/>
  <c r="AV12" i="37" s="1"/>
  <c r="AV13" i="37" s="1"/>
  <c r="AV22" i="37" s="1"/>
  <c r="AV23" i="37" s="1"/>
  <c r="AV24" i="37" s="1"/>
  <c r="AV25" i="37" s="1"/>
  <c r="AV26" i="37" s="1"/>
  <c r="AV27" i="37" s="1"/>
  <c r="AV28" i="37" s="1"/>
  <c r="AV29" i="37" s="1"/>
  <c r="AV30" i="37" s="1"/>
  <c r="AV31" i="37" s="1"/>
  <c r="AV32" i="37" s="1"/>
  <c r="AV33" i="37" s="1"/>
  <c r="AV34" i="37" s="1"/>
  <c r="AV35" i="37" s="1"/>
  <c r="AV36" i="37" s="1"/>
  <c r="AV37" i="37" s="1"/>
  <c r="AV38" i="37" s="1"/>
  <c r="AV39" i="37" s="1"/>
  <c r="AV40" i="37" s="1"/>
  <c r="AV41" i="37" s="1"/>
  <c r="AV42" i="37" s="1"/>
  <c r="AV43" i="37" s="1"/>
  <c r="AV44" i="37" s="1"/>
  <c r="AV45" i="37" s="1"/>
  <c r="AV46" i="37" s="1"/>
  <c r="AV47" i="37" s="1"/>
  <c r="AV48" i="37" s="1"/>
  <c r="AV49" i="37" s="1"/>
  <c r="AV50" i="37" s="1"/>
  <c r="AV51" i="37" s="1"/>
  <c r="AV52" i="37" s="1"/>
  <c r="AV53" i="37" s="1"/>
  <c r="AV54" i="37" s="1"/>
  <c r="AV55" i="37" s="1"/>
  <c r="AV56" i="37" s="1"/>
  <c r="AV57" i="37" s="1"/>
  <c r="AV58" i="37" s="1"/>
  <c r="AV59" i="37" s="1"/>
  <c r="AV60" i="37" s="1"/>
  <c r="AV61" i="37" s="1"/>
  <c r="AV62" i="37" s="1"/>
  <c r="AV63" i="37" s="1"/>
  <c r="AV64" i="37" s="1"/>
  <c r="AV65" i="37" s="1"/>
  <c r="AV66" i="37" s="1"/>
  <c r="AV67" i="37" s="1"/>
  <c r="AV68" i="37" s="1"/>
  <c r="AV69" i="37" s="1"/>
  <c r="AV70" i="37" s="1"/>
  <c r="AV71" i="37" s="1"/>
  <c r="AV72" i="37" s="1"/>
  <c r="AV73" i="37" s="1"/>
  <c r="AV74" i="37" s="1"/>
  <c r="AV75" i="37" s="1"/>
  <c r="AV76" i="37" s="1"/>
  <c r="AV77" i="37" s="1"/>
  <c r="AW9" i="37"/>
  <c r="AW10" i="37" s="1"/>
  <c r="AW11" i="37" s="1"/>
  <c r="AW12" i="37" s="1"/>
  <c r="AW13" i="37" s="1"/>
  <c r="AW22" i="37" s="1"/>
  <c r="AW23" i="37" s="1"/>
  <c r="AW24" i="37" s="1"/>
  <c r="AW25" i="37" s="1"/>
  <c r="AW26" i="37" s="1"/>
  <c r="AW27" i="37" s="1"/>
  <c r="AW28" i="37" s="1"/>
  <c r="AW29" i="37" s="1"/>
  <c r="AW30" i="37" s="1"/>
  <c r="AW31" i="37" s="1"/>
  <c r="AW32" i="37" s="1"/>
  <c r="AW33" i="37" s="1"/>
  <c r="AW34" i="37" s="1"/>
  <c r="AW35" i="37" s="1"/>
  <c r="AW36" i="37" s="1"/>
  <c r="AW37" i="37" s="1"/>
  <c r="AW38" i="37" s="1"/>
  <c r="AW39" i="37" s="1"/>
  <c r="AW40" i="37" s="1"/>
  <c r="AW41" i="37" s="1"/>
  <c r="AW42" i="37" s="1"/>
  <c r="AW43" i="37" s="1"/>
  <c r="AW44" i="37" s="1"/>
  <c r="AW45" i="37" s="1"/>
  <c r="AW46" i="37" s="1"/>
  <c r="AW47" i="37" s="1"/>
  <c r="AW48" i="37" s="1"/>
  <c r="AW49" i="37" s="1"/>
  <c r="AW50" i="37" s="1"/>
  <c r="AW51" i="37" s="1"/>
  <c r="AW52" i="37" s="1"/>
  <c r="AW53" i="37" s="1"/>
  <c r="AW54" i="37" s="1"/>
  <c r="AW55" i="37" s="1"/>
  <c r="AW56" i="37" s="1"/>
  <c r="AW57" i="37" s="1"/>
  <c r="AW58" i="37" s="1"/>
  <c r="AW59" i="37" s="1"/>
  <c r="AW60" i="37" s="1"/>
  <c r="AW61" i="37" s="1"/>
  <c r="AW62" i="37" s="1"/>
  <c r="AW63" i="37" s="1"/>
  <c r="AW64" i="37" s="1"/>
  <c r="AW65" i="37" s="1"/>
  <c r="AW66" i="37" s="1"/>
  <c r="AW67" i="37" s="1"/>
  <c r="AW68" i="37" s="1"/>
  <c r="AW69" i="37" s="1"/>
  <c r="AW70" i="37" s="1"/>
  <c r="AW71" i="37" s="1"/>
  <c r="AW72" i="37" s="1"/>
  <c r="AW73" i="37" s="1"/>
  <c r="AW74" i="37" s="1"/>
  <c r="AW75" i="37" s="1"/>
  <c r="AW76" i="37" s="1"/>
  <c r="AW77" i="37" s="1"/>
  <c r="AX9" i="37"/>
  <c r="AX10" i="37" s="1"/>
  <c r="AX11" i="37" s="1"/>
  <c r="AX12" i="37" s="1"/>
  <c r="AX13" i="37" s="1"/>
  <c r="AX22" i="37" s="1"/>
  <c r="AX23" i="37" s="1"/>
  <c r="AX24" i="37" s="1"/>
  <c r="AX25" i="37" s="1"/>
  <c r="AX26" i="37" s="1"/>
  <c r="AX27" i="37" s="1"/>
  <c r="AX28" i="37" s="1"/>
  <c r="AX29" i="37" s="1"/>
  <c r="AX30" i="37" s="1"/>
  <c r="AX31" i="37" s="1"/>
  <c r="AX32" i="37" s="1"/>
  <c r="AX33" i="37" s="1"/>
  <c r="AX34" i="37" s="1"/>
  <c r="AX35" i="37" s="1"/>
  <c r="AX36" i="37" s="1"/>
  <c r="AX37" i="37" s="1"/>
  <c r="AX38" i="37" s="1"/>
  <c r="AX39" i="37" s="1"/>
  <c r="AX40" i="37" s="1"/>
  <c r="AX41" i="37" s="1"/>
  <c r="AX42" i="37" s="1"/>
  <c r="AX43" i="37" s="1"/>
  <c r="AX44" i="37" s="1"/>
  <c r="AX45" i="37" s="1"/>
  <c r="AX46" i="37" s="1"/>
  <c r="AX47" i="37" s="1"/>
  <c r="AX48" i="37" s="1"/>
  <c r="AX49" i="37" s="1"/>
  <c r="AX50" i="37" s="1"/>
  <c r="AX51" i="37" s="1"/>
  <c r="AX52" i="37" s="1"/>
  <c r="AX53" i="37" s="1"/>
  <c r="AX54" i="37" s="1"/>
  <c r="AX55" i="37" s="1"/>
  <c r="AX56" i="37" s="1"/>
  <c r="AX57" i="37" s="1"/>
  <c r="AX58" i="37" s="1"/>
  <c r="AX59" i="37" s="1"/>
  <c r="AX60" i="37" s="1"/>
  <c r="AX61" i="37" s="1"/>
  <c r="AX62" i="37" s="1"/>
  <c r="AX63" i="37" s="1"/>
  <c r="AX64" i="37" s="1"/>
  <c r="AX65" i="37" s="1"/>
  <c r="AX66" i="37" s="1"/>
  <c r="AX67" i="37" s="1"/>
  <c r="AX68" i="37" s="1"/>
  <c r="AX69" i="37" s="1"/>
  <c r="AX70" i="37" s="1"/>
  <c r="AX71" i="37" s="1"/>
  <c r="AX72" i="37" s="1"/>
  <c r="AX73" i="37" s="1"/>
  <c r="AX74" i="37" s="1"/>
  <c r="AX75" i="37" s="1"/>
  <c r="AX76" i="37" s="1"/>
  <c r="AX77" i="37" s="1"/>
  <c r="AY9" i="37"/>
  <c r="AY10" i="37" s="1"/>
  <c r="AY11" i="37" s="1"/>
  <c r="AY12" i="37" s="1"/>
  <c r="AY13" i="37" s="1"/>
  <c r="AY22" i="37" s="1"/>
  <c r="AY23" i="37" s="1"/>
  <c r="AY24" i="37" s="1"/>
  <c r="AY25" i="37" s="1"/>
  <c r="AY26" i="37" s="1"/>
  <c r="AY27" i="37" s="1"/>
  <c r="AY28" i="37" s="1"/>
  <c r="AY29" i="37" s="1"/>
  <c r="AY30" i="37" s="1"/>
  <c r="AY31" i="37" s="1"/>
  <c r="AY32" i="37" s="1"/>
  <c r="AY33" i="37" s="1"/>
  <c r="AY34" i="37" s="1"/>
  <c r="AY35" i="37" s="1"/>
  <c r="AY36" i="37" s="1"/>
  <c r="AY37" i="37" s="1"/>
  <c r="AY38" i="37" s="1"/>
  <c r="AY39" i="37" s="1"/>
  <c r="AY40" i="37" s="1"/>
  <c r="AY41" i="37" s="1"/>
  <c r="AY42" i="37" s="1"/>
  <c r="AY43" i="37" s="1"/>
  <c r="AY44" i="37" s="1"/>
  <c r="AY45" i="37" s="1"/>
  <c r="AY46" i="37" s="1"/>
  <c r="AY47" i="37" s="1"/>
  <c r="AY48" i="37" s="1"/>
  <c r="AY49" i="37" s="1"/>
  <c r="AY50" i="37" s="1"/>
  <c r="AY51" i="37" s="1"/>
  <c r="AY52" i="37" s="1"/>
  <c r="AY53" i="37" s="1"/>
  <c r="AY54" i="37" s="1"/>
  <c r="AY55" i="37" s="1"/>
  <c r="AY56" i="37" s="1"/>
  <c r="AY57" i="37" s="1"/>
  <c r="AY58" i="37" s="1"/>
  <c r="AY59" i="37" s="1"/>
  <c r="AY60" i="37" s="1"/>
  <c r="AY61" i="37" s="1"/>
  <c r="AY62" i="37" s="1"/>
  <c r="AY63" i="37" s="1"/>
  <c r="AY64" i="37" s="1"/>
  <c r="AY65" i="37" s="1"/>
  <c r="AY66" i="37" s="1"/>
  <c r="AY67" i="37" s="1"/>
  <c r="AY68" i="37" s="1"/>
  <c r="AY69" i="37" s="1"/>
  <c r="AY70" i="37" s="1"/>
  <c r="AY71" i="37" s="1"/>
  <c r="AY72" i="37" s="1"/>
  <c r="AY73" i="37" s="1"/>
  <c r="AY74" i="37" s="1"/>
  <c r="AY75" i="37" s="1"/>
  <c r="AY76" i="37" s="1"/>
  <c r="AY77" i="37" s="1"/>
  <c r="AZ9" i="37"/>
  <c r="AZ10" i="37" s="1"/>
  <c r="AZ11" i="37" s="1"/>
  <c r="AZ12" i="37" s="1"/>
  <c r="AZ13" i="37" s="1"/>
  <c r="AZ22" i="37" s="1"/>
  <c r="AZ23" i="37" s="1"/>
  <c r="AZ24" i="37" s="1"/>
  <c r="AZ25" i="37" s="1"/>
  <c r="AZ26" i="37" s="1"/>
  <c r="AZ27" i="37" s="1"/>
  <c r="AZ28" i="37" s="1"/>
  <c r="AZ29" i="37" s="1"/>
  <c r="AZ30" i="37" s="1"/>
  <c r="AZ31" i="37" s="1"/>
  <c r="AZ32" i="37" s="1"/>
  <c r="AZ33" i="37" s="1"/>
  <c r="AZ34" i="37" s="1"/>
  <c r="AZ35" i="37" s="1"/>
  <c r="AZ36" i="37" s="1"/>
  <c r="AZ37" i="37" s="1"/>
  <c r="AZ38" i="37" s="1"/>
  <c r="AZ39" i="37" s="1"/>
  <c r="AZ40" i="37" s="1"/>
  <c r="AZ41" i="37" s="1"/>
  <c r="AZ42" i="37" s="1"/>
  <c r="AZ43" i="37" s="1"/>
  <c r="AZ44" i="37" s="1"/>
  <c r="AZ45" i="37" s="1"/>
  <c r="AZ46" i="37" s="1"/>
  <c r="AZ47" i="37" s="1"/>
  <c r="AZ48" i="37" s="1"/>
  <c r="AZ49" i="37" s="1"/>
  <c r="AZ50" i="37" s="1"/>
  <c r="AZ51" i="37" s="1"/>
  <c r="AZ52" i="37" s="1"/>
  <c r="AZ53" i="37" s="1"/>
  <c r="AZ54" i="37" s="1"/>
  <c r="AZ55" i="37" s="1"/>
  <c r="AZ56" i="37" s="1"/>
  <c r="AZ57" i="37" s="1"/>
  <c r="AZ58" i="37" s="1"/>
  <c r="AZ59" i="37" s="1"/>
  <c r="AZ60" i="37" s="1"/>
  <c r="AZ61" i="37" s="1"/>
  <c r="AZ62" i="37" s="1"/>
  <c r="AZ63" i="37" s="1"/>
  <c r="AZ64" i="37" s="1"/>
  <c r="AZ65" i="37" s="1"/>
  <c r="AZ66" i="37" s="1"/>
  <c r="AZ67" i="37" s="1"/>
  <c r="AZ68" i="37" s="1"/>
  <c r="AZ69" i="37" s="1"/>
  <c r="AZ70" i="37" s="1"/>
  <c r="AZ71" i="37" s="1"/>
  <c r="AZ72" i="37" s="1"/>
  <c r="AZ73" i="37" s="1"/>
  <c r="AZ74" i="37" s="1"/>
  <c r="AZ75" i="37" s="1"/>
  <c r="AZ76" i="37" s="1"/>
  <c r="AZ77" i="37" s="1"/>
  <c r="BA9" i="37"/>
  <c r="BA10" i="37" s="1"/>
  <c r="BA11" i="37" s="1"/>
  <c r="BA12" i="37" s="1"/>
  <c r="BA13" i="37" s="1"/>
  <c r="BA22" i="37" s="1"/>
  <c r="BA23" i="37" s="1"/>
  <c r="BA24" i="37" s="1"/>
  <c r="BA25" i="37" s="1"/>
  <c r="BA26" i="37" s="1"/>
  <c r="BA27" i="37" s="1"/>
  <c r="BA28" i="37" s="1"/>
  <c r="BA29" i="37" s="1"/>
  <c r="BA30" i="37" s="1"/>
  <c r="BA31" i="37" s="1"/>
  <c r="BA32" i="37" s="1"/>
  <c r="BA33" i="37" s="1"/>
  <c r="BA34" i="37" s="1"/>
  <c r="BA35" i="37" s="1"/>
  <c r="BA36" i="37" s="1"/>
  <c r="BA37" i="37" s="1"/>
  <c r="BA38" i="37" s="1"/>
  <c r="BA39" i="37" s="1"/>
  <c r="BA40" i="37" s="1"/>
  <c r="BA41" i="37" s="1"/>
  <c r="BA42" i="37" s="1"/>
  <c r="BA43" i="37" s="1"/>
  <c r="BA44" i="37" s="1"/>
  <c r="BA45" i="37" s="1"/>
  <c r="BA46" i="37" s="1"/>
  <c r="BA47" i="37" s="1"/>
  <c r="BA48" i="37" s="1"/>
  <c r="BA49" i="37" s="1"/>
  <c r="BA50" i="37" s="1"/>
  <c r="BA51" i="37" s="1"/>
  <c r="BA52" i="37" s="1"/>
  <c r="BA53" i="37" s="1"/>
  <c r="BA54" i="37" s="1"/>
  <c r="BA55" i="37" s="1"/>
  <c r="BA56" i="37" s="1"/>
  <c r="BA57" i="37" s="1"/>
  <c r="BA58" i="37" s="1"/>
  <c r="BA59" i="37" s="1"/>
  <c r="BA60" i="37" s="1"/>
  <c r="BA61" i="37" s="1"/>
  <c r="BA62" i="37" s="1"/>
  <c r="BA63" i="37" s="1"/>
  <c r="BA64" i="37" s="1"/>
  <c r="BA65" i="37" s="1"/>
  <c r="BA66" i="37" s="1"/>
  <c r="BA67" i="37" s="1"/>
  <c r="BA68" i="37" s="1"/>
  <c r="BA69" i="37" s="1"/>
  <c r="BA70" i="37" s="1"/>
  <c r="BA71" i="37" s="1"/>
  <c r="BA72" i="37" s="1"/>
  <c r="BA73" i="37" s="1"/>
  <c r="BA74" i="37" s="1"/>
  <c r="BA75" i="37" s="1"/>
  <c r="BA76" i="37" s="1"/>
  <c r="BA77" i="37" s="1"/>
  <c r="BN55" i="37"/>
  <c r="BO55" i="37"/>
  <c r="BP55" i="37"/>
  <c r="BQ55" i="37"/>
  <c r="BR55" i="37"/>
  <c r="BS55" i="37"/>
  <c r="BT55" i="37"/>
  <c r="BU55" i="37"/>
  <c r="BV55" i="37"/>
  <c r="BW55" i="37"/>
  <c r="BX55" i="37"/>
  <c r="BY55" i="37"/>
  <c r="BZ55" i="37"/>
  <c r="CA55" i="37"/>
  <c r="CB55" i="37"/>
  <c r="CC55" i="37"/>
  <c r="CD55" i="37"/>
  <c r="CE55" i="37"/>
  <c r="CF55" i="37"/>
  <c r="CG55" i="37"/>
  <c r="CH55" i="37"/>
  <c r="BD60" i="37"/>
  <c r="BE60" i="37"/>
  <c r="BF60" i="37"/>
  <c r="BG60" i="37"/>
  <c r="BH60" i="37"/>
  <c r="BI60" i="37"/>
  <c r="BJ60" i="37"/>
  <c r="AF75" i="37"/>
  <c r="AG75" i="37"/>
  <c r="AH75" i="37"/>
  <c r="AI75" i="37"/>
  <c r="AJ75" i="37"/>
  <c r="AK75" i="37"/>
  <c r="AL75" i="37"/>
  <c r="AF76" i="37"/>
  <c r="AG76" i="37"/>
  <c r="AH76" i="37"/>
  <c r="AI76" i="37"/>
  <c r="AJ76" i="37"/>
  <c r="AK76" i="37"/>
  <c r="AL76" i="37"/>
  <c r="CD161" i="37"/>
  <c r="CE161" i="37"/>
  <c r="CE162" i="37" l="1"/>
  <c r="CE164" i="37"/>
  <c r="CE165" i="37" s="1"/>
  <c r="CD162" i="37"/>
  <c r="CD164" i="37"/>
  <c r="CD165" i="37" s="1"/>
  <c r="AH9" i="37"/>
  <c r="AL9" i="37"/>
  <c r="BD56" i="37"/>
  <c r="AI11" i="37"/>
  <c r="AI9" i="37"/>
  <c r="AG11" i="37"/>
  <c r="AG82" i="37" s="1"/>
  <c r="AG9" i="37"/>
  <c r="AF11" i="37"/>
  <c r="AF82" i="37" s="1"/>
  <c r="AF9" i="37"/>
  <c r="AH11" i="37"/>
  <c r="AK11" i="37"/>
  <c r="AK82" i="37" s="1"/>
  <c r="AK9" i="37"/>
  <c r="AJ11" i="37"/>
  <c r="AJ9" i="37"/>
  <c r="BF56" i="37"/>
  <c r="BJ56" i="37"/>
  <c r="BI56" i="37"/>
  <c r="BE56" i="37"/>
  <c r="AL11" i="37"/>
  <c r="BH56" i="37"/>
  <c r="BG56" i="37"/>
  <c r="BI55" i="37" l="1"/>
  <c r="AM34" i="37"/>
  <c r="AL82" i="37"/>
  <c r="BD55" i="37"/>
  <c r="BH55" i="37"/>
  <c r="AJ82" i="37"/>
  <c r="BF55" i="37"/>
  <c r="AH82" i="37"/>
  <c r="AQ8" i="37"/>
  <c r="BE55" i="37"/>
  <c r="BG55" i="37"/>
  <c r="AI82" i="37"/>
  <c r="AM35" i="37"/>
  <c r="AM30" i="37"/>
  <c r="AM47" i="37"/>
  <c r="AM52" i="37"/>
  <c r="AM31" i="37"/>
  <c r="AM24" i="37"/>
  <c r="AM38" i="37"/>
  <c r="AM64" i="37"/>
  <c r="AM62" i="37"/>
  <c r="AM56" i="37"/>
  <c r="AM58" i="37"/>
  <c r="AM54" i="37"/>
  <c r="AM57" i="37"/>
  <c r="AM55" i="37"/>
  <c r="AM39" i="37"/>
  <c r="AM43" i="37"/>
  <c r="AM17" i="37"/>
  <c r="AM68" i="37"/>
  <c r="AM60" i="37"/>
  <c r="AM70" i="37"/>
  <c r="AM67" i="37"/>
  <c r="AM26" i="37"/>
  <c r="AM27" i="37"/>
  <c r="AM16" i="37"/>
  <c r="AM69" i="37"/>
  <c r="AM45" i="37"/>
  <c r="AM44" i="37"/>
  <c r="AM14" i="37"/>
  <c r="AM49" i="37"/>
  <c r="AM65" i="37"/>
  <c r="AM23" i="37"/>
  <c r="AM63" i="37"/>
  <c r="AR8" i="37"/>
  <c r="AM41" i="37"/>
  <c r="BJ55" i="37"/>
  <c r="AM53" i="37"/>
  <c r="AM72" i="37"/>
  <c r="AM48" i="37"/>
  <c r="AM37" i="37"/>
  <c r="AM36" i="37"/>
  <c r="AM40" i="37"/>
  <c r="AM59" i="37"/>
  <c r="AM29" i="37"/>
  <c r="AM66" i="37"/>
  <c r="AM28" i="37"/>
  <c r="AM33" i="37"/>
  <c r="AM50" i="37"/>
  <c r="AM71" i="37"/>
  <c r="AM32" i="37"/>
  <c r="AM46" i="37"/>
  <c r="AM15" i="37"/>
  <c r="AM61" i="37"/>
  <c r="AM25" i="37"/>
  <c r="AM42" i="37"/>
  <c r="AM51" i="37"/>
  <c r="AP8" i="37"/>
  <c r="DN303" i="112"/>
  <c r="AA4" i="37" s="1"/>
  <c r="AE82" i="37" l="1"/>
  <c r="AP9" i="37" s="1"/>
  <c r="AP11" i="37" s="1"/>
  <c r="BN73" i="37" s="1"/>
  <c r="BQ56" i="37"/>
  <c r="CA60" i="37"/>
  <c r="CC60" i="37"/>
  <c r="BN60" i="37"/>
  <c r="BY56" i="37"/>
  <c r="BT60" i="37"/>
  <c r="BV60" i="37"/>
  <c r="CB60" i="37"/>
  <c r="BR60" i="37"/>
  <c r="BY60" i="37"/>
  <c r="BU56" i="37"/>
  <c r="BZ60" i="37"/>
  <c r="CD56" i="37"/>
  <c r="BS56" i="37"/>
  <c r="CE60" i="37"/>
  <c r="CC56" i="37"/>
  <c r="BX60" i="37"/>
  <c r="BU60" i="37"/>
  <c r="BP60" i="37"/>
  <c r="BX56" i="37"/>
  <c r="CD60" i="37"/>
  <c r="CA56" i="37"/>
  <c r="CF60" i="37"/>
  <c r="BP56" i="37"/>
  <c r="BV56" i="37"/>
  <c r="CG60" i="37"/>
  <c r="CB56" i="37"/>
  <c r="BN56" i="37"/>
  <c r="BW60" i="37"/>
  <c r="CF56" i="37"/>
  <c r="BS60" i="37"/>
  <c r="BO60" i="37"/>
  <c r="CG56" i="37"/>
  <c r="BZ56" i="37"/>
  <c r="BT56" i="37"/>
  <c r="BQ60" i="37"/>
  <c r="BV303" i="112"/>
  <c r="AM85" i="37"/>
  <c r="CE98" i="37" s="1"/>
  <c r="BR56" i="37"/>
  <c r="BW56" i="37"/>
  <c r="BO56" i="37"/>
  <c r="CE56" i="37"/>
  <c r="GB502" i="112"/>
  <c r="GC502" i="112"/>
  <c r="GD502" i="112"/>
  <c r="GB507" i="112"/>
  <c r="GC507" i="112"/>
  <c r="GD507" i="112"/>
  <c r="GB508" i="112"/>
  <c r="GC508" i="112"/>
  <c r="GD508" i="112"/>
  <c r="GB509" i="112"/>
  <c r="GC509" i="112"/>
  <c r="GD509" i="112"/>
  <c r="GB510" i="112"/>
  <c r="GC510" i="112"/>
  <c r="GD510" i="112"/>
  <c r="GB511" i="112"/>
  <c r="GC511" i="112"/>
  <c r="GD511" i="112"/>
  <c r="GB512" i="112"/>
  <c r="GC512" i="112"/>
  <c r="GD512" i="112"/>
  <c r="GB513" i="112"/>
  <c r="GC513" i="112"/>
  <c r="GD513" i="112"/>
  <c r="GB514" i="112"/>
  <c r="GC514" i="112"/>
  <c r="GD514" i="112"/>
  <c r="GD501" i="112"/>
  <c r="GC501" i="112"/>
  <c r="GB501" i="112"/>
  <c r="GD500" i="112"/>
  <c r="GC500" i="112"/>
  <c r="GB500" i="112"/>
  <c r="GD499" i="112"/>
  <c r="GC499" i="112"/>
  <c r="GB499" i="112"/>
  <c r="GD498" i="112"/>
  <c r="GC498" i="112"/>
  <c r="GB498" i="112"/>
  <c r="GD497" i="112"/>
  <c r="GC497" i="112"/>
  <c r="GB497" i="112"/>
  <c r="GD491" i="112"/>
  <c r="GC491" i="112"/>
  <c r="GB491" i="112"/>
  <c r="GD490" i="112"/>
  <c r="GC490" i="112"/>
  <c r="GB490" i="112"/>
  <c r="GD489" i="112"/>
  <c r="GC489" i="112"/>
  <c r="GB489" i="112"/>
  <c r="GD488" i="112"/>
  <c r="GC488" i="112"/>
  <c r="GB488" i="112"/>
  <c r="GD487" i="112"/>
  <c r="GC487" i="112"/>
  <c r="GB487" i="112"/>
  <c r="GD486" i="112"/>
  <c r="GC486" i="112"/>
  <c r="GB486" i="112"/>
  <c r="GD485" i="112"/>
  <c r="GC485" i="112"/>
  <c r="GB485" i="112"/>
  <c r="GD484" i="112"/>
  <c r="GC484" i="112"/>
  <c r="GB484" i="112"/>
  <c r="GD483" i="112"/>
  <c r="GC483" i="112"/>
  <c r="GB483" i="112"/>
  <c r="GD482" i="112"/>
  <c r="GC482" i="112"/>
  <c r="GB482" i="112"/>
  <c r="GD481" i="112"/>
  <c r="GC481" i="112"/>
  <c r="GB481" i="112"/>
  <c r="GD480" i="112"/>
  <c r="GC480" i="112"/>
  <c r="GB480" i="112"/>
  <c r="GD479" i="112"/>
  <c r="GC479" i="112"/>
  <c r="GB479" i="112"/>
  <c r="GD478" i="112"/>
  <c r="GC478" i="112"/>
  <c r="GB478" i="112"/>
  <c r="GD473" i="112"/>
  <c r="GC473" i="112"/>
  <c r="GB473" i="112"/>
  <c r="GD472" i="112"/>
  <c r="GC472" i="112"/>
  <c r="GB472" i="112"/>
  <c r="GD471" i="112"/>
  <c r="GC471" i="112"/>
  <c r="GB471" i="112"/>
  <c r="GD470" i="112"/>
  <c r="GC470" i="112"/>
  <c r="GB470" i="112"/>
  <c r="GD469" i="112"/>
  <c r="GC469" i="112"/>
  <c r="GB469" i="112"/>
  <c r="GD468" i="112"/>
  <c r="GC468" i="112"/>
  <c r="GB468" i="112"/>
  <c r="GD467" i="112"/>
  <c r="GC467" i="112"/>
  <c r="GB467" i="112"/>
  <c r="GD466" i="112"/>
  <c r="GC466" i="112"/>
  <c r="GB466" i="112"/>
  <c r="GD465" i="112"/>
  <c r="GC465" i="112"/>
  <c r="GB465" i="112"/>
  <c r="GD464" i="112"/>
  <c r="GC464" i="112"/>
  <c r="GB464" i="112"/>
  <c r="GD463" i="112"/>
  <c r="GC463" i="112"/>
  <c r="GB463" i="112"/>
  <c r="GD462" i="112"/>
  <c r="GC462" i="112"/>
  <c r="GB462" i="112"/>
  <c r="GD461" i="112"/>
  <c r="GC461" i="112"/>
  <c r="GB461" i="112"/>
  <c r="GD460" i="112"/>
  <c r="GC460" i="112"/>
  <c r="GB460" i="112"/>
  <c r="GD459" i="112"/>
  <c r="GC459" i="112"/>
  <c r="GB459" i="112"/>
  <c r="GD458" i="112"/>
  <c r="GC458" i="112"/>
  <c r="GB458" i="112"/>
  <c r="GD457" i="112"/>
  <c r="GC457" i="112"/>
  <c r="GB457" i="112"/>
  <c r="GD456" i="112"/>
  <c r="GC456" i="112"/>
  <c r="GB456" i="112"/>
  <c r="GD455" i="112"/>
  <c r="GC455" i="112"/>
  <c r="GB455" i="112"/>
  <c r="GD454" i="112"/>
  <c r="GC454" i="112"/>
  <c r="GB454" i="112"/>
  <c r="GD453" i="112"/>
  <c r="GC453" i="112"/>
  <c r="GB453" i="112"/>
  <c r="GD452" i="112"/>
  <c r="GC452" i="112"/>
  <c r="GB452" i="112"/>
  <c r="GD451" i="112"/>
  <c r="GC451" i="112"/>
  <c r="GB451" i="112"/>
  <c r="GD450" i="112"/>
  <c r="GC450" i="112"/>
  <c r="GB450" i="112"/>
  <c r="GD449" i="112"/>
  <c r="GC449" i="112"/>
  <c r="GB449" i="112"/>
  <c r="GD448" i="112"/>
  <c r="GC448" i="112"/>
  <c r="GB448" i="112"/>
  <c r="GD447" i="112"/>
  <c r="GC447" i="112"/>
  <c r="GB447" i="112"/>
  <c r="GD446" i="112"/>
  <c r="GC446" i="112"/>
  <c r="GB446" i="112"/>
  <c r="GD445" i="112"/>
  <c r="GC445" i="112"/>
  <c r="GB445" i="112"/>
  <c r="GD444" i="112"/>
  <c r="GC444" i="112"/>
  <c r="GB444" i="112"/>
  <c r="GD443" i="112"/>
  <c r="GC443" i="112"/>
  <c r="GB443" i="112"/>
  <c r="GD442" i="112"/>
  <c r="GC442" i="112"/>
  <c r="GB442" i="112"/>
  <c r="GD441" i="112"/>
  <c r="GC441" i="112"/>
  <c r="GB441" i="112"/>
  <c r="GD440" i="112"/>
  <c r="GC440" i="112"/>
  <c r="GB440" i="112"/>
  <c r="GD439" i="112"/>
  <c r="GC439" i="112"/>
  <c r="GB439" i="112"/>
  <c r="GD438" i="112"/>
  <c r="GC438" i="112"/>
  <c r="GB438" i="112"/>
  <c r="GD437" i="112"/>
  <c r="GC437" i="112"/>
  <c r="GB437" i="112"/>
  <c r="GD436" i="112"/>
  <c r="GC436" i="112"/>
  <c r="GB436" i="112"/>
  <c r="GD431" i="112"/>
  <c r="GC431" i="112"/>
  <c r="GB431" i="112"/>
  <c r="GD430" i="112"/>
  <c r="GC430" i="112"/>
  <c r="GB430" i="112"/>
  <c r="GD429" i="112"/>
  <c r="GC429" i="112"/>
  <c r="GB429" i="112"/>
  <c r="GD428" i="112"/>
  <c r="GC428" i="112"/>
  <c r="GB428" i="112"/>
  <c r="GD427" i="112"/>
  <c r="GC427" i="112"/>
  <c r="GB427" i="112"/>
  <c r="GD426" i="112"/>
  <c r="GC426" i="112"/>
  <c r="GB426" i="112"/>
  <c r="GD425" i="112"/>
  <c r="GC425" i="112"/>
  <c r="GB425" i="112"/>
  <c r="GD424" i="112"/>
  <c r="GC424" i="112"/>
  <c r="GB424" i="112"/>
  <c r="GD423" i="112"/>
  <c r="GC423" i="112"/>
  <c r="GB423" i="112"/>
  <c r="GD422" i="112"/>
  <c r="GC422" i="112"/>
  <c r="GB422" i="112"/>
  <c r="GD421" i="112"/>
  <c r="GC421" i="112"/>
  <c r="GB421" i="112"/>
  <c r="GD420" i="112"/>
  <c r="GC420" i="112"/>
  <c r="GB420" i="112"/>
  <c r="GD419" i="112"/>
  <c r="GC419" i="112"/>
  <c r="GB419" i="112"/>
  <c r="GD416" i="112"/>
  <c r="GC416" i="112"/>
  <c r="GB416" i="112"/>
  <c r="GD415" i="112"/>
  <c r="GC415" i="112"/>
  <c r="GB415" i="112"/>
  <c r="GD414" i="112"/>
  <c r="GC414" i="112"/>
  <c r="GB414" i="112"/>
  <c r="GD413" i="112"/>
  <c r="GC413" i="112"/>
  <c r="GB413" i="112"/>
  <c r="GD412" i="112"/>
  <c r="GC412" i="112"/>
  <c r="GB412" i="112"/>
  <c r="GD411" i="112"/>
  <c r="GC411" i="112"/>
  <c r="GB411" i="112"/>
  <c r="GD410" i="112"/>
  <c r="GC410" i="112"/>
  <c r="GB410" i="112"/>
  <c r="GD409" i="112"/>
  <c r="GC409" i="112"/>
  <c r="GB409" i="112"/>
  <c r="GD408" i="112"/>
  <c r="GC408" i="112"/>
  <c r="GB408" i="112"/>
  <c r="GD407" i="112"/>
  <c r="GC407" i="112"/>
  <c r="GB407" i="112"/>
  <c r="GD406" i="112"/>
  <c r="GC406" i="112"/>
  <c r="GB406" i="112"/>
  <c r="GD405" i="112"/>
  <c r="GC405" i="112"/>
  <c r="GB405" i="112"/>
  <c r="GD404" i="112"/>
  <c r="GC404" i="112"/>
  <c r="GB404" i="112"/>
  <c r="GD403" i="112"/>
  <c r="GC403" i="112"/>
  <c r="GB403" i="112"/>
  <c r="GD402" i="112"/>
  <c r="GC402" i="112"/>
  <c r="GB402" i="112"/>
  <c r="GD401" i="112"/>
  <c r="GC401" i="112"/>
  <c r="GB401" i="112"/>
  <c r="GD400" i="112"/>
  <c r="GC400" i="112"/>
  <c r="GB400" i="112"/>
  <c r="GD399" i="112"/>
  <c r="GC399" i="112"/>
  <c r="GB399" i="112"/>
  <c r="GD398" i="112"/>
  <c r="GC398" i="112"/>
  <c r="GB398" i="112"/>
  <c r="GD397" i="112"/>
  <c r="GC397" i="112"/>
  <c r="GB397" i="112"/>
  <c r="GD396" i="112"/>
  <c r="GC396" i="112"/>
  <c r="GB396" i="112"/>
  <c r="GD395" i="112"/>
  <c r="GC395" i="112"/>
  <c r="GB395" i="112"/>
  <c r="GD394" i="112"/>
  <c r="GC394" i="112"/>
  <c r="GB394" i="112"/>
  <c r="GD393" i="112"/>
  <c r="GC393" i="112"/>
  <c r="GB393" i="112"/>
  <c r="GD392" i="112"/>
  <c r="GC392" i="112"/>
  <c r="GB392" i="112"/>
  <c r="GD391" i="112"/>
  <c r="GC391" i="112"/>
  <c r="GB391" i="112"/>
  <c r="GD390" i="112"/>
  <c r="GC390" i="112"/>
  <c r="GB390" i="112"/>
  <c r="GD389" i="112"/>
  <c r="GC389" i="112"/>
  <c r="GB389" i="112"/>
  <c r="GD388" i="112"/>
  <c r="GC388" i="112"/>
  <c r="GB388" i="112"/>
  <c r="GD387" i="112"/>
  <c r="GC387" i="112"/>
  <c r="GB387" i="112"/>
  <c r="GD386" i="112"/>
  <c r="GC386" i="112"/>
  <c r="GB386" i="112"/>
  <c r="GD385" i="112"/>
  <c r="GC385" i="112"/>
  <c r="GB385" i="112"/>
  <c r="GD384" i="112"/>
  <c r="GC384" i="112"/>
  <c r="GB384" i="112"/>
  <c r="GD383" i="112"/>
  <c r="GC383" i="112"/>
  <c r="GB383" i="112"/>
  <c r="GD382" i="112"/>
  <c r="GC382" i="112"/>
  <c r="GB382" i="112"/>
  <c r="GD377" i="112"/>
  <c r="GC377" i="112"/>
  <c r="GB377" i="112"/>
  <c r="GD376" i="112"/>
  <c r="GC376" i="112"/>
  <c r="GB376" i="112"/>
  <c r="GD375" i="112"/>
  <c r="GC375" i="112"/>
  <c r="GB375" i="112"/>
  <c r="GD374" i="112"/>
  <c r="GC374" i="112"/>
  <c r="GB374" i="112"/>
  <c r="GD373" i="112"/>
  <c r="GC373" i="112"/>
  <c r="GB373" i="112"/>
  <c r="GD372" i="112"/>
  <c r="GC372" i="112"/>
  <c r="GB372" i="112"/>
  <c r="GD371" i="112"/>
  <c r="GC371" i="112"/>
  <c r="GB371" i="112"/>
  <c r="GD370" i="112"/>
  <c r="GC370" i="112"/>
  <c r="GB370" i="112"/>
  <c r="GD369" i="112"/>
  <c r="GC369" i="112"/>
  <c r="GB369" i="112"/>
  <c r="GD368" i="112"/>
  <c r="GC368" i="112"/>
  <c r="GB368" i="112"/>
  <c r="GD367" i="112"/>
  <c r="GC367" i="112"/>
  <c r="GB367" i="112"/>
  <c r="GD366" i="112"/>
  <c r="GC366" i="112"/>
  <c r="GB366" i="112"/>
  <c r="GD365" i="112"/>
  <c r="GC365" i="112"/>
  <c r="GB365" i="112"/>
  <c r="GD364" i="112"/>
  <c r="GC364" i="112"/>
  <c r="GB364" i="112"/>
  <c r="GD359" i="112"/>
  <c r="GC359" i="112"/>
  <c r="GB359" i="112"/>
  <c r="GD358" i="112"/>
  <c r="GC358" i="112"/>
  <c r="GB358" i="112"/>
  <c r="GD357" i="112"/>
  <c r="GC357" i="112"/>
  <c r="GB357" i="112"/>
  <c r="GD356" i="112"/>
  <c r="GC356" i="112"/>
  <c r="GB356" i="112"/>
  <c r="GD355" i="112"/>
  <c r="GC355" i="112"/>
  <c r="GB355" i="112"/>
  <c r="GD354" i="112"/>
  <c r="GC354" i="112"/>
  <c r="GB354" i="112"/>
  <c r="GD353" i="112"/>
  <c r="GC353" i="112"/>
  <c r="GB353" i="112"/>
  <c r="GD352" i="112"/>
  <c r="GC352" i="112"/>
  <c r="GB352" i="112"/>
  <c r="GD351" i="112"/>
  <c r="GC351" i="112"/>
  <c r="GB351" i="112"/>
  <c r="GD350" i="112"/>
  <c r="GC350" i="112"/>
  <c r="GB350" i="112"/>
  <c r="GD349" i="112"/>
  <c r="GC349" i="112"/>
  <c r="GB349" i="112"/>
  <c r="GD348" i="112"/>
  <c r="GC348" i="112"/>
  <c r="GB348" i="112"/>
  <c r="GD347" i="112"/>
  <c r="GC347" i="112"/>
  <c r="GB347" i="112"/>
  <c r="GD346" i="112"/>
  <c r="GC346" i="112"/>
  <c r="GB346" i="112"/>
  <c r="GD345" i="112"/>
  <c r="GC345" i="112"/>
  <c r="GB345" i="112"/>
  <c r="GD344" i="112"/>
  <c r="GC344" i="112"/>
  <c r="GB344" i="112"/>
  <c r="GD343" i="112"/>
  <c r="GC343" i="112"/>
  <c r="GB343" i="112"/>
  <c r="GD342" i="112"/>
  <c r="GC342" i="112"/>
  <c r="GB342" i="112"/>
  <c r="GD341" i="112"/>
  <c r="GC341" i="112"/>
  <c r="GB341" i="112"/>
  <c r="GD340" i="112"/>
  <c r="GC340" i="112"/>
  <c r="GB340" i="112"/>
  <c r="GD339" i="112"/>
  <c r="GC339" i="112"/>
  <c r="GB339" i="112"/>
  <c r="GD338" i="112"/>
  <c r="GC338" i="112"/>
  <c r="GB338" i="112"/>
  <c r="GD337" i="112"/>
  <c r="GC337" i="112"/>
  <c r="GB337" i="112"/>
  <c r="GD332" i="112"/>
  <c r="GC332" i="112"/>
  <c r="GB332" i="112"/>
  <c r="GD331" i="112"/>
  <c r="GC331" i="112"/>
  <c r="GB331" i="112"/>
  <c r="GD330" i="112"/>
  <c r="GC330" i="112"/>
  <c r="GB330" i="112"/>
  <c r="GD329" i="112"/>
  <c r="GC329" i="112"/>
  <c r="GB329" i="112"/>
  <c r="GD328" i="112"/>
  <c r="GC328" i="112"/>
  <c r="GB328" i="112"/>
  <c r="GD327" i="112"/>
  <c r="GC327" i="112"/>
  <c r="GB327" i="112"/>
  <c r="GD326" i="112"/>
  <c r="GC326" i="112"/>
  <c r="GB326" i="112"/>
  <c r="GD325" i="112"/>
  <c r="GC325" i="112"/>
  <c r="GB325" i="112"/>
  <c r="GD324" i="112"/>
  <c r="GC324" i="112"/>
  <c r="GB324" i="112"/>
  <c r="GD323" i="112"/>
  <c r="GC323" i="112"/>
  <c r="GB323" i="112"/>
  <c r="GD322" i="112"/>
  <c r="GC322" i="112"/>
  <c r="GB322" i="112"/>
  <c r="GD321" i="112"/>
  <c r="GC321" i="112"/>
  <c r="GB321" i="112"/>
  <c r="GD320" i="112"/>
  <c r="GC320" i="112"/>
  <c r="GB320" i="112"/>
  <c r="GD319" i="112"/>
  <c r="GC319" i="112"/>
  <c r="GB319" i="112"/>
  <c r="GD378" i="112" l="1"/>
  <c r="GB432" i="112"/>
  <c r="GB378" i="112"/>
  <c r="GC378" i="112"/>
  <c r="GD515" i="112"/>
  <c r="GC432" i="112"/>
  <c r="GD432" i="112"/>
  <c r="GD474" i="112"/>
  <c r="GB492" i="112"/>
  <c r="GB474" i="112"/>
  <c r="GC492" i="112"/>
  <c r="GC474" i="112"/>
  <c r="GD492" i="112"/>
  <c r="GB360" i="112"/>
  <c r="GC360" i="112"/>
  <c r="GD360" i="112"/>
  <c r="GB515" i="112"/>
  <c r="GC515" i="112"/>
  <c r="GB333" i="112"/>
  <c r="GC333" i="112"/>
  <c r="GD333" i="112"/>
  <c r="DN299" i="112" l="1"/>
  <c r="DN267" i="112"/>
  <c r="BV268" i="112" s="1"/>
  <c r="GS318" i="112"/>
  <c r="GR318" i="112"/>
  <c r="GQ318" i="112"/>
  <c r="GP318" i="112"/>
  <c r="GO318" i="112"/>
  <c r="GN318" i="112"/>
  <c r="GM318" i="112"/>
  <c r="GL318" i="112"/>
  <c r="GK318" i="112"/>
  <c r="GJ318" i="112"/>
  <c r="GI318" i="112"/>
  <c r="GH318" i="112"/>
  <c r="GG318" i="112"/>
  <c r="GF318" i="112"/>
  <c r="GE318" i="112"/>
  <c r="EB205" i="112"/>
  <c r="D13" i="139"/>
  <c r="E13" i="139" s="1"/>
  <c r="F13" i="139" s="1"/>
  <c r="G13" i="139" s="1"/>
  <c r="GH504" i="112" l="1"/>
  <c r="GH505" i="112"/>
  <c r="GH506" i="112"/>
  <c r="GH503" i="112"/>
  <c r="GP504" i="112"/>
  <c r="GP506" i="112"/>
  <c r="GP505" i="112"/>
  <c r="GP503" i="112"/>
  <c r="GI504" i="112"/>
  <c r="GI506" i="112"/>
  <c r="GI505" i="112"/>
  <c r="GI503" i="112"/>
  <c r="GQ504" i="112"/>
  <c r="GQ506" i="112"/>
  <c r="GQ505" i="112"/>
  <c r="GQ503" i="112"/>
  <c r="GJ504" i="112"/>
  <c r="GJ506" i="112"/>
  <c r="GJ505" i="112"/>
  <c r="GJ503" i="112"/>
  <c r="GR504" i="112"/>
  <c r="GR506" i="112"/>
  <c r="GR505" i="112"/>
  <c r="GR503" i="112"/>
  <c r="GK503" i="112"/>
  <c r="GK504" i="112"/>
  <c r="GK506" i="112"/>
  <c r="GK505" i="112"/>
  <c r="GS503" i="112"/>
  <c r="GS504" i="112"/>
  <c r="GS506" i="112"/>
  <c r="GS505" i="112"/>
  <c r="GL503" i="112"/>
  <c r="GL504" i="112"/>
  <c r="GL506" i="112"/>
  <c r="GL505" i="112"/>
  <c r="GE505" i="112"/>
  <c r="GE503" i="112"/>
  <c r="GE504" i="112"/>
  <c r="GE506" i="112"/>
  <c r="GM505" i="112"/>
  <c r="GM503" i="112"/>
  <c r="GM504" i="112"/>
  <c r="GM506" i="112"/>
  <c r="GF506" i="112"/>
  <c r="GF505" i="112"/>
  <c r="GF503" i="112"/>
  <c r="GF504" i="112"/>
  <c r="GN506" i="112"/>
  <c r="GN505" i="112"/>
  <c r="GN503" i="112"/>
  <c r="GN504" i="112"/>
  <c r="GG506" i="112"/>
  <c r="GG505" i="112"/>
  <c r="GG503" i="112"/>
  <c r="GG504" i="112"/>
  <c r="GO506" i="112"/>
  <c r="GO505" i="112"/>
  <c r="GO503" i="112"/>
  <c r="GO504" i="112"/>
  <c r="D20" i="135"/>
  <c r="E20" i="135" s="1"/>
  <c r="F20" i="135" s="1"/>
  <c r="G20" i="135" s="1"/>
  <c r="GH418" i="112"/>
  <c r="GH417" i="112"/>
  <c r="GP418" i="112"/>
  <c r="GP417" i="112"/>
  <c r="GI417" i="112"/>
  <c r="GI418" i="112"/>
  <c r="GQ417" i="112"/>
  <c r="GQ418" i="112"/>
  <c r="GJ418" i="112"/>
  <c r="GJ417" i="112"/>
  <c r="GR418" i="112"/>
  <c r="GR417" i="112"/>
  <c r="GK418" i="112"/>
  <c r="GK417" i="112"/>
  <c r="GS320" i="112"/>
  <c r="GS418" i="112"/>
  <c r="GS417" i="112"/>
  <c r="GL417" i="112"/>
  <c r="GL418" i="112"/>
  <c r="GE418" i="112"/>
  <c r="GE417" i="112"/>
  <c r="GM418" i="112"/>
  <c r="GM417" i="112"/>
  <c r="GF417" i="112"/>
  <c r="GF418" i="112"/>
  <c r="GN417" i="112"/>
  <c r="GN418" i="112"/>
  <c r="GG418" i="112"/>
  <c r="GG417" i="112"/>
  <c r="GO418" i="112"/>
  <c r="GO417" i="112"/>
  <c r="GQ321" i="112"/>
  <c r="GQ509" i="112"/>
  <c r="GQ510" i="112"/>
  <c r="GQ511" i="112"/>
  <c r="GQ512" i="112"/>
  <c r="GQ513" i="112"/>
  <c r="GQ502" i="112"/>
  <c r="GQ514" i="112"/>
  <c r="GQ507" i="112"/>
  <c r="GQ508" i="112"/>
  <c r="GJ508" i="112"/>
  <c r="GJ509" i="112"/>
  <c r="GJ510" i="112"/>
  <c r="GJ507" i="112"/>
  <c r="GJ511" i="112"/>
  <c r="GJ512" i="112"/>
  <c r="GJ513" i="112"/>
  <c r="GJ502" i="112"/>
  <c r="GJ514" i="112"/>
  <c r="GR416" i="112"/>
  <c r="GR508" i="112"/>
  <c r="GR509" i="112"/>
  <c r="GR510" i="112"/>
  <c r="GR511" i="112"/>
  <c r="GR507" i="112"/>
  <c r="GR512" i="112"/>
  <c r="GR513" i="112"/>
  <c r="GR502" i="112"/>
  <c r="GR514" i="112"/>
  <c r="GK385" i="112"/>
  <c r="GK507" i="112"/>
  <c r="GK514" i="112"/>
  <c r="GK508" i="112"/>
  <c r="GK502" i="112"/>
  <c r="GK509" i="112"/>
  <c r="GK510" i="112"/>
  <c r="GK511" i="112"/>
  <c r="GK512" i="112"/>
  <c r="GK513" i="112"/>
  <c r="GS416" i="112"/>
  <c r="GS507" i="112"/>
  <c r="GS508" i="112"/>
  <c r="GS509" i="112"/>
  <c r="GS510" i="112"/>
  <c r="GS511" i="112"/>
  <c r="GS502" i="112"/>
  <c r="GS514" i="112"/>
  <c r="GS512" i="112"/>
  <c r="GS513" i="112"/>
  <c r="GR320" i="112"/>
  <c r="GL376" i="112"/>
  <c r="GL502" i="112"/>
  <c r="GL514" i="112"/>
  <c r="GL507" i="112"/>
  <c r="GL508" i="112"/>
  <c r="GL509" i="112"/>
  <c r="GL510" i="112"/>
  <c r="GL513" i="112"/>
  <c r="GL511" i="112"/>
  <c r="GL512" i="112"/>
  <c r="GI341" i="112"/>
  <c r="GI509" i="112"/>
  <c r="GI508" i="112"/>
  <c r="GI510" i="112"/>
  <c r="GI511" i="112"/>
  <c r="GI512" i="112"/>
  <c r="GI513" i="112"/>
  <c r="GI502" i="112"/>
  <c r="GI514" i="112"/>
  <c r="GI507" i="112"/>
  <c r="GM375" i="112"/>
  <c r="GM513" i="112"/>
  <c r="GM512" i="112"/>
  <c r="GM502" i="112"/>
  <c r="GM514" i="112"/>
  <c r="GM507" i="112"/>
  <c r="GM508" i="112"/>
  <c r="GM509" i="112"/>
  <c r="GM510" i="112"/>
  <c r="GM511" i="112"/>
  <c r="GF512" i="112"/>
  <c r="GF513" i="112"/>
  <c r="GF502" i="112"/>
  <c r="GF514" i="112"/>
  <c r="GF511" i="112"/>
  <c r="GF507" i="112"/>
  <c r="GF508" i="112"/>
  <c r="GF509" i="112"/>
  <c r="GF510" i="112"/>
  <c r="GN375" i="112"/>
  <c r="GN512" i="112"/>
  <c r="GN513" i="112"/>
  <c r="GN511" i="112"/>
  <c r="GN502" i="112"/>
  <c r="GN514" i="112"/>
  <c r="GN507" i="112"/>
  <c r="GN508" i="112"/>
  <c r="GN509" i="112"/>
  <c r="GN510" i="112"/>
  <c r="GG398" i="112"/>
  <c r="GG511" i="112"/>
  <c r="GG512" i="112"/>
  <c r="GG513" i="112"/>
  <c r="GG502" i="112"/>
  <c r="GG514" i="112"/>
  <c r="GG507" i="112"/>
  <c r="GG508" i="112"/>
  <c r="GG509" i="112"/>
  <c r="GG510" i="112"/>
  <c r="GO403" i="112"/>
  <c r="GO511" i="112"/>
  <c r="GO512" i="112"/>
  <c r="GO513" i="112"/>
  <c r="GO502" i="112"/>
  <c r="GO514" i="112"/>
  <c r="GO507" i="112"/>
  <c r="GO510" i="112"/>
  <c r="GO508" i="112"/>
  <c r="GO509" i="112"/>
  <c r="GH510" i="112"/>
  <c r="GH511" i="112"/>
  <c r="GH512" i="112"/>
  <c r="GH513" i="112"/>
  <c r="GH502" i="112"/>
  <c r="GH514" i="112"/>
  <c r="GH509" i="112"/>
  <c r="GH507" i="112"/>
  <c r="GH508" i="112"/>
  <c r="GP415" i="112"/>
  <c r="GP510" i="112"/>
  <c r="GP511" i="112"/>
  <c r="GP512" i="112"/>
  <c r="GP513" i="112"/>
  <c r="GP502" i="112"/>
  <c r="GP514" i="112"/>
  <c r="GP507" i="112"/>
  <c r="GP509" i="112"/>
  <c r="GP508" i="112"/>
  <c r="GE323" i="112"/>
  <c r="GE509" i="112"/>
  <c r="GE502" i="112"/>
  <c r="GE510" i="112"/>
  <c r="GE514" i="112"/>
  <c r="GE511" i="112"/>
  <c r="GE507" i="112"/>
  <c r="GE512" i="112"/>
  <c r="GE508" i="112"/>
  <c r="GE513" i="112"/>
  <c r="GR321" i="112"/>
  <c r="GQ324" i="112"/>
  <c r="GQ326" i="112"/>
  <c r="GL331" i="112"/>
  <c r="GP338" i="112"/>
  <c r="GM341" i="112"/>
  <c r="GS344" i="112"/>
  <c r="GM351" i="112"/>
  <c r="GK356" i="112"/>
  <c r="GP370" i="112"/>
  <c r="GR374" i="112"/>
  <c r="GK388" i="112"/>
  <c r="GS396" i="112"/>
  <c r="GS419" i="112"/>
  <c r="GK323" i="112"/>
  <c r="GS324" i="112"/>
  <c r="GR326" i="112"/>
  <c r="GS331" i="112"/>
  <c r="GR338" i="112"/>
  <c r="GR341" i="112"/>
  <c r="GM345" i="112"/>
  <c r="GP351" i="112"/>
  <c r="GM356" i="112"/>
  <c r="GK371" i="112"/>
  <c r="GS374" i="112"/>
  <c r="GR389" i="112"/>
  <c r="GR398" i="112"/>
  <c r="GP420" i="112"/>
  <c r="GK319" i="112"/>
  <c r="GL323" i="112"/>
  <c r="GL325" i="112"/>
  <c r="GL327" i="112"/>
  <c r="GP332" i="112"/>
  <c r="GK339" i="112"/>
  <c r="GS341" i="112"/>
  <c r="GK346" i="112"/>
  <c r="GS351" i="112"/>
  <c r="GS356" i="112"/>
  <c r="GL371" i="112"/>
  <c r="GP375" i="112"/>
  <c r="GK391" i="112"/>
  <c r="GS400" i="112"/>
  <c r="GP323" i="112"/>
  <c r="GM325" i="112"/>
  <c r="GM327" i="112"/>
  <c r="GR332" i="112"/>
  <c r="GM339" i="112"/>
  <c r="GP342" i="112"/>
  <c r="GL346" i="112"/>
  <c r="GL352" i="112"/>
  <c r="GP357" i="112"/>
  <c r="GS371" i="112"/>
  <c r="GM382" i="112"/>
  <c r="GM391" i="112"/>
  <c r="GM405" i="112"/>
  <c r="GS323" i="112"/>
  <c r="GP325" i="112"/>
  <c r="GK329" i="112"/>
  <c r="GK337" i="112"/>
  <c r="GR339" i="112"/>
  <c r="GR342" i="112"/>
  <c r="GK347" i="112"/>
  <c r="GL353" i="112"/>
  <c r="GR359" i="112"/>
  <c r="GK372" i="112"/>
  <c r="GM383" i="112"/>
  <c r="GK393" i="112"/>
  <c r="GP405" i="112"/>
  <c r="GK320" i="112"/>
  <c r="GL321" i="112"/>
  <c r="GK324" i="112"/>
  <c r="GI326" i="112"/>
  <c r="GL329" i="112"/>
  <c r="GM337" i="112"/>
  <c r="GS339" i="112"/>
  <c r="GM343" i="112"/>
  <c r="GK348" i="112"/>
  <c r="GP354" i="112"/>
  <c r="GK367" i="112"/>
  <c r="GP372" i="112"/>
  <c r="GP384" i="112"/>
  <c r="GS394" i="112"/>
  <c r="GK407" i="112"/>
  <c r="GP321" i="112"/>
  <c r="GL324" i="112"/>
  <c r="GL326" i="112"/>
  <c r="GS329" i="112"/>
  <c r="GR337" i="112"/>
  <c r="GP343" i="112"/>
  <c r="GS349" i="112"/>
  <c r="GM355" i="112"/>
  <c r="GM368" i="112"/>
  <c r="GS372" i="112"/>
  <c r="GR384" i="112"/>
  <c r="GL395" i="112"/>
  <c r="GR410" i="112"/>
  <c r="GP324" i="112"/>
  <c r="GP326" i="112"/>
  <c r="GK331" i="112"/>
  <c r="GS337" i="112"/>
  <c r="GK341" i="112"/>
  <c r="GL344" i="112"/>
  <c r="GR350" i="112"/>
  <c r="GP355" i="112"/>
  <c r="GK369" i="112"/>
  <c r="GP373" i="112"/>
  <c r="GS386" i="112"/>
  <c r="GR396" i="112"/>
  <c r="GP412" i="112"/>
  <c r="GI499" i="112"/>
  <c r="GI486" i="112"/>
  <c r="GI488" i="112"/>
  <c r="GI501" i="112"/>
  <c r="GI478" i="112"/>
  <c r="GI460" i="112"/>
  <c r="GI459" i="112"/>
  <c r="GI464" i="112"/>
  <c r="GI446" i="112"/>
  <c r="GI454" i="112"/>
  <c r="GI444" i="112"/>
  <c r="GI441" i="112"/>
  <c r="GI450" i="112"/>
  <c r="GI448" i="112"/>
  <c r="GI423" i="112"/>
  <c r="GI428" i="112"/>
  <c r="GI430" i="112"/>
  <c r="GI371" i="112"/>
  <c r="GI353" i="112"/>
  <c r="GI440" i="112"/>
  <c r="GI384" i="112"/>
  <c r="GI375" i="112"/>
  <c r="GI373" i="112"/>
  <c r="GI368" i="112"/>
  <c r="GI355" i="112"/>
  <c r="GI408" i="112"/>
  <c r="GI406" i="112"/>
  <c r="GI404" i="112"/>
  <c r="GQ320" i="112"/>
  <c r="GQ497" i="112"/>
  <c r="GQ490" i="112"/>
  <c r="GQ485" i="112"/>
  <c r="GQ498" i="112"/>
  <c r="GQ491" i="112"/>
  <c r="GQ489" i="112"/>
  <c r="GQ484" i="112"/>
  <c r="GQ486" i="112"/>
  <c r="GQ500" i="112"/>
  <c r="GQ488" i="112"/>
  <c r="GQ501" i="112"/>
  <c r="GQ472" i="112"/>
  <c r="GQ467" i="112"/>
  <c r="GQ463" i="112"/>
  <c r="GQ499" i="112"/>
  <c r="GQ469" i="112"/>
  <c r="GQ482" i="112"/>
  <c r="GQ468" i="112"/>
  <c r="GQ462" i="112"/>
  <c r="GQ478" i="112"/>
  <c r="GQ460" i="112"/>
  <c r="GQ454" i="112"/>
  <c r="GQ452" i="112"/>
  <c r="GQ461" i="112"/>
  <c r="GQ459" i="112"/>
  <c r="GQ483" i="112"/>
  <c r="GQ471" i="112"/>
  <c r="GQ466" i="112"/>
  <c r="GQ465" i="112"/>
  <c r="GQ457" i="112"/>
  <c r="GQ449" i="112"/>
  <c r="GQ444" i="112"/>
  <c r="GQ458" i="112"/>
  <c r="GQ451" i="112"/>
  <c r="GQ448" i="112"/>
  <c r="GQ447" i="112"/>
  <c r="GQ442" i="112"/>
  <c r="GQ439" i="112"/>
  <c r="GQ437" i="112"/>
  <c r="GQ480" i="112"/>
  <c r="GQ470" i="112"/>
  <c r="GQ441" i="112"/>
  <c r="GQ436" i="112"/>
  <c r="GQ445" i="112"/>
  <c r="GQ429" i="112"/>
  <c r="GQ426" i="112"/>
  <c r="GQ416" i="112"/>
  <c r="GQ413" i="112"/>
  <c r="GQ410" i="112"/>
  <c r="GQ403" i="112"/>
  <c r="GQ398" i="112"/>
  <c r="GQ393" i="112"/>
  <c r="GQ473" i="112"/>
  <c r="GQ420" i="112"/>
  <c r="GQ400" i="112"/>
  <c r="GQ395" i="112"/>
  <c r="GQ388" i="112"/>
  <c r="GQ453" i="112"/>
  <c r="GQ443" i="112"/>
  <c r="GQ419" i="112"/>
  <c r="GQ415" i="112"/>
  <c r="GQ409" i="112"/>
  <c r="GQ407" i="112"/>
  <c r="GQ404" i="112"/>
  <c r="GQ402" i="112"/>
  <c r="GQ385" i="112"/>
  <c r="GQ455" i="112"/>
  <c r="GQ427" i="112"/>
  <c r="GQ423" i="112"/>
  <c r="GQ421" i="112"/>
  <c r="GQ450" i="112"/>
  <c r="GQ431" i="112"/>
  <c r="GQ389" i="112"/>
  <c r="GQ384" i="112"/>
  <c r="GQ377" i="112"/>
  <c r="GQ370" i="112"/>
  <c r="GQ357" i="112"/>
  <c r="GQ347" i="112"/>
  <c r="GQ487" i="112"/>
  <c r="GQ446" i="112"/>
  <c r="GQ425" i="112"/>
  <c r="GQ440" i="112"/>
  <c r="GQ479" i="112"/>
  <c r="GQ422" i="112"/>
  <c r="GQ396" i="112"/>
  <c r="GQ374" i="112"/>
  <c r="GQ367" i="112"/>
  <c r="GQ365" i="112"/>
  <c r="GQ356" i="112"/>
  <c r="GQ351" i="112"/>
  <c r="GQ424" i="112"/>
  <c r="GQ386" i="112"/>
  <c r="GQ376" i="112"/>
  <c r="GQ371" i="112"/>
  <c r="GQ369" i="112"/>
  <c r="GQ353" i="112"/>
  <c r="GQ464" i="112"/>
  <c r="GQ456" i="112"/>
  <c r="GQ438" i="112"/>
  <c r="GQ428" i="112"/>
  <c r="GQ411" i="112"/>
  <c r="GQ399" i="112"/>
  <c r="GQ358" i="112"/>
  <c r="GQ350" i="112"/>
  <c r="GQ405" i="112"/>
  <c r="GQ401" i="112"/>
  <c r="GQ397" i="112"/>
  <c r="GQ375" i="112"/>
  <c r="GQ373" i="112"/>
  <c r="GQ368" i="112"/>
  <c r="GQ355" i="112"/>
  <c r="GQ322" i="112"/>
  <c r="GN323" i="112"/>
  <c r="GO327" i="112"/>
  <c r="GG328" i="112"/>
  <c r="GQ328" i="112"/>
  <c r="GN329" i="112"/>
  <c r="GQ330" i="112"/>
  <c r="GN331" i="112"/>
  <c r="GG332" i="112"/>
  <c r="GQ340" i="112"/>
  <c r="GN346" i="112"/>
  <c r="GN347" i="112"/>
  <c r="GN348" i="112"/>
  <c r="GO352" i="112"/>
  <c r="GI365" i="112"/>
  <c r="GN369" i="112"/>
  <c r="GQ383" i="112"/>
  <c r="GO393" i="112"/>
  <c r="GR402" i="112"/>
  <c r="GO409" i="112"/>
  <c r="GK411" i="112"/>
  <c r="GK413" i="112"/>
  <c r="GO426" i="112"/>
  <c r="GS439" i="112"/>
  <c r="GS452" i="112"/>
  <c r="GQ319" i="112"/>
  <c r="GJ481" i="112"/>
  <c r="GJ469" i="112"/>
  <c r="GJ436" i="112"/>
  <c r="GJ439" i="112"/>
  <c r="GJ423" i="112"/>
  <c r="GJ461" i="112"/>
  <c r="GJ448" i="112"/>
  <c r="GR499" i="112"/>
  <c r="GR480" i="112"/>
  <c r="GR498" i="112"/>
  <c r="GR491" i="112"/>
  <c r="GR489" i="112"/>
  <c r="GR484" i="112"/>
  <c r="GR486" i="112"/>
  <c r="GR481" i="112"/>
  <c r="GR500" i="112"/>
  <c r="GR488" i="112"/>
  <c r="GR497" i="112"/>
  <c r="GR490" i="112"/>
  <c r="GR485" i="112"/>
  <c r="GR469" i="112"/>
  <c r="GR482" i="112"/>
  <c r="GR468" i="112"/>
  <c r="GR462" i="112"/>
  <c r="GR483" i="112"/>
  <c r="GR471" i="112"/>
  <c r="GR465" i="112"/>
  <c r="GR460" i="112"/>
  <c r="GR459" i="112"/>
  <c r="GR457" i="112"/>
  <c r="GR461" i="112"/>
  <c r="GR501" i="112"/>
  <c r="GR466" i="112"/>
  <c r="GR449" i="112"/>
  <c r="GR444" i="112"/>
  <c r="GR463" i="112"/>
  <c r="GR446" i="112"/>
  <c r="GR470" i="112"/>
  <c r="GR441" i="112"/>
  <c r="GR436" i="112"/>
  <c r="GR427" i="112"/>
  <c r="GR473" i="112"/>
  <c r="GR438" i="112"/>
  <c r="GR442" i="112"/>
  <c r="GR420" i="112"/>
  <c r="GR400" i="112"/>
  <c r="GR395" i="112"/>
  <c r="GR388" i="112"/>
  <c r="GR479" i="112"/>
  <c r="GR430" i="112"/>
  <c r="GR422" i="112"/>
  <c r="GR412" i="112"/>
  <c r="GR405" i="112"/>
  <c r="GR390" i="112"/>
  <c r="GR383" i="112"/>
  <c r="GR467" i="112"/>
  <c r="GR458" i="112"/>
  <c r="GR455" i="112"/>
  <c r="GR448" i="112"/>
  <c r="GR437" i="112"/>
  <c r="GR423" i="112"/>
  <c r="GR421" i="112"/>
  <c r="GR414" i="112"/>
  <c r="GR411" i="112"/>
  <c r="GR394" i="112"/>
  <c r="GR387" i="112"/>
  <c r="GR487" i="112"/>
  <c r="GR478" i="112"/>
  <c r="GR464" i="112"/>
  <c r="GR456" i="112"/>
  <c r="GR428" i="112"/>
  <c r="GR425" i="112"/>
  <c r="GR454" i="112"/>
  <c r="GR452" i="112"/>
  <c r="GR443" i="112"/>
  <c r="GR439" i="112"/>
  <c r="GR419" i="112"/>
  <c r="GR372" i="112"/>
  <c r="GR354" i="112"/>
  <c r="GR349" i="112"/>
  <c r="GR472" i="112"/>
  <c r="GR440" i="112"/>
  <c r="GR424" i="112"/>
  <c r="GR386" i="112"/>
  <c r="GR376" i="112"/>
  <c r="GR371" i="112"/>
  <c r="GR369" i="112"/>
  <c r="GR353" i="112"/>
  <c r="GR453" i="112"/>
  <c r="GR451" i="112"/>
  <c r="GR399" i="112"/>
  <c r="GR358" i="112"/>
  <c r="GR447" i="112"/>
  <c r="GR409" i="112"/>
  <c r="GR401" i="112"/>
  <c r="GR397" i="112"/>
  <c r="GR375" i="112"/>
  <c r="GR373" i="112"/>
  <c r="GR368" i="112"/>
  <c r="GR355" i="112"/>
  <c r="GR346" i="112"/>
  <c r="GR344" i="112"/>
  <c r="GR445" i="112"/>
  <c r="GR429" i="112"/>
  <c r="GR426" i="112"/>
  <c r="GR415" i="112"/>
  <c r="GR413" i="112"/>
  <c r="GR407" i="112"/>
  <c r="GR403" i="112"/>
  <c r="GR393" i="112"/>
  <c r="GR391" i="112"/>
  <c r="GR382" i="112"/>
  <c r="GR366" i="112"/>
  <c r="GR364" i="112"/>
  <c r="GR352" i="112"/>
  <c r="GM321" i="112"/>
  <c r="GG322" i="112"/>
  <c r="GR322" i="112"/>
  <c r="GO323" i="112"/>
  <c r="GQ325" i="112"/>
  <c r="GM326" i="112"/>
  <c r="GP327" i="112"/>
  <c r="GJ328" i="112"/>
  <c r="GR328" i="112"/>
  <c r="GO329" i="112"/>
  <c r="GR330" i="112"/>
  <c r="GO331" i="112"/>
  <c r="GK332" i="112"/>
  <c r="GS332" i="112"/>
  <c r="GN337" i="112"/>
  <c r="GK338" i="112"/>
  <c r="GS338" i="112"/>
  <c r="GN339" i="112"/>
  <c r="GI340" i="112"/>
  <c r="GR340" i="112"/>
  <c r="GN341" i="112"/>
  <c r="GK342" i="112"/>
  <c r="GS342" i="112"/>
  <c r="GQ343" i="112"/>
  <c r="GM344" i="112"/>
  <c r="GO345" i="112"/>
  <c r="GP346" i="112"/>
  <c r="GO347" i="112"/>
  <c r="GP348" i="112"/>
  <c r="GK349" i="112"/>
  <c r="GQ352" i="112"/>
  <c r="GN353" i="112"/>
  <c r="GQ354" i="112"/>
  <c r="GK365" i="112"/>
  <c r="GN366" i="112"/>
  <c r="GM367" i="112"/>
  <c r="GN368" i="112"/>
  <c r="GS369" i="112"/>
  <c r="GR370" i="112"/>
  <c r="GK376" i="112"/>
  <c r="GJ377" i="112"/>
  <c r="GN382" i="112"/>
  <c r="GS388" i="112"/>
  <c r="GO395" i="112"/>
  <c r="GM397" i="112"/>
  <c r="GI399" i="112"/>
  <c r="GS402" i="112"/>
  <c r="GP404" i="112"/>
  <c r="GO411" i="112"/>
  <c r="GL413" i="112"/>
  <c r="GL427" i="112"/>
  <c r="GP473" i="112"/>
  <c r="GR319" i="112"/>
  <c r="GK501" i="112"/>
  <c r="GK487" i="112"/>
  <c r="GK486" i="112"/>
  <c r="GK500" i="112"/>
  <c r="GK488" i="112"/>
  <c r="GK497" i="112"/>
  <c r="GK490" i="112"/>
  <c r="GK485" i="112"/>
  <c r="GK499" i="112"/>
  <c r="GK498" i="112"/>
  <c r="GK468" i="112"/>
  <c r="GK462" i="112"/>
  <c r="GK479" i="112"/>
  <c r="GK478" i="112"/>
  <c r="GK471" i="112"/>
  <c r="GK465" i="112"/>
  <c r="GK460" i="112"/>
  <c r="GK459" i="112"/>
  <c r="GK457" i="112"/>
  <c r="GK491" i="112"/>
  <c r="GK466" i="112"/>
  <c r="GK480" i="112"/>
  <c r="GK464" i="112"/>
  <c r="GK458" i="112"/>
  <c r="GK446" i="112"/>
  <c r="GK470" i="112"/>
  <c r="GK467" i="112"/>
  <c r="GK453" i="112"/>
  <c r="GK451" i="112"/>
  <c r="GK448" i="112"/>
  <c r="GK482" i="112"/>
  <c r="GK452" i="112"/>
  <c r="GK449" i="112"/>
  <c r="GK444" i="112"/>
  <c r="GK441" i="112"/>
  <c r="GK436" i="112"/>
  <c r="GK450" i="112"/>
  <c r="GK445" i="112"/>
  <c r="GK438" i="112"/>
  <c r="GK483" i="112"/>
  <c r="GK456" i="112"/>
  <c r="GK455" i="112"/>
  <c r="GK429" i="112"/>
  <c r="GK447" i="112"/>
  <c r="GK437" i="112"/>
  <c r="GK422" i="112"/>
  <c r="GK412" i="112"/>
  <c r="GK405" i="112"/>
  <c r="GK390" i="112"/>
  <c r="GK424" i="112"/>
  <c r="GK399" i="112"/>
  <c r="GK397" i="112"/>
  <c r="GK392" i="112"/>
  <c r="GK489" i="112"/>
  <c r="GK481" i="112"/>
  <c r="GK473" i="112"/>
  <c r="GK461" i="112"/>
  <c r="GK442" i="112"/>
  <c r="GK425" i="112"/>
  <c r="GK406" i="112"/>
  <c r="GK401" i="112"/>
  <c r="GK384" i="112"/>
  <c r="GK463" i="112"/>
  <c r="GK427" i="112"/>
  <c r="GK423" i="112"/>
  <c r="GK421" i="112"/>
  <c r="GK386" i="112"/>
  <c r="GK359" i="112"/>
  <c r="GK345" i="112"/>
  <c r="GK469" i="112"/>
  <c r="GK430" i="112"/>
  <c r="GK426" i="112"/>
  <c r="GK472" i="112"/>
  <c r="GK454" i="112"/>
  <c r="GK443" i="112"/>
  <c r="GK439" i="112"/>
  <c r="GK431" i="112"/>
  <c r="GK420" i="112"/>
  <c r="GK484" i="112"/>
  <c r="GK440" i="112"/>
  <c r="GK419" i="112"/>
  <c r="GK389" i="112"/>
  <c r="GK387" i="112"/>
  <c r="GK382" i="112"/>
  <c r="GK358" i="112"/>
  <c r="GK350" i="112"/>
  <c r="GK383" i="112"/>
  <c r="GK375" i="112"/>
  <c r="GK373" i="112"/>
  <c r="GK368" i="112"/>
  <c r="GK355" i="112"/>
  <c r="GK410" i="112"/>
  <c r="GK408" i="112"/>
  <c r="GK404" i="112"/>
  <c r="GK366" i="112"/>
  <c r="GK364" i="112"/>
  <c r="GK352" i="112"/>
  <c r="GK416" i="112"/>
  <c r="GK414" i="112"/>
  <c r="GK402" i="112"/>
  <c r="GK400" i="112"/>
  <c r="GK398" i="112"/>
  <c r="GK396" i="112"/>
  <c r="GK394" i="112"/>
  <c r="GK377" i="112"/>
  <c r="GK370" i="112"/>
  <c r="GK357" i="112"/>
  <c r="GS501" i="112"/>
  <c r="GS487" i="112"/>
  <c r="GS486" i="112"/>
  <c r="GS500" i="112"/>
  <c r="GS488" i="112"/>
  <c r="GS497" i="112"/>
  <c r="GS490" i="112"/>
  <c r="GS485" i="112"/>
  <c r="GS499" i="112"/>
  <c r="GS491" i="112"/>
  <c r="GS482" i="112"/>
  <c r="GS468" i="112"/>
  <c r="GS462" i="112"/>
  <c r="GS483" i="112"/>
  <c r="GS471" i="112"/>
  <c r="GS465" i="112"/>
  <c r="GS460" i="112"/>
  <c r="GS459" i="112"/>
  <c r="GS457" i="112"/>
  <c r="GS489" i="112"/>
  <c r="GS484" i="112"/>
  <c r="GS479" i="112"/>
  <c r="GS478" i="112"/>
  <c r="GS466" i="112"/>
  <c r="GS463" i="112"/>
  <c r="GS446" i="112"/>
  <c r="GS498" i="112"/>
  <c r="GS473" i="112"/>
  <c r="GS469" i="112"/>
  <c r="GS453" i="112"/>
  <c r="GS451" i="112"/>
  <c r="GS448" i="112"/>
  <c r="GS480" i="112"/>
  <c r="GS470" i="112"/>
  <c r="GS441" i="112"/>
  <c r="GS436" i="112"/>
  <c r="GS461" i="112"/>
  <c r="GS438" i="112"/>
  <c r="GS481" i="112"/>
  <c r="GS472" i="112"/>
  <c r="GS464" i="112"/>
  <c r="GS454" i="112"/>
  <c r="GS449" i="112"/>
  <c r="GS444" i="112"/>
  <c r="GS429" i="112"/>
  <c r="GS430" i="112"/>
  <c r="GS422" i="112"/>
  <c r="GS412" i="112"/>
  <c r="GS405" i="112"/>
  <c r="GS390" i="112"/>
  <c r="GS450" i="112"/>
  <c r="GS431" i="112"/>
  <c r="GS424" i="112"/>
  <c r="GS399" i="112"/>
  <c r="GS397" i="112"/>
  <c r="GS392" i="112"/>
  <c r="GS456" i="112"/>
  <c r="GS428" i="112"/>
  <c r="GS427" i="112"/>
  <c r="GS425" i="112"/>
  <c r="GS406" i="112"/>
  <c r="GS401" i="112"/>
  <c r="GS384" i="112"/>
  <c r="GS447" i="112"/>
  <c r="GS440" i="112"/>
  <c r="GS458" i="112"/>
  <c r="GS410" i="112"/>
  <c r="GS408" i="112"/>
  <c r="GS404" i="112"/>
  <c r="GS359" i="112"/>
  <c r="GS345" i="112"/>
  <c r="GS358" i="112"/>
  <c r="GS350" i="112"/>
  <c r="GS467" i="112"/>
  <c r="GS455" i="112"/>
  <c r="GS437" i="112"/>
  <c r="GS423" i="112"/>
  <c r="GS421" i="112"/>
  <c r="GS411" i="112"/>
  <c r="GS409" i="112"/>
  <c r="GS375" i="112"/>
  <c r="GS373" i="112"/>
  <c r="GS368" i="112"/>
  <c r="GS355" i="112"/>
  <c r="GS445" i="112"/>
  <c r="GS426" i="112"/>
  <c r="GS415" i="112"/>
  <c r="GS413" i="112"/>
  <c r="GS407" i="112"/>
  <c r="GS403" i="112"/>
  <c r="GS395" i="112"/>
  <c r="GS393" i="112"/>
  <c r="GS391" i="112"/>
  <c r="GS382" i="112"/>
  <c r="GS366" i="112"/>
  <c r="GS364" i="112"/>
  <c r="GS352" i="112"/>
  <c r="GS442" i="112"/>
  <c r="GS420" i="112"/>
  <c r="GS389" i="112"/>
  <c r="GS387" i="112"/>
  <c r="GS383" i="112"/>
  <c r="GS377" i="112"/>
  <c r="GS370" i="112"/>
  <c r="GS357" i="112"/>
  <c r="GN321" i="112"/>
  <c r="GK322" i="112"/>
  <c r="GS322" i="112"/>
  <c r="GM324" i="112"/>
  <c r="GI325" i="112"/>
  <c r="GR325" i="112"/>
  <c r="GN326" i="112"/>
  <c r="GQ327" i="112"/>
  <c r="GK328" i="112"/>
  <c r="GS328" i="112"/>
  <c r="GP329" i="112"/>
  <c r="GK330" i="112"/>
  <c r="GS330" i="112"/>
  <c r="GP331" i="112"/>
  <c r="GL332" i="112"/>
  <c r="GO337" i="112"/>
  <c r="GL338" i="112"/>
  <c r="GO339" i="112"/>
  <c r="GK340" i="112"/>
  <c r="GS340" i="112"/>
  <c r="GO341" i="112"/>
  <c r="GL342" i="112"/>
  <c r="GR343" i="112"/>
  <c r="GN344" i="112"/>
  <c r="GP345" i="112"/>
  <c r="GQ346" i="112"/>
  <c r="GP347" i="112"/>
  <c r="GQ348" i="112"/>
  <c r="GN349" i="112"/>
  <c r="GS353" i="112"/>
  <c r="GS354" i="112"/>
  <c r="GI359" i="112"/>
  <c r="GN364" i="112"/>
  <c r="GM365" i="112"/>
  <c r="GO366" i="112"/>
  <c r="GR367" i="112"/>
  <c r="GP368" i="112"/>
  <c r="GG374" i="112"/>
  <c r="GO377" i="112"/>
  <c r="GQ382" i="112"/>
  <c r="GR385" i="112"/>
  <c r="GQ390" i="112"/>
  <c r="GO397" i="112"/>
  <c r="GJ399" i="112"/>
  <c r="GR404" i="112"/>
  <c r="GQ406" i="112"/>
  <c r="GG408" i="112"/>
  <c r="GO413" i="112"/>
  <c r="GK415" i="112"/>
  <c r="GK428" i="112"/>
  <c r="GM442" i="112"/>
  <c r="GQ481" i="112"/>
  <c r="GS319" i="112"/>
  <c r="GL319" i="112"/>
  <c r="GL482" i="112"/>
  <c r="GL479" i="112"/>
  <c r="GL500" i="112"/>
  <c r="GL488" i="112"/>
  <c r="GL483" i="112"/>
  <c r="GL497" i="112"/>
  <c r="GL490" i="112"/>
  <c r="GL485" i="112"/>
  <c r="GL499" i="112"/>
  <c r="GL501" i="112"/>
  <c r="GL487" i="112"/>
  <c r="GL478" i="112"/>
  <c r="GL471" i="112"/>
  <c r="GL465" i="112"/>
  <c r="GL460" i="112"/>
  <c r="GL459" i="112"/>
  <c r="GL457" i="112"/>
  <c r="GL491" i="112"/>
  <c r="GL466" i="112"/>
  <c r="GL486" i="112"/>
  <c r="GL480" i="112"/>
  <c r="GL464" i="112"/>
  <c r="GL461" i="112"/>
  <c r="GL458" i="112"/>
  <c r="GL470" i="112"/>
  <c r="GL467" i="112"/>
  <c r="GL462" i="112"/>
  <c r="GL453" i="112"/>
  <c r="GL451" i="112"/>
  <c r="GL448" i="112"/>
  <c r="GL472" i="112"/>
  <c r="GL468" i="112"/>
  <c r="GL455" i="112"/>
  <c r="GL450" i="112"/>
  <c r="GL445" i="112"/>
  <c r="GL438" i="112"/>
  <c r="GL456" i="112"/>
  <c r="GL429" i="112"/>
  <c r="GL446" i="112"/>
  <c r="GL443" i="112"/>
  <c r="GL440" i="112"/>
  <c r="GL431" i="112"/>
  <c r="GL424" i="112"/>
  <c r="GL399" i="112"/>
  <c r="GL397" i="112"/>
  <c r="GL392" i="112"/>
  <c r="GL484" i="112"/>
  <c r="GL428" i="112"/>
  <c r="GL419" i="112"/>
  <c r="GL415" i="112"/>
  <c r="GL409" i="112"/>
  <c r="GL407" i="112"/>
  <c r="GL404" i="112"/>
  <c r="GL402" i="112"/>
  <c r="GL385" i="112"/>
  <c r="GL463" i="112"/>
  <c r="GL444" i="112"/>
  <c r="GL408" i="112"/>
  <c r="GL396" i="112"/>
  <c r="GL391" i="112"/>
  <c r="GL389" i="112"/>
  <c r="GL382" i="112"/>
  <c r="GL469" i="112"/>
  <c r="GL430" i="112"/>
  <c r="GL426" i="112"/>
  <c r="GL489" i="112"/>
  <c r="GL481" i="112"/>
  <c r="GL473" i="112"/>
  <c r="GL442" i="112"/>
  <c r="GL411" i="112"/>
  <c r="GL374" i="112"/>
  <c r="GL367" i="112"/>
  <c r="GL365" i="112"/>
  <c r="GL356" i="112"/>
  <c r="GL351" i="112"/>
  <c r="GL348" i="112"/>
  <c r="GL454" i="112"/>
  <c r="GL452" i="112"/>
  <c r="GL439" i="112"/>
  <c r="GL420" i="112"/>
  <c r="GL383" i="112"/>
  <c r="GL375" i="112"/>
  <c r="GL373" i="112"/>
  <c r="GL368" i="112"/>
  <c r="GL355" i="112"/>
  <c r="GL436" i="112"/>
  <c r="GL425" i="112"/>
  <c r="GL410" i="112"/>
  <c r="GL384" i="112"/>
  <c r="GL366" i="112"/>
  <c r="GL364" i="112"/>
  <c r="GL498" i="112"/>
  <c r="GL416" i="112"/>
  <c r="GL414" i="112"/>
  <c r="GL412" i="112"/>
  <c r="GL406" i="112"/>
  <c r="GL400" i="112"/>
  <c r="GL398" i="112"/>
  <c r="GL394" i="112"/>
  <c r="GL377" i="112"/>
  <c r="GL370" i="112"/>
  <c r="GL357" i="112"/>
  <c r="GL347" i="112"/>
  <c r="GL449" i="112"/>
  <c r="GL447" i="112"/>
  <c r="GL441" i="112"/>
  <c r="GL437" i="112"/>
  <c r="GL422" i="112"/>
  <c r="GL390" i="112"/>
  <c r="GL388" i="112"/>
  <c r="GL372" i="112"/>
  <c r="GL354" i="112"/>
  <c r="GL349" i="112"/>
  <c r="GO321" i="112"/>
  <c r="GL322" i="112"/>
  <c r="GQ323" i="112"/>
  <c r="GN324" i="112"/>
  <c r="GK325" i="112"/>
  <c r="GS325" i="112"/>
  <c r="GO326" i="112"/>
  <c r="GR327" i="112"/>
  <c r="GL328" i="112"/>
  <c r="GQ329" i="112"/>
  <c r="GL330" i="112"/>
  <c r="GQ331" i="112"/>
  <c r="GM332" i="112"/>
  <c r="GP337" i="112"/>
  <c r="GM338" i="112"/>
  <c r="GP339" i="112"/>
  <c r="GL340" i="112"/>
  <c r="GP341" i="112"/>
  <c r="GM342" i="112"/>
  <c r="GK343" i="112"/>
  <c r="GS343" i="112"/>
  <c r="GP344" i="112"/>
  <c r="GQ345" i="112"/>
  <c r="GS346" i="112"/>
  <c r="GR347" i="112"/>
  <c r="GR348" i="112"/>
  <c r="GP349" i="112"/>
  <c r="GL350" i="112"/>
  <c r="GL358" i="112"/>
  <c r="GL359" i="112"/>
  <c r="GO364" i="112"/>
  <c r="GR365" i="112"/>
  <c r="GQ366" i="112"/>
  <c r="GS367" i="112"/>
  <c r="GK374" i="112"/>
  <c r="GN376" i="112"/>
  <c r="GP377" i="112"/>
  <c r="GS385" i="112"/>
  <c r="GL387" i="112"/>
  <c r="GQ392" i="112"/>
  <c r="GN399" i="112"/>
  <c r="GL401" i="112"/>
  <c r="GK403" i="112"/>
  <c r="GR406" i="112"/>
  <c r="GQ408" i="112"/>
  <c r="GN415" i="112"/>
  <c r="GN419" i="112"/>
  <c r="GO429" i="112"/>
  <c r="GS443" i="112"/>
  <c r="GM319" i="112"/>
  <c r="GM498" i="112"/>
  <c r="GM491" i="112"/>
  <c r="GM489" i="112"/>
  <c r="GM484" i="112"/>
  <c r="GM497" i="112"/>
  <c r="GM490" i="112"/>
  <c r="GM485" i="112"/>
  <c r="GM499" i="112"/>
  <c r="GM501" i="112"/>
  <c r="GM487" i="112"/>
  <c r="GM488" i="112"/>
  <c r="GM479" i="112"/>
  <c r="GM466" i="112"/>
  <c r="GM486" i="112"/>
  <c r="GM480" i="112"/>
  <c r="GM464" i="112"/>
  <c r="GM461" i="112"/>
  <c r="GM481" i="112"/>
  <c r="GM473" i="112"/>
  <c r="GM470" i="112"/>
  <c r="GM458" i="112"/>
  <c r="GM467" i="112"/>
  <c r="GM462" i="112"/>
  <c r="GM453" i="112"/>
  <c r="GM451" i="112"/>
  <c r="GM472" i="112"/>
  <c r="GM468" i="112"/>
  <c r="GM455" i="112"/>
  <c r="GM456" i="112"/>
  <c r="GM500" i="112"/>
  <c r="GM483" i="112"/>
  <c r="GM446" i="112"/>
  <c r="GM443" i="112"/>
  <c r="GM440" i="112"/>
  <c r="GM431" i="112"/>
  <c r="GM469" i="112"/>
  <c r="GM460" i="112"/>
  <c r="GM459" i="112"/>
  <c r="GM457" i="112"/>
  <c r="GM447" i="112"/>
  <c r="GM428" i="112"/>
  <c r="GM419" i="112"/>
  <c r="GM415" i="112"/>
  <c r="GM409" i="112"/>
  <c r="GM407" i="112"/>
  <c r="GM404" i="112"/>
  <c r="GM402" i="112"/>
  <c r="GM482" i="112"/>
  <c r="GM427" i="112"/>
  <c r="GM423" i="112"/>
  <c r="GM421" i="112"/>
  <c r="GM414" i="112"/>
  <c r="GM411" i="112"/>
  <c r="GM394" i="112"/>
  <c r="GM387" i="112"/>
  <c r="GM471" i="112"/>
  <c r="GM465" i="112"/>
  <c r="GM430" i="112"/>
  <c r="GM429" i="112"/>
  <c r="GM426" i="112"/>
  <c r="GM416" i="112"/>
  <c r="GM413" i="112"/>
  <c r="GM410" i="112"/>
  <c r="GM403" i="112"/>
  <c r="GM398" i="112"/>
  <c r="GM393" i="112"/>
  <c r="GM386" i="112"/>
  <c r="GM454" i="112"/>
  <c r="GM452" i="112"/>
  <c r="GM450" i="112"/>
  <c r="GM439" i="112"/>
  <c r="GM420" i="112"/>
  <c r="GM463" i="112"/>
  <c r="GM401" i="112"/>
  <c r="GM399" i="112"/>
  <c r="GM395" i="112"/>
  <c r="GM376" i="112"/>
  <c r="GM371" i="112"/>
  <c r="GM369" i="112"/>
  <c r="GM353" i="112"/>
  <c r="GM448" i="112"/>
  <c r="GM436" i="112"/>
  <c r="GM425" i="112"/>
  <c r="GM384" i="112"/>
  <c r="GM366" i="112"/>
  <c r="GM364" i="112"/>
  <c r="GM352" i="112"/>
  <c r="GM444" i="112"/>
  <c r="GM412" i="112"/>
  <c r="GM408" i="112"/>
  <c r="GM406" i="112"/>
  <c r="GM400" i="112"/>
  <c r="GM377" i="112"/>
  <c r="GM370" i="112"/>
  <c r="GM357" i="112"/>
  <c r="GM478" i="112"/>
  <c r="GM449" i="112"/>
  <c r="GM441" i="112"/>
  <c r="GM437" i="112"/>
  <c r="GM422" i="112"/>
  <c r="GM396" i="112"/>
  <c r="GM392" i="112"/>
  <c r="GM390" i="112"/>
  <c r="GM388" i="112"/>
  <c r="GM372" i="112"/>
  <c r="GM354" i="112"/>
  <c r="GM349" i="112"/>
  <c r="GM424" i="112"/>
  <c r="GM385" i="112"/>
  <c r="GM359" i="112"/>
  <c r="GM322" i="112"/>
  <c r="GR323" i="112"/>
  <c r="GO324" i="112"/>
  <c r="GK327" i="112"/>
  <c r="GS327" i="112"/>
  <c r="GM328" i="112"/>
  <c r="GG329" i="112"/>
  <c r="GR329" i="112"/>
  <c r="GM330" i="112"/>
  <c r="GG331" i="112"/>
  <c r="GR331" i="112"/>
  <c r="GN332" i="112"/>
  <c r="GQ337" i="112"/>
  <c r="GN338" i="112"/>
  <c r="GQ339" i="112"/>
  <c r="GM340" i="112"/>
  <c r="GQ341" i="112"/>
  <c r="GN342" i="112"/>
  <c r="GL343" i="112"/>
  <c r="GQ344" i="112"/>
  <c r="GR345" i="112"/>
  <c r="GS347" i="112"/>
  <c r="GS348" i="112"/>
  <c r="GQ349" i="112"/>
  <c r="GM350" i="112"/>
  <c r="GK351" i="112"/>
  <c r="GI357" i="112"/>
  <c r="GM358" i="112"/>
  <c r="GQ359" i="112"/>
  <c r="GQ364" i="112"/>
  <c r="GS365" i="112"/>
  <c r="GM373" i="112"/>
  <c r="GM374" i="112"/>
  <c r="GS376" i="112"/>
  <c r="GR377" i="112"/>
  <c r="GO384" i="112"/>
  <c r="GO387" i="112"/>
  <c r="GM389" i="112"/>
  <c r="GR392" i="112"/>
  <c r="GQ394" i="112"/>
  <c r="GP401" i="112"/>
  <c r="GL403" i="112"/>
  <c r="GL405" i="112"/>
  <c r="GR408" i="112"/>
  <c r="GO410" i="112"/>
  <c r="GO419" i="112"/>
  <c r="GL423" i="112"/>
  <c r="GQ430" i="112"/>
  <c r="GM445" i="112"/>
  <c r="GF452" i="112"/>
  <c r="GF411" i="112"/>
  <c r="GN319" i="112"/>
  <c r="GN486" i="112"/>
  <c r="GN481" i="112"/>
  <c r="GN478" i="112"/>
  <c r="GN497" i="112"/>
  <c r="GN490" i="112"/>
  <c r="GN485" i="112"/>
  <c r="GN499" i="112"/>
  <c r="GN480" i="112"/>
  <c r="GN501" i="112"/>
  <c r="GN487" i="112"/>
  <c r="GN498" i="112"/>
  <c r="GN491" i="112"/>
  <c r="GN489" i="112"/>
  <c r="GN484" i="112"/>
  <c r="GN464" i="112"/>
  <c r="GN461" i="112"/>
  <c r="GN473" i="112"/>
  <c r="GN470" i="112"/>
  <c r="GN458" i="112"/>
  <c r="GN472" i="112"/>
  <c r="GN468" i="112"/>
  <c r="GN455" i="112"/>
  <c r="GN479" i="112"/>
  <c r="GN456" i="112"/>
  <c r="GN488" i="112"/>
  <c r="GN450" i="112"/>
  <c r="GN445" i="112"/>
  <c r="GN483" i="112"/>
  <c r="GN446" i="112"/>
  <c r="GN443" i="112"/>
  <c r="GN440" i="112"/>
  <c r="GN469" i="112"/>
  <c r="GN460" i="112"/>
  <c r="GN459" i="112"/>
  <c r="GN457" i="112"/>
  <c r="GN447" i="112"/>
  <c r="GN428" i="112"/>
  <c r="GN453" i="112"/>
  <c r="GN482" i="112"/>
  <c r="GN462" i="112"/>
  <c r="GN427" i="112"/>
  <c r="GN423" i="112"/>
  <c r="GN421" i="112"/>
  <c r="GN414" i="112"/>
  <c r="GN411" i="112"/>
  <c r="GN394" i="112"/>
  <c r="GN387" i="112"/>
  <c r="GN442" i="112"/>
  <c r="GN438" i="112"/>
  <c r="GN436" i="112"/>
  <c r="GN425" i="112"/>
  <c r="GN406" i="112"/>
  <c r="GN401" i="112"/>
  <c r="GN384" i="112"/>
  <c r="GN454" i="112"/>
  <c r="GN452" i="112"/>
  <c r="GN451" i="112"/>
  <c r="GN439" i="112"/>
  <c r="GN420" i="112"/>
  <c r="GN400" i="112"/>
  <c r="GN395" i="112"/>
  <c r="GN388" i="112"/>
  <c r="GN500" i="112"/>
  <c r="GN467" i="112"/>
  <c r="GN449" i="112"/>
  <c r="GN448" i="112"/>
  <c r="GN441" i="112"/>
  <c r="GN437" i="112"/>
  <c r="GN422" i="112"/>
  <c r="GN430" i="112"/>
  <c r="GN429" i="112"/>
  <c r="GN426" i="112"/>
  <c r="GN413" i="112"/>
  <c r="GN409" i="112"/>
  <c r="GN405" i="112"/>
  <c r="GN403" i="112"/>
  <c r="GN397" i="112"/>
  <c r="GN393" i="112"/>
  <c r="GN391" i="112"/>
  <c r="GN358" i="112"/>
  <c r="GN350" i="112"/>
  <c r="GN431" i="112"/>
  <c r="GN444" i="112"/>
  <c r="GN412" i="112"/>
  <c r="GN410" i="112"/>
  <c r="GN408" i="112"/>
  <c r="GN377" i="112"/>
  <c r="GN370" i="112"/>
  <c r="GN357" i="112"/>
  <c r="GN471" i="112"/>
  <c r="GN465" i="112"/>
  <c r="GN416" i="112"/>
  <c r="GN404" i="112"/>
  <c r="GN398" i="112"/>
  <c r="GN396" i="112"/>
  <c r="GN392" i="112"/>
  <c r="GN390" i="112"/>
  <c r="GN372" i="112"/>
  <c r="GN354" i="112"/>
  <c r="GN424" i="112"/>
  <c r="GN402" i="112"/>
  <c r="GN385" i="112"/>
  <c r="GN359" i="112"/>
  <c r="GN345" i="112"/>
  <c r="GN386" i="112"/>
  <c r="GN374" i="112"/>
  <c r="GN367" i="112"/>
  <c r="GN365" i="112"/>
  <c r="GN356" i="112"/>
  <c r="GN351" i="112"/>
  <c r="GN322" i="112"/>
  <c r="GN328" i="112"/>
  <c r="GN330" i="112"/>
  <c r="GO332" i="112"/>
  <c r="GO338" i="112"/>
  <c r="GG339" i="112"/>
  <c r="GN340" i="112"/>
  <c r="GO342" i="112"/>
  <c r="GG345" i="112"/>
  <c r="GG348" i="112"/>
  <c r="GO350" i="112"/>
  <c r="GO357" i="112"/>
  <c r="GO358" i="112"/>
  <c r="GN373" i="112"/>
  <c r="GG386" i="112"/>
  <c r="GQ387" i="112"/>
  <c r="GN389" i="112"/>
  <c r="GR431" i="112"/>
  <c r="GN463" i="112"/>
  <c r="GG319" i="112"/>
  <c r="GG491" i="112"/>
  <c r="GG484" i="112"/>
  <c r="GG481" i="112"/>
  <c r="GG485" i="112"/>
  <c r="GG458" i="112"/>
  <c r="GG466" i="112"/>
  <c r="GG452" i="112"/>
  <c r="GG445" i="112"/>
  <c r="GG438" i="112"/>
  <c r="GG388" i="112"/>
  <c r="GG422" i="112"/>
  <c r="GG383" i="112"/>
  <c r="GG427" i="112"/>
  <c r="GG453" i="112"/>
  <c r="GG372" i="112"/>
  <c r="GG354" i="112"/>
  <c r="GG460" i="112"/>
  <c r="GG423" i="112"/>
  <c r="GG426" i="112"/>
  <c r="GG403" i="112"/>
  <c r="GG365" i="112"/>
  <c r="GG419" i="112"/>
  <c r="GG382" i="112"/>
  <c r="GG455" i="112"/>
  <c r="GG346" i="112"/>
  <c r="GG368" i="112"/>
  <c r="GG366" i="112"/>
  <c r="GO319" i="112"/>
  <c r="GO500" i="112"/>
  <c r="GO488" i="112"/>
  <c r="GO499" i="112"/>
  <c r="GO501" i="112"/>
  <c r="GO487" i="112"/>
  <c r="GO498" i="112"/>
  <c r="GO491" i="112"/>
  <c r="GO489" i="112"/>
  <c r="GO484" i="112"/>
  <c r="GO486" i="112"/>
  <c r="GO480" i="112"/>
  <c r="GO473" i="112"/>
  <c r="GO470" i="112"/>
  <c r="GO458" i="112"/>
  <c r="GO481" i="112"/>
  <c r="GO472" i="112"/>
  <c r="GO467" i="112"/>
  <c r="GO463" i="112"/>
  <c r="GO479" i="112"/>
  <c r="GO464" i="112"/>
  <c r="GO456" i="112"/>
  <c r="GO450" i="112"/>
  <c r="GO445" i="112"/>
  <c r="GO478" i="112"/>
  <c r="GO460" i="112"/>
  <c r="GO454" i="112"/>
  <c r="GO452" i="112"/>
  <c r="GO447" i="112"/>
  <c r="GO469" i="112"/>
  <c r="GO468" i="112"/>
  <c r="GO459" i="112"/>
  <c r="GO457" i="112"/>
  <c r="GO490" i="112"/>
  <c r="GO455" i="112"/>
  <c r="GO453" i="112"/>
  <c r="GO485" i="112"/>
  <c r="GO471" i="112"/>
  <c r="GO461" i="112"/>
  <c r="GO451" i="112"/>
  <c r="GO448" i="112"/>
  <c r="GO442" i="112"/>
  <c r="GO439" i="112"/>
  <c r="GO437" i="112"/>
  <c r="GO430" i="112"/>
  <c r="GO497" i="112"/>
  <c r="GO446" i="112"/>
  <c r="GO438" i="112"/>
  <c r="GO436" i="112"/>
  <c r="GO428" i="112"/>
  <c r="GO425" i="112"/>
  <c r="GO406" i="112"/>
  <c r="GO401" i="112"/>
  <c r="GO466" i="112"/>
  <c r="GO444" i="112"/>
  <c r="GO440" i="112"/>
  <c r="GO408" i="112"/>
  <c r="GO396" i="112"/>
  <c r="GO391" i="112"/>
  <c r="GO389" i="112"/>
  <c r="GO382" i="112"/>
  <c r="GO483" i="112"/>
  <c r="GO449" i="112"/>
  <c r="GO441" i="112"/>
  <c r="GO422" i="112"/>
  <c r="GO412" i="112"/>
  <c r="GO405" i="112"/>
  <c r="GO390" i="112"/>
  <c r="GO383" i="112"/>
  <c r="GO431" i="112"/>
  <c r="GO424" i="112"/>
  <c r="GO420" i="112"/>
  <c r="GO415" i="112"/>
  <c r="GO407" i="112"/>
  <c r="GO375" i="112"/>
  <c r="GO373" i="112"/>
  <c r="GO368" i="112"/>
  <c r="GO355" i="112"/>
  <c r="GO346" i="112"/>
  <c r="GO344" i="112"/>
  <c r="GO443" i="112"/>
  <c r="GO462" i="112"/>
  <c r="GO465" i="112"/>
  <c r="GO416" i="112"/>
  <c r="GO404" i="112"/>
  <c r="GO400" i="112"/>
  <c r="GO398" i="112"/>
  <c r="GO392" i="112"/>
  <c r="GO372" i="112"/>
  <c r="GO354" i="112"/>
  <c r="GO349" i="112"/>
  <c r="GO414" i="112"/>
  <c r="GO402" i="112"/>
  <c r="GO394" i="112"/>
  <c r="GO388" i="112"/>
  <c r="GO385" i="112"/>
  <c r="GO359" i="112"/>
  <c r="GO386" i="112"/>
  <c r="GO374" i="112"/>
  <c r="GO367" i="112"/>
  <c r="GO365" i="112"/>
  <c r="GO356" i="112"/>
  <c r="GO351" i="112"/>
  <c r="GO348" i="112"/>
  <c r="GO482" i="112"/>
  <c r="GO427" i="112"/>
  <c r="GO423" i="112"/>
  <c r="GO421" i="112"/>
  <c r="GO399" i="112"/>
  <c r="GO376" i="112"/>
  <c r="GO371" i="112"/>
  <c r="GO369" i="112"/>
  <c r="GO353" i="112"/>
  <c r="GO322" i="112"/>
  <c r="GN325" i="112"/>
  <c r="GO328" i="112"/>
  <c r="GO330" i="112"/>
  <c r="GO340" i="112"/>
  <c r="GN343" i="112"/>
  <c r="GI345" i="112"/>
  <c r="GI386" i="112"/>
  <c r="GN407" i="112"/>
  <c r="GQ412" i="112"/>
  <c r="GQ414" i="112"/>
  <c r="GN466" i="112"/>
  <c r="GJ319" i="112"/>
  <c r="GJ320" i="112"/>
  <c r="GH486" i="112"/>
  <c r="GH371" i="112"/>
  <c r="GP320" i="112"/>
  <c r="GP483" i="112"/>
  <c r="GP501" i="112"/>
  <c r="GP487" i="112"/>
  <c r="GP482" i="112"/>
  <c r="GP498" i="112"/>
  <c r="GP491" i="112"/>
  <c r="GP489" i="112"/>
  <c r="GP484" i="112"/>
  <c r="GP486" i="112"/>
  <c r="GP500" i="112"/>
  <c r="GP488" i="112"/>
  <c r="GP481" i="112"/>
  <c r="GP472" i="112"/>
  <c r="GP467" i="112"/>
  <c r="GP463" i="112"/>
  <c r="GP499" i="112"/>
  <c r="GP469" i="112"/>
  <c r="GP470" i="112"/>
  <c r="GP478" i="112"/>
  <c r="GP460" i="112"/>
  <c r="GP454" i="112"/>
  <c r="GP452" i="112"/>
  <c r="GP447" i="112"/>
  <c r="GP485" i="112"/>
  <c r="GP461" i="112"/>
  <c r="GP459" i="112"/>
  <c r="GP490" i="112"/>
  <c r="GP456" i="112"/>
  <c r="GP455" i="112"/>
  <c r="GP453" i="112"/>
  <c r="GP471" i="112"/>
  <c r="GP458" i="112"/>
  <c r="GP451" i="112"/>
  <c r="GP448" i="112"/>
  <c r="GP442" i="112"/>
  <c r="GP439" i="112"/>
  <c r="GP437" i="112"/>
  <c r="GP430" i="112"/>
  <c r="GP480" i="112"/>
  <c r="GP462" i="112"/>
  <c r="GP466" i="112"/>
  <c r="GP444" i="112"/>
  <c r="GP440" i="112"/>
  <c r="GP408" i="112"/>
  <c r="GP396" i="112"/>
  <c r="GP391" i="112"/>
  <c r="GP389" i="112"/>
  <c r="GP465" i="112"/>
  <c r="GP457" i="112"/>
  <c r="GP445" i="112"/>
  <c r="GP429" i="112"/>
  <c r="GP426" i="112"/>
  <c r="GP416" i="112"/>
  <c r="GP413" i="112"/>
  <c r="GP410" i="112"/>
  <c r="GP403" i="112"/>
  <c r="GP398" i="112"/>
  <c r="GP393" i="112"/>
  <c r="GP386" i="112"/>
  <c r="GP450" i="112"/>
  <c r="GP431" i="112"/>
  <c r="GP424" i="112"/>
  <c r="GP399" i="112"/>
  <c r="GP397" i="112"/>
  <c r="GP392" i="112"/>
  <c r="GP443" i="112"/>
  <c r="GP419" i="112"/>
  <c r="GP468" i="112"/>
  <c r="GP387" i="112"/>
  <c r="GP383" i="112"/>
  <c r="GP382" i="112"/>
  <c r="GP366" i="112"/>
  <c r="GP364" i="112"/>
  <c r="GP352" i="112"/>
  <c r="GP446" i="112"/>
  <c r="GP436" i="112"/>
  <c r="GP425" i="112"/>
  <c r="GP414" i="112"/>
  <c r="GP406" i="112"/>
  <c r="GP402" i="112"/>
  <c r="GP394" i="112"/>
  <c r="GP390" i="112"/>
  <c r="GP388" i="112"/>
  <c r="GP385" i="112"/>
  <c r="GP359" i="112"/>
  <c r="GP479" i="112"/>
  <c r="GP449" i="112"/>
  <c r="GP441" i="112"/>
  <c r="GP422" i="112"/>
  <c r="GP374" i="112"/>
  <c r="GP367" i="112"/>
  <c r="GP365" i="112"/>
  <c r="GP356" i="112"/>
  <c r="GP427" i="112"/>
  <c r="GP423" i="112"/>
  <c r="GP421" i="112"/>
  <c r="GP376" i="112"/>
  <c r="GP371" i="112"/>
  <c r="GP369" i="112"/>
  <c r="GP353" i="112"/>
  <c r="GP497" i="112"/>
  <c r="GP464" i="112"/>
  <c r="GP438" i="112"/>
  <c r="GP428" i="112"/>
  <c r="GP411" i="112"/>
  <c r="GP409" i="112"/>
  <c r="GP395" i="112"/>
  <c r="GP358" i="112"/>
  <c r="GP350" i="112"/>
  <c r="GK321" i="112"/>
  <c r="GS321" i="112"/>
  <c r="GP322" i="112"/>
  <c r="GM323" i="112"/>
  <c r="GJ324" i="112"/>
  <c r="GR324" i="112"/>
  <c r="GO325" i="112"/>
  <c r="GK326" i="112"/>
  <c r="GS326" i="112"/>
  <c r="GN327" i="112"/>
  <c r="GP328" i="112"/>
  <c r="GM329" i="112"/>
  <c r="GP330" i="112"/>
  <c r="GM331" i="112"/>
  <c r="GQ332" i="112"/>
  <c r="GL337" i="112"/>
  <c r="GQ338" i="112"/>
  <c r="GL339" i="112"/>
  <c r="GP340" i="112"/>
  <c r="GL341" i="112"/>
  <c r="GQ342" i="112"/>
  <c r="GO343" i="112"/>
  <c r="GK344" i="112"/>
  <c r="GL345" i="112"/>
  <c r="GM346" i="112"/>
  <c r="GM347" i="112"/>
  <c r="GM348" i="112"/>
  <c r="GR351" i="112"/>
  <c r="GN352" i="112"/>
  <c r="GK353" i="112"/>
  <c r="GK354" i="112"/>
  <c r="GN355" i="112"/>
  <c r="GR356" i="112"/>
  <c r="GR357" i="112"/>
  <c r="GL369" i="112"/>
  <c r="GO370" i="112"/>
  <c r="GN371" i="112"/>
  <c r="GQ372" i="112"/>
  <c r="GN383" i="112"/>
  <c r="GL386" i="112"/>
  <c r="GQ391" i="112"/>
  <c r="GL393" i="112"/>
  <c r="GK395" i="112"/>
  <c r="GS398" i="112"/>
  <c r="GP400" i="112"/>
  <c r="GP407" i="112"/>
  <c r="GK409" i="112"/>
  <c r="GS414" i="112"/>
  <c r="GG416" i="112"/>
  <c r="GL421" i="112"/>
  <c r="GM438" i="112"/>
  <c r="GR450" i="112"/>
  <c r="GF319" i="112"/>
  <c r="GF375" i="112"/>
  <c r="GF500" i="112"/>
  <c r="GF373" i="112"/>
  <c r="GF386" i="112"/>
  <c r="GF436" i="112"/>
  <c r="GF395" i="112"/>
  <c r="GE345" i="112"/>
  <c r="GF331" i="112"/>
  <c r="GF368" i="112"/>
  <c r="GF404" i="112"/>
  <c r="GF444" i="112"/>
  <c r="GF348" i="112"/>
  <c r="GF388" i="112"/>
  <c r="GF393" i="112"/>
  <c r="GI320" i="112"/>
  <c r="GI500" i="112"/>
  <c r="GI485" i="112"/>
  <c r="GI447" i="112"/>
  <c r="GI414" i="112"/>
  <c r="GI407" i="112"/>
  <c r="GI405" i="112"/>
  <c r="GI397" i="112"/>
  <c r="GI387" i="112"/>
  <c r="GI370" i="112"/>
  <c r="GI366" i="112"/>
  <c r="GI352" i="112"/>
  <c r="GI348" i="112"/>
  <c r="GI343" i="112"/>
  <c r="GI319" i="112"/>
  <c r="GI466" i="112"/>
  <c r="GI458" i="112"/>
  <c r="GI455" i="112"/>
  <c r="GI452" i="112"/>
  <c r="GI445" i="112"/>
  <c r="GI323" i="112"/>
  <c r="GI342" i="112"/>
  <c r="GI354" i="112"/>
  <c r="GI356" i="112"/>
  <c r="GI367" i="112"/>
  <c r="GH370" i="112"/>
  <c r="GI388" i="112"/>
  <c r="GI403" i="112"/>
  <c r="GF416" i="112"/>
  <c r="GI451" i="112"/>
  <c r="GI468" i="112"/>
  <c r="GF481" i="112"/>
  <c r="GJ422" i="112"/>
  <c r="GJ355" i="112"/>
  <c r="GF337" i="112"/>
  <c r="GJ358" i="112"/>
  <c r="GJ370" i="112"/>
  <c r="GI390" i="112"/>
  <c r="GJ451" i="112"/>
  <c r="GI479" i="112"/>
  <c r="GI487" i="112"/>
  <c r="GJ337" i="112"/>
  <c r="GI364" i="112"/>
  <c r="GF366" i="112"/>
  <c r="GI369" i="112"/>
  <c r="GI372" i="112"/>
  <c r="GI374" i="112"/>
  <c r="GI383" i="112"/>
  <c r="GI385" i="112"/>
  <c r="GJ392" i="112"/>
  <c r="GF409" i="112"/>
  <c r="GI416" i="112"/>
  <c r="GI429" i="112"/>
  <c r="GI443" i="112"/>
  <c r="GI453" i="112"/>
  <c r="GF465" i="112"/>
  <c r="GF469" i="112"/>
  <c r="GI324" i="112"/>
  <c r="GJ332" i="112"/>
  <c r="GJ343" i="112"/>
  <c r="GF353" i="112"/>
  <c r="GF355" i="112"/>
  <c r="GJ369" i="112"/>
  <c r="GI389" i="112"/>
  <c r="GI396" i="112"/>
  <c r="GI398" i="112"/>
  <c r="GF402" i="112"/>
  <c r="GI409" i="112"/>
  <c r="GI413" i="112"/>
  <c r="GF424" i="112"/>
  <c r="GJ427" i="112"/>
  <c r="GI439" i="112"/>
  <c r="GF459" i="112"/>
  <c r="GI465" i="112"/>
  <c r="GI469" i="112"/>
  <c r="GI473" i="112"/>
  <c r="GF498" i="112"/>
  <c r="GG369" i="112"/>
  <c r="GG392" i="112"/>
  <c r="GG399" i="112"/>
  <c r="GG412" i="112"/>
  <c r="GG470" i="112"/>
  <c r="GG478" i="112"/>
  <c r="GJ395" i="112"/>
  <c r="GJ364" i="112"/>
  <c r="GJ376" i="112"/>
  <c r="GJ394" i="112"/>
  <c r="GJ444" i="112"/>
  <c r="GJ465" i="112"/>
  <c r="GJ483" i="112"/>
  <c r="GJ326" i="112"/>
  <c r="GJ372" i="112"/>
  <c r="GJ407" i="112"/>
  <c r="GJ414" i="112"/>
  <c r="GJ486" i="112"/>
  <c r="GJ323" i="112"/>
  <c r="GJ342" i="112"/>
  <c r="GJ350" i="112"/>
  <c r="GJ359" i="112"/>
  <c r="GJ375" i="112"/>
  <c r="GJ390" i="112"/>
  <c r="GJ411" i="112"/>
  <c r="GJ428" i="112"/>
  <c r="GJ440" i="112"/>
  <c r="GJ453" i="112"/>
  <c r="GJ462" i="112"/>
  <c r="GJ470" i="112"/>
  <c r="GJ482" i="112"/>
  <c r="GJ327" i="112"/>
  <c r="GJ384" i="112"/>
  <c r="GJ405" i="112"/>
  <c r="GJ450" i="112"/>
  <c r="GJ339" i="112"/>
  <c r="GJ400" i="112"/>
  <c r="GJ443" i="112"/>
  <c r="GJ338" i="112"/>
  <c r="GJ345" i="112"/>
  <c r="GJ356" i="112"/>
  <c r="GJ371" i="112"/>
  <c r="GJ386" i="112"/>
  <c r="GJ389" i="112"/>
  <c r="GJ410" i="112"/>
  <c r="GJ420" i="112"/>
  <c r="GJ424" i="112"/>
  <c r="GJ460" i="112"/>
  <c r="GJ479" i="112"/>
  <c r="GJ351" i="112"/>
  <c r="GJ391" i="112"/>
  <c r="GJ412" i="112"/>
  <c r="GJ459" i="112"/>
  <c r="GJ471" i="112"/>
  <c r="GJ478" i="112"/>
  <c r="GJ487" i="112"/>
  <c r="GJ490" i="112"/>
  <c r="GJ431" i="112"/>
  <c r="GJ447" i="112"/>
  <c r="GJ456" i="112"/>
  <c r="GJ367" i="112"/>
  <c r="GJ421" i="112"/>
  <c r="GJ497" i="112"/>
  <c r="GJ501" i="112"/>
  <c r="GJ322" i="112"/>
  <c r="GJ349" i="112"/>
  <c r="GJ385" i="112"/>
  <c r="GJ396" i="112"/>
  <c r="GJ406" i="112"/>
  <c r="GJ442" i="112"/>
  <c r="GJ452" i="112"/>
  <c r="GJ466" i="112"/>
  <c r="GJ468" i="112"/>
  <c r="GJ488" i="112"/>
  <c r="GJ491" i="112"/>
  <c r="GJ321" i="112"/>
  <c r="GJ347" i="112"/>
  <c r="GJ354" i="112"/>
  <c r="GJ368" i="112"/>
  <c r="GJ374" i="112"/>
  <c r="GJ383" i="112"/>
  <c r="GJ398" i="112"/>
  <c r="GJ403" i="112"/>
  <c r="GJ404" i="112"/>
  <c r="GJ419" i="112"/>
  <c r="GJ430" i="112"/>
  <c r="GJ438" i="112"/>
  <c r="GJ446" i="112"/>
  <c r="GJ458" i="112"/>
  <c r="GJ464" i="112"/>
  <c r="GJ467" i="112"/>
  <c r="GJ473" i="112"/>
  <c r="GJ480" i="112"/>
  <c r="GJ489" i="112"/>
  <c r="GJ325" i="112"/>
  <c r="GJ330" i="112"/>
  <c r="GJ331" i="112"/>
  <c r="GJ346" i="112"/>
  <c r="GJ366" i="112"/>
  <c r="GJ382" i="112"/>
  <c r="GJ393" i="112"/>
  <c r="GJ402" i="112"/>
  <c r="GJ409" i="112"/>
  <c r="GJ415" i="112"/>
  <c r="GJ425" i="112"/>
  <c r="GJ426" i="112"/>
  <c r="GJ437" i="112"/>
  <c r="GJ441" i="112"/>
  <c r="GJ449" i="112"/>
  <c r="GJ455" i="112"/>
  <c r="GJ457" i="112"/>
  <c r="GJ472" i="112"/>
  <c r="GJ485" i="112"/>
  <c r="GJ499" i="112"/>
  <c r="GJ500" i="112"/>
  <c r="GJ329" i="112"/>
  <c r="GJ340" i="112"/>
  <c r="GJ341" i="112"/>
  <c r="GJ344" i="112"/>
  <c r="GJ348" i="112"/>
  <c r="GJ352" i="112"/>
  <c r="GJ353" i="112"/>
  <c r="GJ357" i="112"/>
  <c r="GJ365" i="112"/>
  <c r="GJ373" i="112"/>
  <c r="GJ387" i="112"/>
  <c r="GJ388" i="112"/>
  <c r="GJ397" i="112"/>
  <c r="GJ401" i="112"/>
  <c r="GJ408" i="112"/>
  <c r="GJ413" i="112"/>
  <c r="GJ416" i="112"/>
  <c r="GJ429" i="112"/>
  <c r="GJ445" i="112"/>
  <c r="GJ454" i="112"/>
  <c r="GJ463" i="112"/>
  <c r="GJ484" i="112"/>
  <c r="GJ498" i="112"/>
  <c r="GI321" i="112"/>
  <c r="GI322" i="112"/>
  <c r="GI351" i="112"/>
  <c r="GI382" i="112"/>
  <c r="GI394" i="112"/>
  <c r="GI395" i="112"/>
  <c r="GI401" i="112"/>
  <c r="GI402" i="112"/>
  <c r="GI422" i="112"/>
  <c r="GI437" i="112"/>
  <c r="GI438" i="112"/>
  <c r="GI457" i="112"/>
  <c r="GI463" i="112"/>
  <c r="GI472" i="112"/>
  <c r="GI482" i="112"/>
  <c r="GI483" i="112"/>
  <c r="GI484" i="112"/>
  <c r="GI497" i="112"/>
  <c r="GI498" i="112"/>
  <c r="GI329" i="112"/>
  <c r="GI330" i="112"/>
  <c r="GI332" i="112"/>
  <c r="GI338" i="112"/>
  <c r="GI339" i="112"/>
  <c r="GI350" i="112"/>
  <c r="GI358" i="112"/>
  <c r="GI377" i="112"/>
  <c r="GI393" i="112"/>
  <c r="GI400" i="112"/>
  <c r="GI412" i="112"/>
  <c r="GI421" i="112"/>
  <c r="GI425" i="112"/>
  <c r="GI427" i="112"/>
  <c r="GI436" i="112"/>
  <c r="GI442" i="112"/>
  <c r="GI449" i="112"/>
  <c r="GI462" i="112"/>
  <c r="GI467" i="112"/>
  <c r="GI471" i="112"/>
  <c r="GI491" i="112"/>
  <c r="GI327" i="112"/>
  <c r="GI328" i="112"/>
  <c r="GI331" i="112"/>
  <c r="GI337" i="112"/>
  <c r="GI344" i="112"/>
  <c r="GI346" i="112"/>
  <c r="GI347" i="112"/>
  <c r="GI349" i="112"/>
  <c r="GI376" i="112"/>
  <c r="GI391" i="112"/>
  <c r="GI392" i="112"/>
  <c r="GI410" i="112"/>
  <c r="GI411" i="112"/>
  <c r="GI415" i="112"/>
  <c r="GI419" i="112"/>
  <c r="GI420" i="112"/>
  <c r="GI424" i="112"/>
  <c r="GI426" i="112"/>
  <c r="GI431" i="112"/>
  <c r="GI456" i="112"/>
  <c r="GI461" i="112"/>
  <c r="GI470" i="112"/>
  <c r="GI480" i="112"/>
  <c r="GI481" i="112"/>
  <c r="GI489" i="112"/>
  <c r="GI490" i="112"/>
  <c r="GH498" i="112"/>
  <c r="GH400" i="112"/>
  <c r="GH341" i="112"/>
  <c r="GH401" i="112"/>
  <c r="GH369" i="112"/>
  <c r="GH452" i="112"/>
  <c r="GH453" i="112"/>
  <c r="GH443" i="112"/>
  <c r="GH458" i="112"/>
  <c r="GH459" i="112"/>
  <c r="GH352" i="112"/>
  <c r="GH442" i="112"/>
  <c r="GH444" i="112"/>
  <c r="GH445" i="112"/>
  <c r="GH467" i="112"/>
  <c r="GH331" i="112"/>
  <c r="GH332" i="112"/>
  <c r="GH388" i="112"/>
  <c r="GH389" i="112"/>
  <c r="GH392" i="112"/>
  <c r="GH393" i="112"/>
  <c r="GH394" i="112"/>
  <c r="GH441" i="112"/>
  <c r="GH465" i="112"/>
  <c r="GH466" i="112"/>
  <c r="GH347" i="112"/>
  <c r="GH365" i="112"/>
  <c r="GH431" i="112"/>
  <c r="GH436" i="112"/>
  <c r="GH321" i="112"/>
  <c r="GH366" i="112"/>
  <c r="GH408" i="112"/>
  <c r="GH428" i="112"/>
  <c r="GH480" i="112"/>
  <c r="GH320" i="112"/>
  <c r="GH490" i="112"/>
  <c r="GH483" i="112"/>
  <c r="GH470" i="112"/>
  <c r="GH464" i="112"/>
  <c r="GH463" i="112"/>
  <c r="GH457" i="112"/>
  <c r="GH456" i="112"/>
  <c r="GH451" i="112"/>
  <c r="GH440" i="112"/>
  <c r="GH439" i="112"/>
  <c r="GH438" i="112"/>
  <c r="GH419" i="112"/>
  <c r="GH411" i="112"/>
  <c r="GH405" i="112"/>
  <c r="GH398" i="112"/>
  <c r="GH391" i="112"/>
  <c r="GH374" i="112"/>
  <c r="GH368" i="112"/>
  <c r="GH364" i="112"/>
  <c r="GH351" i="112"/>
  <c r="GH346" i="112"/>
  <c r="GH325" i="112"/>
  <c r="GH319" i="112"/>
  <c r="GH488" i="112"/>
  <c r="GH481" i="112"/>
  <c r="GH395" i="112"/>
  <c r="GH384" i="112"/>
  <c r="GH348" i="112"/>
  <c r="GH337" i="112"/>
  <c r="GH487" i="112"/>
  <c r="GH403" i="112"/>
  <c r="GH501" i="112"/>
  <c r="GH500" i="112"/>
  <c r="GH469" i="112"/>
  <c r="GH462" i="112"/>
  <c r="GH455" i="112"/>
  <c r="GH450" i="112"/>
  <c r="GH449" i="112"/>
  <c r="GH448" i="112"/>
  <c r="GH425" i="112"/>
  <c r="GH416" i="112"/>
  <c r="GH404" i="112"/>
  <c r="GH397" i="112"/>
  <c r="GH390" i="112"/>
  <c r="GH385" i="112"/>
  <c r="GH373" i="112"/>
  <c r="GH359" i="112"/>
  <c r="GH358" i="112"/>
  <c r="GH357" i="112"/>
  <c r="GH350" i="112"/>
  <c r="GH345" i="112"/>
  <c r="GH338" i="112"/>
  <c r="GH330" i="112"/>
  <c r="GH324" i="112"/>
  <c r="GH323" i="112"/>
  <c r="GH489" i="112"/>
  <c r="GH482" i="112"/>
  <c r="GH461" i="112"/>
  <c r="GH447" i="112"/>
  <c r="GH437" i="112"/>
  <c r="GH424" i="112"/>
  <c r="GH410" i="112"/>
  <c r="GH396" i="112"/>
  <c r="GH372" i="112"/>
  <c r="GH356" i="112"/>
  <c r="GH349" i="112"/>
  <c r="GH322" i="112"/>
  <c r="GH499" i="112"/>
  <c r="GH468" i="112"/>
  <c r="GH460" i="112"/>
  <c r="GH454" i="112"/>
  <c r="GH446" i="112"/>
  <c r="GH423" i="112"/>
  <c r="GH409" i="112"/>
  <c r="GH375" i="112"/>
  <c r="GH376" i="112"/>
  <c r="GH377" i="112"/>
  <c r="GH382" i="112"/>
  <c r="GH383" i="112"/>
  <c r="GH402" i="112"/>
  <c r="GH406" i="112"/>
  <c r="GH414" i="112"/>
  <c r="GH415" i="112"/>
  <c r="GH429" i="112"/>
  <c r="GH326" i="112"/>
  <c r="GH327" i="112"/>
  <c r="GH343" i="112"/>
  <c r="GH344" i="112"/>
  <c r="GH387" i="112"/>
  <c r="GH412" i="112"/>
  <c r="GH426" i="112"/>
  <c r="GH427" i="112"/>
  <c r="GH479" i="112"/>
  <c r="GH484" i="112"/>
  <c r="GH485" i="112"/>
  <c r="GH353" i="112"/>
  <c r="GH354" i="112"/>
  <c r="GH355" i="112"/>
  <c r="GH399" i="112"/>
  <c r="GH407" i="112"/>
  <c r="GH430" i="112"/>
  <c r="GH367" i="112"/>
  <c r="GH413" i="112"/>
  <c r="GH328" i="112"/>
  <c r="GH329" i="112"/>
  <c r="GH339" i="112"/>
  <c r="GH340" i="112"/>
  <c r="GH342" i="112"/>
  <c r="GH386" i="112"/>
  <c r="GH420" i="112"/>
  <c r="GH421" i="112"/>
  <c r="GH422" i="112"/>
  <c r="GH471" i="112"/>
  <c r="GH472" i="112"/>
  <c r="GH473" i="112"/>
  <c r="GH478" i="112"/>
  <c r="GH491" i="112"/>
  <c r="GH497" i="112"/>
  <c r="GG325" i="112"/>
  <c r="GG341" i="112"/>
  <c r="GG351" i="112"/>
  <c r="GG389" i="112"/>
  <c r="GG405" i="112"/>
  <c r="GG424" i="112"/>
  <c r="GG430" i="112"/>
  <c r="GG441" i="112"/>
  <c r="GG482" i="112"/>
  <c r="GG342" i="112"/>
  <c r="GG357" i="112"/>
  <c r="GG371" i="112"/>
  <c r="GG375" i="112"/>
  <c r="GG431" i="112"/>
  <c r="GG442" i="112"/>
  <c r="GG448" i="112"/>
  <c r="GG459" i="112"/>
  <c r="GG463" i="112"/>
  <c r="GG468" i="112"/>
  <c r="GG488" i="112"/>
  <c r="GG326" i="112"/>
  <c r="GG338" i="112"/>
  <c r="GG358" i="112"/>
  <c r="GG395" i="112"/>
  <c r="GG402" i="112"/>
  <c r="GG411" i="112"/>
  <c r="GG421" i="112"/>
  <c r="GG449" i="112"/>
  <c r="GG464" i="112"/>
  <c r="GG473" i="112"/>
  <c r="GG499" i="112"/>
  <c r="GG343" i="112"/>
  <c r="GG396" i="112"/>
  <c r="GG406" i="112"/>
  <c r="GG446" i="112"/>
  <c r="GG456" i="112"/>
  <c r="GG497" i="112"/>
  <c r="GG327" i="112"/>
  <c r="GG330" i="112"/>
  <c r="GG340" i="112"/>
  <c r="GG367" i="112"/>
  <c r="GG376" i="112"/>
  <c r="GG384" i="112"/>
  <c r="GG390" i="112"/>
  <c r="GG393" i="112"/>
  <c r="GG413" i="112"/>
  <c r="GG425" i="112"/>
  <c r="GG436" i="112"/>
  <c r="GG465" i="112"/>
  <c r="GG500" i="112"/>
  <c r="GG352" i="112"/>
  <c r="GG359" i="112"/>
  <c r="GG467" i="112"/>
  <c r="GG324" i="112"/>
  <c r="GG337" i="112"/>
  <c r="GG344" i="112"/>
  <c r="GG347" i="112"/>
  <c r="GG356" i="112"/>
  <c r="GG364" i="112"/>
  <c r="GG370" i="112"/>
  <c r="GG373" i="112"/>
  <c r="GG397" i="112"/>
  <c r="GG401" i="112"/>
  <c r="GG407" i="112"/>
  <c r="GG410" i="112"/>
  <c r="GG415" i="112"/>
  <c r="GG420" i="112"/>
  <c r="GG429" i="112"/>
  <c r="GG440" i="112"/>
  <c r="GG447" i="112"/>
  <c r="GG451" i="112"/>
  <c r="GG454" i="112"/>
  <c r="GG457" i="112"/>
  <c r="GG462" i="112"/>
  <c r="GG472" i="112"/>
  <c r="GG480" i="112"/>
  <c r="GG483" i="112"/>
  <c r="GG323" i="112"/>
  <c r="GG349" i="112"/>
  <c r="GG355" i="112"/>
  <c r="GG387" i="112"/>
  <c r="GG400" i="112"/>
  <c r="GG409" i="112"/>
  <c r="GG428" i="112"/>
  <c r="GG439" i="112"/>
  <c r="GG443" i="112"/>
  <c r="GG450" i="112"/>
  <c r="GG461" i="112"/>
  <c r="GG471" i="112"/>
  <c r="GG479" i="112"/>
  <c r="GG486" i="112"/>
  <c r="GG489" i="112"/>
  <c r="GG320" i="112"/>
  <c r="GG321" i="112"/>
  <c r="GG350" i="112"/>
  <c r="GG353" i="112"/>
  <c r="GG377" i="112"/>
  <c r="GG385" i="112"/>
  <c r="GG391" i="112"/>
  <c r="GG394" i="112"/>
  <c r="GG404" i="112"/>
  <c r="GG414" i="112"/>
  <c r="GG437" i="112"/>
  <c r="GG444" i="112"/>
  <c r="GG469" i="112"/>
  <c r="GG487" i="112"/>
  <c r="GG490" i="112"/>
  <c r="GG498" i="112"/>
  <c r="GG501" i="112"/>
  <c r="GF407" i="112"/>
  <c r="GF349" i="112"/>
  <c r="GF358" i="112"/>
  <c r="GF369" i="112"/>
  <c r="GF382" i="112"/>
  <c r="GF389" i="112"/>
  <c r="GF398" i="112"/>
  <c r="GF405" i="112"/>
  <c r="GF414" i="112"/>
  <c r="GF430" i="112"/>
  <c r="GF442" i="112"/>
  <c r="GF450" i="112"/>
  <c r="GF457" i="112"/>
  <c r="GF463" i="112"/>
  <c r="GF479" i="112"/>
  <c r="GF489" i="112"/>
  <c r="GF325" i="112"/>
  <c r="GF347" i="112"/>
  <c r="GF356" i="112"/>
  <c r="GF367" i="112"/>
  <c r="GF376" i="112"/>
  <c r="GF387" i="112"/>
  <c r="GF396" i="112"/>
  <c r="GF403" i="112"/>
  <c r="GF412" i="112"/>
  <c r="GF487" i="112"/>
  <c r="GF351" i="112"/>
  <c r="GF364" i="112"/>
  <c r="GF371" i="112"/>
  <c r="GF491" i="112"/>
  <c r="GF323" i="112"/>
  <c r="GF343" i="112"/>
  <c r="GF345" i="112"/>
  <c r="GF354" i="112"/>
  <c r="GF365" i="112"/>
  <c r="GF374" i="112"/>
  <c r="GF385" i="112"/>
  <c r="GF394" i="112"/>
  <c r="GF401" i="112"/>
  <c r="GF410" i="112"/>
  <c r="GF422" i="112"/>
  <c r="GF428" i="112"/>
  <c r="GF440" i="112"/>
  <c r="GF448" i="112"/>
  <c r="GF461" i="112"/>
  <c r="GF473" i="112"/>
  <c r="GF485" i="112"/>
  <c r="GF329" i="112"/>
  <c r="GF384" i="112"/>
  <c r="GF391" i="112"/>
  <c r="GF400" i="112"/>
  <c r="GF327" i="112"/>
  <c r="GF321" i="112"/>
  <c r="GF341" i="112"/>
  <c r="GF352" i="112"/>
  <c r="GF359" i="112"/>
  <c r="GF372" i="112"/>
  <c r="GF383" i="112"/>
  <c r="GF392" i="112"/>
  <c r="GF399" i="112"/>
  <c r="GF408" i="112"/>
  <c r="GF339" i="112"/>
  <c r="GF350" i="112"/>
  <c r="GF357" i="112"/>
  <c r="GF370" i="112"/>
  <c r="GF377" i="112"/>
  <c r="GF390" i="112"/>
  <c r="GF397" i="112"/>
  <c r="GF406" i="112"/>
  <c r="GF413" i="112"/>
  <c r="GF420" i="112"/>
  <c r="GF426" i="112"/>
  <c r="GF438" i="112"/>
  <c r="GF446" i="112"/>
  <c r="GF454" i="112"/>
  <c r="GF460" i="112"/>
  <c r="GF466" i="112"/>
  <c r="GF471" i="112"/>
  <c r="GF483" i="112"/>
  <c r="GF419" i="112"/>
  <c r="GF421" i="112"/>
  <c r="GF423" i="112"/>
  <c r="GF431" i="112"/>
  <c r="GF439" i="112"/>
  <c r="GF441" i="112"/>
  <c r="GF443" i="112"/>
  <c r="GF451" i="112"/>
  <c r="GF324" i="112"/>
  <c r="GF326" i="112"/>
  <c r="GF328" i="112"/>
  <c r="GF330" i="112"/>
  <c r="GF332" i="112"/>
  <c r="GF338" i="112"/>
  <c r="GF340" i="112"/>
  <c r="GF342" i="112"/>
  <c r="GF344" i="112"/>
  <c r="GF488" i="112"/>
  <c r="GF490" i="112"/>
  <c r="GF497" i="112"/>
  <c r="GF499" i="112"/>
  <c r="GF501" i="112"/>
  <c r="GF322" i="112"/>
  <c r="GF415" i="112"/>
  <c r="GF425" i="112"/>
  <c r="GF427" i="112"/>
  <c r="GF429" i="112"/>
  <c r="GF437" i="112"/>
  <c r="GF445" i="112"/>
  <c r="GF447" i="112"/>
  <c r="GF449" i="112"/>
  <c r="GF453" i="112"/>
  <c r="GF455" i="112"/>
  <c r="GF456" i="112"/>
  <c r="GF458" i="112"/>
  <c r="GF462" i="112"/>
  <c r="GF464" i="112"/>
  <c r="GF467" i="112"/>
  <c r="GF468" i="112"/>
  <c r="GF470" i="112"/>
  <c r="GF472" i="112"/>
  <c r="GF478" i="112"/>
  <c r="GF480" i="112"/>
  <c r="GF482" i="112"/>
  <c r="GF484" i="112"/>
  <c r="GF486" i="112"/>
  <c r="GF320" i="112"/>
  <c r="GF346" i="112"/>
  <c r="GE460" i="112"/>
  <c r="GE485" i="112"/>
  <c r="GE470" i="112"/>
  <c r="GE454" i="112"/>
  <c r="GE429" i="112"/>
  <c r="GE414" i="112"/>
  <c r="GE399" i="112"/>
  <c r="GE393" i="112"/>
  <c r="GE385" i="112"/>
  <c r="GE374" i="112"/>
  <c r="GE368" i="112"/>
  <c r="GE340" i="112"/>
  <c r="GE331" i="112"/>
  <c r="GE366" i="112"/>
  <c r="GE356" i="112"/>
  <c r="GE351" i="112"/>
  <c r="GE329" i="112"/>
  <c r="GE326" i="112"/>
  <c r="GE486" i="112"/>
  <c r="GE416" i="112"/>
  <c r="GE396" i="112"/>
  <c r="GE346" i="112"/>
  <c r="GE324" i="112"/>
  <c r="GE321" i="112"/>
  <c r="GE394" i="112"/>
  <c r="GE391" i="112"/>
  <c r="GE341" i="112"/>
  <c r="GE332" i="112"/>
  <c r="GE327" i="112"/>
  <c r="GE491" i="112"/>
  <c r="GE468" i="112"/>
  <c r="GE461" i="112"/>
  <c r="GE448" i="112"/>
  <c r="GE441" i="112"/>
  <c r="GE421" i="112"/>
  <c r="GE410" i="112"/>
  <c r="GE459" i="112"/>
  <c r="GE453" i="112"/>
  <c r="GE358" i="112"/>
  <c r="GE344" i="112"/>
  <c r="GE339" i="112"/>
  <c r="GE398" i="112"/>
  <c r="GE392" i="112"/>
  <c r="GE384" i="112"/>
  <c r="GE373" i="112"/>
  <c r="GE353" i="112"/>
  <c r="GE350" i="112"/>
  <c r="GE449" i="112"/>
  <c r="GE442" i="112"/>
  <c r="GE404" i="112"/>
  <c r="GE371" i="112"/>
  <c r="GE365" i="112"/>
  <c r="GE483" i="112"/>
  <c r="GE445" i="112"/>
  <c r="GE438" i="112"/>
  <c r="GE420" i="112"/>
  <c r="GE412" i="112"/>
  <c r="GE466" i="112"/>
  <c r="GE456" i="112"/>
  <c r="GE450" i="112"/>
  <c r="GE423" i="112"/>
  <c r="GE388" i="112"/>
  <c r="GE369" i="112"/>
  <c r="GE500" i="112"/>
  <c r="GE471" i="112"/>
  <c r="GE463" i="112"/>
  <c r="GE430" i="112"/>
  <c r="GE402" i="112"/>
  <c r="GE383" i="112"/>
  <c r="GE357" i="112"/>
  <c r="GE397" i="112"/>
  <c r="GE389" i="112"/>
  <c r="GE370" i="112"/>
  <c r="GE364" i="112"/>
  <c r="GE352" i="112"/>
  <c r="GE347" i="112"/>
  <c r="GE322" i="112"/>
  <c r="GE478" i="112"/>
  <c r="GE469" i="112"/>
  <c r="GE444" i="112"/>
  <c r="GE411" i="112"/>
  <c r="GE406" i="112"/>
  <c r="GE342" i="112"/>
  <c r="GE337" i="112"/>
  <c r="GE328" i="112"/>
  <c r="GE415" i="112"/>
  <c r="GE387" i="112"/>
  <c r="GE428" i="112"/>
  <c r="GE408" i="112"/>
  <c r="GE403" i="112"/>
  <c r="GE348" i="112"/>
  <c r="GE382" i="112"/>
  <c r="GE386" i="112"/>
  <c r="GE436" i="112"/>
  <c r="GE440" i="112"/>
  <c r="GE447" i="112"/>
  <c r="GE452" i="112"/>
  <c r="GE319" i="112"/>
  <c r="GE497" i="112"/>
  <c r="GE487" i="112"/>
  <c r="GE482" i="112"/>
  <c r="GE473" i="112"/>
  <c r="GE498" i="112"/>
  <c r="GE488" i="112"/>
  <c r="GE499" i="112"/>
  <c r="GE489" i="112"/>
  <c r="GE490" i="112"/>
  <c r="GE480" i="112"/>
  <c r="GE464" i="112"/>
  <c r="GE501" i="112"/>
  <c r="GE484" i="112"/>
  <c r="GE481" i="112"/>
  <c r="GE467" i="112"/>
  <c r="GE458" i="112"/>
  <c r="GE455" i="112"/>
  <c r="GE437" i="112"/>
  <c r="GE427" i="112"/>
  <c r="GE419" i="112"/>
  <c r="GE407" i="112"/>
  <c r="GE401" i="112"/>
  <c r="GE375" i="112"/>
  <c r="GE355" i="112"/>
  <c r="GE330" i="112"/>
  <c r="GE367" i="112"/>
  <c r="GE372" i="112"/>
  <c r="GE376" i="112"/>
  <c r="GE426" i="112"/>
  <c r="GE443" i="112"/>
  <c r="GE451" i="112"/>
  <c r="GE462" i="112"/>
  <c r="GE465" i="112"/>
  <c r="GE472" i="112"/>
  <c r="GE479" i="112"/>
  <c r="GE354" i="112"/>
  <c r="GE359" i="112"/>
  <c r="GE377" i="112"/>
  <c r="GE395" i="112"/>
  <c r="GE400" i="112"/>
  <c r="GE405" i="112"/>
  <c r="GE409" i="112"/>
  <c r="GE413" i="112"/>
  <c r="GE325" i="112"/>
  <c r="GE338" i="112"/>
  <c r="GE343" i="112"/>
  <c r="GE349" i="112"/>
  <c r="GE390" i="112"/>
  <c r="GE422" i="112"/>
  <c r="GE424" i="112"/>
  <c r="GE425" i="112"/>
  <c r="GE431" i="112"/>
  <c r="GE439" i="112"/>
  <c r="GE446" i="112"/>
  <c r="GE457" i="112"/>
  <c r="GO320" i="112"/>
  <c r="GN320" i="112"/>
  <c r="GP319" i="112"/>
  <c r="GE320" i="112"/>
  <c r="GL320" i="112"/>
  <c r="GM320" i="112"/>
  <c r="GV504" i="112" l="1"/>
  <c r="GY504" i="112" s="1"/>
  <c r="GV503" i="112"/>
  <c r="GY503" i="112" s="1"/>
  <c r="GV505" i="112"/>
  <c r="GY505" i="112" s="1"/>
  <c r="GV506" i="112"/>
  <c r="GY506" i="112" s="1"/>
  <c r="GU504" i="112"/>
  <c r="GX504" i="112" s="1"/>
  <c r="GT506" i="112"/>
  <c r="GW506" i="112" s="1"/>
  <c r="GT503" i="112"/>
  <c r="GW503" i="112" s="1"/>
  <c r="GT504" i="112"/>
  <c r="GW504" i="112" s="1"/>
  <c r="GU505" i="112"/>
  <c r="GX505" i="112" s="1"/>
  <c r="GU503" i="112"/>
  <c r="GX503" i="112" s="1"/>
  <c r="GU506" i="112"/>
  <c r="GX506" i="112" s="1"/>
  <c r="GT505" i="112"/>
  <c r="GW505" i="112" s="1"/>
  <c r="GU417" i="112"/>
  <c r="GX417" i="112" s="1"/>
  <c r="GV417" i="112"/>
  <c r="GY417" i="112" s="1"/>
  <c r="GT417" i="112"/>
  <c r="GW417" i="112" s="1"/>
  <c r="GV418" i="112"/>
  <c r="GY418" i="112" s="1"/>
  <c r="GT418" i="112"/>
  <c r="GW418" i="112" s="1"/>
  <c r="GU418" i="112"/>
  <c r="GX418" i="112" s="1"/>
  <c r="GT507" i="112"/>
  <c r="GW507" i="112" s="1"/>
  <c r="GV507" i="112"/>
  <c r="GY507" i="112" s="1"/>
  <c r="GU507" i="112"/>
  <c r="GX507" i="112" s="1"/>
  <c r="GU511" i="112"/>
  <c r="GX511" i="112" s="1"/>
  <c r="GV511" i="112"/>
  <c r="GY511" i="112" s="1"/>
  <c r="GT511" i="112"/>
  <c r="GW511" i="112" s="1"/>
  <c r="GT514" i="112"/>
  <c r="GW514" i="112" s="1"/>
  <c r="GU514" i="112"/>
  <c r="GX514" i="112" s="1"/>
  <c r="GV514" i="112"/>
  <c r="GY514" i="112" s="1"/>
  <c r="GT510" i="112"/>
  <c r="GW510" i="112" s="1"/>
  <c r="GU510" i="112"/>
  <c r="GX510" i="112" s="1"/>
  <c r="GV510" i="112"/>
  <c r="GY510" i="112" s="1"/>
  <c r="GV513" i="112"/>
  <c r="GY513" i="112" s="1"/>
  <c r="GT513" i="112"/>
  <c r="GW513" i="112" s="1"/>
  <c r="GU513" i="112"/>
  <c r="GX513" i="112" s="1"/>
  <c r="GT502" i="112"/>
  <c r="GW502" i="112" s="1"/>
  <c r="GV502" i="112"/>
  <c r="GY502" i="112" s="1"/>
  <c r="GU502" i="112"/>
  <c r="GX502" i="112" s="1"/>
  <c r="GV508" i="112"/>
  <c r="GY508" i="112" s="1"/>
  <c r="GT508" i="112"/>
  <c r="GW508" i="112" s="1"/>
  <c r="GU508" i="112"/>
  <c r="GX508" i="112" s="1"/>
  <c r="GV509" i="112"/>
  <c r="GY509" i="112" s="1"/>
  <c r="GU509" i="112"/>
  <c r="GX509" i="112" s="1"/>
  <c r="GT509" i="112"/>
  <c r="GW509" i="112" s="1"/>
  <c r="GU512" i="112"/>
  <c r="GX512" i="112" s="1"/>
  <c r="GT512" i="112"/>
  <c r="GW512" i="112" s="1"/>
  <c r="GV512" i="112"/>
  <c r="GY512" i="112" s="1"/>
  <c r="GV422" i="112"/>
  <c r="GY422" i="112" s="1"/>
  <c r="GU422" i="112"/>
  <c r="GX422" i="112" s="1"/>
  <c r="GT422" i="112"/>
  <c r="GW422" i="112" s="1"/>
  <c r="GT427" i="112"/>
  <c r="GW427" i="112" s="1"/>
  <c r="GV427" i="112"/>
  <c r="GY427" i="112" s="1"/>
  <c r="GU427" i="112"/>
  <c r="GX427" i="112" s="1"/>
  <c r="GT497" i="112"/>
  <c r="GW497" i="112" s="1"/>
  <c r="GU497" i="112"/>
  <c r="GX497" i="112" s="1"/>
  <c r="GV497" i="112"/>
  <c r="GY497" i="112" s="1"/>
  <c r="GU469" i="112"/>
  <c r="GX469" i="112" s="1"/>
  <c r="GT469" i="112"/>
  <c r="GW469" i="112" s="1"/>
  <c r="GV469" i="112"/>
  <c r="GY469" i="112" s="1"/>
  <c r="GV370" i="112"/>
  <c r="GU370" i="112"/>
  <c r="GX370" i="112" s="1"/>
  <c r="GT370" i="112"/>
  <c r="GW370" i="112" s="1"/>
  <c r="GV471" i="112"/>
  <c r="GY471" i="112" s="1"/>
  <c r="GU471" i="112"/>
  <c r="GX471" i="112" s="1"/>
  <c r="GT471" i="112"/>
  <c r="GW471" i="112" s="1"/>
  <c r="GV371" i="112"/>
  <c r="GY371" i="112" s="1"/>
  <c r="GU371" i="112"/>
  <c r="GX371" i="112" s="1"/>
  <c r="GT371" i="112"/>
  <c r="GV373" i="112"/>
  <c r="GY373" i="112" s="1"/>
  <c r="GU373" i="112"/>
  <c r="GX373" i="112" s="1"/>
  <c r="GT373" i="112"/>
  <c r="GW373" i="112" s="1"/>
  <c r="GU459" i="112"/>
  <c r="GX459" i="112" s="1"/>
  <c r="GT459" i="112"/>
  <c r="GW459" i="112" s="1"/>
  <c r="GV459" i="112"/>
  <c r="GY459" i="112" s="1"/>
  <c r="GV327" i="112"/>
  <c r="GY327" i="112" s="1"/>
  <c r="GU327" i="112"/>
  <c r="GT327" i="112"/>
  <c r="GW327" i="112" s="1"/>
  <c r="GV396" i="112"/>
  <c r="GY396" i="112" s="1"/>
  <c r="GU396" i="112"/>
  <c r="GX396" i="112" s="1"/>
  <c r="GT396" i="112"/>
  <c r="GW396" i="112" s="1"/>
  <c r="GU366" i="112"/>
  <c r="GX366" i="112" s="1"/>
  <c r="GT366" i="112"/>
  <c r="GW366" i="112" s="1"/>
  <c r="GV366" i="112"/>
  <c r="GY366" i="112" s="1"/>
  <c r="GV414" i="112"/>
  <c r="GU414" i="112"/>
  <c r="GX414" i="112" s="1"/>
  <c r="GT414" i="112"/>
  <c r="GW414" i="112" s="1"/>
  <c r="GU424" i="112"/>
  <c r="GX424" i="112" s="1"/>
  <c r="GT424" i="112"/>
  <c r="GW424" i="112" s="1"/>
  <c r="GV424" i="112"/>
  <c r="GY424" i="112" s="1"/>
  <c r="GT484" i="112"/>
  <c r="GW484" i="112" s="1"/>
  <c r="GU484" i="112"/>
  <c r="GX484" i="112" s="1"/>
  <c r="GV484" i="112"/>
  <c r="GV364" i="112"/>
  <c r="GY364" i="112" s="1"/>
  <c r="GU364" i="112"/>
  <c r="GX364" i="112" s="1"/>
  <c r="GT364" i="112"/>
  <c r="GW364" i="112" s="1"/>
  <c r="GV491" i="112"/>
  <c r="GY491" i="112" s="1"/>
  <c r="GU491" i="112"/>
  <c r="GX491" i="112" s="1"/>
  <c r="GT491" i="112"/>
  <c r="GW491" i="112" s="1"/>
  <c r="GV372" i="112"/>
  <c r="GY372" i="112" s="1"/>
  <c r="GU372" i="112"/>
  <c r="GT372" i="112"/>
  <c r="GW372" i="112" s="1"/>
  <c r="GV488" i="112"/>
  <c r="GY488" i="112" s="1"/>
  <c r="GU488" i="112"/>
  <c r="GX488" i="112" s="1"/>
  <c r="GT488" i="112"/>
  <c r="GW488" i="112" s="1"/>
  <c r="GV382" i="112"/>
  <c r="GY382" i="112" s="1"/>
  <c r="GU382" i="112"/>
  <c r="GX382" i="112" s="1"/>
  <c r="GT382" i="112"/>
  <c r="GW382" i="112" s="1"/>
  <c r="GV466" i="112"/>
  <c r="GU466" i="112"/>
  <c r="GX466" i="112" s="1"/>
  <c r="GT466" i="112"/>
  <c r="GW466" i="112" s="1"/>
  <c r="GT472" i="112"/>
  <c r="GW472" i="112" s="1"/>
  <c r="GU472" i="112"/>
  <c r="GX472" i="112" s="1"/>
  <c r="GV472" i="112"/>
  <c r="GY472" i="112" s="1"/>
  <c r="GV464" i="112"/>
  <c r="GY464" i="112" s="1"/>
  <c r="GU464" i="112"/>
  <c r="GX464" i="112" s="1"/>
  <c r="GT464" i="112"/>
  <c r="GV478" i="112"/>
  <c r="GY478" i="112" s="1"/>
  <c r="GU478" i="112"/>
  <c r="GX478" i="112" s="1"/>
  <c r="GT478" i="112"/>
  <c r="GW478" i="112" s="1"/>
  <c r="GV412" i="112"/>
  <c r="GY412" i="112" s="1"/>
  <c r="GU412" i="112"/>
  <c r="GX412" i="112" s="1"/>
  <c r="GT412" i="112"/>
  <c r="GW412" i="112" s="1"/>
  <c r="GT323" i="112"/>
  <c r="GW323" i="112" s="1"/>
  <c r="GV463" i="112"/>
  <c r="GU463" i="112"/>
  <c r="GX463" i="112" s="1"/>
  <c r="GT463" i="112"/>
  <c r="GW463" i="112" s="1"/>
  <c r="GV356" i="112"/>
  <c r="GY356" i="112" s="1"/>
  <c r="GU356" i="112"/>
  <c r="GX356" i="112" s="1"/>
  <c r="GT356" i="112"/>
  <c r="GW356" i="112" s="1"/>
  <c r="GV409" i="112"/>
  <c r="GY409" i="112" s="1"/>
  <c r="GU409" i="112"/>
  <c r="GX409" i="112" s="1"/>
  <c r="GT409" i="112"/>
  <c r="GT405" i="112"/>
  <c r="GW405" i="112" s="1"/>
  <c r="GV405" i="112"/>
  <c r="GY405" i="112" s="1"/>
  <c r="GU405" i="112"/>
  <c r="GX405" i="112" s="1"/>
  <c r="GV437" i="112"/>
  <c r="GY437" i="112" s="1"/>
  <c r="GU437" i="112"/>
  <c r="GX437" i="112" s="1"/>
  <c r="GT437" i="112"/>
  <c r="GW437" i="112" s="1"/>
  <c r="GV498" i="112"/>
  <c r="GY498" i="112" s="1"/>
  <c r="GU498" i="112"/>
  <c r="GT498" i="112"/>
  <c r="GW498" i="112" s="1"/>
  <c r="GV348" i="112"/>
  <c r="GY348" i="112" s="1"/>
  <c r="GU348" i="112"/>
  <c r="GX348" i="112" s="1"/>
  <c r="GT348" i="112"/>
  <c r="GW348" i="112" s="1"/>
  <c r="GT389" i="112"/>
  <c r="GW389" i="112" s="1"/>
  <c r="GV389" i="112"/>
  <c r="GY389" i="112" s="1"/>
  <c r="GU389" i="112"/>
  <c r="GX389" i="112" s="1"/>
  <c r="GV500" i="112"/>
  <c r="GT500" i="112"/>
  <c r="GW500" i="112" s="1"/>
  <c r="GU500" i="112"/>
  <c r="GX500" i="112" s="1"/>
  <c r="GV404" i="112"/>
  <c r="GY404" i="112" s="1"/>
  <c r="GU404" i="112"/>
  <c r="GX404" i="112" s="1"/>
  <c r="GT404" i="112"/>
  <c r="GW404" i="112" s="1"/>
  <c r="GV384" i="112"/>
  <c r="GY384" i="112" s="1"/>
  <c r="GU384" i="112"/>
  <c r="GX384" i="112" s="1"/>
  <c r="GT384" i="112"/>
  <c r="GU410" i="112"/>
  <c r="GX410" i="112" s="1"/>
  <c r="GT410" i="112"/>
  <c r="GW410" i="112" s="1"/>
  <c r="GV410" i="112"/>
  <c r="GY410" i="112" s="1"/>
  <c r="GV332" i="112"/>
  <c r="GY332" i="112" s="1"/>
  <c r="GU332" i="112"/>
  <c r="GX332" i="112" s="1"/>
  <c r="GT332" i="112"/>
  <c r="GW332" i="112" s="1"/>
  <c r="GU416" i="112"/>
  <c r="GX416" i="112" s="1"/>
  <c r="GT416" i="112"/>
  <c r="GV416" i="112"/>
  <c r="GY416" i="112" s="1"/>
  <c r="GV331" i="112"/>
  <c r="GY331" i="112" s="1"/>
  <c r="GU331" i="112"/>
  <c r="GX331" i="112" s="1"/>
  <c r="GT331" i="112"/>
  <c r="GW331" i="112" s="1"/>
  <c r="GV429" i="112"/>
  <c r="GY429" i="112" s="1"/>
  <c r="GU429" i="112"/>
  <c r="GX429" i="112" s="1"/>
  <c r="GT429" i="112"/>
  <c r="GW429" i="112" s="1"/>
  <c r="GV457" i="112"/>
  <c r="GU457" i="112"/>
  <c r="GX457" i="112" s="1"/>
  <c r="GT457" i="112"/>
  <c r="GW457" i="112" s="1"/>
  <c r="GT349" i="112"/>
  <c r="GW349" i="112" s="1"/>
  <c r="GV349" i="112"/>
  <c r="GY349" i="112" s="1"/>
  <c r="GU349" i="112"/>
  <c r="GX349" i="112" s="1"/>
  <c r="GV400" i="112"/>
  <c r="GY400" i="112" s="1"/>
  <c r="GU400" i="112"/>
  <c r="GX400" i="112" s="1"/>
  <c r="GT400" i="112"/>
  <c r="GU465" i="112"/>
  <c r="GX465" i="112" s="1"/>
  <c r="GT465" i="112"/>
  <c r="GW465" i="112" s="1"/>
  <c r="GV465" i="112"/>
  <c r="GY465" i="112" s="1"/>
  <c r="GV330" i="112"/>
  <c r="GY330" i="112" s="1"/>
  <c r="GU330" i="112"/>
  <c r="GX330" i="112" s="1"/>
  <c r="GT330" i="112"/>
  <c r="GW330" i="112" s="1"/>
  <c r="GT455" i="112"/>
  <c r="GW455" i="112" s="1"/>
  <c r="GV455" i="112"/>
  <c r="GU455" i="112"/>
  <c r="GX455" i="112" s="1"/>
  <c r="GV480" i="112"/>
  <c r="GY480" i="112" s="1"/>
  <c r="GU480" i="112"/>
  <c r="GX480" i="112" s="1"/>
  <c r="GT480" i="112"/>
  <c r="GW480" i="112" s="1"/>
  <c r="GU319" i="112"/>
  <c r="GX319" i="112" s="1"/>
  <c r="GV319" i="112"/>
  <c r="GY319" i="112" s="1"/>
  <c r="GT319" i="112"/>
  <c r="GW319" i="112" s="1"/>
  <c r="GV403" i="112"/>
  <c r="GU403" i="112"/>
  <c r="GX403" i="112" s="1"/>
  <c r="GT403" i="112"/>
  <c r="GW403" i="112" s="1"/>
  <c r="GV328" i="112"/>
  <c r="GY328" i="112" s="1"/>
  <c r="GU328" i="112"/>
  <c r="GX328" i="112" s="1"/>
  <c r="GT328" i="112"/>
  <c r="GW328" i="112" s="1"/>
  <c r="GT397" i="112"/>
  <c r="GW397" i="112" s="1"/>
  <c r="GV397" i="112"/>
  <c r="GY397" i="112" s="1"/>
  <c r="GU397" i="112"/>
  <c r="GT369" i="112"/>
  <c r="GW369" i="112" s="1"/>
  <c r="GV369" i="112"/>
  <c r="GY369" i="112" s="1"/>
  <c r="GU369" i="112"/>
  <c r="GX369" i="112" s="1"/>
  <c r="GV420" i="112"/>
  <c r="GY420" i="112" s="1"/>
  <c r="GU420" i="112"/>
  <c r="GX420" i="112" s="1"/>
  <c r="GT420" i="112"/>
  <c r="GW420" i="112" s="1"/>
  <c r="GV392" i="112"/>
  <c r="GY392" i="112" s="1"/>
  <c r="GU392" i="112"/>
  <c r="GX392" i="112" s="1"/>
  <c r="GT392" i="112"/>
  <c r="GW392" i="112" s="1"/>
  <c r="GT421" i="112"/>
  <c r="GW421" i="112" s="1"/>
  <c r="GV421" i="112"/>
  <c r="GY421" i="112" s="1"/>
  <c r="GU421" i="112"/>
  <c r="GX421" i="112" s="1"/>
  <c r="GT341" i="112"/>
  <c r="GV341" i="112"/>
  <c r="GY341" i="112" s="1"/>
  <c r="GU341" i="112"/>
  <c r="GX341" i="112" s="1"/>
  <c r="GV486" i="112"/>
  <c r="GY486" i="112" s="1"/>
  <c r="GU486" i="112"/>
  <c r="GX486" i="112" s="1"/>
  <c r="GT486" i="112"/>
  <c r="GW486" i="112" s="1"/>
  <c r="GV340" i="112"/>
  <c r="GY340" i="112" s="1"/>
  <c r="GU340" i="112"/>
  <c r="GX340" i="112" s="1"/>
  <c r="GT340" i="112"/>
  <c r="GV454" i="112"/>
  <c r="GY454" i="112" s="1"/>
  <c r="GU454" i="112"/>
  <c r="GX454" i="112" s="1"/>
  <c r="GT454" i="112"/>
  <c r="GW454" i="112" s="1"/>
  <c r="GU323" i="112"/>
  <c r="GX323" i="112" s="1"/>
  <c r="GU386" i="112"/>
  <c r="GX386" i="112" s="1"/>
  <c r="GT386" i="112"/>
  <c r="GW386" i="112" s="1"/>
  <c r="GV386" i="112"/>
  <c r="GY386" i="112" s="1"/>
  <c r="GV353" i="112"/>
  <c r="GU353" i="112"/>
  <c r="GX353" i="112" s="1"/>
  <c r="GT353" i="112"/>
  <c r="GV367" i="112"/>
  <c r="GY367" i="112" s="1"/>
  <c r="GU367" i="112"/>
  <c r="GX367" i="112" s="1"/>
  <c r="GT367" i="112"/>
  <c r="GW367" i="112" s="1"/>
  <c r="GV446" i="112"/>
  <c r="GY446" i="112" s="1"/>
  <c r="GU446" i="112"/>
  <c r="GX446" i="112" s="1"/>
  <c r="GT446" i="112"/>
  <c r="GV458" i="112"/>
  <c r="GY458" i="112" s="1"/>
  <c r="GU458" i="112"/>
  <c r="GT458" i="112"/>
  <c r="GW458" i="112" s="1"/>
  <c r="GV322" i="112"/>
  <c r="GY322" i="112" s="1"/>
  <c r="GU322" i="112"/>
  <c r="GX322" i="112" s="1"/>
  <c r="GT322" i="112"/>
  <c r="GW322" i="112" s="1"/>
  <c r="GV323" i="112"/>
  <c r="GV376" i="112"/>
  <c r="GU376" i="112"/>
  <c r="GX376" i="112" s="1"/>
  <c r="GT376" i="112"/>
  <c r="GV415" i="112"/>
  <c r="GY415" i="112" s="1"/>
  <c r="GU415" i="112"/>
  <c r="GX415" i="112" s="1"/>
  <c r="GT415" i="112"/>
  <c r="GW415" i="112" s="1"/>
  <c r="GV453" i="112"/>
  <c r="GY453" i="112" s="1"/>
  <c r="GU453" i="112"/>
  <c r="GX453" i="112" s="1"/>
  <c r="GT453" i="112"/>
  <c r="GV395" i="112"/>
  <c r="GY395" i="112" s="1"/>
  <c r="GU395" i="112"/>
  <c r="GT395" i="112"/>
  <c r="GW395" i="112" s="1"/>
  <c r="GV462" i="112"/>
  <c r="GY462" i="112" s="1"/>
  <c r="GU462" i="112"/>
  <c r="GX462" i="112" s="1"/>
  <c r="GT462" i="112"/>
  <c r="GW462" i="112" s="1"/>
  <c r="GV490" i="112"/>
  <c r="GY490" i="112" s="1"/>
  <c r="GU490" i="112"/>
  <c r="GT490" i="112"/>
  <c r="GW490" i="112" s="1"/>
  <c r="GU452" i="112"/>
  <c r="GX452" i="112" s="1"/>
  <c r="GT452" i="112"/>
  <c r="GW452" i="112" s="1"/>
  <c r="GV452" i="112"/>
  <c r="GY452" i="112" s="1"/>
  <c r="GV408" i="112"/>
  <c r="GU408" i="112"/>
  <c r="GT408" i="112"/>
  <c r="GV337" i="112"/>
  <c r="GY337" i="112" s="1"/>
  <c r="GU337" i="112"/>
  <c r="GX337" i="112" s="1"/>
  <c r="GT337" i="112"/>
  <c r="GT357" i="112"/>
  <c r="GW357" i="112" s="1"/>
  <c r="GV357" i="112"/>
  <c r="GY357" i="112" s="1"/>
  <c r="GU357" i="112"/>
  <c r="GV388" i="112"/>
  <c r="GY388" i="112" s="1"/>
  <c r="GU388" i="112"/>
  <c r="GT388" i="112"/>
  <c r="GW388" i="112" s="1"/>
  <c r="GV438" i="112"/>
  <c r="GY438" i="112" s="1"/>
  <c r="GU438" i="112"/>
  <c r="GX438" i="112" s="1"/>
  <c r="GT438" i="112"/>
  <c r="GW438" i="112" s="1"/>
  <c r="GV442" i="112"/>
  <c r="GY442" i="112" s="1"/>
  <c r="GU442" i="112"/>
  <c r="GT442" i="112"/>
  <c r="GW442" i="112" s="1"/>
  <c r="GV398" i="112"/>
  <c r="GU398" i="112"/>
  <c r="GX398" i="112" s="1"/>
  <c r="GT398" i="112"/>
  <c r="GW398" i="112" s="1"/>
  <c r="GV441" i="112"/>
  <c r="GY441" i="112" s="1"/>
  <c r="GU441" i="112"/>
  <c r="GX441" i="112" s="1"/>
  <c r="GT441" i="112"/>
  <c r="GW441" i="112" s="1"/>
  <c r="GV391" i="112"/>
  <c r="GU391" i="112"/>
  <c r="GX391" i="112" s="1"/>
  <c r="GT391" i="112"/>
  <c r="GV368" i="112"/>
  <c r="GY368" i="112" s="1"/>
  <c r="GU368" i="112"/>
  <c r="GX368" i="112" s="1"/>
  <c r="GT368" i="112"/>
  <c r="GW368" i="112" s="1"/>
  <c r="GV470" i="112"/>
  <c r="GY470" i="112" s="1"/>
  <c r="GU470" i="112"/>
  <c r="GX470" i="112" s="1"/>
  <c r="GT470" i="112"/>
  <c r="GT439" i="112"/>
  <c r="GW439" i="112" s="1"/>
  <c r="GV439" i="112"/>
  <c r="GU439" i="112"/>
  <c r="GX439" i="112" s="1"/>
  <c r="GV451" i="112"/>
  <c r="GY451" i="112" s="1"/>
  <c r="GU451" i="112"/>
  <c r="GX451" i="112" s="1"/>
  <c r="GT451" i="112"/>
  <c r="GW451" i="112" s="1"/>
  <c r="GV449" i="112"/>
  <c r="GY449" i="112" s="1"/>
  <c r="GU449" i="112"/>
  <c r="GX449" i="112" s="1"/>
  <c r="GT449" i="112"/>
  <c r="GW449" i="112" s="1"/>
  <c r="GV339" i="112"/>
  <c r="GU339" i="112"/>
  <c r="GX339" i="112" s="1"/>
  <c r="GT339" i="112"/>
  <c r="GW339" i="112" s="1"/>
  <c r="GV448" i="112"/>
  <c r="GY448" i="112" s="1"/>
  <c r="GU448" i="112"/>
  <c r="GT448" i="112"/>
  <c r="GW448" i="112" s="1"/>
  <c r="GU326" i="112"/>
  <c r="GX326" i="112" s="1"/>
  <c r="GT326" i="112"/>
  <c r="GW326" i="112" s="1"/>
  <c r="GV326" i="112"/>
  <c r="GU374" i="112"/>
  <c r="GX374" i="112" s="1"/>
  <c r="GT374" i="112"/>
  <c r="GV374" i="112"/>
  <c r="GY374" i="112" s="1"/>
  <c r="GV485" i="112"/>
  <c r="GY485" i="112" s="1"/>
  <c r="GU485" i="112"/>
  <c r="GX485" i="112" s="1"/>
  <c r="GT485" i="112"/>
  <c r="GW485" i="112" s="1"/>
  <c r="GV419" i="112"/>
  <c r="GY419" i="112" s="1"/>
  <c r="GU419" i="112"/>
  <c r="GT419" i="112"/>
  <c r="GW419" i="112" s="1"/>
  <c r="GU444" i="112"/>
  <c r="GT444" i="112"/>
  <c r="GW444" i="112" s="1"/>
  <c r="GV444" i="112"/>
  <c r="GY444" i="112" s="1"/>
  <c r="GV365" i="112"/>
  <c r="GY365" i="112" s="1"/>
  <c r="GU365" i="112"/>
  <c r="GX365" i="112" s="1"/>
  <c r="GT365" i="112"/>
  <c r="GW365" i="112" s="1"/>
  <c r="GV399" i="112"/>
  <c r="GU399" i="112"/>
  <c r="GX399" i="112" s="1"/>
  <c r="GT399" i="112"/>
  <c r="GV501" i="112"/>
  <c r="GY501" i="112" s="1"/>
  <c r="GU501" i="112"/>
  <c r="GX501" i="112" s="1"/>
  <c r="GT501" i="112"/>
  <c r="GW501" i="112" s="1"/>
  <c r="GV390" i="112"/>
  <c r="GY390" i="112" s="1"/>
  <c r="GU390" i="112"/>
  <c r="GX390" i="112" s="1"/>
  <c r="GT390" i="112"/>
  <c r="GV355" i="112"/>
  <c r="GY355" i="112" s="1"/>
  <c r="GU355" i="112"/>
  <c r="GT355" i="112"/>
  <c r="GW355" i="112" s="1"/>
  <c r="GT377" i="112"/>
  <c r="GW377" i="112" s="1"/>
  <c r="GV377" i="112"/>
  <c r="GY377" i="112" s="1"/>
  <c r="GU377" i="112"/>
  <c r="GX377" i="112" s="1"/>
  <c r="GV383" i="112"/>
  <c r="GY383" i="112" s="1"/>
  <c r="GU383" i="112"/>
  <c r="GX383" i="112" s="1"/>
  <c r="GT383" i="112"/>
  <c r="GW383" i="112" s="1"/>
  <c r="GV431" i="112"/>
  <c r="GY431" i="112" s="1"/>
  <c r="GU431" i="112"/>
  <c r="GX431" i="112" s="1"/>
  <c r="GT431" i="112"/>
  <c r="GW431" i="112" s="1"/>
  <c r="GV325" i="112"/>
  <c r="GU325" i="112"/>
  <c r="GX325" i="112" s="1"/>
  <c r="GT325" i="112"/>
  <c r="GV359" i="112"/>
  <c r="GY359" i="112" s="1"/>
  <c r="GU359" i="112"/>
  <c r="GX359" i="112" s="1"/>
  <c r="GT359" i="112"/>
  <c r="GW359" i="112" s="1"/>
  <c r="GV443" i="112"/>
  <c r="GY443" i="112" s="1"/>
  <c r="GU443" i="112"/>
  <c r="GX443" i="112" s="1"/>
  <c r="GT443" i="112"/>
  <c r="GV401" i="112"/>
  <c r="GU401" i="112"/>
  <c r="GT401" i="112"/>
  <c r="GW401" i="112" s="1"/>
  <c r="GT467" i="112"/>
  <c r="GW467" i="112" s="1"/>
  <c r="GV467" i="112"/>
  <c r="GY467" i="112" s="1"/>
  <c r="GU467" i="112"/>
  <c r="GX467" i="112" s="1"/>
  <c r="GU489" i="112"/>
  <c r="GX489" i="112" s="1"/>
  <c r="GT489" i="112"/>
  <c r="GV489" i="112"/>
  <c r="GV473" i="112"/>
  <c r="GU473" i="112"/>
  <c r="GX473" i="112" s="1"/>
  <c r="GT473" i="112"/>
  <c r="GW473" i="112" s="1"/>
  <c r="GV440" i="112"/>
  <c r="GU440" i="112"/>
  <c r="GX440" i="112" s="1"/>
  <c r="GT440" i="112"/>
  <c r="GW440" i="112" s="1"/>
  <c r="GV428" i="112"/>
  <c r="GU428" i="112"/>
  <c r="GT428" i="112"/>
  <c r="GV406" i="112"/>
  <c r="GY406" i="112" s="1"/>
  <c r="GU406" i="112"/>
  <c r="GX406" i="112" s="1"/>
  <c r="GT406" i="112"/>
  <c r="GV347" i="112"/>
  <c r="GY347" i="112" s="1"/>
  <c r="GU347" i="112"/>
  <c r="GX347" i="112" s="1"/>
  <c r="GT347" i="112"/>
  <c r="GU402" i="112"/>
  <c r="GX402" i="112" s="1"/>
  <c r="GT402" i="112"/>
  <c r="GV402" i="112"/>
  <c r="GY402" i="112" s="1"/>
  <c r="GV423" i="112"/>
  <c r="GY423" i="112" s="1"/>
  <c r="GU423" i="112"/>
  <c r="GT423" i="112"/>
  <c r="GW423" i="112" s="1"/>
  <c r="GV344" i="112"/>
  <c r="GY344" i="112" s="1"/>
  <c r="GU344" i="112"/>
  <c r="GX344" i="112" s="1"/>
  <c r="GT344" i="112"/>
  <c r="GW344" i="112" s="1"/>
  <c r="GV461" i="112"/>
  <c r="GU461" i="112"/>
  <c r="GX461" i="112" s="1"/>
  <c r="GT461" i="112"/>
  <c r="GT321" i="112"/>
  <c r="GW321" i="112" s="1"/>
  <c r="GV321" i="112"/>
  <c r="GY321" i="112" s="1"/>
  <c r="GU321" i="112"/>
  <c r="GT329" i="112"/>
  <c r="GW329" i="112" s="1"/>
  <c r="GV329" i="112"/>
  <c r="GU329" i="112"/>
  <c r="GV385" i="112"/>
  <c r="GU385" i="112"/>
  <c r="GX385" i="112" s="1"/>
  <c r="GT385" i="112"/>
  <c r="GW385" i="112" s="1"/>
  <c r="GV345" i="112"/>
  <c r="GY345" i="112" s="1"/>
  <c r="GU345" i="112"/>
  <c r="GT345" i="112"/>
  <c r="GT413" i="112"/>
  <c r="GW413" i="112" s="1"/>
  <c r="GV413" i="112"/>
  <c r="GU413" i="112"/>
  <c r="GT487" i="112"/>
  <c r="GW487" i="112" s="1"/>
  <c r="GV487" i="112"/>
  <c r="GY487" i="112" s="1"/>
  <c r="GU487" i="112"/>
  <c r="GX487" i="112" s="1"/>
  <c r="GV456" i="112"/>
  <c r="GU456" i="112"/>
  <c r="GX456" i="112" s="1"/>
  <c r="GT456" i="112"/>
  <c r="GW456" i="112" s="1"/>
  <c r="GU346" i="112"/>
  <c r="GT346" i="112"/>
  <c r="GV346" i="112"/>
  <c r="GV479" i="112"/>
  <c r="GY479" i="112" s="1"/>
  <c r="GU479" i="112"/>
  <c r="GX479" i="112" s="1"/>
  <c r="GT479" i="112"/>
  <c r="GV343" i="112"/>
  <c r="GU343" i="112"/>
  <c r="GX343" i="112" s="1"/>
  <c r="GT343" i="112"/>
  <c r="GW343" i="112" s="1"/>
  <c r="GV320" i="112"/>
  <c r="GY320" i="112" s="1"/>
  <c r="GU320" i="112"/>
  <c r="GT320" i="112"/>
  <c r="GW320" i="112" s="1"/>
  <c r="GU338" i="112"/>
  <c r="GT338" i="112"/>
  <c r="GV338" i="112"/>
  <c r="GV375" i="112"/>
  <c r="GU375" i="112"/>
  <c r="GX375" i="112" s="1"/>
  <c r="GT375" i="112"/>
  <c r="GW375" i="112" s="1"/>
  <c r="GT447" i="112"/>
  <c r="GV447" i="112"/>
  <c r="GU447" i="112"/>
  <c r="GV342" i="112"/>
  <c r="GY342" i="112" s="1"/>
  <c r="GU342" i="112"/>
  <c r="GX342" i="112" s="1"/>
  <c r="GT342" i="112"/>
  <c r="GV445" i="112"/>
  <c r="GY445" i="112" s="1"/>
  <c r="GU445" i="112"/>
  <c r="GX445" i="112" s="1"/>
  <c r="GT445" i="112"/>
  <c r="GU394" i="112"/>
  <c r="GT394" i="112"/>
  <c r="GV394" i="112"/>
  <c r="GY394" i="112" s="1"/>
  <c r="GV425" i="112"/>
  <c r="GY425" i="112" s="1"/>
  <c r="GU425" i="112"/>
  <c r="GX425" i="112" s="1"/>
  <c r="GT425" i="112"/>
  <c r="GW425" i="112" s="1"/>
  <c r="GU354" i="112"/>
  <c r="GT354" i="112"/>
  <c r="GW354" i="112" s="1"/>
  <c r="GV354" i="112"/>
  <c r="GY354" i="112" s="1"/>
  <c r="GV426" i="112"/>
  <c r="GU426" i="112"/>
  <c r="GT426" i="112"/>
  <c r="GV407" i="112"/>
  <c r="GU407" i="112"/>
  <c r="GT407" i="112"/>
  <c r="GU481" i="112"/>
  <c r="GX481" i="112" s="1"/>
  <c r="GT481" i="112"/>
  <c r="GW481" i="112" s="1"/>
  <c r="GV481" i="112"/>
  <c r="GV499" i="112"/>
  <c r="GU499" i="112"/>
  <c r="GX499" i="112" s="1"/>
  <c r="GT499" i="112"/>
  <c r="GV482" i="112"/>
  <c r="GU482" i="112"/>
  <c r="GT482" i="112"/>
  <c r="GW482" i="112" s="1"/>
  <c r="GU436" i="112"/>
  <c r="GX436" i="112" s="1"/>
  <c r="GT436" i="112"/>
  <c r="GW436" i="112" s="1"/>
  <c r="GV436" i="112"/>
  <c r="GY436" i="112" s="1"/>
  <c r="GV387" i="112"/>
  <c r="GY387" i="112" s="1"/>
  <c r="GU387" i="112"/>
  <c r="GT387" i="112"/>
  <c r="GV411" i="112"/>
  <c r="GU411" i="112"/>
  <c r="GT411" i="112"/>
  <c r="GW411" i="112" s="1"/>
  <c r="GV352" i="112"/>
  <c r="GY352" i="112" s="1"/>
  <c r="GU352" i="112"/>
  <c r="GX352" i="112" s="1"/>
  <c r="GT352" i="112"/>
  <c r="GW352" i="112" s="1"/>
  <c r="GV430" i="112"/>
  <c r="GU430" i="112"/>
  <c r="GT430" i="112"/>
  <c r="GV450" i="112"/>
  <c r="GY450" i="112" s="1"/>
  <c r="GU450" i="112"/>
  <c r="GX450" i="112" s="1"/>
  <c r="GT450" i="112"/>
  <c r="GV483" i="112"/>
  <c r="GU483" i="112"/>
  <c r="GT483" i="112"/>
  <c r="GV350" i="112"/>
  <c r="GU350" i="112"/>
  <c r="GT350" i="112"/>
  <c r="GW350" i="112" s="1"/>
  <c r="GV358" i="112"/>
  <c r="GY358" i="112" s="1"/>
  <c r="GU358" i="112"/>
  <c r="GT358" i="112"/>
  <c r="GW358" i="112" s="1"/>
  <c r="GV468" i="112"/>
  <c r="GU468" i="112"/>
  <c r="GT468" i="112"/>
  <c r="GV324" i="112"/>
  <c r="GU324" i="112"/>
  <c r="GX324" i="112" s="1"/>
  <c r="GT324" i="112"/>
  <c r="GW324" i="112" s="1"/>
  <c r="GV351" i="112"/>
  <c r="GU351" i="112"/>
  <c r="GT351" i="112"/>
  <c r="GV393" i="112"/>
  <c r="GU393" i="112"/>
  <c r="GT393" i="112"/>
  <c r="GV460" i="112"/>
  <c r="GY460" i="112" s="1"/>
  <c r="GU460" i="112"/>
  <c r="GT460" i="112"/>
  <c r="GZ504" i="112" l="1"/>
  <c r="GZ503" i="112"/>
  <c r="GZ506" i="112"/>
  <c r="GZ505" i="112"/>
  <c r="GW337" i="112"/>
  <c r="GZ337" i="112" s="1"/>
  <c r="GT360" i="112"/>
  <c r="GW360" i="112" s="1"/>
  <c r="GZ417" i="112"/>
  <c r="GZ418" i="112"/>
  <c r="GZ429" i="112"/>
  <c r="GZ396" i="112"/>
  <c r="GZ478" i="112"/>
  <c r="GZ364" i="112"/>
  <c r="GZ373" i="112"/>
  <c r="GZ422" i="112"/>
  <c r="GZ511" i="112"/>
  <c r="GZ383" i="112"/>
  <c r="GZ348" i="112"/>
  <c r="GZ488" i="112"/>
  <c r="GZ424" i="112"/>
  <c r="GZ427" i="112"/>
  <c r="GZ454" i="112"/>
  <c r="GZ344" i="112"/>
  <c r="GZ431" i="112"/>
  <c r="GZ365" i="112"/>
  <c r="GZ449" i="112"/>
  <c r="GZ441" i="112"/>
  <c r="GZ382" i="112"/>
  <c r="GZ497" i="112"/>
  <c r="GZ512" i="112"/>
  <c r="GZ510" i="112"/>
  <c r="GZ467" i="112"/>
  <c r="GZ377" i="112"/>
  <c r="GZ392" i="112"/>
  <c r="GZ480" i="112"/>
  <c r="GZ331" i="112"/>
  <c r="GZ514" i="112"/>
  <c r="GZ425" i="112"/>
  <c r="GZ485" i="112"/>
  <c r="GZ451" i="112"/>
  <c r="GZ438" i="112"/>
  <c r="GZ452" i="112"/>
  <c r="GZ462" i="112"/>
  <c r="GZ322" i="112"/>
  <c r="GZ386" i="112"/>
  <c r="GZ420" i="112"/>
  <c r="GZ330" i="112"/>
  <c r="GZ332" i="112"/>
  <c r="GZ437" i="112"/>
  <c r="GZ412" i="112"/>
  <c r="GZ491" i="112"/>
  <c r="GZ366" i="112"/>
  <c r="GZ469" i="112"/>
  <c r="GZ436" i="112"/>
  <c r="GZ359" i="112"/>
  <c r="GZ501" i="112"/>
  <c r="GZ368" i="112"/>
  <c r="GZ415" i="112"/>
  <c r="GZ367" i="112"/>
  <c r="GZ486" i="112"/>
  <c r="GZ421" i="112"/>
  <c r="GZ328" i="112"/>
  <c r="GZ404" i="112"/>
  <c r="GZ389" i="112"/>
  <c r="GZ356" i="112"/>
  <c r="GZ459" i="112"/>
  <c r="GZ471" i="112"/>
  <c r="GZ509" i="112"/>
  <c r="GZ502" i="112"/>
  <c r="GZ349" i="112"/>
  <c r="GZ472" i="112"/>
  <c r="GZ513" i="112"/>
  <c r="GZ507" i="112"/>
  <c r="GZ487" i="112"/>
  <c r="GZ465" i="112"/>
  <c r="GZ410" i="112"/>
  <c r="GZ369" i="112"/>
  <c r="GZ405" i="112"/>
  <c r="GZ508" i="112"/>
  <c r="GZ352" i="112"/>
  <c r="GZ319" i="112"/>
  <c r="GW393" i="112"/>
  <c r="GW407" i="112"/>
  <c r="GY346" i="112"/>
  <c r="GY473" i="112"/>
  <c r="GZ473" i="112" s="1"/>
  <c r="GW374" i="112"/>
  <c r="GW408" i="112"/>
  <c r="GX393" i="112"/>
  <c r="GW468" i="112"/>
  <c r="GY350" i="112"/>
  <c r="GX430" i="112"/>
  <c r="GW387" i="112"/>
  <c r="GY482" i="112"/>
  <c r="GX407" i="112"/>
  <c r="GX394" i="112"/>
  <c r="GY447" i="112"/>
  <c r="GY338" i="112"/>
  <c r="GY343" i="112"/>
  <c r="GZ343" i="112" s="1"/>
  <c r="GW346" i="112"/>
  <c r="GX413" i="112"/>
  <c r="GY385" i="112"/>
  <c r="GZ385" i="112" s="1"/>
  <c r="GX428" i="112"/>
  <c r="GY489" i="112"/>
  <c r="GY401" i="112"/>
  <c r="GX408" i="112"/>
  <c r="GX482" i="112"/>
  <c r="GX401" i="112"/>
  <c r="GY393" i="112"/>
  <c r="GX468" i="112"/>
  <c r="GW483" i="112"/>
  <c r="GY430" i="112"/>
  <c r="GX387" i="112"/>
  <c r="GW499" i="112"/>
  <c r="GY407" i="112"/>
  <c r="GW445" i="112"/>
  <c r="GW447" i="112"/>
  <c r="GW338" i="112"/>
  <c r="GX346" i="112"/>
  <c r="GY413" i="112"/>
  <c r="GX329" i="112"/>
  <c r="GY461" i="112"/>
  <c r="GW347" i="112"/>
  <c r="GY428" i="112"/>
  <c r="GW489" i="112"/>
  <c r="GW443" i="112"/>
  <c r="GY325" i="112"/>
  <c r="GW390" i="112"/>
  <c r="GY399" i="112"/>
  <c r="GX419" i="112"/>
  <c r="GY326" i="112"/>
  <c r="GZ326" i="112" s="1"/>
  <c r="GY339" i="112"/>
  <c r="GW470" i="112"/>
  <c r="GY391" i="112"/>
  <c r="GX442" i="112"/>
  <c r="GZ442" i="112" s="1"/>
  <c r="GX357" i="112"/>
  <c r="GY408" i="112"/>
  <c r="GX490" i="112"/>
  <c r="GW453" i="112"/>
  <c r="GY376" i="112"/>
  <c r="GW446" i="112"/>
  <c r="GY353" i="112"/>
  <c r="GW340" i="112"/>
  <c r="GW341" i="112"/>
  <c r="GX397" i="112"/>
  <c r="GZ397" i="112" s="1"/>
  <c r="GY403" i="112"/>
  <c r="GZ403" i="112" s="1"/>
  <c r="GY455" i="112"/>
  <c r="GZ455" i="112" s="1"/>
  <c r="GW400" i="112"/>
  <c r="GY457" i="112"/>
  <c r="GZ457" i="112" s="1"/>
  <c r="GW416" i="112"/>
  <c r="GW384" i="112"/>
  <c r="GY500" i="112"/>
  <c r="GX498" i="112"/>
  <c r="GW409" i="112"/>
  <c r="GY463" i="112"/>
  <c r="GZ463" i="112" s="1"/>
  <c r="GW464" i="112"/>
  <c r="GY466" i="112"/>
  <c r="GZ466" i="112" s="1"/>
  <c r="GX372" i="112"/>
  <c r="GZ372" i="112" s="1"/>
  <c r="GY484" i="112"/>
  <c r="GY414" i="112"/>
  <c r="GZ414" i="112" s="1"/>
  <c r="GX327" i="112"/>
  <c r="GZ327" i="112" s="1"/>
  <c r="GW371" i="112"/>
  <c r="GY370" i="112"/>
  <c r="GZ370" i="112" s="1"/>
  <c r="GY411" i="112"/>
  <c r="GY375" i="112"/>
  <c r="GZ375" i="112" s="1"/>
  <c r="GW325" i="112"/>
  <c r="GX395" i="112"/>
  <c r="GW351" i="112"/>
  <c r="GY468" i="112"/>
  <c r="GX483" i="112"/>
  <c r="GW426" i="112"/>
  <c r="GX338" i="112"/>
  <c r="GY329" i="112"/>
  <c r="GY323" i="112"/>
  <c r="GX350" i="112"/>
  <c r="GW428" i="112"/>
  <c r="GW399" i="112"/>
  <c r="GW391" i="112"/>
  <c r="GX351" i="112"/>
  <c r="GY483" i="112"/>
  <c r="GY499" i="112"/>
  <c r="GX426" i="112"/>
  <c r="GW345" i="112"/>
  <c r="GX354" i="112"/>
  <c r="GZ354" i="112" s="1"/>
  <c r="GX355" i="112"/>
  <c r="GZ355" i="112" s="1"/>
  <c r="GY439" i="112"/>
  <c r="GZ439" i="112" s="1"/>
  <c r="GX458" i="112"/>
  <c r="GW460" i="112"/>
  <c r="GY351" i="112"/>
  <c r="GX358" i="112"/>
  <c r="GW450" i="112"/>
  <c r="GY481" i="112"/>
  <c r="GY426" i="112"/>
  <c r="GW342" i="112"/>
  <c r="GX320" i="112"/>
  <c r="GW479" i="112"/>
  <c r="GY456" i="112"/>
  <c r="GZ456" i="112" s="1"/>
  <c r="GX345" i="112"/>
  <c r="GX321" i="112"/>
  <c r="GZ321" i="112" s="1"/>
  <c r="GX423" i="112"/>
  <c r="GZ423" i="112" s="1"/>
  <c r="GW406" i="112"/>
  <c r="GY440" i="112"/>
  <c r="GZ440" i="112" s="1"/>
  <c r="GY324" i="112"/>
  <c r="GX447" i="112"/>
  <c r="GW461" i="112"/>
  <c r="GX444" i="112"/>
  <c r="GY398" i="112"/>
  <c r="GZ398" i="112" s="1"/>
  <c r="GW376" i="112"/>
  <c r="GX460" i="112"/>
  <c r="GX448" i="112"/>
  <c r="GZ448" i="112" s="1"/>
  <c r="GW430" i="112"/>
  <c r="GW394" i="112"/>
  <c r="GW402" i="112"/>
  <c r="GX388" i="112"/>
  <c r="GW353" i="112"/>
  <c r="GX411" i="112"/>
  <c r="GT515" i="112"/>
  <c r="GW515" i="112" s="1"/>
  <c r="GU515" i="112"/>
  <c r="GX515" i="112" s="1"/>
  <c r="GV474" i="112"/>
  <c r="GY474" i="112" s="1"/>
  <c r="GU474" i="112"/>
  <c r="GX474" i="112" s="1"/>
  <c r="GT474" i="112"/>
  <c r="GT492" i="112"/>
  <c r="GU492" i="112"/>
  <c r="GV492" i="112"/>
  <c r="GY492" i="112" s="1"/>
  <c r="GV515" i="112"/>
  <c r="GY515" i="112" s="1"/>
  <c r="GT432" i="112"/>
  <c r="GW432" i="112" s="1"/>
  <c r="GU432" i="112"/>
  <c r="GX432" i="112" s="1"/>
  <c r="GV432" i="112"/>
  <c r="GU360" i="112"/>
  <c r="GT378" i="112"/>
  <c r="GV360" i="112"/>
  <c r="GY360" i="112" s="1"/>
  <c r="GU378" i="112"/>
  <c r="GX378" i="112" s="1"/>
  <c r="GV378" i="112"/>
  <c r="GT333" i="112"/>
  <c r="GW333" i="112" s="1"/>
  <c r="GV333" i="112"/>
  <c r="GU333" i="112"/>
  <c r="BA574" i="111"/>
  <c r="BA551" i="111"/>
  <c r="BA514" i="111"/>
  <c r="BA491" i="111"/>
  <c r="BA454" i="111"/>
  <c r="BA431" i="111"/>
  <c r="BA394" i="111"/>
  <c r="BA371" i="111"/>
  <c r="BA334" i="111"/>
  <c r="BA311" i="111"/>
  <c r="BA274" i="111"/>
  <c r="BA251" i="111"/>
  <c r="BA214" i="111"/>
  <c r="BA191" i="111"/>
  <c r="BA154" i="111"/>
  <c r="GZ325" i="112" l="1"/>
  <c r="GZ350" i="112"/>
  <c r="GZ413" i="112"/>
  <c r="GZ482" i="112"/>
  <c r="GZ394" i="112"/>
  <c r="GZ461" i="112"/>
  <c r="GZ489" i="112"/>
  <c r="GZ399" i="112"/>
  <c r="GZ376" i="112"/>
  <c r="GZ401" i="112"/>
  <c r="GZ411" i="112"/>
  <c r="GZ407" i="112"/>
  <c r="GZ329" i="112"/>
  <c r="GZ346" i="112"/>
  <c r="GZ387" i="112"/>
  <c r="GZ393" i="112"/>
  <c r="GZ447" i="112"/>
  <c r="GZ515" i="112"/>
  <c r="GZ353" i="112"/>
  <c r="GZ479" i="112"/>
  <c r="GZ351" i="112"/>
  <c r="GZ371" i="112"/>
  <c r="GZ409" i="112"/>
  <c r="GZ453" i="112"/>
  <c r="GZ460" i="112"/>
  <c r="GZ428" i="112"/>
  <c r="GZ338" i="112"/>
  <c r="GZ483" i="112"/>
  <c r="GZ490" i="112"/>
  <c r="GZ402" i="112"/>
  <c r="GZ406" i="112"/>
  <c r="GZ342" i="112"/>
  <c r="GZ384" i="112"/>
  <c r="GZ341" i="112"/>
  <c r="GZ445" i="112"/>
  <c r="GZ468" i="112"/>
  <c r="GZ339" i="112"/>
  <c r="GZ458" i="112"/>
  <c r="GZ484" i="112"/>
  <c r="GZ430" i="112"/>
  <c r="GZ426" i="112"/>
  <c r="GZ416" i="112"/>
  <c r="GZ340" i="112"/>
  <c r="GZ390" i="112"/>
  <c r="GZ395" i="112"/>
  <c r="GZ408" i="112"/>
  <c r="GZ323" i="112"/>
  <c r="GZ498" i="112"/>
  <c r="GZ419" i="112"/>
  <c r="GZ388" i="112"/>
  <c r="GZ347" i="112"/>
  <c r="GZ450" i="112"/>
  <c r="GZ345" i="112"/>
  <c r="GZ464" i="112"/>
  <c r="GZ400" i="112"/>
  <c r="GZ446" i="112"/>
  <c r="GZ470" i="112"/>
  <c r="GZ499" i="112"/>
  <c r="GZ374" i="112"/>
  <c r="GZ500" i="112"/>
  <c r="GZ481" i="112"/>
  <c r="GZ444" i="112"/>
  <c r="GZ358" i="112"/>
  <c r="GZ391" i="112"/>
  <c r="GZ443" i="112"/>
  <c r="GZ320" i="112"/>
  <c r="GZ357" i="112"/>
  <c r="GZ324" i="112"/>
  <c r="GY378" i="112"/>
  <c r="GX360" i="112"/>
  <c r="GX492" i="112"/>
  <c r="GW378" i="112"/>
  <c r="GX333" i="112"/>
  <c r="GW492" i="112"/>
  <c r="GY333" i="112"/>
  <c r="GY432" i="112"/>
  <c r="GW474" i="112"/>
  <c r="BA131" i="111"/>
  <c r="BA94" i="111"/>
  <c r="BA71" i="111"/>
  <c r="BA35" i="111"/>
  <c r="BA12" i="111"/>
  <c r="GZ360" i="112" l="1"/>
  <c r="GZ492" i="112"/>
  <c r="GZ378" i="112"/>
  <c r="GZ474" i="112"/>
  <c r="GZ432" i="112"/>
  <c r="GZ333" i="112"/>
  <c r="AN2" i="121"/>
  <c r="AO7" i="111"/>
  <c r="AS5" i="114"/>
  <c r="AW3" i="124" l="1"/>
  <c r="FO534" i="112" l="1"/>
  <c r="DM534" i="112"/>
  <c r="FO533" i="112"/>
  <c r="DM533" i="112"/>
  <c r="FO532" i="112"/>
  <c r="DM532" i="112"/>
  <c r="FO531" i="112"/>
  <c r="DM531" i="112"/>
  <c r="FO530" i="112"/>
  <c r="DM530" i="112"/>
  <c r="FO529" i="112"/>
  <c r="DM529" i="112"/>
  <c r="FO528" i="112"/>
  <c r="DM528" i="112"/>
  <c r="FO527" i="112"/>
  <c r="DM527" i="112"/>
  <c r="FO526" i="112"/>
  <c r="DM526" i="112"/>
  <c r="FO525" i="112"/>
  <c r="DM525" i="112"/>
  <c r="FO524" i="112"/>
  <c r="DM524" i="112"/>
  <c r="FO523" i="112"/>
  <c r="DM523" i="112"/>
  <c r="FO522" i="112"/>
  <c r="DM522" i="112"/>
  <c r="FO521" i="112"/>
  <c r="DM521" i="112"/>
  <c r="FO520" i="112"/>
  <c r="FK520" i="112"/>
  <c r="DM520" i="112"/>
  <c r="AM159" i="121"/>
  <c r="DM514" i="112"/>
  <c r="AM158" i="121"/>
  <c r="DM513" i="112"/>
  <c r="AM157" i="121"/>
  <c r="DM512" i="112"/>
  <c r="AM156" i="121"/>
  <c r="DM511" i="112"/>
  <c r="AM155" i="121"/>
  <c r="DM510" i="112"/>
  <c r="AM154" i="121"/>
  <c r="DM509" i="112"/>
  <c r="AM153" i="121"/>
  <c r="DM508" i="112"/>
  <c r="AM152" i="121"/>
  <c r="DM507" i="112"/>
  <c r="DM502" i="112"/>
  <c r="FO501" i="112"/>
  <c r="DM501" i="112"/>
  <c r="FO500" i="112"/>
  <c r="FO499" i="112"/>
  <c r="FO498" i="112"/>
  <c r="DM498" i="112"/>
  <c r="FO497" i="112"/>
  <c r="DM497" i="112"/>
  <c r="FO491" i="112"/>
  <c r="DM491" i="112"/>
  <c r="FO490" i="112"/>
  <c r="DM490" i="112"/>
  <c r="FO489" i="112"/>
  <c r="DM489" i="112"/>
  <c r="FO488" i="112"/>
  <c r="DM488" i="112"/>
  <c r="FO487" i="112"/>
  <c r="DM487" i="112"/>
  <c r="FO486" i="112"/>
  <c r="DM486" i="112"/>
  <c r="FO485" i="112"/>
  <c r="DM485" i="112"/>
  <c r="FO484" i="112"/>
  <c r="DM484" i="112"/>
  <c r="FO483" i="112"/>
  <c r="DM483" i="112"/>
  <c r="FO482" i="112"/>
  <c r="DM482" i="112"/>
  <c r="FO481" i="112"/>
  <c r="DM481" i="112"/>
  <c r="FO480" i="112"/>
  <c r="DM480" i="112"/>
  <c r="FO479" i="112"/>
  <c r="DM479" i="112"/>
  <c r="FO478" i="112"/>
  <c r="DM478" i="112"/>
  <c r="FO473" i="112"/>
  <c r="DM473" i="112"/>
  <c r="FO472" i="112"/>
  <c r="DM472" i="112"/>
  <c r="FO471" i="112"/>
  <c r="DM471" i="112"/>
  <c r="FO470" i="112"/>
  <c r="DM470" i="112"/>
  <c r="FO469" i="112"/>
  <c r="DM469" i="112"/>
  <c r="FO468" i="112"/>
  <c r="DM468" i="112"/>
  <c r="FO467" i="112"/>
  <c r="DM467" i="112"/>
  <c r="FO466" i="112"/>
  <c r="DM466" i="112"/>
  <c r="FO465" i="112"/>
  <c r="DM465" i="112"/>
  <c r="FO464" i="112"/>
  <c r="DM464" i="112"/>
  <c r="FO463" i="112"/>
  <c r="DM463" i="112"/>
  <c r="FO462" i="112"/>
  <c r="DM462" i="112"/>
  <c r="FO461" i="112"/>
  <c r="DM461" i="112"/>
  <c r="FO460" i="112"/>
  <c r="DM460" i="112"/>
  <c r="FO459" i="112"/>
  <c r="AM121" i="121"/>
  <c r="DM459" i="112"/>
  <c r="FO458" i="112"/>
  <c r="DM458" i="112"/>
  <c r="FO457" i="112"/>
  <c r="DM457" i="112"/>
  <c r="FO456" i="112"/>
  <c r="DM456" i="112"/>
  <c r="FO455" i="112"/>
  <c r="DM455" i="112"/>
  <c r="FO454" i="112"/>
  <c r="DM454" i="112"/>
  <c r="FO453" i="112"/>
  <c r="DM453" i="112"/>
  <c r="FO452" i="112"/>
  <c r="DM452" i="112"/>
  <c r="FO451" i="112"/>
  <c r="DM451" i="112"/>
  <c r="FO450" i="112"/>
  <c r="DM450" i="112"/>
  <c r="FO449" i="112"/>
  <c r="DM449" i="112"/>
  <c r="FO448" i="112"/>
  <c r="DM448" i="112"/>
  <c r="FO447" i="112"/>
  <c r="DM447" i="112"/>
  <c r="FO446" i="112"/>
  <c r="DM446" i="112"/>
  <c r="FO445" i="112"/>
  <c r="DM445" i="112"/>
  <c r="FO444" i="112"/>
  <c r="DM444" i="112"/>
  <c r="FO443" i="112"/>
  <c r="DM443" i="112"/>
  <c r="FO442" i="112"/>
  <c r="DM442" i="112"/>
  <c r="FO441" i="112"/>
  <c r="DM441" i="112"/>
  <c r="FO440" i="112"/>
  <c r="DM440" i="112"/>
  <c r="FO439" i="112"/>
  <c r="DM439" i="112"/>
  <c r="FO438" i="112"/>
  <c r="DM438" i="112"/>
  <c r="FO437" i="112"/>
  <c r="DM437" i="112"/>
  <c r="FO436" i="112"/>
  <c r="DM436" i="112"/>
  <c r="FO431" i="112"/>
  <c r="DM431" i="112"/>
  <c r="FO430" i="112"/>
  <c r="DM430" i="112"/>
  <c r="FO429" i="112"/>
  <c r="DM429" i="112"/>
  <c r="FO428" i="112"/>
  <c r="DM428" i="112"/>
  <c r="FO427" i="112"/>
  <c r="DM427" i="112"/>
  <c r="FO426" i="112"/>
  <c r="DM426" i="112"/>
  <c r="FO425" i="112"/>
  <c r="DM425" i="112"/>
  <c r="FO424" i="112"/>
  <c r="DM424" i="112"/>
  <c r="FO423" i="112"/>
  <c r="DM423" i="112"/>
  <c r="FO422" i="112"/>
  <c r="DM422" i="112"/>
  <c r="FO421" i="112"/>
  <c r="DM421" i="112"/>
  <c r="FO420" i="112"/>
  <c r="DM420" i="112"/>
  <c r="FO419" i="112"/>
  <c r="DM419" i="112"/>
  <c r="FO416" i="112"/>
  <c r="DM416" i="112"/>
  <c r="FO415" i="112"/>
  <c r="DM415" i="112"/>
  <c r="FO414" i="112"/>
  <c r="AM84" i="121"/>
  <c r="DM414" i="112"/>
  <c r="FO413" i="112"/>
  <c r="DM413" i="112"/>
  <c r="FO412" i="112"/>
  <c r="DM412" i="112"/>
  <c r="FO411" i="112"/>
  <c r="DM411" i="112"/>
  <c r="FO410" i="112"/>
  <c r="DM410" i="112"/>
  <c r="FO409" i="112"/>
  <c r="AM79" i="121"/>
  <c r="DM409" i="112"/>
  <c r="FO408" i="112"/>
  <c r="DM408" i="112"/>
  <c r="FO407" i="112"/>
  <c r="DM407" i="112"/>
  <c r="FO406" i="112"/>
  <c r="DM406" i="112"/>
  <c r="FO405" i="112"/>
  <c r="DM405" i="112"/>
  <c r="FO404" i="112"/>
  <c r="DM404" i="112"/>
  <c r="FO403" i="112"/>
  <c r="DM403" i="112"/>
  <c r="FO402" i="112"/>
  <c r="DM402" i="112"/>
  <c r="FO401" i="112"/>
  <c r="DM401" i="112"/>
  <c r="FO400" i="112"/>
  <c r="DM400" i="112"/>
  <c r="FO399" i="112"/>
  <c r="DM399" i="112"/>
  <c r="FO398" i="112"/>
  <c r="DM398" i="112"/>
  <c r="FO397" i="112"/>
  <c r="DM397" i="112"/>
  <c r="FO396" i="112"/>
  <c r="DM396" i="112"/>
  <c r="FO395" i="112"/>
  <c r="DM395" i="112"/>
  <c r="FO394" i="112"/>
  <c r="DM394" i="112"/>
  <c r="FO393" i="112"/>
  <c r="DM393" i="112"/>
  <c r="FO392" i="112"/>
  <c r="DM392" i="112"/>
  <c r="FO391" i="112"/>
  <c r="DM391" i="112"/>
  <c r="FO390" i="112"/>
  <c r="DM390" i="112"/>
  <c r="FO389" i="112"/>
  <c r="DM389" i="112"/>
  <c r="FO388" i="112"/>
  <c r="DM388" i="112"/>
  <c r="FO387" i="112"/>
  <c r="DM387" i="112"/>
  <c r="FO386" i="112"/>
  <c r="DM386" i="112"/>
  <c r="FO385" i="112"/>
  <c r="DM385" i="112"/>
  <c r="FO384" i="112"/>
  <c r="DM384" i="112"/>
  <c r="FO383" i="112"/>
  <c r="DM383" i="112"/>
  <c r="FO382" i="112"/>
  <c r="DM382" i="112"/>
  <c r="FO377" i="112"/>
  <c r="DM377" i="112"/>
  <c r="FO376" i="112"/>
  <c r="DM376" i="112"/>
  <c r="FO375" i="112"/>
  <c r="DM375" i="112"/>
  <c r="FO374" i="112"/>
  <c r="DM374" i="112"/>
  <c r="FO373" i="112"/>
  <c r="DM373" i="112"/>
  <c r="FO372" i="112"/>
  <c r="DM372" i="112"/>
  <c r="FO371" i="112"/>
  <c r="DM371" i="112"/>
  <c r="FO370" i="112"/>
  <c r="DM370" i="112"/>
  <c r="FO369" i="112"/>
  <c r="DM369" i="112"/>
  <c r="FO368" i="112"/>
  <c r="DM368" i="112"/>
  <c r="FO367" i="112"/>
  <c r="DM367" i="112"/>
  <c r="FO366" i="112"/>
  <c r="DM366" i="112"/>
  <c r="FO365" i="112"/>
  <c r="DM365" i="112"/>
  <c r="FO364" i="112"/>
  <c r="DM364" i="112"/>
  <c r="FO359" i="112"/>
  <c r="FK359" i="112"/>
  <c r="DM359" i="112"/>
  <c r="FO358" i="112"/>
  <c r="FK358" i="112"/>
  <c r="DM358" i="112"/>
  <c r="FO357" i="112"/>
  <c r="FK357" i="112"/>
  <c r="DM357" i="112"/>
  <c r="FO356" i="112"/>
  <c r="FK356" i="112"/>
  <c r="DM356" i="112"/>
  <c r="FO355" i="112"/>
  <c r="FK355" i="112"/>
  <c r="DM355" i="112"/>
  <c r="FO354" i="112"/>
  <c r="FK354" i="112"/>
  <c r="DM354" i="112"/>
  <c r="FO353" i="112"/>
  <c r="FK353" i="112"/>
  <c r="DM353" i="112"/>
  <c r="FO352" i="112"/>
  <c r="FK352" i="112"/>
  <c r="DM352" i="112"/>
  <c r="FO351" i="112"/>
  <c r="FK351" i="112"/>
  <c r="DM351" i="112"/>
  <c r="FO350" i="112"/>
  <c r="FK350" i="112"/>
  <c r="DM350" i="112"/>
  <c r="FO349" i="112"/>
  <c r="FK349" i="112"/>
  <c r="DM349" i="112"/>
  <c r="FO348" i="112"/>
  <c r="FK348" i="112"/>
  <c r="DM348" i="112"/>
  <c r="FO347" i="112"/>
  <c r="FK347" i="112"/>
  <c r="DM347" i="112"/>
  <c r="FO346" i="112"/>
  <c r="FK346" i="112"/>
  <c r="DM346" i="112"/>
  <c r="FO345" i="112"/>
  <c r="FK345" i="112"/>
  <c r="DM345" i="112"/>
  <c r="FO344" i="112"/>
  <c r="FK344" i="112"/>
  <c r="DM344" i="112"/>
  <c r="FO343" i="112"/>
  <c r="FK343" i="112"/>
  <c r="DM343" i="112"/>
  <c r="FO342" i="112"/>
  <c r="FK342" i="112"/>
  <c r="DM342" i="112"/>
  <c r="FO341" i="112"/>
  <c r="FK341" i="112"/>
  <c r="DM341" i="112"/>
  <c r="FO340" i="112"/>
  <c r="FK340" i="112"/>
  <c r="DM340" i="112"/>
  <c r="FO339" i="112"/>
  <c r="FK339" i="112"/>
  <c r="DM339" i="112"/>
  <c r="FO338" i="112"/>
  <c r="FK338" i="112"/>
  <c r="DM338" i="112"/>
  <c r="FO337" i="112"/>
  <c r="FK337" i="112"/>
  <c r="DM337" i="112"/>
  <c r="FO332" i="112"/>
  <c r="FK332" i="112"/>
  <c r="DM332" i="112"/>
  <c r="FO331" i="112"/>
  <c r="FK331" i="112"/>
  <c r="DM331" i="112"/>
  <c r="FO330" i="112"/>
  <c r="FK330" i="112"/>
  <c r="DM330" i="112"/>
  <c r="FO329" i="112"/>
  <c r="FK329" i="112"/>
  <c r="DM329" i="112"/>
  <c r="FO328" i="112"/>
  <c r="FK328" i="112"/>
  <c r="DM328" i="112"/>
  <c r="FO327" i="112"/>
  <c r="FK327" i="112"/>
  <c r="DM327" i="112"/>
  <c r="FO326" i="112"/>
  <c r="FK326" i="112"/>
  <c r="DM326" i="112"/>
  <c r="FO325" i="112"/>
  <c r="FK325" i="112"/>
  <c r="DM325" i="112"/>
  <c r="FO324" i="112"/>
  <c r="FK324" i="112"/>
  <c r="DM324" i="112"/>
  <c r="FO323" i="112"/>
  <c r="FK323" i="112"/>
  <c r="DM323" i="112"/>
  <c r="FO322" i="112"/>
  <c r="FK322" i="112"/>
  <c r="DM322" i="112"/>
  <c r="FO321" i="112"/>
  <c r="FK321" i="112"/>
  <c r="DM321" i="112"/>
  <c r="FO320" i="112"/>
  <c r="FK320" i="112"/>
  <c r="DM320" i="112"/>
  <c r="FO319" i="112"/>
  <c r="DM319" i="112"/>
  <c r="AW1" i="111"/>
  <c r="DM535" i="112" l="1"/>
  <c r="DM474" i="112"/>
  <c r="DM516" i="112"/>
  <c r="DM515" i="112"/>
  <c r="DM333" i="112"/>
  <c r="AN1" i="115"/>
  <c r="AN1" i="114"/>
  <c r="AR1" i="124"/>
  <c r="T1" i="122"/>
  <c r="F5" i="125"/>
  <c r="DN246" i="112"/>
  <c r="DN244" i="112"/>
  <c r="DM543" i="112" l="1"/>
  <c r="Q33" i="124"/>
  <c r="H20" i="124"/>
  <c r="H17" i="124"/>
  <c r="DR501" i="112" l="1"/>
  <c r="HH521" i="112" l="1"/>
  <c r="HH522" i="112"/>
  <c r="HH523" i="112"/>
  <c r="L54" i="125"/>
  <c r="N54" i="125" s="1"/>
  <c r="I54" i="125" s="1"/>
  <c r="L43" i="125"/>
  <c r="N43" i="125" s="1"/>
  <c r="I43" i="125" s="1"/>
  <c r="L49" i="125"/>
  <c r="N49" i="125" s="1"/>
  <c r="I49" i="125" s="1"/>
  <c r="P34" i="126" l="1"/>
  <c r="F34" i="126" s="1"/>
  <c r="AO546" i="111" l="1"/>
  <c r="AO486" i="111"/>
  <c r="AO426" i="111"/>
  <c r="AO366" i="111"/>
  <c r="AO306" i="111"/>
  <c r="AO246" i="111"/>
  <c r="AO186" i="111"/>
  <c r="AO126" i="111"/>
  <c r="AO66" i="111"/>
  <c r="P30" i="126"/>
  <c r="F30" i="126" s="1"/>
  <c r="P31" i="126"/>
  <c r="F31" i="126" s="1"/>
  <c r="P32" i="126"/>
  <c r="F32" i="126" s="1"/>
  <c r="P33" i="126"/>
  <c r="F33" i="126" s="1"/>
  <c r="P35" i="126"/>
  <c r="F35" i="126" s="1"/>
  <c r="P36" i="126"/>
  <c r="F36" i="126" s="1"/>
  <c r="P37" i="126"/>
  <c r="F37" i="126" s="1"/>
  <c r="P29" i="126"/>
  <c r="F29" i="126" s="1"/>
  <c r="H5" i="125" l="1"/>
  <c r="N55" i="125"/>
  <c r="M55" i="125"/>
  <c r="O54" i="125"/>
  <c r="N50" i="125"/>
  <c r="M50" i="125"/>
  <c r="O49" i="125"/>
  <c r="N44" i="125"/>
  <c r="M44" i="125"/>
  <c r="O43" i="125"/>
  <c r="N39" i="125"/>
  <c r="O39" i="125" s="1"/>
  <c r="N33" i="125"/>
  <c r="O33" i="125" s="1"/>
  <c r="N32" i="125"/>
  <c r="O32" i="125" s="1"/>
  <c r="N28" i="125"/>
  <c r="O28" i="125" s="1"/>
  <c r="N26" i="125"/>
  <c r="O26" i="125" s="1"/>
  <c r="N25" i="125"/>
  <c r="O25" i="125" s="1"/>
  <c r="N24" i="125"/>
  <c r="O24" i="125" s="1"/>
  <c r="N23" i="125"/>
  <c r="O23" i="125" s="1"/>
  <c r="N22" i="125"/>
  <c r="O22" i="125" s="1"/>
  <c r="N18" i="125"/>
  <c r="O18" i="125" s="1"/>
  <c r="N17" i="125"/>
  <c r="O17" i="125" s="1"/>
  <c r="O50" i="125" l="1"/>
  <c r="O55" i="125"/>
  <c r="O44" i="125"/>
  <c r="O58" i="125" l="1"/>
  <c r="C9" i="125" s="1"/>
  <c r="AE189" i="112" l="1"/>
  <c r="AE188" i="112"/>
  <c r="DN238" i="112" l="1"/>
  <c r="AR546" i="111" l="1"/>
  <c r="AQ546" i="111"/>
  <c r="AP546" i="111"/>
  <c r="AR486" i="111"/>
  <c r="AQ486" i="111"/>
  <c r="AP486" i="111"/>
  <c r="AR426" i="111"/>
  <c r="AQ426" i="111"/>
  <c r="AP426" i="111"/>
  <c r="AR366" i="111"/>
  <c r="AQ366" i="111"/>
  <c r="AP366" i="111"/>
  <c r="AR306" i="111"/>
  <c r="AQ306" i="111"/>
  <c r="AP306" i="111"/>
  <c r="AR246" i="111"/>
  <c r="AQ246" i="111"/>
  <c r="AP246" i="111"/>
  <c r="AR186" i="111"/>
  <c r="AQ186" i="111"/>
  <c r="AP186" i="111"/>
  <c r="AR126" i="111"/>
  <c r="AQ126" i="111"/>
  <c r="AP126" i="111"/>
  <c r="AR66" i="111"/>
  <c r="AQ66" i="111"/>
  <c r="AP66" i="111"/>
  <c r="AR7" i="111"/>
  <c r="U2" i="122" s="1"/>
  <c r="AQ7" i="111"/>
  <c r="AP7" i="111"/>
  <c r="AO4" i="114"/>
  <c r="AN4" i="114"/>
  <c r="T2" i="122" l="1"/>
  <c r="AS4" i="115" l="1"/>
  <c r="AR4" i="115"/>
  <c r="AQ4" i="115"/>
  <c r="K8" i="124" l="1"/>
  <c r="H8" i="124"/>
  <c r="AO4" i="115"/>
  <c r="DN247" i="112"/>
  <c r="AS247" i="112" s="1"/>
  <c r="DN245" i="112"/>
  <c r="AS245" i="112" s="1"/>
  <c r="DP247" i="112"/>
  <c r="EJ245" i="112" s="1"/>
  <c r="DP245" i="112"/>
  <c r="EB245" i="112" s="1"/>
  <c r="AO246" i="112"/>
  <c r="AO244" i="112"/>
  <c r="D219" i="135" l="1"/>
  <c r="E219" i="135" s="1"/>
  <c r="F219" i="135" s="1"/>
  <c r="G219" i="135" s="1"/>
  <c r="D73" i="139"/>
  <c r="E73" i="139" s="1"/>
  <c r="F73" i="139" s="1"/>
  <c r="G73" i="139" s="1"/>
  <c r="D213" i="135"/>
  <c r="E213" i="135" s="1"/>
  <c r="F213" i="135" s="1"/>
  <c r="G213" i="135" s="1"/>
  <c r="D67" i="139"/>
  <c r="E67" i="139" s="1"/>
  <c r="F67" i="139" s="1"/>
  <c r="G67" i="139" s="1"/>
  <c r="AP4" i="115"/>
  <c r="AP2" i="121"/>
  <c r="AN4" i="115"/>
  <c r="AO2" i="121"/>
  <c r="AO247" i="112"/>
  <c r="AO245" i="112"/>
  <c r="DO245" i="112"/>
  <c r="EB244" i="112" s="1"/>
  <c r="D212" i="135" l="1"/>
  <c r="E212" i="135" s="1"/>
  <c r="F212" i="135" s="1"/>
  <c r="G212" i="135" s="1"/>
  <c r="D66" i="139"/>
  <c r="E66" i="139" s="1"/>
  <c r="F66" i="139" s="1"/>
  <c r="G66" i="139" s="1"/>
  <c r="H15" i="124"/>
  <c r="DW24" i="112"/>
  <c r="D22" i="135" s="1"/>
  <c r="E22" i="135" s="1"/>
  <c r="F22" i="135" s="1"/>
  <c r="G22" i="135" s="1"/>
  <c r="Q41" i="124"/>
  <c r="DZ204" i="112"/>
  <c r="DY204" i="112"/>
  <c r="DX204" i="112"/>
  <c r="DZ198" i="112"/>
  <c r="DY198" i="112"/>
  <c r="DX198" i="112"/>
  <c r="EA198" i="112" s="1"/>
  <c r="EB198" i="112" s="1"/>
  <c r="DW207" i="112"/>
  <c r="D166" i="135" s="1"/>
  <c r="E166" i="135" s="1"/>
  <c r="F166" i="135" s="1"/>
  <c r="G166" i="135" s="1"/>
  <c r="DW206" i="112"/>
  <c r="D165" i="135" s="1"/>
  <c r="E165" i="135" s="1"/>
  <c r="F165" i="135" s="1"/>
  <c r="G165" i="135" s="1"/>
  <c r="DW203" i="112"/>
  <c r="DW202" i="112"/>
  <c r="DW201" i="112"/>
  <c r="D156" i="135" s="1"/>
  <c r="E156" i="135" s="1"/>
  <c r="F156" i="135" s="1"/>
  <c r="G156" i="135" s="1"/>
  <c r="DW200" i="112"/>
  <c r="D155" i="135" s="1"/>
  <c r="E155" i="135" s="1"/>
  <c r="F155" i="135" s="1"/>
  <c r="G155" i="135" s="1"/>
  <c r="DW199" i="112"/>
  <c r="DW197" i="112"/>
  <c r="D148" i="135" s="1"/>
  <c r="E148" i="135" s="1"/>
  <c r="F148" i="135" s="1"/>
  <c r="G148" i="135" s="1"/>
  <c r="DW196" i="112"/>
  <c r="Q48" i="124"/>
  <c r="Q46" i="124"/>
  <c r="Q45" i="124"/>
  <c r="Q44" i="124"/>
  <c r="Q43" i="124"/>
  <c r="Q42" i="124"/>
  <c r="AD30" i="124"/>
  <c r="V31" i="124"/>
  <c r="Y30" i="124"/>
  <c r="V30" i="124"/>
  <c r="Q29" i="124"/>
  <c r="Q28" i="124"/>
  <c r="H10" i="124"/>
  <c r="AU4" i="124"/>
  <c r="AA59" i="124"/>
  <c r="EA205" i="112" l="1"/>
  <c r="EA199" i="112"/>
  <c r="D164" i="135"/>
  <c r="E164" i="135" s="1"/>
  <c r="F164" i="135" s="1"/>
  <c r="G164" i="135" s="1"/>
  <c r="D53" i="139"/>
  <c r="E53" i="139" s="1"/>
  <c r="F53" i="139" s="1"/>
  <c r="G53" i="139" s="1"/>
  <c r="D154" i="135"/>
  <c r="E154" i="135" s="1"/>
  <c r="F154" i="135" s="1"/>
  <c r="G154" i="135" s="1"/>
  <c r="D51" i="139"/>
  <c r="E51" i="139" s="1"/>
  <c r="F51" i="139" s="1"/>
  <c r="G51" i="139" s="1"/>
  <c r="D149" i="135"/>
  <c r="E149" i="135" s="1"/>
  <c r="F149" i="135" s="1"/>
  <c r="G149" i="135" s="1"/>
  <c r="T51" i="124"/>
  <c r="D150" i="135"/>
  <c r="E150" i="135" s="1"/>
  <c r="F150" i="135" s="1"/>
  <c r="G150" i="135" s="1"/>
  <c r="AD51" i="124"/>
  <c r="D152" i="135"/>
  <c r="E152" i="135" s="1"/>
  <c r="F152" i="135" s="1"/>
  <c r="G152" i="135" s="1"/>
  <c r="Q55" i="124"/>
  <c r="D157" i="135"/>
  <c r="E157" i="135" s="1"/>
  <c r="F157" i="135" s="1"/>
  <c r="G157" i="135" s="1"/>
  <c r="Q57" i="124"/>
  <c r="D159" i="135"/>
  <c r="E159" i="135" s="1"/>
  <c r="F159" i="135" s="1"/>
  <c r="G159" i="135" s="1"/>
  <c r="Y51" i="124"/>
  <c r="D151" i="135"/>
  <c r="E151" i="135" s="1"/>
  <c r="F151" i="135" s="1"/>
  <c r="G151" i="135" s="1"/>
  <c r="Q56" i="124"/>
  <c r="D158" i="135"/>
  <c r="E158" i="135" s="1"/>
  <c r="F158" i="135" s="1"/>
  <c r="G158" i="135" s="1"/>
  <c r="T57" i="124"/>
  <c r="D160" i="135"/>
  <c r="E160" i="135" s="1"/>
  <c r="F160" i="135" s="1"/>
  <c r="G160" i="135" s="1"/>
  <c r="Q49" i="124"/>
  <c r="AA53" i="124" s="1"/>
  <c r="D147" i="135"/>
  <c r="E147" i="135" s="1"/>
  <c r="F147" i="135" s="1"/>
  <c r="G147" i="135" s="1"/>
  <c r="Y57" i="124"/>
  <c r="D161" i="135"/>
  <c r="E161" i="135" s="1"/>
  <c r="F161" i="135" s="1"/>
  <c r="G161" i="135" s="1"/>
  <c r="AD57" i="124"/>
  <c r="D162" i="135"/>
  <c r="E162" i="135" s="1"/>
  <c r="F162" i="135" s="1"/>
  <c r="G162" i="135" s="1"/>
  <c r="DW212" i="112"/>
  <c r="C296" i="114" s="1"/>
  <c r="Q51" i="124"/>
  <c r="H14" i="124"/>
  <c r="Q58" i="124"/>
  <c r="Q50" i="124"/>
  <c r="D163" i="135" l="1"/>
  <c r="E163" i="135" s="1"/>
  <c r="F163" i="135" s="1"/>
  <c r="G163" i="135" s="1"/>
  <c r="D52" i="139"/>
  <c r="E52" i="139" s="1"/>
  <c r="F52" i="139" s="1"/>
  <c r="G52" i="139" s="1"/>
  <c r="EB204" i="112"/>
  <c r="DN215" i="112"/>
  <c r="AA3" i="37" s="1"/>
  <c r="GB534" i="112"/>
  <c r="GB533" i="112"/>
  <c r="GB532" i="112"/>
  <c r="GB531" i="112"/>
  <c r="GB530" i="112"/>
  <c r="GB529" i="112"/>
  <c r="GB528" i="112"/>
  <c r="GB527" i="112"/>
  <c r="GB526" i="112"/>
  <c r="GB525" i="112"/>
  <c r="GB524" i="112"/>
  <c r="GB523" i="112"/>
  <c r="GB522" i="112"/>
  <c r="GB521" i="112"/>
  <c r="GB520" i="112"/>
  <c r="D153" i="135" l="1"/>
  <c r="E153" i="135" s="1"/>
  <c r="F153" i="135" s="1"/>
  <c r="G153" i="135" s="1"/>
  <c r="D50" i="139"/>
  <c r="E50" i="139" s="1"/>
  <c r="F50" i="139" s="1"/>
  <c r="G50" i="139" s="1"/>
  <c r="AD83" i="37"/>
  <c r="AE84" i="37" s="1"/>
  <c r="AR9" i="37" s="1"/>
  <c r="AR11" i="37" s="1"/>
  <c r="BV215" i="112"/>
  <c r="Q52" i="124"/>
  <c r="AH237" i="112"/>
  <c r="BS96" i="37" l="1"/>
  <c r="BR96" i="37"/>
  <c r="DR511" i="112" l="1"/>
  <c r="DS511" i="112"/>
  <c r="DR512" i="112"/>
  <c r="DS512" i="112"/>
  <c r="DR513" i="112"/>
  <c r="DS513" i="112"/>
  <c r="DR514" i="112"/>
  <c r="DS514" i="112"/>
  <c r="DK514" i="112" l="1"/>
  <c r="FQ514" i="112" s="1"/>
  <c r="FR514" i="112" s="1"/>
  <c r="EA514" i="112" s="1"/>
  <c r="DL514" i="112"/>
  <c r="DL512" i="112"/>
  <c r="DK512" i="112"/>
  <c r="FQ512" i="112" s="1"/>
  <c r="FR512" i="112" s="1"/>
  <c r="EA512" i="112" s="1"/>
  <c r="DK513" i="112"/>
  <c r="FQ513" i="112" s="1"/>
  <c r="FR513" i="112" s="1"/>
  <c r="EA513" i="112" s="1"/>
  <c r="DL513" i="112"/>
  <c r="DL511" i="112"/>
  <c r="DK511" i="112"/>
  <c r="FQ511" i="112" s="1"/>
  <c r="FR511" i="112" s="1"/>
  <c r="EA511" i="112" s="1"/>
  <c r="AD229" i="115"/>
  <c r="V229" i="115"/>
  <c r="DN153" i="112" l="1"/>
  <c r="DN154" i="112"/>
  <c r="DN155" i="112"/>
  <c r="DN156" i="112"/>
  <c r="DN157" i="112"/>
  <c r="DN152" i="112"/>
  <c r="R583" i="114" l="1"/>
  <c r="AA259" i="114" l="1"/>
  <c r="AA258" i="114"/>
  <c r="BQ276" i="112"/>
  <c r="DY258" i="112"/>
  <c r="DY259" i="112"/>
  <c r="DY260" i="112"/>
  <c r="DY261" i="112"/>
  <c r="DY257" i="112"/>
  <c r="AS293" i="112" l="1"/>
  <c r="AV275" i="112" l="1"/>
  <c r="AA256" i="114" l="1"/>
  <c r="AA257" i="114"/>
  <c r="DO247" i="112" l="1"/>
  <c r="EJ244" i="112" s="1"/>
  <c r="D218" i="135" l="1"/>
  <c r="E218" i="135" s="1"/>
  <c r="F218" i="135" s="1"/>
  <c r="G218" i="135" s="1"/>
  <c r="D72" i="139"/>
  <c r="E72" i="139" s="1"/>
  <c r="F72" i="139" s="1"/>
  <c r="G72" i="139" s="1"/>
  <c r="DR327" i="112"/>
  <c r="DS327" i="112"/>
  <c r="DR328" i="112"/>
  <c r="DS328" i="112"/>
  <c r="DR329" i="112"/>
  <c r="DS329" i="112"/>
  <c r="DR330" i="112"/>
  <c r="DS330" i="112"/>
  <c r="DR331" i="112"/>
  <c r="DS331" i="112"/>
  <c r="DL328" i="112" l="1"/>
  <c r="DK328" i="112"/>
  <c r="DL330" i="112"/>
  <c r="DK330" i="112"/>
  <c r="DL329" i="112"/>
  <c r="DK329" i="112"/>
  <c r="DL331" i="112"/>
  <c r="DK331" i="112"/>
  <c r="DL327" i="112"/>
  <c r="DK327" i="112"/>
  <c r="DP273" i="112"/>
  <c r="CB347" i="112" s="1"/>
  <c r="DT273" i="112" l="1"/>
  <c r="DT272" i="112"/>
  <c r="DR486" i="112"/>
  <c r="DR484" i="112"/>
  <c r="DR481" i="112"/>
  <c r="DR479" i="112"/>
  <c r="DR467" i="112"/>
  <c r="DR466" i="112"/>
  <c r="DR465" i="112"/>
  <c r="DR463" i="112"/>
  <c r="DR461" i="112"/>
  <c r="DR455" i="112"/>
  <c r="DR453" i="112"/>
  <c r="DR447" i="112"/>
  <c r="DR446" i="112"/>
  <c r="DR450" i="112"/>
  <c r="DR448" i="112"/>
  <c r="DR449" i="112"/>
  <c r="DR405" i="112"/>
  <c r="DR403" i="112"/>
  <c r="DR402" i="112"/>
  <c r="DR400" i="112"/>
  <c r="DR399" i="112"/>
  <c r="DR395" i="112"/>
  <c r="DR394" i="112"/>
  <c r="DR393" i="112"/>
  <c r="DR391" i="112"/>
  <c r="DR390" i="112"/>
  <c r="DR389" i="112"/>
  <c r="DR388" i="112"/>
  <c r="DR386" i="112"/>
  <c r="DR372" i="112"/>
  <c r="DR371" i="112"/>
  <c r="DR370" i="112"/>
  <c r="DR369" i="112"/>
  <c r="DR368" i="112"/>
  <c r="DR367" i="112"/>
  <c r="DR366" i="112"/>
  <c r="DR365" i="112"/>
  <c r="DR364" i="112"/>
  <c r="DR354" i="112"/>
  <c r="DR352" i="112"/>
  <c r="DR350" i="112"/>
  <c r="DR349" i="112"/>
  <c r="DR348" i="112"/>
  <c r="DR346" i="112"/>
  <c r="DR345" i="112"/>
  <c r="DR344" i="112"/>
  <c r="DR343" i="112"/>
  <c r="DR342" i="112"/>
  <c r="DR340" i="112"/>
  <c r="DR339" i="112"/>
  <c r="DR338" i="112"/>
  <c r="DR337" i="112"/>
  <c r="P524" i="112" s="1"/>
  <c r="DR326" i="112"/>
  <c r="DR325" i="112"/>
  <c r="DR324" i="112"/>
  <c r="DR323" i="112"/>
  <c r="DR322" i="112"/>
  <c r="DR321" i="112"/>
  <c r="DR320" i="112"/>
  <c r="D272" i="135" l="1"/>
  <c r="E272" i="135" s="1"/>
  <c r="F272" i="135" s="1"/>
  <c r="G272" i="135" s="1"/>
  <c r="D78" i="139"/>
  <c r="E78" i="139" s="1"/>
  <c r="F78" i="139" s="1"/>
  <c r="G78" i="139" s="1"/>
  <c r="D273" i="135"/>
  <c r="E273" i="135" s="1"/>
  <c r="F273" i="135" s="1"/>
  <c r="G273" i="135" s="1"/>
  <c r="D79" i="139"/>
  <c r="E79" i="139" s="1"/>
  <c r="F79" i="139" s="1"/>
  <c r="G79" i="139" s="1"/>
  <c r="FW534" i="112" l="1"/>
  <c r="HQ319" i="112" s="1"/>
  <c r="FS534" i="112"/>
  <c r="FN534" i="112"/>
  <c r="FM534" i="112"/>
  <c r="FL534" i="112"/>
  <c r="FK534" i="112"/>
  <c r="DT534" i="112"/>
  <c r="DS534" i="112"/>
  <c r="DR534" i="112"/>
  <c r="DQ534" i="112"/>
  <c r="DP534" i="112"/>
  <c r="DO534" i="112"/>
  <c r="DN534" i="112"/>
  <c r="FW533" i="112"/>
  <c r="HP319" i="112" s="1"/>
  <c r="FS533" i="112"/>
  <c r="FT533" i="112" s="1"/>
  <c r="FN533" i="112"/>
  <c r="FM533" i="112"/>
  <c r="FL533" i="112"/>
  <c r="FK533" i="112"/>
  <c r="DT533" i="112"/>
  <c r="DS533" i="112"/>
  <c r="DR533" i="112"/>
  <c r="DQ533" i="112"/>
  <c r="DP533" i="112"/>
  <c r="DO533" i="112"/>
  <c r="DN533" i="112"/>
  <c r="FW532" i="112"/>
  <c r="HO319" i="112" s="1"/>
  <c r="FS532" i="112"/>
  <c r="FN532" i="112"/>
  <c r="FM532" i="112"/>
  <c r="FL532" i="112"/>
  <c r="FK532" i="112"/>
  <c r="DT532" i="112"/>
  <c r="DS532" i="112"/>
  <c r="DR532" i="112"/>
  <c r="DQ532" i="112"/>
  <c r="DP532" i="112"/>
  <c r="DO532" i="112"/>
  <c r="DN532" i="112"/>
  <c r="FW531" i="112"/>
  <c r="HN319" i="112" s="1"/>
  <c r="FS531" i="112"/>
  <c r="FN531" i="112"/>
  <c r="FM531" i="112"/>
  <c r="FL531" i="112"/>
  <c r="FK531" i="112"/>
  <c r="DT531" i="112"/>
  <c r="DS531" i="112"/>
  <c r="DR531" i="112"/>
  <c r="DQ531" i="112"/>
  <c r="DP531" i="112"/>
  <c r="DO531" i="112"/>
  <c r="DN531" i="112"/>
  <c r="FW530" i="112"/>
  <c r="HM319" i="112" s="1"/>
  <c r="FS530" i="112"/>
  <c r="FN530" i="112"/>
  <c r="FM530" i="112"/>
  <c r="FL530" i="112"/>
  <c r="FK530" i="112"/>
  <c r="DT530" i="112"/>
  <c r="DS530" i="112"/>
  <c r="DR530" i="112"/>
  <c r="DQ530" i="112"/>
  <c r="DP530" i="112"/>
  <c r="DO530" i="112"/>
  <c r="DN530" i="112"/>
  <c r="FW514" i="112"/>
  <c r="HB514" i="112" s="1"/>
  <c r="FS514" i="112"/>
  <c r="AP159" i="121"/>
  <c r="AO159" i="121"/>
  <c r="AN159" i="121"/>
  <c r="DW514" i="112"/>
  <c r="DT514" i="112"/>
  <c r="DP514" i="112"/>
  <c r="DO514" i="112"/>
  <c r="DN514" i="112"/>
  <c r="FW513" i="112"/>
  <c r="HB513" i="112" s="1"/>
  <c r="HR513" i="112" s="1"/>
  <c r="FS513" i="112"/>
  <c r="AP158" i="121"/>
  <c r="AO158" i="121"/>
  <c r="AN158" i="121"/>
  <c r="DW513" i="112"/>
  <c r="DT513" i="112"/>
  <c r="DP513" i="112"/>
  <c r="DO513" i="112"/>
  <c r="DN513" i="112"/>
  <c r="FW512" i="112"/>
  <c r="HB512" i="112" s="1"/>
  <c r="HR512" i="112" s="1"/>
  <c r="FS512" i="112"/>
  <c r="AP157" i="121"/>
  <c r="AO157" i="121"/>
  <c r="AN157" i="121"/>
  <c r="DW512" i="112"/>
  <c r="DT512" i="112"/>
  <c r="DP512" i="112"/>
  <c r="DO512" i="112"/>
  <c r="DN512" i="112"/>
  <c r="FW511" i="112"/>
  <c r="HB511" i="112" s="1"/>
  <c r="HR511" i="112" s="1"/>
  <c r="FS511" i="112"/>
  <c r="AP156" i="121"/>
  <c r="AO156" i="121"/>
  <c r="AN156" i="121"/>
  <c r="DW511" i="112"/>
  <c r="DT511" i="112"/>
  <c r="DP511" i="112"/>
  <c r="DO511" i="112"/>
  <c r="DN511" i="112"/>
  <c r="FW491" i="112"/>
  <c r="HB491" i="112" s="1"/>
  <c r="HR491" i="112" s="1"/>
  <c r="FS491" i="112"/>
  <c r="DW491" i="112"/>
  <c r="DT491" i="112"/>
  <c r="DS491" i="112"/>
  <c r="DR491" i="112"/>
  <c r="DP491" i="112"/>
  <c r="DO491" i="112"/>
  <c r="DN491" i="112"/>
  <c r="FW490" i="112"/>
  <c r="HB490" i="112" s="1"/>
  <c r="HR490" i="112" s="1"/>
  <c r="FS490" i="112"/>
  <c r="DW490" i="112"/>
  <c r="DT490" i="112"/>
  <c r="DS490" i="112"/>
  <c r="DR490" i="112"/>
  <c r="DP490" i="112"/>
  <c r="DO490" i="112"/>
  <c r="DN490" i="112"/>
  <c r="FW489" i="112"/>
  <c r="HB489" i="112" s="1"/>
  <c r="HR489" i="112" s="1"/>
  <c r="FS489" i="112"/>
  <c r="DW489" i="112"/>
  <c r="DT489" i="112"/>
  <c r="DS489" i="112"/>
  <c r="DR489" i="112"/>
  <c r="DP489" i="112"/>
  <c r="DO489" i="112"/>
  <c r="DN489" i="112"/>
  <c r="FW488" i="112"/>
  <c r="HB488" i="112" s="1"/>
  <c r="HR488" i="112" s="1"/>
  <c r="FS488" i="112"/>
  <c r="DW488" i="112"/>
  <c r="DT488" i="112"/>
  <c r="DS488" i="112"/>
  <c r="DR488" i="112"/>
  <c r="DP488" i="112"/>
  <c r="DO488" i="112"/>
  <c r="DN488" i="112"/>
  <c r="FW487" i="112"/>
  <c r="HB487" i="112" s="1"/>
  <c r="HR487" i="112" s="1"/>
  <c r="FS487" i="112"/>
  <c r="DW487" i="112"/>
  <c r="DT487" i="112"/>
  <c r="DS487" i="112"/>
  <c r="DR487" i="112"/>
  <c r="DP487" i="112"/>
  <c r="DO487" i="112"/>
  <c r="DN487" i="112"/>
  <c r="FW473" i="112"/>
  <c r="HB473" i="112" s="1"/>
  <c r="HR473" i="112" s="1"/>
  <c r="FS473" i="112"/>
  <c r="DW473" i="112"/>
  <c r="DT473" i="112"/>
  <c r="DS473" i="112"/>
  <c r="DR473" i="112"/>
  <c r="DP473" i="112"/>
  <c r="DO473" i="112"/>
  <c r="DN473" i="112"/>
  <c r="FW472" i="112"/>
  <c r="HB472" i="112" s="1"/>
  <c r="HR472" i="112" s="1"/>
  <c r="FS472" i="112"/>
  <c r="DW472" i="112"/>
  <c r="DT472" i="112"/>
  <c r="DS472" i="112"/>
  <c r="DR472" i="112"/>
  <c r="DP472" i="112"/>
  <c r="DO472" i="112"/>
  <c r="DN472" i="112"/>
  <c r="FW471" i="112"/>
  <c r="HB471" i="112" s="1"/>
  <c r="HR471" i="112" s="1"/>
  <c r="FS471" i="112"/>
  <c r="FT471" i="112" s="1"/>
  <c r="DW471" i="112"/>
  <c r="DT471" i="112"/>
  <c r="DS471" i="112"/>
  <c r="DR471" i="112"/>
  <c r="DP471" i="112"/>
  <c r="DO471" i="112"/>
  <c r="DN471" i="112"/>
  <c r="FW470" i="112"/>
  <c r="HB470" i="112" s="1"/>
  <c r="HR470" i="112" s="1"/>
  <c r="FS470" i="112"/>
  <c r="DW470" i="112"/>
  <c r="DT470" i="112"/>
  <c r="DS470" i="112"/>
  <c r="DR470" i="112"/>
  <c r="DP470" i="112"/>
  <c r="DO470" i="112"/>
  <c r="DN470" i="112"/>
  <c r="FW469" i="112"/>
  <c r="HB469" i="112" s="1"/>
  <c r="HR469" i="112" s="1"/>
  <c r="FS469" i="112"/>
  <c r="DW469" i="112"/>
  <c r="DT469" i="112"/>
  <c r="DS469" i="112"/>
  <c r="DR469" i="112"/>
  <c r="DP469" i="112"/>
  <c r="DO469" i="112"/>
  <c r="DN469" i="112"/>
  <c r="FW431" i="112"/>
  <c r="HB431" i="112" s="1"/>
  <c r="HR431" i="112" s="1"/>
  <c r="DW431" i="112"/>
  <c r="DT431" i="112"/>
  <c r="DS431" i="112"/>
  <c r="DR431" i="112"/>
  <c r="DP431" i="112"/>
  <c r="DO431" i="112"/>
  <c r="DN431" i="112"/>
  <c r="CB431" i="112"/>
  <c r="FW430" i="112"/>
  <c r="HB430" i="112" s="1"/>
  <c r="HR430" i="112" s="1"/>
  <c r="DW430" i="112"/>
  <c r="DT430" i="112"/>
  <c r="DS430" i="112"/>
  <c r="DR430" i="112"/>
  <c r="DP430" i="112"/>
  <c r="DO430" i="112"/>
  <c r="DN430" i="112"/>
  <c r="CB430" i="112"/>
  <c r="FW429" i="112"/>
  <c r="HB429" i="112" s="1"/>
  <c r="HR429" i="112" s="1"/>
  <c r="DW429" i="112"/>
  <c r="DT429" i="112"/>
  <c r="DS429" i="112"/>
  <c r="DR429" i="112"/>
  <c r="DP429" i="112"/>
  <c r="DO429" i="112"/>
  <c r="DN429" i="112"/>
  <c r="CB429" i="112"/>
  <c r="FW428" i="112"/>
  <c r="HB428" i="112" s="1"/>
  <c r="HR428" i="112" s="1"/>
  <c r="DW428" i="112"/>
  <c r="DT428" i="112"/>
  <c r="DS428" i="112"/>
  <c r="DR428" i="112"/>
  <c r="DP428" i="112"/>
  <c r="DO428" i="112"/>
  <c r="DN428" i="112"/>
  <c r="CB428" i="112"/>
  <c r="FW427" i="112"/>
  <c r="HB427" i="112" s="1"/>
  <c r="HR427" i="112" s="1"/>
  <c r="DW427" i="112"/>
  <c r="DT427" i="112"/>
  <c r="DS427" i="112"/>
  <c r="DR427" i="112"/>
  <c r="DP427" i="112"/>
  <c r="DO427" i="112"/>
  <c r="DN427" i="112"/>
  <c r="CB427" i="112"/>
  <c r="FW377" i="112"/>
  <c r="HB377" i="112" s="1"/>
  <c r="HR377" i="112" s="1"/>
  <c r="FS377" i="112"/>
  <c r="FT377" i="112" s="1"/>
  <c r="DW377" i="112"/>
  <c r="DT377" i="112"/>
  <c r="DS377" i="112"/>
  <c r="DR377" i="112"/>
  <c r="DP377" i="112"/>
  <c r="DO377" i="112"/>
  <c r="DN377" i="112"/>
  <c r="FW376" i="112"/>
  <c r="HB376" i="112" s="1"/>
  <c r="HR376" i="112" s="1"/>
  <c r="FS376" i="112"/>
  <c r="DW376" i="112"/>
  <c r="DT376" i="112"/>
  <c r="DS376" i="112"/>
  <c r="DR376" i="112"/>
  <c r="DP376" i="112"/>
  <c r="DO376" i="112"/>
  <c r="DN376" i="112"/>
  <c r="FW375" i="112"/>
  <c r="HB375" i="112" s="1"/>
  <c r="HR375" i="112" s="1"/>
  <c r="FS375" i="112"/>
  <c r="DW375" i="112"/>
  <c r="DT375" i="112"/>
  <c r="DS375" i="112"/>
  <c r="DR375" i="112"/>
  <c r="DP375" i="112"/>
  <c r="DO375" i="112"/>
  <c r="DN375" i="112"/>
  <c r="FW374" i="112"/>
  <c r="HB374" i="112" s="1"/>
  <c r="HR374" i="112" s="1"/>
  <c r="FS374" i="112"/>
  <c r="DW374" i="112"/>
  <c r="DT374" i="112"/>
  <c r="DS374" i="112"/>
  <c r="DR374" i="112"/>
  <c r="DP374" i="112"/>
  <c r="DO374" i="112"/>
  <c r="DN374" i="112"/>
  <c r="FW373" i="112"/>
  <c r="HB373" i="112" s="1"/>
  <c r="HR373" i="112" s="1"/>
  <c r="FS373" i="112"/>
  <c r="DW373" i="112"/>
  <c r="DT373" i="112"/>
  <c r="DS373" i="112"/>
  <c r="DR373" i="112"/>
  <c r="DP373" i="112"/>
  <c r="DO373" i="112"/>
  <c r="DN373" i="112"/>
  <c r="FW359" i="112"/>
  <c r="HB359" i="112" s="1"/>
  <c r="HR359" i="112" s="1"/>
  <c r="FS359" i="112"/>
  <c r="DW359" i="112"/>
  <c r="DT359" i="112"/>
  <c r="DS359" i="112"/>
  <c r="DR359" i="112"/>
  <c r="DP359" i="112"/>
  <c r="DO359" i="112"/>
  <c r="DN359" i="112"/>
  <c r="FW358" i="112"/>
  <c r="HB358" i="112" s="1"/>
  <c r="HR358" i="112" s="1"/>
  <c r="FS358" i="112"/>
  <c r="DW358" i="112"/>
  <c r="DT358" i="112"/>
  <c r="DS358" i="112"/>
  <c r="DR358" i="112"/>
  <c r="DP358" i="112"/>
  <c r="DO358" i="112"/>
  <c r="DN358" i="112"/>
  <c r="FW357" i="112"/>
  <c r="HB357" i="112" s="1"/>
  <c r="HR357" i="112" s="1"/>
  <c r="FS357" i="112"/>
  <c r="DW357" i="112"/>
  <c r="DT357" i="112"/>
  <c r="DS357" i="112"/>
  <c r="DR357" i="112"/>
  <c r="DP357" i="112"/>
  <c r="DO357" i="112"/>
  <c r="DN357" i="112"/>
  <c r="FW356" i="112"/>
  <c r="HB356" i="112" s="1"/>
  <c r="HR356" i="112" s="1"/>
  <c r="FS356" i="112"/>
  <c r="DW356" i="112"/>
  <c r="DT356" i="112"/>
  <c r="DS356" i="112"/>
  <c r="DR356" i="112"/>
  <c r="DP356" i="112"/>
  <c r="DO356" i="112"/>
  <c r="DN356" i="112"/>
  <c r="FW355" i="112"/>
  <c r="HB355" i="112" s="1"/>
  <c r="HR355" i="112" s="1"/>
  <c r="FS355" i="112"/>
  <c r="DW355" i="112"/>
  <c r="DT355" i="112"/>
  <c r="DS355" i="112"/>
  <c r="DR355" i="112"/>
  <c r="DP355" i="112"/>
  <c r="DO355" i="112"/>
  <c r="DN355" i="112"/>
  <c r="FW332" i="112"/>
  <c r="HB332" i="112" s="1"/>
  <c r="HR332" i="112" s="1"/>
  <c r="FS332" i="112"/>
  <c r="DW332" i="112"/>
  <c r="DT332" i="112"/>
  <c r="DV332" i="112" s="1"/>
  <c r="DS332" i="112"/>
  <c r="DR332" i="112"/>
  <c r="DP332" i="112"/>
  <c r="DO332" i="112"/>
  <c r="DN332" i="112"/>
  <c r="FW331" i="112"/>
  <c r="HB331" i="112" s="1"/>
  <c r="HR331" i="112" s="1"/>
  <c r="FS331" i="112"/>
  <c r="DW331" i="112"/>
  <c r="DT331" i="112"/>
  <c r="DV331" i="112" s="1"/>
  <c r="DP331" i="112"/>
  <c r="DO331" i="112"/>
  <c r="DN331" i="112"/>
  <c r="FW330" i="112"/>
  <c r="HB330" i="112" s="1"/>
  <c r="HR330" i="112" s="1"/>
  <c r="FS330" i="112"/>
  <c r="DW330" i="112"/>
  <c r="DT330" i="112"/>
  <c r="DV330" i="112" s="1"/>
  <c r="DP330" i="112"/>
  <c r="DO330" i="112"/>
  <c r="DN330" i="112"/>
  <c r="FW329" i="112"/>
  <c r="HB329" i="112" s="1"/>
  <c r="HR329" i="112" s="1"/>
  <c r="FS329" i="112"/>
  <c r="DW329" i="112"/>
  <c r="DT329" i="112"/>
  <c r="DV329" i="112" s="1"/>
  <c r="DP329" i="112"/>
  <c r="DO329" i="112"/>
  <c r="DN329" i="112"/>
  <c r="FW328" i="112"/>
  <c r="HB328" i="112" s="1"/>
  <c r="HR328" i="112" s="1"/>
  <c r="FS328" i="112"/>
  <c r="DW328" i="112"/>
  <c r="DT328" i="112"/>
  <c r="DV328" i="112" s="1"/>
  <c r="DP328" i="112"/>
  <c r="DO328" i="112"/>
  <c r="DN328" i="112"/>
  <c r="GF530" i="112" l="1"/>
  <c r="GH530" i="112"/>
  <c r="GE530" i="112"/>
  <c r="GD530" i="112"/>
  <c r="GC530" i="112"/>
  <c r="GG530" i="112"/>
  <c r="GG533" i="112"/>
  <c r="GF533" i="112"/>
  <c r="HF533" i="112" s="1"/>
  <c r="HI533" i="112" s="1"/>
  <c r="GH533" i="112"/>
  <c r="GE533" i="112"/>
  <c r="GD533" i="112"/>
  <c r="GC533" i="112"/>
  <c r="GG532" i="112"/>
  <c r="GF532" i="112"/>
  <c r="GH532" i="112"/>
  <c r="GE532" i="112"/>
  <c r="GD532" i="112"/>
  <c r="GC532" i="112"/>
  <c r="GG534" i="112"/>
  <c r="GC534" i="112"/>
  <c r="GF534" i="112"/>
  <c r="GH534" i="112"/>
  <c r="GE534" i="112"/>
  <c r="GD534" i="112"/>
  <c r="GF531" i="112"/>
  <c r="GH531" i="112"/>
  <c r="GE531" i="112"/>
  <c r="GD531" i="112"/>
  <c r="GC531" i="112"/>
  <c r="GG531" i="112"/>
  <c r="HC533" i="112"/>
  <c r="HC532" i="112"/>
  <c r="HC530" i="112"/>
  <c r="HW332" i="112"/>
  <c r="HU332" i="112"/>
  <c r="HU356" i="112"/>
  <c r="HV356" i="112" s="1"/>
  <c r="DU356" i="112" s="1"/>
  <c r="HW356" i="112"/>
  <c r="HX356" i="112" s="1"/>
  <c r="HW358" i="112"/>
  <c r="HX358" i="112" s="1"/>
  <c r="HU358" i="112"/>
  <c r="HV358" i="112" s="1"/>
  <c r="DU358" i="112" s="1"/>
  <c r="HW373" i="112"/>
  <c r="HX373" i="112" s="1"/>
  <c r="HU373" i="112"/>
  <c r="HW375" i="112"/>
  <c r="HX375" i="112" s="1"/>
  <c r="HU375" i="112"/>
  <c r="HW377" i="112"/>
  <c r="HX377" i="112" s="1"/>
  <c r="HU377" i="112"/>
  <c r="HV377" i="112" s="1"/>
  <c r="DU377" i="112" s="1"/>
  <c r="HW469" i="112"/>
  <c r="HX469" i="112" s="1"/>
  <c r="HU469" i="112"/>
  <c r="HW511" i="112"/>
  <c r="HU511" i="112"/>
  <c r="HW329" i="112"/>
  <c r="HU329" i="112"/>
  <c r="HW428" i="112"/>
  <c r="HX428" i="112" s="1"/>
  <c r="HU428" i="112"/>
  <c r="HW430" i="112"/>
  <c r="HX430" i="112" s="1"/>
  <c r="HU430" i="112"/>
  <c r="HW471" i="112"/>
  <c r="HX471" i="112" s="1"/>
  <c r="HU471" i="112"/>
  <c r="HV471" i="112" s="1"/>
  <c r="DU471" i="112" s="1"/>
  <c r="HW534" i="112"/>
  <c r="HU534" i="112"/>
  <c r="HW473" i="112"/>
  <c r="HX473" i="112" s="1"/>
  <c r="HU473" i="112"/>
  <c r="HW488" i="112"/>
  <c r="HX488" i="112" s="1"/>
  <c r="HU488" i="112"/>
  <c r="HV488" i="112" s="1"/>
  <c r="DU488" i="112" s="1"/>
  <c r="HU490" i="112"/>
  <c r="HV490" i="112" s="1"/>
  <c r="DU490" i="112" s="1"/>
  <c r="HW490" i="112"/>
  <c r="HX490" i="112" s="1"/>
  <c r="HW512" i="112"/>
  <c r="HU512" i="112"/>
  <c r="HW531" i="112"/>
  <c r="HU531" i="112"/>
  <c r="HW330" i="112"/>
  <c r="HU330" i="112"/>
  <c r="HU331" i="112"/>
  <c r="HW331" i="112"/>
  <c r="HW355" i="112"/>
  <c r="HX355" i="112" s="1"/>
  <c r="HU355" i="112"/>
  <c r="HV355" i="112" s="1"/>
  <c r="DU355" i="112" s="1"/>
  <c r="HW357" i="112"/>
  <c r="HX357" i="112" s="1"/>
  <c r="HU357" i="112"/>
  <c r="HV357" i="112" s="1"/>
  <c r="DU357" i="112" s="1"/>
  <c r="HU359" i="112"/>
  <c r="HV359" i="112" s="1"/>
  <c r="DU359" i="112" s="1"/>
  <c r="HW359" i="112"/>
  <c r="HX359" i="112" s="1"/>
  <c r="HW374" i="112"/>
  <c r="HX374" i="112" s="1"/>
  <c r="HU374" i="112"/>
  <c r="HW376" i="112"/>
  <c r="HX376" i="112" s="1"/>
  <c r="HU376" i="112"/>
  <c r="HU470" i="112"/>
  <c r="HV470" i="112" s="1"/>
  <c r="DU470" i="112" s="1"/>
  <c r="HW470" i="112"/>
  <c r="HX470" i="112" s="1"/>
  <c r="HW513" i="112"/>
  <c r="HU513" i="112"/>
  <c r="HW533" i="112"/>
  <c r="HU533" i="112"/>
  <c r="HW427" i="112"/>
  <c r="HX427" i="112" s="1"/>
  <c r="HU427" i="112"/>
  <c r="HV427" i="112" s="1"/>
  <c r="DU427" i="112" s="1"/>
  <c r="HU429" i="112"/>
  <c r="HV429" i="112" s="1"/>
  <c r="DU429" i="112" s="1"/>
  <c r="HW429" i="112"/>
  <c r="HX429" i="112" s="1"/>
  <c r="HW431" i="112"/>
  <c r="HX431" i="112" s="1"/>
  <c r="HU431" i="112"/>
  <c r="HV431" i="112" s="1"/>
  <c r="DU431" i="112" s="1"/>
  <c r="HW530" i="112"/>
  <c r="HU530" i="112"/>
  <c r="HU328" i="112"/>
  <c r="HW328" i="112"/>
  <c r="HW472" i="112"/>
  <c r="HX472" i="112" s="1"/>
  <c r="HU472" i="112"/>
  <c r="HV472" i="112" s="1"/>
  <c r="DU472" i="112" s="1"/>
  <c r="HU487" i="112"/>
  <c r="HV487" i="112" s="1"/>
  <c r="DU487" i="112" s="1"/>
  <c r="HW487" i="112"/>
  <c r="HX487" i="112" s="1"/>
  <c r="HW489" i="112"/>
  <c r="HX489" i="112" s="1"/>
  <c r="HU489" i="112"/>
  <c r="HW491" i="112"/>
  <c r="HX491" i="112" s="1"/>
  <c r="HU491" i="112"/>
  <c r="HV491" i="112" s="1"/>
  <c r="DU491" i="112" s="1"/>
  <c r="HW514" i="112"/>
  <c r="HU514" i="112"/>
  <c r="HW532" i="112"/>
  <c r="HU532" i="112"/>
  <c r="EG427" i="112"/>
  <c r="EH427" i="112" s="1"/>
  <c r="EB427" i="112"/>
  <c r="EC427" i="112" s="1"/>
  <c r="DK355" i="112"/>
  <c r="DL355" i="112"/>
  <c r="DL359" i="112"/>
  <c r="DK359" i="112"/>
  <c r="DL374" i="112"/>
  <c r="DK374" i="112"/>
  <c r="EG331" i="112"/>
  <c r="EH331" i="112" s="1"/>
  <c r="EB331" i="112"/>
  <c r="EC331" i="112" s="1"/>
  <c r="EG355" i="112"/>
  <c r="EH355" i="112" s="1"/>
  <c r="EB355" i="112"/>
  <c r="EC355" i="112" s="1"/>
  <c r="EG357" i="112"/>
  <c r="EH357" i="112" s="1"/>
  <c r="EB357" i="112"/>
  <c r="EC357" i="112" s="1"/>
  <c r="EG359" i="112"/>
  <c r="EH359" i="112" s="1"/>
  <c r="EB359" i="112"/>
  <c r="EC359" i="112" s="1"/>
  <c r="EG374" i="112"/>
  <c r="EH374" i="112" s="1"/>
  <c r="EB374" i="112"/>
  <c r="EC374" i="112" s="1"/>
  <c r="EG376" i="112"/>
  <c r="EH376" i="112" s="1"/>
  <c r="EB376" i="112"/>
  <c r="EC376" i="112" s="1"/>
  <c r="DL427" i="112"/>
  <c r="DK427" i="112"/>
  <c r="DL429" i="112"/>
  <c r="DK429" i="112"/>
  <c r="DL431" i="112"/>
  <c r="DK431" i="112"/>
  <c r="EG470" i="112"/>
  <c r="EH470" i="112" s="1"/>
  <c r="EB470" i="112"/>
  <c r="EC470" i="112" s="1"/>
  <c r="DL534" i="112"/>
  <c r="DK534" i="112"/>
  <c r="EG472" i="112"/>
  <c r="EH472" i="112" s="1"/>
  <c r="EB472" i="112"/>
  <c r="EC472" i="112" s="1"/>
  <c r="EB487" i="112"/>
  <c r="EC487" i="112" s="1"/>
  <c r="EG487" i="112"/>
  <c r="EH487" i="112" s="1"/>
  <c r="EB489" i="112"/>
  <c r="EC489" i="112" s="1"/>
  <c r="EG489" i="112"/>
  <c r="EH489" i="112" s="1"/>
  <c r="EG491" i="112"/>
  <c r="EH491" i="112" s="1"/>
  <c r="EB491" i="112"/>
  <c r="EC491" i="112" s="1"/>
  <c r="EG513" i="112"/>
  <c r="EH513" i="112" s="1"/>
  <c r="EB513" i="112"/>
  <c r="EC513" i="112" s="1"/>
  <c r="EB531" i="112"/>
  <c r="EC531" i="112" s="1"/>
  <c r="EG531" i="112"/>
  <c r="EH531" i="112" s="1"/>
  <c r="DL531" i="112"/>
  <c r="DK531" i="112"/>
  <c r="EB534" i="112"/>
  <c r="EC534" i="112" s="1"/>
  <c r="EG534" i="112"/>
  <c r="EH534" i="112" s="1"/>
  <c r="EG328" i="112"/>
  <c r="EH328" i="112" s="1"/>
  <c r="EB328" i="112"/>
  <c r="EC328" i="112" s="1"/>
  <c r="DL332" i="112"/>
  <c r="DK332" i="112"/>
  <c r="DL356" i="112"/>
  <c r="DK356" i="112"/>
  <c r="DL358" i="112"/>
  <c r="DK358" i="112"/>
  <c r="DL373" i="112"/>
  <c r="DK373" i="112"/>
  <c r="DL375" i="112"/>
  <c r="DK375" i="112"/>
  <c r="DL377" i="112"/>
  <c r="DK377" i="112"/>
  <c r="DL469" i="112"/>
  <c r="DK469" i="112"/>
  <c r="DL533" i="112"/>
  <c r="DK533" i="112"/>
  <c r="EI429" i="112"/>
  <c r="EJ429" i="112" s="1"/>
  <c r="EG429" i="112"/>
  <c r="EH429" i="112" s="1"/>
  <c r="EB429" i="112"/>
  <c r="EC429" i="112" s="1"/>
  <c r="EG332" i="112"/>
  <c r="EH332" i="112" s="1"/>
  <c r="EB332" i="112"/>
  <c r="EC332" i="112" s="1"/>
  <c r="EG375" i="112"/>
  <c r="EH375" i="112" s="1"/>
  <c r="EB375" i="112"/>
  <c r="EC375" i="112" s="1"/>
  <c r="DX377" i="112"/>
  <c r="EG377" i="112"/>
  <c r="EH377" i="112" s="1"/>
  <c r="EB377" i="112"/>
  <c r="EC377" i="112" s="1"/>
  <c r="DL428" i="112"/>
  <c r="DK428" i="112"/>
  <c r="DZ469" i="112"/>
  <c r="EG469" i="112"/>
  <c r="EH469" i="112" s="1"/>
  <c r="EB469" i="112"/>
  <c r="EC469" i="112" s="1"/>
  <c r="DL471" i="112"/>
  <c r="DK471" i="112"/>
  <c r="DL530" i="112"/>
  <c r="DK530" i="112"/>
  <c r="EB533" i="112"/>
  <c r="EC533" i="112" s="1"/>
  <c r="EG533" i="112"/>
  <c r="EH533" i="112" s="1"/>
  <c r="EI431" i="112"/>
  <c r="EJ431" i="112" s="1"/>
  <c r="EG431" i="112"/>
  <c r="EH431" i="112" s="1"/>
  <c r="EB431" i="112"/>
  <c r="EC431" i="112" s="1"/>
  <c r="DL491" i="112"/>
  <c r="DK491" i="112"/>
  <c r="EG358" i="112"/>
  <c r="EH358" i="112" s="1"/>
  <c r="EB358" i="112"/>
  <c r="EC358" i="112" s="1"/>
  <c r="DL430" i="112"/>
  <c r="DK430" i="112"/>
  <c r="DX428" i="112"/>
  <c r="EB428" i="112"/>
  <c r="EC428" i="112" s="1"/>
  <c r="EG428" i="112"/>
  <c r="EH428" i="112" s="1"/>
  <c r="FS430" i="112"/>
  <c r="EG430" i="112"/>
  <c r="EH430" i="112" s="1"/>
  <c r="EB430" i="112"/>
  <c r="EC430" i="112" s="1"/>
  <c r="ED471" i="112"/>
  <c r="EE471" i="112" s="1"/>
  <c r="EG471" i="112"/>
  <c r="EH471" i="112" s="1"/>
  <c r="EB471" i="112"/>
  <c r="EC471" i="112" s="1"/>
  <c r="DL473" i="112"/>
  <c r="DK473" i="112"/>
  <c r="DL488" i="112"/>
  <c r="DK488" i="112"/>
  <c r="DL490" i="112"/>
  <c r="DK490" i="112"/>
  <c r="EB511" i="112"/>
  <c r="EC511" i="112" s="1"/>
  <c r="EG511" i="112"/>
  <c r="EH511" i="112" s="1"/>
  <c r="EG514" i="112"/>
  <c r="EH514" i="112" s="1"/>
  <c r="EB514" i="112"/>
  <c r="EC514" i="112" s="1"/>
  <c r="EB530" i="112"/>
  <c r="EC530" i="112" s="1"/>
  <c r="EG530" i="112"/>
  <c r="EH530" i="112" s="1"/>
  <c r="DK472" i="112"/>
  <c r="DL472" i="112"/>
  <c r="DL487" i="112"/>
  <c r="DK487" i="112"/>
  <c r="EG329" i="112"/>
  <c r="EH329" i="112" s="1"/>
  <c r="EB329" i="112"/>
  <c r="EC329" i="112" s="1"/>
  <c r="EG373" i="112"/>
  <c r="EH373" i="112" s="1"/>
  <c r="EB373" i="112"/>
  <c r="EC373" i="112" s="1"/>
  <c r="EB473" i="112"/>
  <c r="EC473" i="112" s="1"/>
  <c r="EG473" i="112"/>
  <c r="EH473" i="112" s="1"/>
  <c r="EB488" i="112"/>
  <c r="EC488" i="112" s="1"/>
  <c r="EG488" i="112"/>
  <c r="EH488" i="112" s="1"/>
  <c r="EG490" i="112"/>
  <c r="EH490" i="112" s="1"/>
  <c r="EB490" i="112"/>
  <c r="EC490" i="112" s="1"/>
  <c r="DL532" i="112"/>
  <c r="DK532" i="112"/>
  <c r="DL489" i="112"/>
  <c r="DK489" i="112"/>
  <c r="EG356" i="112"/>
  <c r="EH356" i="112" s="1"/>
  <c r="EB356" i="112"/>
  <c r="EC356" i="112" s="1"/>
  <c r="EG330" i="112"/>
  <c r="EH330" i="112" s="1"/>
  <c r="EB330" i="112"/>
  <c r="EC330" i="112" s="1"/>
  <c r="DL357" i="112"/>
  <c r="DK357" i="112"/>
  <c r="DL376" i="112"/>
  <c r="DK376" i="112"/>
  <c r="DL470" i="112"/>
  <c r="DK470" i="112"/>
  <c r="EG512" i="112"/>
  <c r="EH512" i="112" s="1"/>
  <c r="EB512" i="112"/>
  <c r="EC512" i="112" s="1"/>
  <c r="EB532" i="112"/>
  <c r="EC532" i="112" s="1"/>
  <c r="EG532" i="112"/>
  <c r="EH532" i="112" s="1"/>
  <c r="ED513" i="112"/>
  <c r="EE513" i="112" s="1"/>
  <c r="ED330" i="112"/>
  <c r="EE330" i="112" s="1"/>
  <c r="ED329" i="112"/>
  <c r="HC534" i="112"/>
  <c r="HC531" i="112"/>
  <c r="EI531" i="112"/>
  <c r="EJ531" i="112" s="1"/>
  <c r="DW531" i="112"/>
  <c r="HF531" i="112"/>
  <c r="HI531" i="112" s="1"/>
  <c r="DW530" i="112"/>
  <c r="HF530" i="112"/>
  <c r="HI530" i="112" s="1"/>
  <c r="DW532" i="112"/>
  <c r="HF532" i="112"/>
  <c r="HI532" i="112" s="1"/>
  <c r="DW534" i="112"/>
  <c r="HF534" i="112"/>
  <c r="HI534" i="112" s="1"/>
  <c r="FT489" i="112"/>
  <c r="FT531" i="112"/>
  <c r="FT532" i="112"/>
  <c r="ED332" i="112"/>
  <c r="EI331" i="112"/>
  <c r="ED331" i="112"/>
  <c r="ED328" i="112"/>
  <c r="FT512" i="112"/>
  <c r="FT513" i="112"/>
  <c r="FT490" i="112"/>
  <c r="ED489" i="112"/>
  <c r="FT488" i="112"/>
  <c r="FT473" i="112"/>
  <c r="FT376" i="112"/>
  <c r="FT374" i="112"/>
  <c r="ED376" i="112"/>
  <c r="ED373" i="112"/>
  <c r="FT359" i="112"/>
  <c r="FT357" i="112"/>
  <c r="ED357" i="112"/>
  <c r="FT329" i="112"/>
  <c r="EI329" i="112"/>
  <c r="FT331" i="112"/>
  <c r="FT330" i="112"/>
  <c r="ED514" i="112"/>
  <c r="FT514" i="112"/>
  <c r="FT491" i="112"/>
  <c r="FT472" i="112"/>
  <c r="FT470" i="112"/>
  <c r="FT375" i="112"/>
  <c r="ED358" i="112"/>
  <c r="FT358" i="112"/>
  <c r="FT356" i="112"/>
  <c r="FT332" i="112"/>
  <c r="EF472" i="112"/>
  <c r="FU511" i="112"/>
  <c r="FU513" i="112"/>
  <c r="EK531" i="112"/>
  <c r="FT534" i="112"/>
  <c r="ED532" i="112"/>
  <c r="EE532" i="112" s="1"/>
  <c r="EK533" i="112"/>
  <c r="FT328" i="112"/>
  <c r="FT355" i="112"/>
  <c r="FT373" i="112"/>
  <c r="ED427" i="112"/>
  <c r="EK430" i="112"/>
  <c r="DY428" i="112"/>
  <c r="ED430" i="112"/>
  <c r="FT469" i="112"/>
  <c r="DZ487" i="112"/>
  <c r="DX489" i="112"/>
  <c r="FT487" i="112"/>
  <c r="DY489" i="112"/>
  <c r="DZ489" i="112"/>
  <c r="FT511" i="112"/>
  <c r="DZ511" i="112"/>
  <c r="DX513" i="112"/>
  <c r="DY511" i="112"/>
  <c r="DY513" i="112"/>
  <c r="EI511" i="112"/>
  <c r="DZ513" i="112"/>
  <c r="DX511" i="112"/>
  <c r="EK511" i="112"/>
  <c r="EK513" i="112"/>
  <c r="EK514" i="112"/>
  <c r="FU533" i="112"/>
  <c r="DZ531" i="112"/>
  <c r="EF532" i="112"/>
  <c r="FU512" i="112"/>
  <c r="FU514" i="112"/>
  <c r="EK530" i="112"/>
  <c r="FT530" i="112"/>
  <c r="FU534" i="112"/>
  <c r="DX534" i="112"/>
  <c r="DZ533" i="112"/>
  <c r="EI533" i="112"/>
  <c r="EJ533" i="112" s="1"/>
  <c r="DY533" i="112"/>
  <c r="EI532" i="112"/>
  <c r="EJ532" i="112" s="1"/>
  <c r="DX532" i="112"/>
  <c r="DZ532" i="112"/>
  <c r="ED531" i="112"/>
  <c r="EE531" i="112" s="1"/>
  <c r="ED530" i="112"/>
  <c r="FU530" i="112"/>
  <c r="DZ530" i="112"/>
  <c r="FU532" i="112"/>
  <c r="FU531" i="112"/>
  <c r="DX531" i="112"/>
  <c r="EK330" i="112"/>
  <c r="DY531" i="112"/>
  <c r="DW533" i="112"/>
  <c r="DY532" i="112"/>
  <c r="EK532" i="112"/>
  <c r="DX533" i="112"/>
  <c r="EI534" i="112"/>
  <c r="EJ534" i="112" s="1"/>
  <c r="DY534" i="112"/>
  <c r="EK534" i="112"/>
  <c r="DZ534" i="112"/>
  <c r="DX512" i="112"/>
  <c r="DV471" i="112"/>
  <c r="FU491" i="112"/>
  <c r="DY512" i="112"/>
  <c r="EF530" i="112"/>
  <c r="EI489" i="112"/>
  <c r="EJ489" i="112" s="1"/>
  <c r="DZ512" i="112"/>
  <c r="EF531" i="112"/>
  <c r="ED533" i="112"/>
  <c r="EE533" i="112" s="1"/>
  <c r="EF490" i="112"/>
  <c r="ED534" i="112"/>
  <c r="FS428" i="112"/>
  <c r="ED487" i="112"/>
  <c r="EI512" i="112"/>
  <c r="EJ512" i="112" s="1"/>
  <c r="DY514" i="112"/>
  <c r="EI530" i="112"/>
  <c r="EJ530" i="112" s="1"/>
  <c r="EF533" i="112"/>
  <c r="FU471" i="112"/>
  <c r="EK488" i="112"/>
  <c r="EK489" i="112"/>
  <c r="DZ514" i="112"/>
  <c r="DX530" i="112"/>
  <c r="EF534" i="112"/>
  <c r="FS427" i="112"/>
  <c r="EK512" i="112"/>
  <c r="DY530" i="112"/>
  <c r="DX430" i="112"/>
  <c r="FU430" i="112"/>
  <c r="ED470" i="112"/>
  <c r="DX472" i="112"/>
  <c r="DX490" i="112"/>
  <c r="FU490" i="112"/>
  <c r="EI491" i="112"/>
  <c r="EJ491" i="112" s="1"/>
  <c r="ED512" i="112"/>
  <c r="EF514" i="112"/>
  <c r="EI428" i="112"/>
  <c r="EJ428" i="112" s="1"/>
  <c r="DY430" i="112"/>
  <c r="EK431" i="112"/>
  <c r="EI469" i="112"/>
  <c r="DY472" i="112"/>
  <c r="DY490" i="112"/>
  <c r="ED511" i="112"/>
  <c r="EF513" i="112"/>
  <c r="EK357" i="112"/>
  <c r="DZ472" i="112"/>
  <c r="EF512" i="112"/>
  <c r="FU487" i="112"/>
  <c r="ED488" i="112"/>
  <c r="ED490" i="112"/>
  <c r="EF511" i="112"/>
  <c r="EI514" i="112"/>
  <c r="EJ514" i="112" s="1"/>
  <c r="EF489" i="112"/>
  <c r="EI513" i="112"/>
  <c r="EJ513" i="112" s="1"/>
  <c r="DX514" i="112"/>
  <c r="EK428" i="112"/>
  <c r="EI430" i="112"/>
  <c r="EJ430" i="112" s="1"/>
  <c r="FU469" i="112"/>
  <c r="EI490" i="112"/>
  <c r="EJ490" i="112" s="1"/>
  <c r="FU488" i="112"/>
  <c r="EK490" i="112"/>
  <c r="FU428" i="112"/>
  <c r="FS431" i="112"/>
  <c r="DX470" i="112"/>
  <c r="DX471" i="112"/>
  <c r="DV472" i="112"/>
  <c r="DV473" i="112" s="1"/>
  <c r="DX491" i="112"/>
  <c r="ED428" i="112"/>
  <c r="EK429" i="112"/>
  <c r="DZ470" i="112"/>
  <c r="FU489" i="112"/>
  <c r="DZ491" i="112"/>
  <c r="DZ488" i="112"/>
  <c r="FU472" i="112"/>
  <c r="DZ490" i="112"/>
  <c r="DY491" i="112"/>
  <c r="EK491" i="112"/>
  <c r="FU470" i="112"/>
  <c r="DZ357" i="112"/>
  <c r="EF487" i="112"/>
  <c r="DZ427" i="112"/>
  <c r="DX429" i="112"/>
  <c r="FS429" i="112"/>
  <c r="EF488" i="112"/>
  <c r="EF376" i="112"/>
  <c r="FU376" i="112"/>
  <c r="ED374" i="112"/>
  <c r="EE374" i="112" s="1"/>
  <c r="DY429" i="112"/>
  <c r="FU429" i="112"/>
  <c r="ED491" i="112"/>
  <c r="FU373" i="112"/>
  <c r="EK355" i="112"/>
  <c r="EI487" i="112"/>
  <c r="EF427" i="112"/>
  <c r="FU427" i="112"/>
  <c r="ED429" i="112"/>
  <c r="DX431" i="112"/>
  <c r="EI472" i="112"/>
  <c r="EJ472" i="112" s="1"/>
  <c r="DX487" i="112"/>
  <c r="EI488" i="112"/>
  <c r="EJ488" i="112" s="1"/>
  <c r="EF491" i="112"/>
  <c r="FU358" i="112"/>
  <c r="DY431" i="112"/>
  <c r="DX469" i="112"/>
  <c r="EF471" i="112"/>
  <c r="EK472" i="112"/>
  <c r="FU473" i="112"/>
  <c r="DY487" i="112"/>
  <c r="EK487" i="112"/>
  <c r="DX488" i="112"/>
  <c r="DY488" i="112"/>
  <c r="EI330" i="112"/>
  <c r="DX375" i="112"/>
  <c r="EK427" i="112"/>
  <c r="EF428" i="112"/>
  <c r="EF429" i="112"/>
  <c r="EF430" i="112"/>
  <c r="EF431" i="112"/>
  <c r="DY469" i="112"/>
  <c r="EK469" i="112"/>
  <c r="DZ375" i="112"/>
  <c r="FU375" i="112"/>
  <c r="ED377" i="112"/>
  <c r="ED473" i="112"/>
  <c r="EE473" i="112" s="1"/>
  <c r="EI471" i="112"/>
  <c r="EJ471" i="112" s="1"/>
  <c r="ED375" i="112"/>
  <c r="EF470" i="112"/>
  <c r="EF473" i="112"/>
  <c r="DX427" i="112"/>
  <c r="DY471" i="112"/>
  <c r="EK471" i="112"/>
  <c r="EI356" i="112"/>
  <c r="EI355" i="112"/>
  <c r="DZ376" i="112"/>
  <c r="DY427" i="112"/>
  <c r="DZ428" i="112"/>
  <c r="DZ429" i="112"/>
  <c r="DZ430" i="112"/>
  <c r="ED431" i="112"/>
  <c r="ED469" i="112"/>
  <c r="DZ471" i="112"/>
  <c r="ED472" i="112"/>
  <c r="FU374" i="112"/>
  <c r="EI470" i="112"/>
  <c r="EJ470" i="112" s="1"/>
  <c r="EI473" i="112"/>
  <c r="EJ473" i="112" s="1"/>
  <c r="EF469" i="112"/>
  <c r="DX473" i="112"/>
  <c r="DY470" i="112"/>
  <c r="EK470" i="112"/>
  <c r="DY473" i="112"/>
  <c r="EK473" i="112"/>
  <c r="DZ473" i="112"/>
  <c r="EI427" i="112"/>
  <c r="EF374" i="112"/>
  <c r="EF373" i="112"/>
  <c r="DY355" i="112"/>
  <c r="DZ330" i="112"/>
  <c r="EI332" i="112"/>
  <c r="EJ332" i="112" s="1"/>
  <c r="DZ355" i="112"/>
  <c r="FU355" i="112"/>
  <c r="DX373" i="112"/>
  <c r="EF377" i="112"/>
  <c r="DY330" i="112"/>
  <c r="DZ373" i="112"/>
  <c r="DX374" i="112"/>
  <c r="ED355" i="112"/>
  <c r="DZ374" i="112"/>
  <c r="DX376" i="112"/>
  <c r="DZ431" i="112"/>
  <c r="FU431" i="112"/>
  <c r="EF375" i="112"/>
  <c r="FU329" i="112"/>
  <c r="EI373" i="112"/>
  <c r="EI374" i="112"/>
  <c r="EJ374" i="112" s="1"/>
  <c r="EI375" i="112"/>
  <c r="EJ375" i="112" s="1"/>
  <c r="EI376" i="112"/>
  <c r="EI377" i="112"/>
  <c r="EJ377" i="112" s="1"/>
  <c r="ED356" i="112"/>
  <c r="DY358" i="112"/>
  <c r="DZ358" i="112"/>
  <c r="DY373" i="112"/>
  <c r="EK373" i="112"/>
  <c r="DY374" i="112"/>
  <c r="EK374" i="112"/>
  <c r="DY375" i="112"/>
  <c r="EK375" i="112"/>
  <c r="DY376" i="112"/>
  <c r="EK376" i="112"/>
  <c r="DY377" i="112"/>
  <c r="EK377" i="112"/>
  <c r="DZ377" i="112"/>
  <c r="FU377" i="112"/>
  <c r="DX329" i="112"/>
  <c r="DX331" i="112"/>
  <c r="FU331" i="112"/>
  <c r="EK356" i="112"/>
  <c r="EK358" i="112"/>
  <c r="EF359" i="112"/>
  <c r="DY329" i="112"/>
  <c r="FU356" i="112"/>
  <c r="DZ329" i="112"/>
  <c r="EF330" i="112"/>
  <c r="DX356" i="112"/>
  <c r="DY356" i="112"/>
  <c r="DX357" i="112"/>
  <c r="EF331" i="112"/>
  <c r="DX330" i="112"/>
  <c r="DX355" i="112"/>
  <c r="DZ356" i="112"/>
  <c r="DY357" i="112"/>
  <c r="FU357" i="112"/>
  <c r="EF358" i="112"/>
  <c r="EF356" i="112"/>
  <c r="EI359" i="112"/>
  <c r="EJ359" i="112" s="1"/>
  <c r="EF332" i="112"/>
  <c r="EK332" i="112"/>
  <c r="FU332" i="112"/>
  <c r="DX332" i="112"/>
  <c r="EF355" i="112"/>
  <c r="EI358" i="112"/>
  <c r="DX359" i="112"/>
  <c r="EF357" i="112"/>
  <c r="DZ328" i="112"/>
  <c r="EF329" i="112"/>
  <c r="DY332" i="112"/>
  <c r="EI357" i="112"/>
  <c r="EJ357" i="112" s="1"/>
  <c r="DX358" i="112"/>
  <c r="DY359" i="112"/>
  <c r="EK359" i="112"/>
  <c r="DZ332" i="112"/>
  <c r="DZ359" i="112"/>
  <c r="FU359" i="112"/>
  <c r="ED359" i="112"/>
  <c r="EF328" i="112"/>
  <c r="EK329" i="112"/>
  <c r="FU328" i="112"/>
  <c r="DY331" i="112"/>
  <c r="EK331" i="112"/>
  <c r="DZ331" i="112"/>
  <c r="FU330" i="112"/>
  <c r="EI328" i="112"/>
  <c r="DX328" i="112"/>
  <c r="DY328" i="112"/>
  <c r="EK328" i="112"/>
  <c r="HV430" i="112" l="1"/>
  <c r="DU430" i="112" s="1"/>
  <c r="HV373" i="112"/>
  <c r="DU373" i="112" s="1"/>
  <c r="HV473" i="112"/>
  <c r="DU473" i="112" s="1"/>
  <c r="HV428" i="112"/>
  <c r="DU428" i="112" s="1"/>
  <c r="HV469" i="112"/>
  <c r="DU469" i="112" s="1"/>
  <c r="HV376" i="112"/>
  <c r="DU376" i="112" s="1"/>
  <c r="HV489" i="112"/>
  <c r="DU489" i="112" s="1"/>
  <c r="HV374" i="112"/>
  <c r="DU374" i="112" s="1"/>
  <c r="HV375" i="112"/>
  <c r="DU375" i="112" s="1"/>
  <c r="HB531" i="112"/>
  <c r="GS531" i="112"/>
  <c r="HR531" i="112" s="1"/>
  <c r="GZ534" i="112"/>
  <c r="GQ534" i="112"/>
  <c r="HP534" i="112" s="1"/>
  <c r="GP532" i="112"/>
  <c r="HO532" i="112" s="1"/>
  <c r="GY532" i="112"/>
  <c r="HB530" i="112"/>
  <c r="GS530" i="112"/>
  <c r="HR530" i="112" s="1"/>
  <c r="GN533" i="112"/>
  <c r="HM533" i="112" s="1"/>
  <c r="GW533" i="112"/>
  <c r="GO531" i="112"/>
  <c r="HN531" i="112" s="1"/>
  <c r="GX531" i="112"/>
  <c r="HA534" i="112"/>
  <c r="GR534" i="112"/>
  <c r="HQ534" i="112" s="1"/>
  <c r="HB532" i="112"/>
  <c r="GS532" i="112"/>
  <c r="HR532" i="112" s="1"/>
  <c r="GV530" i="112"/>
  <c r="GM530" i="112"/>
  <c r="HL530" i="112" s="1"/>
  <c r="GQ533" i="112"/>
  <c r="HP533" i="112" s="1"/>
  <c r="GZ533" i="112"/>
  <c r="GN531" i="112"/>
  <c r="HM531" i="112" s="1"/>
  <c r="GW531" i="112"/>
  <c r="GS534" i="112"/>
  <c r="HR534" i="112" s="1"/>
  <c r="HB534" i="112"/>
  <c r="GW532" i="112"/>
  <c r="GN532" i="112"/>
  <c r="HM532" i="112" s="1"/>
  <c r="GW530" i="112"/>
  <c r="GN530" i="112"/>
  <c r="HM530" i="112" s="1"/>
  <c r="HA533" i="112"/>
  <c r="GR533" i="112"/>
  <c r="HQ533" i="112" s="1"/>
  <c r="GQ531" i="112"/>
  <c r="HP531" i="112" s="1"/>
  <c r="GZ531" i="112"/>
  <c r="GX534" i="112"/>
  <c r="GO534" i="112"/>
  <c r="HN534" i="112" s="1"/>
  <c r="GX532" i="112"/>
  <c r="GO532" i="112"/>
  <c r="HN532" i="112" s="1"/>
  <c r="HA530" i="112"/>
  <c r="GR530" i="112"/>
  <c r="HQ530" i="112" s="1"/>
  <c r="HB533" i="112"/>
  <c r="GS533" i="112"/>
  <c r="HR533" i="112" s="1"/>
  <c r="HA531" i="112"/>
  <c r="GR531" i="112"/>
  <c r="HQ531" i="112" s="1"/>
  <c r="GY534" i="112"/>
  <c r="GP534" i="112"/>
  <c r="HO534" i="112" s="1"/>
  <c r="GZ532" i="112"/>
  <c r="GQ532" i="112"/>
  <c r="HP532" i="112" s="1"/>
  <c r="GO530" i="112"/>
  <c r="HN530" i="112" s="1"/>
  <c r="GX530" i="112"/>
  <c r="GM533" i="112"/>
  <c r="HL533" i="112" s="1"/>
  <c r="GV533" i="112"/>
  <c r="GM531" i="112"/>
  <c r="HL531" i="112" s="1"/>
  <c r="GV531" i="112"/>
  <c r="GW534" i="112"/>
  <c r="GN534" i="112"/>
  <c r="HM534" i="112" s="1"/>
  <c r="HA532" i="112"/>
  <c r="GR532" i="112"/>
  <c r="HQ532" i="112" s="1"/>
  <c r="GQ530" i="112"/>
  <c r="HP530" i="112" s="1"/>
  <c r="GZ530" i="112"/>
  <c r="GY533" i="112"/>
  <c r="GP533" i="112"/>
  <c r="HO533" i="112" s="1"/>
  <c r="GY531" i="112"/>
  <c r="GP531" i="112"/>
  <c r="GM534" i="112"/>
  <c r="HL534" i="112" s="1"/>
  <c r="GV534" i="112"/>
  <c r="GM532" i="112"/>
  <c r="HL532" i="112" s="1"/>
  <c r="GV532" i="112"/>
  <c r="GY530" i="112"/>
  <c r="GP530" i="112"/>
  <c r="HO530" i="112" s="1"/>
  <c r="GX533" i="112"/>
  <c r="GO533" i="112"/>
  <c r="HN533" i="112" s="1"/>
  <c r="EE530" i="112"/>
  <c r="EE512" i="112"/>
  <c r="EE488" i="112"/>
  <c r="FT431" i="112"/>
  <c r="EE430" i="112"/>
  <c r="FT430" i="112"/>
  <c r="EJ331" i="112"/>
  <c r="EJ328" i="112"/>
  <c r="EJ376" i="112"/>
  <c r="EJ330" i="112"/>
  <c r="EJ358" i="112"/>
  <c r="EJ356" i="112"/>
  <c r="DV431" i="112"/>
  <c r="EE490" i="112"/>
  <c r="EE489" i="112"/>
  <c r="DV491" i="112"/>
  <c r="EE470" i="112"/>
  <c r="EE429" i="112"/>
  <c r="FT429" i="112"/>
  <c r="FT428" i="112"/>
  <c r="EE428" i="112"/>
  <c r="EE376" i="112"/>
  <c r="EE373" i="112"/>
  <c r="EE377" i="112"/>
  <c r="EE359" i="112"/>
  <c r="EE357" i="112"/>
  <c r="EE356" i="112"/>
  <c r="EE329" i="112"/>
  <c r="EJ329" i="112"/>
  <c r="EE331" i="112"/>
  <c r="EE514" i="112"/>
  <c r="EE491" i="112"/>
  <c r="EE472" i="112"/>
  <c r="EE431" i="112"/>
  <c r="EE375" i="112"/>
  <c r="EE358" i="112"/>
  <c r="EE332" i="112"/>
  <c r="EE534" i="112"/>
  <c r="EE328" i="112"/>
  <c r="EJ355" i="112"/>
  <c r="EE355" i="112"/>
  <c r="EJ373" i="112"/>
  <c r="FT427" i="112"/>
  <c r="EE427" i="112"/>
  <c r="EJ427" i="112"/>
  <c r="EJ469" i="112"/>
  <c r="EE469" i="112"/>
  <c r="EJ487" i="112"/>
  <c r="EE487" i="112"/>
  <c r="EJ511" i="112"/>
  <c r="EE511" i="112"/>
  <c r="DM92" i="112"/>
  <c r="HO531" i="112" l="1"/>
  <c r="FW319" i="112"/>
  <c r="HB319" i="112" s="1"/>
  <c r="O84" i="114"/>
  <c r="O84" i="115" s="1"/>
  <c r="S13" i="37" l="1"/>
  <c r="Q13" i="37"/>
  <c r="O13" i="37"/>
  <c r="M13" i="37"/>
  <c r="K13" i="37"/>
  <c r="I13" i="37"/>
  <c r="G13" i="37"/>
  <c r="AG13" i="37" l="1"/>
  <c r="BE59" i="37" s="1"/>
  <c r="AI13" i="37"/>
  <c r="BG59" i="37" s="1"/>
  <c r="AJ13" i="37"/>
  <c r="BH59" i="37" s="1"/>
  <c r="AK13" i="37"/>
  <c r="BI59" i="37" s="1"/>
  <c r="CD59" i="37" s="1"/>
  <c r="AH13" i="37"/>
  <c r="BF59" i="37" s="1"/>
  <c r="AL13" i="37"/>
  <c r="BJ59" i="37" s="1"/>
  <c r="AF13" i="37"/>
  <c r="BD59" i="37" s="1"/>
  <c r="BR59" i="37" s="1"/>
  <c r="BX59" i="37"/>
  <c r="CC59" i="37"/>
  <c r="CA59" i="37"/>
  <c r="BP59" i="37" l="1"/>
  <c r="BO59" i="37"/>
  <c r="CB59" i="37"/>
  <c r="CE59" i="37"/>
  <c r="CE62" i="37" s="1"/>
  <c r="BU59" i="37"/>
  <c r="BU65" i="37" s="1"/>
  <c r="BY59" i="37"/>
  <c r="BY71" i="37" s="1"/>
  <c r="BW59" i="37"/>
  <c r="BW71" i="37" s="1"/>
  <c r="BQ59" i="37"/>
  <c r="BQ71" i="37" s="1"/>
  <c r="BT59" i="37"/>
  <c r="BT62" i="37" s="1"/>
  <c r="BV59" i="37"/>
  <c r="BV71" i="37" s="1"/>
  <c r="BN59" i="37"/>
  <c r="AQ9" i="37" s="1"/>
  <c r="AQ11" i="37" s="1"/>
  <c r="BN75" i="37" s="1"/>
  <c r="BS59" i="37"/>
  <c r="BS62" i="37" s="1"/>
  <c r="CF59" i="37"/>
  <c r="CF65" i="37" s="1"/>
  <c r="CG59" i="37"/>
  <c r="CG62" i="37" s="1"/>
  <c r="BZ59" i="37"/>
  <c r="BZ71" i="37" s="1"/>
  <c r="BO62" i="37"/>
  <c r="BO65" i="37"/>
  <c r="BO71" i="37"/>
  <c r="BU155" i="37"/>
  <c r="BT71" i="37"/>
  <c r="CD62" i="37"/>
  <c r="CD65" i="37"/>
  <c r="BR62" i="37"/>
  <c r="BR71" i="37"/>
  <c r="BR65" i="37"/>
  <c r="CA65" i="37"/>
  <c r="CA71" i="37"/>
  <c r="CA62" i="37"/>
  <c r="CB62" i="37"/>
  <c r="CB71" i="37"/>
  <c r="CB65" i="37"/>
  <c r="CC62" i="37"/>
  <c r="CC71" i="37"/>
  <c r="CC65" i="37"/>
  <c r="BP155" i="37"/>
  <c r="BP65" i="37"/>
  <c r="BP62" i="37"/>
  <c r="BP71" i="37"/>
  <c r="BX62" i="37"/>
  <c r="BX65" i="37"/>
  <c r="BX71" i="37"/>
  <c r="FL529" i="112"/>
  <c r="DT529" i="112"/>
  <c r="DO529" i="112"/>
  <c r="FL528" i="112"/>
  <c r="DT528" i="112"/>
  <c r="DO528" i="112"/>
  <c r="FL527" i="112"/>
  <c r="DT527" i="112"/>
  <c r="DO527" i="112"/>
  <c r="FL526" i="112"/>
  <c r="DT526" i="112"/>
  <c r="DO526" i="112"/>
  <c r="FL525" i="112"/>
  <c r="DT525" i="112"/>
  <c r="DO525" i="112"/>
  <c r="GT525" i="112" s="1"/>
  <c r="FL524" i="112"/>
  <c r="DT524" i="112"/>
  <c r="DO524" i="112"/>
  <c r="FL523" i="112"/>
  <c r="DT523" i="112"/>
  <c r="DO523" i="112"/>
  <c r="FL522" i="112"/>
  <c r="DT522" i="112"/>
  <c r="DO522" i="112"/>
  <c r="FL521" i="112"/>
  <c r="DT521" i="112"/>
  <c r="DO521" i="112"/>
  <c r="FL520" i="112"/>
  <c r="DT520" i="112"/>
  <c r="DO520" i="112"/>
  <c r="AN155" i="121"/>
  <c r="DW510" i="112"/>
  <c r="DT510" i="112"/>
  <c r="DO510" i="112"/>
  <c r="AN154" i="121"/>
  <c r="DW509" i="112"/>
  <c r="DT509" i="112"/>
  <c r="DO509" i="112"/>
  <c r="DO516" i="112" s="1"/>
  <c r="AN153" i="121"/>
  <c r="DW508" i="112"/>
  <c r="DT508" i="112"/>
  <c r="DO508" i="112"/>
  <c r="AN152" i="121"/>
  <c r="DW507" i="112"/>
  <c r="DT507" i="112"/>
  <c r="DO507" i="112"/>
  <c r="DW502" i="112"/>
  <c r="DT502" i="112"/>
  <c r="DO502" i="112"/>
  <c r="DW501" i="112"/>
  <c r="DT501" i="112"/>
  <c r="DO501" i="112"/>
  <c r="DW498" i="112"/>
  <c r="DT498" i="112"/>
  <c r="DO498" i="112"/>
  <c r="DW497" i="112"/>
  <c r="DT497" i="112"/>
  <c r="DO497" i="112"/>
  <c r="DW486" i="112"/>
  <c r="DT486" i="112"/>
  <c r="DO486" i="112"/>
  <c r="DW485" i="112"/>
  <c r="DT485" i="112"/>
  <c r="DO485" i="112"/>
  <c r="DW484" i="112"/>
  <c r="DT484" i="112"/>
  <c r="DO484" i="112"/>
  <c r="DW483" i="112"/>
  <c r="DT483" i="112"/>
  <c r="DO483" i="112"/>
  <c r="DW482" i="112"/>
  <c r="DT482" i="112"/>
  <c r="DO482" i="112"/>
  <c r="DW481" i="112"/>
  <c r="DT481" i="112"/>
  <c r="DO481" i="112"/>
  <c r="DW480" i="112"/>
  <c r="DT480" i="112"/>
  <c r="DO480" i="112"/>
  <c r="DW479" i="112"/>
  <c r="DT479" i="112"/>
  <c r="DO479" i="112"/>
  <c r="DW478" i="112"/>
  <c r="DT478" i="112"/>
  <c r="DO478" i="112"/>
  <c r="DW468" i="112"/>
  <c r="DT468" i="112"/>
  <c r="DO468" i="112"/>
  <c r="DW467" i="112"/>
  <c r="DT467" i="112"/>
  <c r="DO467" i="112"/>
  <c r="DW466" i="112"/>
  <c r="DT466" i="112"/>
  <c r="DO466" i="112"/>
  <c r="DW465" i="112"/>
  <c r="DT465" i="112"/>
  <c r="DO465" i="112"/>
  <c r="DW464" i="112"/>
  <c r="DT464" i="112"/>
  <c r="DO464" i="112"/>
  <c r="DW463" i="112"/>
  <c r="DT463" i="112"/>
  <c r="DO463" i="112"/>
  <c r="DW462" i="112"/>
  <c r="DT462" i="112"/>
  <c r="DO462" i="112"/>
  <c r="DW461" i="112"/>
  <c r="DT461" i="112"/>
  <c r="DO461" i="112"/>
  <c r="DW460" i="112"/>
  <c r="DT460" i="112"/>
  <c r="DO460" i="112"/>
  <c r="DW459" i="112"/>
  <c r="DT459" i="112"/>
  <c r="DO459" i="112"/>
  <c r="DW458" i="112"/>
  <c r="DT458" i="112"/>
  <c r="DO458" i="112"/>
  <c r="DW457" i="112"/>
  <c r="DT457" i="112"/>
  <c r="DO457" i="112"/>
  <c r="DW456" i="112"/>
  <c r="DT456" i="112"/>
  <c r="DO456" i="112"/>
  <c r="DW455" i="112"/>
  <c r="DT455" i="112"/>
  <c r="DO455" i="112"/>
  <c r="DW454" i="112"/>
  <c r="DT454" i="112"/>
  <c r="DO454" i="112"/>
  <c r="DW453" i="112"/>
  <c r="DT453" i="112"/>
  <c r="DO453" i="112"/>
  <c r="DW452" i="112"/>
  <c r="DT452" i="112"/>
  <c r="DO452" i="112"/>
  <c r="DW451" i="112"/>
  <c r="DT451" i="112"/>
  <c r="DO451" i="112"/>
  <c r="DW450" i="112"/>
  <c r="DT450" i="112"/>
  <c r="DO450" i="112"/>
  <c r="DW449" i="112"/>
  <c r="DT449" i="112"/>
  <c r="DO449" i="112"/>
  <c r="DW448" i="112"/>
  <c r="DT448" i="112"/>
  <c r="DO448" i="112"/>
  <c r="DW447" i="112"/>
  <c r="DT447" i="112"/>
  <c r="DO447" i="112"/>
  <c r="DW446" i="112"/>
  <c r="DT446" i="112"/>
  <c r="DO446" i="112"/>
  <c r="DW445" i="112"/>
  <c r="DT445" i="112"/>
  <c r="DO445" i="112"/>
  <c r="DW444" i="112"/>
  <c r="DT444" i="112"/>
  <c r="DO444" i="112"/>
  <c r="DW443" i="112"/>
  <c r="DT443" i="112"/>
  <c r="DO443" i="112"/>
  <c r="DW442" i="112"/>
  <c r="DT442" i="112"/>
  <c r="DO442" i="112"/>
  <c r="DW441" i="112"/>
  <c r="DT441" i="112"/>
  <c r="DO441" i="112"/>
  <c r="DW440" i="112"/>
  <c r="DT440" i="112"/>
  <c r="DO440" i="112"/>
  <c r="DW439" i="112"/>
  <c r="DT439" i="112"/>
  <c r="DO439" i="112"/>
  <c r="DW438" i="112"/>
  <c r="DT438" i="112"/>
  <c r="DO438" i="112"/>
  <c r="DW437" i="112"/>
  <c r="DT437" i="112"/>
  <c r="DO437" i="112"/>
  <c r="DW436" i="112"/>
  <c r="DT436" i="112"/>
  <c r="DO436" i="112"/>
  <c r="DW426" i="112"/>
  <c r="DT426" i="112"/>
  <c r="DO426" i="112"/>
  <c r="DW425" i="112"/>
  <c r="DT425" i="112"/>
  <c r="DO425" i="112"/>
  <c r="DW424" i="112"/>
  <c r="DT424" i="112"/>
  <c r="DO424" i="112"/>
  <c r="DW423" i="112"/>
  <c r="DT423" i="112"/>
  <c r="DO423" i="112"/>
  <c r="DW422" i="112"/>
  <c r="DT422" i="112"/>
  <c r="DO422" i="112"/>
  <c r="DW421" i="112"/>
  <c r="DT421" i="112"/>
  <c r="DO421" i="112"/>
  <c r="DW420" i="112"/>
  <c r="DT420" i="112"/>
  <c r="DO420" i="112"/>
  <c r="DW419" i="112"/>
  <c r="DT419" i="112"/>
  <c r="DO419" i="112"/>
  <c r="DW416" i="112"/>
  <c r="DT416" i="112"/>
  <c r="DO416" i="112"/>
  <c r="DW415" i="112"/>
  <c r="DT415" i="112"/>
  <c r="DO415" i="112"/>
  <c r="AN84" i="121"/>
  <c r="DW414" i="112"/>
  <c r="DT414" i="112"/>
  <c r="DO414" i="112"/>
  <c r="DW413" i="112"/>
  <c r="DT413" i="112"/>
  <c r="DO413" i="112"/>
  <c r="DW412" i="112"/>
  <c r="DT412" i="112"/>
  <c r="DO412" i="112"/>
  <c r="DW411" i="112"/>
  <c r="DT411" i="112"/>
  <c r="DO411" i="112"/>
  <c r="DW410" i="112"/>
  <c r="DT410" i="112"/>
  <c r="DO410" i="112"/>
  <c r="AN79" i="121"/>
  <c r="DW409" i="112"/>
  <c r="DT409" i="112"/>
  <c r="DO409" i="112"/>
  <c r="DW408" i="112"/>
  <c r="DT408" i="112"/>
  <c r="DO408" i="112"/>
  <c r="DW407" i="112"/>
  <c r="DT407" i="112"/>
  <c r="DO407" i="112"/>
  <c r="DW406" i="112"/>
  <c r="DT406" i="112"/>
  <c r="DO406" i="112"/>
  <c r="DW405" i="112"/>
  <c r="DT405" i="112"/>
  <c r="DO405" i="112"/>
  <c r="DW404" i="112"/>
  <c r="DT404" i="112"/>
  <c r="DO404" i="112"/>
  <c r="DW403" i="112"/>
  <c r="DT403" i="112"/>
  <c r="DO403" i="112"/>
  <c r="DW402" i="112"/>
  <c r="DT402" i="112"/>
  <c r="DO402" i="112"/>
  <c r="DW401" i="112"/>
  <c r="DT401" i="112"/>
  <c r="DO401" i="112"/>
  <c r="DW400" i="112"/>
  <c r="DT400" i="112"/>
  <c r="DO400" i="112"/>
  <c r="DW399" i="112"/>
  <c r="DT399" i="112"/>
  <c r="DO399" i="112"/>
  <c r="DW398" i="112"/>
  <c r="DT398" i="112"/>
  <c r="DO398" i="112"/>
  <c r="DW397" i="112"/>
  <c r="DT397" i="112"/>
  <c r="DO397" i="112"/>
  <c r="DW396" i="112"/>
  <c r="DT396" i="112"/>
  <c r="DO396" i="112"/>
  <c r="DW395" i="112"/>
  <c r="DT395" i="112"/>
  <c r="DO395" i="112"/>
  <c r="DW394" i="112"/>
  <c r="DT394" i="112"/>
  <c r="DO394" i="112"/>
  <c r="DW393" i="112"/>
  <c r="DT393" i="112"/>
  <c r="DO393" i="112"/>
  <c r="DW392" i="112"/>
  <c r="DT392" i="112"/>
  <c r="DO392" i="112"/>
  <c r="DW391" i="112"/>
  <c r="DT391" i="112"/>
  <c r="DO391" i="112"/>
  <c r="DW390" i="112"/>
  <c r="DT390" i="112"/>
  <c r="DO390" i="112"/>
  <c r="DW389" i="112"/>
  <c r="DT389" i="112"/>
  <c r="DO389" i="112"/>
  <c r="DW388" i="112"/>
  <c r="DT388" i="112"/>
  <c r="DO388" i="112"/>
  <c r="DW387" i="112"/>
  <c r="DT387" i="112"/>
  <c r="DO387" i="112"/>
  <c r="DW386" i="112"/>
  <c r="DT386" i="112"/>
  <c r="DO386" i="112"/>
  <c r="DW385" i="112"/>
  <c r="DT385" i="112"/>
  <c r="DO385" i="112"/>
  <c r="DW384" i="112"/>
  <c r="DT384" i="112"/>
  <c r="DO384" i="112"/>
  <c r="DW383" i="112"/>
  <c r="DT383" i="112"/>
  <c r="DO383" i="112"/>
  <c r="DW382" i="112"/>
  <c r="DT382" i="112"/>
  <c r="DO382" i="112"/>
  <c r="DW372" i="112"/>
  <c r="DT372" i="112"/>
  <c r="DO372" i="112"/>
  <c r="DW371" i="112"/>
  <c r="DT371" i="112"/>
  <c r="DO371" i="112"/>
  <c r="DW370" i="112"/>
  <c r="DT370" i="112"/>
  <c r="DO370" i="112"/>
  <c r="DW369" i="112"/>
  <c r="DT369" i="112"/>
  <c r="DO369" i="112"/>
  <c r="DW368" i="112"/>
  <c r="DT368" i="112"/>
  <c r="DO368" i="112"/>
  <c r="DW367" i="112"/>
  <c r="DT367" i="112"/>
  <c r="DO367" i="112"/>
  <c r="DW366" i="112"/>
  <c r="DT366" i="112"/>
  <c r="DO366" i="112"/>
  <c r="DW365" i="112"/>
  <c r="DT365" i="112"/>
  <c r="DO365" i="112"/>
  <c r="DW364" i="112"/>
  <c r="DT364" i="112"/>
  <c r="DO364" i="112"/>
  <c r="DW354" i="112"/>
  <c r="DT354" i="112"/>
  <c r="DO354" i="112"/>
  <c r="DW353" i="112"/>
  <c r="DT353" i="112"/>
  <c r="DO353" i="112"/>
  <c r="DW352" i="112"/>
  <c r="DT352" i="112"/>
  <c r="DO352" i="112"/>
  <c r="DW351" i="112"/>
  <c r="DT351" i="112"/>
  <c r="DO351" i="112"/>
  <c r="DW350" i="112"/>
  <c r="DT350" i="112"/>
  <c r="DO350" i="112"/>
  <c r="DW349" i="112"/>
  <c r="DT349" i="112"/>
  <c r="DO349" i="112"/>
  <c r="DW348" i="112"/>
  <c r="DT348" i="112"/>
  <c r="DO348" i="112"/>
  <c r="DW347" i="112"/>
  <c r="DT347" i="112"/>
  <c r="DO347" i="112"/>
  <c r="DW346" i="112"/>
  <c r="DT346" i="112"/>
  <c r="DO346" i="112"/>
  <c r="DW345" i="112"/>
  <c r="DT345" i="112"/>
  <c r="DO345" i="112"/>
  <c r="DW344" i="112"/>
  <c r="DT344" i="112"/>
  <c r="DO344" i="112"/>
  <c r="DW343" i="112"/>
  <c r="DT343" i="112"/>
  <c r="DO343" i="112"/>
  <c r="DW342" i="112"/>
  <c r="DT342" i="112"/>
  <c r="DO342" i="112"/>
  <c r="DW341" i="112"/>
  <c r="DT341" i="112"/>
  <c r="DO341" i="112"/>
  <c r="DW340" i="112"/>
  <c r="DT340" i="112"/>
  <c r="DO340" i="112"/>
  <c r="DW339" i="112"/>
  <c r="DT339" i="112"/>
  <c r="DO339" i="112"/>
  <c r="DW338" i="112"/>
  <c r="DT338" i="112"/>
  <c r="DO338" i="112"/>
  <c r="DW337" i="112"/>
  <c r="DT337" i="112"/>
  <c r="DO337" i="112"/>
  <c r="DW327" i="112"/>
  <c r="DT327" i="112"/>
  <c r="DV327" i="112" s="1"/>
  <c r="DO327" i="112"/>
  <c r="DW326" i="112"/>
  <c r="DT326" i="112"/>
  <c r="DO326" i="112"/>
  <c r="DW325" i="112"/>
  <c r="DT325" i="112"/>
  <c r="DO325" i="112"/>
  <c r="DW324" i="112"/>
  <c r="DT324" i="112"/>
  <c r="DO324" i="112"/>
  <c r="DW323" i="112"/>
  <c r="DT323" i="112"/>
  <c r="DO323" i="112"/>
  <c r="DW322" i="112"/>
  <c r="DT322" i="112"/>
  <c r="DO322" i="112"/>
  <c r="DW321" i="112"/>
  <c r="DT321" i="112"/>
  <c r="DO321" i="112"/>
  <c r="DW320" i="112"/>
  <c r="DT320" i="112"/>
  <c r="DY320" i="112" s="1"/>
  <c r="DO320" i="112"/>
  <c r="DW319" i="112"/>
  <c r="DO319" i="112"/>
  <c r="BU71" i="37" l="1"/>
  <c r="BU62" i="37"/>
  <c r="DO494" i="112"/>
  <c r="EW326" i="112" s="1"/>
  <c r="GT537" i="112"/>
  <c r="HB520" i="112"/>
  <c r="DO515" i="112"/>
  <c r="GT520" i="112"/>
  <c r="GS520" i="112"/>
  <c r="BW62" i="37"/>
  <c r="BW65" i="37"/>
  <c r="BY65" i="37"/>
  <c r="BY62" i="37"/>
  <c r="BT65" i="37"/>
  <c r="BQ62" i="37"/>
  <c r="BQ65" i="37"/>
  <c r="BZ65" i="37"/>
  <c r="BZ62" i="37"/>
  <c r="BZ101" i="37"/>
  <c r="HW526" i="112"/>
  <c r="HU526" i="112"/>
  <c r="HW529" i="112"/>
  <c r="HU529" i="112"/>
  <c r="HW322" i="112"/>
  <c r="HU322" i="112"/>
  <c r="HW324" i="112"/>
  <c r="HU324" i="112"/>
  <c r="HW326" i="112"/>
  <c r="HU326" i="112"/>
  <c r="HW337" i="112"/>
  <c r="HU337" i="112"/>
  <c r="HW339" i="112"/>
  <c r="HU339" i="112"/>
  <c r="HW341" i="112"/>
  <c r="HU341" i="112"/>
  <c r="HU343" i="112"/>
  <c r="HW343" i="112"/>
  <c r="HW345" i="112"/>
  <c r="HU345" i="112"/>
  <c r="HW347" i="112"/>
  <c r="HU347" i="112"/>
  <c r="HW349" i="112"/>
  <c r="HU349" i="112"/>
  <c r="HU351" i="112"/>
  <c r="HW351" i="112"/>
  <c r="HW353" i="112"/>
  <c r="HU353" i="112"/>
  <c r="HW364" i="112"/>
  <c r="HU364" i="112"/>
  <c r="HW366" i="112"/>
  <c r="HU366" i="112"/>
  <c r="HU368" i="112"/>
  <c r="HW368" i="112"/>
  <c r="HW370" i="112"/>
  <c r="HU370" i="112"/>
  <c r="HW372" i="112"/>
  <c r="HU372" i="112"/>
  <c r="HU383" i="112"/>
  <c r="HW383" i="112"/>
  <c r="HW385" i="112"/>
  <c r="HU385" i="112"/>
  <c r="HW387" i="112"/>
  <c r="HU387" i="112"/>
  <c r="HW389" i="112"/>
  <c r="HU389" i="112"/>
  <c r="HW391" i="112"/>
  <c r="HU391" i="112"/>
  <c r="HW393" i="112"/>
  <c r="HU393" i="112"/>
  <c r="HW395" i="112"/>
  <c r="HU395" i="112"/>
  <c r="HU397" i="112"/>
  <c r="HW397" i="112"/>
  <c r="HW399" i="112"/>
  <c r="HU399" i="112"/>
  <c r="HW401" i="112"/>
  <c r="HU401" i="112"/>
  <c r="HW403" i="112"/>
  <c r="HU403" i="112"/>
  <c r="HW405" i="112"/>
  <c r="HU405" i="112"/>
  <c r="HW407" i="112"/>
  <c r="HU407" i="112"/>
  <c r="HW409" i="112"/>
  <c r="HU409" i="112"/>
  <c r="HU411" i="112"/>
  <c r="HW411" i="112"/>
  <c r="HW413" i="112"/>
  <c r="HU413" i="112"/>
  <c r="HU415" i="112"/>
  <c r="HW415" i="112"/>
  <c r="HW419" i="112"/>
  <c r="HU419" i="112"/>
  <c r="HU421" i="112"/>
  <c r="HW421" i="112"/>
  <c r="HU423" i="112"/>
  <c r="HW423" i="112"/>
  <c r="HW425" i="112"/>
  <c r="HU425" i="112"/>
  <c r="HW436" i="112"/>
  <c r="HU436" i="112"/>
  <c r="HW438" i="112"/>
  <c r="HU438" i="112"/>
  <c r="HW440" i="112"/>
  <c r="HU440" i="112"/>
  <c r="HW442" i="112"/>
  <c r="HU442" i="112"/>
  <c r="HW444" i="112"/>
  <c r="HU444" i="112"/>
  <c r="HW446" i="112"/>
  <c r="HU446" i="112"/>
  <c r="HW448" i="112"/>
  <c r="HU448" i="112"/>
  <c r="HW450" i="112"/>
  <c r="HU450" i="112"/>
  <c r="HW452" i="112"/>
  <c r="HU452" i="112"/>
  <c r="HW454" i="112"/>
  <c r="HU454" i="112"/>
  <c r="HU457" i="112"/>
  <c r="HW457" i="112"/>
  <c r="HW459" i="112"/>
  <c r="HU459" i="112"/>
  <c r="HW460" i="112"/>
  <c r="HU460" i="112"/>
  <c r="HW461" i="112"/>
  <c r="HU461" i="112"/>
  <c r="HW463" i="112"/>
  <c r="HU463" i="112"/>
  <c r="HW465" i="112"/>
  <c r="HU465" i="112"/>
  <c r="HW466" i="112"/>
  <c r="HU466" i="112"/>
  <c r="HW478" i="112"/>
  <c r="HU478" i="112"/>
  <c r="HW480" i="112"/>
  <c r="HU480" i="112"/>
  <c r="HW482" i="112"/>
  <c r="HU482" i="112"/>
  <c r="HU484" i="112"/>
  <c r="HW484" i="112"/>
  <c r="HW486" i="112"/>
  <c r="HU486" i="112"/>
  <c r="HW498" i="112"/>
  <c r="HU498" i="112"/>
  <c r="HW500" i="112"/>
  <c r="HU500" i="112"/>
  <c r="HW502" i="112"/>
  <c r="HU502" i="112"/>
  <c r="HW508" i="112"/>
  <c r="HU508" i="112"/>
  <c r="HW510" i="112"/>
  <c r="HU510" i="112"/>
  <c r="HW524" i="112"/>
  <c r="HU524" i="112"/>
  <c r="HW527" i="112"/>
  <c r="HU527" i="112"/>
  <c r="HW525" i="112"/>
  <c r="HU525" i="112"/>
  <c r="HU323" i="112"/>
  <c r="HW323" i="112"/>
  <c r="HW325" i="112"/>
  <c r="HU325" i="112"/>
  <c r="HW327" i="112"/>
  <c r="HU327" i="112"/>
  <c r="HW338" i="112"/>
  <c r="HU338" i="112"/>
  <c r="HU340" i="112"/>
  <c r="HW340" i="112"/>
  <c r="HW342" i="112"/>
  <c r="HU342" i="112"/>
  <c r="HW344" i="112"/>
  <c r="HU344" i="112"/>
  <c r="HW346" i="112"/>
  <c r="HU346" i="112"/>
  <c r="HU348" i="112"/>
  <c r="HW348" i="112"/>
  <c r="HW350" i="112"/>
  <c r="HU350" i="112"/>
  <c r="HW352" i="112"/>
  <c r="HU352" i="112"/>
  <c r="HW354" i="112"/>
  <c r="HU354" i="112"/>
  <c r="HW365" i="112"/>
  <c r="HU365" i="112"/>
  <c r="HW367" i="112"/>
  <c r="HU367" i="112"/>
  <c r="HW369" i="112"/>
  <c r="HU369" i="112"/>
  <c r="HW371" i="112"/>
  <c r="HU371" i="112"/>
  <c r="HW382" i="112"/>
  <c r="HU382" i="112"/>
  <c r="HW384" i="112"/>
  <c r="HU384" i="112"/>
  <c r="HU386" i="112"/>
  <c r="HW386" i="112"/>
  <c r="HW388" i="112"/>
  <c r="HU388" i="112"/>
  <c r="HU390" i="112"/>
  <c r="HW390" i="112"/>
  <c r="HW392" i="112"/>
  <c r="HU392" i="112"/>
  <c r="HW394" i="112"/>
  <c r="HU394" i="112"/>
  <c r="HW396" i="112"/>
  <c r="HU396" i="112"/>
  <c r="HW398" i="112"/>
  <c r="HU398" i="112"/>
  <c r="HU400" i="112"/>
  <c r="HW400" i="112"/>
  <c r="HW402" i="112"/>
  <c r="HU402" i="112"/>
  <c r="HW404" i="112"/>
  <c r="HU404" i="112"/>
  <c r="HW406" i="112"/>
  <c r="HU406" i="112"/>
  <c r="HW408" i="112"/>
  <c r="HU408" i="112"/>
  <c r="HW410" i="112"/>
  <c r="HU410" i="112"/>
  <c r="HW412" i="112"/>
  <c r="HU412" i="112"/>
  <c r="HU414" i="112"/>
  <c r="HW414" i="112"/>
  <c r="HW416" i="112"/>
  <c r="HU416" i="112"/>
  <c r="HW420" i="112"/>
  <c r="HU420" i="112"/>
  <c r="HW422" i="112"/>
  <c r="HU422" i="112"/>
  <c r="HW424" i="112"/>
  <c r="HU424" i="112"/>
  <c r="HU426" i="112"/>
  <c r="HW426" i="112"/>
  <c r="HW437" i="112"/>
  <c r="HU437" i="112"/>
  <c r="HW439" i="112"/>
  <c r="HU439" i="112"/>
  <c r="HW441" i="112"/>
  <c r="HU441" i="112"/>
  <c r="HW443" i="112"/>
  <c r="HU443" i="112"/>
  <c r="HW445" i="112"/>
  <c r="HU445" i="112"/>
  <c r="HU447" i="112"/>
  <c r="HW447" i="112"/>
  <c r="HW449" i="112"/>
  <c r="HU449" i="112"/>
  <c r="HW451" i="112"/>
  <c r="HU451" i="112"/>
  <c r="HW453" i="112"/>
  <c r="HU453" i="112"/>
  <c r="HW455" i="112"/>
  <c r="HU455" i="112"/>
  <c r="HW456" i="112"/>
  <c r="HU456" i="112"/>
  <c r="HW458" i="112"/>
  <c r="HU458" i="112"/>
  <c r="HW462" i="112"/>
  <c r="HU462" i="112"/>
  <c r="HW464" i="112"/>
  <c r="HU464" i="112"/>
  <c r="HU467" i="112"/>
  <c r="HW467" i="112"/>
  <c r="HW468" i="112"/>
  <c r="HU468" i="112"/>
  <c r="HW479" i="112"/>
  <c r="HU479" i="112"/>
  <c r="HW481" i="112"/>
  <c r="HU481" i="112"/>
  <c r="HW483" i="112"/>
  <c r="HU483" i="112"/>
  <c r="HW485" i="112"/>
  <c r="HU485" i="112"/>
  <c r="HW499" i="112"/>
  <c r="HU499" i="112"/>
  <c r="HW501" i="112"/>
  <c r="HU501" i="112"/>
  <c r="HU507" i="112"/>
  <c r="HW507" i="112"/>
  <c r="HW509" i="112"/>
  <c r="HU509" i="112"/>
  <c r="HW528" i="112"/>
  <c r="HU528" i="112"/>
  <c r="HW523" i="112"/>
  <c r="HU523" i="112"/>
  <c r="HW521" i="112"/>
  <c r="HU521" i="112"/>
  <c r="HU522" i="112"/>
  <c r="HW522" i="112"/>
  <c r="HU520" i="112"/>
  <c r="HW520" i="112"/>
  <c r="HU497" i="112"/>
  <c r="HW497" i="112"/>
  <c r="HW321" i="112"/>
  <c r="HU321" i="112"/>
  <c r="HU320" i="112"/>
  <c r="HW320" i="112"/>
  <c r="HW319" i="112"/>
  <c r="HU319" i="112"/>
  <c r="EG526" i="112"/>
  <c r="EH526" i="112" s="1"/>
  <c r="EG529" i="112"/>
  <c r="EH529" i="112" s="1"/>
  <c r="EB529" i="112"/>
  <c r="EC529" i="112" s="1"/>
  <c r="EG322" i="112"/>
  <c r="EH322" i="112" s="1"/>
  <c r="EB322" i="112"/>
  <c r="EC322" i="112" s="1"/>
  <c r="EB339" i="112"/>
  <c r="EC339" i="112" s="1"/>
  <c r="EG339" i="112"/>
  <c r="EH339" i="112" s="1"/>
  <c r="EG341" i="112"/>
  <c r="EH341" i="112" s="1"/>
  <c r="EB341" i="112"/>
  <c r="EC341" i="112" s="1"/>
  <c r="EG343" i="112"/>
  <c r="EH343" i="112" s="1"/>
  <c r="EB343" i="112"/>
  <c r="EC343" i="112" s="1"/>
  <c r="EB345" i="112"/>
  <c r="EC345" i="112" s="1"/>
  <c r="EG345" i="112"/>
  <c r="EH345" i="112" s="1"/>
  <c r="EB347" i="112"/>
  <c r="EC347" i="112" s="1"/>
  <c r="EG347" i="112"/>
  <c r="EH347" i="112" s="1"/>
  <c r="EG349" i="112"/>
  <c r="EH349" i="112" s="1"/>
  <c r="EB349" i="112"/>
  <c r="EC349" i="112" s="1"/>
  <c r="EG351" i="112"/>
  <c r="EH351" i="112" s="1"/>
  <c r="EB351" i="112"/>
  <c r="EC351" i="112" s="1"/>
  <c r="EB353" i="112"/>
  <c r="EC353" i="112" s="1"/>
  <c r="EG353" i="112"/>
  <c r="EH353" i="112" s="1"/>
  <c r="EG364" i="112"/>
  <c r="EH364" i="112" s="1"/>
  <c r="EB364" i="112"/>
  <c r="EC364" i="112" s="1"/>
  <c r="EG366" i="112"/>
  <c r="EH366" i="112" s="1"/>
  <c r="EB366" i="112"/>
  <c r="EC366" i="112" s="1"/>
  <c r="EG368" i="112"/>
  <c r="EH368" i="112" s="1"/>
  <c r="EB368" i="112"/>
  <c r="EC368" i="112" s="1"/>
  <c r="EG370" i="112"/>
  <c r="EH370" i="112" s="1"/>
  <c r="EB370" i="112"/>
  <c r="EC370" i="112" s="1"/>
  <c r="EG372" i="112"/>
  <c r="EH372" i="112" s="1"/>
  <c r="EB372" i="112"/>
  <c r="EC372" i="112" s="1"/>
  <c r="EG383" i="112"/>
  <c r="EH383" i="112" s="1"/>
  <c r="EB383" i="112"/>
  <c r="EC383" i="112" s="1"/>
  <c r="EG385" i="112"/>
  <c r="EH385" i="112" s="1"/>
  <c r="EB385" i="112"/>
  <c r="EC385" i="112" s="1"/>
  <c r="EG387" i="112"/>
  <c r="EH387" i="112" s="1"/>
  <c r="EB387" i="112"/>
  <c r="EC387" i="112" s="1"/>
  <c r="EG389" i="112"/>
  <c r="EH389" i="112" s="1"/>
  <c r="EB389" i="112"/>
  <c r="EC389" i="112" s="1"/>
  <c r="EB391" i="112"/>
  <c r="EC391" i="112" s="1"/>
  <c r="EG391" i="112"/>
  <c r="EH391" i="112" s="1"/>
  <c r="EB393" i="112"/>
  <c r="EC393" i="112" s="1"/>
  <c r="EG393" i="112"/>
  <c r="EH393" i="112" s="1"/>
  <c r="EB395" i="112"/>
  <c r="EC395" i="112" s="1"/>
  <c r="EG395" i="112"/>
  <c r="EH395" i="112" s="1"/>
  <c r="EG397" i="112"/>
  <c r="EH397" i="112" s="1"/>
  <c r="EB397" i="112"/>
  <c r="EC397" i="112" s="1"/>
  <c r="EB399" i="112"/>
  <c r="EC399" i="112" s="1"/>
  <c r="EG399" i="112"/>
  <c r="EH399" i="112" s="1"/>
  <c r="EG401" i="112"/>
  <c r="EH401" i="112" s="1"/>
  <c r="EB401" i="112"/>
  <c r="EC401" i="112" s="1"/>
  <c r="EG403" i="112"/>
  <c r="EH403" i="112" s="1"/>
  <c r="EB403" i="112"/>
  <c r="EC403" i="112" s="1"/>
  <c r="EG405" i="112"/>
  <c r="EH405" i="112" s="1"/>
  <c r="EB405" i="112"/>
  <c r="EC405" i="112" s="1"/>
  <c r="EG407" i="112"/>
  <c r="EH407" i="112" s="1"/>
  <c r="EB407" i="112"/>
  <c r="EC407" i="112" s="1"/>
  <c r="EG409" i="112"/>
  <c r="EH409" i="112" s="1"/>
  <c r="EB409" i="112"/>
  <c r="EC409" i="112" s="1"/>
  <c r="EG411" i="112"/>
  <c r="EH411" i="112" s="1"/>
  <c r="EB411" i="112"/>
  <c r="EC411" i="112" s="1"/>
  <c r="EG413" i="112"/>
  <c r="EH413" i="112" s="1"/>
  <c r="EB413" i="112"/>
  <c r="EC413" i="112" s="1"/>
  <c r="EG415" i="112"/>
  <c r="EH415" i="112" s="1"/>
  <c r="EB419" i="112"/>
  <c r="EC419" i="112" s="1"/>
  <c r="EG419" i="112"/>
  <c r="EH419" i="112" s="1"/>
  <c r="EG421" i="112"/>
  <c r="EH421" i="112" s="1"/>
  <c r="EB421" i="112"/>
  <c r="EC421" i="112" s="1"/>
  <c r="EG423" i="112"/>
  <c r="EH423" i="112" s="1"/>
  <c r="EG436" i="112"/>
  <c r="EH436" i="112" s="1"/>
  <c r="EB436" i="112"/>
  <c r="EC436" i="112" s="1"/>
  <c r="EG438" i="112"/>
  <c r="EH438" i="112" s="1"/>
  <c r="EB438" i="112"/>
  <c r="EC438" i="112" s="1"/>
  <c r="EG440" i="112"/>
  <c r="EH440" i="112" s="1"/>
  <c r="EB440" i="112"/>
  <c r="EC440" i="112" s="1"/>
  <c r="EG442" i="112"/>
  <c r="EH442" i="112" s="1"/>
  <c r="EB442" i="112"/>
  <c r="EC442" i="112" s="1"/>
  <c r="EB444" i="112"/>
  <c r="EC444" i="112" s="1"/>
  <c r="EG444" i="112"/>
  <c r="EH444" i="112" s="1"/>
  <c r="EG446" i="112"/>
  <c r="EH446" i="112" s="1"/>
  <c r="EB446" i="112"/>
  <c r="EC446" i="112" s="1"/>
  <c r="EB448" i="112"/>
  <c r="EC448" i="112" s="1"/>
  <c r="EG448" i="112"/>
  <c r="EH448" i="112" s="1"/>
  <c r="EB450" i="112"/>
  <c r="EC450" i="112" s="1"/>
  <c r="EG450" i="112"/>
  <c r="EH450" i="112" s="1"/>
  <c r="EG452" i="112"/>
  <c r="EH452" i="112" s="1"/>
  <c r="EB452" i="112"/>
  <c r="EC452" i="112" s="1"/>
  <c r="EG454" i="112"/>
  <c r="EH454" i="112" s="1"/>
  <c r="EB454" i="112"/>
  <c r="EC454" i="112" s="1"/>
  <c r="EG457" i="112"/>
  <c r="EH457" i="112" s="1"/>
  <c r="EB457" i="112"/>
  <c r="EC457" i="112" s="1"/>
  <c r="EG459" i="112"/>
  <c r="EH459" i="112" s="1"/>
  <c r="EB459" i="112"/>
  <c r="EC459" i="112" s="1"/>
  <c r="EG460" i="112"/>
  <c r="EH460" i="112" s="1"/>
  <c r="EB460" i="112"/>
  <c r="EC460" i="112" s="1"/>
  <c r="EG461" i="112"/>
  <c r="EH461" i="112" s="1"/>
  <c r="EB461" i="112"/>
  <c r="EC461" i="112" s="1"/>
  <c r="EG463" i="112"/>
  <c r="EH463" i="112" s="1"/>
  <c r="EB463" i="112"/>
  <c r="EC463" i="112" s="1"/>
  <c r="EB465" i="112"/>
  <c r="EC465" i="112" s="1"/>
  <c r="EG465" i="112"/>
  <c r="EH465" i="112" s="1"/>
  <c r="EG466" i="112"/>
  <c r="EH466" i="112" s="1"/>
  <c r="EB466" i="112"/>
  <c r="EC466" i="112" s="1"/>
  <c r="EG478" i="112"/>
  <c r="EH478" i="112" s="1"/>
  <c r="EB478" i="112"/>
  <c r="EC478" i="112" s="1"/>
  <c r="EG480" i="112"/>
  <c r="EH480" i="112" s="1"/>
  <c r="EB480" i="112"/>
  <c r="EC480" i="112" s="1"/>
  <c r="EG482" i="112"/>
  <c r="EH482" i="112" s="1"/>
  <c r="EB482" i="112"/>
  <c r="EC482" i="112" s="1"/>
  <c r="EG484" i="112"/>
  <c r="EH484" i="112" s="1"/>
  <c r="EB484" i="112"/>
  <c r="EC484" i="112" s="1"/>
  <c r="EB486" i="112"/>
  <c r="EC486" i="112" s="1"/>
  <c r="EG486" i="112"/>
  <c r="EH486" i="112" s="1"/>
  <c r="EG498" i="112"/>
  <c r="EH498" i="112" s="1"/>
  <c r="EB500" i="112"/>
  <c r="EC500" i="112" s="1"/>
  <c r="EG500" i="112"/>
  <c r="EH500" i="112" s="1"/>
  <c r="EG502" i="112"/>
  <c r="EH502" i="112" s="1"/>
  <c r="EG508" i="112"/>
  <c r="EH508" i="112" s="1"/>
  <c r="EG510" i="112"/>
  <c r="EH510" i="112" s="1"/>
  <c r="EG524" i="112"/>
  <c r="EH524" i="112" s="1"/>
  <c r="EG527" i="112"/>
  <c r="EH527" i="112" s="1"/>
  <c r="EG522" i="112"/>
  <c r="EH522" i="112" s="1"/>
  <c r="EG525" i="112"/>
  <c r="EH525" i="112" s="1"/>
  <c r="EG319" i="112"/>
  <c r="EH319" i="112" s="1"/>
  <c r="EG321" i="112"/>
  <c r="EH321" i="112" s="1"/>
  <c r="EG323" i="112"/>
  <c r="EH323" i="112" s="1"/>
  <c r="EG325" i="112"/>
  <c r="EH325" i="112" s="1"/>
  <c r="EG327" i="112"/>
  <c r="EH327" i="112" s="1"/>
  <c r="EB327" i="112"/>
  <c r="EC327" i="112" s="1"/>
  <c r="EB338" i="112"/>
  <c r="EC338" i="112" s="1"/>
  <c r="EG338" i="112"/>
  <c r="EH338" i="112" s="1"/>
  <c r="EB340" i="112"/>
  <c r="EC340" i="112" s="1"/>
  <c r="EG340" i="112"/>
  <c r="EH340" i="112" s="1"/>
  <c r="EG342" i="112"/>
  <c r="EH342" i="112" s="1"/>
  <c r="EB342" i="112"/>
  <c r="EC342" i="112" s="1"/>
  <c r="EG344" i="112"/>
  <c r="EH344" i="112" s="1"/>
  <c r="EB344" i="112"/>
  <c r="EC344" i="112" s="1"/>
  <c r="EB346" i="112"/>
  <c r="EC346" i="112" s="1"/>
  <c r="EG346" i="112"/>
  <c r="EH346" i="112" s="1"/>
  <c r="EG348" i="112"/>
  <c r="EH348" i="112" s="1"/>
  <c r="EB348" i="112"/>
  <c r="EC348" i="112" s="1"/>
  <c r="EG350" i="112"/>
  <c r="EH350" i="112" s="1"/>
  <c r="EB350" i="112"/>
  <c r="EC350" i="112" s="1"/>
  <c r="EG352" i="112"/>
  <c r="EH352" i="112" s="1"/>
  <c r="EB352" i="112"/>
  <c r="EC352" i="112" s="1"/>
  <c r="EG354" i="112"/>
  <c r="EH354" i="112" s="1"/>
  <c r="EB354" i="112"/>
  <c r="EC354" i="112" s="1"/>
  <c r="EB365" i="112"/>
  <c r="EC365" i="112" s="1"/>
  <c r="EG365" i="112"/>
  <c r="EH365" i="112" s="1"/>
  <c r="EG367" i="112"/>
  <c r="EH367" i="112" s="1"/>
  <c r="EB367" i="112"/>
  <c r="EC367" i="112" s="1"/>
  <c r="EG369" i="112"/>
  <c r="EH369" i="112" s="1"/>
  <c r="EB369" i="112"/>
  <c r="EC369" i="112" s="1"/>
  <c r="EG371" i="112"/>
  <c r="EH371" i="112" s="1"/>
  <c r="EB371" i="112"/>
  <c r="EC371" i="112" s="1"/>
  <c r="EG384" i="112"/>
  <c r="EH384" i="112" s="1"/>
  <c r="EB384" i="112"/>
  <c r="EC384" i="112" s="1"/>
  <c r="EG386" i="112"/>
  <c r="EH386" i="112" s="1"/>
  <c r="EB386" i="112"/>
  <c r="EC386" i="112" s="1"/>
  <c r="EG388" i="112"/>
  <c r="EH388" i="112" s="1"/>
  <c r="EB388" i="112"/>
  <c r="EC388" i="112" s="1"/>
  <c r="EB390" i="112"/>
  <c r="EC390" i="112" s="1"/>
  <c r="EG390" i="112"/>
  <c r="EH390" i="112" s="1"/>
  <c r="EB392" i="112"/>
  <c r="EC392" i="112" s="1"/>
  <c r="EG392" i="112"/>
  <c r="EH392" i="112" s="1"/>
  <c r="EB394" i="112"/>
  <c r="EC394" i="112" s="1"/>
  <c r="EG394" i="112"/>
  <c r="EH394" i="112" s="1"/>
  <c r="EG396" i="112"/>
  <c r="EH396" i="112" s="1"/>
  <c r="EB396" i="112"/>
  <c r="EC396" i="112" s="1"/>
  <c r="EB398" i="112"/>
  <c r="EC398" i="112" s="1"/>
  <c r="EG398" i="112"/>
  <c r="EH398" i="112" s="1"/>
  <c r="EB400" i="112"/>
  <c r="EC400" i="112" s="1"/>
  <c r="EG400" i="112"/>
  <c r="EH400" i="112" s="1"/>
  <c r="EG402" i="112"/>
  <c r="EH402" i="112" s="1"/>
  <c r="EB402" i="112"/>
  <c r="EC402" i="112" s="1"/>
  <c r="EG404" i="112"/>
  <c r="EH404" i="112" s="1"/>
  <c r="EB404" i="112"/>
  <c r="EC404" i="112" s="1"/>
  <c r="EG406" i="112"/>
  <c r="EH406" i="112" s="1"/>
  <c r="EB406" i="112"/>
  <c r="EC406" i="112" s="1"/>
  <c r="EG408" i="112"/>
  <c r="EH408" i="112" s="1"/>
  <c r="EB408" i="112"/>
  <c r="EC408" i="112" s="1"/>
  <c r="EG410" i="112"/>
  <c r="EH410" i="112" s="1"/>
  <c r="EB410" i="112"/>
  <c r="EC410" i="112" s="1"/>
  <c r="EG412" i="112"/>
  <c r="EH412" i="112" s="1"/>
  <c r="EB412" i="112"/>
  <c r="EC412" i="112" s="1"/>
  <c r="EG414" i="112"/>
  <c r="EH414" i="112" s="1"/>
  <c r="EB416" i="112"/>
  <c r="EC416" i="112" s="1"/>
  <c r="EG416" i="112"/>
  <c r="EH416" i="112" s="1"/>
  <c r="EG420" i="112"/>
  <c r="EH420" i="112" s="1"/>
  <c r="EB420" i="112"/>
  <c r="EC420" i="112" s="1"/>
  <c r="EB422" i="112"/>
  <c r="EC422" i="112" s="1"/>
  <c r="EG422" i="112"/>
  <c r="EH422" i="112" s="1"/>
  <c r="EG437" i="112"/>
  <c r="EH437" i="112" s="1"/>
  <c r="EB437" i="112"/>
  <c r="EC437" i="112" s="1"/>
  <c r="EG439" i="112"/>
  <c r="EH439" i="112" s="1"/>
  <c r="EB439" i="112"/>
  <c r="EC439" i="112" s="1"/>
  <c r="EG441" i="112"/>
  <c r="EH441" i="112" s="1"/>
  <c r="EB441" i="112"/>
  <c r="EC441" i="112" s="1"/>
  <c r="EG443" i="112"/>
  <c r="EH443" i="112" s="1"/>
  <c r="EB443" i="112"/>
  <c r="EC443" i="112" s="1"/>
  <c r="EG445" i="112"/>
  <c r="EH445" i="112" s="1"/>
  <c r="EB445" i="112"/>
  <c r="EC445" i="112" s="1"/>
  <c r="EG447" i="112"/>
  <c r="EH447" i="112" s="1"/>
  <c r="EB447" i="112"/>
  <c r="EC447" i="112" s="1"/>
  <c r="EB449" i="112"/>
  <c r="EC449" i="112" s="1"/>
  <c r="EG449" i="112"/>
  <c r="EH449" i="112" s="1"/>
  <c r="EB451" i="112"/>
  <c r="EC451" i="112" s="1"/>
  <c r="EG451" i="112"/>
  <c r="EH451" i="112" s="1"/>
  <c r="EG453" i="112"/>
  <c r="EH453" i="112" s="1"/>
  <c r="EB453" i="112"/>
  <c r="EC453" i="112" s="1"/>
  <c r="EG455" i="112"/>
  <c r="EH455" i="112" s="1"/>
  <c r="EB455" i="112"/>
  <c r="EC455" i="112" s="1"/>
  <c r="EB456" i="112"/>
  <c r="EC456" i="112" s="1"/>
  <c r="EG456" i="112"/>
  <c r="EH456" i="112" s="1"/>
  <c r="EG458" i="112"/>
  <c r="EH458" i="112" s="1"/>
  <c r="EB458" i="112"/>
  <c r="EC458" i="112" s="1"/>
  <c r="EG462" i="112"/>
  <c r="EH462" i="112" s="1"/>
  <c r="EB462" i="112"/>
  <c r="EC462" i="112" s="1"/>
  <c r="EB464" i="112"/>
  <c r="EC464" i="112" s="1"/>
  <c r="EG464" i="112"/>
  <c r="EH464" i="112" s="1"/>
  <c r="EG467" i="112"/>
  <c r="EH467" i="112" s="1"/>
  <c r="EB467" i="112"/>
  <c r="EC467" i="112" s="1"/>
  <c r="EB468" i="112"/>
  <c r="EC468" i="112" s="1"/>
  <c r="EG468" i="112"/>
  <c r="EH468" i="112" s="1"/>
  <c r="EG479" i="112"/>
  <c r="EH479" i="112" s="1"/>
  <c r="EB479" i="112"/>
  <c r="EC479" i="112" s="1"/>
  <c r="EG481" i="112"/>
  <c r="EH481" i="112" s="1"/>
  <c r="EB481" i="112"/>
  <c r="EC481" i="112" s="1"/>
  <c r="EG483" i="112"/>
  <c r="EH483" i="112" s="1"/>
  <c r="EB483" i="112"/>
  <c r="EC483" i="112" s="1"/>
  <c r="EG485" i="112"/>
  <c r="EH485" i="112" s="1"/>
  <c r="EB485" i="112"/>
  <c r="EC485" i="112" s="1"/>
  <c r="EG497" i="112"/>
  <c r="EH497" i="112" s="1"/>
  <c r="EB499" i="112"/>
  <c r="EC499" i="112" s="1"/>
  <c r="EG499" i="112"/>
  <c r="EH499" i="112" s="1"/>
  <c r="EG501" i="112"/>
  <c r="EH501" i="112" s="1"/>
  <c r="EG507" i="112"/>
  <c r="EH507" i="112" s="1"/>
  <c r="EG509" i="112"/>
  <c r="EH509" i="112" s="1"/>
  <c r="EG520" i="112"/>
  <c r="EH520" i="112" s="1"/>
  <c r="EG528" i="112"/>
  <c r="EH528" i="112" s="1"/>
  <c r="EG523" i="112"/>
  <c r="EH523" i="112" s="1"/>
  <c r="BY79" i="37"/>
  <c r="BR79" i="37"/>
  <c r="BR80" i="37" s="1"/>
  <c r="BS79" i="37"/>
  <c r="BS80" i="37" s="1"/>
  <c r="BV79" i="37"/>
  <c r="BV80" i="37" s="1"/>
  <c r="BP79" i="37"/>
  <c r="BP80" i="37" s="1"/>
  <c r="BU79" i="37"/>
  <c r="BU80" i="37" s="1"/>
  <c r="BN71" i="37"/>
  <c r="BV101" i="37"/>
  <c r="BV102" i="37" s="1"/>
  <c r="BS71" i="37"/>
  <c r="CD101" i="37"/>
  <c r="CD102" i="37" s="1"/>
  <c r="BU101" i="37"/>
  <c r="BR101" i="37"/>
  <c r="BR102" i="37" s="1"/>
  <c r="CE101" i="37"/>
  <c r="CE102" i="37" s="1"/>
  <c r="BT101" i="37"/>
  <c r="BT102" i="37" s="1"/>
  <c r="CB79" i="37"/>
  <c r="CB80" i="37" s="1"/>
  <c r="CC79" i="37"/>
  <c r="CC80" i="37" s="1"/>
  <c r="BW79" i="37"/>
  <c r="BW80" i="37" s="1"/>
  <c r="CA101" i="37"/>
  <c r="CA102" i="37" s="1"/>
  <c r="BS101" i="37"/>
  <c r="BS102" i="37" s="1"/>
  <c r="BN101" i="37"/>
  <c r="BN102" i="37" s="1"/>
  <c r="CC101" i="37"/>
  <c r="CC102" i="37" s="1"/>
  <c r="BQ79" i="37"/>
  <c r="BQ80" i="37" s="1"/>
  <c r="BS65" i="37"/>
  <c r="BN65" i="37"/>
  <c r="BQ101" i="37"/>
  <c r="BQ102" i="37" s="1"/>
  <c r="BX79" i="37"/>
  <c r="BX80" i="37" s="1"/>
  <c r="BN79" i="37"/>
  <c r="BN80" i="37" s="1"/>
  <c r="CA79" i="37"/>
  <c r="CA80" i="37" s="1"/>
  <c r="BT79" i="37"/>
  <c r="BT80" i="37" s="1"/>
  <c r="BV62" i="37"/>
  <c r="BN62" i="37"/>
  <c r="BP101" i="37"/>
  <c r="BP102" i="37" s="1"/>
  <c r="CF62" i="37"/>
  <c r="CB101" i="37"/>
  <c r="CB102" i="37" s="1"/>
  <c r="BZ79" i="37"/>
  <c r="BZ80" i="37" s="1"/>
  <c r="BX101" i="37"/>
  <c r="BX102" i="37" s="1"/>
  <c r="BY101" i="37"/>
  <c r="BY102" i="37" s="1"/>
  <c r="BV65" i="37"/>
  <c r="BW101" i="37"/>
  <c r="BW102" i="37" s="1"/>
  <c r="BO101" i="37"/>
  <c r="BO102" i="37" s="1"/>
  <c r="BO79" i="37"/>
  <c r="BO80" i="37" s="1"/>
  <c r="BY80" i="37"/>
  <c r="BU102" i="37"/>
  <c r="BZ102" i="37"/>
  <c r="ED327" i="112"/>
  <c r="DO492" i="112"/>
  <c r="GR537" i="112" s="1"/>
  <c r="DO474" i="112"/>
  <c r="GQ537" i="112" s="1"/>
  <c r="DO378" i="112"/>
  <c r="GO537" i="112" s="1"/>
  <c r="DO360" i="112"/>
  <c r="GN537" i="112" s="1"/>
  <c r="DO333" i="112"/>
  <c r="GM537" i="112" s="1"/>
  <c r="DO432" i="112"/>
  <c r="DO535" i="112"/>
  <c r="DO517" i="112" s="1"/>
  <c r="DO543" i="112" l="1"/>
  <c r="DO544" i="112" s="1"/>
  <c r="DO493" i="112"/>
  <c r="DO538" i="112"/>
  <c r="DO539" i="112" s="1"/>
  <c r="GS537" i="112"/>
  <c r="EW327" i="112"/>
  <c r="GP537" i="112"/>
  <c r="DO379" i="112"/>
  <c r="EW322" i="112" s="1"/>
  <c r="DO316" i="112"/>
  <c r="EW319" i="112" s="1"/>
  <c r="HX485" i="112"/>
  <c r="HX468" i="112"/>
  <c r="HX458" i="112"/>
  <c r="HX509" i="112"/>
  <c r="HX524" i="112"/>
  <c r="HV521" i="112"/>
  <c r="DU521" i="112" s="1"/>
  <c r="HV531" i="112"/>
  <c r="DU531" i="112" s="1"/>
  <c r="HV534" i="112"/>
  <c r="DU534" i="112" s="1"/>
  <c r="HV530" i="112"/>
  <c r="DU530" i="112" s="1"/>
  <c r="HV533" i="112"/>
  <c r="DU533" i="112" s="1"/>
  <c r="HV532" i="112"/>
  <c r="DU532" i="112" s="1"/>
  <c r="HX521" i="112"/>
  <c r="HX534" i="112"/>
  <c r="HX531" i="112"/>
  <c r="HX530" i="112"/>
  <c r="HX533" i="112"/>
  <c r="HX532" i="112"/>
  <c r="HV523" i="112"/>
  <c r="DU523" i="112" s="1"/>
  <c r="HV525" i="112"/>
  <c r="DU525" i="112" s="1"/>
  <c r="HV529" i="112"/>
  <c r="DU529" i="112" s="1"/>
  <c r="HX523" i="112"/>
  <c r="HX525" i="112"/>
  <c r="HX529" i="112"/>
  <c r="HV528" i="112"/>
  <c r="DU528" i="112" s="1"/>
  <c r="HV527" i="112"/>
  <c r="DU527" i="112" s="1"/>
  <c r="HV526" i="112"/>
  <c r="DU526" i="112" s="1"/>
  <c r="HX528" i="112"/>
  <c r="HX527" i="112"/>
  <c r="HX526" i="112"/>
  <c r="HV524" i="112"/>
  <c r="DU524" i="112" s="1"/>
  <c r="HV480" i="112"/>
  <c r="DU480" i="112" s="1"/>
  <c r="HV507" i="112"/>
  <c r="DU507" i="112" s="1"/>
  <c r="HX510" i="112"/>
  <c r="HX498" i="112"/>
  <c r="HX505" i="112"/>
  <c r="HX506" i="112"/>
  <c r="HX511" i="112"/>
  <c r="HX513" i="112"/>
  <c r="HX514" i="112"/>
  <c r="HX512" i="112"/>
  <c r="HV504" i="112"/>
  <c r="DU504" i="112" s="1"/>
  <c r="HV505" i="112"/>
  <c r="DU505" i="112" s="1"/>
  <c r="HV506" i="112"/>
  <c r="DU506" i="112" s="1"/>
  <c r="HV511" i="112"/>
  <c r="DU511" i="112" s="1"/>
  <c r="HV514" i="112"/>
  <c r="DU514" i="112" s="1"/>
  <c r="HV513" i="112"/>
  <c r="DU513" i="112" s="1"/>
  <c r="HV512" i="112"/>
  <c r="DU512" i="112" s="1"/>
  <c r="HX508" i="112"/>
  <c r="HX507" i="112"/>
  <c r="HX502" i="112"/>
  <c r="HV509" i="112"/>
  <c r="DU509" i="112" s="1"/>
  <c r="HX482" i="112"/>
  <c r="HV481" i="112"/>
  <c r="DU481" i="112" s="1"/>
  <c r="HV486" i="112"/>
  <c r="DU486" i="112" s="1"/>
  <c r="HV478" i="112"/>
  <c r="DU478" i="112" s="1"/>
  <c r="HX481" i="112"/>
  <c r="HX486" i="112"/>
  <c r="HX478" i="112"/>
  <c r="HX483" i="112"/>
  <c r="HX484" i="112"/>
  <c r="HV467" i="112"/>
  <c r="DU467" i="112" s="1"/>
  <c r="HX479" i="112"/>
  <c r="HV484" i="112"/>
  <c r="DU484" i="112" s="1"/>
  <c r="HX451" i="112"/>
  <c r="HX480" i="112"/>
  <c r="HV482" i="112"/>
  <c r="DU482" i="112" s="1"/>
  <c r="HX443" i="112"/>
  <c r="HX416" i="112"/>
  <c r="HX408" i="112"/>
  <c r="HX392" i="112"/>
  <c r="HX384" i="112"/>
  <c r="HX465" i="112"/>
  <c r="HX459" i="112"/>
  <c r="HX450" i="112"/>
  <c r="HX442" i="112"/>
  <c r="HX467" i="112"/>
  <c r="HV456" i="112"/>
  <c r="DU456" i="112" s="1"/>
  <c r="HV441" i="112"/>
  <c r="DU441" i="112" s="1"/>
  <c r="HX457" i="112"/>
  <c r="HX441" i="112"/>
  <c r="HX464" i="112"/>
  <c r="HX455" i="112"/>
  <c r="HV447" i="112"/>
  <c r="DU447" i="112" s="1"/>
  <c r="HX439" i="112"/>
  <c r="HX461" i="112"/>
  <c r="HX454" i="112"/>
  <c r="HX446" i="112"/>
  <c r="HX438" i="112"/>
  <c r="HX463" i="112"/>
  <c r="HV464" i="112"/>
  <c r="DU464" i="112" s="1"/>
  <c r="HV462" i="112"/>
  <c r="DU462" i="112" s="1"/>
  <c r="HV445" i="112"/>
  <c r="DU445" i="112" s="1"/>
  <c r="HX449" i="112"/>
  <c r="HX448" i="112"/>
  <c r="HX462" i="112"/>
  <c r="HX453" i="112"/>
  <c r="HX445" i="112"/>
  <c r="HX437" i="112"/>
  <c r="HX466" i="112"/>
  <c r="HX460" i="112"/>
  <c r="HX452" i="112"/>
  <c r="HX444" i="112"/>
  <c r="HX436" i="112"/>
  <c r="HX456" i="112"/>
  <c r="HX440" i="112"/>
  <c r="HX447" i="112"/>
  <c r="HV468" i="112"/>
  <c r="DU468" i="112" s="1"/>
  <c r="HV458" i="112"/>
  <c r="DU458" i="112" s="1"/>
  <c r="HV443" i="112"/>
  <c r="DU443" i="112" s="1"/>
  <c r="HX367" i="112"/>
  <c r="HX407" i="112"/>
  <c r="HX390" i="112"/>
  <c r="HV365" i="112"/>
  <c r="DU365" i="112" s="1"/>
  <c r="HV413" i="112"/>
  <c r="DU413" i="112" s="1"/>
  <c r="HX397" i="112"/>
  <c r="HX391" i="112"/>
  <c r="HX406" i="112"/>
  <c r="HX398" i="112"/>
  <c r="HX382" i="112"/>
  <c r="HX413" i="112"/>
  <c r="HX405" i="112"/>
  <c r="HV397" i="112"/>
  <c r="DU397" i="112" s="1"/>
  <c r="HX389" i="112"/>
  <c r="HX342" i="112"/>
  <c r="HX421" i="112"/>
  <c r="HX411" i="112"/>
  <c r="HV395" i="112"/>
  <c r="DU395" i="112" s="1"/>
  <c r="HX399" i="112"/>
  <c r="HX422" i="112"/>
  <c r="HX412" i="112"/>
  <c r="HX404" i="112"/>
  <c r="HX396" i="112"/>
  <c r="HX388" i="112"/>
  <c r="HV411" i="112"/>
  <c r="DU411" i="112" s="1"/>
  <c r="HX403" i="112"/>
  <c r="HX395" i="112"/>
  <c r="HX387" i="112"/>
  <c r="HV383" i="112"/>
  <c r="DU383" i="112" s="1"/>
  <c r="HX386" i="112"/>
  <c r="HV369" i="112"/>
  <c r="DU369" i="112" s="1"/>
  <c r="HV409" i="112"/>
  <c r="DU409" i="112" s="1"/>
  <c r="HV401" i="112"/>
  <c r="DU401" i="112" s="1"/>
  <c r="HV393" i="112"/>
  <c r="DU393" i="112" s="1"/>
  <c r="HV385" i="112"/>
  <c r="DU385" i="112" s="1"/>
  <c r="HX366" i="112"/>
  <c r="HX420" i="112"/>
  <c r="HX410" i="112"/>
  <c r="HX402" i="112"/>
  <c r="HX394" i="112"/>
  <c r="HX419" i="112"/>
  <c r="HX409" i="112"/>
  <c r="HX401" i="112"/>
  <c r="HX393" i="112"/>
  <c r="HX385" i="112"/>
  <c r="HX350" i="112"/>
  <c r="HX400" i="112"/>
  <c r="HV425" i="112"/>
  <c r="DU425" i="112" s="1"/>
  <c r="HV399" i="112"/>
  <c r="DU399" i="112" s="1"/>
  <c r="HX383" i="112"/>
  <c r="HV364" i="112"/>
  <c r="DU364" i="112" s="1"/>
  <c r="EL364" i="112" s="1"/>
  <c r="HV347" i="112"/>
  <c r="DU347" i="112" s="1"/>
  <c r="HV339" i="112"/>
  <c r="DU339" i="112" s="1"/>
  <c r="HX365" i="112"/>
  <c r="HX372" i="112"/>
  <c r="HX364" i="112"/>
  <c r="HX371" i="112"/>
  <c r="HX370" i="112"/>
  <c r="HX368" i="112"/>
  <c r="HX369" i="112"/>
  <c r="HV368" i="112"/>
  <c r="DU368" i="112" s="1"/>
  <c r="HV367" i="112"/>
  <c r="DU367" i="112" s="1"/>
  <c r="HV366" i="112"/>
  <c r="DU366" i="112" s="1"/>
  <c r="HX349" i="112"/>
  <c r="HV340" i="112"/>
  <c r="DU340" i="112" s="1"/>
  <c r="HX339" i="112"/>
  <c r="HV345" i="112"/>
  <c r="DU345" i="112" s="1"/>
  <c r="HX354" i="112"/>
  <c r="HX346" i="112"/>
  <c r="HX338" i="112"/>
  <c r="HX353" i="112"/>
  <c r="HX345" i="112"/>
  <c r="HX347" i="112"/>
  <c r="HV338" i="112"/>
  <c r="DU338" i="112" s="1"/>
  <c r="HV352" i="112"/>
  <c r="DU352" i="112" s="1"/>
  <c r="HV344" i="112"/>
  <c r="DU344" i="112" s="1"/>
  <c r="HX351" i="112"/>
  <c r="HX343" i="112"/>
  <c r="HX341" i="112"/>
  <c r="HV354" i="112"/>
  <c r="DU354" i="112" s="1"/>
  <c r="HV337" i="112"/>
  <c r="DU337" i="112" s="1"/>
  <c r="HX352" i="112"/>
  <c r="HX344" i="112"/>
  <c r="HV351" i="112"/>
  <c r="DU351" i="112" s="1"/>
  <c r="HV343" i="112"/>
  <c r="DU343" i="112" s="1"/>
  <c r="HX348" i="112"/>
  <c r="HX340" i="112"/>
  <c r="HV348" i="112"/>
  <c r="DU348" i="112" s="1"/>
  <c r="HV346" i="112"/>
  <c r="DU346" i="112" s="1"/>
  <c r="HV353" i="112"/>
  <c r="DU353" i="112" s="1"/>
  <c r="HV350" i="112"/>
  <c r="DU350" i="112" s="1"/>
  <c r="HV342" i="112"/>
  <c r="DU342" i="112" s="1"/>
  <c r="HV349" i="112"/>
  <c r="DU349" i="112" s="1"/>
  <c r="HV341" i="112"/>
  <c r="DU341" i="112" s="1"/>
  <c r="HV323" i="112"/>
  <c r="DU323" i="112" s="1"/>
  <c r="HV499" i="112"/>
  <c r="DU499" i="112" s="1"/>
  <c r="HX499" i="112"/>
  <c r="HX337" i="112"/>
  <c r="HV325" i="112"/>
  <c r="DU325" i="112" s="1"/>
  <c r="HX500" i="112"/>
  <c r="HV501" i="112"/>
  <c r="DU501" i="112" s="1"/>
  <c r="HV503" i="112"/>
  <c r="DU503" i="112" s="1"/>
  <c r="HX501" i="112"/>
  <c r="HX504" i="112"/>
  <c r="HX503" i="112"/>
  <c r="HX426" i="112"/>
  <c r="HX424" i="112"/>
  <c r="HX425" i="112"/>
  <c r="HX423" i="112"/>
  <c r="HV423" i="112"/>
  <c r="DU423" i="112" s="1"/>
  <c r="HV327" i="112"/>
  <c r="DU327" i="112" s="1"/>
  <c r="HV330" i="112"/>
  <c r="DU330" i="112" s="1"/>
  <c r="HV331" i="112"/>
  <c r="DU331" i="112" s="1"/>
  <c r="HV329" i="112"/>
  <c r="DU329" i="112" s="1"/>
  <c r="HV332" i="112"/>
  <c r="DU332" i="112" s="1"/>
  <c r="HV328" i="112"/>
  <c r="DU328" i="112" s="1"/>
  <c r="HX327" i="112"/>
  <c r="HX331" i="112"/>
  <c r="HX329" i="112"/>
  <c r="HX332" i="112"/>
  <c r="HX330" i="112"/>
  <c r="HX328" i="112"/>
  <c r="HX325" i="112"/>
  <c r="HV326" i="112"/>
  <c r="DU326" i="112" s="1"/>
  <c r="HX326" i="112"/>
  <c r="HV324" i="112"/>
  <c r="DU324" i="112" s="1"/>
  <c r="HX324" i="112"/>
  <c r="HX323" i="112"/>
  <c r="HV322" i="112"/>
  <c r="DU322" i="112" s="1"/>
  <c r="HX322" i="112"/>
  <c r="HV320" i="112"/>
  <c r="DU320" i="112" s="1"/>
  <c r="HX415" i="112"/>
  <c r="HV415" i="112"/>
  <c r="DU415" i="112" s="1"/>
  <c r="EL415" i="112" s="1"/>
  <c r="CJ62" i="37"/>
  <c r="D288" i="135" s="1"/>
  <c r="E288" i="135" s="1"/>
  <c r="F288" i="135" s="1"/>
  <c r="G288" i="135" s="1"/>
  <c r="HV418" i="112"/>
  <c r="DU418" i="112" s="1"/>
  <c r="HV417" i="112"/>
  <c r="DU417" i="112" s="1"/>
  <c r="HX418" i="112"/>
  <c r="HX417" i="112"/>
  <c r="HX414" i="112"/>
  <c r="HV479" i="112"/>
  <c r="DU479" i="112" s="1"/>
  <c r="HV453" i="112"/>
  <c r="DU453" i="112" s="1"/>
  <c r="HV437" i="112"/>
  <c r="DU437" i="112" s="1"/>
  <c r="HV422" i="112"/>
  <c r="DU422" i="112" s="1"/>
  <c r="HV406" i="112"/>
  <c r="DU406" i="112" s="1"/>
  <c r="HV398" i="112"/>
  <c r="DU398" i="112" s="1"/>
  <c r="HV382" i="112"/>
  <c r="DU382" i="112" s="1"/>
  <c r="HV510" i="112"/>
  <c r="DU510" i="112" s="1"/>
  <c r="HV498" i="112"/>
  <c r="DU498" i="112" s="1"/>
  <c r="HV466" i="112"/>
  <c r="DU466" i="112" s="1"/>
  <c r="HV460" i="112"/>
  <c r="DU460" i="112" s="1"/>
  <c r="HV454" i="112"/>
  <c r="DU454" i="112" s="1"/>
  <c r="HV446" i="112"/>
  <c r="DU446" i="112" s="1"/>
  <c r="HV438" i="112"/>
  <c r="DU438" i="112" s="1"/>
  <c r="HV407" i="112"/>
  <c r="DU407" i="112" s="1"/>
  <c r="HV391" i="112"/>
  <c r="DU391" i="112" s="1"/>
  <c r="HV457" i="112"/>
  <c r="DU457" i="112" s="1"/>
  <c r="HV414" i="112"/>
  <c r="DU414" i="112" s="1"/>
  <c r="HV390" i="112"/>
  <c r="DU390" i="112" s="1"/>
  <c r="HV485" i="112"/>
  <c r="DU485" i="112" s="1"/>
  <c r="HV451" i="112"/>
  <c r="DU451" i="112" s="1"/>
  <c r="HV420" i="112"/>
  <c r="DU420" i="112" s="1"/>
  <c r="HV412" i="112"/>
  <c r="DU412" i="112" s="1"/>
  <c r="HV404" i="112"/>
  <c r="DU404" i="112" s="1"/>
  <c r="HV396" i="112"/>
  <c r="DU396" i="112" s="1"/>
  <c r="HV388" i="112"/>
  <c r="DU388" i="112" s="1"/>
  <c r="HV371" i="112"/>
  <c r="DU371" i="112" s="1"/>
  <c r="HV508" i="112"/>
  <c r="DU508" i="112" s="1"/>
  <c r="HV465" i="112"/>
  <c r="DU465" i="112" s="1"/>
  <c r="HV459" i="112"/>
  <c r="DU459" i="112" s="1"/>
  <c r="HV452" i="112"/>
  <c r="DU452" i="112" s="1"/>
  <c r="HV444" i="112"/>
  <c r="DU444" i="112" s="1"/>
  <c r="HV436" i="112"/>
  <c r="DU436" i="112" s="1"/>
  <c r="HV405" i="112"/>
  <c r="DU405" i="112" s="1"/>
  <c r="HV389" i="112"/>
  <c r="DU389" i="112" s="1"/>
  <c r="HV372" i="112"/>
  <c r="DU372" i="112" s="1"/>
  <c r="HV386" i="112"/>
  <c r="DU386" i="112" s="1"/>
  <c r="HV426" i="112"/>
  <c r="DU426" i="112" s="1"/>
  <c r="HV421" i="112"/>
  <c r="DU421" i="112" s="1"/>
  <c r="HV483" i="112"/>
  <c r="DU483" i="112" s="1"/>
  <c r="HV449" i="112"/>
  <c r="DU449" i="112" s="1"/>
  <c r="HV424" i="112"/>
  <c r="DU424" i="112" s="1"/>
  <c r="HV416" i="112"/>
  <c r="DU416" i="112" s="1"/>
  <c r="HV410" i="112"/>
  <c r="DU410" i="112" s="1"/>
  <c r="HV402" i="112"/>
  <c r="DU402" i="112" s="1"/>
  <c r="HV394" i="112"/>
  <c r="DU394" i="112" s="1"/>
  <c r="HV502" i="112"/>
  <c r="DU502" i="112" s="1"/>
  <c r="HV463" i="112"/>
  <c r="DU463" i="112" s="1"/>
  <c r="HV450" i="112"/>
  <c r="DU450" i="112" s="1"/>
  <c r="HV442" i="112"/>
  <c r="DU442" i="112" s="1"/>
  <c r="HV419" i="112"/>
  <c r="DU419" i="112" s="1"/>
  <c r="HV403" i="112"/>
  <c r="DU403" i="112" s="1"/>
  <c r="HV387" i="112"/>
  <c r="DU387" i="112" s="1"/>
  <c r="HV370" i="112"/>
  <c r="DU370" i="112" s="1"/>
  <c r="HV455" i="112"/>
  <c r="DU455" i="112" s="1"/>
  <c r="HV439" i="112"/>
  <c r="DU439" i="112" s="1"/>
  <c r="HV408" i="112"/>
  <c r="DU408" i="112" s="1"/>
  <c r="HV392" i="112"/>
  <c r="DU392" i="112" s="1"/>
  <c r="HV384" i="112"/>
  <c r="DU384" i="112" s="1"/>
  <c r="HV500" i="112"/>
  <c r="DU500" i="112" s="1"/>
  <c r="HV461" i="112"/>
  <c r="DU461" i="112" s="1"/>
  <c r="HV448" i="112"/>
  <c r="DU448" i="112" s="1"/>
  <c r="HV440" i="112"/>
  <c r="DU440" i="112" s="1"/>
  <c r="HV400" i="112"/>
  <c r="DU400" i="112" s="1"/>
  <c r="HX520" i="112"/>
  <c r="HX522" i="112"/>
  <c r="HV522" i="112"/>
  <c r="DU522" i="112" s="1"/>
  <c r="HX319" i="112"/>
  <c r="HV520" i="112"/>
  <c r="DU520" i="112" s="1"/>
  <c r="HX320" i="112"/>
  <c r="HX497" i="112"/>
  <c r="HX321" i="112"/>
  <c r="HV497" i="112"/>
  <c r="DU497" i="112" s="1"/>
  <c r="HV321" i="112"/>
  <c r="DU321" i="112" s="1"/>
  <c r="HV319" i="112"/>
  <c r="DU319" i="112" s="1"/>
  <c r="BM71" i="37"/>
  <c r="BM65" i="37"/>
  <c r="BS187" i="37" s="1"/>
  <c r="D96" i="139" s="1"/>
  <c r="E96" i="139" s="1"/>
  <c r="F96" i="139" s="1"/>
  <c r="G96" i="139" s="1"/>
  <c r="BS103" i="37"/>
  <c r="BS105" i="37" s="1"/>
  <c r="BS143" i="37" s="1"/>
  <c r="BS149" i="37" s="1"/>
  <c r="BT81" i="37"/>
  <c r="BR81" i="37"/>
  <c r="BR86" i="37" s="1"/>
  <c r="BQ81" i="37"/>
  <c r="CA81" i="37"/>
  <c r="CA83" i="37" s="1"/>
  <c r="CA88" i="37" s="1"/>
  <c r="CA103" i="37"/>
  <c r="CA105" i="37" s="1"/>
  <c r="CA143" i="37" s="1"/>
  <c r="BT103" i="37"/>
  <c r="BT105" i="37" s="1"/>
  <c r="CD103" i="37"/>
  <c r="CD105" i="37" s="1"/>
  <c r="BY81" i="37"/>
  <c r="BY103" i="37"/>
  <c r="BY105" i="37" s="1"/>
  <c r="BP81" i="37"/>
  <c r="CE103" i="37"/>
  <c r="CE105" i="37" s="1"/>
  <c r="BV103" i="37"/>
  <c r="BV105" i="37" s="1"/>
  <c r="BO81" i="37"/>
  <c r="BX103" i="37"/>
  <c r="BX105" i="37" s="1"/>
  <c r="CC103" i="37"/>
  <c r="CC105" i="37" s="1"/>
  <c r="BQ103" i="37"/>
  <c r="BQ105" i="37" s="1"/>
  <c r="BZ103" i="37"/>
  <c r="BZ105" i="37" s="1"/>
  <c r="CC81" i="37"/>
  <c r="BR103" i="37"/>
  <c r="BR105" i="37" s="1"/>
  <c r="BU81" i="37"/>
  <c r="BO103" i="37"/>
  <c r="BO105" i="37" s="1"/>
  <c r="BZ81" i="37"/>
  <c r="BN81" i="37"/>
  <c r="BN103" i="37"/>
  <c r="BN105" i="37" s="1"/>
  <c r="BP103" i="37"/>
  <c r="BP105" i="37" s="1"/>
  <c r="BS81" i="37"/>
  <c r="BQ83" i="37"/>
  <c r="BQ88" i="37" s="1"/>
  <c r="BQ86" i="37"/>
  <c r="CB81" i="37"/>
  <c r="BU103" i="37"/>
  <c r="BU105" i="37" s="1"/>
  <c r="BV81" i="37"/>
  <c r="BW103" i="37"/>
  <c r="BW105" i="37" s="1"/>
  <c r="CB103" i="37"/>
  <c r="CB105" i="37" s="1"/>
  <c r="BX81" i="37"/>
  <c r="BW81" i="37"/>
  <c r="B166" i="121" l="1"/>
  <c r="EW325" i="112"/>
  <c r="EN506" i="112"/>
  <c r="EL506" i="112"/>
  <c r="CV506" i="112" s="1"/>
  <c r="EM506" i="112"/>
  <c r="EL505" i="112"/>
  <c r="CV505" i="112" s="1"/>
  <c r="EM505" i="112"/>
  <c r="EN505" i="112"/>
  <c r="EN504" i="112"/>
  <c r="EL504" i="112"/>
  <c r="CV504" i="112" s="1"/>
  <c r="EM504" i="112"/>
  <c r="BT93" i="37"/>
  <c r="EN503" i="112"/>
  <c r="EL503" i="112"/>
  <c r="EM503" i="112"/>
  <c r="D304" i="135"/>
  <c r="E304" i="135" s="1"/>
  <c r="F304" i="135" s="1"/>
  <c r="G304" i="135" s="1"/>
  <c r="DC417" i="112"/>
  <c r="EN417" i="112"/>
  <c r="EL417" i="112"/>
  <c r="EM417" i="112"/>
  <c r="EN418" i="112"/>
  <c r="EM418" i="112"/>
  <c r="EL418" i="112"/>
  <c r="DC418" i="112"/>
  <c r="AP240" i="121"/>
  <c r="AP186" i="121"/>
  <c r="AE180" i="121"/>
  <c r="AP181" i="121"/>
  <c r="AE194" i="121"/>
  <c r="E220" i="121"/>
  <c r="B233" i="121"/>
  <c r="B198" i="121"/>
  <c r="B195" i="121"/>
  <c r="B184" i="121"/>
  <c r="AP196" i="121"/>
  <c r="AE209" i="121"/>
  <c r="E235" i="121"/>
  <c r="AE231" i="121"/>
  <c r="AE182" i="121"/>
  <c r="E208" i="121"/>
  <c r="B221" i="121"/>
  <c r="AP233" i="121"/>
  <c r="AE199" i="121"/>
  <c r="AE188" i="121"/>
  <c r="AE171" i="121"/>
  <c r="E197" i="121"/>
  <c r="B210" i="121"/>
  <c r="AP222" i="121"/>
  <c r="AE235" i="121"/>
  <c r="E233" i="121"/>
  <c r="E178" i="121"/>
  <c r="B191" i="121"/>
  <c r="AP203" i="121"/>
  <c r="AE216" i="121"/>
  <c r="B235" i="121"/>
  <c r="E191" i="121"/>
  <c r="B204" i="121"/>
  <c r="AP216" i="121"/>
  <c r="AE229" i="121"/>
  <c r="E190" i="121"/>
  <c r="AE170" i="121"/>
  <c r="E196" i="121"/>
  <c r="B209" i="121"/>
  <c r="AP221" i="121"/>
  <c r="AE234" i="121"/>
  <c r="AE207" i="121"/>
  <c r="AE204" i="121"/>
  <c r="AP172" i="121"/>
  <c r="AE185" i="121"/>
  <c r="E211" i="121"/>
  <c r="B224" i="121"/>
  <c r="AP236" i="121"/>
  <c r="E184" i="121"/>
  <c r="B197" i="121"/>
  <c r="AP209" i="121"/>
  <c r="AE222" i="121"/>
  <c r="E209" i="121"/>
  <c r="AP199" i="121"/>
  <c r="B186" i="121"/>
  <c r="AP198" i="121"/>
  <c r="AE211" i="121"/>
  <c r="E237" i="121"/>
  <c r="AE192" i="121"/>
  <c r="E218" i="121"/>
  <c r="B231" i="121"/>
  <c r="AE183" i="121"/>
  <c r="AE172" i="121"/>
  <c r="B180" i="121"/>
  <c r="AP192" i="121"/>
  <c r="AE205" i="121"/>
  <c r="E231" i="121"/>
  <c r="B206" i="121"/>
  <c r="B185" i="121"/>
  <c r="AP197" i="121"/>
  <c r="AE210" i="121"/>
  <c r="E236" i="121"/>
  <c r="B214" i="121"/>
  <c r="B211" i="121"/>
  <c r="E187" i="121"/>
  <c r="B200" i="121"/>
  <c r="AP212" i="121"/>
  <c r="AE225" i="121"/>
  <c r="AP185" i="121"/>
  <c r="AE198" i="121"/>
  <c r="E224" i="121"/>
  <c r="B237" i="121"/>
  <c r="AE215" i="121"/>
  <c r="AP207" i="121"/>
  <c r="AE187" i="121"/>
  <c r="E213" i="121"/>
  <c r="B226" i="121"/>
  <c r="AP238" i="121"/>
  <c r="AP183" i="121"/>
  <c r="AE168" i="121"/>
  <c r="E194" i="121"/>
  <c r="B207" i="121"/>
  <c r="AP219" i="121"/>
  <c r="AE232" i="121"/>
  <c r="E193" i="121"/>
  <c r="E182" i="121"/>
  <c r="AE181" i="121"/>
  <c r="E207" i="121"/>
  <c r="B220" i="121"/>
  <c r="AP232" i="121"/>
  <c r="AE166" i="121"/>
  <c r="AE212" i="121"/>
  <c r="AE186" i="121"/>
  <c r="E212" i="121"/>
  <c r="B225" i="121"/>
  <c r="AP237" i="121"/>
  <c r="AE220" i="121"/>
  <c r="AP188" i="121"/>
  <c r="AE201" i="121"/>
  <c r="E227" i="121"/>
  <c r="B240" i="121"/>
  <c r="B187" i="121"/>
  <c r="AE174" i="121"/>
  <c r="E200" i="121"/>
  <c r="B213" i="121"/>
  <c r="AP225" i="121"/>
  <c r="AE238" i="121"/>
  <c r="B222" i="121"/>
  <c r="E189" i="121"/>
  <c r="B202" i="121"/>
  <c r="AP214" i="121"/>
  <c r="AE227" i="121"/>
  <c r="AP191" i="121"/>
  <c r="B183" i="121"/>
  <c r="AP195" i="121"/>
  <c r="AE208" i="121"/>
  <c r="E234" i="121"/>
  <c r="E201" i="121"/>
  <c r="E183" i="121"/>
  <c r="B196" i="121"/>
  <c r="AP208" i="121"/>
  <c r="AE221" i="121"/>
  <c r="AP218" i="121"/>
  <c r="E222" i="121"/>
  <c r="E188" i="121"/>
  <c r="B201" i="121"/>
  <c r="AP213" i="121"/>
  <c r="AE226" i="121"/>
  <c r="E225" i="121"/>
  <c r="E230" i="121"/>
  <c r="AE177" i="121"/>
  <c r="E203" i="121"/>
  <c r="B216" i="121"/>
  <c r="AP228" i="121"/>
  <c r="E198" i="121"/>
  <c r="B189" i="121"/>
  <c r="AP201" i="121"/>
  <c r="AE214" i="121"/>
  <c r="E240" i="121"/>
  <c r="AP226" i="121"/>
  <c r="B178" i="121"/>
  <c r="AP190" i="121"/>
  <c r="AE203" i="121"/>
  <c r="E229" i="121"/>
  <c r="AE175" i="121"/>
  <c r="AE196" i="121"/>
  <c r="AE184" i="121"/>
  <c r="E210" i="121"/>
  <c r="B223" i="121"/>
  <c r="AP235" i="121"/>
  <c r="AP210" i="121"/>
  <c r="B203" i="121"/>
  <c r="AP184" i="121"/>
  <c r="AE197" i="121"/>
  <c r="E223" i="121"/>
  <c r="B236" i="121"/>
  <c r="AE228" i="121"/>
  <c r="B177" i="121"/>
  <c r="AP189" i="121"/>
  <c r="AE202" i="121"/>
  <c r="E228" i="121"/>
  <c r="AE239" i="121"/>
  <c r="AP239" i="121"/>
  <c r="E179" i="121"/>
  <c r="B192" i="121"/>
  <c r="AP204" i="121"/>
  <c r="AE217" i="121"/>
  <c r="E214" i="121"/>
  <c r="AE190" i="121"/>
  <c r="E216" i="121"/>
  <c r="B229" i="121"/>
  <c r="AP234" i="121"/>
  <c r="AE236" i="121"/>
  <c r="AE179" i="121"/>
  <c r="E205" i="121"/>
  <c r="B218" i="121"/>
  <c r="AP230" i="121"/>
  <c r="E185" i="121"/>
  <c r="E206" i="121"/>
  <c r="E186" i="121"/>
  <c r="B199" i="121"/>
  <c r="AP211" i="121"/>
  <c r="AE224" i="121"/>
  <c r="E217" i="121"/>
  <c r="AE173" i="121"/>
  <c r="E199" i="121"/>
  <c r="B212" i="121"/>
  <c r="AP224" i="121"/>
  <c r="AE237" i="121"/>
  <c r="AE167" i="121"/>
  <c r="B238" i="121"/>
  <c r="AP231" i="121"/>
  <c r="AE178" i="121"/>
  <c r="E204" i="121"/>
  <c r="B217" i="121"/>
  <c r="AP229" i="121"/>
  <c r="AP180" i="121"/>
  <c r="AE193" i="121"/>
  <c r="E219" i="121"/>
  <c r="B232" i="121"/>
  <c r="B190" i="121"/>
  <c r="E238" i="121"/>
  <c r="E192" i="121"/>
  <c r="B205" i="121"/>
  <c r="AP217" i="121"/>
  <c r="AE230" i="121"/>
  <c r="B182" i="121"/>
  <c r="E181" i="121"/>
  <c r="B194" i="121"/>
  <c r="AP206" i="121"/>
  <c r="AE219" i="121"/>
  <c r="AP194" i="121"/>
  <c r="AP215" i="121"/>
  <c r="AP187" i="121"/>
  <c r="AE200" i="121"/>
  <c r="E226" i="121"/>
  <c r="B239" i="121"/>
  <c r="AE223" i="121"/>
  <c r="B219" i="121"/>
  <c r="B188" i="121"/>
  <c r="AP200" i="121"/>
  <c r="AE213" i="121"/>
  <c r="E239" i="121"/>
  <c r="E180" i="121"/>
  <c r="B193" i="121"/>
  <c r="AP205" i="121"/>
  <c r="AE218" i="121"/>
  <c r="AE169" i="121"/>
  <c r="E195" i="121"/>
  <c r="B208" i="121"/>
  <c r="AP220" i="121"/>
  <c r="AE233" i="121"/>
  <c r="AP202" i="121"/>
  <c r="B181" i="121"/>
  <c r="AP193" i="121"/>
  <c r="AE206" i="121"/>
  <c r="E232" i="121"/>
  <c r="AE191" i="121"/>
  <c r="B179" i="121"/>
  <c r="AP182" i="121"/>
  <c r="AE195" i="121"/>
  <c r="E221" i="121"/>
  <c r="B234" i="121"/>
  <c r="AP223" i="121"/>
  <c r="AE176" i="121"/>
  <c r="E202" i="121"/>
  <c r="B215" i="121"/>
  <c r="AP227" i="121"/>
  <c r="AE240" i="121"/>
  <c r="B230" i="121"/>
  <c r="B227" i="121"/>
  <c r="AE189" i="121"/>
  <c r="E215" i="121"/>
  <c r="B228" i="121"/>
  <c r="BR83" i="37"/>
  <c r="BM67" i="37"/>
  <c r="BT110" i="37" s="1"/>
  <c r="BR93" i="37"/>
  <c r="BS107" i="37"/>
  <c r="BS116" i="37" s="1"/>
  <c r="BS117" i="37" s="1"/>
  <c r="BT83" i="37"/>
  <c r="AA14" i="37"/>
  <c r="BT86" i="37"/>
  <c r="CA86" i="37"/>
  <c r="CA91" i="37" s="1"/>
  <c r="AA45" i="37"/>
  <c r="CA107" i="37"/>
  <c r="CA116" i="37" s="1"/>
  <c r="CA117" i="37" s="1"/>
  <c r="BW143" i="37"/>
  <c r="BW107" i="37"/>
  <c r="BW116" i="37" s="1"/>
  <c r="BW117" i="37" s="1"/>
  <c r="BV93" i="37"/>
  <c r="BV83" i="37"/>
  <c r="BV86" i="37"/>
  <c r="BN83" i="37"/>
  <c r="BN88" i="37" s="1"/>
  <c r="BN86" i="37"/>
  <c r="BU107" i="37"/>
  <c r="BU116" i="37" s="1"/>
  <c r="BU117" i="37" s="1"/>
  <c r="BU143" i="37"/>
  <c r="BU145" i="37" s="1"/>
  <c r="BZ83" i="37"/>
  <c r="BZ88" i="37" s="1"/>
  <c r="BZ86" i="37"/>
  <c r="BZ91" i="37" s="1"/>
  <c r="BP143" i="37"/>
  <c r="BP145" i="37" s="1"/>
  <c r="BP107" i="37"/>
  <c r="BP116" i="37" s="1"/>
  <c r="BP117" i="37" s="1"/>
  <c r="BN143" i="37"/>
  <c r="BN107" i="37"/>
  <c r="BN116" i="37" s="1"/>
  <c r="BN117" i="37" s="1"/>
  <c r="CH105" i="37"/>
  <c r="CH107" i="37" s="1"/>
  <c r="CH116" i="37" s="1"/>
  <c r="CB83" i="37"/>
  <c r="CB88" i="37" s="1"/>
  <c r="CB86" i="37"/>
  <c r="CB91" i="37" s="1"/>
  <c r="BO143" i="37"/>
  <c r="BO107" i="37"/>
  <c r="BO116" i="37" s="1"/>
  <c r="BO117" i="37" s="1"/>
  <c r="BU86" i="37"/>
  <c r="BU83" i="37"/>
  <c r="BU88" i="37" s="1"/>
  <c r="BR107" i="37"/>
  <c r="BR116" i="37" s="1"/>
  <c r="BR117" i="37" s="1"/>
  <c r="BR143" i="37"/>
  <c r="BR149" i="37" s="1"/>
  <c r="BX143" i="37"/>
  <c r="BX107" i="37"/>
  <c r="BX116" i="37" s="1"/>
  <c r="BX117" i="37" s="1"/>
  <c r="CA145" i="37"/>
  <c r="CA149" i="37" s="1"/>
  <c r="BX83" i="37"/>
  <c r="BX86" i="37"/>
  <c r="BX91" i="37" s="1"/>
  <c r="BS83" i="37"/>
  <c r="BS88" i="37" s="1"/>
  <c r="BS86" i="37"/>
  <c r="CC83" i="37"/>
  <c r="CC88" i="37" s="1"/>
  <c r="CC86" i="37"/>
  <c r="CC91" i="37" s="1"/>
  <c r="BO83" i="37"/>
  <c r="BO88" i="37" s="1"/>
  <c r="BO86" i="37"/>
  <c r="BY143" i="37"/>
  <c r="BY107" i="37"/>
  <c r="BY116" i="37" s="1"/>
  <c r="BY117" i="37" s="1"/>
  <c r="CB143" i="37"/>
  <c r="CB107" i="37"/>
  <c r="CB116" i="37" s="1"/>
  <c r="CB117" i="37" s="1"/>
  <c r="BZ143" i="37"/>
  <c r="BZ107" i="37"/>
  <c r="BZ116" i="37" s="1"/>
  <c r="BZ117" i="37" s="1"/>
  <c r="BV107" i="37"/>
  <c r="BV116" i="37" s="1"/>
  <c r="BV117" i="37" s="1"/>
  <c r="BV143" i="37"/>
  <c r="BV145" i="37" s="1"/>
  <c r="BY83" i="37"/>
  <c r="BY86" i="37"/>
  <c r="BY91" i="37" s="1"/>
  <c r="BQ107" i="37"/>
  <c r="BQ116" i="37" s="1"/>
  <c r="BQ117" i="37" s="1"/>
  <c r="BQ143" i="37"/>
  <c r="BQ145" i="37" s="1"/>
  <c r="CE143" i="37"/>
  <c r="CE107" i="37"/>
  <c r="CE116" i="37" s="1"/>
  <c r="CD107" i="37"/>
  <c r="CD116" i="37" s="1"/>
  <c r="CD143" i="37"/>
  <c r="CD145" i="37" s="1"/>
  <c r="BW83" i="37"/>
  <c r="BW86" i="37"/>
  <c r="BW91" i="37" s="1"/>
  <c r="CC143" i="37"/>
  <c r="CC107" i="37"/>
  <c r="CC116" i="37" s="1"/>
  <c r="CC117" i="37" s="1"/>
  <c r="BP83" i="37"/>
  <c r="BP88" i="37" s="1"/>
  <c r="BP86" i="37"/>
  <c r="BT107" i="37"/>
  <c r="BT116" i="37" s="1"/>
  <c r="BT117" i="37" s="1"/>
  <c r="BT143" i="37"/>
  <c r="BT145" i="37" s="1"/>
  <c r="BR110" i="37" l="1"/>
  <c r="BV110" i="37"/>
  <c r="CV503" i="112"/>
  <c r="CV418" i="112"/>
  <c r="CV417" i="112"/>
  <c r="CD149" i="37"/>
  <c r="CD148" i="37"/>
  <c r="CD146" i="37"/>
  <c r="CE129" i="37"/>
  <c r="CE117" i="37"/>
  <c r="CE119" i="37"/>
  <c r="CE145" i="37"/>
  <c r="BQ149" i="37"/>
  <c r="BQ146" i="37"/>
  <c r="BQ148" i="37"/>
  <c r="BZ145" i="37"/>
  <c r="BZ149" i="37" s="1"/>
  <c r="BO145" i="37"/>
  <c r="BT153" i="37"/>
  <c r="BT158" i="37" s="1"/>
  <c r="BT111" i="37"/>
  <c r="BX145" i="37"/>
  <c r="BX149" i="37" s="1"/>
  <c r="CC145" i="37"/>
  <c r="BR153" i="37"/>
  <c r="BR158" i="37" s="1"/>
  <c r="BR111" i="37"/>
  <c r="CB145" i="37"/>
  <c r="CB149" i="37" s="1"/>
  <c r="BT149" i="37"/>
  <c r="BT146" i="37"/>
  <c r="BT148" i="37"/>
  <c r="CH119" i="37"/>
  <c r="CH117" i="37"/>
  <c r="BY145" i="37"/>
  <c r="BY149" i="37" s="1"/>
  <c r="BP149" i="37"/>
  <c r="BP148" i="37"/>
  <c r="BP146" i="37"/>
  <c r="BN145" i="37"/>
  <c r="CH143" i="37"/>
  <c r="CH145" i="37" s="1"/>
  <c r="BV153" i="37"/>
  <c r="BV158" i="37" s="1"/>
  <c r="BV111" i="37"/>
  <c r="CD129" i="37"/>
  <c r="CD119" i="37"/>
  <c r="CD117" i="37"/>
  <c r="BV149" i="37"/>
  <c r="BV148" i="37"/>
  <c r="BV146" i="37"/>
  <c r="CA148" i="37"/>
  <c r="CA146" i="37"/>
  <c r="BU149" i="37"/>
  <c r="BU148" i="37"/>
  <c r="BU146" i="37"/>
  <c r="BW145" i="37"/>
  <c r="BW149" i="37" s="1"/>
  <c r="CJ117" i="37" l="1"/>
  <c r="CD120" i="37"/>
  <c r="CD122" i="37"/>
  <c r="BN148" i="37"/>
  <c r="BN146" i="37"/>
  <c r="CC148" i="37"/>
  <c r="CC146" i="37"/>
  <c r="BO146" i="37"/>
  <c r="BO148" i="37"/>
  <c r="CE148" i="37"/>
  <c r="CE146" i="37"/>
  <c r="CH120" i="37"/>
  <c r="CH122" i="37"/>
  <c r="CE120" i="37"/>
  <c r="CE122" i="37"/>
  <c r="CB148" i="37"/>
  <c r="CB146" i="37"/>
  <c r="BX148" i="37"/>
  <c r="BX146" i="37"/>
  <c r="BZ148" i="37"/>
  <c r="BZ146" i="37"/>
  <c r="BW148" i="37"/>
  <c r="BW146" i="37"/>
  <c r="BT159" i="37"/>
  <c r="CH149" i="37"/>
  <c r="CH146" i="37"/>
  <c r="CH148" i="37"/>
  <c r="BR159" i="37"/>
  <c r="BV159" i="37"/>
  <c r="BN149" i="37"/>
  <c r="BY148" i="37"/>
  <c r="BY146" i="37"/>
  <c r="CC149" i="37"/>
  <c r="BO149" i="37"/>
  <c r="CE149" i="37"/>
  <c r="AA34" i="37" l="1"/>
  <c r="D294" i="135"/>
  <c r="E294" i="135" s="1"/>
  <c r="F294" i="135" s="1"/>
  <c r="G294" i="135" s="1"/>
  <c r="CE150" i="37"/>
  <c r="BT150" i="37"/>
  <c r="BP150" i="37"/>
  <c r="BQ150" i="37"/>
  <c r="BW150" i="37"/>
  <c r="BO150" i="37"/>
  <c r="BZ150" i="37"/>
  <c r="CB150" i="37"/>
  <c r="CA150" i="37"/>
  <c r="BU150" i="37"/>
  <c r="BV150" i="37"/>
  <c r="BN150" i="37"/>
  <c r="CD150" i="37"/>
  <c r="BX150" i="37"/>
  <c r="BR150" i="37"/>
  <c r="BS150" i="37"/>
  <c r="CC150" i="37"/>
  <c r="BY150" i="37"/>
  <c r="CE125" i="37"/>
  <c r="CE123" i="37"/>
  <c r="CH125" i="37"/>
  <c r="CH126" i="37" s="1"/>
  <c r="CH123" i="37"/>
  <c r="CJ146" i="37"/>
  <c r="CD123" i="37"/>
  <c r="CD125" i="37"/>
  <c r="CD126" i="37"/>
  <c r="D297" i="135" l="1"/>
  <c r="E297" i="135" s="1"/>
  <c r="F297" i="135" s="1"/>
  <c r="G297" i="135" s="1"/>
  <c r="BO189" i="37"/>
  <c r="AA37" i="37"/>
  <c r="BO177" i="37"/>
  <c r="BO181" i="37" s="1"/>
  <c r="AA28" i="37" s="1"/>
  <c r="CH135" i="37"/>
  <c r="CH134" i="37"/>
  <c r="CH136" i="37"/>
  <c r="CJ150" i="37"/>
  <c r="CE126" i="37"/>
  <c r="CE135" i="37"/>
  <c r="CE134" i="37"/>
  <c r="CE136" i="37"/>
  <c r="CD135" i="37"/>
  <c r="CD136" i="37"/>
  <c r="CD134" i="37"/>
  <c r="DZ255" i="112"/>
  <c r="DX257" i="112"/>
  <c r="DY255" i="112"/>
  <c r="BS185" i="37" l="1"/>
  <c r="D94" i="139" s="1"/>
  <c r="E94" i="139" s="1"/>
  <c r="F94" i="139" s="1"/>
  <c r="G94" i="139" s="1"/>
  <c r="BS186" i="37"/>
  <c r="D95" i="139" s="1"/>
  <c r="E95" i="139" s="1"/>
  <c r="F95" i="139" s="1"/>
  <c r="G95" i="139" s="1"/>
  <c r="D303" i="135" l="1"/>
  <c r="E303" i="135" s="1"/>
  <c r="F303" i="135" s="1"/>
  <c r="G303" i="135" s="1"/>
  <c r="D302" i="135"/>
  <c r="E302" i="135" s="1"/>
  <c r="F302" i="135" s="1"/>
  <c r="G302" i="135" s="1"/>
  <c r="AA44" i="37"/>
  <c r="AA43" i="37"/>
  <c r="FW320" i="112" l="1"/>
  <c r="HB320" i="112" s="1"/>
  <c r="HR320" i="112" s="1"/>
  <c r="FW321" i="112"/>
  <c r="HB321" i="112" s="1"/>
  <c r="FW322" i="112"/>
  <c r="FW323" i="112"/>
  <c r="FW324" i="112"/>
  <c r="FW325" i="112"/>
  <c r="FW326" i="112"/>
  <c r="FW327" i="112"/>
  <c r="FW333" i="112"/>
  <c r="FW334" i="112"/>
  <c r="FW335" i="112"/>
  <c r="FW336" i="112"/>
  <c r="FW337" i="112"/>
  <c r="HB337" i="112" s="1"/>
  <c r="FW338" i="112"/>
  <c r="HB338" i="112" s="1"/>
  <c r="HR338" i="112" s="1"/>
  <c r="FW339" i="112"/>
  <c r="HB339" i="112" s="1"/>
  <c r="HR339" i="112" s="1"/>
  <c r="FW340" i="112"/>
  <c r="FW341" i="112"/>
  <c r="FW342" i="112"/>
  <c r="FW343" i="112"/>
  <c r="O181" i="121" s="1"/>
  <c r="FW344" i="112"/>
  <c r="FW345" i="112"/>
  <c r="FW346" i="112"/>
  <c r="FW347" i="112"/>
  <c r="FW348" i="112"/>
  <c r="FW349" i="112"/>
  <c r="FW350" i="112"/>
  <c r="FW351" i="112"/>
  <c r="FW352" i="112"/>
  <c r="O190" i="121" s="1"/>
  <c r="FW353" i="112"/>
  <c r="FW354" i="112"/>
  <c r="O192" i="121" s="1"/>
  <c r="FW360" i="112"/>
  <c r="FW361" i="112"/>
  <c r="FW362" i="112"/>
  <c r="FW363" i="112"/>
  <c r="FW364" i="112"/>
  <c r="FW365" i="112"/>
  <c r="FW366" i="112"/>
  <c r="O195" i="121" s="1"/>
  <c r="FW367" i="112"/>
  <c r="O196" i="121" s="1"/>
  <c r="FW368" i="112"/>
  <c r="O197" i="121" s="1"/>
  <c r="FW369" i="112"/>
  <c r="O198" i="121" s="1"/>
  <c r="FW370" i="112"/>
  <c r="FW371" i="112"/>
  <c r="FW372" i="112"/>
  <c r="FW378" i="112"/>
  <c r="FW379" i="112"/>
  <c r="FW380" i="112"/>
  <c r="FW381" i="112"/>
  <c r="FW382" i="112"/>
  <c r="FW383" i="112"/>
  <c r="O203" i="121" s="1"/>
  <c r="FW384" i="112"/>
  <c r="FW385" i="112"/>
  <c r="O205" i="121" s="1"/>
  <c r="FW386" i="112"/>
  <c r="FW387" i="112"/>
  <c r="FW388" i="112"/>
  <c r="FW389" i="112"/>
  <c r="O209" i="121" s="1"/>
  <c r="FW390" i="112"/>
  <c r="FW391" i="112"/>
  <c r="FW392" i="112"/>
  <c r="FW393" i="112"/>
  <c r="FW394" i="112"/>
  <c r="FW395" i="112"/>
  <c r="FW396" i="112"/>
  <c r="O216" i="121" s="1"/>
  <c r="FW397" i="112"/>
  <c r="FW398" i="112"/>
  <c r="O218" i="121" s="1"/>
  <c r="FW399" i="112"/>
  <c r="FW400" i="112"/>
  <c r="FW401" i="112"/>
  <c r="FW402" i="112"/>
  <c r="O237" i="121" s="1"/>
  <c r="FW403" i="112"/>
  <c r="O238" i="121" s="1"/>
  <c r="FW404" i="112"/>
  <c r="FW405" i="112"/>
  <c r="FW406" i="112"/>
  <c r="FW407" i="112"/>
  <c r="FW408" i="112"/>
  <c r="FW409" i="112"/>
  <c r="FW410" i="112"/>
  <c r="FW411" i="112"/>
  <c r="FW412" i="112"/>
  <c r="FW413" i="112"/>
  <c r="FW414" i="112"/>
  <c r="O234" i="121" s="1"/>
  <c r="FW415" i="112"/>
  <c r="O235" i="121" s="1"/>
  <c r="FW416" i="112"/>
  <c r="FW419" i="112"/>
  <c r="FW420" i="112"/>
  <c r="FW421" i="112"/>
  <c r="HB421" i="112" s="1"/>
  <c r="HR421" i="112" s="1"/>
  <c r="FW422" i="112"/>
  <c r="HB422" i="112" s="1"/>
  <c r="HR422" i="112" s="1"/>
  <c r="FW423" i="112"/>
  <c r="HB423" i="112" s="1"/>
  <c r="FW424" i="112"/>
  <c r="HB424" i="112" s="1"/>
  <c r="HR424" i="112" s="1"/>
  <c r="FW425" i="112"/>
  <c r="FW426" i="112"/>
  <c r="FW432" i="112"/>
  <c r="FW433" i="112"/>
  <c r="FW434" i="112"/>
  <c r="FW435" i="112"/>
  <c r="FW436" i="112"/>
  <c r="HB436" i="112" s="1"/>
  <c r="HR436" i="112" s="1"/>
  <c r="FW437" i="112"/>
  <c r="HB437" i="112" s="1"/>
  <c r="HR437" i="112" s="1"/>
  <c r="FW438" i="112"/>
  <c r="HB438" i="112" s="1"/>
  <c r="HR438" i="112" s="1"/>
  <c r="FW439" i="112"/>
  <c r="HB439" i="112" s="1"/>
  <c r="HR439" i="112" s="1"/>
  <c r="FW440" i="112"/>
  <c r="HB440" i="112" s="1"/>
  <c r="HR440" i="112" s="1"/>
  <c r="FW441" i="112"/>
  <c r="HB441" i="112" s="1"/>
  <c r="HR441" i="112" s="1"/>
  <c r="FW442" i="112"/>
  <c r="HB442" i="112" s="1"/>
  <c r="HR442" i="112" s="1"/>
  <c r="FW443" i="112"/>
  <c r="HB443" i="112" s="1"/>
  <c r="HR443" i="112" s="1"/>
  <c r="FW444" i="112"/>
  <c r="HB444" i="112" s="1"/>
  <c r="HR444" i="112" s="1"/>
  <c r="FW445" i="112"/>
  <c r="HB445" i="112" s="1"/>
  <c r="HR445" i="112" s="1"/>
  <c r="FW446" i="112"/>
  <c r="HB446" i="112" s="1"/>
  <c r="HR446" i="112" s="1"/>
  <c r="FW447" i="112"/>
  <c r="HB447" i="112" s="1"/>
  <c r="HR447" i="112" s="1"/>
  <c r="FW448" i="112"/>
  <c r="HB448" i="112" s="1"/>
  <c r="HR448" i="112" s="1"/>
  <c r="FW449" i="112"/>
  <c r="HB449" i="112" s="1"/>
  <c r="HR449" i="112" s="1"/>
  <c r="FW450" i="112"/>
  <c r="HB450" i="112" s="1"/>
  <c r="HR450" i="112" s="1"/>
  <c r="FW451" i="112"/>
  <c r="HB451" i="112" s="1"/>
  <c r="HR451" i="112" s="1"/>
  <c r="FW452" i="112"/>
  <c r="HB452" i="112" s="1"/>
  <c r="HR452" i="112" s="1"/>
  <c r="FW453" i="112"/>
  <c r="HB453" i="112" s="1"/>
  <c r="HR453" i="112" s="1"/>
  <c r="FW454" i="112"/>
  <c r="HB454" i="112" s="1"/>
  <c r="HR454" i="112" s="1"/>
  <c r="FW455" i="112"/>
  <c r="HB455" i="112" s="1"/>
  <c r="HR455" i="112" s="1"/>
  <c r="FW456" i="112"/>
  <c r="HB456" i="112" s="1"/>
  <c r="HR456" i="112" s="1"/>
  <c r="FW457" i="112"/>
  <c r="HB457" i="112" s="1"/>
  <c r="HR457" i="112" s="1"/>
  <c r="FW458" i="112"/>
  <c r="HB458" i="112" s="1"/>
  <c r="HR458" i="112" s="1"/>
  <c r="FW459" i="112"/>
  <c r="HB459" i="112" s="1"/>
  <c r="HR459" i="112" s="1"/>
  <c r="FW460" i="112"/>
  <c r="HB460" i="112" s="1"/>
  <c r="HR460" i="112" s="1"/>
  <c r="FW461" i="112"/>
  <c r="HB461" i="112" s="1"/>
  <c r="HR461" i="112" s="1"/>
  <c r="FW462" i="112"/>
  <c r="HB462" i="112" s="1"/>
  <c r="HR462" i="112" s="1"/>
  <c r="FW463" i="112"/>
  <c r="HB463" i="112" s="1"/>
  <c r="HR463" i="112" s="1"/>
  <c r="FW464" i="112"/>
  <c r="HB464" i="112" s="1"/>
  <c r="HR464" i="112" s="1"/>
  <c r="FW465" i="112"/>
  <c r="HB465" i="112" s="1"/>
  <c r="HR465" i="112" s="1"/>
  <c r="FW466" i="112"/>
  <c r="HB466" i="112" s="1"/>
  <c r="HR466" i="112" s="1"/>
  <c r="FW467" i="112"/>
  <c r="HB467" i="112" s="1"/>
  <c r="HR467" i="112" s="1"/>
  <c r="FW468" i="112"/>
  <c r="HB468" i="112" s="1"/>
  <c r="FW474" i="112"/>
  <c r="FW475" i="112"/>
  <c r="FW476" i="112"/>
  <c r="FW477" i="112"/>
  <c r="FW478" i="112"/>
  <c r="HB478" i="112" s="1"/>
  <c r="HR478" i="112" s="1"/>
  <c r="FW479" i="112"/>
  <c r="HB479" i="112" s="1"/>
  <c r="HR479" i="112" s="1"/>
  <c r="FW480" i="112"/>
  <c r="HB480" i="112" s="1"/>
  <c r="HR480" i="112" s="1"/>
  <c r="FW481" i="112"/>
  <c r="HB481" i="112" s="1"/>
  <c r="HR481" i="112" s="1"/>
  <c r="FW482" i="112"/>
  <c r="HB482" i="112" s="1"/>
  <c r="HR482" i="112" s="1"/>
  <c r="FW483" i="112"/>
  <c r="HB483" i="112" s="1"/>
  <c r="HR483" i="112" s="1"/>
  <c r="FW484" i="112"/>
  <c r="HB484" i="112" s="1"/>
  <c r="FW485" i="112"/>
  <c r="HB485" i="112" s="1"/>
  <c r="HR485" i="112" s="1"/>
  <c r="FW486" i="112"/>
  <c r="HB486" i="112" s="1"/>
  <c r="HR486" i="112" s="1"/>
  <c r="FW492" i="112"/>
  <c r="FW494" i="112"/>
  <c r="FW495" i="112"/>
  <c r="FW496" i="112"/>
  <c r="FW497" i="112"/>
  <c r="FW498" i="112"/>
  <c r="HB498" i="112" s="1"/>
  <c r="HR498" i="112" s="1"/>
  <c r="FW499" i="112"/>
  <c r="HB499" i="112" s="1"/>
  <c r="HR499" i="112" s="1"/>
  <c r="FW500" i="112"/>
  <c r="HB500" i="112" s="1"/>
  <c r="HR500" i="112" s="1"/>
  <c r="FW501" i="112"/>
  <c r="HB501" i="112" s="1"/>
  <c r="HR501" i="112" s="1"/>
  <c r="FW502" i="112"/>
  <c r="HB502" i="112" s="1"/>
  <c r="HR502" i="112" s="1"/>
  <c r="FW507" i="112"/>
  <c r="HB507" i="112" s="1"/>
  <c r="HR507" i="112" s="1"/>
  <c r="FW508" i="112"/>
  <c r="HB508" i="112" s="1"/>
  <c r="HR508" i="112" s="1"/>
  <c r="FW509" i="112"/>
  <c r="HB509" i="112" s="1"/>
  <c r="FW510" i="112"/>
  <c r="HB510" i="112" s="1"/>
  <c r="HR510" i="112" s="1"/>
  <c r="FW515" i="112"/>
  <c r="FW517" i="112"/>
  <c r="FW518" i="112"/>
  <c r="FW519" i="112"/>
  <c r="FW520" i="112"/>
  <c r="HC514" i="112" s="1"/>
  <c r="HR514" i="112" s="1"/>
  <c r="FW521" i="112"/>
  <c r="FW522" i="112"/>
  <c r="FW523" i="112"/>
  <c r="HF423" i="112" s="1"/>
  <c r="FW524" i="112"/>
  <c r="FW525" i="112"/>
  <c r="HH509" i="112" s="1"/>
  <c r="FW526" i="112"/>
  <c r="FW527" i="112"/>
  <c r="FW528" i="112"/>
  <c r="FW529" i="112"/>
  <c r="HL319" i="112" s="1"/>
  <c r="FW535" i="112"/>
  <c r="HC509" i="112" l="1"/>
  <c r="HR509" i="112" s="1"/>
  <c r="HC497" i="112"/>
  <c r="HR423" i="112"/>
  <c r="HK319" i="112"/>
  <c r="HK322" i="112"/>
  <c r="HJ319" i="112"/>
  <c r="HJ484" i="112"/>
  <c r="HR484" i="112" s="1"/>
  <c r="HI319" i="112"/>
  <c r="HI391" i="112"/>
  <c r="HH319" i="112"/>
  <c r="HH364" i="112"/>
  <c r="HG319" i="112"/>
  <c r="HG337" i="112"/>
  <c r="HR337" i="112" s="1"/>
  <c r="HF319" i="112"/>
  <c r="HF497" i="112"/>
  <c r="HE321" i="112"/>
  <c r="HE468" i="112"/>
  <c r="HR468" i="112" s="1"/>
  <c r="O217" i="121"/>
  <c r="O224" i="121"/>
  <c r="O225" i="121"/>
  <c r="O240" i="121"/>
  <c r="O239" i="121"/>
  <c r="O236" i="121"/>
  <c r="O204" i="121"/>
  <c r="O200" i="121"/>
  <c r="O199" i="121"/>
  <c r="HD497" i="112"/>
  <c r="HD319" i="112"/>
  <c r="HB412" i="112"/>
  <c r="HR412" i="112" s="1"/>
  <c r="O232" i="121"/>
  <c r="HB388" i="112"/>
  <c r="HR388" i="112" s="1"/>
  <c r="O208" i="121"/>
  <c r="HB406" i="112"/>
  <c r="HR406" i="112" s="1"/>
  <c r="O226" i="121"/>
  <c r="HB382" i="112"/>
  <c r="O202" i="121"/>
  <c r="HB413" i="112"/>
  <c r="HR413" i="112" s="1"/>
  <c r="O233" i="121"/>
  <c r="HB411" i="112"/>
  <c r="HR411" i="112" s="1"/>
  <c r="O231" i="121"/>
  <c r="HB403" i="112"/>
  <c r="HR403" i="112" s="1"/>
  <c r="O223" i="121"/>
  <c r="HB395" i="112"/>
  <c r="HR395" i="112" s="1"/>
  <c r="O215" i="121"/>
  <c r="HB387" i="112"/>
  <c r="HR387" i="112" s="1"/>
  <c r="O207" i="121"/>
  <c r="HB410" i="112"/>
  <c r="HR410" i="112" s="1"/>
  <c r="O230" i="121"/>
  <c r="HB402" i="112"/>
  <c r="HR402" i="112" s="1"/>
  <c r="O222" i="121"/>
  <c r="HB394" i="112"/>
  <c r="HR394" i="112" s="1"/>
  <c r="O214" i="121"/>
  <c r="HB386" i="112"/>
  <c r="HR386" i="112" s="1"/>
  <c r="O206" i="121"/>
  <c r="HB409" i="112"/>
  <c r="HR409" i="112" s="1"/>
  <c r="O229" i="121"/>
  <c r="HB401" i="112"/>
  <c r="HR401" i="112" s="1"/>
  <c r="O221" i="121"/>
  <c r="HB393" i="112"/>
  <c r="HR393" i="112" s="1"/>
  <c r="O213" i="121"/>
  <c r="HB390" i="112"/>
  <c r="HR390" i="112" s="1"/>
  <c r="O210" i="121"/>
  <c r="HB408" i="112"/>
  <c r="HR408" i="112" s="1"/>
  <c r="O228" i="121"/>
  <c r="HB400" i="112"/>
  <c r="HR400" i="112" s="1"/>
  <c r="O220" i="121"/>
  <c r="HB392" i="112"/>
  <c r="HR392" i="112" s="1"/>
  <c r="O212" i="121"/>
  <c r="HB407" i="112"/>
  <c r="HR407" i="112" s="1"/>
  <c r="O227" i="121"/>
  <c r="HB399" i="112"/>
  <c r="HR399" i="112" s="1"/>
  <c r="O219" i="121"/>
  <c r="HB391" i="112"/>
  <c r="HR391" i="112" s="1"/>
  <c r="O211" i="121"/>
  <c r="HB365" i="112"/>
  <c r="HR365" i="112" s="1"/>
  <c r="O194" i="121"/>
  <c r="HB372" i="112"/>
  <c r="HR372" i="112" s="1"/>
  <c r="O201" i="121"/>
  <c r="HB364" i="112"/>
  <c r="O193" i="121"/>
  <c r="HB346" i="112"/>
  <c r="HR346" i="112" s="1"/>
  <c r="O184" i="121"/>
  <c r="HB353" i="112"/>
  <c r="HR353" i="112" s="1"/>
  <c r="O191" i="121"/>
  <c r="HB344" i="112"/>
  <c r="HR344" i="112" s="1"/>
  <c r="O182" i="121"/>
  <c r="HB348" i="112"/>
  <c r="HR348" i="112" s="1"/>
  <c r="O186" i="121"/>
  <c r="HB347" i="112"/>
  <c r="HR347" i="112" s="1"/>
  <c r="O185" i="121"/>
  <c r="HB351" i="112"/>
  <c r="HR351" i="112" s="1"/>
  <c r="O189" i="121"/>
  <c r="HB350" i="112"/>
  <c r="HR350" i="112" s="1"/>
  <c r="O188" i="121"/>
  <c r="HB342" i="112"/>
  <c r="HR342" i="112" s="1"/>
  <c r="O180" i="121"/>
  <c r="HB340" i="112"/>
  <c r="HR340" i="112" s="1"/>
  <c r="O178" i="121"/>
  <c r="HB345" i="112"/>
  <c r="HR345" i="112" s="1"/>
  <c r="O183" i="121"/>
  <c r="HB349" i="112"/>
  <c r="HR349" i="112" s="1"/>
  <c r="O187" i="121"/>
  <c r="HB341" i="112"/>
  <c r="HR341" i="112" s="1"/>
  <c r="O179" i="121"/>
  <c r="O167" i="121"/>
  <c r="HB426" i="112"/>
  <c r="HR426" i="112" s="1"/>
  <c r="O177" i="121"/>
  <c r="HB425" i="112"/>
  <c r="HR425" i="112" s="1"/>
  <c r="O176" i="121"/>
  <c r="HB327" i="112"/>
  <c r="HR327" i="112" s="1"/>
  <c r="O175" i="121"/>
  <c r="HB326" i="112"/>
  <c r="HR326" i="112" s="1"/>
  <c r="O174" i="121"/>
  <c r="HB325" i="112"/>
  <c r="HR325" i="112" s="1"/>
  <c r="O173" i="121"/>
  <c r="HB324" i="112"/>
  <c r="HR324" i="112" s="1"/>
  <c r="O172" i="121"/>
  <c r="HB323" i="112"/>
  <c r="HR323" i="112" s="1"/>
  <c r="O171" i="121"/>
  <c r="HB322" i="112"/>
  <c r="HR322" i="112" s="1"/>
  <c r="O170" i="121"/>
  <c r="HB414" i="112"/>
  <c r="HR414" i="112" s="1"/>
  <c r="O166" i="121"/>
  <c r="HR321" i="112"/>
  <c r="HE319" i="112"/>
  <c r="O168" i="121"/>
  <c r="HB497" i="112"/>
  <c r="HR497" i="112" s="1"/>
  <c r="O169" i="121"/>
  <c r="HB398" i="112"/>
  <c r="HR398" i="112" s="1"/>
  <c r="HB369" i="112"/>
  <c r="HR369" i="112" s="1"/>
  <c r="HB405" i="112"/>
  <c r="HR405" i="112" s="1"/>
  <c r="HB397" i="112"/>
  <c r="HR397" i="112" s="1"/>
  <c r="HB389" i="112"/>
  <c r="HR389" i="112" s="1"/>
  <c r="HB368" i="112"/>
  <c r="HR368" i="112" s="1"/>
  <c r="HB420" i="112"/>
  <c r="HR420" i="112" s="1"/>
  <c r="HB404" i="112"/>
  <c r="HR404" i="112" s="1"/>
  <c r="HB396" i="112"/>
  <c r="HR396" i="112" s="1"/>
  <c r="HB367" i="112"/>
  <c r="HR367" i="112" s="1"/>
  <c r="HB354" i="112"/>
  <c r="HR354" i="112" s="1"/>
  <c r="HB419" i="112"/>
  <c r="HR419" i="112" s="1"/>
  <c r="HB366" i="112"/>
  <c r="HR366" i="112" s="1"/>
  <c r="HB416" i="112"/>
  <c r="HR416" i="112" s="1"/>
  <c r="HB352" i="112"/>
  <c r="HR352" i="112" s="1"/>
  <c r="HB415" i="112"/>
  <c r="HR415" i="112" s="1"/>
  <c r="HB385" i="112"/>
  <c r="HR385" i="112" s="1"/>
  <c r="HB343" i="112"/>
  <c r="HR343" i="112" s="1"/>
  <c r="HB384" i="112"/>
  <c r="HR384" i="112" s="1"/>
  <c r="HB371" i="112"/>
  <c r="HR371" i="112" s="1"/>
  <c r="HB370" i="112"/>
  <c r="HR370" i="112" s="1"/>
  <c r="HC382" i="112"/>
  <c r="HR382" i="112" s="1"/>
  <c r="HC319" i="112"/>
  <c r="HB383" i="112"/>
  <c r="HR383" i="112" s="1"/>
  <c r="DW60" i="112"/>
  <c r="DW61" i="112"/>
  <c r="DW62" i="112"/>
  <c r="DW63" i="112"/>
  <c r="DW64" i="112"/>
  <c r="DW37" i="112"/>
  <c r="EC63" i="112" s="1"/>
  <c r="DW38" i="112"/>
  <c r="DW33" i="112"/>
  <c r="EC59" i="112" s="1"/>
  <c r="HR364" i="112" l="1"/>
  <c r="EE59" i="112"/>
  <c r="EF59" i="112" s="1"/>
  <c r="O42" i="114" s="1"/>
  <c r="D18" i="139"/>
  <c r="E18" i="139" s="1"/>
  <c r="F18" i="139" s="1"/>
  <c r="G18" i="139" s="1"/>
  <c r="EC64" i="112"/>
  <c r="HR319" i="112"/>
  <c r="D27" i="135"/>
  <c r="E27" i="135" s="1"/>
  <c r="F27" i="135" s="1"/>
  <c r="G27" i="135" s="1"/>
  <c r="DY34" i="112"/>
  <c r="DZ34" i="112" s="1"/>
  <c r="DY33" i="112"/>
  <c r="DY60" i="112"/>
  <c r="DZ60" i="112" s="1"/>
  <c r="DY59" i="112"/>
  <c r="DZ59" i="112" s="1"/>
  <c r="FK521" i="112"/>
  <c r="FK522" i="112"/>
  <c r="FK523" i="112"/>
  <c r="FK524" i="112"/>
  <c r="FK525" i="112"/>
  <c r="FK526" i="112"/>
  <c r="FK527" i="112"/>
  <c r="FK528" i="112"/>
  <c r="FK529" i="112"/>
  <c r="D36" i="135" l="1"/>
  <c r="E36" i="135" s="1"/>
  <c r="F36" i="135" s="1"/>
  <c r="G36" i="135" s="1"/>
  <c r="EJ64" i="112"/>
  <c r="EM60" i="112" s="1"/>
  <c r="AE19" i="114" s="1"/>
  <c r="D27" i="139"/>
  <c r="E27" i="139" s="1"/>
  <c r="F27" i="139" s="1"/>
  <c r="G27" i="139" s="1"/>
  <c r="EE60" i="112"/>
  <c r="EF60" i="112" s="1"/>
  <c r="O43" i="114" s="1"/>
  <c r="DZ33" i="112"/>
  <c r="O31" i="114" s="1"/>
  <c r="O32" i="114"/>
  <c r="DP285" i="112"/>
  <c r="FS521" i="112" l="1"/>
  <c r="FS522" i="112"/>
  <c r="FS523" i="112"/>
  <c r="FS524" i="112"/>
  <c r="FS525" i="112"/>
  <c r="FS526" i="112"/>
  <c r="FS527" i="112"/>
  <c r="FS528" i="112"/>
  <c r="FS529" i="112"/>
  <c r="FS520" i="112"/>
  <c r="FS498" i="112"/>
  <c r="FS499" i="112"/>
  <c r="FS500" i="112"/>
  <c r="FS501" i="112"/>
  <c r="FS502" i="112"/>
  <c r="FS507" i="112"/>
  <c r="FS508" i="112"/>
  <c r="FS509" i="112"/>
  <c r="FS510" i="112"/>
  <c r="FS497" i="112"/>
  <c r="FS479" i="112"/>
  <c r="FS480" i="112"/>
  <c r="FS481" i="112"/>
  <c r="FS482" i="112"/>
  <c r="FS483" i="112"/>
  <c r="FS484" i="112"/>
  <c r="FS485" i="112"/>
  <c r="FS486" i="112"/>
  <c r="FS478" i="112"/>
  <c r="FS437" i="112"/>
  <c r="FS438" i="112"/>
  <c r="FS439" i="112"/>
  <c r="FS440" i="112"/>
  <c r="FS441" i="112"/>
  <c r="FS442" i="112"/>
  <c r="FS443" i="112"/>
  <c r="FS444" i="112"/>
  <c r="FS445" i="112"/>
  <c r="FS446" i="112"/>
  <c r="FS447" i="112"/>
  <c r="FS448" i="112"/>
  <c r="FS449" i="112"/>
  <c r="FS450" i="112"/>
  <c r="FS451" i="112"/>
  <c r="FS452" i="112"/>
  <c r="FS453" i="112"/>
  <c r="FS454" i="112"/>
  <c r="FS455" i="112"/>
  <c r="FS456" i="112"/>
  <c r="FS457" i="112"/>
  <c r="FS458" i="112"/>
  <c r="FS459" i="112"/>
  <c r="FS460" i="112"/>
  <c r="FS461" i="112"/>
  <c r="FS462" i="112"/>
  <c r="FS463" i="112"/>
  <c r="FS464" i="112"/>
  <c r="FS465" i="112"/>
  <c r="FS466" i="112"/>
  <c r="FS467" i="112"/>
  <c r="FS468" i="112"/>
  <c r="FS436" i="112"/>
  <c r="FS383" i="112"/>
  <c r="FS384" i="112"/>
  <c r="FS385" i="112"/>
  <c r="FS386" i="112"/>
  <c r="FS387" i="112"/>
  <c r="FS388" i="112"/>
  <c r="FS389" i="112"/>
  <c r="FS390" i="112"/>
  <c r="FS391" i="112"/>
  <c r="FS392" i="112"/>
  <c r="FS393" i="112"/>
  <c r="FS394" i="112"/>
  <c r="FS395" i="112"/>
  <c r="FS396" i="112"/>
  <c r="FS397" i="112"/>
  <c r="FS398" i="112"/>
  <c r="FS399" i="112"/>
  <c r="FS400" i="112"/>
  <c r="FS401" i="112"/>
  <c r="FS402" i="112"/>
  <c r="FS403" i="112"/>
  <c r="FS404" i="112"/>
  <c r="FS405" i="112"/>
  <c r="FS406" i="112"/>
  <c r="FS407" i="112"/>
  <c r="FS408" i="112"/>
  <c r="FS409" i="112"/>
  <c r="FS410" i="112"/>
  <c r="FS411" i="112"/>
  <c r="FS412" i="112"/>
  <c r="FS413" i="112"/>
  <c r="FS414" i="112"/>
  <c r="FS415" i="112"/>
  <c r="FS416" i="112"/>
  <c r="FS419" i="112"/>
  <c r="FS420" i="112"/>
  <c r="FS421" i="112"/>
  <c r="FS422" i="112"/>
  <c r="FS382" i="112"/>
  <c r="FS365" i="112"/>
  <c r="FS366" i="112"/>
  <c r="FS367" i="112"/>
  <c r="FS368" i="112"/>
  <c r="FS369" i="112"/>
  <c r="FS370" i="112"/>
  <c r="FS371" i="112"/>
  <c r="FS372" i="112"/>
  <c r="FS364" i="112"/>
  <c r="FS338" i="112"/>
  <c r="FS339" i="112"/>
  <c r="FS340" i="112"/>
  <c r="FS341" i="112"/>
  <c r="FS342" i="112"/>
  <c r="FS343" i="112"/>
  <c r="FS344" i="112"/>
  <c r="FS345" i="112"/>
  <c r="FS346" i="112"/>
  <c r="FS347" i="112"/>
  <c r="FS348" i="112"/>
  <c r="FS349" i="112"/>
  <c r="FS350" i="112"/>
  <c r="FS351" i="112"/>
  <c r="FS352" i="112"/>
  <c r="FS353" i="112"/>
  <c r="FS354" i="112"/>
  <c r="FS337" i="112"/>
  <c r="FS320" i="112"/>
  <c r="FS321" i="112"/>
  <c r="FS322" i="112"/>
  <c r="FS323" i="112"/>
  <c r="FS324" i="112"/>
  <c r="FS325" i="112"/>
  <c r="FS326" i="112"/>
  <c r="FS327" i="112"/>
  <c r="FS319" i="112"/>
  <c r="FT479" i="112" l="1"/>
  <c r="FT468" i="112"/>
  <c r="FT483" i="112"/>
  <c r="FT438" i="112"/>
  <c r="FT442" i="112"/>
  <c r="FT444" i="112"/>
  <c r="FT450" i="112"/>
  <c r="FT449" i="112"/>
  <c r="FT448" i="112"/>
  <c r="FT452" i="112"/>
  <c r="FT454" i="112"/>
  <c r="FT459" i="112"/>
  <c r="FT460" i="112"/>
  <c r="FT461" i="112"/>
  <c r="FT463" i="112"/>
  <c r="FT465" i="112"/>
  <c r="FT480" i="112"/>
  <c r="FT484" i="112"/>
  <c r="FS515" i="112"/>
  <c r="FQ494" i="112"/>
  <c r="FS492" i="112"/>
  <c r="FQ475" i="112"/>
  <c r="FS474" i="112"/>
  <c r="FQ433" i="112"/>
  <c r="FS378" i="112"/>
  <c r="FQ361" i="112"/>
  <c r="FS333" i="112"/>
  <c r="FQ316" i="112"/>
  <c r="FQ334" i="112"/>
  <c r="FS360" i="112"/>
  <c r="FS535" i="112"/>
  <c r="FQ517" i="112"/>
  <c r="FT437" i="112"/>
  <c r="FT323" i="112"/>
  <c r="FT327" i="112"/>
  <c r="FT326" i="112"/>
  <c r="FT324" i="112"/>
  <c r="FT445" i="112"/>
  <c r="FT446" i="112"/>
  <c r="FT457" i="112"/>
  <c r="FT456" i="112"/>
  <c r="FT440" i="112"/>
  <c r="FT436" i="112"/>
  <c r="FT481" i="112"/>
  <c r="FT466" i="112"/>
  <c r="FT478" i="112"/>
  <c r="FT322" i="112"/>
  <c r="FT482" i="112"/>
  <c r="FT464" i="112"/>
  <c r="FT458" i="112"/>
  <c r="FT451" i="112"/>
  <c r="FT439" i="112"/>
  <c r="FT467" i="112"/>
  <c r="FT455" i="112"/>
  <c r="FT447" i="112"/>
  <c r="FT443" i="112"/>
  <c r="FT486" i="112"/>
  <c r="FT485" i="112"/>
  <c r="FT462" i="112"/>
  <c r="FT453" i="112"/>
  <c r="FT441" i="112"/>
  <c r="FT492" i="112" l="1" a="1"/>
  <c r="FT492" i="112" s="1"/>
  <c r="FT474" i="112" a="1"/>
  <c r="FT474" i="112" s="1"/>
  <c r="AM173" i="115"/>
  <c r="AM172" i="115"/>
  <c r="AO238" i="112" l="1"/>
  <c r="Q425" i="114" l="1"/>
  <c r="DS100" i="112" l="1"/>
  <c r="DW100" i="112" s="1"/>
  <c r="AM71" i="114" s="1"/>
  <c r="DS99" i="112"/>
  <c r="DW99" i="112" s="1"/>
  <c r="DS98" i="112"/>
  <c r="DW98" i="112" s="1"/>
  <c r="DS96" i="112"/>
  <c r="D57" i="135" s="1"/>
  <c r="E57" i="135" s="1"/>
  <c r="F57" i="135" s="1"/>
  <c r="G57" i="135" s="1"/>
  <c r="DS84" i="112"/>
  <c r="DS82" i="112"/>
  <c r="AM60" i="114" s="1"/>
  <c r="DS81" i="112"/>
  <c r="D48" i="135" s="1"/>
  <c r="E48" i="135" s="1"/>
  <c r="F48" i="135" s="1"/>
  <c r="G48" i="135" s="1"/>
  <c r="DS79" i="112"/>
  <c r="D34" i="139" s="1"/>
  <c r="E34" i="139" s="1"/>
  <c r="F34" i="139" s="1"/>
  <c r="G34" i="139" s="1"/>
  <c r="DS78" i="112"/>
  <c r="D33" i="139" s="1"/>
  <c r="E33" i="139" s="1"/>
  <c r="F33" i="139" s="1"/>
  <c r="G33" i="139" s="1"/>
  <c r="DS117" i="112"/>
  <c r="DW117" i="112" s="1"/>
  <c r="DS116" i="112"/>
  <c r="DW116" i="112" s="1"/>
  <c r="O59" i="114" l="1"/>
  <c r="D46" i="135"/>
  <c r="E46" i="135" s="1"/>
  <c r="F46" i="135" s="1"/>
  <c r="G46" i="135" s="1"/>
  <c r="O62" i="114"/>
  <c r="D51" i="135"/>
  <c r="E51" i="135" s="1"/>
  <c r="F51" i="135" s="1"/>
  <c r="G51" i="135" s="1"/>
  <c r="D49" i="135"/>
  <c r="E49" i="135" s="1"/>
  <c r="F49" i="135" s="1"/>
  <c r="G49" i="135" s="1"/>
  <c r="O58" i="114"/>
  <c r="D45" i="135"/>
  <c r="E45" i="135" s="1"/>
  <c r="F45" i="135" s="1"/>
  <c r="G45" i="135" s="1"/>
  <c r="P178" i="114"/>
  <c r="D71" i="135"/>
  <c r="E71" i="135" s="1"/>
  <c r="F71" i="135" s="1"/>
  <c r="G71" i="135" s="1"/>
  <c r="Z178" i="114"/>
  <c r="D72" i="135"/>
  <c r="E72" i="135" s="1"/>
  <c r="F72" i="135" s="1"/>
  <c r="G72" i="135" s="1"/>
  <c r="Z71" i="114"/>
  <c r="D60" i="135"/>
  <c r="E60" i="135" s="1"/>
  <c r="F60" i="135" s="1"/>
  <c r="G60" i="135" s="1"/>
  <c r="P71" i="114"/>
  <c r="D59" i="135"/>
  <c r="E59" i="135" s="1"/>
  <c r="F59" i="135" s="1"/>
  <c r="G59" i="135" s="1"/>
  <c r="D61" i="135"/>
  <c r="E61" i="135" s="1"/>
  <c r="F61" i="135" s="1"/>
  <c r="G61" i="135" s="1"/>
  <c r="Z60" i="114"/>
  <c r="Z177" i="115"/>
  <c r="Z173" i="114" l="1"/>
  <c r="Z172" i="115" s="1"/>
  <c r="DM83" i="112"/>
  <c r="DN83" i="112" s="1"/>
  <c r="DN258" i="112"/>
  <c r="DW261" i="112"/>
  <c r="DW260" i="112"/>
  <c r="DW259" i="112"/>
  <c r="DW258" i="112"/>
  <c r="DW257" i="112"/>
  <c r="DS80" i="112"/>
  <c r="DS76" i="112"/>
  <c r="AM56" i="114" s="1"/>
  <c r="Z55" i="114"/>
  <c r="DS94" i="112"/>
  <c r="AM67" i="114" s="1"/>
  <c r="D56" i="135" l="1"/>
  <c r="E56" i="135" s="1"/>
  <c r="F56" i="135" s="1"/>
  <c r="G56" i="135" s="1"/>
  <c r="P60" i="114"/>
  <c r="D47" i="135"/>
  <c r="E47" i="135" s="1"/>
  <c r="F47" i="135" s="1"/>
  <c r="G47" i="135" s="1"/>
  <c r="D44" i="135"/>
  <c r="E44" i="135" s="1"/>
  <c r="F44" i="135" s="1"/>
  <c r="G44" i="135" s="1"/>
  <c r="AB584" i="114"/>
  <c r="DU258" i="112"/>
  <c r="DV258" i="112" s="1"/>
  <c r="DS258" i="112"/>
  <c r="DT258" i="112" s="1"/>
  <c r="DS83" i="112"/>
  <c r="P177" i="115"/>
  <c r="O61" i="114" l="1"/>
  <c r="D50" i="135"/>
  <c r="E50" i="135" s="1"/>
  <c r="F50" i="135" s="1"/>
  <c r="G50" i="135" s="1"/>
  <c r="DM109" i="112" l="1"/>
  <c r="DS109" i="112" s="1"/>
  <c r="DM91" i="112"/>
  <c r="DS91" i="112" s="1"/>
  <c r="E53" i="135" s="1"/>
  <c r="F53" i="135" s="1"/>
  <c r="G53" i="135" s="1"/>
  <c r="DP238" i="112"/>
  <c r="EB238" i="112" s="1"/>
  <c r="O102" i="114"/>
  <c r="D208" i="135" l="1"/>
  <c r="E208" i="135" s="1"/>
  <c r="F208" i="135" s="1"/>
  <c r="G208" i="135" s="1"/>
  <c r="D62" i="139"/>
  <c r="E62" i="139" s="1"/>
  <c r="F62" i="139" s="1"/>
  <c r="G62" i="139" s="1"/>
  <c r="P173" i="114"/>
  <c r="P172" i="115" s="1"/>
  <c r="P66" i="114"/>
  <c r="P55" i="114"/>
  <c r="FM520" i="112" l="1"/>
  <c r="FM521" i="112"/>
  <c r="FM522" i="112"/>
  <c r="FM523" i="112"/>
  <c r="FM524" i="112"/>
  <c r="FM525" i="112"/>
  <c r="FM526" i="112"/>
  <c r="FM527" i="112"/>
  <c r="FM528" i="112"/>
  <c r="FM529" i="112"/>
  <c r="AM147" i="121"/>
  <c r="AP147" i="121"/>
  <c r="AO152" i="121"/>
  <c r="AP152" i="121"/>
  <c r="AO153" i="121"/>
  <c r="AP153" i="121"/>
  <c r="AO154" i="121"/>
  <c r="AP154" i="121"/>
  <c r="AO155" i="121"/>
  <c r="AP155" i="121"/>
  <c r="AN147" i="121"/>
  <c r="FT526" i="112" l="1"/>
  <c r="AO147" i="121"/>
  <c r="FT527" i="112"/>
  <c r="FT525" i="112"/>
  <c r="FT529" i="112"/>
  <c r="FT524" i="112"/>
  <c r="FT523" i="112"/>
  <c r="FT528" i="112"/>
  <c r="FT522" i="112"/>
  <c r="DM67" i="112"/>
  <c r="DN67" i="112" s="1"/>
  <c r="DM65" i="112"/>
  <c r="DN65" i="112" s="1"/>
  <c r="DM41" i="112"/>
  <c r="DN41" i="112" l="1"/>
  <c r="O35" i="114" s="1"/>
  <c r="O165" i="114"/>
  <c r="EC67" i="112" l="1"/>
  <c r="D21" i="139"/>
  <c r="D30" i="135"/>
  <c r="DS502" i="112"/>
  <c r="DS507" i="112"/>
  <c r="DS508" i="112"/>
  <c r="DS509" i="112"/>
  <c r="DS510" i="112"/>
  <c r="DN502" i="112"/>
  <c r="DP502" i="112"/>
  <c r="DR502" i="112"/>
  <c r="FU502" i="112" s="1"/>
  <c r="DN507" i="112"/>
  <c r="DP507" i="112"/>
  <c r="DR507" i="112"/>
  <c r="FU507" i="112" s="1"/>
  <c r="DN508" i="112"/>
  <c r="DP508" i="112"/>
  <c r="DR508" i="112"/>
  <c r="FU508" i="112" s="1"/>
  <c r="DN509" i="112"/>
  <c r="DN516" i="112" s="1"/>
  <c r="DP509" i="112"/>
  <c r="DR509" i="112"/>
  <c r="P525" i="112" s="1"/>
  <c r="DN510" i="112"/>
  <c r="DP510" i="112"/>
  <c r="DR510" i="112"/>
  <c r="FU510" i="112" s="1"/>
  <c r="DP516" i="112" l="1"/>
  <c r="DP494" i="112"/>
  <c r="FU509" i="112"/>
  <c r="D39" i="135"/>
  <c r="E39" i="135" s="1"/>
  <c r="F39" i="135" s="1"/>
  <c r="G39" i="135" s="1"/>
  <c r="D30" i="139"/>
  <c r="E30" i="139" s="1"/>
  <c r="F30" i="139" s="1"/>
  <c r="G30" i="139" s="1"/>
  <c r="O46" i="114"/>
  <c r="DK509" i="112"/>
  <c r="FQ509" i="112" s="1"/>
  <c r="FR509" i="112" s="1"/>
  <c r="DL509" i="112"/>
  <c r="DL508" i="112"/>
  <c r="DK508" i="112"/>
  <c r="FQ508" i="112" s="1"/>
  <c r="FR508" i="112" s="1"/>
  <c r="DL507" i="112"/>
  <c r="DK507" i="112"/>
  <c r="FQ507" i="112" s="1"/>
  <c r="FR507" i="112" s="1"/>
  <c r="DL510" i="112"/>
  <c r="DK510" i="112"/>
  <c r="FQ510" i="112" s="1"/>
  <c r="FR510" i="112" s="1"/>
  <c r="DK502" i="112"/>
  <c r="FQ502" i="112" s="1"/>
  <c r="FR502" i="112" s="1"/>
  <c r="DL502" i="112"/>
  <c r="DY508" i="112"/>
  <c r="ED508" i="112"/>
  <c r="EI508" i="112"/>
  <c r="DY507" i="112"/>
  <c r="ED507" i="112"/>
  <c r="EI507" i="112"/>
  <c r="DY510" i="112"/>
  <c r="EI510" i="112"/>
  <c r="ED510" i="112"/>
  <c r="DY502" i="112"/>
  <c r="EI502" i="112"/>
  <c r="ED502" i="112"/>
  <c r="DY509" i="112"/>
  <c r="EI509" i="112"/>
  <c r="ED509" i="112"/>
  <c r="DZ509" i="112"/>
  <c r="DX509" i="112"/>
  <c r="DZ508" i="112"/>
  <c r="DX508" i="112"/>
  <c r="EK508" i="112"/>
  <c r="EF508" i="112"/>
  <c r="DX510" i="112"/>
  <c r="EK510" i="112"/>
  <c r="EF510" i="112"/>
  <c r="DX507" i="112"/>
  <c r="DZ507" i="112"/>
  <c r="EK507" i="112"/>
  <c r="EF507" i="112"/>
  <c r="EK509" i="112"/>
  <c r="EK516" i="112" s="1"/>
  <c r="EF509" i="112"/>
  <c r="EF516" i="112" s="1"/>
  <c r="DX502" i="112"/>
  <c r="EK502" i="112"/>
  <c r="EF502" i="112"/>
  <c r="DZ510" i="112"/>
  <c r="DZ502" i="112"/>
  <c r="DP283" i="112"/>
  <c r="DP284" i="112"/>
  <c r="EG494" i="112" l="1"/>
  <c r="EK494" i="112" s="1"/>
  <c r="EI516" i="112"/>
  <c r="DN494" i="112"/>
  <c r="EX326" i="112"/>
  <c r="EB494" i="112"/>
  <c r="HC537" i="112"/>
  <c r="ED516" i="112"/>
  <c r="EA510" i="112"/>
  <c r="AP179" i="121" s="1"/>
  <c r="FT510" i="112"/>
  <c r="EA507" i="112"/>
  <c r="FT507" i="112"/>
  <c r="EB510" i="112"/>
  <c r="EC510" i="112" s="1"/>
  <c r="EA508" i="112"/>
  <c r="AP177" i="121" s="1"/>
  <c r="FT508" i="112"/>
  <c r="EB502" i="112"/>
  <c r="EC502" i="112" s="1"/>
  <c r="EE502" i="112" s="1"/>
  <c r="EB507" i="112"/>
  <c r="EC507" i="112" s="1"/>
  <c r="EE507" i="112" s="1"/>
  <c r="EB509" i="112"/>
  <c r="EC509" i="112" s="1"/>
  <c r="EA502" i="112"/>
  <c r="AP171" i="121" s="1"/>
  <c r="FT502" i="112"/>
  <c r="EA509" i="112"/>
  <c r="AP178" i="121" s="1"/>
  <c r="FT509" i="112"/>
  <c r="EB508" i="112"/>
  <c r="EC508" i="112" s="1"/>
  <c r="EE509" i="112"/>
  <c r="EE510" i="112"/>
  <c r="EJ510" i="112"/>
  <c r="EJ507" i="112"/>
  <c r="EJ508" i="112"/>
  <c r="EE508" i="112"/>
  <c r="EJ502" i="112"/>
  <c r="EJ509" i="112"/>
  <c r="EJ516" i="112" s="1" a="1"/>
  <c r="EJ516" i="112" s="1"/>
  <c r="FD326" i="112" s="1"/>
  <c r="DP282" i="112"/>
  <c r="DX236" i="112"/>
  <c r="DM494" i="112" l="1"/>
  <c r="EU326" i="112" s="1"/>
  <c r="EV326" i="112"/>
  <c r="EE516" i="112" a="1"/>
  <c r="EE516" i="112" s="1"/>
  <c r="EY326" i="112" s="1"/>
  <c r="EI494" i="112"/>
  <c r="EJ494" i="112"/>
  <c r="EF494" i="112"/>
  <c r="EE494" i="112" s="1"/>
  <c r="ED494" i="112"/>
  <c r="DP286" i="112"/>
  <c r="CB424" i="112"/>
  <c r="FA326" i="112" l="1"/>
  <c r="U134" i="114"/>
  <c r="AD133" i="114"/>
  <c r="U133" i="114"/>
  <c r="DS114" i="112"/>
  <c r="D69" i="135" s="1"/>
  <c r="E69" i="135" s="1"/>
  <c r="F69" i="135" s="1"/>
  <c r="G69" i="135" s="1"/>
  <c r="DM110" i="112"/>
  <c r="DS120" i="112"/>
  <c r="DW120" i="112" s="1"/>
  <c r="DS118" i="112"/>
  <c r="DW118" i="112" s="1"/>
  <c r="AM178" i="114" s="1"/>
  <c r="DS115" i="112"/>
  <c r="DW115" i="112" s="1"/>
  <c r="D70" i="135" s="1"/>
  <c r="E70" i="135" s="1"/>
  <c r="F70" i="135" s="1"/>
  <c r="G70" i="135" s="1"/>
  <c r="DQ257" i="112"/>
  <c r="DP257" i="112"/>
  <c r="DO257" i="112"/>
  <c r="DO183" i="112"/>
  <c r="P272" i="114" s="1"/>
  <c r="D73" i="135" l="1"/>
  <c r="E73" i="135" s="1"/>
  <c r="F73" i="135" s="1"/>
  <c r="G73" i="135" s="1"/>
  <c r="O180" i="114"/>
  <c r="D75" i="135"/>
  <c r="E75" i="135" s="1"/>
  <c r="F75" i="135" s="1"/>
  <c r="G75" i="135" s="1"/>
  <c r="O175" i="115"/>
  <c r="O176" i="114"/>
  <c r="O176" i="115"/>
  <c r="O177" i="114"/>
  <c r="AM177" i="115"/>
  <c r="O174" i="115"/>
  <c r="O179" i="115"/>
  <c r="BY313" i="112" l="1"/>
  <c r="R584" i="114"/>
  <c r="R585" i="114"/>
  <c r="R586" i="114"/>
  <c r="R587" i="114"/>
  <c r="H584" i="114"/>
  <c r="H585" i="114"/>
  <c r="H586" i="114"/>
  <c r="H587" i="114"/>
  <c r="H583" i="114"/>
  <c r="DO311" i="112" l="1"/>
  <c r="O7" i="121"/>
  <c r="DM258" i="112"/>
  <c r="B584" i="114" s="1"/>
  <c r="DM259" i="112"/>
  <c r="B585" i="114" s="1"/>
  <c r="DM260" i="112"/>
  <c r="B586" i="114" s="1"/>
  <c r="DM261" i="112"/>
  <c r="B587" i="114" s="1"/>
  <c r="DM257" i="112"/>
  <c r="B583" i="114" s="1"/>
  <c r="U134" i="115" l="1"/>
  <c r="AD133" i="115"/>
  <c r="U133" i="115"/>
  <c r="DM289" i="112"/>
  <c r="G162" i="121" s="1"/>
  <c r="DO289" i="112"/>
  <c r="D162" i="121" s="1"/>
  <c r="DP289" i="112"/>
  <c r="W162" i="121" l="1"/>
  <c r="J187" i="115"/>
  <c r="B324" i="115"/>
  <c r="F324" i="115"/>
  <c r="B330" i="115"/>
  <c r="J330" i="115"/>
  <c r="O330" i="115"/>
  <c r="T330" i="115"/>
  <c r="Y330" i="115"/>
  <c r="AD330" i="115"/>
  <c r="AI330" i="115"/>
  <c r="AN330" i="115"/>
  <c r="AS330" i="115"/>
  <c r="B331" i="115"/>
  <c r="E331" i="115"/>
  <c r="J331" i="115"/>
  <c r="O331" i="115"/>
  <c r="T331" i="115"/>
  <c r="Y331" i="115"/>
  <c r="AD331" i="115"/>
  <c r="AI331" i="115"/>
  <c r="AN331" i="115"/>
  <c r="AS331" i="115"/>
  <c r="B332" i="115"/>
  <c r="E332" i="115"/>
  <c r="J332" i="115"/>
  <c r="O332" i="115"/>
  <c r="T332" i="115"/>
  <c r="Y332" i="115"/>
  <c r="AD332" i="115"/>
  <c r="AI332" i="115"/>
  <c r="AN332" i="115"/>
  <c r="AS332" i="115"/>
  <c r="B333" i="115"/>
  <c r="E333" i="115"/>
  <c r="J333" i="115"/>
  <c r="O333" i="115"/>
  <c r="T333" i="115"/>
  <c r="Y333" i="115"/>
  <c r="AD333" i="115"/>
  <c r="AI333" i="115"/>
  <c r="AN333" i="115"/>
  <c r="AS333" i="115"/>
  <c r="B334" i="115"/>
  <c r="E334" i="115"/>
  <c r="J334" i="115"/>
  <c r="O334" i="115"/>
  <c r="T334" i="115"/>
  <c r="Y334" i="115"/>
  <c r="AD334" i="115"/>
  <c r="AI334" i="115"/>
  <c r="AN334" i="115"/>
  <c r="AS334" i="115"/>
  <c r="B335" i="115"/>
  <c r="E335" i="115"/>
  <c r="J335" i="115"/>
  <c r="O335" i="115"/>
  <c r="T335" i="115"/>
  <c r="Y335" i="115"/>
  <c r="AD335" i="115"/>
  <c r="AI335" i="115"/>
  <c r="AN335" i="115"/>
  <c r="AS335" i="115"/>
  <c r="B336" i="115"/>
  <c r="E336" i="115"/>
  <c r="J336" i="115"/>
  <c r="O336" i="115"/>
  <c r="T336" i="115"/>
  <c r="Y336" i="115"/>
  <c r="AD336" i="115"/>
  <c r="AI336" i="115"/>
  <c r="AN336" i="115"/>
  <c r="AS336" i="115"/>
  <c r="B337" i="115"/>
  <c r="E337" i="115"/>
  <c r="J337" i="115"/>
  <c r="O337" i="115"/>
  <c r="T337" i="115"/>
  <c r="Y337" i="115"/>
  <c r="AD337" i="115"/>
  <c r="AI337" i="115"/>
  <c r="AN337" i="115"/>
  <c r="AS337" i="115"/>
  <c r="B338" i="115"/>
  <c r="E338" i="115"/>
  <c r="J338" i="115"/>
  <c r="O338" i="115"/>
  <c r="T338" i="115"/>
  <c r="Y338" i="115"/>
  <c r="AD338" i="115"/>
  <c r="AI338" i="115"/>
  <c r="AN338" i="115"/>
  <c r="AS338" i="115"/>
  <c r="B339" i="115"/>
  <c r="E339" i="115"/>
  <c r="J339" i="115"/>
  <c r="O339" i="115"/>
  <c r="T339" i="115"/>
  <c r="Y339" i="115"/>
  <c r="AD339" i="115"/>
  <c r="AI339" i="115"/>
  <c r="AN339" i="115"/>
  <c r="AS339" i="115"/>
  <c r="C340" i="115"/>
  <c r="E340" i="115"/>
  <c r="J340" i="115"/>
  <c r="O340" i="115"/>
  <c r="T340" i="115"/>
  <c r="Y340" i="115"/>
  <c r="AD340" i="115"/>
  <c r="AI340" i="115"/>
  <c r="AN340" i="115"/>
  <c r="AS340" i="115"/>
  <c r="C341" i="115"/>
  <c r="E341" i="115"/>
  <c r="J341" i="115"/>
  <c r="O341" i="115"/>
  <c r="T341" i="115"/>
  <c r="Y341" i="115"/>
  <c r="AD341" i="115"/>
  <c r="AI341" i="115"/>
  <c r="AN341" i="115"/>
  <c r="AS341" i="115"/>
  <c r="C342" i="115"/>
  <c r="E342" i="115"/>
  <c r="J342" i="115"/>
  <c r="O342" i="115"/>
  <c r="T342" i="115"/>
  <c r="Y342" i="115"/>
  <c r="AD342" i="115"/>
  <c r="AI342" i="115"/>
  <c r="AN342" i="115"/>
  <c r="AS342" i="115"/>
  <c r="C343" i="115"/>
  <c r="E343" i="115"/>
  <c r="J343" i="115"/>
  <c r="O343" i="115"/>
  <c r="T343" i="115"/>
  <c r="Y343" i="115"/>
  <c r="AD343" i="115"/>
  <c r="AI343" i="115"/>
  <c r="AN343" i="115"/>
  <c r="AS343" i="115"/>
  <c r="C344" i="115"/>
  <c r="E344" i="115"/>
  <c r="J344" i="115"/>
  <c r="O344" i="115"/>
  <c r="T344" i="115"/>
  <c r="Y344" i="115"/>
  <c r="AD344" i="115"/>
  <c r="AI344" i="115"/>
  <c r="AN344" i="115"/>
  <c r="AS344" i="115"/>
  <c r="C345" i="115"/>
  <c r="E345" i="115"/>
  <c r="J345" i="115"/>
  <c r="O345" i="115"/>
  <c r="T345" i="115"/>
  <c r="Y345" i="115"/>
  <c r="AD345" i="115"/>
  <c r="AI345" i="115"/>
  <c r="AN345" i="115"/>
  <c r="AS345" i="115"/>
  <c r="C346" i="115"/>
  <c r="E346" i="115"/>
  <c r="J346" i="115"/>
  <c r="O346" i="115"/>
  <c r="T346" i="115"/>
  <c r="Y346" i="115"/>
  <c r="AD346" i="115"/>
  <c r="AI346" i="115"/>
  <c r="AN346" i="115"/>
  <c r="AS346" i="115"/>
  <c r="C347" i="115"/>
  <c r="E347" i="115"/>
  <c r="J347" i="115"/>
  <c r="O347" i="115"/>
  <c r="T347" i="115"/>
  <c r="Y347" i="115"/>
  <c r="AD347" i="115"/>
  <c r="AI347" i="115"/>
  <c r="AN347" i="115"/>
  <c r="AS347" i="115"/>
  <c r="C348" i="115"/>
  <c r="E348" i="115"/>
  <c r="J348" i="115"/>
  <c r="O348" i="115"/>
  <c r="T348" i="115"/>
  <c r="Y348" i="115"/>
  <c r="AD348" i="115"/>
  <c r="AI348" i="115"/>
  <c r="AN348" i="115"/>
  <c r="AS348" i="115"/>
  <c r="C349" i="115"/>
  <c r="E349" i="115"/>
  <c r="J349" i="115"/>
  <c r="O349" i="115"/>
  <c r="T349" i="115"/>
  <c r="Y349" i="115"/>
  <c r="AD349" i="115"/>
  <c r="AI349" i="115"/>
  <c r="AN349" i="115"/>
  <c r="AS349" i="115"/>
  <c r="C350" i="115"/>
  <c r="E350" i="115"/>
  <c r="J350" i="115"/>
  <c r="O350" i="115"/>
  <c r="T350" i="115"/>
  <c r="Y350" i="115"/>
  <c r="AD350" i="115"/>
  <c r="AI350" i="115"/>
  <c r="AN350" i="115"/>
  <c r="AS350" i="115"/>
  <c r="C351" i="115"/>
  <c r="E351" i="115"/>
  <c r="J351" i="115"/>
  <c r="O351" i="115"/>
  <c r="T351" i="115"/>
  <c r="Y351" i="115"/>
  <c r="AD351" i="115"/>
  <c r="AI351" i="115"/>
  <c r="AN351" i="115"/>
  <c r="AS351" i="115"/>
  <c r="C352" i="115"/>
  <c r="E352" i="115"/>
  <c r="J352" i="115"/>
  <c r="O352" i="115"/>
  <c r="T352" i="115"/>
  <c r="Y352" i="115"/>
  <c r="AD352" i="115"/>
  <c r="AI352" i="115"/>
  <c r="AN352" i="115"/>
  <c r="AS352" i="115"/>
  <c r="C353" i="115"/>
  <c r="E353" i="115"/>
  <c r="J353" i="115"/>
  <c r="O353" i="115"/>
  <c r="T353" i="115"/>
  <c r="Y353" i="115"/>
  <c r="AD353" i="115"/>
  <c r="AI353" i="115"/>
  <c r="AN353" i="115"/>
  <c r="AS353" i="115"/>
  <c r="C354" i="115"/>
  <c r="E354" i="115"/>
  <c r="J354" i="115"/>
  <c r="O354" i="115"/>
  <c r="T354" i="115"/>
  <c r="Y354" i="115"/>
  <c r="AD354" i="115"/>
  <c r="AI354" i="115"/>
  <c r="AN354" i="115"/>
  <c r="AS354" i="115"/>
  <c r="C355" i="115"/>
  <c r="E355" i="115"/>
  <c r="J355" i="115"/>
  <c r="O355" i="115"/>
  <c r="T355" i="115"/>
  <c r="Y355" i="115"/>
  <c r="AD355" i="115"/>
  <c r="AI355" i="115"/>
  <c r="AN355" i="115"/>
  <c r="AS355" i="115"/>
  <c r="C356" i="115"/>
  <c r="E356" i="115"/>
  <c r="J356" i="115"/>
  <c r="O356" i="115"/>
  <c r="T356" i="115"/>
  <c r="Y356" i="115"/>
  <c r="AD356" i="115"/>
  <c r="AI356" i="115"/>
  <c r="AN356" i="115"/>
  <c r="AS356" i="115"/>
  <c r="C357" i="115"/>
  <c r="E357" i="115"/>
  <c r="J357" i="115"/>
  <c r="O357" i="115"/>
  <c r="T357" i="115"/>
  <c r="Y357" i="115"/>
  <c r="AD357" i="115"/>
  <c r="AI357" i="115"/>
  <c r="AN357" i="115"/>
  <c r="AS357" i="115"/>
  <c r="C358" i="115"/>
  <c r="E358" i="115"/>
  <c r="J358" i="115"/>
  <c r="O358" i="115"/>
  <c r="T358" i="115"/>
  <c r="Y358" i="115"/>
  <c r="AD358" i="115"/>
  <c r="AI358" i="115"/>
  <c r="AN358" i="115"/>
  <c r="AS358" i="115"/>
  <c r="C359" i="115"/>
  <c r="E359" i="115"/>
  <c r="J359" i="115"/>
  <c r="O359" i="115"/>
  <c r="T359" i="115"/>
  <c r="Y359" i="115"/>
  <c r="AD359" i="115"/>
  <c r="AI359" i="115"/>
  <c r="AN359" i="115"/>
  <c r="AS359" i="115"/>
  <c r="C360" i="115"/>
  <c r="E360" i="115"/>
  <c r="J360" i="115"/>
  <c r="O360" i="115"/>
  <c r="T360" i="115"/>
  <c r="Y360" i="115"/>
  <c r="AD360" i="115"/>
  <c r="AI360" i="115"/>
  <c r="AN360" i="115"/>
  <c r="AS360" i="115"/>
  <c r="C361" i="115"/>
  <c r="E361" i="115"/>
  <c r="J361" i="115"/>
  <c r="O361" i="115"/>
  <c r="T361" i="115"/>
  <c r="Y361" i="115"/>
  <c r="AD361" i="115"/>
  <c r="AI361" i="115"/>
  <c r="AN361" i="115"/>
  <c r="AS361" i="115"/>
  <c r="C362" i="115"/>
  <c r="E362" i="115"/>
  <c r="J362" i="115"/>
  <c r="O362" i="115"/>
  <c r="T362" i="115"/>
  <c r="Y362" i="115"/>
  <c r="AD362" i="115"/>
  <c r="AI362" i="115"/>
  <c r="AN362" i="115"/>
  <c r="AS362" i="115"/>
  <c r="C363" i="115"/>
  <c r="E363" i="115"/>
  <c r="J363" i="115"/>
  <c r="O363" i="115"/>
  <c r="T363" i="115"/>
  <c r="Y363" i="115"/>
  <c r="AD363" i="115"/>
  <c r="AI363" i="115"/>
  <c r="AN363" i="115"/>
  <c r="AS363" i="115"/>
  <c r="C364" i="115"/>
  <c r="E364" i="115"/>
  <c r="J364" i="115"/>
  <c r="O364" i="115"/>
  <c r="T364" i="115"/>
  <c r="Y364" i="115"/>
  <c r="AD364" i="115"/>
  <c r="AI364" i="115"/>
  <c r="AN364" i="115"/>
  <c r="AS364" i="115"/>
  <c r="C365" i="115"/>
  <c r="E365" i="115"/>
  <c r="J365" i="115"/>
  <c r="O365" i="115"/>
  <c r="T365" i="115"/>
  <c r="Y365" i="115"/>
  <c r="AD365" i="115"/>
  <c r="AI365" i="115"/>
  <c r="AN365" i="115"/>
  <c r="AS365" i="115"/>
  <c r="C366" i="115"/>
  <c r="E366" i="115"/>
  <c r="J366" i="115"/>
  <c r="O366" i="115"/>
  <c r="T366" i="115"/>
  <c r="Y366" i="115"/>
  <c r="AD366" i="115"/>
  <c r="AI366" i="115"/>
  <c r="AN366" i="115"/>
  <c r="AS366" i="115"/>
  <c r="C367" i="115"/>
  <c r="E367" i="115"/>
  <c r="J367" i="115"/>
  <c r="O367" i="115"/>
  <c r="T367" i="115"/>
  <c r="Y367" i="115"/>
  <c r="AD367" i="115"/>
  <c r="AI367" i="115"/>
  <c r="AN367" i="115"/>
  <c r="AS367" i="115"/>
  <c r="C368" i="115"/>
  <c r="E368" i="115"/>
  <c r="J368" i="115"/>
  <c r="O368" i="115"/>
  <c r="T368" i="115"/>
  <c r="Y368" i="115"/>
  <c r="AD368" i="115"/>
  <c r="AI368" i="115"/>
  <c r="AN368" i="115"/>
  <c r="AS368" i="115"/>
  <c r="C369" i="115"/>
  <c r="E369" i="115"/>
  <c r="J369" i="115"/>
  <c r="O369" i="115"/>
  <c r="T369" i="115"/>
  <c r="Y369" i="115"/>
  <c r="AD369" i="115"/>
  <c r="AI369" i="115"/>
  <c r="AN369" i="115"/>
  <c r="AS369" i="115"/>
  <c r="C370" i="115"/>
  <c r="E370" i="115"/>
  <c r="J370" i="115"/>
  <c r="O370" i="115"/>
  <c r="T370" i="115"/>
  <c r="Y370" i="115"/>
  <c r="AD370" i="115"/>
  <c r="AI370" i="115"/>
  <c r="AN370" i="115"/>
  <c r="AS370" i="115"/>
  <c r="C371" i="115"/>
  <c r="E371" i="115"/>
  <c r="J371" i="115"/>
  <c r="O371" i="115"/>
  <c r="T371" i="115"/>
  <c r="Y371" i="115"/>
  <c r="AD371" i="115"/>
  <c r="AI371" i="115"/>
  <c r="AN371" i="115"/>
  <c r="AS371" i="115"/>
  <c r="C372" i="115"/>
  <c r="E372" i="115"/>
  <c r="J372" i="115"/>
  <c r="O372" i="115"/>
  <c r="T372" i="115"/>
  <c r="Y372" i="115"/>
  <c r="AD372" i="115"/>
  <c r="AI372" i="115"/>
  <c r="AN372" i="115"/>
  <c r="AS372" i="115"/>
  <c r="C373" i="115"/>
  <c r="E373" i="115"/>
  <c r="J373" i="115"/>
  <c r="O373" i="115"/>
  <c r="T373" i="115"/>
  <c r="Y373" i="115"/>
  <c r="AD373" i="115"/>
  <c r="AI373" i="115"/>
  <c r="AN373" i="115"/>
  <c r="AS373" i="115"/>
  <c r="C374" i="115"/>
  <c r="E374" i="115"/>
  <c r="J374" i="115"/>
  <c r="O374" i="115"/>
  <c r="T374" i="115"/>
  <c r="Y374" i="115"/>
  <c r="AD374" i="115"/>
  <c r="AI374" i="115"/>
  <c r="AN374" i="115"/>
  <c r="AS374" i="115"/>
  <c r="C375" i="115"/>
  <c r="E375" i="115"/>
  <c r="J375" i="115"/>
  <c r="O375" i="115"/>
  <c r="T375" i="115"/>
  <c r="Y375" i="115"/>
  <c r="AD375" i="115"/>
  <c r="AI375" i="115"/>
  <c r="AN375" i="115"/>
  <c r="AS375" i="115"/>
  <c r="C376" i="115"/>
  <c r="E376" i="115"/>
  <c r="J376" i="115"/>
  <c r="O376" i="115"/>
  <c r="T376" i="115"/>
  <c r="Y376" i="115"/>
  <c r="AD376" i="115"/>
  <c r="AI376" i="115"/>
  <c r="AN376" i="115"/>
  <c r="AS376" i="115"/>
  <c r="C377" i="115"/>
  <c r="E377" i="115"/>
  <c r="J377" i="115"/>
  <c r="O377" i="115"/>
  <c r="T377" i="115"/>
  <c r="Y377" i="115"/>
  <c r="AD377" i="115"/>
  <c r="AI377" i="115"/>
  <c r="AN377" i="115"/>
  <c r="AS377" i="115"/>
  <c r="C378" i="115"/>
  <c r="E378" i="115"/>
  <c r="J378" i="115"/>
  <c r="O378" i="115"/>
  <c r="T378" i="115"/>
  <c r="Y378" i="115"/>
  <c r="AD378" i="115"/>
  <c r="AI378" i="115"/>
  <c r="AN378" i="115"/>
  <c r="AS378" i="115"/>
  <c r="C379" i="115"/>
  <c r="E379" i="115"/>
  <c r="J379" i="115"/>
  <c r="O379" i="115"/>
  <c r="T379" i="115"/>
  <c r="Y379" i="115"/>
  <c r="AD379" i="115"/>
  <c r="AI379" i="115"/>
  <c r="AN379" i="115"/>
  <c r="AS379" i="115"/>
  <c r="C380" i="115"/>
  <c r="E380" i="115"/>
  <c r="J380" i="115"/>
  <c r="O380" i="115"/>
  <c r="T380" i="115"/>
  <c r="Y380" i="115"/>
  <c r="AD380" i="115"/>
  <c r="AI380" i="115"/>
  <c r="AN380" i="115"/>
  <c r="AS380" i="115"/>
  <c r="C381" i="115"/>
  <c r="E381" i="115"/>
  <c r="J381" i="115"/>
  <c r="O381" i="115"/>
  <c r="T381" i="115"/>
  <c r="Y381" i="115"/>
  <c r="AD381" i="115"/>
  <c r="AI381" i="115"/>
  <c r="AN381" i="115"/>
  <c r="AS381" i="115"/>
  <c r="C382" i="115"/>
  <c r="E382" i="115"/>
  <c r="J382" i="115"/>
  <c r="O382" i="115"/>
  <c r="T382" i="115"/>
  <c r="Y382" i="115"/>
  <c r="AD382" i="115"/>
  <c r="AI382" i="115"/>
  <c r="AN382" i="115"/>
  <c r="AS382" i="115"/>
  <c r="C383" i="115"/>
  <c r="E383" i="115"/>
  <c r="J383" i="115"/>
  <c r="O383" i="115"/>
  <c r="T383" i="115"/>
  <c r="Y383" i="115"/>
  <c r="AD383" i="115"/>
  <c r="AI383" i="115"/>
  <c r="AN383" i="115"/>
  <c r="AS383" i="115"/>
  <c r="C384" i="115"/>
  <c r="E384" i="115"/>
  <c r="J384" i="115"/>
  <c r="O384" i="115"/>
  <c r="T384" i="115"/>
  <c r="Y384" i="115"/>
  <c r="AD384" i="115"/>
  <c r="AI384" i="115"/>
  <c r="AN384" i="115"/>
  <c r="AS384" i="115"/>
  <c r="C385" i="115"/>
  <c r="E385" i="115"/>
  <c r="J385" i="115"/>
  <c r="O385" i="115"/>
  <c r="T385" i="115"/>
  <c r="Y385" i="115"/>
  <c r="AD385" i="115"/>
  <c r="AI385" i="115"/>
  <c r="AN385" i="115"/>
  <c r="AS385" i="115"/>
  <c r="C386" i="115"/>
  <c r="E386" i="115"/>
  <c r="J386" i="115"/>
  <c r="O386" i="115"/>
  <c r="T386" i="115"/>
  <c r="Y386" i="115"/>
  <c r="AD386" i="115"/>
  <c r="AI386" i="115"/>
  <c r="AN386" i="115"/>
  <c r="AS386" i="115"/>
  <c r="C387" i="115"/>
  <c r="E387" i="115"/>
  <c r="J387" i="115"/>
  <c r="O387" i="115"/>
  <c r="T387" i="115"/>
  <c r="Y387" i="115"/>
  <c r="AD387" i="115"/>
  <c r="AI387" i="115"/>
  <c r="AN387" i="115"/>
  <c r="AS387" i="115"/>
  <c r="C388" i="115"/>
  <c r="E388" i="115"/>
  <c r="J388" i="115"/>
  <c r="O388" i="115"/>
  <c r="T388" i="115"/>
  <c r="Y388" i="115"/>
  <c r="AD388" i="115"/>
  <c r="AI388" i="115"/>
  <c r="AN388" i="115"/>
  <c r="AS388" i="115"/>
  <c r="C389" i="115"/>
  <c r="E389" i="115"/>
  <c r="J389" i="115"/>
  <c r="O389" i="115"/>
  <c r="T389" i="115"/>
  <c r="Y389" i="115"/>
  <c r="AD389" i="115"/>
  <c r="AI389" i="115"/>
  <c r="AN389" i="115"/>
  <c r="AS389" i="115"/>
  <c r="U313" i="112" l="1"/>
  <c r="AW313" i="112"/>
  <c r="DN311" i="112" l="1"/>
  <c r="DM311" i="112"/>
  <c r="DM313" i="112" s="1"/>
  <c r="O6" i="121"/>
  <c r="O5" i="121"/>
  <c r="AP23" i="121"/>
  <c r="AP24" i="121"/>
  <c r="AP25" i="121"/>
  <c r="AP26" i="121"/>
  <c r="AP27" i="121"/>
  <c r="AP28" i="121"/>
  <c r="AP29" i="121"/>
  <c r="AP30" i="121"/>
  <c r="AP31" i="121"/>
  <c r="AP32" i="121"/>
  <c r="AP33" i="121"/>
  <c r="AP34" i="121"/>
  <c r="AP35" i="121"/>
  <c r="AP36" i="121"/>
  <c r="AP37" i="121"/>
  <c r="AP38" i="121"/>
  <c r="AP39" i="121"/>
  <c r="AP40" i="121"/>
  <c r="FN520" i="112"/>
  <c r="FN521" i="112"/>
  <c r="FN522" i="112"/>
  <c r="FN523" i="112"/>
  <c r="FN524" i="112"/>
  <c r="FN525" i="112"/>
  <c r="FN526" i="112"/>
  <c r="FN527" i="112"/>
  <c r="FN528" i="112"/>
  <c r="FN529" i="112"/>
  <c r="AP142" i="121"/>
  <c r="AP143" i="121"/>
  <c r="AP144" i="121"/>
  <c r="AP145" i="121"/>
  <c r="AP146" i="121"/>
  <c r="AP132" i="121"/>
  <c r="AP133" i="121"/>
  <c r="AP134" i="121"/>
  <c r="AP135" i="121"/>
  <c r="AP136" i="121"/>
  <c r="AP137" i="121"/>
  <c r="AP138" i="121"/>
  <c r="AP139" i="121"/>
  <c r="AP140" i="121"/>
  <c r="AP98" i="121"/>
  <c r="AP99" i="121"/>
  <c r="AP100" i="121"/>
  <c r="AP101" i="121"/>
  <c r="AP102" i="121"/>
  <c r="AP103" i="121"/>
  <c r="AP104" i="121"/>
  <c r="AP105" i="121"/>
  <c r="AP106" i="121"/>
  <c r="AP107" i="121"/>
  <c r="AP108" i="121"/>
  <c r="AP109" i="121"/>
  <c r="AP110" i="121"/>
  <c r="AP111" i="121"/>
  <c r="AP112" i="121"/>
  <c r="AP113" i="121"/>
  <c r="AP114" i="121"/>
  <c r="AP115" i="121"/>
  <c r="AP116" i="121"/>
  <c r="AP117" i="121"/>
  <c r="AP118" i="121"/>
  <c r="AP119" i="121"/>
  <c r="AP120" i="121"/>
  <c r="AP121" i="121"/>
  <c r="AP122" i="121"/>
  <c r="AP123" i="121"/>
  <c r="AP124" i="121"/>
  <c r="AP125" i="121"/>
  <c r="AP126" i="121"/>
  <c r="AP127" i="121"/>
  <c r="AP128" i="121"/>
  <c r="AP129" i="121"/>
  <c r="AP130" i="121"/>
  <c r="AP42" i="121"/>
  <c r="AP43" i="121"/>
  <c r="AP44" i="121"/>
  <c r="AP45" i="121"/>
  <c r="AP46" i="121"/>
  <c r="AP47" i="121"/>
  <c r="AP48" i="121"/>
  <c r="AP49" i="121"/>
  <c r="AP50" i="121"/>
  <c r="AM23" i="121"/>
  <c r="AN23" i="121"/>
  <c r="AM24" i="121"/>
  <c r="AN24" i="121"/>
  <c r="AM25" i="121"/>
  <c r="AN25" i="121"/>
  <c r="AM26" i="121"/>
  <c r="AN26" i="121"/>
  <c r="AM27" i="121"/>
  <c r="AN27" i="121"/>
  <c r="AM28" i="121"/>
  <c r="AN28" i="121"/>
  <c r="AM29" i="121"/>
  <c r="AN29" i="121"/>
  <c r="AM30" i="121"/>
  <c r="AN30" i="121"/>
  <c r="AM31" i="121"/>
  <c r="AN31" i="121"/>
  <c r="AM32" i="121"/>
  <c r="AN32" i="121"/>
  <c r="AM33" i="121"/>
  <c r="AN33" i="121"/>
  <c r="AM34" i="121"/>
  <c r="AN34" i="121"/>
  <c r="AM35" i="121"/>
  <c r="AN35" i="121"/>
  <c r="AM36" i="121"/>
  <c r="AN36" i="121"/>
  <c r="AM37" i="121"/>
  <c r="AN37" i="121"/>
  <c r="AM38" i="121"/>
  <c r="AN38" i="121"/>
  <c r="AM39" i="121"/>
  <c r="AN39" i="121"/>
  <c r="AM40" i="121"/>
  <c r="AN40" i="121"/>
  <c r="AM42" i="121"/>
  <c r="AN42" i="121"/>
  <c r="AM43" i="121"/>
  <c r="AN43" i="121"/>
  <c r="AM44" i="121"/>
  <c r="AN44" i="121"/>
  <c r="AM45" i="121"/>
  <c r="AN45" i="121"/>
  <c r="AM46" i="121"/>
  <c r="AN46" i="121"/>
  <c r="AM47" i="121"/>
  <c r="AN47" i="121"/>
  <c r="AM48" i="121"/>
  <c r="AN48" i="121"/>
  <c r="AM49" i="121"/>
  <c r="AN49" i="121"/>
  <c r="AM50" i="121"/>
  <c r="AN50" i="121"/>
  <c r="AM52" i="121"/>
  <c r="AN52" i="121"/>
  <c r="AM53" i="121"/>
  <c r="AN53" i="121"/>
  <c r="AM54" i="121"/>
  <c r="AN54" i="121"/>
  <c r="AM55" i="121"/>
  <c r="AN55" i="121"/>
  <c r="AM56" i="121"/>
  <c r="AN56" i="121"/>
  <c r="AM57" i="121"/>
  <c r="AN57" i="121"/>
  <c r="AM58" i="121"/>
  <c r="AN58" i="121"/>
  <c r="AM59" i="121"/>
  <c r="AN59" i="121"/>
  <c r="AM60" i="121"/>
  <c r="AN60" i="121"/>
  <c r="AM61" i="121"/>
  <c r="AN61" i="121"/>
  <c r="AM62" i="121"/>
  <c r="AN62" i="121"/>
  <c r="AM63" i="121"/>
  <c r="AN63" i="121"/>
  <c r="AM64" i="121"/>
  <c r="AN64" i="121"/>
  <c r="AM65" i="121"/>
  <c r="AN65" i="121"/>
  <c r="AM66" i="121"/>
  <c r="AN66" i="121"/>
  <c r="AM67" i="121"/>
  <c r="AN67" i="121"/>
  <c r="AM68" i="121"/>
  <c r="AN68" i="121"/>
  <c r="AM69" i="121"/>
  <c r="AN69" i="121"/>
  <c r="AM70" i="121"/>
  <c r="AN70" i="121"/>
  <c r="AM71" i="121"/>
  <c r="AN71" i="121"/>
  <c r="AM72" i="121"/>
  <c r="AN72" i="121"/>
  <c r="AM73" i="121"/>
  <c r="AN73" i="121"/>
  <c r="AM74" i="121"/>
  <c r="AN74" i="121"/>
  <c r="AM75" i="121"/>
  <c r="AN75" i="121"/>
  <c r="AM76" i="121"/>
  <c r="AN76" i="121"/>
  <c r="AM77" i="121"/>
  <c r="AN77" i="121"/>
  <c r="AM78" i="121"/>
  <c r="AN78" i="121"/>
  <c r="AO79" i="121"/>
  <c r="AM80" i="121"/>
  <c r="AN80" i="121"/>
  <c r="AM81" i="121"/>
  <c r="AN81" i="121"/>
  <c r="AM82" i="121"/>
  <c r="AN82" i="121"/>
  <c r="AM83" i="121"/>
  <c r="AN83" i="121"/>
  <c r="AO84" i="121"/>
  <c r="AM85" i="121"/>
  <c r="AN85" i="121"/>
  <c r="AM86" i="121"/>
  <c r="AN86" i="121"/>
  <c r="AM89" i="121"/>
  <c r="AN89" i="121"/>
  <c r="AM90" i="121"/>
  <c r="AN90" i="121"/>
  <c r="AM91" i="121"/>
  <c r="AN91" i="121"/>
  <c r="AM92" i="121"/>
  <c r="AN92" i="121"/>
  <c r="AM93" i="121"/>
  <c r="AN93" i="121"/>
  <c r="AM94" i="121"/>
  <c r="AN94" i="121"/>
  <c r="AM95" i="121"/>
  <c r="AN95" i="121"/>
  <c r="AM96" i="121"/>
  <c r="AN96" i="121"/>
  <c r="AM98" i="121"/>
  <c r="AN98" i="121"/>
  <c r="AM99" i="121"/>
  <c r="AN99" i="121"/>
  <c r="AM100" i="121"/>
  <c r="AN100" i="121"/>
  <c r="AM101" i="121"/>
  <c r="AN101" i="121"/>
  <c r="AM102" i="121"/>
  <c r="AN102" i="121"/>
  <c r="AM103" i="121"/>
  <c r="AN103" i="121"/>
  <c r="AM104" i="121"/>
  <c r="AN104" i="121"/>
  <c r="AM105" i="121"/>
  <c r="AN105" i="121"/>
  <c r="AM106" i="121"/>
  <c r="AN106" i="121"/>
  <c r="AM107" i="121"/>
  <c r="AN107" i="121"/>
  <c r="AM108" i="121"/>
  <c r="AN108" i="121"/>
  <c r="AM109" i="121"/>
  <c r="AN109" i="121"/>
  <c r="AM110" i="121"/>
  <c r="AN110" i="121"/>
  <c r="AM111" i="121"/>
  <c r="AN111" i="121"/>
  <c r="AM112" i="121"/>
  <c r="AN112" i="121"/>
  <c r="AM113" i="121"/>
  <c r="AN113" i="121"/>
  <c r="AM114" i="121"/>
  <c r="AN114" i="121"/>
  <c r="AM115" i="121"/>
  <c r="AN115" i="121"/>
  <c r="AM116" i="121"/>
  <c r="AN116" i="121"/>
  <c r="AM117" i="121"/>
  <c r="AN117" i="121"/>
  <c r="AM118" i="121"/>
  <c r="AN118" i="121"/>
  <c r="AM119" i="121"/>
  <c r="AN119" i="121"/>
  <c r="AM120" i="121"/>
  <c r="AN120" i="121"/>
  <c r="AN121" i="121"/>
  <c r="AM122" i="121"/>
  <c r="AN122" i="121"/>
  <c r="AM123" i="121"/>
  <c r="AN123" i="121"/>
  <c r="AM124" i="121"/>
  <c r="AN124" i="121"/>
  <c r="AM125" i="121"/>
  <c r="AN125" i="121"/>
  <c r="AM126" i="121"/>
  <c r="AN126" i="121"/>
  <c r="AM127" i="121"/>
  <c r="AN127" i="121"/>
  <c r="AM128" i="121"/>
  <c r="AN128" i="121"/>
  <c r="AM129" i="121"/>
  <c r="AN129" i="121"/>
  <c r="AM130" i="121"/>
  <c r="AN130" i="121"/>
  <c r="AM132" i="121"/>
  <c r="AN132" i="121"/>
  <c r="AM133" i="121"/>
  <c r="AN133" i="121"/>
  <c r="AM134" i="121"/>
  <c r="AN134" i="121"/>
  <c r="AM135" i="121"/>
  <c r="AN135" i="121"/>
  <c r="AM136" i="121"/>
  <c r="AN136" i="121"/>
  <c r="AM137" i="121"/>
  <c r="AN137" i="121"/>
  <c r="AM138" i="121"/>
  <c r="AN138" i="121"/>
  <c r="AM139" i="121"/>
  <c r="AN139" i="121"/>
  <c r="AM140" i="121"/>
  <c r="AN140" i="121"/>
  <c r="AM142" i="121"/>
  <c r="AN142" i="121"/>
  <c r="AM143" i="121"/>
  <c r="AN143" i="121"/>
  <c r="AM144" i="121"/>
  <c r="AN144" i="121"/>
  <c r="AM145" i="121"/>
  <c r="AN145" i="121"/>
  <c r="AM146" i="121"/>
  <c r="AN146" i="121"/>
  <c r="AM14" i="121"/>
  <c r="AN14" i="121"/>
  <c r="AM15" i="121"/>
  <c r="AN15" i="121"/>
  <c r="AM16" i="121"/>
  <c r="AN16" i="121"/>
  <c r="AM17" i="121"/>
  <c r="AN17" i="121"/>
  <c r="AM18" i="121"/>
  <c r="AN18" i="121"/>
  <c r="AM19" i="121"/>
  <c r="AN19" i="121"/>
  <c r="AM20" i="121"/>
  <c r="AN20" i="121"/>
  <c r="AM21" i="121"/>
  <c r="AN21" i="121"/>
  <c r="AP14" i="121"/>
  <c r="AP15" i="121"/>
  <c r="AP16" i="121"/>
  <c r="AP17" i="121"/>
  <c r="AP18" i="121"/>
  <c r="AP19" i="121"/>
  <c r="AP20" i="121"/>
  <c r="AP21" i="121"/>
  <c r="AN13" i="121"/>
  <c r="AO20" i="121" l="1"/>
  <c r="AO16" i="121"/>
  <c r="AO146" i="121"/>
  <c r="AO142" i="121"/>
  <c r="AO139" i="121"/>
  <c r="AO135" i="121"/>
  <c r="AO130" i="121"/>
  <c r="AO124" i="121"/>
  <c r="AO118" i="121"/>
  <c r="AO115" i="121"/>
  <c r="AO111" i="121"/>
  <c r="AO107" i="121"/>
  <c r="AO103" i="121"/>
  <c r="AO99" i="121"/>
  <c r="AO96" i="121"/>
  <c r="AO90" i="121"/>
  <c r="FT420" i="112"/>
  <c r="AO82" i="121"/>
  <c r="FT412" i="112"/>
  <c r="AO78" i="121"/>
  <c r="FT408" i="112"/>
  <c r="AO74" i="121"/>
  <c r="FT404" i="112"/>
  <c r="AO70" i="121"/>
  <c r="FT400" i="112"/>
  <c r="AO66" i="121"/>
  <c r="FT396" i="112"/>
  <c r="AO62" i="121"/>
  <c r="FT392" i="112"/>
  <c r="AO58" i="121"/>
  <c r="FT388" i="112"/>
  <c r="AO54" i="121"/>
  <c r="FT384" i="112"/>
  <c r="AO47" i="121"/>
  <c r="FT369" i="112"/>
  <c r="AO43" i="121"/>
  <c r="FT365" i="112"/>
  <c r="AO40" i="121"/>
  <c r="FT354" i="112"/>
  <c r="AO36" i="121"/>
  <c r="FT350" i="112"/>
  <c r="AO32" i="121"/>
  <c r="FT346" i="112"/>
  <c r="AO28" i="121"/>
  <c r="FT342" i="112"/>
  <c r="AO24" i="121"/>
  <c r="AO13" i="121"/>
  <c r="AO19" i="121"/>
  <c r="AO15" i="121"/>
  <c r="AO145" i="121"/>
  <c r="FT500" i="112"/>
  <c r="AO138" i="121"/>
  <c r="AO134" i="121"/>
  <c r="AO127" i="121"/>
  <c r="AO123" i="121"/>
  <c r="AO121" i="121"/>
  <c r="AO114" i="121"/>
  <c r="AO110" i="121"/>
  <c r="AO106" i="121"/>
  <c r="AO102" i="121"/>
  <c r="AO98" i="121"/>
  <c r="AO95" i="121"/>
  <c r="AO89" i="121"/>
  <c r="FT419" i="112"/>
  <c r="AO81" i="121"/>
  <c r="FT411" i="112"/>
  <c r="AO77" i="121"/>
  <c r="FT407" i="112"/>
  <c r="AO73" i="121"/>
  <c r="FT403" i="112"/>
  <c r="AO69" i="121"/>
  <c r="FT399" i="112"/>
  <c r="AO65" i="121"/>
  <c r="FT395" i="112"/>
  <c r="AO61" i="121"/>
  <c r="FT391" i="112"/>
  <c r="AO57" i="121"/>
  <c r="FT387" i="112"/>
  <c r="AO53" i="121"/>
  <c r="FT383" i="112"/>
  <c r="AO50" i="121"/>
  <c r="FT372" i="112"/>
  <c r="AO46" i="121"/>
  <c r="AO42" i="121"/>
  <c r="AO39" i="121"/>
  <c r="FT353" i="112"/>
  <c r="AO35" i="121"/>
  <c r="FT349" i="112"/>
  <c r="AO31" i="121"/>
  <c r="FT345" i="112"/>
  <c r="AO27" i="121"/>
  <c r="AO23" i="121"/>
  <c r="AO18" i="121"/>
  <c r="AO14" i="121"/>
  <c r="AO133" i="121"/>
  <c r="AO126" i="121"/>
  <c r="AO120" i="121"/>
  <c r="AO117" i="121"/>
  <c r="AO113" i="121"/>
  <c r="AO109" i="121"/>
  <c r="AO105" i="121"/>
  <c r="AO101" i="121"/>
  <c r="AO94" i="121"/>
  <c r="AO92" i="121"/>
  <c r="FT422" i="112"/>
  <c r="AO86" i="121"/>
  <c r="FT416" i="112"/>
  <c r="FT414" i="112"/>
  <c r="AO80" i="121"/>
  <c r="FT410" i="112"/>
  <c r="AO76" i="121"/>
  <c r="FT406" i="112"/>
  <c r="AO72" i="121"/>
  <c r="FT402" i="112"/>
  <c r="AO68" i="121"/>
  <c r="FT398" i="112"/>
  <c r="AO64" i="121"/>
  <c r="FT394" i="112"/>
  <c r="AO60" i="121"/>
  <c r="FT390" i="112"/>
  <c r="AO56" i="121"/>
  <c r="FT386" i="112"/>
  <c r="AO52" i="121"/>
  <c r="AO49" i="121"/>
  <c r="FT371" i="112"/>
  <c r="AO45" i="121"/>
  <c r="FT367" i="112"/>
  <c r="AO38" i="121"/>
  <c r="FT352" i="112"/>
  <c r="AO34" i="121"/>
  <c r="FT348" i="112"/>
  <c r="AO30" i="121"/>
  <c r="FT344" i="112"/>
  <c r="AO26" i="121"/>
  <c r="AO137" i="121"/>
  <c r="AO17" i="121"/>
  <c r="AO144" i="121"/>
  <c r="FT499" i="112"/>
  <c r="AO129" i="121"/>
  <c r="AO21" i="121"/>
  <c r="AO143" i="121"/>
  <c r="AO140" i="121"/>
  <c r="AO136" i="121"/>
  <c r="AO132" i="121"/>
  <c r="AO128" i="121"/>
  <c r="AO125" i="121"/>
  <c r="AO122" i="121"/>
  <c r="AO119" i="121"/>
  <c r="AO116" i="121"/>
  <c r="AO112" i="121"/>
  <c r="AO108" i="121"/>
  <c r="AO104" i="121"/>
  <c r="AO100" i="121"/>
  <c r="AO93" i="121"/>
  <c r="AO91" i="121"/>
  <c r="FT421" i="112"/>
  <c r="AO85" i="121"/>
  <c r="AO83" i="121"/>
  <c r="FT413" i="112"/>
  <c r="FT409" i="112"/>
  <c r="AO75" i="121"/>
  <c r="FT405" i="112"/>
  <c r="AO71" i="121"/>
  <c r="FT401" i="112"/>
  <c r="AO67" i="121"/>
  <c r="FT397" i="112"/>
  <c r="AO63" i="121"/>
  <c r="FT393" i="112"/>
  <c r="AO59" i="121"/>
  <c r="FT389" i="112"/>
  <c r="AO55" i="121"/>
  <c r="FT385" i="112"/>
  <c r="AO48" i="121"/>
  <c r="FT370" i="112"/>
  <c r="AO44" i="121"/>
  <c r="FT366" i="112"/>
  <c r="AO37" i="121"/>
  <c r="FT351" i="112"/>
  <c r="AO33" i="121"/>
  <c r="FT347" i="112"/>
  <c r="AO29" i="121"/>
  <c r="FT343" i="112"/>
  <c r="AO25" i="121"/>
  <c r="FT339" i="112"/>
  <c r="AP13" i="121"/>
  <c r="FT368" i="112" l="1"/>
  <c r="FT364" i="112"/>
  <c r="FT378" i="112" s="1" a="1"/>
  <c r="FT378" i="112" s="1"/>
  <c r="FT382" i="112"/>
  <c r="FT338" i="112"/>
  <c r="DM103" i="112"/>
  <c r="DS101" i="112"/>
  <c r="DW101" i="112" s="1"/>
  <c r="DS121" i="112"/>
  <c r="DW121" i="112" s="1"/>
  <c r="DM85" i="112"/>
  <c r="DN85" i="112" s="1"/>
  <c r="DM26" i="112"/>
  <c r="DN26" i="112" s="1"/>
  <c r="DM39" i="112"/>
  <c r="DN39" i="112" s="1"/>
  <c r="EC65" i="112" s="1"/>
  <c r="DM23" i="112"/>
  <c r="DN23" i="112" s="1"/>
  <c r="DW23" i="112" s="1"/>
  <c r="D21" i="135" s="1"/>
  <c r="E21" i="135" s="1"/>
  <c r="F21" i="135" s="1"/>
  <c r="G21" i="135" s="1"/>
  <c r="AH290" i="112"/>
  <c r="AH291" i="112"/>
  <c r="DQ236" i="112"/>
  <c r="DN259" i="112"/>
  <c r="DN260" i="112"/>
  <c r="DN261" i="112"/>
  <c r="DN257" i="112"/>
  <c r="T250" i="114"/>
  <c r="BB157" i="112"/>
  <c r="AN155" i="112"/>
  <c r="AN154" i="112"/>
  <c r="AP248" i="114"/>
  <c r="Z248" i="114"/>
  <c r="DN103" i="112" l="1"/>
  <c r="DS103" i="112" s="1"/>
  <c r="DW103" i="112" s="1"/>
  <c r="D37" i="135"/>
  <c r="E37" i="135" s="1"/>
  <c r="F37" i="135" s="1"/>
  <c r="G37" i="135" s="1"/>
  <c r="D28" i="139"/>
  <c r="E28" i="139" s="1"/>
  <c r="F28" i="139" s="1"/>
  <c r="G28" i="139" s="1"/>
  <c r="O44" i="114"/>
  <c r="O163" i="115"/>
  <c r="DR39" i="112"/>
  <c r="E21" i="139"/>
  <c r="F21" i="139" s="1"/>
  <c r="G21" i="139" s="1"/>
  <c r="Q427" i="114"/>
  <c r="EB236" i="112"/>
  <c r="O181" i="114"/>
  <c r="D76" i="135"/>
  <c r="E76" i="135" s="1"/>
  <c r="F76" i="135" s="1"/>
  <c r="G76" i="135" s="1"/>
  <c r="O72" i="114"/>
  <c r="D62" i="135"/>
  <c r="E62" i="135" s="1"/>
  <c r="F62" i="135" s="1"/>
  <c r="G62" i="135" s="1"/>
  <c r="E30" i="135"/>
  <c r="F30" i="135" s="1"/>
  <c r="G30" i="135" s="1"/>
  <c r="O163" i="114"/>
  <c r="AB587" i="114"/>
  <c r="DU261" i="112"/>
  <c r="DV261" i="112" s="1"/>
  <c r="DS261" i="112"/>
  <c r="DT261" i="112" s="1"/>
  <c r="AB586" i="114"/>
  <c r="DU260" i="112"/>
  <c r="DV260" i="112" s="1"/>
  <c r="DS260" i="112"/>
  <c r="DT260" i="112" s="1"/>
  <c r="AB585" i="114"/>
  <c r="DU259" i="112"/>
  <c r="DV259" i="112" s="1"/>
  <c r="DS259" i="112"/>
  <c r="DT259" i="112" s="1"/>
  <c r="AB583" i="114"/>
  <c r="DU257" i="112"/>
  <c r="DV257" i="112" s="1"/>
  <c r="DS257" i="112"/>
  <c r="DT257" i="112" s="1"/>
  <c r="O178" i="115"/>
  <c r="O180" i="115"/>
  <c r="D64" i="135" l="1"/>
  <c r="E64" i="135" s="1"/>
  <c r="F64" i="135" s="1"/>
  <c r="G64" i="135" s="1"/>
  <c r="O74" i="114"/>
  <c r="D28" i="135"/>
  <c r="E28" i="135" s="1"/>
  <c r="F28" i="135" s="1"/>
  <c r="G28" i="135" s="1"/>
  <c r="O33" i="114"/>
  <c r="D19" i="139"/>
  <c r="E19" i="139" s="1"/>
  <c r="F19" i="139" s="1"/>
  <c r="G19" i="139" s="1"/>
  <c r="D204" i="135"/>
  <c r="E204" i="135" s="1"/>
  <c r="F204" i="135" s="1"/>
  <c r="G204" i="135" s="1"/>
  <c r="D58" i="139"/>
  <c r="E58" i="139" s="1"/>
  <c r="F58" i="139" s="1"/>
  <c r="G58" i="139" s="1"/>
  <c r="D14" i="139"/>
  <c r="E14" i="139" s="1"/>
  <c r="F14" i="139" s="1"/>
  <c r="G14" i="139" s="1"/>
  <c r="D23" i="135"/>
  <c r="E23" i="135" s="1"/>
  <c r="F23" i="135" s="1"/>
  <c r="G23" i="135" s="1"/>
  <c r="DS85" i="112"/>
  <c r="H16" i="124"/>
  <c r="O81" i="114"/>
  <c r="O81" i="115" s="1"/>
  <c r="O63" i="114" l="1"/>
  <c r="D52" i="135"/>
  <c r="E52" i="135" s="1"/>
  <c r="F52" i="135" s="1"/>
  <c r="G52" i="135" s="1"/>
  <c r="AL181" i="112"/>
  <c r="AE196" i="112" l="1"/>
  <c r="AE203" i="112"/>
  <c r="AE202" i="112"/>
  <c r="AL195" i="112"/>
  <c r="DX258" i="112"/>
  <c r="DX259" i="112"/>
  <c r="DX260" i="112"/>
  <c r="DX261" i="112"/>
  <c r="DR258" i="112"/>
  <c r="DR259" i="112"/>
  <c r="DR260" i="112"/>
  <c r="DR261" i="112"/>
  <c r="DR257" i="112"/>
  <c r="DP415" i="112"/>
  <c r="DP416" i="112"/>
  <c r="DN415" i="112"/>
  <c r="DN416" i="112"/>
  <c r="DS415" i="112"/>
  <c r="DS416" i="112"/>
  <c r="DR416" i="112"/>
  <c r="DR415" i="112"/>
  <c r="DL416" i="112" l="1"/>
  <c r="DK416" i="112"/>
  <c r="DL415" i="112"/>
  <c r="DK415" i="112"/>
  <c r="FQ415" i="112" s="1"/>
  <c r="FR415" i="112" s="1"/>
  <c r="FU415" i="112"/>
  <c r="DY416" i="112"/>
  <c r="ED416" i="112"/>
  <c r="EI416" i="112"/>
  <c r="DY415" i="112"/>
  <c r="ED415" i="112"/>
  <c r="EI415" i="112"/>
  <c r="FU416" i="112"/>
  <c r="DY421" i="112"/>
  <c r="EI421" i="112"/>
  <c r="DY436" i="112"/>
  <c r="EI436" i="112"/>
  <c r="EK416" i="112"/>
  <c r="EF416" i="112"/>
  <c r="EF415" i="112"/>
  <c r="EK415" i="112"/>
  <c r="DX415" i="112"/>
  <c r="DZ415" i="112"/>
  <c r="DX416" i="112"/>
  <c r="DZ416" i="112"/>
  <c r="EA415" i="112" l="1"/>
  <c r="FT415" i="112"/>
  <c r="EB415" i="112"/>
  <c r="EC415" i="112" s="1"/>
  <c r="EE415" i="112" s="1"/>
  <c r="EJ416" i="112"/>
  <c r="EJ415" i="112"/>
  <c r="EJ436" i="112"/>
  <c r="EE416" i="112"/>
  <c r="EJ421" i="112"/>
  <c r="AP169" i="121" l="1"/>
  <c r="AE182" i="112"/>
  <c r="W5" i="37" l="1"/>
  <c r="DQ181" i="112" l="1"/>
  <c r="AB271" i="114" s="1"/>
  <c r="DP181" i="112"/>
  <c r="S271" i="114" s="1"/>
  <c r="DO181" i="112"/>
  <c r="P271" i="114" l="1"/>
  <c r="DN172" i="112" l="1"/>
  <c r="DN169" i="112"/>
  <c r="DN166" i="112"/>
  <c r="K312" i="114" l="1"/>
  <c r="K324" i="115" s="1"/>
  <c r="O82" i="115" l="1"/>
  <c r="W10" i="37"/>
  <c r="W9" i="37"/>
  <c r="W8" i="37"/>
  <c r="W7" i="37"/>
  <c r="W6" i="37"/>
  <c r="W4" i="37"/>
  <c r="X9" i="37" l="1"/>
  <c r="X10" i="37"/>
  <c r="X4" i="37"/>
  <c r="X5" i="37"/>
  <c r="X6" i="37"/>
  <c r="X7" i="37"/>
  <c r="X8" i="37"/>
  <c r="DS522" i="112" l="1"/>
  <c r="EB522" i="112" s="1"/>
  <c r="EC522" i="112" s="1"/>
  <c r="DQ522" i="112"/>
  <c r="DP522" i="112"/>
  <c r="DN522" i="112"/>
  <c r="GC522" i="112" l="1"/>
  <c r="GH522" i="112"/>
  <c r="GG522" i="112"/>
  <c r="GD522" i="112"/>
  <c r="GF522" i="112"/>
  <c r="HF522" i="112" s="1"/>
  <c r="HI522" i="112" s="1"/>
  <c r="GE522" i="112"/>
  <c r="DL522" i="112"/>
  <c r="DK522" i="112"/>
  <c r="HC522" i="112"/>
  <c r="DW522" i="112"/>
  <c r="DY522" i="112"/>
  <c r="ED522" i="112"/>
  <c r="EI522" i="112"/>
  <c r="EF522" i="112"/>
  <c r="EK522" i="112"/>
  <c r="DZ522" i="112"/>
  <c r="GP522" i="112" l="1"/>
  <c r="HO522" i="112" s="1"/>
  <c r="GY522" i="112"/>
  <c r="HB522" i="112"/>
  <c r="GS522" i="112"/>
  <c r="HR522" i="112" s="1"/>
  <c r="HA522" i="112"/>
  <c r="GR522" i="112"/>
  <c r="HQ522" i="112" s="1"/>
  <c r="GV522" i="112"/>
  <c r="GM522" i="112"/>
  <c r="GW522" i="112"/>
  <c r="GN522" i="112"/>
  <c r="HM522" i="112" s="1"/>
  <c r="GZ522" i="112"/>
  <c r="GQ522" i="112"/>
  <c r="HP522" i="112" s="1"/>
  <c r="GX522" i="112"/>
  <c r="GO522" i="112"/>
  <c r="HN522" i="112" s="1"/>
  <c r="EJ522" i="112"/>
  <c r="EE522" i="112"/>
  <c r="AO235" i="112"/>
  <c r="DN521" i="112"/>
  <c r="DP521" i="112"/>
  <c r="DQ521" i="112"/>
  <c r="DS521" i="112"/>
  <c r="DN523" i="112"/>
  <c r="DP523" i="112"/>
  <c r="DQ523" i="112"/>
  <c r="DS523" i="112"/>
  <c r="EB523" i="112" s="1"/>
  <c r="EC523" i="112" s="1"/>
  <c r="DN524" i="112"/>
  <c r="DP524" i="112"/>
  <c r="DQ524" i="112"/>
  <c r="DS524" i="112"/>
  <c r="EB524" i="112" s="1"/>
  <c r="EC524" i="112" s="1"/>
  <c r="DN525" i="112"/>
  <c r="DP525" i="112"/>
  <c r="DQ525" i="112"/>
  <c r="DS525" i="112"/>
  <c r="EB525" i="112" s="1"/>
  <c r="EC525" i="112" s="1"/>
  <c r="DN526" i="112"/>
  <c r="DP526" i="112"/>
  <c r="DQ526" i="112"/>
  <c r="DS526" i="112"/>
  <c r="EB526" i="112" s="1"/>
  <c r="EC526" i="112" s="1"/>
  <c r="DN527" i="112"/>
  <c r="DP527" i="112"/>
  <c r="DQ527" i="112"/>
  <c r="DS527" i="112"/>
  <c r="EB527" i="112" s="1"/>
  <c r="EC527" i="112" s="1"/>
  <c r="DN528" i="112"/>
  <c r="DP528" i="112"/>
  <c r="DQ528" i="112"/>
  <c r="DS528" i="112"/>
  <c r="EB528" i="112" s="1"/>
  <c r="EC528" i="112" s="1"/>
  <c r="DN529" i="112"/>
  <c r="DP529" i="112"/>
  <c r="DQ529" i="112"/>
  <c r="DR529" i="112"/>
  <c r="DS529" i="112"/>
  <c r="DS520" i="112"/>
  <c r="ED520" i="112" s="1"/>
  <c r="DQ520" i="112"/>
  <c r="DY520" i="112" s="1"/>
  <c r="DP520" i="112"/>
  <c r="DN520" i="112"/>
  <c r="HR520" i="112" l="1"/>
  <c r="HS520" i="112"/>
  <c r="GH529" i="112"/>
  <c r="GE529" i="112"/>
  <c r="GD529" i="112"/>
  <c r="GC529" i="112"/>
  <c r="GF529" i="112"/>
  <c r="GG529" i="112"/>
  <c r="GG527" i="112"/>
  <c r="GH527" i="112"/>
  <c r="GG525" i="112"/>
  <c r="GH525" i="112"/>
  <c r="GG523" i="112"/>
  <c r="GD523" i="112"/>
  <c r="GC523" i="112"/>
  <c r="GH523" i="112"/>
  <c r="GE523" i="112"/>
  <c r="GF523" i="112"/>
  <c r="HF523" i="112" s="1"/>
  <c r="HI523" i="112" s="1"/>
  <c r="GG526" i="112"/>
  <c r="GH526" i="112"/>
  <c r="GG524" i="112"/>
  <c r="GC524" i="112"/>
  <c r="GH524" i="112"/>
  <c r="GH521" i="112"/>
  <c r="GF521" i="112"/>
  <c r="GE521" i="112"/>
  <c r="GC521" i="112"/>
  <c r="GG521" i="112"/>
  <c r="GD521" i="112"/>
  <c r="EG521" i="112"/>
  <c r="EH521" i="112" s="1"/>
  <c r="GE528" i="112"/>
  <c r="GG528" i="112"/>
  <c r="GH528" i="112"/>
  <c r="GF528" i="112"/>
  <c r="HF528" i="112" s="1"/>
  <c r="HI528" i="112" s="1"/>
  <c r="GD528" i="112"/>
  <c r="GC528" i="112"/>
  <c r="GF520" i="112"/>
  <c r="GE520" i="112"/>
  <c r="GG520" i="112"/>
  <c r="GH520" i="112"/>
  <c r="GD520" i="112"/>
  <c r="GC520" i="112"/>
  <c r="GM520" i="112" s="1"/>
  <c r="HC527" i="112"/>
  <c r="GD527" i="112"/>
  <c r="GC527" i="112"/>
  <c r="GF527" i="112"/>
  <c r="GE527" i="112"/>
  <c r="GD526" i="112"/>
  <c r="GF526" i="112"/>
  <c r="HF526" i="112" s="1"/>
  <c r="HI526" i="112" s="1"/>
  <c r="GC526" i="112"/>
  <c r="GE526" i="112"/>
  <c r="GE525" i="112"/>
  <c r="GF525" i="112"/>
  <c r="HF525" i="112" s="1"/>
  <c r="HI525" i="112" s="1"/>
  <c r="GD525" i="112"/>
  <c r="GC525" i="112"/>
  <c r="GE524" i="112"/>
  <c r="GF524" i="112"/>
  <c r="HF524" i="112" s="1"/>
  <c r="HI524" i="112" s="1"/>
  <c r="GD524" i="112"/>
  <c r="HL522" i="112"/>
  <c r="HC529" i="112"/>
  <c r="DL528" i="112"/>
  <c r="DK528" i="112"/>
  <c r="DL526" i="112"/>
  <c r="DK526" i="112"/>
  <c r="DL524" i="112"/>
  <c r="DK524" i="112"/>
  <c r="DL521" i="112"/>
  <c r="DK521" i="112"/>
  <c r="FQ521" i="112" s="1"/>
  <c r="FR521" i="112" s="1"/>
  <c r="DK520" i="112"/>
  <c r="FQ520" i="112" s="1"/>
  <c r="FR520" i="112" s="1"/>
  <c r="DL520" i="112"/>
  <c r="DL527" i="112"/>
  <c r="DK527" i="112"/>
  <c r="DL525" i="112"/>
  <c r="DK525" i="112"/>
  <c r="DL523" i="112"/>
  <c r="DK523" i="112"/>
  <c r="DL529" i="112"/>
  <c r="DK529" i="112"/>
  <c r="HC528" i="112"/>
  <c r="HF521" i="112"/>
  <c r="HI521" i="112" s="1"/>
  <c r="HC523" i="112"/>
  <c r="HF529" i="112"/>
  <c r="HI529" i="112" s="1"/>
  <c r="DW525" i="112"/>
  <c r="DW526" i="112"/>
  <c r="DW521" i="112"/>
  <c r="DW527" i="112"/>
  <c r="B174" i="121" s="1"/>
  <c r="HF527" i="112"/>
  <c r="HI527" i="112" s="1"/>
  <c r="DW523" i="112"/>
  <c r="B170" i="121" s="1"/>
  <c r="DW528" i="112"/>
  <c r="B175" i="121" s="1"/>
  <c r="DW524" i="112"/>
  <c r="DW520" i="112"/>
  <c r="DP535" i="112"/>
  <c r="DP517" i="112" s="1"/>
  <c r="EX327" i="112" s="1"/>
  <c r="DN535" i="112"/>
  <c r="DW529" i="112"/>
  <c r="B176" i="121" s="1"/>
  <c r="DY528" i="112"/>
  <c r="EI528" i="112"/>
  <c r="ED528" i="112"/>
  <c r="DY523" i="112"/>
  <c r="ED523" i="112"/>
  <c r="EI523" i="112"/>
  <c r="EI520" i="112"/>
  <c r="DY526" i="112"/>
  <c r="ED526" i="112"/>
  <c r="EI526" i="112"/>
  <c r="DY529" i="112"/>
  <c r="EI529" i="112"/>
  <c r="DY524" i="112"/>
  <c r="EI524" i="112"/>
  <c r="ED524" i="112"/>
  <c r="FU529" i="112"/>
  <c r="DY527" i="112"/>
  <c r="EI527" i="112"/>
  <c r="ED527" i="112"/>
  <c r="DY521" i="112"/>
  <c r="ED521" i="112"/>
  <c r="EI521" i="112"/>
  <c r="DY525" i="112"/>
  <c r="HS525" i="112" s="1"/>
  <c r="HS535" i="112" s="1"/>
  <c r="HS536" i="112" s="1"/>
  <c r="DY494" i="112" s="1"/>
  <c r="ED525" i="112"/>
  <c r="EI525" i="112"/>
  <c r="ED529" i="112"/>
  <c r="EF524" i="112"/>
  <c r="EK524" i="112"/>
  <c r="EK526" i="112"/>
  <c r="EF526" i="112"/>
  <c r="EK528" i="112"/>
  <c r="EF528" i="112"/>
  <c r="EF523" i="112"/>
  <c r="EK523" i="112"/>
  <c r="EF525" i="112"/>
  <c r="EK525" i="112"/>
  <c r="EF527" i="112"/>
  <c r="EK527" i="112"/>
  <c r="EK520" i="112"/>
  <c r="EF520" i="112"/>
  <c r="EF529" i="112"/>
  <c r="EK529" i="112"/>
  <c r="EK521" i="112"/>
  <c r="EF521" i="112"/>
  <c r="DZ527" i="112"/>
  <c r="DX529" i="112"/>
  <c r="DV520" i="112"/>
  <c r="DZ529" i="112"/>
  <c r="DZ528" i="112"/>
  <c r="DZ525" i="112"/>
  <c r="DZ523" i="112"/>
  <c r="DZ524" i="112"/>
  <c r="DZ521" i="112"/>
  <c r="DZ526" i="112"/>
  <c r="DZ520" i="112"/>
  <c r="BH292" i="112"/>
  <c r="EB517" i="112" l="1"/>
  <c r="B172" i="121"/>
  <c r="B173" i="121"/>
  <c r="B171" i="121"/>
  <c r="EB521" i="112"/>
  <c r="EC521" i="112" s="1"/>
  <c r="EA521" i="112"/>
  <c r="FT521" i="112"/>
  <c r="GV520" i="112"/>
  <c r="HL520" i="112"/>
  <c r="EB520" i="112"/>
  <c r="EC520" i="112" s="1"/>
  <c r="EE520" i="112" s="1"/>
  <c r="EA520" i="112"/>
  <c r="AP176" i="121" s="1"/>
  <c r="FT520" i="112"/>
  <c r="B168" i="121"/>
  <c r="HA527" i="112"/>
  <c r="HC526" i="112"/>
  <c r="HC525" i="112"/>
  <c r="HC524" i="112"/>
  <c r="B167" i="121"/>
  <c r="B169" i="121"/>
  <c r="DY517" i="112"/>
  <c r="GQ521" i="112"/>
  <c r="HP521" i="112" s="1"/>
  <c r="GO521" i="112"/>
  <c r="HN521" i="112" s="1"/>
  <c r="HC521" i="112"/>
  <c r="GV521" i="112"/>
  <c r="GS521" i="112"/>
  <c r="HR521" i="112" s="1"/>
  <c r="GN521" i="112"/>
  <c r="HM521" i="112" s="1"/>
  <c r="GR521" i="112"/>
  <c r="HQ521" i="112" s="1"/>
  <c r="GZ524" i="112"/>
  <c r="GQ524" i="112"/>
  <c r="HP524" i="112" s="1"/>
  <c r="GZ528" i="112"/>
  <c r="GQ528" i="112"/>
  <c r="HP528" i="112" s="1"/>
  <c r="GZ523" i="112"/>
  <c r="GQ523" i="112"/>
  <c r="HP523" i="112" s="1"/>
  <c r="GM527" i="112"/>
  <c r="HL527" i="112" s="1"/>
  <c r="GV527" i="112"/>
  <c r="GP526" i="112"/>
  <c r="HO526" i="112" s="1"/>
  <c r="GY526" i="112"/>
  <c r="GV525" i="112"/>
  <c r="GM525" i="112"/>
  <c r="HL525" i="112" s="1"/>
  <c r="HB529" i="112"/>
  <c r="GS529" i="112"/>
  <c r="HR529" i="112" s="1"/>
  <c r="GS524" i="112"/>
  <c r="HR524" i="112" s="1"/>
  <c r="HB524" i="112"/>
  <c r="GM528" i="112"/>
  <c r="GV528" i="112"/>
  <c r="GP523" i="112"/>
  <c r="HO523" i="112" s="1"/>
  <c r="GY523" i="112"/>
  <c r="GS527" i="112"/>
  <c r="HR527" i="112" s="1"/>
  <c r="HB527" i="112"/>
  <c r="HA526" i="112"/>
  <c r="GR526" i="112"/>
  <c r="HQ526" i="112" s="1"/>
  <c r="GX525" i="112"/>
  <c r="GO525" i="112"/>
  <c r="HN525" i="112" s="1"/>
  <c r="HA529" i="112"/>
  <c r="GR529" i="112"/>
  <c r="HQ529" i="112" s="1"/>
  <c r="GV524" i="112"/>
  <c r="GM524" i="112"/>
  <c r="HL524" i="112" s="1"/>
  <c r="GP528" i="112"/>
  <c r="HO528" i="112" s="1"/>
  <c r="GY528" i="112"/>
  <c r="HB523" i="112"/>
  <c r="GS523" i="112"/>
  <c r="HR523" i="112" s="1"/>
  <c r="GX527" i="112"/>
  <c r="GO527" i="112"/>
  <c r="HN527" i="112" s="1"/>
  <c r="GS526" i="112"/>
  <c r="HR526" i="112" s="1"/>
  <c r="HB526" i="112"/>
  <c r="GP525" i="112"/>
  <c r="HO525" i="112" s="1"/>
  <c r="GY525" i="112"/>
  <c r="GZ529" i="112"/>
  <c r="GQ529" i="112"/>
  <c r="HP529" i="112" s="1"/>
  <c r="GW524" i="112"/>
  <c r="GN524" i="112"/>
  <c r="HM524" i="112" s="1"/>
  <c r="GW528" i="112"/>
  <c r="GN528" i="112"/>
  <c r="HM528" i="112" s="1"/>
  <c r="HA523" i="112"/>
  <c r="GR523" i="112"/>
  <c r="HQ523" i="112" s="1"/>
  <c r="GV526" i="112"/>
  <c r="GM526" i="112"/>
  <c r="HL526" i="112" s="1"/>
  <c r="HA525" i="112"/>
  <c r="GR525" i="112"/>
  <c r="HQ525" i="112" s="1"/>
  <c r="GM529" i="112"/>
  <c r="HL529" i="112" s="1"/>
  <c r="GV529" i="112"/>
  <c r="GP524" i="112"/>
  <c r="HO524" i="112" s="1"/>
  <c r="GY524" i="112"/>
  <c r="HA528" i="112"/>
  <c r="GR528" i="112"/>
  <c r="HQ528" i="112" s="1"/>
  <c r="GM523" i="112"/>
  <c r="GV523" i="112"/>
  <c r="GQ527" i="112"/>
  <c r="HP527" i="112" s="1"/>
  <c r="GZ527" i="112"/>
  <c r="GW526" i="112"/>
  <c r="GN526" i="112"/>
  <c r="HM526" i="112" s="1"/>
  <c r="GZ525" i="112"/>
  <c r="GQ525" i="112"/>
  <c r="HP525" i="112" s="1"/>
  <c r="GW529" i="112"/>
  <c r="GN529" i="112"/>
  <c r="HM529" i="112" s="1"/>
  <c r="GO524" i="112"/>
  <c r="HN524" i="112" s="1"/>
  <c r="GX524" i="112"/>
  <c r="HB528" i="112"/>
  <c r="GS528" i="112"/>
  <c r="HR528" i="112" s="1"/>
  <c r="GW523" i="112"/>
  <c r="GN523" i="112"/>
  <c r="HM523" i="112" s="1"/>
  <c r="GP527" i="112"/>
  <c r="HO527" i="112" s="1"/>
  <c r="GY527" i="112"/>
  <c r="GY521" i="112"/>
  <c r="GP521" i="112"/>
  <c r="HO521" i="112" s="1"/>
  <c r="GO526" i="112"/>
  <c r="HN526" i="112" s="1"/>
  <c r="GX526" i="112"/>
  <c r="HB525" i="112"/>
  <c r="GS525" i="112"/>
  <c r="HR525" i="112" s="1"/>
  <c r="GO529" i="112"/>
  <c r="HN529" i="112" s="1"/>
  <c r="GX529" i="112"/>
  <c r="HA524" i="112"/>
  <c r="GR524" i="112"/>
  <c r="HQ524" i="112" s="1"/>
  <c r="GO528" i="112"/>
  <c r="HN528" i="112" s="1"/>
  <c r="GX528" i="112"/>
  <c r="GO523" i="112"/>
  <c r="HN523" i="112" s="1"/>
  <c r="GX523" i="112"/>
  <c r="GW527" i="112"/>
  <c r="GN527" i="112"/>
  <c r="HM527" i="112" s="1"/>
  <c r="GZ526" i="112"/>
  <c r="GQ526" i="112"/>
  <c r="HP526" i="112" s="1"/>
  <c r="GN525" i="112"/>
  <c r="HM525" i="112" s="1"/>
  <c r="GW525" i="112"/>
  <c r="GY529" i="112"/>
  <c r="GP529" i="112"/>
  <c r="HO529" i="112" s="1"/>
  <c r="HF520" i="112"/>
  <c r="HC520" i="112"/>
  <c r="GN520" i="112"/>
  <c r="EF535" i="112"/>
  <c r="EK535" i="112"/>
  <c r="EI535" i="112"/>
  <c r="EG517" i="112"/>
  <c r="EI517" i="112" s="1"/>
  <c r="ED535" i="112"/>
  <c r="DV521" i="112"/>
  <c r="FS475" i="112"/>
  <c r="FS433" i="112"/>
  <c r="FS361" i="112"/>
  <c r="EE529" i="112"/>
  <c r="EE527" i="112"/>
  <c r="EE528" i="112"/>
  <c r="EJ525" i="112"/>
  <c r="EJ528" i="112"/>
  <c r="EJ526" i="112"/>
  <c r="EE526" i="112"/>
  <c r="EE525" i="112"/>
  <c r="EE523" i="112"/>
  <c r="EJ529" i="112"/>
  <c r="EE521" i="112"/>
  <c r="EJ523" i="112"/>
  <c r="EE524" i="112"/>
  <c r="EJ524" i="112"/>
  <c r="EJ521" i="112"/>
  <c r="EJ527" i="112"/>
  <c r="EJ520" i="112"/>
  <c r="DS392" i="112"/>
  <c r="DR392" i="112"/>
  <c r="DP392" i="112"/>
  <c r="DN392" i="112"/>
  <c r="FT535" i="112" l="1" a="1"/>
  <c r="FT535" i="112" s="1"/>
  <c r="FS517" i="112" s="1"/>
  <c r="GV536" i="112"/>
  <c r="EF517" i="112"/>
  <c r="FA327" i="112" s="1"/>
  <c r="DN517" i="112"/>
  <c r="HL528" i="112"/>
  <c r="GR527" i="112"/>
  <c r="HQ527" i="112" s="1"/>
  <c r="HL523" i="112"/>
  <c r="HI520" i="112"/>
  <c r="HI535" i="112" s="1"/>
  <c r="GZ521" i="112"/>
  <c r="GX521" i="112"/>
  <c r="DL392" i="112"/>
  <c r="DK392" i="112"/>
  <c r="GW521" i="112"/>
  <c r="HC536" i="112"/>
  <c r="HC538" i="112" s="1"/>
  <c r="HB521" i="112"/>
  <c r="GT536" i="112"/>
  <c r="GT538" i="112" s="1"/>
  <c r="HA521" i="112"/>
  <c r="GM521" i="112"/>
  <c r="HM520" i="112"/>
  <c r="HM535" i="112" s="1"/>
  <c r="HM536" i="112" s="1"/>
  <c r="GW520" i="112"/>
  <c r="GX520" i="112"/>
  <c r="GO520" i="112"/>
  <c r="HN520" i="112" s="1"/>
  <c r="HN535" i="112" s="1"/>
  <c r="HN536" i="112" s="1"/>
  <c r="GZ520" i="112"/>
  <c r="GZ536" i="112" s="1"/>
  <c r="GQ520" i="112"/>
  <c r="HP520" i="112" s="1"/>
  <c r="HP535" i="112" s="1"/>
  <c r="HP536" i="112" s="1"/>
  <c r="HA520" i="112"/>
  <c r="GR520" i="112"/>
  <c r="HQ520" i="112" s="1"/>
  <c r="HR535" i="112"/>
  <c r="HR536" i="112" s="1"/>
  <c r="GP520" i="112"/>
  <c r="HO520" i="112" s="1"/>
  <c r="HO535" i="112" s="1"/>
  <c r="GY520" i="112"/>
  <c r="GY536" i="112" s="1"/>
  <c r="EE535" i="112" a="1"/>
  <c r="EE535" i="112" s="1"/>
  <c r="EY327" i="112" s="1"/>
  <c r="EJ535" i="112" a="1"/>
  <c r="EJ535" i="112" s="1"/>
  <c r="FD327" i="112" s="1"/>
  <c r="DV522" i="112"/>
  <c r="DV523" i="112" s="1"/>
  <c r="FU392" i="112"/>
  <c r="DY392" i="112"/>
  <c r="EI392" i="112"/>
  <c r="ED392" i="112"/>
  <c r="EF392" i="112"/>
  <c r="EK392" i="112"/>
  <c r="DX392" i="112"/>
  <c r="DZ392" i="112"/>
  <c r="DP229" i="112"/>
  <c r="DP227" i="112"/>
  <c r="DP225" i="112"/>
  <c r="DP223" i="112"/>
  <c r="DP258" i="112"/>
  <c r="ED517" i="112" l="1"/>
  <c r="HO536" i="112"/>
  <c r="DM517" i="112"/>
  <c r="EU327" i="112" s="1"/>
  <c r="EV327" i="112"/>
  <c r="HL521" i="112"/>
  <c r="HL535" i="112" s="1"/>
  <c r="HL536" i="112" s="1"/>
  <c r="GM536" i="112"/>
  <c r="GM538" i="112" s="1"/>
  <c r="HC539" i="112"/>
  <c r="HQ535" i="112"/>
  <c r="HQ536" i="112" s="1"/>
  <c r="HB536" i="112"/>
  <c r="GW536" i="112"/>
  <c r="GX536" i="112"/>
  <c r="HA536" i="112"/>
  <c r="GS536" i="112"/>
  <c r="GS538" i="112" s="1"/>
  <c r="GR536" i="112"/>
  <c r="GR538" i="112" s="1"/>
  <c r="HA539" i="112" s="1"/>
  <c r="ES475" i="112" s="1"/>
  <c r="GN536" i="112"/>
  <c r="GN538" i="112" s="1"/>
  <c r="GW539" i="112" s="1"/>
  <c r="ES334" i="112" s="1"/>
  <c r="GQ536" i="112"/>
  <c r="GQ538" i="112" s="1"/>
  <c r="GO536" i="112"/>
  <c r="GO538" i="112" s="1"/>
  <c r="GX539" i="112" s="1"/>
  <c r="ES361" i="112" s="1"/>
  <c r="GP536" i="112"/>
  <c r="GP538" i="112" s="1"/>
  <c r="DV524" i="112"/>
  <c r="EK517" i="112"/>
  <c r="EJ392" i="112"/>
  <c r="EE392" i="112"/>
  <c r="R455" i="114"/>
  <c r="DQ258" i="112"/>
  <c r="AM455" i="114" s="1"/>
  <c r="DO258" i="112"/>
  <c r="M455" i="114" s="1"/>
  <c r="GQ540" i="112" l="1"/>
  <c r="GZ539" i="112"/>
  <c r="ES433" i="112" s="1"/>
  <c r="GU538" i="112"/>
  <c r="FF326" i="112"/>
  <c r="FF327" i="112"/>
  <c r="GY539" i="112"/>
  <c r="ES379" i="112" s="1"/>
  <c r="GP540" i="112"/>
  <c r="EE517" i="112"/>
  <c r="EJ517" i="112"/>
  <c r="DV525" i="112"/>
  <c r="DV526" i="112" s="1"/>
  <c r="CV361" i="112"/>
  <c r="DV527" i="112" l="1"/>
  <c r="DV528" i="112" s="1"/>
  <c r="DV529" i="112" s="1"/>
  <c r="DV530" i="112" s="1"/>
  <c r="DV531" i="112" s="1"/>
  <c r="DV532" i="112" s="1"/>
  <c r="DV533" i="112" s="1"/>
  <c r="DV534" i="112" s="1"/>
  <c r="EN361" i="112"/>
  <c r="EM361" i="112"/>
  <c r="EL361" i="112"/>
  <c r="DS420" i="112" l="1"/>
  <c r="DR420" i="112"/>
  <c r="DP420" i="112"/>
  <c r="DN420" i="112"/>
  <c r="DL420" i="112" l="1"/>
  <c r="DK420" i="112"/>
  <c r="DY420" i="112"/>
  <c r="EI420" i="112"/>
  <c r="ED420" i="112"/>
  <c r="FU420" i="112"/>
  <c r="EK420" i="112"/>
  <c r="EF420" i="112"/>
  <c r="DX420" i="112"/>
  <c r="DZ420" i="112"/>
  <c r="EE420" i="112" l="1"/>
  <c r="EJ420" i="112"/>
  <c r="DC492" i="112"/>
  <c r="CV494" i="112"/>
  <c r="CV379" i="112" l="1"/>
  <c r="DC379" i="112"/>
  <c r="CV334" i="112"/>
  <c r="DC334" i="112"/>
  <c r="CV475" i="112"/>
  <c r="DC475" i="112"/>
  <c r="CV433" i="112"/>
  <c r="DC433" i="112"/>
  <c r="EN379" i="112"/>
  <c r="EL379" i="112"/>
  <c r="EM379" i="112"/>
  <c r="EN475" i="112"/>
  <c r="EM475" i="112"/>
  <c r="EL475" i="112"/>
  <c r="AH584" i="114" l="1"/>
  <c r="AH585" i="114"/>
  <c r="AH586" i="114"/>
  <c r="AH587" i="114"/>
  <c r="AH583" i="114"/>
  <c r="AO320" i="114"/>
  <c r="AO332" i="115" s="1"/>
  <c r="AO321" i="114"/>
  <c r="AO333" i="115" s="1"/>
  <c r="AO322" i="114"/>
  <c r="AO334" i="115" s="1"/>
  <c r="AO323" i="114"/>
  <c r="AO335" i="115" s="1"/>
  <c r="AO324" i="114"/>
  <c r="AO336" i="115" s="1"/>
  <c r="AO325" i="114"/>
  <c r="AO337" i="115" s="1"/>
  <c r="AO326" i="114"/>
  <c r="AO338" i="115" s="1"/>
  <c r="AO327" i="114"/>
  <c r="AO339" i="115" s="1"/>
  <c r="AO328" i="114"/>
  <c r="AO340" i="115" s="1"/>
  <c r="AO329" i="114"/>
  <c r="AO341" i="115" s="1"/>
  <c r="AO330" i="114"/>
  <c r="AO342" i="115" s="1"/>
  <c r="AO331" i="114"/>
  <c r="AO343" i="115" s="1"/>
  <c r="AO332" i="114"/>
  <c r="AO344" i="115" s="1"/>
  <c r="AO333" i="114"/>
  <c r="AO345" i="115" s="1"/>
  <c r="AO334" i="114"/>
  <c r="AO346" i="115" s="1"/>
  <c r="AO335" i="114"/>
  <c r="AO347" i="115" s="1"/>
  <c r="AO336" i="114"/>
  <c r="AO348" i="115" s="1"/>
  <c r="AO337" i="114"/>
  <c r="AO349" i="115" s="1"/>
  <c r="AO338" i="114"/>
  <c r="AO350" i="115" s="1"/>
  <c r="AO339" i="114"/>
  <c r="AO351" i="115" s="1"/>
  <c r="AO340" i="114"/>
  <c r="AO352" i="115" s="1"/>
  <c r="AO341" i="114"/>
  <c r="AO353" i="115" s="1"/>
  <c r="AO342" i="114"/>
  <c r="AO354" i="115" s="1"/>
  <c r="AO343" i="114"/>
  <c r="AO355" i="115" s="1"/>
  <c r="AO344" i="114"/>
  <c r="AO356" i="115" s="1"/>
  <c r="AO345" i="114"/>
  <c r="AO357" i="115" s="1"/>
  <c r="AO346" i="114"/>
  <c r="AO358" i="115" s="1"/>
  <c r="AO347" i="114"/>
  <c r="AO359" i="115" s="1"/>
  <c r="AO348" i="114"/>
  <c r="AO360" i="115" s="1"/>
  <c r="AO349" i="114"/>
  <c r="AO361" i="115" s="1"/>
  <c r="AO350" i="114"/>
  <c r="AO362" i="115" s="1"/>
  <c r="AO351" i="114"/>
  <c r="AO363" i="115" s="1"/>
  <c r="AO352" i="114"/>
  <c r="AO364" i="115" s="1"/>
  <c r="AO353" i="114"/>
  <c r="AO365" i="115" s="1"/>
  <c r="AO354" i="114"/>
  <c r="AO366" i="115" s="1"/>
  <c r="AO355" i="114"/>
  <c r="AO367" i="115" s="1"/>
  <c r="AO356" i="114"/>
  <c r="AO368" i="115" s="1"/>
  <c r="AO357" i="114"/>
  <c r="AO369" i="115" s="1"/>
  <c r="AO358" i="114"/>
  <c r="AO370" i="115" s="1"/>
  <c r="AO359" i="114"/>
  <c r="AO371" i="115" s="1"/>
  <c r="AO360" i="114"/>
  <c r="AO372" i="115" s="1"/>
  <c r="AO361" i="114"/>
  <c r="AO373" i="115" s="1"/>
  <c r="AO362" i="114"/>
  <c r="AO374" i="115" s="1"/>
  <c r="AO363" i="114"/>
  <c r="AO375" i="115" s="1"/>
  <c r="AO364" i="114"/>
  <c r="AO376" i="115" s="1"/>
  <c r="AO365" i="114"/>
  <c r="AO377" i="115" s="1"/>
  <c r="AO366" i="114"/>
  <c r="AO378" i="115" s="1"/>
  <c r="AO367" i="114"/>
  <c r="AO379" i="115" s="1"/>
  <c r="AO368" i="114"/>
  <c r="AO380" i="115" s="1"/>
  <c r="AO369" i="114"/>
  <c r="AO381" i="115" s="1"/>
  <c r="AO370" i="114"/>
  <c r="AO382" i="115" s="1"/>
  <c r="AO371" i="114"/>
  <c r="AO383" i="115" s="1"/>
  <c r="AO372" i="114"/>
  <c r="AO384" i="115" s="1"/>
  <c r="AO373" i="114"/>
  <c r="AO385" i="115" s="1"/>
  <c r="AO374" i="114"/>
  <c r="AO386" i="115" s="1"/>
  <c r="AO375" i="114"/>
  <c r="AO387" i="115" s="1"/>
  <c r="AO376" i="114"/>
  <c r="AO388" i="115" s="1"/>
  <c r="AO377" i="114"/>
  <c r="AO389" i="115" s="1"/>
  <c r="AJ320" i="114"/>
  <c r="AJ332" i="115" s="1"/>
  <c r="AJ321" i="114"/>
  <c r="AJ333" i="115" s="1"/>
  <c r="AJ322" i="114"/>
  <c r="AJ334" i="115" s="1"/>
  <c r="AJ323" i="114"/>
  <c r="AJ335" i="115" s="1"/>
  <c r="AJ324" i="114"/>
  <c r="AJ336" i="115" s="1"/>
  <c r="AJ325" i="114"/>
  <c r="AJ337" i="115" s="1"/>
  <c r="AJ326" i="114"/>
  <c r="AJ338" i="115" s="1"/>
  <c r="AJ327" i="114"/>
  <c r="AJ339" i="115" s="1"/>
  <c r="AJ328" i="114"/>
  <c r="AJ340" i="115" s="1"/>
  <c r="AJ329" i="114"/>
  <c r="AJ341" i="115" s="1"/>
  <c r="AJ330" i="114"/>
  <c r="AJ342" i="115" s="1"/>
  <c r="AJ331" i="114"/>
  <c r="AJ343" i="115" s="1"/>
  <c r="AJ332" i="114"/>
  <c r="AJ344" i="115" s="1"/>
  <c r="AJ333" i="114"/>
  <c r="AJ345" i="115" s="1"/>
  <c r="AJ334" i="114"/>
  <c r="AJ346" i="115" s="1"/>
  <c r="AJ335" i="114"/>
  <c r="AJ347" i="115" s="1"/>
  <c r="AJ336" i="114"/>
  <c r="AJ348" i="115" s="1"/>
  <c r="AJ337" i="114"/>
  <c r="AJ349" i="115" s="1"/>
  <c r="AJ338" i="114"/>
  <c r="AJ350" i="115" s="1"/>
  <c r="AJ339" i="114"/>
  <c r="AJ351" i="115" s="1"/>
  <c r="AJ340" i="114"/>
  <c r="AJ352" i="115" s="1"/>
  <c r="AJ341" i="114"/>
  <c r="AJ353" i="115" s="1"/>
  <c r="AJ342" i="114"/>
  <c r="AJ354" i="115" s="1"/>
  <c r="AJ343" i="114"/>
  <c r="AJ355" i="115" s="1"/>
  <c r="AJ344" i="114"/>
  <c r="AJ356" i="115" s="1"/>
  <c r="AJ345" i="114"/>
  <c r="AJ357" i="115" s="1"/>
  <c r="AJ346" i="114"/>
  <c r="AJ358" i="115" s="1"/>
  <c r="AJ347" i="114"/>
  <c r="AJ359" i="115" s="1"/>
  <c r="AJ348" i="114"/>
  <c r="AJ360" i="115" s="1"/>
  <c r="AJ349" i="114"/>
  <c r="AJ361" i="115" s="1"/>
  <c r="AJ350" i="114"/>
  <c r="AJ362" i="115" s="1"/>
  <c r="AJ351" i="114"/>
  <c r="AJ363" i="115" s="1"/>
  <c r="AJ352" i="114"/>
  <c r="AJ364" i="115" s="1"/>
  <c r="AJ353" i="114"/>
  <c r="AJ365" i="115" s="1"/>
  <c r="AJ354" i="114"/>
  <c r="AJ366" i="115" s="1"/>
  <c r="AJ355" i="114"/>
  <c r="AJ367" i="115" s="1"/>
  <c r="AJ356" i="114"/>
  <c r="AJ368" i="115" s="1"/>
  <c r="AJ357" i="114"/>
  <c r="AJ369" i="115" s="1"/>
  <c r="AJ358" i="114"/>
  <c r="AJ370" i="115" s="1"/>
  <c r="AJ359" i="114"/>
  <c r="AJ371" i="115" s="1"/>
  <c r="AJ360" i="114"/>
  <c r="AJ372" i="115" s="1"/>
  <c r="AJ361" i="114"/>
  <c r="AJ373" i="115" s="1"/>
  <c r="AJ362" i="114"/>
  <c r="AJ374" i="115" s="1"/>
  <c r="AJ363" i="114"/>
  <c r="AJ375" i="115" s="1"/>
  <c r="AJ364" i="114"/>
  <c r="AJ376" i="115" s="1"/>
  <c r="AJ365" i="114"/>
  <c r="AJ377" i="115" s="1"/>
  <c r="AJ366" i="114"/>
  <c r="AJ378" i="115" s="1"/>
  <c r="AJ367" i="114"/>
  <c r="AJ379" i="115" s="1"/>
  <c r="AJ368" i="114"/>
  <c r="AJ380" i="115" s="1"/>
  <c r="AJ369" i="114"/>
  <c r="AJ381" i="115" s="1"/>
  <c r="AJ370" i="114"/>
  <c r="AJ382" i="115" s="1"/>
  <c r="AJ371" i="114"/>
  <c r="AJ383" i="115" s="1"/>
  <c r="AJ372" i="114"/>
  <c r="AJ384" i="115" s="1"/>
  <c r="AJ373" i="114"/>
  <c r="AJ385" i="115" s="1"/>
  <c r="AJ374" i="114"/>
  <c r="AJ386" i="115" s="1"/>
  <c r="AJ375" i="114"/>
  <c r="AJ387" i="115" s="1"/>
  <c r="AJ376" i="114"/>
  <c r="AJ388" i="115" s="1"/>
  <c r="AJ377" i="114"/>
  <c r="AJ389" i="115" s="1"/>
  <c r="AE320" i="114"/>
  <c r="AE332" i="115" s="1"/>
  <c r="AE321" i="114"/>
  <c r="AE333" i="115" s="1"/>
  <c r="AE322" i="114"/>
  <c r="AE334" i="115" s="1"/>
  <c r="AE323" i="114"/>
  <c r="AE335" i="115" s="1"/>
  <c r="AE324" i="114"/>
  <c r="AE336" i="115" s="1"/>
  <c r="AE325" i="114"/>
  <c r="AE337" i="115" s="1"/>
  <c r="AE326" i="114"/>
  <c r="AE338" i="115" s="1"/>
  <c r="AE327" i="114"/>
  <c r="AE339" i="115" s="1"/>
  <c r="AE328" i="114"/>
  <c r="AE340" i="115" s="1"/>
  <c r="AE329" i="114"/>
  <c r="AE341" i="115" s="1"/>
  <c r="AE330" i="114"/>
  <c r="AE342" i="115" s="1"/>
  <c r="AE331" i="114"/>
  <c r="AE343" i="115" s="1"/>
  <c r="AE332" i="114"/>
  <c r="AE344" i="115" s="1"/>
  <c r="AE333" i="114"/>
  <c r="AE345" i="115" s="1"/>
  <c r="AE334" i="114"/>
  <c r="AE346" i="115" s="1"/>
  <c r="AE335" i="114"/>
  <c r="AE347" i="115" s="1"/>
  <c r="AE336" i="114"/>
  <c r="AE348" i="115" s="1"/>
  <c r="AE337" i="114"/>
  <c r="AE349" i="115" s="1"/>
  <c r="AE338" i="114"/>
  <c r="AE350" i="115" s="1"/>
  <c r="AE339" i="114"/>
  <c r="AE351" i="115" s="1"/>
  <c r="AE340" i="114"/>
  <c r="AE352" i="115" s="1"/>
  <c r="AE341" i="114"/>
  <c r="AE353" i="115" s="1"/>
  <c r="AE342" i="114"/>
  <c r="AE354" i="115" s="1"/>
  <c r="AE343" i="114"/>
  <c r="AE355" i="115" s="1"/>
  <c r="AE344" i="114"/>
  <c r="AE356" i="115" s="1"/>
  <c r="AE345" i="114"/>
  <c r="AE357" i="115" s="1"/>
  <c r="AE346" i="114"/>
  <c r="AE358" i="115" s="1"/>
  <c r="AE347" i="114"/>
  <c r="AE359" i="115" s="1"/>
  <c r="AE348" i="114"/>
  <c r="AE360" i="115" s="1"/>
  <c r="AE349" i="114"/>
  <c r="AE361" i="115" s="1"/>
  <c r="AE350" i="114"/>
  <c r="AE362" i="115" s="1"/>
  <c r="AE351" i="114"/>
  <c r="AE363" i="115" s="1"/>
  <c r="AE352" i="114"/>
  <c r="AE364" i="115" s="1"/>
  <c r="AE353" i="114"/>
  <c r="AE365" i="115" s="1"/>
  <c r="AE354" i="114"/>
  <c r="AE366" i="115" s="1"/>
  <c r="AE355" i="114"/>
  <c r="AE367" i="115" s="1"/>
  <c r="AE356" i="114"/>
  <c r="AE368" i="115" s="1"/>
  <c r="AE357" i="114"/>
  <c r="AE369" i="115" s="1"/>
  <c r="AE358" i="114"/>
  <c r="AE370" i="115" s="1"/>
  <c r="AE359" i="114"/>
  <c r="AE371" i="115" s="1"/>
  <c r="AE360" i="114"/>
  <c r="AE372" i="115" s="1"/>
  <c r="AE361" i="114"/>
  <c r="AE373" i="115" s="1"/>
  <c r="AE362" i="114"/>
  <c r="AE374" i="115" s="1"/>
  <c r="AE363" i="114"/>
  <c r="AE375" i="115" s="1"/>
  <c r="AE364" i="114"/>
  <c r="AE376" i="115" s="1"/>
  <c r="AE365" i="114"/>
  <c r="AE377" i="115" s="1"/>
  <c r="AE366" i="114"/>
  <c r="AE378" i="115" s="1"/>
  <c r="AE367" i="114"/>
  <c r="AE379" i="115" s="1"/>
  <c r="AE368" i="114"/>
  <c r="AE380" i="115" s="1"/>
  <c r="AE369" i="114"/>
  <c r="AE381" i="115" s="1"/>
  <c r="AE370" i="114"/>
  <c r="AE382" i="115" s="1"/>
  <c r="AE371" i="114"/>
  <c r="AE383" i="115" s="1"/>
  <c r="AE372" i="114"/>
  <c r="AE384" i="115" s="1"/>
  <c r="AE373" i="114"/>
  <c r="AE385" i="115" s="1"/>
  <c r="AE374" i="114"/>
  <c r="AE386" i="115" s="1"/>
  <c r="AE375" i="114"/>
  <c r="AE387" i="115" s="1"/>
  <c r="AE376" i="114"/>
  <c r="AE388" i="115" s="1"/>
  <c r="AE377" i="114"/>
  <c r="AE389" i="115" s="1"/>
  <c r="AO319" i="114"/>
  <c r="AO331" i="115" s="1"/>
  <c r="AJ319" i="114"/>
  <c r="AJ331" i="115" s="1"/>
  <c r="AE319" i="114"/>
  <c r="AE331" i="115" s="1"/>
  <c r="Z320" i="114"/>
  <c r="Z332" i="115" s="1"/>
  <c r="Z321" i="114"/>
  <c r="Z333" i="115" s="1"/>
  <c r="Z322" i="114"/>
  <c r="Z334" i="115" s="1"/>
  <c r="Z323" i="114"/>
  <c r="Z335" i="115" s="1"/>
  <c r="Z324" i="114"/>
  <c r="Z336" i="115" s="1"/>
  <c r="Z325" i="114"/>
  <c r="Z337" i="115" s="1"/>
  <c r="Z326" i="114"/>
  <c r="Z338" i="115" s="1"/>
  <c r="Z327" i="114"/>
  <c r="Z339" i="115" s="1"/>
  <c r="Z328" i="114"/>
  <c r="Z340" i="115" s="1"/>
  <c r="Z329" i="114"/>
  <c r="Z341" i="115" s="1"/>
  <c r="Z330" i="114"/>
  <c r="Z342" i="115" s="1"/>
  <c r="Z331" i="114"/>
  <c r="Z343" i="115" s="1"/>
  <c r="Z332" i="114"/>
  <c r="Z344" i="115" s="1"/>
  <c r="Z333" i="114"/>
  <c r="Z345" i="115" s="1"/>
  <c r="Z334" i="114"/>
  <c r="Z346" i="115" s="1"/>
  <c r="Z335" i="114"/>
  <c r="Z347" i="115" s="1"/>
  <c r="Z336" i="114"/>
  <c r="Z348" i="115" s="1"/>
  <c r="Z337" i="114"/>
  <c r="Z349" i="115" s="1"/>
  <c r="Z338" i="114"/>
  <c r="Z350" i="115" s="1"/>
  <c r="Z339" i="114"/>
  <c r="Z351" i="115" s="1"/>
  <c r="Z340" i="114"/>
  <c r="Z352" i="115" s="1"/>
  <c r="Z341" i="114"/>
  <c r="Z353" i="115" s="1"/>
  <c r="Z342" i="114"/>
  <c r="Z354" i="115" s="1"/>
  <c r="Z343" i="114"/>
  <c r="Z355" i="115" s="1"/>
  <c r="Z344" i="114"/>
  <c r="Z356" i="115" s="1"/>
  <c r="Z345" i="114"/>
  <c r="Z357" i="115" s="1"/>
  <c r="Z346" i="114"/>
  <c r="Z358" i="115" s="1"/>
  <c r="Z347" i="114"/>
  <c r="Z359" i="115" s="1"/>
  <c r="Z348" i="114"/>
  <c r="Z360" i="115" s="1"/>
  <c r="Z349" i="114"/>
  <c r="Z361" i="115" s="1"/>
  <c r="Z350" i="114"/>
  <c r="Z362" i="115" s="1"/>
  <c r="Z351" i="114"/>
  <c r="Z363" i="115" s="1"/>
  <c r="Z352" i="114"/>
  <c r="Z364" i="115" s="1"/>
  <c r="Z353" i="114"/>
  <c r="Z365" i="115" s="1"/>
  <c r="Z354" i="114"/>
  <c r="Z366" i="115" s="1"/>
  <c r="Z355" i="114"/>
  <c r="Z367" i="115" s="1"/>
  <c r="Z356" i="114"/>
  <c r="Z368" i="115" s="1"/>
  <c r="Z357" i="114"/>
  <c r="Z369" i="115" s="1"/>
  <c r="Z358" i="114"/>
  <c r="Z370" i="115" s="1"/>
  <c r="Z359" i="114"/>
  <c r="Z371" i="115" s="1"/>
  <c r="Z360" i="114"/>
  <c r="Z372" i="115" s="1"/>
  <c r="Z361" i="114"/>
  <c r="Z373" i="115" s="1"/>
  <c r="Z362" i="114"/>
  <c r="Z374" i="115" s="1"/>
  <c r="Z363" i="114"/>
  <c r="Z375" i="115" s="1"/>
  <c r="Z364" i="114"/>
  <c r="Z376" i="115" s="1"/>
  <c r="Z365" i="114"/>
  <c r="Z377" i="115" s="1"/>
  <c r="Z366" i="114"/>
  <c r="Z378" i="115" s="1"/>
  <c r="Z367" i="114"/>
  <c r="Z379" i="115" s="1"/>
  <c r="Z368" i="114"/>
  <c r="Z380" i="115" s="1"/>
  <c r="Z369" i="114"/>
  <c r="Z381" i="115" s="1"/>
  <c r="Z370" i="114"/>
  <c r="Z382" i="115" s="1"/>
  <c r="Z371" i="114"/>
  <c r="Z383" i="115" s="1"/>
  <c r="Z372" i="114"/>
  <c r="Z384" i="115" s="1"/>
  <c r="Z373" i="114"/>
  <c r="Z385" i="115" s="1"/>
  <c r="Z374" i="114"/>
  <c r="Z386" i="115" s="1"/>
  <c r="Z375" i="114"/>
  <c r="Z387" i="115" s="1"/>
  <c r="Z376" i="114"/>
  <c r="Z388" i="115" s="1"/>
  <c r="Z377" i="114"/>
  <c r="Z389" i="115" s="1"/>
  <c r="U320" i="114"/>
  <c r="U332" i="115" s="1"/>
  <c r="U321" i="114"/>
  <c r="U333" i="115" s="1"/>
  <c r="U322" i="114"/>
  <c r="U334" i="115" s="1"/>
  <c r="U323" i="114"/>
  <c r="U335" i="115" s="1"/>
  <c r="U324" i="114"/>
  <c r="U336" i="115" s="1"/>
  <c r="U325" i="114"/>
  <c r="U337" i="115" s="1"/>
  <c r="U326" i="114"/>
  <c r="U338" i="115" s="1"/>
  <c r="U327" i="114"/>
  <c r="U339" i="115" s="1"/>
  <c r="U328" i="114"/>
  <c r="U340" i="115" s="1"/>
  <c r="U329" i="114"/>
  <c r="U341" i="115" s="1"/>
  <c r="U330" i="114"/>
  <c r="U342" i="115" s="1"/>
  <c r="U331" i="114"/>
  <c r="U343" i="115" s="1"/>
  <c r="U332" i="114"/>
  <c r="U344" i="115" s="1"/>
  <c r="U333" i="114"/>
  <c r="U345" i="115" s="1"/>
  <c r="U334" i="114"/>
  <c r="U346" i="115" s="1"/>
  <c r="U335" i="114"/>
  <c r="U347" i="115" s="1"/>
  <c r="U336" i="114"/>
  <c r="U348" i="115" s="1"/>
  <c r="U337" i="114"/>
  <c r="U349" i="115" s="1"/>
  <c r="U338" i="114"/>
  <c r="U350" i="115" s="1"/>
  <c r="U339" i="114"/>
  <c r="U351" i="115" s="1"/>
  <c r="U340" i="114"/>
  <c r="U352" i="115" s="1"/>
  <c r="U341" i="114"/>
  <c r="U353" i="115" s="1"/>
  <c r="U342" i="114"/>
  <c r="U354" i="115" s="1"/>
  <c r="U343" i="114"/>
  <c r="U355" i="115" s="1"/>
  <c r="U344" i="114"/>
  <c r="U356" i="115" s="1"/>
  <c r="U345" i="114"/>
  <c r="U357" i="115" s="1"/>
  <c r="U346" i="114"/>
  <c r="U358" i="115" s="1"/>
  <c r="U347" i="114"/>
  <c r="U359" i="115" s="1"/>
  <c r="U348" i="114"/>
  <c r="U360" i="115" s="1"/>
  <c r="U349" i="114"/>
  <c r="U361" i="115" s="1"/>
  <c r="U350" i="114"/>
  <c r="U362" i="115" s="1"/>
  <c r="U351" i="114"/>
  <c r="U363" i="115" s="1"/>
  <c r="U352" i="114"/>
  <c r="U364" i="115" s="1"/>
  <c r="U353" i="114"/>
  <c r="U365" i="115" s="1"/>
  <c r="U354" i="114"/>
  <c r="U366" i="115" s="1"/>
  <c r="U355" i="114"/>
  <c r="U367" i="115" s="1"/>
  <c r="U356" i="114"/>
  <c r="U368" i="115" s="1"/>
  <c r="U357" i="114"/>
  <c r="U369" i="115" s="1"/>
  <c r="U358" i="114"/>
  <c r="U370" i="115" s="1"/>
  <c r="U359" i="114"/>
  <c r="U371" i="115" s="1"/>
  <c r="U360" i="114"/>
  <c r="U372" i="115" s="1"/>
  <c r="U361" i="114"/>
  <c r="U373" i="115" s="1"/>
  <c r="U362" i="114"/>
  <c r="U374" i="115" s="1"/>
  <c r="U363" i="114"/>
  <c r="U375" i="115" s="1"/>
  <c r="U364" i="114"/>
  <c r="U376" i="115" s="1"/>
  <c r="U365" i="114"/>
  <c r="U377" i="115" s="1"/>
  <c r="U366" i="114"/>
  <c r="U378" i="115" s="1"/>
  <c r="U367" i="114"/>
  <c r="U379" i="115" s="1"/>
  <c r="U368" i="114"/>
  <c r="U380" i="115" s="1"/>
  <c r="U369" i="114"/>
  <c r="U381" i="115" s="1"/>
  <c r="U370" i="114"/>
  <c r="U382" i="115" s="1"/>
  <c r="U371" i="114"/>
  <c r="U383" i="115" s="1"/>
  <c r="U372" i="114"/>
  <c r="U384" i="115" s="1"/>
  <c r="U373" i="114"/>
  <c r="U385" i="115" s="1"/>
  <c r="U374" i="114"/>
  <c r="U386" i="115" s="1"/>
  <c r="U375" i="114"/>
  <c r="U387" i="115" s="1"/>
  <c r="U376" i="114"/>
  <c r="U388" i="115" s="1"/>
  <c r="U377" i="114"/>
  <c r="U389" i="115" s="1"/>
  <c r="Z319" i="114"/>
  <c r="Z331" i="115" s="1"/>
  <c r="U319" i="114"/>
  <c r="U331" i="115" s="1"/>
  <c r="P320" i="114"/>
  <c r="P332" i="115" s="1"/>
  <c r="P321" i="114"/>
  <c r="P333" i="115" s="1"/>
  <c r="P322" i="114"/>
  <c r="P334" i="115" s="1"/>
  <c r="P323" i="114"/>
  <c r="P335" i="115" s="1"/>
  <c r="P324" i="114"/>
  <c r="P336" i="115" s="1"/>
  <c r="P325" i="114"/>
  <c r="P337" i="115" s="1"/>
  <c r="P326" i="114"/>
  <c r="P338" i="115" s="1"/>
  <c r="P327" i="114"/>
  <c r="P339" i="115" s="1"/>
  <c r="P328" i="114"/>
  <c r="P340" i="115" s="1"/>
  <c r="P329" i="114"/>
  <c r="P341" i="115" s="1"/>
  <c r="P330" i="114"/>
  <c r="P342" i="115" s="1"/>
  <c r="P331" i="114"/>
  <c r="P343" i="115" s="1"/>
  <c r="P332" i="114"/>
  <c r="P344" i="115" s="1"/>
  <c r="P333" i="114"/>
  <c r="P345" i="115" s="1"/>
  <c r="P334" i="114"/>
  <c r="P346" i="115" s="1"/>
  <c r="P335" i="114"/>
  <c r="P347" i="115" s="1"/>
  <c r="P336" i="114"/>
  <c r="P348" i="115" s="1"/>
  <c r="P337" i="114"/>
  <c r="P349" i="115" s="1"/>
  <c r="P338" i="114"/>
  <c r="P350" i="115" s="1"/>
  <c r="P339" i="114"/>
  <c r="P351" i="115" s="1"/>
  <c r="P340" i="114"/>
  <c r="P352" i="115" s="1"/>
  <c r="P341" i="114"/>
  <c r="P353" i="115" s="1"/>
  <c r="P342" i="114"/>
  <c r="P354" i="115" s="1"/>
  <c r="P343" i="114"/>
  <c r="P355" i="115" s="1"/>
  <c r="P344" i="114"/>
  <c r="P356" i="115" s="1"/>
  <c r="P345" i="114"/>
  <c r="P357" i="115" s="1"/>
  <c r="P346" i="114"/>
  <c r="P358" i="115" s="1"/>
  <c r="P347" i="114"/>
  <c r="P359" i="115" s="1"/>
  <c r="P348" i="114"/>
  <c r="P360" i="115" s="1"/>
  <c r="P349" i="114"/>
  <c r="P361" i="115" s="1"/>
  <c r="P350" i="114"/>
  <c r="P362" i="115" s="1"/>
  <c r="P351" i="114"/>
  <c r="P363" i="115" s="1"/>
  <c r="P352" i="114"/>
  <c r="P364" i="115" s="1"/>
  <c r="P353" i="114"/>
  <c r="P365" i="115" s="1"/>
  <c r="P354" i="114"/>
  <c r="P366" i="115" s="1"/>
  <c r="P355" i="114"/>
  <c r="P367" i="115" s="1"/>
  <c r="P356" i="114"/>
  <c r="P368" i="115" s="1"/>
  <c r="P357" i="114"/>
  <c r="P369" i="115" s="1"/>
  <c r="P358" i="114"/>
  <c r="P370" i="115" s="1"/>
  <c r="P359" i="114"/>
  <c r="P371" i="115" s="1"/>
  <c r="P360" i="114"/>
  <c r="P372" i="115" s="1"/>
  <c r="P361" i="114"/>
  <c r="P373" i="115" s="1"/>
  <c r="P362" i="114"/>
  <c r="P374" i="115" s="1"/>
  <c r="P363" i="114"/>
  <c r="P375" i="115" s="1"/>
  <c r="P364" i="114"/>
  <c r="P376" i="115" s="1"/>
  <c r="P365" i="114"/>
  <c r="P377" i="115" s="1"/>
  <c r="P366" i="114"/>
  <c r="P378" i="115" s="1"/>
  <c r="P367" i="114"/>
  <c r="P379" i="115" s="1"/>
  <c r="P368" i="114"/>
  <c r="P380" i="115" s="1"/>
  <c r="P369" i="114"/>
  <c r="P381" i="115" s="1"/>
  <c r="P370" i="114"/>
  <c r="P382" i="115" s="1"/>
  <c r="P371" i="114"/>
  <c r="P383" i="115" s="1"/>
  <c r="P372" i="114"/>
  <c r="P384" i="115" s="1"/>
  <c r="P373" i="114"/>
  <c r="P385" i="115" s="1"/>
  <c r="P374" i="114"/>
  <c r="P386" i="115" s="1"/>
  <c r="P375" i="114"/>
  <c r="P387" i="115" s="1"/>
  <c r="P376" i="114"/>
  <c r="P388" i="115" s="1"/>
  <c r="P377" i="114"/>
  <c r="P389" i="115" s="1"/>
  <c r="P319" i="114"/>
  <c r="P331" i="115" s="1"/>
  <c r="K320" i="114"/>
  <c r="K332" i="115" s="1"/>
  <c r="K321" i="114"/>
  <c r="K333" i="115" s="1"/>
  <c r="K322" i="114"/>
  <c r="K334" i="115" s="1"/>
  <c r="K323" i="114"/>
  <c r="K335" i="115" s="1"/>
  <c r="K324" i="114"/>
  <c r="K336" i="115" s="1"/>
  <c r="K325" i="114"/>
  <c r="K337" i="115" s="1"/>
  <c r="K326" i="114"/>
  <c r="K338" i="115" s="1"/>
  <c r="K327" i="114"/>
  <c r="K339" i="115" s="1"/>
  <c r="K328" i="114"/>
  <c r="K340" i="115" s="1"/>
  <c r="K329" i="114"/>
  <c r="K341" i="115" s="1"/>
  <c r="K330" i="114"/>
  <c r="K342" i="115" s="1"/>
  <c r="K331" i="114"/>
  <c r="K343" i="115" s="1"/>
  <c r="K332" i="114"/>
  <c r="K344" i="115" s="1"/>
  <c r="K333" i="114"/>
  <c r="K345" i="115" s="1"/>
  <c r="K334" i="114"/>
  <c r="K346" i="115" s="1"/>
  <c r="K335" i="114"/>
  <c r="K347" i="115" s="1"/>
  <c r="K336" i="114"/>
  <c r="K348" i="115" s="1"/>
  <c r="K337" i="114"/>
  <c r="K349" i="115" s="1"/>
  <c r="K338" i="114"/>
  <c r="K350" i="115" s="1"/>
  <c r="K339" i="114"/>
  <c r="K351" i="115" s="1"/>
  <c r="K340" i="114"/>
  <c r="K352" i="115" s="1"/>
  <c r="K341" i="114"/>
  <c r="K353" i="115" s="1"/>
  <c r="K342" i="114"/>
  <c r="K354" i="115" s="1"/>
  <c r="K343" i="114"/>
  <c r="K355" i="115" s="1"/>
  <c r="K344" i="114"/>
  <c r="K356" i="115" s="1"/>
  <c r="K345" i="114"/>
  <c r="K357" i="115" s="1"/>
  <c r="K346" i="114"/>
  <c r="K358" i="115" s="1"/>
  <c r="K347" i="114"/>
  <c r="K359" i="115" s="1"/>
  <c r="K348" i="114"/>
  <c r="K360" i="115" s="1"/>
  <c r="K349" i="114"/>
  <c r="K361" i="115" s="1"/>
  <c r="K350" i="114"/>
  <c r="K362" i="115" s="1"/>
  <c r="K351" i="114"/>
  <c r="K363" i="115" s="1"/>
  <c r="K352" i="114"/>
  <c r="K364" i="115" s="1"/>
  <c r="K353" i="114"/>
  <c r="K365" i="115" s="1"/>
  <c r="K354" i="114"/>
  <c r="K366" i="115" s="1"/>
  <c r="K355" i="114"/>
  <c r="K367" i="115" s="1"/>
  <c r="K356" i="114"/>
  <c r="K368" i="115" s="1"/>
  <c r="K357" i="114"/>
  <c r="K369" i="115" s="1"/>
  <c r="K358" i="114"/>
  <c r="K370" i="115" s="1"/>
  <c r="K359" i="114"/>
  <c r="K371" i="115" s="1"/>
  <c r="K360" i="114"/>
  <c r="K372" i="115" s="1"/>
  <c r="K361" i="114"/>
  <c r="K373" i="115" s="1"/>
  <c r="K362" i="114"/>
  <c r="K374" i="115" s="1"/>
  <c r="K363" i="114"/>
  <c r="K375" i="115" s="1"/>
  <c r="K364" i="114"/>
  <c r="K376" i="115" s="1"/>
  <c r="K365" i="114"/>
  <c r="K377" i="115" s="1"/>
  <c r="K366" i="114"/>
  <c r="K378" i="115" s="1"/>
  <c r="K367" i="114"/>
  <c r="K379" i="115" s="1"/>
  <c r="K368" i="114"/>
  <c r="K380" i="115" s="1"/>
  <c r="K369" i="114"/>
  <c r="K381" i="115" s="1"/>
  <c r="K370" i="114"/>
  <c r="K382" i="115" s="1"/>
  <c r="K371" i="114"/>
  <c r="K383" i="115" s="1"/>
  <c r="K372" i="114"/>
  <c r="K384" i="115" s="1"/>
  <c r="K373" i="114"/>
  <c r="K385" i="115" s="1"/>
  <c r="K374" i="114"/>
  <c r="K386" i="115" s="1"/>
  <c r="K375" i="114"/>
  <c r="K387" i="115" s="1"/>
  <c r="K376" i="114"/>
  <c r="K388" i="115" s="1"/>
  <c r="K377" i="114"/>
  <c r="K389" i="115" s="1"/>
  <c r="K319" i="114"/>
  <c r="K331" i="115" s="1"/>
  <c r="DT262" i="112" l="1" a="1"/>
  <c r="DT262" i="112" s="1"/>
  <c r="DO260" i="112" s="1"/>
  <c r="DV262" i="112" a="1"/>
  <c r="DV262" i="112" s="1"/>
  <c r="DS349" i="112"/>
  <c r="DP349" i="112"/>
  <c r="DN349" i="112"/>
  <c r="DY183" i="112"/>
  <c r="DP260" i="112" l="1"/>
  <c r="AC455" i="114" s="1"/>
  <c r="Z455" i="114"/>
  <c r="DL349" i="112"/>
  <c r="DK349" i="112"/>
  <c r="FU349" i="112"/>
  <c r="ED349" i="112"/>
  <c r="EI349" i="112"/>
  <c r="DY349" i="112"/>
  <c r="EF349" i="112"/>
  <c r="EK349" i="112"/>
  <c r="DZ349" i="112"/>
  <c r="DX349" i="112"/>
  <c r="X455" i="114" l="1"/>
  <c r="EE349" i="112"/>
  <c r="EJ349" i="112"/>
  <c r="AE253" i="112"/>
  <c r="C467" i="114" l="1"/>
  <c r="DP254" i="112"/>
  <c r="R453" i="114" s="1"/>
  <c r="DS254" i="112"/>
  <c r="R454" i="114" s="1"/>
  <c r="DR254" i="112"/>
  <c r="O454" i="114" s="1"/>
  <c r="DO254" i="112"/>
  <c r="O453" i="114" s="1"/>
  <c r="AC447" i="114"/>
  <c r="Z447" i="114"/>
  <c r="X447" i="114"/>
  <c r="AC446" i="114"/>
  <c r="Z446" i="114"/>
  <c r="X446" i="114"/>
  <c r="DQ247" i="112"/>
  <c r="U447" i="114"/>
  <c r="R447" i="114"/>
  <c r="DQ245" i="112"/>
  <c r="U446" i="114"/>
  <c r="R446" i="114"/>
  <c r="Y428" i="114"/>
  <c r="V428" i="114"/>
  <c r="AJ428" i="114"/>
  <c r="DO238" i="112"/>
  <c r="DO236" i="112"/>
  <c r="EB234" i="112" s="1"/>
  <c r="DP236" i="112"/>
  <c r="DR237" i="112"/>
  <c r="AA388" i="114"/>
  <c r="X388" i="114"/>
  <c r="U388" i="114"/>
  <c r="S388" i="114"/>
  <c r="AA387" i="114"/>
  <c r="X387" i="114"/>
  <c r="U387" i="114"/>
  <c r="S387" i="114"/>
  <c r="AA386" i="114"/>
  <c r="X386" i="114"/>
  <c r="U386" i="114"/>
  <c r="S386" i="114"/>
  <c r="AA385" i="114"/>
  <c r="X385" i="114"/>
  <c r="U385" i="114"/>
  <c r="S385" i="114"/>
  <c r="DO229" i="112"/>
  <c r="O388" i="114" s="1"/>
  <c r="AH388" i="114"/>
  <c r="AH387" i="114"/>
  <c r="DO227" i="112"/>
  <c r="O387" i="114" s="1"/>
  <c r="DO225" i="112"/>
  <c r="O386" i="114" s="1"/>
  <c r="AH386" i="114"/>
  <c r="AH385" i="114"/>
  <c r="DO223" i="112"/>
  <c r="O385" i="114" s="1"/>
  <c r="AA384" i="114"/>
  <c r="X384" i="114"/>
  <c r="U384" i="114"/>
  <c r="S384" i="114"/>
  <c r="DT209" i="112"/>
  <c r="AB280" i="114" s="1"/>
  <c r="DS209" i="112"/>
  <c r="Y280" i="114" s="1"/>
  <c r="DR209" i="112"/>
  <c r="V280" i="114" s="1"/>
  <c r="DP209" i="112"/>
  <c r="Y279" i="114" s="1"/>
  <c r="V279" i="114"/>
  <c r="AK278" i="114"/>
  <c r="DP187" i="112"/>
  <c r="AA274" i="114" s="1"/>
  <c r="U274" i="114"/>
  <c r="DP193" i="112"/>
  <c r="AA278" i="114" s="1"/>
  <c r="U278" i="114"/>
  <c r="AH277" i="114"/>
  <c r="AC277" i="114"/>
  <c r="Z277" i="114"/>
  <c r="W277" i="114"/>
  <c r="U277" i="114"/>
  <c r="DS189" i="112"/>
  <c r="S276" i="114" s="1"/>
  <c r="DR189" i="112"/>
  <c r="P276" i="114" s="1"/>
  <c r="DP189" i="112"/>
  <c r="U275" i="114" s="1"/>
  <c r="DO189" i="112"/>
  <c r="R275" i="114" s="1"/>
  <c r="AK274" i="114"/>
  <c r="AH273" i="114"/>
  <c r="AC273" i="114"/>
  <c r="Z273" i="114"/>
  <c r="W273" i="114"/>
  <c r="U273" i="114"/>
  <c r="DU183" i="112"/>
  <c r="DT183" i="112"/>
  <c r="DX183" i="112"/>
  <c r="DW183" i="112"/>
  <c r="DV183" i="112"/>
  <c r="DS183" i="112"/>
  <c r="DR183" i="112"/>
  <c r="DP183" i="112"/>
  <c r="S272" i="114" s="1"/>
  <c r="D202" i="135" l="1"/>
  <c r="E202" i="135" s="1"/>
  <c r="F202" i="135" s="1"/>
  <c r="G202" i="135" s="1"/>
  <c r="D56" i="139"/>
  <c r="E56" i="139" s="1"/>
  <c r="F56" i="139" s="1"/>
  <c r="G56" i="139" s="1"/>
  <c r="AM447" i="114"/>
  <c r="EJ246" i="112"/>
  <c r="AM446" i="114"/>
  <c r="EB246" i="112"/>
  <c r="Q428" i="114"/>
  <c r="EB237" i="112"/>
  <c r="T428" i="114"/>
  <c r="EB235" i="112"/>
  <c r="EE235" i="112"/>
  <c r="AC425" i="114"/>
  <c r="EE234" i="112"/>
  <c r="Q426" i="114"/>
  <c r="AC426" i="114"/>
  <c r="D207" i="135" l="1"/>
  <c r="E207" i="135" s="1"/>
  <c r="F207" i="135" s="1"/>
  <c r="G207" i="135" s="1"/>
  <c r="D61" i="139"/>
  <c r="E61" i="139" s="1"/>
  <c r="F61" i="139" s="1"/>
  <c r="G61" i="139" s="1"/>
  <c r="D214" i="135"/>
  <c r="E214" i="135" s="1"/>
  <c r="F214" i="135" s="1"/>
  <c r="G214" i="135" s="1"/>
  <c r="D68" i="139"/>
  <c r="E68" i="139" s="1"/>
  <c r="F68" i="139" s="1"/>
  <c r="G68" i="139" s="1"/>
  <c r="D205" i="135"/>
  <c r="E205" i="135" s="1"/>
  <c r="F205" i="135" s="1"/>
  <c r="G205" i="135" s="1"/>
  <c r="D59" i="139"/>
  <c r="E59" i="139" s="1"/>
  <c r="F59" i="139" s="1"/>
  <c r="G59" i="139" s="1"/>
  <c r="D220" i="135"/>
  <c r="E220" i="135" s="1"/>
  <c r="F220" i="135" s="1"/>
  <c r="G220" i="135" s="1"/>
  <c r="D74" i="139"/>
  <c r="E74" i="139" s="1"/>
  <c r="F74" i="139" s="1"/>
  <c r="G74" i="139" s="1"/>
  <c r="D206" i="135"/>
  <c r="E206" i="135" s="1"/>
  <c r="F206" i="135" s="1"/>
  <c r="G206" i="135" s="1"/>
  <c r="D60" i="139"/>
  <c r="E60" i="139" s="1"/>
  <c r="F60" i="139" s="1"/>
  <c r="G60" i="139" s="1"/>
  <c r="D203" i="135"/>
  <c r="E203" i="135" s="1"/>
  <c r="F203" i="135" s="1"/>
  <c r="G203" i="135" s="1"/>
  <c r="D57" i="139"/>
  <c r="E57" i="139" s="1"/>
  <c r="F57" i="139" s="1"/>
  <c r="G57" i="139" s="1"/>
  <c r="EE237" i="112"/>
  <c r="EF237" i="112"/>
  <c r="EG237" i="112"/>
  <c r="DP319" i="112"/>
  <c r="S259" i="114"/>
  <c r="S258" i="114"/>
  <c r="S257" i="114"/>
  <c r="P259" i="114"/>
  <c r="P258" i="114"/>
  <c r="P257" i="114"/>
  <c r="S256" i="114"/>
  <c r="P256" i="114"/>
  <c r="M259" i="114"/>
  <c r="K259" i="114"/>
  <c r="M257" i="114"/>
  <c r="M258" i="114"/>
  <c r="K258" i="114"/>
  <c r="K257" i="114"/>
  <c r="M256" i="114"/>
  <c r="K256" i="114"/>
  <c r="DT153" i="112"/>
  <c r="O250" i="114" s="1"/>
  <c r="DS153" i="112"/>
  <c r="O249" i="114" s="1"/>
  <c r="DR153" i="112"/>
  <c r="AF248" i="114" s="1"/>
  <c r="DQ153" i="112"/>
  <c r="O248" i="114" s="1"/>
  <c r="DP153" i="112"/>
  <c r="AF247" i="114" s="1"/>
  <c r="DO153" i="112"/>
  <c r="O247" i="114" s="1"/>
  <c r="O205" i="114"/>
  <c r="O204" i="114"/>
  <c r="Z203" i="114"/>
  <c r="R203" i="114"/>
  <c r="AF202" i="114"/>
  <c r="DP140" i="112"/>
  <c r="AA201" i="114" s="1"/>
  <c r="DQ140" i="112"/>
  <c r="O202" i="114" s="1"/>
  <c r="DR140" i="112"/>
  <c r="AA202" i="114" s="1"/>
  <c r="O201" i="114"/>
  <c r="DP128" i="112"/>
  <c r="V192" i="114" s="1"/>
  <c r="DQ128" i="112"/>
  <c r="AI193" i="114"/>
  <c r="O192" i="114"/>
  <c r="D211" i="135" l="1"/>
  <c r="E211" i="135" s="1"/>
  <c r="F211" i="135" s="1"/>
  <c r="G211" i="135" s="1"/>
  <c r="D65" i="139"/>
  <c r="E65" i="139" s="1"/>
  <c r="F65" i="139" s="1"/>
  <c r="G65" i="139" s="1"/>
  <c r="D210" i="135"/>
  <c r="E210" i="135" s="1"/>
  <c r="F210" i="135" s="1"/>
  <c r="G210" i="135" s="1"/>
  <c r="D64" i="139"/>
  <c r="E64" i="139" s="1"/>
  <c r="F64" i="139" s="1"/>
  <c r="G64" i="139" s="1"/>
  <c r="D209" i="135"/>
  <c r="E209" i="135" s="1"/>
  <c r="F209" i="135" s="1"/>
  <c r="G209" i="135" s="1"/>
  <c r="D63" i="139"/>
  <c r="E63" i="139" s="1"/>
  <c r="F63" i="139" s="1"/>
  <c r="G63" i="139" s="1"/>
  <c r="T193" i="114"/>
  <c r="O193" i="114"/>
  <c r="O83" i="114" l="1"/>
  <c r="AQ16" i="114"/>
  <c r="AN16" i="114"/>
  <c r="AK16" i="114"/>
  <c r="O31" i="115" l="1"/>
  <c r="P314" i="114"/>
  <c r="P326" i="115" s="1"/>
  <c r="U314" i="114"/>
  <c r="U326" i="115" s="1"/>
  <c r="Z314" i="114"/>
  <c r="Z326" i="115" s="1"/>
  <c r="AE314" i="114"/>
  <c r="AE326" i="115" s="1"/>
  <c r="AJ314" i="114"/>
  <c r="AJ326" i="115" s="1"/>
  <c r="AO314" i="114"/>
  <c r="AO326" i="115" s="1"/>
  <c r="AO312" i="114"/>
  <c r="AO324" i="115" s="1"/>
  <c r="AJ312" i="114"/>
  <c r="AJ324" i="115" s="1"/>
  <c r="AE312" i="114"/>
  <c r="AE324" i="115" s="1"/>
  <c r="Z312" i="114"/>
  <c r="Z324" i="115" s="1"/>
  <c r="U312" i="114"/>
  <c r="U324" i="115" s="1"/>
  <c r="P312" i="114"/>
  <c r="P324" i="115" s="1"/>
  <c r="E14" i="37"/>
  <c r="E63" i="37"/>
  <c r="E64" i="37"/>
  <c r="E65" i="37"/>
  <c r="E66" i="37"/>
  <c r="E67" i="37"/>
  <c r="E68" i="37"/>
  <c r="E69" i="37"/>
  <c r="E70" i="37"/>
  <c r="E71" i="37"/>
  <c r="E72" i="37"/>
  <c r="F377" i="114" l="1"/>
  <c r="F389" i="115" s="1"/>
  <c r="AE72" i="37"/>
  <c r="F369" i="114"/>
  <c r="F381" i="115" s="1"/>
  <c r="AE64" i="37"/>
  <c r="F376" i="114"/>
  <c r="F388" i="115" s="1"/>
  <c r="AE71" i="37"/>
  <c r="F368" i="114"/>
  <c r="F380" i="115" s="1"/>
  <c r="AE63" i="37"/>
  <c r="F375" i="114"/>
  <c r="F387" i="115" s="1"/>
  <c r="AE70" i="37"/>
  <c r="F319" i="114"/>
  <c r="F331" i="115" s="1"/>
  <c r="AE14" i="37"/>
  <c r="F374" i="114"/>
  <c r="F386" i="115" s="1"/>
  <c r="AE69" i="37"/>
  <c r="F371" i="114"/>
  <c r="F383" i="115" s="1"/>
  <c r="AE66" i="37"/>
  <c r="F373" i="114"/>
  <c r="F385" i="115" s="1"/>
  <c r="AE68" i="37"/>
  <c r="F372" i="114"/>
  <c r="F384" i="115" s="1"/>
  <c r="AE67" i="37"/>
  <c r="F370" i="114"/>
  <c r="F382" i="115" s="1"/>
  <c r="AE65" i="37"/>
  <c r="K318" i="114"/>
  <c r="K330" i="115" s="1"/>
  <c r="AO318" i="114"/>
  <c r="AO330" i="115" s="1"/>
  <c r="AJ318" i="114"/>
  <c r="AJ330" i="115" s="1"/>
  <c r="AE318" i="114"/>
  <c r="AE330" i="115" s="1"/>
  <c r="Z318" i="114"/>
  <c r="Z330" i="115" s="1"/>
  <c r="U318" i="114"/>
  <c r="U330" i="115" s="1"/>
  <c r="P318" i="114"/>
  <c r="P330" i="115" s="1"/>
  <c r="E13" i="37"/>
  <c r="D98" i="139" l="1"/>
  <c r="E98" i="139" s="1"/>
  <c r="F98" i="139" s="1"/>
  <c r="G98" i="139" s="1"/>
  <c r="D102" i="139"/>
  <c r="E102" i="139" s="1"/>
  <c r="F102" i="139" s="1"/>
  <c r="G102" i="139" s="1"/>
  <c r="D306" i="135"/>
  <c r="E306" i="135" s="1"/>
  <c r="F306" i="135" s="1"/>
  <c r="G306" i="135" s="1"/>
  <c r="D742" i="135"/>
  <c r="E742" i="135" s="1"/>
  <c r="F742" i="135" s="1"/>
  <c r="G742" i="135" s="1"/>
  <c r="AE13" i="37"/>
  <c r="F318" i="114"/>
  <c r="F330" i="115" s="1"/>
  <c r="O206" i="114"/>
  <c r="DR524" i="112" l="1"/>
  <c r="DR525" i="112"/>
  <c r="DR526" i="112"/>
  <c r="DR527" i="112"/>
  <c r="DR528" i="112"/>
  <c r="E168" i="121" s="1"/>
  <c r="DR521" i="112"/>
  <c r="E167" i="121" s="1"/>
  <c r="DX524" i="112" l="1"/>
  <c r="FU524" i="112"/>
  <c r="DX521" i="112"/>
  <c r="FU521" i="112"/>
  <c r="DX528" i="112"/>
  <c r="FU528" i="112"/>
  <c r="DX527" i="112"/>
  <c r="FU527" i="112"/>
  <c r="DX526" i="112"/>
  <c r="FU526" i="112"/>
  <c r="DX525" i="112"/>
  <c r="FU525" i="112"/>
  <c r="DS501" i="112"/>
  <c r="DK501" i="112" l="1"/>
  <c r="FQ501" i="112" s="1"/>
  <c r="FR501" i="112" s="1"/>
  <c r="DL501" i="112"/>
  <c r="AH228" i="112"/>
  <c r="AH226" i="112"/>
  <c r="AH224" i="112"/>
  <c r="EA501" i="112" l="1"/>
  <c r="FT501" i="112"/>
  <c r="EB501" i="112"/>
  <c r="EC501" i="112" s="1"/>
  <c r="DZ320" i="112"/>
  <c r="DN387" i="112"/>
  <c r="DP387" i="112"/>
  <c r="DR387" i="112"/>
  <c r="DS387" i="112"/>
  <c r="DN388" i="112"/>
  <c r="DP388" i="112"/>
  <c r="DS388" i="112"/>
  <c r="DN389" i="112"/>
  <c r="DP389" i="112"/>
  <c r="DS389" i="112"/>
  <c r="DN390" i="112"/>
  <c r="DP390" i="112"/>
  <c r="DS390" i="112"/>
  <c r="DN391" i="112"/>
  <c r="DP391" i="112"/>
  <c r="DS391" i="112"/>
  <c r="DN393" i="112"/>
  <c r="DP393" i="112"/>
  <c r="DS393" i="112"/>
  <c r="DN394" i="112"/>
  <c r="DP394" i="112"/>
  <c r="DS394" i="112"/>
  <c r="DN395" i="112"/>
  <c r="DP395" i="112"/>
  <c r="DS395" i="112"/>
  <c r="DN396" i="112"/>
  <c r="DP396" i="112"/>
  <c r="DR396" i="112"/>
  <c r="DS396" i="112"/>
  <c r="DN397" i="112"/>
  <c r="DP397" i="112"/>
  <c r="DR397" i="112"/>
  <c r="DS397" i="112"/>
  <c r="DN398" i="112"/>
  <c r="DP398" i="112"/>
  <c r="DR398" i="112"/>
  <c r="DS398" i="112"/>
  <c r="DN399" i="112"/>
  <c r="DP399" i="112"/>
  <c r="DS399" i="112"/>
  <c r="DN400" i="112"/>
  <c r="DP400" i="112"/>
  <c r="DS400" i="112"/>
  <c r="DN401" i="112"/>
  <c r="DP401" i="112"/>
  <c r="DR401" i="112"/>
  <c r="DS401" i="112"/>
  <c r="DN402" i="112"/>
  <c r="DP402" i="112"/>
  <c r="DS402" i="112"/>
  <c r="DN403" i="112"/>
  <c r="DP403" i="112"/>
  <c r="DS403" i="112"/>
  <c r="DN404" i="112"/>
  <c r="DP404" i="112"/>
  <c r="DR404" i="112"/>
  <c r="DS404" i="112"/>
  <c r="DN405" i="112"/>
  <c r="DP405" i="112"/>
  <c r="DS405" i="112"/>
  <c r="DN406" i="112"/>
  <c r="DP406" i="112"/>
  <c r="DR406" i="112"/>
  <c r="DS406" i="112"/>
  <c r="DN407" i="112"/>
  <c r="DP407" i="112"/>
  <c r="DR407" i="112"/>
  <c r="DS407" i="112"/>
  <c r="DN408" i="112"/>
  <c r="DP408" i="112"/>
  <c r="DR408" i="112"/>
  <c r="DS408" i="112"/>
  <c r="DN409" i="112"/>
  <c r="DP409" i="112"/>
  <c r="DR409" i="112"/>
  <c r="DS409" i="112"/>
  <c r="DN410" i="112"/>
  <c r="DP410" i="112"/>
  <c r="DR410" i="112"/>
  <c r="DS410" i="112"/>
  <c r="DN411" i="112"/>
  <c r="DP411" i="112"/>
  <c r="DR411" i="112"/>
  <c r="DS411" i="112"/>
  <c r="DN412" i="112"/>
  <c r="DP412" i="112"/>
  <c r="DR412" i="112"/>
  <c r="DS412" i="112"/>
  <c r="DN413" i="112"/>
  <c r="DP413" i="112"/>
  <c r="DR413" i="112"/>
  <c r="DS413" i="112"/>
  <c r="DN414" i="112"/>
  <c r="DP414" i="112"/>
  <c r="DR414" i="112"/>
  <c r="DS414" i="112"/>
  <c r="EB414" i="112" s="1"/>
  <c r="EC414" i="112" s="1"/>
  <c r="DN419" i="112"/>
  <c r="DP419" i="112"/>
  <c r="DR419" i="112"/>
  <c r="DS419" i="112"/>
  <c r="DN421" i="112"/>
  <c r="DP421" i="112"/>
  <c r="DR421" i="112"/>
  <c r="DS421" i="112"/>
  <c r="DN422" i="112"/>
  <c r="DP422" i="112"/>
  <c r="DR422" i="112"/>
  <c r="DS422" i="112"/>
  <c r="DN423" i="112"/>
  <c r="DP423" i="112"/>
  <c r="DR423" i="112"/>
  <c r="P523" i="112" s="1"/>
  <c r="DR523" i="112" s="1"/>
  <c r="DS423" i="112"/>
  <c r="EB423" i="112" s="1"/>
  <c r="EC423" i="112" s="1"/>
  <c r="DY423" i="112"/>
  <c r="DN424" i="112"/>
  <c r="DP424" i="112"/>
  <c r="DR424" i="112"/>
  <c r="DS424" i="112"/>
  <c r="DY424" i="112"/>
  <c r="DN425" i="112"/>
  <c r="DP425" i="112"/>
  <c r="DR425" i="112"/>
  <c r="DS425" i="112"/>
  <c r="DY425" i="112"/>
  <c r="DN426" i="112"/>
  <c r="DP426" i="112"/>
  <c r="DR426" i="112"/>
  <c r="DS426" i="112"/>
  <c r="DY426" i="112"/>
  <c r="DN436" i="112"/>
  <c r="DP436" i="112"/>
  <c r="DR436" i="112"/>
  <c r="DS436" i="112"/>
  <c r="DN437" i="112"/>
  <c r="DP437" i="112"/>
  <c r="DR437" i="112"/>
  <c r="FU437" i="112" s="1"/>
  <c r="DS437" i="112"/>
  <c r="DN438" i="112"/>
  <c r="DP438" i="112"/>
  <c r="DR438" i="112"/>
  <c r="FU438" i="112" s="1"/>
  <c r="DS438" i="112"/>
  <c r="DN439" i="112"/>
  <c r="DP439" i="112"/>
  <c r="DR439" i="112"/>
  <c r="FU439" i="112" s="1"/>
  <c r="DS439" i="112"/>
  <c r="DN440" i="112"/>
  <c r="DP440" i="112"/>
  <c r="DR440" i="112"/>
  <c r="FU440" i="112" s="1"/>
  <c r="DS440" i="112"/>
  <c r="DN441" i="112"/>
  <c r="DP441" i="112"/>
  <c r="DR441" i="112"/>
  <c r="FU441" i="112" s="1"/>
  <c r="DS441" i="112"/>
  <c r="DN442" i="112"/>
  <c r="DP442" i="112"/>
  <c r="DR442" i="112"/>
  <c r="FU442" i="112" s="1"/>
  <c r="DS442" i="112"/>
  <c r="DN443" i="112"/>
  <c r="DP443" i="112"/>
  <c r="DR443" i="112"/>
  <c r="FU443" i="112" s="1"/>
  <c r="DS443" i="112"/>
  <c r="DN444" i="112"/>
  <c r="DP444" i="112"/>
  <c r="DR444" i="112"/>
  <c r="FU444" i="112" s="1"/>
  <c r="DS444" i="112"/>
  <c r="DN445" i="112"/>
  <c r="DP445" i="112"/>
  <c r="DR445" i="112"/>
  <c r="FU445" i="112" s="1"/>
  <c r="DS445" i="112"/>
  <c r="DN446" i="112"/>
  <c r="DP446" i="112"/>
  <c r="FU446" i="112"/>
  <c r="DS446" i="112"/>
  <c r="DN447" i="112"/>
  <c r="DP447" i="112"/>
  <c r="FU447" i="112"/>
  <c r="DS447" i="112"/>
  <c r="DN448" i="112"/>
  <c r="DP448" i="112"/>
  <c r="FU448" i="112"/>
  <c r="DS448" i="112"/>
  <c r="DN449" i="112"/>
  <c r="DP449" i="112"/>
  <c r="FU449" i="112"/>
  <c r="DS449" i="112"/>
  <c r="DN450" i="112"/>
  <c r="DP450" i="112"/>
  <c r="FU450" i="112"/>
  <c r="DS450" i="112"/>
  <c r="DN451" i="112"/>
  <c r="DP451" i="112"/>
  <c r="DR451" i="112"/>
  <c r="FU451" i="112" s="1"/>
  <c r="DS451" i="112"/>
  <c r="DN452" i="112"/>
  <c r="DP452" i="112"/>
  <c r="DR452" i="112"/>
  <c r="FU452" i="112" s="1"/>
  <c r="DS452" i="112"/>
  <c r="DN453" i="112"/>
  <c r="DP453" i="112"/>
  <c r="FU453" i="112"/>
  <c r="DS453" i="112"/>
  <c r="DN454" i="112"/>
  <c r="DP454" i="112"/>
  <c r="DR454" i="112"/>
  <c r="FU454" i="112" s="1"/>
  <c r="DS454" i="112"/>
  <c r="DN455" i="112"/>
  <c r="DP455" i="112"/>
  <c r="FU455" i="112"/>
  <c r="DS455" i="112"/>
  <c r="DN456" i="112"/>
  <c r="DP456" i="112"/>
  <c r="FU456" i="112"/>
  <c r="DS456" i="112"/>
  <c r="DN457" i="112"/>
  <c r="DP457" i="112"/>
  <c r="FU457" i="112"/>
  <c r="DS457" i="112"/>
  <c r="DN458" i="112"/>
  <c r="DP458" i="112"/>
  <c r="DR458" i="112"/>
  <c r="FU458" i="112" s="1"/>
  <c r="DS458" i="112"/>
  <c r="DN459" i="112"/>
  <c r="DP459" i="112"/>
  <c r="DR459" i="112"/>
  <c r="FU459" i="112" s="1"/>
  <c r="DS459" i="112"/>
  <c r="DN460" i="112"/>
  <c r="DP460" i="112"/>
  <c r="DR460" i="112"/>
  <c r="DS460" i="112"/>
  <c r="DN461" i="112"/>
  <c r="DP461" i="112"/>
  <c r="DS461" i="112"/>
  <c r="DN462" i="112"/>
  <c r="DP462" i="112"/>
  <c r="DR462" i="112"/>
  <c r="FU462" i="112" s="1"/>
  <c r="DS462" i="112"/>
  <c r="DN463" i="112"/>
  <c r="DP463" i="112"/>
  <c r="FU463" i="112"/>
  <c r="DS463" i="112"/>
  <c r="DN464" i="112"/>
  <c r="DP464" i="112"/>
  <c r="DR464" i="112"/>
  <c r="FU464" i="112" s="1"/>
  <c r="DS464" i="112"/>
  <c r="DN465" i="112"/>
  <c r="DP465" i="112"/>
  <c r="FU465" i="112"/>
  <c r="DS465" i="112"/>
  <c r="DN466" i="112"/>
  <c r="DP466" i="112"/>
  <c r="FU466" i="112"/>
  <c r="DS466" i="112"/>
  <c r="DN467" i="112"/>
  <c r="DP467" i="112"/>
  <c r="FU467" i="112"/>
  <c r="DS467" i="112"/>
  <c r="DN468" i="112"/>
  <c r="DP468" i="112"/>
  <c r="DR468" i="112"/>
  <c r="DS468" i="112"/>
  <c r="DN478" i="112"/>
  <c r="DP478" i="112"/>
  <c r="DR478" i="112"/>
  <c r="DS478" i="112"/>
  <c r="DN479" i="112"/>
  <c r="DP479" i="112"/>
  <c r="FU479" i="112"/>
  <c r="DS479" i="112"/>
  <c r="DN480" i="112"/>
  <c r="DP480" i="112"/>
  <c r="DR480" i="112"/>
  <c r="FU480" i="112" s="1"/>
  <c r="DS480" i="112"/>
  <c r="DN481" i="112"/>
  <c r="DP481" i="112"/>
  <c r="FU481" i="112"/>
  <c r="DS481" i="112"/>
  <c r="DN482" i="112"/>
  <c r="DP482" i="112"/>
  <c r="DR482" i="112"/>
  <c r="DS482" i="112"/>
  <c r="DN483" i="112"/>
  <c r="DP483" i="112"/>
  <c r="DR483" i="112"/>
  <c r="FU483" i="112" s="1"/>
  <c r="DS483" i="112"/>
  <c r="DN484" i="112"/>
  <c r="DP484" i="112"/>
  <c r="FU484" i="112"/>
  <c r="DS484" i="112"/>
  <c r="DN485" i="112"/>
  <c r="DP485" i="112"/>
  <c r="DR485" i="112"/>
  <c r="DS485" i="112"/>
  <c r="DN486" i="112"/>
  <c r="DP486" i="112"/>
  <c r="DS486" i="112"/>
  <c r="DN497" i="112"/>
  <c r="DP497" i="112"/>
  <c r="DR497" i="112"/>
  <c r="P520" i="112" s="1"/>
  <c r="DR520" i="112" s="1"/>
  <c r="DS497" i="112"/>
  <c r="DN498" i="112"/>
  <c r="DP498" i="112"/>
  <c r="DR498" i="112"/>
  <c r="DS498" i="112"/>
  <c r="DN501" i="112"/>
  <c r="DP501" i="112"/>
  <c r="AQ139" i="112"/>
  <c r="AQ131" i="112"/>
  <c r="DP515" i="112" l="1"/>
  <c r="DN515" i="112"/>
  <c r="DX520" i="112"/>
  <c r="FU520" i="112"/>
  <c r="FU468" i="112"/>
  <c r="P522" i="112"/>
  <c r="DR522" i="112" s="1"/>
  <c r="E173" i="121" s="1"/>
  <c r="FU523" i="112"/>
  <c r="DX523" i="112"/>
  <c r="E174" i="121"/>
  <c r="E177" i="121"/>
  <c r="E171" i="121"/>
  <c r="E175" i="121"/>
  <c r="E176" i="121"/>
  <c r="EG426" i="112"/>
  <c r="EH426" i="112" s="1"/>
  <c r="EB426" i="112"/>
  <c r="EC426" i="112" s="1"/>
  <c r="EG424" i="112"/>
  <c r="EH424" i="112" s="1"/>
  <c r="EB424" i="112"/>
  <c r="EC424" i="112" s="1"/>
  <c r="EG425" i="112"/>
  <c r="EH425" i="112" s="1"/>
  <c r="EB425" i="112"/>
  <c r="EC425" i="112" s="1"/>
  <c r="E169" i="121"/>
  <c r="E166" i="121"/>
  <c r="DL462" i="112"/>
  <c r="DK462" i="112"/>
  <c r="DL401" i="112"/>
  <c r="DK401" i="112"/>
  <c r="DL388" i="112"/>
  <c r="DK388" i="112"/>
  <c r="DK464" i="112"/>
  <c r="DL464" i="112"/>
  <c r="DK426" i="112"/>
  <c r="DL426" i="112"/>
  <c r="DL485" i="112"/>
  <c r="DK485" i="112"/>
  <c r="DL483" i="112"/>
  <c r="DK483" i="112"/>
  <c r="DK481" i="112"/>
  <c r="DL481" i="112"/>
  <c r="DL479" i="112"/>
  <c r="DK479" i="112"/>
  <c r="DL468" i="112"/>
  <c r="DK468" i="112"/>
  <c r="DL394" i="112"/>
  <c r="DK394" i="112"/>
  <c r="DL467" i="112"/>
  <c r="DK467" i="112"/>
  <c r="DL497" i="112"/>
  <c r="DK497" i="112"/>
  <c r="FQ497" i="112" s="1"/>
  <c r="FR497" i="112" s="1"/>
  <c r="DL424" i="112"/>
  <c r="DK424" i="112"/>
  <c r="DK403" i="112"/>
  <c r="DL403" i="112"/>
  <c r="DL398" i="112"/>
  <c r="DK398" i="112"/>
  <c r="DL396" i="112"/>
  <c r="DK396" i="112"/>
  <c r="DL390" i="112"/>
  <c r="DK390" i="112"/>
  <c r="DL460" i="112"/>
  <c r="DK460" i="112"/>
  <c r="DL459" i="112"/>
  <c r="DK459" i="112"/>
  <c r="DL457" i="112"/>
  <c r="DK457" i="112"/>
  <c r="DL454" i="112"/>
  <c r="DK454" i="112"/>
  <c r="DL452" i="112"/>
  <c r="DK452" i="112"/>
  <c r="DL450" i="112"/>
  <c r="DK450" i="112"/>
  <c r="DL448" i="112"/>
  <c r="DK448" i="112"/>
  <c r="DL446" i="112"/>
  <c r="DK446" i="112"/>
  <c r="DL444" i="112"/>
  <c r="DK444" i="112"/>
  <c r="DL442" i="112"/>
  <c r="DK442" i="112"/>
  <c r="DL440" i="112"/>
  <c r="DK440" i="112"/>
  <c r="DL438" i="112"/>
  <c r="DK438" i="112"/>
  <c r="DL436" i="112"/>
  <c r="DK436" i="112"/>
  <c r="DL422" i="112"/>
  <c r="DK422" i="112"/>
  <c r="DL419" i="112"/>
  <c r="DK419" i="112"/>
  <c r="DL413" i="112"/>
  <c r="DK413" i="112"/>
  <c r="DL411" i="112"/>
  <c r="DK411" i="112"/>
  <c r="DL409" i="112"/>
  <c r="DK409" i="112"/>
  <c r="DL407" i="112"/>
  <c r="DK407" i="112"/>
  <c r="DL405" i="112"/>
  <c r="DK405" i="112"/>
  <c r="DK387" i="112"/>
  <c r="DL387" i="112"/>
  <c r="DL463" i="112"/>
  <c r="DK463" i="112"/>
  <c r="DL400" i="112"/>
  <c r="DK400" i="112"/>
  <c r="DK393" i="112"/>
  <c r="DL393" i="112"/>
  <c r="DL466" i="112"/>
  <c r="DK466" i="112"/>
  <c r="DL484" i="112"/>
  <c r="DK484" i="112"/>
  <c r="DL482" i="112"/>
  <c r="DK482" i="112"/>
  <c r="DL480" i="112"/>
  <c r="DK480" i="112"/>
  <c r="DL478" i="112"/>
  <c r="DK478" i="112"/>
  <c r="DL425" i="112"/>
  <c r="DK425" i="112"/>
  <c r="DL402" i="112"/>
  <c r="DK402" i="112"/>
  <c r="DL389" i="112"/>
  <c r="DK389" i="112"/>
  <c r="DL498" i="112"/>
  <c r="DK498" i="112"/>
  <c r="FQ498" i="112" s="1"/>
  <c r="FR498" i="112" s="1"/>
  <c r="DL404" i="112"/>
  <c r="DK404" i="112"/>
  <c r="DK397" i="112"/>
  <c r="DL397" i="112"/>
  <c r="DL395" i="112"/>
  <c r="DK395" i="112"/>
  <c r="DL465" i="112"/>
  <c r="DK465" i="112"/>
  <c r="DL461" i="112"/>
  <c r="DK461" i="112"/>
  <c r="DL486" i="112"/>
  <c r="DK486" i="112"/>
  <c r="DL458" i="112"/>
  <c r="DK458" i="112"/>
  <c r="DL456" i="112"/>
  <c r="DK456" i="112"/>
  <c r="DL455" i="112"/>
  <c r="DK455" i="112"/>
  <c r="DL453" i="112"/>
  <c r="DK453" i="112"/>
  <c r="DK451" i="112"/>
  <c r="DL451" i="112"/>
  <c r="DL449" i="112"/>
  <c r="DK449" i="112"/>
  <c r="DK447" i="112"/>
  <c r="DL447" i="112"/>
  <c r="DL445" i="112"/>
  <c r="DK445" i="112"/>
  <c r="DL443" i="112"/>
  <c r="DK443" i="112"/>
  <c r="DL441" i="112"/>
  <c r="DK441" i="112"/>
  <c r="DL439" i="112"/>
  <c r="DK439" i="112"/>
  <c r="DL437" i="112"/>
  <c r="DK437" i="112"/>
  <c r="DL423" i="112"/>
  <c r="DK423" i="112"/>
  <c r="DL421" i="112"/>
  <c r="DK421" i="112"/>
  <c r="DL414" i="112"/>
  <c r="DK414" i="112"/>
  <c r="DK412" i="112"/>
  <c r="DL412" i="112"/>
  <c r="DL410" i="112"/>
  <c r="DK410" i="112"/>
  <c r="DL408" i="112"/>
  <c r="DK408" i="112"/>
  <c r="DL406" i="112"/>
  <c r="DK406" i="112"/>
  <c r="DK399" i="112"/>
  <c r="DL399" i="112"/>
  <c r="DL391" i="112"/>
  <c r="DK391" i="112"/>
  <c r="ED421" i="112"/>
  <c r="FU478" i="112"/>
  <c r="FU436" i="112"/>
  <c r="DP492" i="112"/>
  <c r="DM492" i="112"/>
  <c r="DN492" i="112"/>
  <c r="DP474" i="112"/>
  <c r="DP543" i="112" s="1"/>
  <c r="DP544" i="112" s="1"/>
  <c r="DN474" i="112"/>
  <c r="DN543" i="112" s="1"/>
  <c r="DY486" i="112"/>
  <c r="DY483" i="112"/>
  <c r="DY481" i="112"/>
  <c r="DY484" i="112"/>
  <c r="DY485" i="112"/>
  <c r="DY460" i="112"/>
  <c r="DY482" i="112"/>
  <c r="FU497" i="112"/>
  <c r="FU499" i="112"/>
  <c r="FU486" i="112"/>
  <c r="FU461" i="112"/>
  <c r="FU500" i="112"/>
  <c r="FU498" i="112"/>
  <c r="FU460" i="112"/>
  <c r="FU482" i="112"/>
  <c r="FU485" i="112"/>
  <c r="FU426" i="112"/>
  <c r="FS426" i="112"/>
  <c r="FU425" i="112"/>
  <c r="FS425" i="112"/>
  <c r="FU424" i="112"/>
  <c r="FS424" i="112"/>
  <c r="EI423" i="112"/>
  <c r="FU423" i="112"/>
  <c r="FS423" i="112"/>
  <c r="FU501" i="112"/>
  <c r="ED485" i="112"/>
  <c r="EI485" i="112"/>
  <c r="DY419" i="112"/>
  <c r="EI419" i="112"/>
  <c r="ED419" i="112"/>
  <c r="DY414" i="112"/>
  <c r="ED414" i="112"/>
  <c r="EI414" i="112"/>
  <c r="DY411" i="112"/>
  <c r="EI411" i="112"/>
  <c r="ED411" i="112"/>
  <c r="DY408" i="112"/>
  <c r="EI408" i="112"/>
  <c r="ED408" i="112"/>
  <c r="DY405" i="112"/>
  <c r="ED405" i="112"/>
  <c r="EI405" i="112"/>
  <c r="DY402" i="112"/>
  <c r="ED402" i="112"/>
  <c r="EI402" i="112"/>
  <c r="DY399" i="112"/>
  <c r="EI399" i="112"/>
  <c r="ED399" i="112"/>
  <c r="DY396" i="112"/>
  <c r="EI396" i="112"/>
  <c r="ED396" i="112"/>
  <c r="DY393" i="112"/>
  <c r="ED393" i="112"/>
  <c r="EI393" i="112"/>
  <c r="DY389" i="112"/>
  <c r="EI389" i="112"/>
  <c r="ED389" i="112"/>
  <c r="DY463" i="112"/>
  <c r="ED463" i="112"/>
  <c r="EI463" i="112"/>
  <c r="DY459" i="112"/>
  <c r="EI459" i="112"/>
  <c r="ED459" i="112"/>
  <c r="DY456" i="112"/>
  <c r="ED456" i="112"/>
  <c r="EI456" i="112"/>
  <c r="DY454" i="112"/>
  <c r="ED454" i="112"/>
  <c r="EI454" i="112"/>
  <c r="DY451" i="112"/>
  <c r="EI451" i="112"/>
  <c r="ED451" i="112"/>
  <c r="DY448" i="112"/>
  <c r="EI448" i="112"/>
  <c r="ED448" i="112"/>
  <c r="DY445" i="112"/>
  <c r="EI445" i="112"/>
  <c r="ED445" i="112"/>
  <c r="DY442" i="112"/>
  <c r="ED442" i="112"/>
  <c r="EI442" i="112"/>
  <c r="DY439" i="112"/>
  <c r="ED439" i="112"/>
  <c r="EI439" i="112"/>
  <c r="FU419" i="112"/>
  <c r="FU414" i="112"/>
  <c r="FU411" i="112"/>
  <c r="FU408" i="112"/>
  <c r="FU405" i="112"/>
  <c r="FU402" i="112"/>
  <c r="FU399" i="112"/>
  <c r="FU396" i="112"/>
  <c r="FU393" i="112"/>
  <c r="FU389" i="112"/>
  <c r="ED483" i="112"/>
  <c r="EI483" i="112"/>
  <c r="ED499" i="112"/>
  <c r="EI499" i="112"/>
  <c r="ED486" i="112"/>
  <c r="EI486" i="112"/>
  <c r="DY412" i="112"/>
  <c r="EI412" i="112"/>
  <c r="ED412" i="112"/>
  <c r="DY409" i="112"/>
  <c r="EI409" i="112"/>
  <c r="ED409" i="112"/>
  <c r="DY406" i="112"/>
  <c r="ED406" i="112"/>
  <c r="EI406" i="112"/>
  <c r="DY403" i="112"/>
  <c r="EI403" i="112"/>
  <c r="ED403" i="112"/>
  <c r="DY400" i="112"/>
  <c r="EI400" i="112"/>
  <c r="ED400" i="112"/>
  <c r="DY397" i="112"/>
  <c r="EI397" i="112"/>
  <c r="ED397" i="112"/>
  <c r="DY394" i="112"/>
  <c r="ED394" i="112"/>
  <c r="EI394" i="112"/>
  <c r="DY390" i="112"/>
  <c r="ED390" i="112"/>
  <c r="EI390" i="112"/>
  <c r="DY387" i="112"/>
  <c r="EI387" i="112"/>
  <c r="ED387" i="112"/>
  <c r="ED425" i="112"/>
  <c r="EI425" i="112"/>
  <c r="DY480" i="112"/>
  <c r="ED480" i="112"/>
  <c r="EI480" i="112"/>
  <c r="ED484" i="112"/>
  <c r="EI484" i="112"/>
  <c r="DY478" i="112"/>
  <c r="EI478" i="112"/>
  <c r="ED478" i="112"/>
  <c r="DY466" i="112"/>
  <c r="EI466" i="112"/>
  <c r="ED466" i="112"/>
  <c r="DY464" i="112"/>
  <c r="ED464" i="112"/>
  <c r="EI464" i="112"/>
  <c r="DY461" i="112"/>
  <c r="ED461" i="112"/>
  <c r="EI461" i="112"/>
  <c r="DY457" i="112"/>
  <c r="EI457" i="112"/>
  <c r="ED457" i="112"/>
  <c r="DY455" i="112"/>
  <c r="ED455" i="112"/>
  <c r="EI455" i="112"/>
  <c r="DY452" i="112"/>
  <c r="EI452" i="112"/>
  <c r="ED452" i="112"/>
  <c r="DY449" i="112"/>
  <c r="ED449" i="112"/>
  <c r="EI449" i="112"/>
  <c r="DY446" i="112"/>
  <c r="ED446" i="112"/>
  <c r="EI446" i="112"/>
  <c r="DY443" i="112"/>
  <c r="ED443" i="112"/>
  <c r="EI443" i="112"/>
  <c r="DY440" i="112"/>
  <c r="EI440" i="112"/>
  <c r="ED440" i="112"/>
  <c r="DY437" i="112"/>
  <c r="ED437" i="112"/>
  <c r="EI437" i="112"/>
  <c r="FU421" i="112"/>
  <c r="FU412" i="112"/>
  <c r="FU409" i="112"/>
  <c r="FU406" i="112"/>
  <c r="FU403" i="112"/>
  <c r="FU400" i="112"/>
  <c r="FU397" i="112"/>
  <c r="FU394" i="112"/>
  <c r="FU390" i="112"/>
  <c r="FU387" i="112"/>
  <c r="EI500" i="112"/>
  <c r="ED500" i="112"/>
  <c r="DY497" i="112"/>
  <c r="EI497" i="112"/>
  <c r="ED497" i="112"/>
  <c r="EI481" i="112"/>
  <c r="ED481" i="112"/>
  <c r="DY468" i="112"/>
  <c r="EI468" i="112"/>
  <c r="ED468" i="112"/>
  <c r="DY413" i="112"/>
  <c r="EI413" i="112"/>
  <c r="ED413" i="112"/>
  <c r="DY410" i="112"/>
  <c r="ED410" i="112"/>
  <c r="EI410" i="112"/>
  <c r="DY407" i="112"/>
  <c r="EI407" i="112"/>
  <c r="ED407" i="112"/>
  <c r="DY404" i="112"/>
  <c r="EI404" i="112"/>
  <c r="ED404" i="112"/>
  <c r="DY401" i="112"/>
  <c r="EI401" i="112"/>
  <c r="ED401" i="112"/>
  <c r="DY398" i="112"/>
  <c r="EI398" i="112"/>
  <c r="ED398" i="112"/>
  <c r="DY395" i="112"/>
  <c r="EI395" i="112"/>
  <c r="ED395" i="112"/>
  <c r="DY391" i="112"/>
  <c r="EI391" i="112"/>
  <c r="ED391" i="112"/>
  <c r="DY388" i="112"/>
  <c r="EI388" i="112"/>
  <c r="ED388" i="112"/>
  <c r="EI426" i="112"/>
  <c r="ED426" i="112"/>
  <c r="DY422" i="112"/>
  <c r="EI422" i="112"/>
  <c r="ED422" i="112"/>
  <c r="DY479" i="112"/>
  <c r="ED479" i="112"/>
  <c r="EI479" i="112"/>
  <c r="DY467" i="112"/>
  <c r="ED467" i="112"/>
  <c r="EI467" i="112"/>
  <c r="DY465" i="112"/>
  <c r="ED465" i="112"/>
  <c r="EI465" i="112"/>
  <c r="DY462" i="112"/>
  <c r="EI462" i="112"/>
  <c r="ED462" i="112"/>
  <c r="ED460" i="112"/>
  <c r="EI460" i="112"/>
  <c r="DY458" i="112"/>
  <c r="ED458" i="112"/>
  <c r="EI458" i="112"/>
  <c r="DY453" i="112"/>
  <c r="EI453" i="112"/>
  <c r="ED453" i="112"/>
  <c r="DY450" i="112"/>
  <c r="EI450" i="112"/>
  <c r="ED450" i="112"/>
  <c r="DY447" i="112"/>
  <c r="ED447" i="112"/>
  <c r="EI447" i="112"/>
  <c r="DY444" i="112"/>
  <c r="ED444" i="112"/>
  <c r="EI444" i="112"/>
  <c r="DY441" i="112"/>
  <c r="EI441" i="112"/>
  <c r="ED441" i="112"/>
  <c r="DY438" i="112"/>
  <c r="EI438" i="112"/>
  <c r="ED438" i="112"/>
  <c r="FU413" i="112"/>
  <c r="FU410" i="112"/>
  <c r="FU407" i="112"/>
  <c r="FU404" i="112"/>
  <c r="FU401" i="112"/>
  <c r="FU398" i="112"/>
  <c r="FU395" i="112"/>
  <c r="FU391" i="112"/>
  <c r="FU388" i="112"/>
  <c r="DY498" i="112"/>
  <c r="ED498" i="112"/>
  <c r="EI498" i="112"/>
  <c r="EI482" i="112"/>
  <c r="FU422" i="112"/>
  <c r="EI424" i="112"/>
  <c r="ED424" i="112"/>
  <c r="ED423" i="112"/>
  <c r="ED436" i="112"/>
  <c r="DY501" i="112"/>
  <c r="EI501" i="112"/>
  <c r="ED501" i="112"/>
  <c r="ED482" i="112"/>
  <c r="EK426" i="112"/>
  <c r="EK424" i="112"/>
  <c r="EK422" i="112"/>
  <c r="EF422" i="112"/>
  <c r="EK499" i="112"/>
  <c r="EF499" i="112"/>
  <c r="EK497" i="112"/>
  <c r="EF497" i="112"/>
  <c r="EF515" i="112" s="1"/>
  <c r="EK485" i="112"/>
  <c r="EF485" i="112"/>
  <c r="EK483" i="112"/>
  <c r="EF483" i="112"/>
  <c r="EK481" i="112"/>
  <c r="EF481" i="112"/>
  <c r="EK479" i="112"/>
  <c r="EF479" i="112"/>
  <c r="EK468" i="112"/>
  <c r="EF468" i="112"/>
  <c r="EK467" i="112"/>
  <c r="EF467" i="112"/>
  <c r="EF464" i="112"/>
  <c r="EK464" i="112"/>
  <c r="EK462" i="112"/>
  <c r="EF462" i="112"/>
  <c r="EF458" i="112"/>
  <c r="EK458" i="112"/>
  <c r="EF456" i="112"/>
  <c r="EK456" i="112"/>
  <c r="EK455" i="112"/>
  <c r="EF455" i="112"/>
  <c r="EF453" i="112"/>
  <c r="EK453" i="112"/>
  <c r="EF451" i="112"/>
  <c r="EK451" i="112"/>
  <c r="EK449" i="112"/>
  <c r="EF449" i="112"/>
  <c r="EF447" i="112"/>
  <c r="EK447" i="112"/>
  <c r="EF445" i="112"/>
  <c r="EK445" i="112"/>
  <c r="EF443" i="112"/>
  <c r="EK443" i="112"/>
  <c r="EK441" i="112"/>
  <c r="EF441" i="112"/>
  <c r="EK439" i="112"/>
  <c r="EF439" i="112"/>
  <c r="EF437" i="112"/>
  <c r="EK437" i="112"/>
  <c r="EK501" i="112"/>
  <c r="EF501" i="112"/>
  <c r="EK414" i="112"/>
  <c r="EF414" i="112"/>
  <c r="EF412" i="112"/>
  <c r="EK412" i="112"/>
  <c r="EF410" i="112"/>
  <c r="EK410" i="112"/>
  <c r="EF408" i="112"/>
  <c r="EK408" i="112"/>
  <c r="EK406" i="112"/>
  <c r="EF406" i="112"/>
  <c r="EK404" i="112"/>
  <c r="EF404" i="112"/>
  <c r="EF402" i="112"/>
  <c r="EK402" i="112"/>
  <c r="EK400" i="112"/>
  <c r="EF400" i="112"/>
  <c r="EF398" i="112"/>
  <c r="EK398" i="112"/>
  <c r="EF396" i="112"/>
  <c r="EK396" i="112"/>
  <c r="EF394" i="112"/>
  <c r="EK394" i="112"/>
  <c r="EF391" i="112"/>
  <c r="EK391" i="112"/>
  <c r="EK389" i="112"/>
  <c r="EF389" i="112"/>
  <c r="EF387" i="112"/>
  <c r="EK387" i="112"/>
  <c r="EK425" i="112"/>
  <c r="EK423" i="112"/>
  <c r="EK421" i="112"/>
  <c r="EF421" i="112"/>
  <c r="EK500" i="112"/>
  <c r="EF500" i="112"/>
  <c r="EK498" i="112"/>
  <c r="EF498" i="112"/>
  <c r="EF486" i="112"/>
  <c r="EK486" i="112"/>
  <c r="EF484" i="112"/>
  <c r="EK484" i="112"/>
  <c r="EF482" i="112"/>
  <c r="EK482" i="112"/>
  <c r="EF480" i="112"/>
  <c r="EK480" i="112"/>
  <c r="EK478" i="112"/>
  <c r="EF478" i="112"/>
  <c r="EF466" i="112"/>
  <c r="EK466" i="112"/>
  <c r="EK465" i="112"/>
  <c r="EF465" i="112"/>
  <c r="EK463" i="112"/>
  <c r="EF463" i="112"/>
  <c r="EF461" i="112"/>
  <c r="EK461" i="112"/>
  <c r="EF460" i="112"/>
  <c r="EK460" i="112"/>
  <c r="EK459" i="112"/>
  <c r="EF459" i="112"/>
  <c r="EK457" i="112"/>
  <c r="EF457" i="112"/>
  <c r="EK454" i="112"/>
  <c r="EF454" i="112"/>
  <c r="EK452" i="112"/>
  <c r="EF452" i="112"/>
  <c r="EK450" i="112"/>
  <c r="EF450" i="112"/>
  <c r="EK448" i="112"/>
  <c r="EF448" i="112"/>
  <c r="EF446" i="112"/>
  <c r="EK446" i="112"/>
  <c r="EF444" i="112"/>
  <c r="EK444" i="112"/>
  <c r="EF442" i="112"/>
  <c r="EK442" i="112"/>
  <c r="EF440" i="112"/>
  <c r="EK440" i="112"/>
  <c r="EF438" i="112"/>
  <c r="EK438" i="112"/>
  <c r="EF436" i="112"/>
  <c r="EK436" i="112"/>
  <c r="EF419" i="112"/>
  <c r="EK419" i="112"/>
  <c r="EF413" i="112"/>
  <c r="EK413" i="112"/>
  <c r="EK411" i="112"/>
  <c r="EF411" i="112"/>
  <c r="EF409" i="112"/>
  <c r="EK409" i="112"/>
  <c r="EF407" i="112"/>
  <c r="EK407" i="112"/>
  <c r="EK405" i="112"/>
  <c r="EF405" i="112"/>
  <c r="EF403" i="112"/>
  <c r="EK403" i="112"/>
  <c r="EF401" i="112"/>
  <c r="EK401" i="112"/>
  <c r="EF399" i="112"/>
  <c r="EK399" i="112"/>
  <c r="EF397" i="112"/>
  <c r="EK397" i="112"/>
  <c r="EK395" i="112"/>
  <c r="EF395" i="112"/>
  <c r="EF393" i="112"/>
  <c r="EK393" i="112"/>
  <c r="EK390" i="112"/>
  <c r="EF390" i="112"/>
  <c r="EK388" i="112"/>
  <c r="EF388" i="112"/>
  <c r="DZ423" i="112"/>
  <c r="EF426" i="112"/>
  <c r="EF424" i="112"/>
  <c r="EF425" i="112"/>
  <c r="EF423" i="112"/>
  <c r="DZ424" i="112"/>
  <c r="DZ425" i="112"/>
  <c r="DZ484" i="112"/>
  <c r="DZ498" i="112"/>
  <c r="DZ482" i="112"/>
  <c r="DZ467" i="112"/>
  <c r="DZ465" i="112"/>
  <c r="DZ462" i="112"/>
  <c r="DZ460" i="112"/>
  <c r="DZ458" i="112"/>
  <c r="DZ453" i="112"/>
  <c r="DZ450" i="112"/>
  <c r="DZ447" i="112"/>
  <c r="DZ444" i="112"/>
  <c r="DZ441" i="112"/>
  <c r="DZ438" i="112"/>
  <c r="DZ426" i="112"/>
  <c r="DZ422" i="112"/>
  <c r="DZ419" i="112"/>
  <c r="DZ414" i="112"/>
  <c r="DZ411" i="112"/>
  <c r="DZ408" i="112"/>
  <c r="DZ405" i="112"/>
  <c r="DZ402" i="112"/>
  <c r="DZ399" i="112"/>
  <c r="DZ396" i="112"/>
  <c r="DZ393" i="112"/>
  <c r="DZ390" i="112"/>
  <c r="DZ387" i="112"/>
  <c r="DZ485" i="112"/>
  <c r="DZ479" i="112"/>
  <c r="DZ501" i="112"/>
  <c r="DZ497" i="112"/>
  <c r="DZ486" i="112"/>
  <c r="DZ463" i="112"/>
  <c r="DZ459" i="112"/>
  <c r="DZ456" i="112"/>
  <c r="DZ454" i="112"/>
  <c r="DZ451" i="112"/>
  <c r="DZ448" i="112"/>
  <c r="DZ445" i="112"/>
  <c r="DZ442" i="112"/>
  <c r="DZ439" i="112"/>
  <c r="DZ436" i="112"/>
  <c r="DZ412" i="112"/>
  <c r="DZ409" i="112"/>
  <c r="DZ406" i="112"/>
  <c r="DZ403" i="112"/>
  <c r="DZ400" i="112"/>
  <c r="DZ397" i="112"/>
  <c r="DZ394" i="112"/>
  <c r="DZ391" i="112"/>
  <c r="DZ388" i="112"/>
  <c r="DZ480" i="112"/>
  <c r="DZ481" i="112"/>
  <c r="DZ483" i="112"/>
  <c r="DZ478" i="112"/>
  <c r="DZ468" i="112"/>
  <c r="DZ466" i="112"/>
  <c r="DZ464" i="112"/>
  <c r="DZ461" i="112"/>
  <c r="DZ457" i="112"/>
  <c r="DZ455" i="112"/>
  <c r="DZ452" i="112"/>
  <c r="DZ449" i="112"/>
  <c r="DZ446" i="112"/>
  <c r="DZ443" i="112"/>
  <c r="DZ440" i="112"/>
  <c r="DZ437" i="112"/>
  <c r="DZ421" i="112"/>
  <c r="DZ413" i="112"/>
  <c r="DZ410" i="112"/>
  <c r="DZ407" i="112"/>
  <c r="DZ404" i="112"/>
  <c r="DZ401" i="112"/>
  <c r="DZ398" i="112"/>
  <c r="DZ395" i="112"/>
  <c r="DZ389" i="112"/>
  <c r="DV436" i="112"/>
  <c r="DV497" i="112"/>
  <c r="DV478" i="112"/>
  <c r="DX486" i="112"/>
  <c r="DX484" i="112"/>
  <c r="DX466" i="112"/>
  <c r="DX464" i="112"/>
  <c r="DX461" i="112"/>
  <c r="DX457" i="112"/>
  <c r="DX455" i="112"/>
  <c r="DX452" i="112"/>
  <c r="DX449" i="112"/>
  <c r="DX446" i="112"/>
  <c r="DX443" i="112"/>
  <c r="DX440" i="112"/>
  <c r="DX421" i="112"/>
  <c r="DX413" i="112"/>
  <c r="DX410" i="112"/>
  <c r="DX407" i="112"/>
  <c r="DX404" i="112"/>
  <c r="DX401" i="112"/>
  <c r="DX398" i="112"/>
  <c r="DX395" i="112"/>
  <c r="DX389" i="112"/>
  <c r="DX481" i="112"/>
  <c r="DX468" i="112"/>
  <c r="DX485" i="112"/>
  <c r="DX467" i="112"/>
  <c r="DX465" i="112"/>
  <c r="DX462" i="112"/>
  <c r="DX460" i="112"/>
  <c r="DX458" i="112"/>
  <c r="DX453" i="112"/>
  <c r="DX450" i="112"/>
  <c r="DX447" i="112"/>
  <c r="DX444" i="112"/>
  <c r="DX441" i="112"/>
  <c r="DX438" i="112"/>
  <c r="DX422" i="112"/>
  <c r="DX419" i="112"/>
  <c r="DX414" i="112"/>
  <c r="DX411" i="112"/>
  <c r="DX408" i="112"/>
  <c r="DX405" i="112"/>
  <c r="DX402" i="112"/>
  <c r="DX399" i="112"/>
  <c r="DX396" i="112"/>
  <c r="DX393" i="112"/>
  <c r="DX390" i="112"/>
  <c r="DX387" i="112"/>
  <c r="DX482" i="112"/>
  <c r="DX501" i="112"/>
  <c r="DX463" i="112"/>
  <c r="DX459" i="112"/>
  <c r="DX456" i="112"/>
  <c r="DX454" i="112"/>
  <c r="DX451" i="112"/>
  <c r="DX448" i="112"/>
  <c r="DX445" i="112"/>
  <c r="DX442" i="112"/>
  <c r="DX439" i="112"/>
  <c r="DX412" i="112"/>
  <c r="DX409" i="112"/>
  <c r="DX406" i="112"/>
  <c r="DX403" i="112"/>
  <c r="DX400" i="112"/>
  <c r="DX397" i="112"/>
  <c r="DX394" i="112"/>
  <c r="DX391" i="112"/>
  <c r="DX388" i="112"/>
  <c r="DX483" i="112"/>
  <c r="DX480" i="112"/>
  <c r="DX479" i="112"/>
  <c r="DX478" i="112"/>
  <c r="DX437" i="112"/>
  <c r="DX436" i="112"/>
  <c r="DX425" i="112"/>
  <c r="DX423" i="112"/>
  <c r="DX498" i="112"/>
  <c r="DX497" i="112"/>
  <c r="DX426" i="112"/>
  <c r="DX424" i="112"/>
  <c r="DN320" i="112"/>
  <c r="DP320" i="112"/>
  <c r="DS320" i="112"/>
  <c r="DN321" i="112"/>
  <c r="DP321" i="112"/>
  <c r="DS321" i="112"/>
  <c r="DN322" i="112"/>
  <c r="DP322" i="112"/>
  <c r="DS322" i="112"/>
  <c r="DN323" i="112"/>
  <c r="DP323" i="112"/>
  <c r="DS323" i="112"/>
  <c r="EB323" i="112" s="1"/>
  <c r="EC323" i="112" s="1"/>
  <c r="DN324" i="112"/>
  <c r="DP324" i="112"/>
  <c r="DS324" i="112"/>
  <c r="DN325" i="112"/>
  <c r="DP325" i="112"/>
  <c r="DS325" i="112"/>
  <c r="EB325" i="112" s="1"/>
  <c r="EC325" i="112" s="1"/>
  <c r="DN326" i="112"/>
  <c r="DP326" i="112"/>
  <c r="DS326" i="112"/>
  <c r="DN327" i="112"/>
  <c r="DP327" i="112"/>
  <c r="DN337" i="112"/>
  <c r="DP337" i="112"/>
  <c r="DS337" i="112"/>
  <c r="DN338" i="112"/>
  <c r="DP338" i="112"/>
  <c r="DS338" i="112"/>
  <c r="DN339" i="112"/>
  <c r="DP339" i="112"/>
  <c r="DS339" i="112"/>
  <c r="DN340" i="112"/>
  <c r="DP340" i="112"/>
  <c r="DS340" i="112"/>
  <c r="DN341" i="112"/>
  <c r="DP341" i="112"/>
  <c r="DR341" i="112"/>
  <c r="DS341" i="112"/>
  <c r="DN342" i="112"/>
  <c r="DP342" i="112"/>
  <c r="DS342" i="112"/>
  <c r="DN343" i="112"/>
  <c r="DP343" i="112"/>
  <c r="DS343" i="112"/>
  <c r="DN344" i="112"/>
  <c r="DP344" i="112"/>
  <c r="DS344" i="112"/>
  <c r="DN345" i="112"/>
  <c r="DP345" i="112"/>
  <c r="DS345" i="112"/>
  <c r="DN346" i="112"/>
  <c r="DP346" i="112"/>
  <c r="DS346" i="112"/>
  <c r="DN347" i="112"/>
  <c r="DP347" i="112"/>
  <c r="DR347" i="112"/>
  <c r="DS347" i="112"/>
  <c r="DN348" i="112"/>
  <c r="DP348" i="112"/>
  <c r="DS348" i="112"/>
  <c r="DN350" i="112"/>
  <c r="DP350" i="112"/>
  <c r="DS350" i="112"/>
  <c r="DN351" i="112"/>
  <c r="DP351" i="112"/>
  <c r="DR351" i="112"/>
  <c r="DS351" i="112"/>
  <c r="DN352" i="112"/>
  <c r="DP352" i="112"/>
  <c r="DS352" i="112"/>
  <c r="DN353" i="112"/>
  <c r="DP353" i="112"/>
  <c r="DR353" i="112"/>
  <c r="DS353" i="112"/>
  <c r="DN354" i="112"/>
  <c r="DP354" i="112"/>
  <c r="DS354" i="112"/>
  <c r="DN364" i="112"/>
  <c r="DP364" i="112"/>
  <c r="DS364" i="112"/>
  <c r="DN365" i="112"/>
  <c r="DP365" i="112"/>
  <c r="DS365" i="112"/>
  <c r="DN366" i="112"/>
  <c r="DP366" i="112"/>
  <c r="DS366" i="112"/>
  <c r="DN367" i="112"/>
  <c r="DP367" i="112"/>
  <c r="DS367" i="112"/>
  <c r="DN368" i="112"/>
  <c r="DP368" i="112"/>
  <c r="DS368" i="112"/>
  <c r="DN369" i="112"/>
  <c r="DP369" i="112"/>
  <c r="DS369" i="112"/>
  <c r="DN370" i="112"/>
  <c r="DP370" i="112"/>
  <c r="DS370" i="112"/>
  <c r="DN371" i="112"/>
  <c r="DP371" i="112"/>
  <c r="DS371" i="112"/>
  <c r="DN372" i="112"/>
  <c r="DP372" i="112"/>
  <c r="DS372" i="112"/>
  <c r="DN382" i="112"/>
  <c r="DP382" i="112"/>
  <c r="DR382" i="112"/>
  <c r="E170" i="121" s="1"/>
  <c r="DS382" i="112"/>
  <c r="DN383" i="112"/>
  <c r="DP383" i="112"/>
  <c r="DR383" i="112"/>
  <c r="DS383" i="112"/>
  <c r="DN384" i="112"/>
  <c r="DP384" i="112"/>
  <c r="DR384" i="112"/>
  <c r="DS384" i="112"/>
  <c r="DN385" i="112"/>
  <c r="DP385" i="112"/>
  <c r="DR385" i="112"/>
  <c r="DS385" i="112"/>
  <c r="DN386" i="112"/>
  <c r="DP386" i="112"/>
  <c r="DS386" i="112"/>
  <c r="Y412" i="114" l="1"/>
  <c r="O412" i="114"/>
  <c r="DN544" i="112"/>
  <c r="DY475" i="112"/>
  <c r="P566" i="114" s="1"/>
  <c r="EK515" i="112"/>
  <c r="HB537" i="112"/>
  <c r="HB538" i="112" s="1"/>
  <c r="EI515" i="112"/>
  <c r="EG493" i="112"/>
  <c r="DY493" i="112"/>
  <c r="DP493" i="112"/>
  <c r="EB493" i="112"/>
  <c r="ED515" i="112"/>
  <c r="E172" i="121"/>
  <c r="EB382" i="112"/>
  <c r="EC382" i="112" s="1"/>
  <c r="EG382" i="112"/>
  <c r="EH382" i="112" s="1"/>
  <c r="DX522" i="112"/>
  <c r="FU522" i="112"/>
  <c r="FU535" i="112" s="1"/>
  <c r="FU517" i="112" s="1"/>
  <c r="FT517" i="112" s="1"/>
  <c r="EA498" i="112"/>
  <c r="FT498" i="112"/>
  <c r="EB498" i="112"/>
  <c r="EC498" i="112" s="1"/>
  <c r="EA497" i="112"/>
  <c r="AP173" i="121" s="1"/>
  <c r="FT497" i="112"/>
  <c r="EB497" i="112"/>
  <c r="EC497" i="112" s="1"/>
  <c r="EE497" i="112" s="1"/>
  <c r="DV498" i="112"/>
  <c r="DV499" i="112" s="1"/>
  <c r="DV500" i="112" s="1"/>
  <c r="EG324" i="112"/>
  <c r="EH324" i="112" s="1"/>
  <c r="EB324" i="112"/>
  <c r="EC324" i="112" s="1"/>
  <c r="EG326" i="112"/>
  <c r="EH326" i="112" s="1"/>
  <c r="EB326" i="112"/>
  <c r="EC326" i="112" s="1"/>
  <c r="DY433" i="112"/>
  <c r="P549" i="114" s="1"/>
  <c r="ED474" i="112"/>
  <c r="EB320" i="112"/>
  <c r="EC320" i="112" s="1"/>
  <c r="EG320" i="112"/>
  <c r="EH320" i="112" s="1"/>
  <c r="DL354" i="112"/>
  <c r="DK354" i="112"/>
  <c r="DL346" i="112"/>
  <c r="DK346" i="112"/>
  <c r="DK319" i="112"/>
  <c r="FQ319" i="112" s="1"/>
  <c r="FR319" i="112" s="1"/>
  <c r="EA319" i="112" s="1"/>
  <c r="DL384" i="112"/>
  <c r="DK384" i="112"/>
  <c r="DL382" i="112"/>
  <c r="DK382" i="112"/>
  <c r="DL368" i="112"/>
  <c r="DK368" i="112"/>
  <c r="DL348" i="112"/>
  <c r="DK348" i="112"/>
  <c r="DK343" i="112"/>
  <c r="DL343" i="112"/>
  <c r="DL338" i="112"/>
  <c r="DK338" i="112"/>
  <c r="DL326" i="112"/>
  <c r="DK326" i="112"/>
  <c r="DL365" i="112"/>
  <c r="DK365" i="112"/>
  <c r="DL351" i="112"/>
  <c r="DK351" i="112"/>
  <c r="DL323" i="112"/>
  <c r="DK323" i="112"/>
  <c r="DK370" i="112"/>
  <c r="DL370" i="112"/>
  <c r="DL353" i="112"/>
  <c r="DK353" i="112"/>
  <c r="DL345" i="112"/>
  <c r="DK345" i="112"/>
  <c r="DL340" i="112"/>
  <c r="DK340" i="112"/>
  <c r="DL320" i="112"/>
  <c r="DK320" i="112"/>
  <c r="FQ320" i="112" s="1"/>
  <c r="FR320" i="112" s="1"/>
  <c r="DL347" i="112"/>
  <c r="DK347" i="112"/>
  <c r="DL342" i="112"/>
  <c r="DK342" i="112"/>
  <c r="DK337" i="112"/>
  <c r="FQ337" i="112" s="1"/>
  <c r="FR337" i="112" s="1"/>
  <c r="DL337" i="112"/>
  <c r="DL325" i="112"/>
  <c r="DK325" i="112"/>
  <c r="FQ325" i="112" s="1"/>
  <c r="FR325" i="112" s="1"/>
  <c r="DL367" i="112"/>
  <c r="DK367" i="112"/>
  <c r="DK385" i="112"/>
  <c r="DL385" i="112"/>
  <c r="DL383" i="112"/>
  <c r="DK383" i="112"/>
  <c r="DK372" i="112"/>
  <c r="DL372" i="112"/>
  <c r="DL322" i="112"/>
  <c r="DK322" i="112"/>
  <c r="DL369" i="112"/>
  <c r="DK369" i="112"/>
  <c r="DL350" i="112"/>
  <c r="DK350" i="112"/>
  <c r="DL344" i="112"/>
  <c r="DK344" i="112"/>
  <c r="DK339" i="112"/>
  <c r="DL339" i="112"/>
  <c r="DL386" i="112"/>
  <c r="DK386" i="112"/>
  <c r="DL366" i="112"/>
  <c r="DK366" i="112"/>
  <c r="DL352" i="112"/>
  <c r="DK352" i="112"/>
  <c r="DL341" i="112"/>
  <c r="DK341" i="112"/>
  <c r="DL324" i="112"/>
  <c r="DK324" i="112"/>
  <c r="DL364" i="112"/>
  <c r="DK364" i="112"/>
  <c r="DL371" i="112"/>
  <c r="DK371" i="112"/>
  <c r="DK321" i="112"/>
  <c r="FQ321" i="112" s="1"/>
  <c r="FR321" i="112" s="1"/>
  <c r="DL321" i="112"/>
  <c r="GZ537" i="112"/>
  <c r="GZ538" i="112" s="1"/>
  <c r="GZ540" i="112" s="1"/>
  <c r="GZ541" i="112" s="1"/>
  <c r="HA537" i="112"/>
  <c r="HA538" i="112" s="1"/>
  <c r="EE436" i="112"/>
  <c r="EE421" i="112"/>
  <c r="FU474" i="112"/>
  <c r="FU433" i="112" s="1"/>
  <c r="FT433" i="112" s="1"/>
  <c r="DM432" i="112"/>
  <c r="DM538" i="112" s="1"/>
  <c r="DP432" i="112"/>
  <c r="DP538" i="112" s="1"/>
  <c r="DP539" i="112" s="1"/>
  <c r="DN432" i="112"/>
  <c r="DN538" i="112" s="1"/>
  <c r="EK493" i="112"/>
  <c r="EF474" i="112"/>
  <c r="FU515" i="112"/>
  <c r="FU494" i="112" s="1"/>
  <c r="EK492" i="112"/>
  <c r="EF492" i="112"/>
  <c r="FU492" i="112"/>
  <c r="FU475" i="112" s="1"/>
  <c r="FT475" i="112" s="1"/>
  <c r="EI492" i="112"/>
  <c r="EG475" i="112"/>
  <c r="EI475" i="112" s="1"/>
  <c r="EB475" i="112"/>
  <c r="ED492" i="112"/>
  <c r="EK474" i="112"/>
  <c r="EI474" i="112"/>
  <c r="EG433" i="112"/>
  <c r="EB433" i="112"/>
  <c r="DP378" i="112"/>
  <c r="DN378" i="112"/>
  <c r="DM378" i="112"/>
  <c r="DP333" i="112"/>
  <c r="DP316" i="112" s="1"/>
  <c r="EX319" i="112" s="1"/>
  <c r="DP360" i="112"/>
  <c r="DN360" i="112"/>
  <c r="DM360" i="112"/>
  <c r="FS432" i="112"/>
  <c r="FQ379" i="112"/>
  <c r="EI320" i="112"/>
  <c r="DX337" i="112"/>
  <c r="ED322" i="112"/>
  <c r="DX364" i="112"/>
  <c r="FU364" i="112"/>
  <c r="FU352" i="112"/>
  <c r="FU348" i="112"/>
  <c r="FU345" i="112"/>
  <c r="FU339" i="112"/>
  <c r="FU371" i="112"/>
  <c r="FU369" i="112"/>
  <c r="FU367" i="112"/>
  <c r="FU366" i="112"/>
  <c r="FU365" i="112"/>
  <c r="FT423" i="112"/>
  <c r="FT424" i="112"/>
  <c r="FU354" i="112"/>
  <c r="FU351" i="112"/>
  <c r="FU347" i="112"/>
  <c r="FU344" i="112"/>
  <c r="FU324" i="112"/>
  <c r="FU372" i="112"/>
  <c r="FU370" i="112"/>
  <c r="FU368" i="112"/>
  <c r="FT425" i="112"/>
  <c r="FT426" i="112"/>
  <c r="FU353" i="112"/>
  <c r="FU350" i="112"/>
  <c r="FU346" i="112"/>
  <c r="FU338" i="112"/>
  <c r="FU337" i="112"/>
  <c r="FU327" i="112"/>
  <c r="FU326" i="112"/>
  <c r="FU325" i="112"/>
  <c r="FU323" i="112"/>
  <c r="FU320" i="112"/>
  <c r="FU343" i="112"/>
  <c r="FU342" i="112"/>
  <c r="ED340" i="112"/>
  <c r="FU340" i="112"/>
  <c r="FU341" i="112"/>
  <c r="FU322" i="112"/>
  <c r="FU321" i="112"/>
  <c r="EI352" i="112"/>
  <c r="ED352" i="112"/>
  <c r="EI348" i="112"/>
  <c r="ED348" i="112"/>
  <c r="ED345" i="112"/>
  <c r="EI345" i="112"/>
  <c r="EI342" i="112"/>
  <c r="ED342" i="112"/>
  <c r="EI339" i="112"/>
  <c r="ED339" i="112"/>
  <c r="EI327" i="112"/>
  <c r="EI324" i="112"/>
  <c r="ED324" i="112"/>
  <c r="FU382" i="112"/>
  <c r="FU386" i="112"/>
  <c r="DY367" i="112"/>
  <c r="ED367" i="112"/>
  <c r="EI367" i="112"/>
  <c r="DY384" i="112"/>
  <c r="EI384" i="112"/>
  <c r="ED384" i="112"/>
  <c r="FU384" i="112"/>
  <c r="DY385" i="112"/>
  <c r="EI385" i="112"/>
  <c r="ED385" i="112"/>
  <c r="DY370" i="112"/>
  <c r="EI370" i="112"/>
  <c r="ED370" i="112"/>
  <c r="EI353" i="112"/>
  <c r="ED353" i="112"/>
  <c r="ED350" i="112"/>
  <c r="EI350" i="112"/>
  <c r="EI346" i="112"/>
  <c r="ED346" i="112"/>
  <c r="EI343" i="112"/>
  <c r="ED343" i="112"/>
  <c r="ED337" i="112"/>
  <c r="EI337" i="112"/>
  <c r="EI325" i="112"/>
  <c r="ED325" i="112"/>
  <c r="DY386" i="112"/>
  <c r="ED386" i="112"/>
  <c r="EI386" i="112"/>
  <c r="DY383" i="112"/>
  <c r="EI383" i="112"/>
  <c r="ED383" i="112"/>
  <c r="DY365" i="112"/>
  <c r="EI365" i="112"/>
  <c r="ED365" i="112"/>
  <c r="EI340" i="112"/>
  <c r="EI322" i="112"/>
  <c r="FU385" i="112"/>
  <c r="DY371" i="112"/>
  <c r="ED371" i="112"/>
  <c r="EI371" i="112"/>
  <c r="DY368" i="112"/>
  <c r="EI368" i="112"/>
  <c r="ED368" i="112"/>
  <c r="EI354" i="112"/>
  <c r="ED354" i="112"/>
  <c r="EI351" i="112"/>
  <c r="ED351" i="112"/>
  <c r="EI347" i="112"/>
  <c r="ED347" i="112"/>
  <c r="EI344" i="112"/>
  <c r="ED344" i="112"/>
  <c r="ED341" i="112"/>
  <c r="EI341" i="112"/>
  <c r="EI338" i="112"/>
  <c r="ED338" i="112"/>
  <c r="EI326" i="112"/>
  <c r="ED326" i="112"/>
  <c r="FU383" i="112"/>
  <c r="DY372" i="112"/>
  <c r="ED372" i="112"/>
  <c r="EI372" i="112"/>
  <c r="DY369" i="112"/>
  <c r="EI369" i="112"/>
  <c r="DY366" i="112"/>
  <c r="EI366" i="112"/>
  <c r="ED366" i="112"/>
  <c r="DX320" i="112"/>
  <c r="ED320" i="112"/>
  <c r="DY382" i="112"/>
  <c r="EI382" i="112"/>
  <c r="ED382" i="112"/>
  <c r="ED369" i="112"/>
  <c r="DY364" i="112"/>
  <c r="EI364" i="112"/>
  <c r="ED364" i="112"/>
  <c r="ED323" i="112"/>
  <c r="EI323" i="112"/>
  <c r="EI321" i="112"/>
  <c r="ED321" i="112"/>
  <c r="DY353" i="112"/>
  <c r="DY350" i="112"/>
  <c r="DY346" i="112"/>
  <c r="DY343" i="112"/>
  <c r="DY340" i="112"/>
  <c r="DY337" i="112"/>
  <c r="DY325" i="112"/>
  <c r="DY354" i="112"/>
  <c r="DY351" i="112"/>
  <c r="DY347" i="112"/>
  <c r="DY344" i="112"/>
  <c r="DY341" i="112"/>
  <c r="DY338" i="112"/>
  <c r="DY326" i="112"/>
  <c r="DY323" i="112"/>
  <c r="DY352" i="112"/>
  <c r="DY348" i="112"/>
  <c r="DY345" i="112"/>
  <c r="DY342" i="112"/>
  <c r="DY339" i="112"/>
  <c r="DY327" i="112"/>
  <c r="DY324" i="112"/>
  <c r="DY321" i="112"/>
  <c r="DY322" i="112"/>
  <c r="EK354" i="112"/>
  <c r="EF354" i="112"/>
  <c r="EF352" i="112"/>
  <c r="EK352" i="112"/>
  <c r="EK350" i="112"/>
  <c r="EF350" i="112"/>
  <c r="EF347" i="112"/>
  <c r="EK347" i="112"/>
  <c r="EF345" i="112"/>
  <c r="EK345" i="112"/>
  <c r="EF343" i="112"/>
  <c r="EK343" i="112"/>
  <c r="EF341" i="112"/>
  <c r="EK341" i="112"/>
  <c r="EF339" i="112"/>
  <c r="EK339" i="112"/>
  <c r="EJ409" i="112"/>
  <c r="EE442" i="112"/>
  <c r="EJ457" i="112"/>
  <c r="EJ466" i="112"/>
  <c r="EJ482" i="112"/>
  <c r="EE398" i="112"/>
  <c r="EJ437" i="112"/>
  <c r="EK382" i="112"/>
  <c r="EF382" i="112"/>
  <c r="EK369" i="112"/>
  <c r="EF369" i="112"/>
  <c r="EF365" i="112"/>
  <c r="EK365" i="112"/>
  <c r="EE457" i="112"/>
  <c r="EJ443" i="112"/>
  <c r="EE447" i="112"/>
  <c r="EJ453" i="112"/>
  <c r="EJ458" i="112"/>
  <c r="EF386" i="112"/>
  <c r="EK386" i="112"/>
  <c r="EK384" i="112"/>
  <c r="EF384" i="112"/>
  <c r="EF371" i="112"/>
  <c r="EK371" i="112"/>
  <c r="EF367" i="112"/>
  <c r="EK367" i="112"/>
  <c r="EJ393" i="112"/>
  <c r="EE403" i="112"/>
  <c r="EJ438" i="112"/>
  <c r="EJ454" i="112"/>
  <c r="EJ459" i="112"/>
  <c r="EE482" i="112"/>
  <c r="EE387" i="112"/>
  <c r="EJ400" i="112"/>
  <c r="EE443" i="112"/>
  <c r="EE462" i="112"/>
  <c r="EJ497" i="112"/>
  <c r="EE409" i="112"/>
  <c r="EJ444" i="112"/>
  <c r="EJ448" i="112"/>
  <c r="EJ461" i="112"/>
  <c r="EE498" i="112"/>
  <c r="EJ394" i="112"/>
  <c r="EE404" i="112"/>
  <c r="EJ410" i="112"/>
  <c r="EE437" i="112"/>
  <c r="EE453" i="112"/>
  <c r="EE458" i="112"/>
  <c r="EJ388" i="112"/>
  <c r="EE393" i="112"/>
  <c r="EJ399" i="112"/>
  <c r="EE438" i="112"/>
  <c r="EE454" i="112"/>
  <c r="EE459" i="112"/>
  <c r="EE466" i="112"/>
  <c r="EE400" i="112"/>
  <c r="EJ449" i="112"/>
  <c r="EJ455" i="112"/>
  <c r="EJ467" i="112"/>
  <c r="EE483" i="112"/>
  <c r="EJ499" i="112"/>
  <c r="EE478" i="112"/>
  <c r="EJ498" i="112"/>
  <c r="EJ423" i="112"/>
  <c r="EE394" i="112"/>
  <c r="EE410" i="112"/>
  <c r="EJ462" i="112"/>
  <c r="EJ483" i="112"/>
  <c r="EJ405" i="112"/>
  <c r="EE444" i="112"/>
  <c r="EJ478" i="112"/>
  <c r="EJ484" i="112"/>
  <c r="EJ389" i="112"/>
  <c r="EE396" i="112"/>
  <c r="EE406" i="112"/>
  <c r="EE439" i="112"/>
  <c r="EE449" i="112"/>
  <c r="EE479" i="112"/>
  <c r="EJ395" i="112"/>
  <c r="EE399" i="112"/>
  <c r="EJ411" i="112"/>
  <c r="EE440" i="112"/>
  <c r="EJ450" i="112"/>
  <c r="EJ463" i="112"/>
  <c r="EJ412" i="112"/>
  <c r="EE455" i="112"/>
  <c r="EE467" i="112"/>
  <c r="EF364" i="112"/>
  <c r="EK364" i="112"/>
  <c r="EK353" i="112"/>
  <c r="EF353" i="112"/>
  <c r="EF351" i="112"/>
  <c r="EK351" i="112"/>
  <c r="EK348" i="112"/>
  <c r="EF348" i="112"/>
  <c r="EF346" i="112"/>
  <c r="EK346" i="112"/>
  <c r="EF344" i="112"/>
  <c r="EK344" i="112"/>
  <c r="EK342" i="112"/>
  <c r="EF342" i="112"/>
  <c r="EK340" i="112"/>
  <c r="EF340" i="112"/>
  <c r="EK338" i="112"/>
  <c r="EF338" i="112"/>
  <c r="EE405" i="112"/>
  <c r="EJ440" i="112"/>
  <c r="EE450" i="112"/>
  <c r="EE463" i="112"/>
  <c r="EE484" i="112"/>
  <c r="EE389" i="112"/>
  <c r="EJ396" i="112"/>
  <c r="EJ501" i="112"/>
  <c r="EJ439" i="112"/>
  <c r="EE445" i="112"/>
  <c r="EJ464" i="112"/>
  <c r="EJ479" i="112"/>
  <c r="EE499" i="112"/>
  <c r="EJ424" i="112"/>
  <c r="EK383" i="112"/>
  <c r="EF383" i="112"/>
  <c r="EK372" i="112"/>
  <c r="EF372" i="112"/>
  <c r="EF368" i="112"/>
  <c r="EK368" i="112"/>
  <c r="EF366" i="112"/>
  <c r="EK366" i="112"/>
  <c r="EE388" i="112"/>
  <c r="EE395" i="112"/>
  <c r="EJ401" i="112"/>
  <c r="EE411" i="112"/>
  <c r="EE446" i="112"/>
  <c r="EE500" i="112"/>
  <c r="EJ425" i="112"/>
  <c r="EJ406" i="112"/>
  <c r="EE412" i="112"/>
  <c r="EJ445" i="112"/>
  <c r="EJ451" i="112"/>
  <c r="EE485" i="112"/>
  <c r="EF385" i="112"/>
  <c r="EK385" i="112"/>
  <c r="EK370" i="112"/>
  <c r="EF370" i="112"/>
  <c r="EJ452" i="112"/>
  <c r="EJ460" i="112"/>
  <c r="EJ480" i="112"/>
  <c r="EE408" i="112"/>
  <c r="EE456" i="112"/>
  <c r="EE401" i="112"/>
  <c r="EE419" i="112"/>
  <c r="EE460" i="112"/>
  <c r="EJ500" i="112"/>
  <c r="EE402" i="112"/>
  <c r="EE441" i="112"/>
  <c r="EE464" i="112"/>
  <c r="EE468" i="112"/>
  <c r="EJ485" i="112"/>
  <c r="EE422" i="112"/>
  <c r="EE390" i="112"/>
  <c r="EE397" i="112"/>
  <c r="EJ446" i="112"/>
  <c r="EJ465" i="112"/>
  <c r="EE480" i="112"/>
  <c r="EJ486" i="112"/>
  <c r="EJ398" i="112"/>
  <c r="EJ402" i="112"/>
  <c r="EJ408" i="112"/>
  <c r="EE501" i="112"/>
  <c r="EJ441" i="112"/>
  <c r="EJ456" i="112"/>
  <c r="EJ419" i="112"/>
  <c r="EE451" i="112"/>
  <c r="EJ468" i="112"/>
  <c r="EE481" i="112"/>
  <c r="EJ422" i="112"/>
  <c r="EE407" i="112"/>
  <c r="EE413" i="112"/>
  <c r="EJ442" i="112"/>
  <c r="EE486" i="112"/>
  <c r="EJ387" i="112"/>
  <c r="EE391" i="112"/>
  <c r="EJ404" i="112"/>
  <c r="EE414" i="112"/>
  <c r="EJ481" i="112"/>
  <c r="EJ390" i="112"/>
  <c r="EJ397" i="112"/>
  <c r="EJ403" i="112"/>
  <c r="EJ407" i="112"/>
  <c r="EJ413" i="112"/>
  <c r="EE448" i="112"/>
  <c r="EE452" i="112"/>
  <c r="EE461" i="112"/>
  <c r="EE465" i="112"/>
  <c r="EJ391" i="112"/>
  <c r="EJ414" i="112"/>
  <c r="EJ447" i="112"/>
  <c r="EJ426" i="112"/>
  <c r="EF337" i="112"/>
  <c r="EK337" i="112"/>
  <c r="EF320" i="112"/>
  <c r="DV501" i="112"/>
  <c r="DO433" i="112"/>
  <c r="EW323" i="112" s="1"/>
  <c r="DO475" i="112"/>
  <c r="DV479" i="112"/>
  <c r="DV480" i="112" s="1"/>
  <c r="EE426" i="112"/>
  <c r="EF322" i="112"/>
  <c r="EK326" i="112"/>
  <c r="EF326" i="112"/>
  <c r="EK327" i="112"/>
  <c r="EF327" i="112"/>
  <c r="EK323" i="112"/>
  <c r="EF323" i="112"/>
  <c r="EF325" i="112"/>
  <c r="EK325" i="112"/>
  <c r="EF324" i="112"/>
  <c r="EK324" i="112"/>
  <c r="EK320" i="112"/>
  <c r="EF321" i="112"/>
  <c r="EK321" i="112"/>
  <c r="EK322" i="112"/>
  <c r="DZ371" i="112"/>
  <c r="DZ369" i="112"/>
  <c r="DZ368" i="112"/>
  <c r="DZ364" i="112"/>
  <c r="DZ352" i="112"/>
  <c r="DZ348" i="112"/>
  <c r="DZ345" i="112"/>
  <c r="DZ342" i="112"/>
  <c r="DZ339" i="112"/>
  <c r="DZ327" i="112"/>
  <c r="DZ324" i="112"/>
  <c r="DZ321" i="112"/>
  <c r="DZ367" i="112"/>
  <c r="DZ382" i="112"/>
  <c r="DZ385" i="112"/>
  <c r="DZ370" i="112"/>
  <c r="DZ353" i="112"/>
  <c r="DZ350" i="112"/>
  <c r="DZ346" i="112"/>
  <c r="DZ343" i="112"/>
  <c r="DZ340" i="112"/>
  <c r="DZ337" i="112"/>
  <c r="DZ325" i="112"/>
  <c r="DZ322" i="112"/>
  <c r="DZ386" i="112"/>
  <c r="DZ383" i="112"/>
  <c r="DZ354" i="112"/>
  <c r="DZ351" i="112"/>
  <c r="DZ347" i="112"/>
  <c r="DZ344" i="112"/>
  <c r="DZ341" i="112"/>
  <c r="DZ338" i="112"/>
  <c r="DZ326" i="112"/>
  <c r="DZ323" i="112"/>
  <c r="DZ365" i="112"/>
  <c r="DZ384" i="112"/>
  <c r="DZ372" i="112"/>
  <c r="DZ366" i="112"/>
  <c r="DV437" i="112"/>
  <c r="DV364" i="112"/>
  <c r="DV382" i="112"/>
  <c r="DX372" i="112"/>
  <c r="DX352" i="112"/>
  <c r="DX348" i="112"/>
  <c r="DX327" i="112"/>
  <c r="DX370" i="112"/>
  <c r="DX367" i="112"/>
  <c r="DX353" i="112"/>
  <c r="DX350" i="112"/>
  <c r="DX343" i="112"/>
  <c r="DX340" i="112"/>
  <c r="DX325" i="112"/>
  <c r="DX371" i="112"/>
  <c r="DX368" i="112"/>
  <c r="DX354" i="112"/>
  <c r="DX351" i="112"/>
  <c r="DX347" i="112"/>
  <c r="DX344" i="112"/>
  <c r="DX341" i="112"/>
  <c r="DX326" i="112"/>
  <c r="DX386" i="112"/>
  <c r="DX384" i="112"/>
  <c r="DX369" i="112"/>
  <c r="DX366" i="112"/>
  <c r="DX385" i="112"/>
  <c r="DX324" i="112"/>
  <c r="DX323" i="112"/>
  <c r="DX365" i="112"/>
  <c r="DX383" i="112"/>
  <c r="DX342" i="112"/>
  <c r="DX346" i="112"/>
  <c r="DX345" i="112"/>
  <c r="DX322" i="112"/>
  <c r="DX382" i="112"/>
  <c r="DX339" i="112"/>
  <c r="DX338" i="112"/>
  <c r="DX321" i="112"/>
  <c r="DN319" i="112"/>
  <c r="ED433" i="112" l="1"/>
  <c r="EB544" i="112"/>
  <c r="EI433" i="112"/>
  <c r="EG544" i="112"/>
  <c r="DM544" i="112"/>
  <c r="AH412" i="114" s="1"/>
  <c r="EF493" i="112"/>
  <c r="EE493" i="112" s="1"/>
  <c r="DN493" i="112"/>
  <c r="EX325" i="112"/>
  <c r="EE515" i="112" a="1"/>
  <c r="EE515" i="112" s="1"/>
  <c r="EI493" i="112"/>
  <c r="EJ515" i="112" a="1"/>
  <c r="EJ515" i="112" s="1"/>
  <c r="ES544" i="112"/>
  <c r="AM414" i="114" s="1"/>
  <c r="EB316" i="112"/>
  <c r="EJ493" i="112"/>
  <c r="HB539" i="112"/>
  <c r="ED493" i="112"/>
  <c r="EW324" i="112"/>
  <c r="DY361" i="112"/>
  <c r="P519" i="114" s="1"/>
  <c r="DY316" i="112"/>
  <c r="DY334" i="112"/>
  <c r="P506" i="114" s="1"/>
  <c r="FT515" i="112" a="1"/>
  <c r="FT515" i="112" s="1"/>
  <c r="FS494" i="112" s="1"/>
  <c r="DY379" i="112"/>
  <c r="P531" i="114" s="1"/>
  <c r="EB337" i="112"/>
  <c r="EC337" i="112" s="1"/>
  <c r="EG337" i="112"/>
  <c r="EH337" i="112" s="1"/>
  <c r="EA337" i="112"/>
  <c r="FT337" i="112"/>
  <c r="AP174" i="121"/>
  <c r="AP175" i="121"/>
  <c r="GV537" i="112"/>
  <c r="GV538" i="112" s="1"/>
  <c r="EA325" i="112"/>
  <c r="AP170" i="121" s="1"/>
  <c r="FT325" i="112"/>
  <c r="ED475" i="112"/>
  <c r="EA321" i="112"/>
  <c r="FT321" i="112"/>
  <c r="EB321" i="112"/>
  <c r="EC321" i="112" s="1"/>
  <c r="EA320" i="112"/>
  <c r="AP167" i="121" s="1"/>
  <c r="FT320" i="112"/>
  <c r="EB319" i="112"/>
  <c r="EC319" i="112" s="1"/>
  <c r="ED378" i="112"/>
  <c r="ED360" i="112"/>
  <c r="DN333" i="112"/>
  <c r="DN316" i="112" s="1"/>
  <c r="AM418" i="114"/>
  <c r="GY537" i="112"/>
  <c r="GY538" i="112" s="1"/>
  <c r="GY540" i="112" s="1"/>
  <c r="GY541" i="112" s="1"/>
  <c r="ES539" i="112" s="1"/>
  <c r="GW537" i="112"/>
  <c r="GW538" i="112" s="1"/>
  <c r="GX537" i="112"/>
  <c r="GX538" i="112" s="1"/>
  <c r="AM406" i="114" s="1"/>
  <c r="DV481" i="112"/>
  <c r="EE474" i="112" a="1"/>
  <c r="EE474" i="112" s="1"/>
  <c r="EK378" i="112"/>
  <c r="EE492" i="112" a="1"/>
  <c r="EE492" i="112" s="1"/>
  <c r="EY324" i="112" s="1"/>
  <c r="EF432" i="112"/>
  <c r="EF378" i="112"/>
  <c r="EK432" i="112"/>
  <c r="EB379" i="112"/>
  <c r="EB539" i="112" s="1"/>
  <c r="EJ492" i="112" a="1"/>
  <c r="EJ492" i="112" s="1"/>
  <c r="FD324" i="112" s="1"/>
  <c r="EI432" i="112"/>
  <c r="FU432" i="112"/>
  <c r="FU379" i="112" s="1"/>
  <c r="FU360" i="112"/>
  <c r="EK360" i="112"/>
  <c r="EJ474" i="112" a="1"/>
  <c r="EJ474" i="112" s="1"/>
  <c r="FT432" i="112" a="1"/>
  <c r="FT432" i="112" s="1"/>
  <c r="FS379" i="112" s="1"/>
  <c r="FU378" i="112"/>
  <c r="FU361" i="112" s="1"/>
  <c r="FT361" i="112" s="1"/>
  <c r="EI378" i="112"/>
  <c r="EB361" i="112"/>
  <c r="EI360" i="112"/>
  <c r="EF360" i="112"/>
  <c r="EB334" i="112"/>
  <c r="ED334" i="112" s="1"/>
  <c r="EG379" i="112"/>
  <c r="EG539" i="112" s="1"/>
  <c r="ED432" i="112"/>
  <c r="EF319" i="112"/>
  <c r="EF333" i="112" s="1"/>
  <c r="FT340" i="112"/>
  <c r="FT341" i="112"/>
  <c r="FU319" i="112"/>
  <c r="FU333" i="112" s="1"/>
  <c r="EF475" i="112"/>
  <c r="FA324" i="112" s="1"/>
  <c r="EF433" i="112"/>
  <c r="O418" i="114"/>
  <c r="EI319" i="112"/>
  <c r="DP475" i="112"/>
  <c r="DN475" i="112" s="1"/>
  <c r="DM475" i="112" s="1"/>
  <c r="DV502" i="112"/>
  <c r="DV507" i="112" s="1"/>
  <c r="DP433" i="112"/>
  <c r="EX323" i="112" s="1"/>
  <c r="EG334" i="112"/>
  <c r="EE372" i="112"/>
  <c r="EJ348" i="112"/>
  <c r="EJ367" i="112"/>
  <c r="EJ369" i="112"/>
  <c r="EJ339" i="112"/>
  <c r="EE342" i="112"/>
  <c r="EE386" i="112"/>
  <c r="EE339" i="112"/>
  <c r="EE343" i="112"/>
  <c r="EJ366" i="112"/>
  <c r="EJ386" i="112"/>
  <c r="EE350" i="112"/>
  <c r="EJ383" i="112"/>
  <c r="EE344" i="112"/>
  <c r="EE348" i="112"/>
  <c r="EE345" i="112"/>
  <c r="EJ352" i="112"/>
  <c r="EE370" i="112"/>
  <c r="EJ368" i="112"/>
  <c r="EE364" i="112"/>
  <c r="EJ371" i="112"/>
  <c r="EE352" i="112"/>
  <c r="EJ370" i="112"/>
  <c r="EE383" i="112"/>
  <c r="EJ338" i="112"/>
  <c r="EJ344" i="112"/>
  <c r="EE382" i="112"/>
  <c r="EE341" i="112"/>
  <c r="EJ345" i="112"/>
  <c r="EE338" i="112"/>
  <c r="EJ364" i="112"/>
  <c r="EE371" i="112"/>
  <c r="EJ382" i="112"/>
  <c r="EE368" i="112"/>
  <c r="EJ351" i="112"/>
  <c r="EJ365" i="112"/>
  <c r="EJ347" i="112"/>
  <c r="EJ384" i="112"/>
  <c r="EJ341" i="112"/>
  <c r="EE347" i="112"/>
  <c r="EJ340" i="112"/>
  <c r="EE384" i="112"/>
  <c r="EJ372" i="112"/>
  <c r="EE340" i="112"/>
  <c r="EE351" i="112"/>
  <c r="EE365" i="112"/>
  <c r="EJ385" i="112"/>
  <c r="EJ346" i="112"/>
  <c r="EE385" i="112"/>
  <c r="EE346" i="112"/>
  <c r="EJ353" i="112"/>
  <c r="EE369" i="112"/>
  <c r="EJ350" i="112"/>
  <c r="EJ354" i="112"/>
  <c r="EE366" i="112"/>
  <c r="EJ342" i="112"/>
  <c r="EE353" i="112"/>
  <c r="EE367" i="112"/>
  <c r="EJ343" i="112"/>
  <c r="EE354" i="112"/>
  <c r="EE337" i="112"/>
  <c r="EJ337" i="112"/>
  <c r="DO361" i="112"/>
  <c r="DO334" i="112"/>
  <c r="EW320" i="112" s="1"/>
  <c r="DV482" i="112"/>
  <c r="DV383" i="112"/>
  <c r="EJ327" i="112"/>
  <c r="EE327" i="112"/>
  <c r="EJ324" i="112"/>
  <c r="EJ325" i="112"/>
  <c r="EE324" i="112"/>
  <c r="EE325" i="112"/>
  <c r="EE326" i="112"/>
  <c r="EJ326" i="112"/>
  <c r="EG361" i="112"/>
  <c r="EI361" i="112" s="1"/>
  <c r="EE425" i="112"/>
  <c r="EE424" i="112"/>
  <c r="EE423" i="112"/>
  <c r="EJ323" i="112"/>
  <c r="EE322" i="112"/>
  <c r="EJ322" i="112"/>
  <c r="EJ321" i="112"/>
  <c r="DV438" i="112"/>
  <c r="EK319" i="112"/>
  <c r="EK333" i="112" s="1"/>
  <c r="DX319" i="112"/>
  <c r="DZ319" i="112"/>
  <c r="DV365" i="112"/>
  <c r="AS273" i="112"/>
  <c r="O414" i="114" l="1"/>
  <c r="FD323" i="112"/>
  <c r="EI544" i="112"/>
  <c r="EJ544" i="112"/>
  <c r="FA323" i="112"/>
  <c r="EF544" i="112"/>
  <c r="EY323" i="112"/>
  <c r="EE544" i="112"/>
  <c r="W414" i="114" s="1"/>
  <c r="ED544" i="112"/>
  <c r="EY316" i="112"/>
  <c r="DM493" i="112"/>
  <c r="EU325" i="112" s="1"/>
  <c r="EV325" i="112"/>
  <c r="FA325" i="112"/>
  <c r="HD538" i="112"/>
  <c r="HD539" i="112" s="1"/>
  <c r="GV539" i="112"/>
  <c r="ES316" i="112" s="1"/>
  <c r="P495" i="114"/>
  <c r="J135" i="114"/>
  <c r="D104" i="139" s="1"/>
  <c r="E104" i="139" s="1"/>
  <c r="F104" i="139" s="1"/>
  <c r="G104" i="139" s="1"/>
  <c r="DM316" i="112"/>
  <c r="EU319" i="112" s="1"/>
  <c r="EV319" i="112"/>
  <c r="FT494" i="112"/>
  <c r="EF316" i="112"/>
  <c r="FA319" i="112" s="1"/>
  <c r="EG316" i="112"/>
  <c r="AP168" i="121"/>
  <c r="ED361" i="112"/>
  <c r="DV503" i="112"/>
  <c r="DV504" i="112" s="1"/>
  <c r="EI379" i="112"/>
  <c r="AP166" i="121"/>
  <c r="AD564" i="114"/>
  <c r="DN539" i="112"/>
  <c r="DM539" i="112" s="1"/>
  <c r="AH408" i="114" s="1"/>
  <c r="O408" i="114"/>
  <c r="Y408" i="114"/>
  <c r="FD325" i="112"/>
  <c r="EY325" i="112"/>
  <c r="AM402" i="114"/>
  <c r="ED333" i="112"/>
  <c r="EI333" i="112"/>
  <c r="EE475" i="112"/>
  <c r="EE433" i="112"/>
  <c r="EE432" i="112" a="1"/>
  <c r="EE432" i="112" s="1"/>
  <c r="ED379" i="112" s="1"/>
  <c r="EJ432" i="112" a="1"/>
  <c r="EJ432" i="112" s="1"/>
  <c r="FD322" i="112" s="1"/>
  <c r="EE360" i="112" a="1"/>
  <c r="EE360" i="112" s="1"/>
  <c r="EE378" i="112" a="1"/>
  <c r="EE378" i="112" s="1"/>
  <c r="EJ378" i="112" a="1"/>
  <c r="EJ378" i="112" s="1"/>
  <c r="FD321" i="112" s="1"/>
  <c r="FT360" i="112" a="1"/>
  <c r="FT360" i="112" s="1"/>
  <c r="FS334" i="112" s="1"/>
  <c r="EJ360" i="112" a="1"/>
  <c r="EJ360" i="112" s="1"/>
  <c r="FD320" i="112" s="1"/>
  <c r="DV384" i="112"/>
  <c r="DV385" i="112" s="1"/>
  <c r="DV386" i="112" s="1"/>
  <c r="DC319" i="112"/>
  <c r="O416" i="114"/>
  <c r="Y416" i="114"/>
  <c r="EX324" i="112"/>
  <c r="EV324" i="112"/>
  <c r="U564" i="114"/>
  <c r="FT379" i="112"/>
  <c r="EK475" i="112"/>
  <c r="FF324" i="112" s="1"/>
  <c r="FU334" i="112"/>
  <c r="FT319" i="112"/>
  <c r="FT333" i="112" s="1" a="1"/>
  <c r="FT333" i="112" s="1"/>
  <c r="EW321" i="112"/>
  <c r="EW328" i="112" s="1"/>
  <c r="DP361" i="112"/>
  <c r="EF379" i="112"/>
  <c r="FA322" i="112" s="1"/>
  <c r="EK433" i="112"/>
  <c r="EK544" i="112" s="1"/>
  <c r="EF334" i="112"/>
  <c r="FA320" i="112" s="1"/>
  <c r="EF361" i="112"/>
  <c r="FA321" i="112" s="1"/>
  <c r="O406" i="114"/>
  <c r="O402" i="114"/>
  <c r="AD547" i="114"/>
  <c r="U547" i="114"/>
  <c r="DN433" i="112"/>
  <c r="EV323" i="112" s="1"/>
  <c r="DP334" i="112"/>
  <c r="DP379" i="112"/>
  <c r="DV483" i="112"/>
  <c r="DV366" i="112"/>
  <c r="DV367" i="112" s="1"/>
  <c r="DV368" i="112" s="1"/>
  <c r="DV369" i="112" s="1"/>
  <c r="EN319" i="112"/>
  <c r="EM319" i="112"/>
  <c r="EL319" i="112"/>
  <c r="DV439" i="112"/>
  <c r="EE323" i="112"/>
  <c r="EE320" i="112"/>
  <c r="EJ320" i="112"/>
  <c r="EE321" i="112"/>
  <c r="DV320" i="112"/>
  <c r="DC320" i="112"/>
  <c r="AH414" i="114" l="1"/>
  <c r="T414" i="114"/>
  <c r="EI539" i="112"/>
  <c r="EF539" i="112"/>
  <c r="EJ539" i="112"/>
  <c r="ED539" i="112"/>
  <c r="FA328" i="112"/>
  <c r="FC316" i="112" s="1"/>
  <c r="EZ316" i="112" s="1"/>
  <c r="EE539" i="112"/>
  <c r="DN379" i="112"/>
  <c r="EX322" i="112"/>
  <c r="EK316" i="112"/>
  <c r="FF319" i="112" s="1"/>
  <c r="FD316" i="112"/>
  <c r="DM433" i="112"/>
  <c r="EU323" i="112" s="1"/>
  <c r="EI334" i="112"/>
  <c r="FI316" i="112"/>
  <c r="AM101" i="114" s="1"/>
  <c r="AM101" i="115" s="1"/>
  <c r="AM398" i="114"/>
  <c r="DV321" i="112"/>
  <c r="DV505" i="112"/>
  <c r="O410" i="114"/>
  <c r="O398" i="114"/>
  <c r="AH398" i="114" s="1"/>
  <c r="J135" i="115"/>
  <c r="U517" i="114"/>
  <c r="AM410" i="114"/>
  <c r="EK379" i="112"/>
  <c r="FF325" i="112"/>
  <c r="EJ433" i="112"/>
  <c r="FF323" i="112"/>
  <c r="T402" i="114"/>
  <c r="DV487" i="112"/>
  <c r="DV488" i="112"/>
  <c r="DV490" i="112" s="1"/>
  <c r="DV484" i="112"/>
  <c r="DV485" i="112" s="1"/>
  <c r="EE379" i="112"/>
  <c r="EJ475" i="112"/>
  <c r="AH418" i="114"/>
  <c r="EE361" i="112"/>
  <c r="EK334" i="112"/>
  <c r="EE334" i="112"/>
  <c r="EY322" i="112"/>
  <c r="EY321" i="112"/>
  <c r="DV387" i="112"/>
  <c r="FS316" i="112"/>
  <c r="FT334" i="112"/>
  <c r="EU324" i="112"/>
  <c r="AL573" i="114"/>
  <c r="EK361" i="112"/>
  <c r="FF321" i="112" s="1"/>
  <c r="EE319" i="112"/>
  <c r="EE333" i="112" s="1" a="1"/>
  <c r="EE333" i="112" s="1"/>
  <c r="EY319" i="112" s="1"/>
  <c r="EY328" i="112" s="1" a="1"/>
  <c r="EY328" i="112" s="1"/>
  <c r="AL563" i="114"/>
  <c r="AF573" i="114"/>
  <c r="U573" i="114"/>
  <c r="AA573" i="114"/>
  <c r="AD517" i="114"/>
  <c r="EX320" i="112"/>
  <c r="Y400" i="114"/>
  <c r="O400" i="114"/>
  <c r="EX321" i="112"/>
  <c r="O404" i="114"/>
  <c r="Y404" i="114"/>
  <c r="DN361" i="112"/>
  <c r="DM361" i="112" s="1"/>
  <c r="EY320" i="112"/>
  <c r="U493" i="114"/>
  <c r="O396" i="114"/>
  <c r="AD504" i="114"/>
  <c r="U504" i="114"/>
  <c r="AD493" i="114"/>
  <c r="Y396" i="114"/>
  <c r="U529" i="114"/>
  <c r="AD529" i="114"/>
  <c r="DN334" i="112"/>
  <c r="DM334" i="112" s="1"/>
  <c r="DV440" i="112"/>
  <c r="DV370" i="112"/>
  <c r="DV371" i="112" s="1"/>
  <c r="CV319" i="112"/>
  <c r="EN320" i="112"/>
  <c r="EM320" i="112"/>
  <c r="EL320" i="112"/>
  <c r="AF516" i="114"/>
  <c r="U516" i="114"/>
  <c r="EJ319" i="112"/>
  <c r="EX328" i="112" l="1"/>
  <c r="EV328" i="112" s="1"/>
  <c r="FF322" i="112"/>
  <c r="EK539" i="112"/>
  <c r="AH410" i="114" s="1"/>
  <c r="DM379" i="112"/>
  <c r="EU322" i="112" s="1"/>
  <c r="EV322" i="112"/>
  <c r="FF328" i="112"/>
  <c r="FH316" i="112" s="1"/>
  <c r="FE316" i="112" s="1"/>
  <c r="FA316" i="112"/>
  <c r="FB316" i="112"/>
  <c r="DV506" i="112"/>
  <c r="DV388" i="112"/>
  <c r="DV389" i="112" s="1"/>
  <c r="DV390" i="112" s="1"/>
  <c r="EE316" i="112"/>
  <c r="EJ379" i="112"/>
  <c r="AL546" i="114"/>
  <c r="ED316" i="112"/>
  <c r="U494" i="114"/>
  <c r="T410" i="114"/>
  <c r="W410" i="114"/>
  <c r="AL516" i="114"/>
  <c r="FF320" i="112"/>
  <c r="DV486" i="112"/>
  <c r="DV489" i="112"/>
  <c r="DV372" i="112"/>
  <c r="DV373" i="112"/>
  <c r="DV374" i="112" s="1"/>
  <c r="AH402" i="114"/>
  <c r="EN329" i="112"/>
  <c r="DC329" i="112"/>
  <c r="EM329" i="112"/>
  <c r="EL329" i="112"/>
  <c r="W418" i="114"/>
  <c r="EJ334" i="112"/>
  <c r="EJ333" i="112" a="1"/>
  <c r="EJ333" i="112" s="1"/>
  <c r="FD319" i="112" s="1"/>
  <c r="FD328" i="112" s="1" a="1"/>
  <c r="FD328" i="112" s="1"/>
  <c r="FF316" i="112" s="1"/>
  <c r="EJ361" i="112"/>
  <c r="AH406" i="114"/>
  <c r="DC321" i="112"/>
  <c r="DV391" i="112"/>
  <c r="AL528" i="114"/>
  <c r="AH416" i="114"/>
  <c r="U565" i="114"/>
  <c r="U548" i="114"/>
  <c r="AD573" i="114"/>
  <c r="T418" i="114"/>
  <c r="EV321" i="112"/>
  <c r="EV320" i="112"/>
  <c r="AF528" i="114"/>
  <c r="EU320" i="112"/>
  <c r="DV441" i="112"/>
  <c r="DV442" i="112" s="1"/>
  <c r="DV443" i="112" s="1"/>
  <c r="DV444" i="112" s="1"/>
  <c r="DV445" i="112" s="1"/>
  <c r="CV320" i="112"/>
  <c r="EN321" i="112"/>
  <c r="EM321" i="112"/>
  <c r="EL321" i="112"/>
  <c r="AF563" i="114"/>
  <c r="U563" i="114"/>
  <c r="AF546" i="114"/>
  <c r="U546" i="114"/>
  <c r="U528" i="114"/>
  <c r="AA516" i="114"/>
  <c r="DV322" i="112"/>
  <c r="DV323" i="112" s="1"/>
  <c r="Y95" i="114" l="1"/>
  <c r="O95" i="114"/>
  <c r="FG316" i="112"/>
  <c r="EJ316" i="112"/>
  <c r="EI316" i="112"/>
  <c r="T398" i="114" s="1"/>
  <c r="DV508" i="112"/>
  <c r="DV509" i="112" s="1"/>
  <c r="CV329" i="112"/>
  <c r="EU321" i="112"/>
  <c r="EU328" i="112" s="1"/>
  <c r="AH95" i="114" s="1"/>
  <c r="AH396" i="114"/>
  <c r="DV392" i="112"/>
  <c r="DV393" i="112" s="1"/>
  <c r="DV394" i="112" s="1"/>
  <c r="DV395" i="112" s="1"/>
  <c r="DV396" i="112" s="1"/>
  <c r="R418" i="114"/>
  <c r="DV375" i="112"/>
  <c r="DV376" i="112"/>
  <c r="DV377" i="112" s="1"/>
  <c r="AD516" i="114"/>
  <c r="W402" i="114"/>
  <c r="R402" i="114" s="1"/>
  <c r="W406" i="114"/>
  <c r="DC322" i="112"/>
  <c r="AH400" i="114"/>
  <c r="AA528" i="114"/>
  <c r="T406" i="114"/>
  <c r="AA546" i="114"/>
  <c r="R410" i="114"/>
  <c r="AD563" i="114"/>
  <c r="AH404" i="114"/>
  <c r="AA563" i="114"/>
  <c r="U530" i="114"/>
  <c r="U518" i="114"/>
  <c r="U505" i="114"/>
  <c r="DV446" i="112"/>
  <c r="CV321" i="112"/>
  <c r="EN322" i="112"/>
  <c r="EM322" i="112"/>
  <c r="EL322" i="112"/>
  <c r="U503" i="114"/>
  <c r="AF503" i="114"/>
  <c r="AD546" i="114"/>
  <c r="AD528" i="114"/>
  <c r="DV324" i="112"/>
  <c r="DV510" i="112" l="1"/>
  <c r="DV397" i="112"/>
  <c r="DV398" i="112" s="1"/>
  <c r="DV399" i="112" s="1"/>
  <c r="R406" i="114"/>
  <c r="R414" i="114"/>
  <c r="DC323" i="112"/>
  <c r="W398" i="114"/>
  <c r="R398" i="114" s="1"/>
  <c r="DV447" i="112"/>
  <c r="DV448" i="112" s="1"/>
  <c r="CV322" i="112"/>
  <c r="EN323" i="112"/>
  <c r="EM323" i="112"/>
  <c r="EL323" i="112"/>
  <c r="AA503" i="114"/>
  <c r="DV325" i="112"/>
  <c r="AQ283" i="112"/>
  <c r="AQ284" i="112"/>
  <c r="AQ285" i="112"/>
  <c r="AQ286" i="112"/>
  <c r="AQ287" i="112"/>
  <c r="AQ282" i="112"/>
  <c r="AH222" i="112"/>
  <c r="AH209" i="112"/>
  <c r="AH208" i="112"/>
  <c r="AV193" i="112"/>
  <c r="AV187" i="112"/>
  <c r="AV207" i="112"/>
  <c r="AV201" i="112"/>
  <c r="DN229" i="112"/>
  <c r="BA229" i="112" s="1"/>
  <c r="DN227" i="112"/>
  <c r="BA227" i="112" s="1"/>
  <c r="DN225" i="112"/>
  <c r="BA225" i="112" s="1"/>
  <c r="DN223" i="112"/>
  <c r="BA223" i="112" s="1"/>
  <c r="DN221" i="112"/>
  <c r="AS197" i="112"/>
  <c r="DN203" i="112"/>
  <c r="AQ142" i="112"/>
  <c r="DV511" i="112" l="1"/>
  <c r="DV512" i="112" s="1"/>
  <c r="DV513" i="112" s="1"/>
  <c r="DV514" i="112" s="1"/>
  <c r="DV400" i="112"/>
  <c r="DV401" i="112" s="1"/>
  <c r="DC324" i="112"/>
  <c r="DV449" i="112"/>
  <c r="CV323" i="112"/>
  <c r="EM324" i="112"/>
  <c r="EN324" i="112"/>
  <c r="EL324" i="112"/>
  <c r="AD503" i="114"/>
  <c r="DV326" i="112"/>
  <c r="AQ130" i="112"/>
  <c r="EN328" i="112" l="1"/>
  <c r="DV402" i="112"/>
  <c r="DV403" i="112" s="1"/>
  <c r="DV404" i="112" s="1"/>
  <c r="DV405" i="112" s="1"/>
  <c r="DV406" i="112" s="1"/>
  <c r="DV407" i="112" s="1"/>
  <c r="DC325" i="112"/>
  <c r="DV450" i="112"/>
  <c r="CV324" i="112"/>
  <c r="EM325" i="112"/>
  <c r="EN325" i="112"/>
  <c r="EL325" i="112"/>
  <c r="AL503" i="114"/>
  <c r="DC328" i="112" l="1"/>
  <c r="EL328" i="112"/>
  <c r="CV328" i="112" s="1"/>
  <c r="EM328" i="112"/>
  <c r="DV408" i="112"/>
  <c r="DV409" i="112" s="1"/>
  <c r="DV410" i="112" s="1"/>
  <c r="DV411" i="112" s="1"/>
  <c r="DC326" i="112"/>
  <c r="DV451" i="112"/>
  <c r="DV452" i="112" s="1"/>
  <c r="DV453" i="112" s="1"/>
  <c r="CV325" i="112"/>
  <c r="EL326" i="112"/>
  <c r="EM326" i="112"/>
  <c r="EN326" i="112"/>
  <c r="DC330" i="112" l="1"/>
  <c r="EN330" i="112"/>
  <c r="EM330" i="112"/>
  <c r="EL330" i="112"/>
  <c r="CV330" i="112" s="1"/>
  <c r="EL327" i="112"/>
  <c r="DC327" i="112"/>
  <c r="DV454" i="112"/>
  <c r="DV455" i="112" s="1"/>
  <c r="DV456" i="112" s="1"/>
  <c r="DV457" i="112" s="1"/>
  <c r="DV458" i="112" s="1"/>
  <c r="DV459" i="112" s="1"/>
  <c r="DV412" i="112"/>
  <c r="CV326" i="112"/>
  <c r="EN327" i="112"/>
  <c r="EM327" i="112"/>
  <c r="DV337" i="112" l="1"/>
  <c r="DV413" i="112"/>
  <c r="DV414" i="112" s="1"/>
  <c r="EN331" i="112"/>
  <c r="DC331" i="112"/>
  <c r="EM331" i="112"/>
  <c r="EL331" i="112"/>
  <c r="CV327" i="112"/>
  <c r="DV460" i="112"/>
  <c r="DV338" i="112" l="1"/>
  <c r="DV339" i="112" s="1"/>
  <c r="CV331" i="112"/>
  <c r="EN332" i="112"/>
  <c r="EL332" i="112"/>
  <c r="EM332" i="112"/>
  <c r="DC332" i="112"/>
  <c r="DV340" i="112" l="1"/>
  <c r="DV341" i="112" s="1"/>
  <c r="EM338" i="112"/>
  <c r="CV332" i="112"/>
  <c r="EL337" i="112"/>
  <c r="DC337" i="112"/>
  <c r="EN337" i="112"/>
  <c r="EM337" i="112"/>
  <c r="DV461" i="112"/>
  <c r="DV462" i="112" s="1"/>
  <c r="DV463" i="112" s="1"/>
  <c r="DV464" i="112" s="1"/>
  <c r="DV465" i="112" s="1"/>
  <c r="DV466" i="112" s="1"/>
  <c r="DV467" i="112" s="1"/>
  <c r="DV415" i="112"/>
  <c r="DN189" i="112"/>
  <c r="DN182" i="112"/>
  <c r="AS183" i="112" s="1"/>
  <c r="DV342" i="112" l="1"/>
  <c r="DV343" i="112" s="1"/>
  <c r="EN338" i="112"/>
  <c r="EL338" i="112"/>
  <c r="DC338" i="112"/>
  <c r="DV468" i="112"/>
  <c r="CV337" i="112"/>
  <c r="DV416" i="112"/>
  <c r="DM152" i="112"/>
  <c r="DV417" i="112" l="1"/>
  <c r="DV418" i="112" s="1"/>
  <c r="DV419" i="112"/>
  <c r="CV338" i="112"/>
  <c r="EM339" i="112"/>
  <c r="EL339" i="112"/>
  <c r="EN339" i="112"/>
  <c r="DC339" i="112"/>
  <c r="DV469" i="112"/>
  <c r="DV470" i="112" s="1"/>
  <c r="DV420" i="112"/>
  <c r="DV421" i="112" s="1"/>
  <c r="DV422" i="112" s="1"/>
  <c r="DV423" i="112" s="1"/>
  <c r="DV344" i="112"/>
  <c r="DV345" i="112" s="1"/>
  <c r="CV339" i="112" l="1"/>
  <c r="DC340" i="112"/>
  <c r="EN340" i="112"/>
  <c r="EL340" i="112"/>
  <c r="EM340" i="112"/>
  <c r="DV424" i="112"/>
  <c r="DV425" i="112" s="1"/>
  <c r="DV346" i="112"/>
  <c r="DV347" i="112" s="1"/>
  <c r="DV348" i="112" s="1"/>
  <c r="CV340" i="112" l="1"/>
  <c r="EM341" i="112"/>
  <c r="EN341" i="112"/>
  <c r="DC341" i="112"/>
  <c r="EL341" i="112"/>
  <c r="DV426" i="112"/>
  <c r="DV427" i="112"/>
  <c r="DV349" i="112"/>
  <c r="EM342" i="112" l="1"/>
  <c r="DC342" i="112"/>
  <c r="EL342" i="112"/>
  <c r="EN342" i="112"/>
  <c r="CV341" i="112"/>
  <c r="DV428" i="112"/>
  <c r="DV350" i="112"/>
  <c r="CV342" i="112" l="1"/>
  <c r="EL343" i="112"/>
  <c r="EM343" i="112"/>
  <c r="EN343" i="112"/>
  <c r="DC343" i="112"/>
  <c r="DV429" i="112"/>
  <c r="DV430" i="112" s="1"/>
  <c r="DV351" i="112"/>
  <c r="CV343" i="112" l="1"/>
  <c r="EL344" i="112"/>
  <c r="EN344" i="112"/>
  <c r="EM344" i="112"/>
  <c r="DC344" i="112"/>
  <c r="DV352" i="112"/>
  <c r="DV353" i="112" s="1"/>
  <c r="CV344" i="112" l="1"/>
  <c r="EM345" i="112"/>
  <c r="EL345" i="112"/>
  <c r="DC345" i="112"/>
  <c r="EN345" i="112"/>
  <c r="EL346" i="112"/>
  <c r="DC346" i="112"/>
  <c r="EM346" i="112"/>
  <c r="EN346" i="112"/>
  <c r="DV354" i="112"/>
  <c r="DV355" i="112" s="1"/>
  <c r="DV356" i="112" s="1"/>
  <c r="DV357" i="112" s="1"/>
  <c r="DV358" i="112" s="1"/>
  <c r="DV359" i="112" s="1"/>
  <c r="AI16" i="114"/>
  <c r="CV345" i="112" l="1"/>
  <c r="CV346" i="112"/>
  <c r="EL347" i="112"/>
  <c r="EN347" i="112"/>
  <c r="DC347" i="112"/>
  <c r="EM347" i="112"/>
  <c r="C307" i="115"/>
  <c r="AB291" i="115"/>
  <c r="Y291" i="115"/>
  <c r="V291" i="115"/>
  <c r="Y290" i="115"/>
  <c r="V290" i="115"/>
  <c r="AK289" i="115"/>
  <c r="AA289" i="115"/>
  <c r="U289" i="115"/>
  <c r="AH288" i="115"/>
  <c r="AC288" i="115"/>
  <c r="Z288" i="115"/>
  <c r="W288" i="115"/>
  <c r="U288" i="115"/>
  <c r="S287" i="115"/>
  <c r="P287" i="115"/>
  <c r="U286" i="115"/>
  <c r="R286" i="115"/>
  <c r="AK285" i="115"/>
  <c r="AA285" i="115"/>
  <c r="U285" i="115"/>
  <c r="AH284" i="115"/>
  <c r="AC284" i="115"/>
  <c r="Z284" i="115"/>
  <c r="W284" i="115"/>
  <c r="U284" i="115"/>
  <c r="S283" i="115"/>
  <c r="P283" i="115"/>
  <c r="AB282" i="115"/>
  <c r="S282" i="115"/>
  <c r="P282" i="115"/>
  <c r="AA270" i="115"/>
  <c r="S270" i="115"/>
  <c r="P270" i="115"/>
  <c r="M270" i="115"/>
  <c r="K270" i="115"/>
  <c r="AA269" i="115"/>
  <c r="S269" i="115"/>
  <c r="P269" i="115"/>
  <c r="M269" i="115"/>
  <c r="K269" i="115"/>
  <c r="AA268" i="115"/>
  <c r="S268" i="115"/>
  <c r="P268" i="115"/>
  <c r="M268" i="115"/>
  <c r="K268" i="115"/>
  <c r="AA267" i="115"/>
  <c r="S267" i="115"/>
  <c r="P267" i="115"/>
  <c r="M267" i="115"/>
  <c r="K267" i="115"/>
  <c r="T261" i="115"/>
  <c r="O261" i="115"/>
  <c r="O260" i="115"/>
  <c r="AP259" i="115"/>
  <c r="AF259" i="115"/>
  <c r="Z259" i="115"/>
  <c r="O259" i="115"/>
  <c r="AF258" i="115"/>
  <c r="O258" i="115"/>
  <c r="AD241" i="115"/>
  <c r="V241" i="115"/>
  <c r="AD240" i="115"/>
  <c r="V240" i="115"/>
  <c r="AD239" i="115"/>
  <c r="V239" i="115"/>
  <c r="AD238" i="115"/>
  <c r="V238" i="115"/>
  <c r="AD237" i="115"/>
  <c r="V237" i="115"/>
  <c r="AD236" i="115"/>
  <c r="V236" i="115"/>
  <c r="O236" i="115"/>
  <c r="AD235" i="115"/>
  <c r="V235" i="115"/>
  <c r="AD234" i="115"/>
  <c r="V234" i="115"/>
  <c r="AD233" i="115"/>
  <c r="V233" i="115"/>
  <c r="O233" i="115"/>
  <c r="AD232" i="115"/>
  <c r="V232" i="115"/>
  <c r="AD231" i="115"/>
  <c r="V231" i="115"/>
  <c r="AD230" i="115"/>
  <c r="V230" i="115"/>
  <c r="O230" i="115"/>
  <c r="AD228" i="115"/>
  <c r="V228" i="115"/>
  <c r="AD227" i="115"/>
  <c r="V227" i="115"/>
  <c r="O227" i="115"/>
  <c r="AD226" i="115"/>
  <c r="V226" i="115"/>
  <c r="AD225" i="115"/>
  <c r="V225" i="115"/>
  <c r="AD224" i="115"/>
  <c r="V224" i="115"/>
  <c r="O224" i="115"/>
  <c r="O217" i="115"/>
  <c r="O216" i="115"/>
  <c r="O215" i="115"/>
  <c r="Z214" i="115"/>
  <c r="R214" i="115"/>
  <c r="AF213" i="115"/>
  <c r="AA213" i="115"/>
  <c r="O213" i="115"/>
  <c r="AA212" i="115"/>
  <c r="O212" i="115"/>
  <c r="O205" i="115"/>
  <c r="AI204" i="115"/>
  <c r="T204" i="115"/>
  <c r="O204" i="115"/>
  <c r="V203" i="115"/>
  <c r="O203" i="115"/>
  <c r="O119" i="115"/>
  <c r="X119" i="115" s="1"/>
  <c r="AE118" i="115"/>
  <c r="AB118" i="115"/>
  <c r="Z118" i="115"/>
  <c r="T118" i="115"/>
  <c r="O118" i="115"/>
  <c r="R116" i="115"/>
  <c r="O116" i="115"/>
  <c r="R115" i="115"/>
  <c r="O115" i="115"/>
  <c r="AH111" i="115"/>
  <c r="AA111" i="115"/>
  <c r="X111" i="115"/>
  <c r="U111" i="115"/>
  <c r="S111" i="115"/>
  <c r="O111" i="115"/>
  <c r="AH110" i="115"/>
  <c r="AA110" i="115"/>
  <c r="X110" i="115"/>
  <c r="U110" i="115"/>
  <c r="S110" i="115"/>
  <c r="O110" i="115"/>
  <c r="AH109" i="115"/>
  <c r="AA109" i="115"/>
  <c r="X109" i="115"/>
  <c r="U109" i="115"/>
  <c r="S109" i="115"/>
  <c r="O109" i="115"/>
  <c r="AH108" i="115"/>
  <c r="AA108" i="115"/>
  <c r="X108" i="115"/>
  <c r="U108" i="115"/>
  <c r="S108" i="115"/>
  <c r="O108" i="115"/>
  <c r="AA107" i="115"/>
  <c r="X107" i="115"/>
  <c r="U107" i="115"/>
  <c r="S107" i="115"/>
  <c r="O102" i="115"/>
  <c r="AH95" i="115"/>
  <c r="Y95" i="115"/>
  <c r="O95" i="115"/>
  <c r="O83" i="115"/>
  <c r="O74" i="115"/>
  <c r="O73" i="115"/>
  <c r="O72" i="115"/>
  <c r="AM71" i="115"/>
  <c r="Z71" i="115"/>
  <c r="P71" i="115"/>
  <c r="O70" i="115"/>
  <c r="O69" i="115"/>
  <c r="O68" i="115"/>
  <c r="AM67" i="115"/>
  <c r="AM66" i="115"/>
  <c r="Z66" i="115"/>
  <c r="P66" i="115"/>
  <c r="O63" i="115"/>
  <c r="O62" i="115"/>
  <c r="O61" i="115"/>
  <c r="AM60" i="115"/>
  <c r="Z60" i="115"/>
  <c r="P60" i="115"/>
  <c r="O59" i="115"/>
  <c r="O58" i="115"/>
  <c r="O57" i="115"/>
  <c r="AM56" i="115"/>
  <c r="AM55" i="115"/>
  <c r="Z55" i="115"/>
  <c r="O45" i="115"/>
  <c r="O44" i="115"/>
  <c r="O43" i="115"/>
  <c r="O42" i="115"/>
  <c r="O34" i="115"/>
  <c r="O33" i="115"/>
  <c r="O32" i="115"/>
  <c r="DC348" i="112" l="1"/>
  <c r="EL348" i="112"/>
  <c r="EM348" i="112"/>
  <c r="EN348" i="112"/>
  <c r="CV347" i="112"/>
  <c r="AJ145" i="112"/>
  <c r="CV348" i="112" l="1"/>
  <c r="EL350" i="112"/>
  <c r="EN350" i="112"/>
  <c r="EM350" i="112"/>
  <c r="DC350" i="112"/>
  <c r="EM349" i="112"/>
  <c r="EL349" i="112"/>
  <c r="DC349" i="112"/>
  <c r="EN349" i="112"/>
  <c r="E53" i="37"/>
  <c r="E54" i="37"/>
  <c r="E55" i="37"/>
  <c r="E56" i="37"/>
  <c r="E57" i="37"/>
  <c r="E58" i="37"/>
  <c r="E59" i="37"/>
  <c r="E60" i="37"/>
  <c r="E61" i="37"/>
  <c r="E62" i="37"/>
  <c r="F362" i="114" l="1"/>
  <c r="F374" i="115" s="1"/>
  <c r="AE57" i="37"/>
  <c r="F366" i="114"/>
  <c r="F378" i="115" s="1"/>
  <c r="AE61" i="37"/>
  <c r="F359" i="114"/>
  <c r="F371" i="115" s="1"/>
  <c r="AE54" i="37"/>
  <c r="F361" i="114"/>
  <c r="F373" i="115" s="1"/>
  <c r="AE56" i="37"/>
  <c r="F364" i="114"/>
  <c r="F376" i="115" s="1"/>
  <c r="AE59" i="37"/>
  <c r="F360" i="114"/>
  <c r="F372" i="115" s="1"/>
  <c r="AE55" i="37"/>
  <c r="F367" i="114"/>
  <c r="F379" i="115" s="1"/>
  <c r="AE62" i="37"/>
  <c r="F358" i="114"/>
  <c r="F370" i="115" s="1"/>
  <c r="AE53" i="37"/>
  <c r="F365" i="114"/>
  <c r="F377" i="115" s="1"/>
  <c r="AE60" i="37"/>
  <c r="F363" i="114"/>
  <c r="F375" i="115" s="1"/>
  <c r="AE58" i="37"/>
  <c r="CV349" i="112"/>
  <c r="CV350" i="112"/>
  <c r="DC353" i="112"/>
  <c r="EM353" i="112"/>
  <c r="EL353" i="112"/>
  <c r="EN353" i="112"/>
  <c r="DC352" i="112"/>
  <c r="EM352" i="112"/>
  <c r="EL352" i="112"/>
  <c r="EN352" i="112"/>
  <c r="EN355" i="112"/>
  <c r="EL351" i="112"/>
  <c r="EN351" i="112"/>
  <c r="DC351" i="112"/>
  <c r="EM351" i="112"/>
  <c r="E52" i="37"/>
  <c r="E51" i="37"/>
  <c r="E50" i="37"/>
  <c r="E49" i="37"/>
  <c r="E48" i="37"/>
  <c r="E47" i="37"/>
  <c r="E46" i="37"/>
  <c r="E45" i="37"/>
  <c r="E44" i="37"/>
  <c r="E43" i="37"/>
  <c r="E42" i="37"/>
  <c r="E41" i="37"/>
  <c r="E40" i="37"/>
  <c r="E39" i="37"/>
  <c r="E38" i="37"/>
  <c r="E37" i="37"/>
  <c r="E36" i="37"/>
  <c r="E35" i="37"/>
  <c r="E34" i="37"/>
  <c r="E33" i="37"/>
  <c r="E32" i="37"/>
  <c r="E31" i="37"/>
  <c r="E30" i="37"/>
  <c r="E29" i="37"/>
  <c r="E28" i="37"/>
  <c r="E27" i="37"/>
  <c r="E26" i="37"/>
  <c r="E25" i="37"/>
  <c r="E24" i="37"/>
  <c r="E23" i="37"/>
  <c r="E22" i="37"/>
  <c r="E21" i="37"/>
  <c r="E20" i="37"/>
  <c r="E19" i="37"/>
  <c r="E18" i="37"/>
  <c r="E17" i="37"/>
  <c r="E16" i="37"/>
  <c r="E15" i="37"/>
  <c r="F323" i="114" l="1"/>
  <c r="F335" i="115" s="1"/>
  <c r="AE18" i="37"/>
  <c r="F333" i="114"/>
  <c r="F345" i="115" s="1"/>
  <c r="AE28" i="37"/>
  <c r="F322" i="114"/>
  <c r="F334" i="115" s="1"/>
  <c r="AE17" i="37"/>
  <c r="F330" i="114"/>
  <c r="F342" i="115" s="1"/>
  <c r="AE25" i="37"/>
  <c r="F338" i="114"/>
  <c r="F350" i="115" s="1"/>
  <c r="AE33" i="37"/>
  <c r="F346" i="114"/>
  <c r="F358" i="115" s="1"/>
  <c r="AE41" i="37"/>
  <c r="F354" i="114"/>
  <c r="F366" i="115" s="1"/>
  <c r="AE49" i="37"/>
  <c r="F324" i="114"/>
  <c r="F336" i="115" s="1"/>
  <c r="AE19" i="37"/>
  <c r="F332" i="114"/>
  <c r="F344" i="115" s="1"/>
  <c r="AE27" i="37"/>
  <c r="F340" i="114"/>
  <c r="F352" i="115" s="1"/>
  <c r="AE35" i="37"/>
  <c r="F348" i="114"/>
  <c r="F360" i="115" s="1"/>
  <c r="AE43" i="37"/>
  <c r="F356" i="114"/>
  <c r="F368" i="115" s="1"/>
  <c r="AE51" i="37"/>
  <c r="F325" i="114"/>
  <c r="F337" i="115" s="1"/>
  <c r="AE20" i="37"/>
  <c r="F341" i="114"/>
  <c r="F353" i="115" s="1"/>
  <c r="AE36" i="37"/>
  <c r="F349" i="114"/>
  <c r="F361" i="115" s="1"/>
  <c r="AE44" i="37"/>
  <c r="F357" i="114"/>
  <c r="F369" i="115" s="1"/>
  <c r="AE52" i="37"/>
  <c r="F347" i="114"/>
  <c r="F359" i="115" s="1"/>
  <c r="AE42" i="37"/>
  <c r="F326" i="114"/>
  <c r="F338" i="115" s="1"/>
  <c r="AE21" i="37"/>
  <c r="F334" i="114"/>
  <c r="F346" i="115" s="1"/>
  <c r="AE29" i="37"/>
  <c r="F342" i="114"/>
  <c r="F354" i="115" s="1"/>
  <c r="AE37" i="37"/>
  <c r="F350" i="114"/>
  <c r="F362" i="115" s="1"/>
  <c r="AE45" i="37"/>
  <c r="F355" i="114"/>
  <c r="F367" i="115" s="1"/>
  <c r="AE50" i="37"/>
  <c r="F351" i="114"/>
  <c r="F363" i="115" s="1"/>
  <c r="AE46" i="37"/>
  <c r="F331" i="114"/>
  <c r="F343" i="115" s="1"/>
  <c r="AE26" i="37"/>
  <c r="F343" i="114"/>
  <c r="F355" i="115" s="1"/>
  <c r="AE38" i="37"/>
  <c r="F320" i="114"/>
  <c r="F332" i="115" s="1"/>
  <c r="AE15" i="37"/>
  <c r="F328" i="114"/>
  <c r="F340" i="115" s="1"/>
  <c r="AE23" i="37"/>
  <c r="F336" i="114"/>
  <c r="F348" i="115" s="1"/>
  <c r="AE31" i="37"/>
  <c r="F344" i="114"/>
  <c r="F356" i="115" s="1"/>
  <c r="AE39" i="37"/>
  <c r="F352" i="114"/>
  <c r="F364" i="115" s="1"/>
  <c r="AE47" i="37"/>
  <c r="F339" i="114"/>
  <c r="F351" i="115" s="1"/>
  <c r="AE34" i="37"/>
  <c r="F327" i="114"/>
  <c r="F339" i="115" s="1"/>
  <c r="AE22" i="37"/>
  <c r="F335" i="114"/>
  <c r="F347" i="115" s="1"/>
  <c r="AE30" i="37"/>
  <c r="F321" i="114"/>
  <c r="F333" i="115" s="1"/>
  <c r="AE16" i="37"/>
  <c r="F329" i="114"/>
  <c r="F341" i="115" s="1"/>
  <c r="AE24" i="37"/>
  <c r="F337" i="114"/>
  <c r="F349" i="115" s="1"/>
  <c r="AE32" i="37"/>
  <c r="F345" i="114"/>
  <c r="F357" i="115" s="1"/>
  <c r="AE40" i="37"/>
  <c r="F353" i="114"/>
  <c r="F365" i="115" s="1"/>
  <c r="AE48" i="37"/>
  <c r="CV351" i="112"/>
  <c r="CV352" i="112"/>
  <c r="CV353" i="112"/>
  <c r="EL355" i="112"/>
  <c r="DC355" i="112"/>
  <c r="EL356" i="112"/>
  <c r="EM355" i="112"/>
  <c r="CV355" i="112" s="1"/>
  <c r="EN354" i="112"/>
  <c r="DC354" i="112"/>
  <c r="EL354" i="112"/>
  <c r="EM354" i="112"/>
  <c r="AI79" i="37" l="1"/>
  <c r="AK77" i="37"/>
  <c r="AH78" i="37"/>
  <c r="AF79" i="37"/>
  <c r="AK79" i="37"/>
  <c r="AJ77" i="37"/>
  <c r="AF78" i="37"/>
  <c r="AI78" i="37"/>
  <c r="AF77" i="37"/>
  <c r="AH79" i="37"/>
  <c r="AL79" i="37"/>
  <c r="AJ79" i="37"/>
  <c r="AG78" i="37"/>
  <c r="AK78" i="37"/>
  <c r="AL77" i="37"/>
  <c r="AL78" i="37"/>
  <c r="AG77" i="37"/>
  <c r="AI77" i="37"/>
  <c r="AJ78" i="37"/>
  <c r="AG79" i="37"/>
  <c r="AH77" i="37"/>
  <c r="AE81" i="37"/>
  <c r="BM69" i="37" s="1"/>
  <c r="CV354" i="112"/>
  <c r="EM356" i="112"/>
  <c r="EM357" i="112"/>
  <c r="EN356" i="112"/>
  <c r="DC356" i="112"/>
  <c r="CV356" i="112"/>
  <c r="K314" i="114"/>
  <c r="K326" i="115" s="1"/>
  <c r="BG57" i="37" l="1"/>
  <c r="BD57" i="37"/>
  <c r="BI57" i="37"/>
  <c r="BE57" i="37"/>
  <c r="BI58" i="37"/>
  <c r="BE58" i="37"/>
  <c r="BH58" i="37"/>
  <c r="BD58" i="37"/>
  <c r="BJ58" i="37"/>
  <c r="BF57" i="37"/>
  <c r="BH57" i="37"/>
  <c r="BF58" i="37"/>
  <c r="CF58" i="37" s="1"/>
  <c r="BJ57" i="37"/>
  <c r="BG58" i="37"/>
  <c r="CA57" i="37"/>
  <c r="BY57" i="37"/>
  <c r="BN57" i="37"/>
  <c r="CB57" i="37"/>
  <c r="BR113" i="37"/>
  <c r="BV113" i="37"/>
  <c r="BT113" i="37"/>
  <c r="EN357" i="112"/>
  <c r="EL357" i="112"/>
  <c r="CV357" i="112" s="1"/>
  <c r="DC357" i="112"/>
  <c r="EL358" i="112"/>
  <c r="DC358" i="112"/>
  <c r="EM358" i="112"/>
  <c r="EN358" i="112"/>
  <c r="BS57" i="37" l="1"/>
  <c r="BY58" i="37"/>
  <c r="BV58" i="37"/>
  <c r="BU58" i="37"/>
  <c r="CC58" i="37"/>
  <c r="BP57" i="37"/>
  <c r="BP58" i="37"/>
  <c r="BR57" i="37"/>
  <c r="BQ58" i="37"/>
  <c r="CD58" i="37"/>
  <c r="BN58" i="37"/>
  <c r="BU57" i="37"/>
  <c r="CB58" i="37"/>
  <c r="CE58" i="37"/>
  <c r="BT57" i="37"/>
  <c r="BO57" i="37"/>
  <c r="BW58" i="37"/>
  <c r="BQ57" i="37"/>
  <c r="CG58" i="37"/>
  <c r="BT58" i="37"/>
  <c r="BZ58" i="37"/>
  <c r="CG57" i="37"/>
  <c r="CE57" i="37"/>
  <c r="CA58" i="37"/>
  <c r="BR58" i="37"/>
  <c r="CC57" i="37"/>
  <c r="CD57" i="37"/>
  <c r="BO58" i="37"/>
  <c r="BX58" i="37"/>
  <c r="BS58" i="37"/>
  <c r="BZ57" i="37"/>
  <c r="BW57" i="37"/>
  <c r="CF57" i="37"/>
  <c r="BV57" i="37"/>
  <c r="BX57" i="37"/>
  <c r="BV119" i="37"/>
  <c r="BV161" i="37"/>
  <c r="BV114" i="37"/>
  <c r="BV129" i="37"/>
  <c r="BR161" i="37"/>
  <c r="BR114" i="37"/>
  <c r="BR119" i="37"/>
  <c r="BR129" i="37"/>
  <c r="BT114" i="37"/>
  <c r="BT161" i="37"/>
  <c r="BT119" i="37"/>
  <c r="BT129" i="37"/>
  <c r="CV358" i="112"/>
  <c r="EN364" i="112"/>
  <c r="DC364" i="112"/>
  <c r="EM364" i="112"/>
  <c r="EN359" i="112"/>
  <c r="EL359" i="112"/>
  <c r="DC359" i="112"/>
  <c r="EM359" i="112"/>
  <c r="BX85" i="37" l="1"/>
  <c r="BX90" i="37" s="1"/>
  <c r="BX93" i="37" s="1"/>
  <c r="BY85" i="37"/>
  <c r="BY90" i="37" s="1"/>
  <c r="BY93" i="37" s="1"/>
  <c r="CC85" i="37"/>
  <c r="CC90" i="37" s="1"/>
  <c r="BV84" i="37"/>
  <c r="CB84" i="37"/>
  <c r="CB89" i="37" s="1"/>
  <c r="BS85" i="37"/>
  <c r="BS90" i="37" s="1"/>
  <c r="BT85" i="37"/>
  <c r="CA85" i="37"/>
  <c r="CA90" i="37" s="1"/>
  <c r="BO85" i="37"/>
  <c r="BO90" i="37" s="1"/>
  <c r="BO93" i="37" s="1"/>
  <c r="BO110" i="37" s="1"/>
  <c r="BS84" i="37"/>
  <c r="BS89" i="37" s="1"/>
  <c r="BP85" i="37"/>
  <c r="BP90" i="37" s="1"/>
  <c r="BW85" i="37"/>
  <c r="BW90" i="37" s="1"/>
  <c r="BW93" i="37" s="1"/>
  <c r="BW113" i="37" s="1"/>
  <c r="BR85" i="37"/>
  <c r="BU85" i="37"/>
  <c r="BU90" i="37" s="1"/>
  <c r="BZ85" i="37"/>
  <c r="BZ90" i="37" s="1"/>
  <c r="BQ85" i="37"/>
  <c r="BQ90" i="37" s="1"/>
  <c r="CB85" i="37"/>
  <c r="CB90" i="37" s="1"/>
  <c r="CB93" i="37" s="1"/>
  <c r="BN85" i="37"/>
  <c r="BN90" i="37" s="1"/>
  <c r="BN93" i="37" s="1"/>
  <c r="BN113" i="37" s="1"/>
  <c r="BV85" i="37"/>
  <c r="BO84" i="37"/>
  <c r="BY84" i="37"/>
  <c r="BQ84" i="37"/>
  <c r="BQ89" i="37" s="1"/>
  <c r="CA84" i="37"/>
  <c r="CA89" i="37" s="1"/>
  <c r="BZ84" i="37"/>
  <c r="BZ89" i="37" s="1"/>
  <c r="BZ93" i="37" s="1"/>
  <c r="BU84" i="37"/>
  <c r="BU89" i="37" s="1"/>
  <c r="BP84" i="37"/>
  <c r="BP89" i="37" s="1"/>
  <c r="CC84" i="37"/>
  <c r="CC89" i="37" s="1"/>
  <c r="CC93" i="37" s="1"/>
  <c r="BN84" i="37"/>
  <c r="BX84" i="37"/>
  <c r="BT84" i="37"/>
  <c r="BW84" i="37"/>
  <c r="BR84" i="37"/>
  <c r="BT120" i="37"/>
  <c r="BT122" i="37"/>
  <c r="BW110" i="37"/>
  <c r="BR120" i="37"/>
  <c r="BR122" i="37"/>
  <c r="BR162" i="37"/>
  <c r="BR164" i="37"/>
  <c r="BR165" i="37" s="1"/>
  <c r="BY110" i="37"/>
  <c r="BY113" i="37"/>
  <c r="BX113" i="37"/>
  <c r="BX110" i="37"/>
  <c r="BT162" i="37"/>
  <c r="BT164" i="37"/>
  <c r="BT165" i="37" s="1"/>
  <c r="BV162" i="37"/>
  <c r="BV164" i="37"/>
  <c r="BV165" i="37" s="1"/>
  <c r="BV120" i="37"/>
  <c r="BV122" i="37"/>
  <c r="CV364" i="112"/>
  <c r="CV359" i="112"/>
  <c r="DC365" i="112"/>
  <c r="EM365" i="112"/>
  <c r="EN365" i="112"/>
  <c r="EL365" i="112"/>
  <c r="BS93" i="37" l="1"/>
  <c r="BU93" i="37"/>
  <c r="BQ93" i="37"/>
  <c r="BQ113" i="37" s="1"/>
  <c r="CA93" i="37"/>
  <c r="CA113" i="37" s="1"/>
  <c r="BO113" i="37"/>
  <c r="BO114" i="37" s="1"/>
  <c r="BN110" i="37"/>
  <c r="BN153" i="37" s="1"/>
  <c r="BN158" i="37" s="1"/>
  <c r="BP93" i="37"/>
  <c r="BP113" i="37" s="1"/>
  <c r="CA110" i="37"/>
  <c r="BY114" i="37"/>
  <c r="BY161" i="37"/>
  <c r="BY162" i="37" s="1"/>
  <c r="BY119" i="37"/>
  <c r="BY120" i="37" s="1"/>
  <c r="BW114" i="37"/>
  <c r="BW119" i="37"/>
  <c r="BW120" i="37" s="1"/>
  <c r="BW161" i="37"/>
  <c r="BW162" i="37" s="1"/>
  <c r="BQ110" i="37"/>
  <c r="BY129" i="37"/>
  <c r="BY153" i="37"/>
  <c r="BY158" i="37" s="1"/>
  <c r="BY111" i="37"/>
  <c r="BW129" i="37"/>
  <c r="BW153" i="37"/>
  <c r="BW158" i="37" s="1"/>
  <c r="BW111" i="37"/>
  <c r="BV125" i="37"/>
  <c r="BV126" i="37"/>
  <c r="BV123" i="37"/>
  <c r="BN114" i="37"/>
  <c r="BN161" i="37"/>
  <c r="BN162" i="37" s="1"/>
  <c r="BN119" i="37"/>
  <c r="BN120" i="37" s="1"/>
  <c r="BS110" i="37"/>
  <c r="BS113" i="37"/>
  <c r="CC110" i="37"/>
  <c r="CC113" i="37"/>
  <c r="BP110" i="37"/>
  <c r="BO119" i="37"/>
  <c r="BO120" i="37" s="1"/>
  <c r="BO161" i="37"/>
  <c r="BO162" i="37" s="1"/>
  <c r="BZ110" i="37"/>
  <c r="BZ113" i="37"/>
  <c r="CB110" i="37"/>
  <c r="CB113" i="37"/>
  <c r="BO111" i="37"/>
  <c r="BO153" i="37"/>
  <c r="BO158" i="37" s="1"/>
  <c r="BO129" i="37"/>
  <c r="BX129" i="37"/>
  <c r="BX111" i="37"/>
  <c r="BX153" i="37"/>
  <c r="BX158" i="37" s="1"/>
  <c r="BR125" i="37"/>
  <c r="BR123" i="37"/>
  <c r="BR126" i="37"/>
  <c r="BT123" i="37"/>
  <c r="BT125" i="37"/>
  <c r="BT126" i="37"/>
  <c r="BU113" i="37"/>
  <c r="BU110" i="37"/>
  <c r="BX161" i="37"/>
  <c r="BX162" i="37" s="1"/>
  <c r="BX114" i="37"/>
  <c r="BX119" i="37"/>
  <c r="BX120" i="37" s="1"/>
  <c r="CV365" i="112"/>
  <c r="DC366" i="112"/>
  <c r="EL366" i="112"/>
  <c r="EN366" i="112"/>
  <c r="EM366" i="112"/>
  <c r="BN129" i="37" l="1"/>
  <c r="BN111" i="37"/>
  <c r="BY122" i="37"/>
  <c r="BX122" i="37"/>
  <c r="BN122" i="37"/>
  <c r="BN126" i="37" s="1"/>
  <c r="BU119" i="37"/>
  <c r="BU120" i="37" s="1"/>
  <c r="BU161" i="37"/>
  <c r="BU162" i="37" s="1"/>
  <c r="BU114" i="37"/>
  <c r="CB153" i="37"/>
  <c r="CB158" i="37" s="1"/>
  <c r="CB111" i="37"/>
  <c r="CB129" i="37"/>
  <c r="BW159" i="37"/>
  <c r="BW164" i="37"/>
  <c r="BW165" i="37" s="1"/>
  <c r="BT136" i="37"/>
  <c r="BT134" i="37"/>
  <c r="BT135" i="37"/>
  <c r="BZ111" i="37"/>
  <c r="BZ153" i="37"/>
  <c r="BZ158" i="37" s="1"/>
  <c r="BZ129" i="37"/>
  <c r="BP114" i="37"/>
  <c r="BP119" i="37"/>
  <c r="BP120" i="37" s="1"/>
  <c r="BP161" i="37"/>
  <c r="BP162" i="37" s="1"/>
  <c r="BY123" i="37"/>
  <c r="BY125" i="37"/>
  <c r="BY126" i="37"/>
  <c r="BO122" i="37"/>
  <c r="BP111" i="37"/>
  <c r="BP153" i="37"/>
  <c r="BP158" i="37" s="1"/>
  <c r="BP129" i="37"/>
  <c r="BX123" i="37"/>
  <c r="BX125" i="37"/>
  <c r="BX126" i="37"/>
  <c r="BN159" i="37"/>
  <c r="BN164" i="37"/>
  <c r="BN165" i="37" s="1"/>
  <c r="CC114" i="37"/>
  <c r="CC161" i="37"/>
  <c r="CC162" i="37" s="1"/>
  <c r="CC119" i="37"/>
  <c r="CC120" i="37" s="1"/>
  <c r="BY159" i="37"/>
  <c r="BY164" i="37"/>
  <c r="BY165" i="37" s="1"/>
  <c r="CC111" i="37"/>
  <c r="CC153" i="37"/>
  <c r="CC158" i="37" s="1"/>
  <c r="CC129" i="37"/>
  <c r="BV135" i="37"/>
  <c r="BV136" i="37"/>
  <c r="BV134" i="37"/>
  <c r="BZ114" i="37"/>
  <c r="BZ161" i="37"/>
  <c r="BZ162" i="37" s="1"/>
  <c r="BZ119" i="37"/>
  <c r="BZ120" i="37" s="1"/>
  <c r="BS161" i="37"/>
  <c r="BS162" i="37" s="1"/>
  <c r="BS119" i="37"/>
  <c r="BS120" i="37" s="1"/>
  <c r="BS114" i="37"/>
  <c r="BW122" i="37"/>
  <c r="BQ114" i="37"/>
  <c r="BQ119" i="37"/>
  <c r="BQ120" i="37" s="1"/>
  <c r="BQ161" i="37"/>
  <c r="BQ162" i="37" s="1"/>
  <c r="CA161" i="37"/>
  <c r="CA162" i="37" s="1"/>
  <c r="CA119" i="37"/>
  <c r="CA120" i="37" s="1"/>
  <c r="CA114" i="37"/>
  <c r="BO159" i="37"/>
  <c r="BO164" i="37"/>
  <c r="BO165" i="37" s="1"/>
  <c r="BR135" i="37"/>
  <c r="BR134" i="37"/>
  <c r="BR136" i="37"/>
  <c r="BU153" i="37"/>
  <c r="BU158" i="37" s="1"/>
  <c r="BU129" i="37"/>
  <c r="BU111" i="37"/>
  <c r="BX159" i="37"/>
  <c r="BX164" i="37"/>
  <c r="BX165" i="37" s="1"/>
  <c r="CB114" i="37"/>
  <c r="CB161" i="37"/>
  <c r="CB162" i="37" s="1"/>
  <c r="CB119" i="37"/>
  <c r="CB120" i="37" s="1"/>
  <c r="BS153" i="37"/>
  <c r="BS158" i="37" s="1"/>
  <c r="BS111" i="37"/>
  <c r="BS129" i="37"/>
  <c r="BQ153" i="37"/>
  <c r="BQ158" i="37" s="1"/>
  <c r="BQ111" i="37"/>
  <c r="BQ129" i="37"/>
  <c r="CA153" i="37"/>
  <c r="CA158" i="37" s="1"/>
  <c r="CA111" i="37"/>
  <c r="CA129" i="37"/>
  <c r="CV366" i="112"/>
  <c r="DC367" i="112"/>
  <c r="EN367" i="112"/>
  <c r="EM367" i="112"/>
  <c r="EL367" i="112"/>
  <c r="BU122" i="37" l="1"/>
  <c r="BQ122" i="37"/>
  <c r="BQ123" i="37" s="1"/>
  <c r="BN123" i="37"/>
  <c r="BN125" i="37"/>
  <c r="BN134" i="37" s="1"/>
  <c r="CJ111" i="37"/>
  <c r="CC122" i="37"/>
  <c r="CC126" i="37" s="1"/>
  <c r="CJ114" i="37"/>
  <c r="D293" i="135" s="1"/>
  <c r="E293" i="135" s="1"/>
  <c r="F293" i="135" s="1"/>
  <c r="G293" i="135" s="1"/>
  <c r="CE130" i="37"/>
  <c r="CJ162" i="37"/>
  <c r="D299" i="135" s="1"/>
  <c r="E299" i="135" s="1"/>
  <c r="F299" i="135" s="1"/>
  <c r="G299" i="135" s="1"/>
  <c r="CJ120" i="37"/>
  <c r="D295" i="135" s="1"/>
  <c r="E295" i="135" s="1"/>
  <c r="F295" i="135" s="1"/>
  <c r="G295" i="135" s="1"/>
  <c r="CA122" i="37"/>
  <c r="BS122" i="37"/>
  <c r="BR130" i="37"/>
  <c r="BY130" i="37"/>
  <c r="BY134" i="37"/>
  <c r="BY135" i="37"/>
  <c r="BY136" i="37"/>
  <c r="BZ159" i="37"/>
  <c r="BZ164" i="37"/>
  <c r="BZ165" i="37" s="1"/>
  <c r="BW125" i="37"/>
  <c r="BW126" i="37"/>
  <c r="BW123" i="37"/>
  <c r="BV130" i="37"/>
  <c r="BP159" i="37"/>
  <c r="BP164" i="37"/>
  <c r="BP165" i="37" s="1"/>
  <c r="CB122" i="37"/>
  <c r="CD130" i="37"/>
  <c r="BS159" i="37"/>
  <c r="BS164" i="37"/>
  <c r="BS165" i="37" s="1"/>
  <c r="BU123" i="37"/>
  <c r="BU125" i="37"/>
  <c r="BU130" i="37" s="1"/>
  <c r="BU126" i="37"/>
  <c r="BT130" i="37"/>
  <c r="BU159" i="37"/>
  <c r="BU164" i="37"/>
  <c r="BU165" i="37" s="1"/>
  <c r="BN130" i="37"/>
  <c r="BN135" i="37"/>
  <c r="BN136" i="37"/>
  <c r="CB159" i="37"/>
  <c r="CB164" i="37"/>
  <c r="CB165" i="37" s="1"/>
  <c r="BX130" i="37"/>
  <c r="BX134" i="37"/>
  <c r="BX136" i="37"/>
  <c r="BX135" i="37"/>
  <c r="CC159" i="37"/>
  <c r="CC164" i="37"/>
  <c r="CC165" i="37" s="1"/>
  <c r="BO123" i="37"/>
  <c r="BO125" i="37"/>
  <c r="BO126" i="37"/>
  <c r="BZ122" i="37"/>
  <c r="CA159" i="37"/>
  <c r="CA164" i="37"/>
  <c r="CA165" i="37" s="1"/>
  <c r="BQ159" i="37"/>
  <c r="BQ164" i="37"/>
  <c r="BQ165" i="37" s="1"/>
  <c r="BP122" i="37"/>
  <c r="CV367" i="112"/>
  <c r="DC368" i="112"/>
  <c r="EN368" i="112"/>
  <c r="EM368" i="112"/>
  <c r="EL368" i="112"/>
  <c r="D292" i="135" l="1"/>
  <c r="E292" i="135" s="1"/>
  <c r="F292" i="135" s="1"/>
  <c r="G292" i="135" s="1"/>
  <c r="CC123" i="37"/>
  <c r="CC125" i="37"/>
  <c r="BQ125" i="37"/>
  <c r="BQ136" i="37" s="1"/>
  <c r="AA32" i="37"/>
  <c r="BP189" i="37"/>
  <c r="AA35" i="37"/>
  <c r="AA39" i="37"/>
  <c r="AA33" i="37"/>
  <c r="BR189" i="37"/>
  <c r="CJ159" i="37"/>
  <c r="D298" i="135" s="1"/>
  <c r="E298" i="135" s="1"/>
  <c r="F298" i="135" s="1"/>
  <c r="G298" i="135" s="1"/>
  <c r="BN189" i="37"/>
  <c r="CJ165" i="37"/>
  <c r="D300" i="135" s="1"/>
  <c r="E300" i="135" s="1"/>
  <c r="F300" i="135" s="1"/>
  <c r="G300" i="135" s="1"/>
  <c r="BP125" i="37"/>
  <c r="BP126" i="37" s="1"/>
  <c r="BP123" i="37"/>
  <c r="BW130" i="37"/>
  <c r="BW134" i="37"/>
  <c r="BW136" i="37"/>
  <c r="BW135" i="37"/>
  <c r="BS126" i="37"/>
  <c r="BS125" i="37"/>
  <c r="BS123" i="37"/>
  <c r="CB123" i="37"/>
  <c r="CB125" i="37"/>
  <c r="CB126" i="37"/>
  <c r="CA126" i="37"/>
  <c r="CA125" i="37"/>
  <c r="CA123" i="37"/>
  <c r="BZ123" i="37"/>
  <c r="BZ125" i="37"/>
  <c r="BZ126" i="37"/>
  <c r="BO130" i="37"/>
  <c r="BO135" i="37"/>
  <c r="BO134" i="37"/>
  <c r="BO136" i="37"/>
  <c r="CC130" i="37"/>
  <c r="CC136" i="37"/>
  <c r="CC134" i="37"/>
  <c r="CC135" i="37"/>
  <c r="BU136" i="37"/>
  <c r="BU135" i="37"/>
  <c r="BU134" i="37"/>
  <c r="BQ130" i="37"/>
  <c r="BQ134" i="37"/>
  <c r="BQ135" i="37"/>
  <c r="CV368" i="112"/>
  <c r="DC369" i="112"/>
  <c r="EL369" i="112"/>
  <c r="EM369" i="112"/>
  <c r="EN369" i="112"/>
  <c r="BS184" i="37" l="1" a="1"/>
  <c r="BS184" i="37" s="1"/>
  <c r="BQ126" i="37"/>
  <c r="AA40" i="37"/>
  <c r="BQ189" i="37"/>
  <c r="BS189" i="37" s="1"/>
  <c r="D97" i="139" s="1"/>
  <c r="E97" i="139" s="1"/>
  <c r="F97" i="139" s="1"/>
  <c r="G97" i="139" s="1"/>
  <c r="AA38" i="37"/>
  <c r="BP177" i="37"/>
  <c r="BP181" i="37" s="1"/>
  <c r="AA30" i="37" s="1"/>
  <c r="CA130" i="37"/>
  <c r="CA134" i="37"/>
  <c r="CA135" i="37"/>
  <c r="CA136" i="37"/>
  <c r="CJ123" i="37"/>
  <c r="CJ126" i="37"/>
  <c r="D90" i="139" s="1"/>
  <c r="E90" i="139" s="1"/>
  <c r="F90" i="139" s="1"/>
  <c r="G90" i="139" s="1"/>
  <c r="BP130" i="37"/>
  <c r="BP134" i="37"/>
  <c r="BP136" i="37"/>
  <c r="BP135" i="37"/>
  <c r="CB130" i="37"/>
  <c r="CB134" i="37"/>
  <c r="CB136" i="37"/>
  <c r="CB135" i="37"/>
  <c r="BZ130" i="37"/>
  <c r="BZ134" i="37"/>
  <c r="BZ136" i="37"/>
  <c r="BZ135" i="37"/>
  <c r="BS130" i="37"/>
  <c r="BS136" i="37"/>
  <c r="BS135" i="37"/>
  <c r="BS134" i="37"/>
  <c r="CV369" i="112"/>
  <c r="DC370" i="112"/>
  <c r="EN370" i="112"/>
  <c r="EM370" i="112"/>
  <c r="EL370" i="112"/>
  <c r="CV370" i="112" s="1"/>
  <c r="D296" i="135" l="1"/>
  <c r="E296" i="135" s="1"/>
  <c r="F296" i="135" s="1"/>
  <c r="G296" i="135" s="1"/>
  <c r="D92" i="139"/>
  <c r="E92" i="139" s="1"/>
  <c r="F92" i="139" s="1"/>
  <c r="G92" i="139" s="1"/>
  <c r="D301" i="135"/>
  <c r="E301" i="135" s="1"/>
  <c r="F301" i="135" s="1"/>
  <c r="G301" i="135" s="1"/>
  <c r="D93" i="139"/>
  <c r="E93" i="139" s="1"/>
  <c r="F93" i="139" s="1"/>
  <c r="G93" i="139" s="1"/>
  <c r="D305" i="135"/>
  <c r="E305" i="135" s="1"/>
  <c r="F305" i="135" s="1"/>
  <c r="G305" i="135" s="1"/>
  <c r="D290" i="135"/>
  <c r="E290" i="135" s="1"/>
  <c r="F290" i="135" s="1"/>
  <c r="G290" i="135" s="1"/>
  <c r="AA42" i="37"/>
  <c r="AA46" i="37"/>
  <c r="CJ130" i="37"/>
  <c r="CJ132" i="37" s="1"/>
  <c r="CJ135" i="37"/>
  <c r="CJ136" i="37"/>
  <c r="CJ139" i="37" s="1"/>
  <c r="AA20" i="37" s="1"/>
  <c r="CJ134" i="37"/>
  <c r="AA18" i="37"/>
  <c r="CJ128" i="37"/>
  <c r="AA19" i="37" s="1"/>
  <c r="AA36" i="37"/>
  <c r="BN177" i="37"/>
  <c r="BQ177" i="37" s="1"/>
  <c r="DC371" i="112"/>
  <c r="EL371" i="112"/>
  <c r="EN371" i="112"/>
  <c r="EM371" i="112"/>
  <c r="CV371" i="112" s="1"/>
  <c r="D289" i="135" l="1"/>
  <c r="E289" i="135" s="1"/>
  <c r="F289" i="135" s="1"/>
  <c r="G289" i="135" s="1"/>
  <c r="AA17" i="37"/>
  <c r="CJ137" i="37"/>
  <c r="BR177" i="37"/>
  <c r="BS177" i="37"/>
  <c r="AA24" i="37" s="1"/>
  <c r="EM372" i="112"/>
  <c r="EN372" i="112"/>
  <c r="EL372" i="112"/>
  <c r="DC372" i="112"/>
  <c r="D291" i="135" l="1"/>
  <c r="E291" i="135" s="1"/>
  <c r="F291" i="135" s="1"/>
  <c r="G291" i="135" s="1"/>
  <c r="A2" i="141" s="1" a="1"/>
  <c r="A2" i="141" s="1"/>
  <c r="D91" i="139"/>
  <c r="E91" i="139" s="1"/>
  <c r="F91" i="139" s="1"/>
  <c r="G91" i="139" s="1"/>
  <c r="A2" i="140" s="1" a="1"/>
  <c r="A2" i="140" s="1"/>
  <c r="AA23" i="37"/>
  <c r="AA7" i="37" s="1"/>
  <c r="BR181" i="37"/>
  <c r="AA25" i="37" s="1"/>
  <c r="CV372" i="112"/>
  <c r="CV373" i="112"/>
  <c r="EN373" i="112"/>
  <c r="EM373" i="112"/>
  <c r="DC373" i="112"/>
  <c r="EL373" i="112"/>
  <c r="DC374" i="112" l="1"/>
  <c r="EM374" i="112"/>
  <c r="CV374" i="112"/>
  <c r="EN374" i="112"/>
  <c r="EL374" i="112"/>
  <c r="DC375" i="112" l="1"/>
  <c r="EL375" i="112"/>
  <c r="CV375" i="112"/>
  <c r="EM375" i="112"/>
  <c r="EN375" i="112"/>
  <c r="DC376" i="112" l="1"/>
  <c r="EM376" i="112"/>
  <c r="CV376" i="112"/>
  <c r="EN376" i="112"/>
  <c r="EL376" i="112"/>
  <c r="EN377" i="112" l="1"/>
  <c r="EM377" i="112"/>
  <c r="DC377" i="112"/>
  <c r="EL377" i="112"/>
  <c r="CV377" i="112" s="1"/>
  <c r="DC382" i="112" l="1"/>
  <c r="EL382" i="112"/>
  <c r="EM382" i="112"/>
  <c r="EN382" i="112"/>
  <c r="CV382" i="112" l="1"/>
  <c r="EL383" i="112"/>
  <c r="EM383" i="112"/>
  <c r="EN383" i="112"/>
  <c r="DC383" i="112"/>
  <c r="CV383" i="112" l="1"/>
  <c r="DC384" i="112"/>
  <c r="EM384" i="112"/>
  <c r="EN384" i="112"/>
  <c r="EL384" i="112"/>
  <c r="CV384" i="112" l="1"/>
  <c r="DC385" i="112"/>
  <c r="EL385" i="112"/>
  <c r="EM385" i="112"/>
  <c r="EN385" i="112"/>
  <c r="CV385" i="112" l="1"/>
  <c r="EN386" i="112"/>
  <c r="EL386" i="112"/>
  <c r="DC386" i="112"/>
  <c r="EM386" i="112"/>
  <c r="CV386" i="112" l="1"/>
  <c r="EL387" i="112"/>
  <c r="DC387" i="112"/>
  <c r="EN387" i="112"/>
  <c r="EM387" i="112"/>
  <c r="CV387" i="112" s="1"/>
  <c r="DC388" i="112" l="1"/>
  <c r="EM388" i="112"/>
  <c r="EL388" i="112"/>
  <c r="EN388" i="112"/>
  <c r="CV388" i="112" l="1"/>
  <c r="DC389" i="112"/>
  <c r="EN389" i="112"/>
  <c r="EL389" i="112"/>
  <c r="EM389" i="112"/>
  <c r="CV389" i="112" l="1"/>
  <c r="EM390" i="112"/>
  <c r="EL390" i="112"/>
  <c r="DC390" i="112"/>
  <c r="EN390" i="112"/>
  <c r="CV390" i="112" l="1"/>
  <c r="EN391" i="112"/>
  <c r="EM391" i="112"/>
  <c r="DC391" i="112"/>
  <c r="EL391" i="112"/>
  <c r="CV391" i="112" l="1"/>
  <c r="DC392" i="112"/>
  <c r="EL392" i="112"/>
  <c r="EM392" i="112"/>
  <c r="EN392" i="112"/>
  <c r="CV392" i="112" l="1"/>
  <c r="DC393" i="112"/>
  <c r="EN393" i="112"/>
  <c r="EL393" i="112"/>
  <c r="EM393" i="112"/>
  <c r="CV393" i="112" l="1"/>
  <c r="EM394" i="112"/>
  <c r="DC394" i="112"/>
  <c r="EL394" i="112"/>
  <c r="EN394" i="112"/>
  <c r="CV394" i="112" l="1"/>
  <c r="EL395" i="112"/>
  <c r="EM395" i="112"/>
  <c r="EN395" i="112"/>
  <c r="CV395" i="112" s="1"/>
  <c r="DC395" i="112"/>
  <c r="EN396" i="112" l="1"/>
  <c r="DC396" i="112"/>
  <c r="EL396" i="112"/>
  <c r="EM396" i="112"/>
  <c r="CV396" i="112" l="1"/>
  <c r="DC397" i="112"/>
  <c r="EN397" i="112"/>
  <c r="EL397" i="112"/>
  <c r="EM397" i="112"/>
  <c r="CV397" i="112" s="1"/>
  <c r="DC398" i="112" l="1"/>
  <c r="EN398" i="112"/>
  <c r="EM398" i="112"/>
  <c r="EL398" i="112"/>
  <c r="CV398" i="112" s="1"/>
  <c r="DC399" i="112" l="1"/>
  <c r="EN399" i="112"/>
  <c r="EL399" i="112"/>
  <c r="EM399" i="112"/>
  <c r="CV399" i="112" l="1"/>
  <c r="EN400" i="112"/>
  <c r="DC400" i="112"/>
  <c r="EM400" i="112"/>
  <c r="EL400" i="112"/>
  <c r="CV400" i="112" l="1"/>
  <c r="DC401" i="112"/>
  <c r="EL401" i="112"/>
  <c r="EN401" i="112"/>
  <c r="EM401" i="112"/>
  <c r="CV401" i="112" l="1"/>
  <c r="EM402" i="112"/>
  <c r="DC402" i="112"/>
  <c r="EN402" i="112"/>
  <c r="EL402" i="112"/>
  <c r="CV402" i="112" l="1"/>
  <c r="DC403" i="112"/>
  <c r="EN403" i="112"/>
  <c r="EL403" i="112"/>
  <c r="EM403" i="112"/>
  <c r="CV403" i="112" l="1"/>
  <c r="DC404" i="112"/>
  <c r="EL404" i="112"/>
  <c r="EN404" i="112"/>
  <c r="EM404" i="112"/>
  <c r="CV404" i="112" l="1"/>
  <c r="EM405" i="112"/>
  <c r="EL405" i="112"/>
  <c r="DC405" i="112"/>
  <c r="EN405" i="112"/>
  <c r="CV405" i="112" l="1"/>
  <c r="EL406" i="112"/>
  <c r="EN406" i="112"/>
  <c r="EM406" i="112"/>
  <c r="DC406" i="112"/>
  <c r="CV406" i="112" l="1"/>
  <c r="EM407" i="112"/>
  <c r="DC407" i="112"/>
  <c r="EN407" i="112"/>
  <c r="EL407" i="112"/>
  <c r="CV407" i="112" l="1"/>
  <c r="DC408" i="112"/>
  <c r="EL408" i="112"/>
  <c r="EN408" i="112"/>
  <c r="EM408" i="112"/>
  <c r="CV408" i="112" l="1"/>
  <c r="EL409" i="112"/>
  <c r="EN409" i="112"/>
  <c r="EM409" i="112"/>
  <c r="DC409" i="112"/>
  <c r="CV409" i="112" l="1"/>
  <c r="DC410" i="112"/>
  <c r="EL410" i="112"/>
  <c r="EN410" i="112"/>
  <c r="EM410" i="112"/>
  <c r="CV410" i="112" l="1"/>
  <c r="EN411" i="112"/>
  <c r="DC411" i="112"/>
  <c r="EL411" i="112"/>
  <c r="EM411" i="112"/>
  <c r="CV411" i="112" l="1"/>
  <c r="EL412" i="112"/>
  <c r="EM412" i="112"/>
  <c r="EN412" i="112"/>
  <c r="DC412" i="112"/>
  <c r="CV412" i="112" l="1"/>
  <c r="EM413" i="112"/>
  <c r="EN413" i="112"/>
  <c r="EL413" i="112"/>
  <c r="CV413" i="112" s="1"/>
  <c r="DC413" i="112"/>
  <c r="EN414" i="112" l="1"/>
  <c r="EM414" i="112"/>
  <c r="DC414" i="112"/>
  <c r="EL414" i="112"/>
  <c r="CV414" i="112" l="1"/>
  <c r="DC419" i="112"/>
  <c r="EN419" i="112"/>
  <c r="EL419" i="112"/>
  <c r="EM419" i="112"/>
  <c r="CV419" i="112" s="1"/>
  <c r="EM415" i="112"/>
  <c r="EN415" i="112"/>
  <c r="CV415" i="112" l="1"/>
  <c r="EM416" i="112"/>
  <c r="EN416" i="112"/>
  <c r="EL416" i="112"/>
  <c r="CV416" i="112" s="1"/>
  <c r="DC420" i="112" l="1"/>
  <c r="EN420" i="112"/>
  <c r="EL420" i="112"/>
  <c r="EM420" i="112"/>
  <c r="CV420" i="112" l="1"/>
  <c r="DC421" i="112"/>
  <c r="EM421" i="112"/>
  <c r="EL421" i="112"/>
  <c r="EN421" i="112"/>
  <c r="CV421" i="112" l="1"/>
  <c r="DC422" i="112"/>
  <c r="EM422" i="112"/>
  <c r="EN422" i="112"/>
  <c r="EL422" i="112"/>
  <c r="CV422" i="112" l="1"/>
  <c r="EM423" i="112" l="1"/>
  <c r="DC423" i="112"/>
  <c r="EL423" i="112"/>
  <c r="EN423" i="112"/>
  <c r="CV423" i="112" l="1"/>
  <c r="EM424" i="112"/>
  <c r="DC424" i="112"/>
  <c r="EL424" i="112"/>
  <c r="EN424" i="112"/>
  <c r="CV424" i="112" l="1"/>
  <c r="EN425" i="112"/>
  <c r="EL425" i="112"/>
  <c r="EM425" i="112"/>
  <c r="CV425" i="112" s="1"/>
  <c r="DC425" i="112"/>
  <c r="DC426" i="112" l="1"/>
  <c r="EL426" i="112"/>
  <c r="EN426" i="112"/>
  <c r="EM426" i="112"/>
  <c r="CV426" i="112" l="1"/>
  <c r="EM427" i="112"/>
  <c r="EL427" i="112"/>
  <c r="CV427" i="112" s="1"/>
  <c r="EN427" i="112"/>
  <c r="DC427" i="112"/>
  <c r="EL428" i="112" l="1"/>
  <c r="DC428" i="112"/>
  <c r="EM428" i="112"/>
  <c r="EN428" i="112"/>
  <c r="CV428" i="112"/>
  <c r="EL429" i="112" l="1"/>
  <c r="EN429" i="112"/>
  <c r="EM429" i="112"/>
  <c r="CV429" i="112" s="1"/>
  <c r="DC429" i="112"/>
  <c r="DC430" i="112" l="1"/>
  <c r="EN430" i="112"/>
  <c r="EM430" i="112"/>
  <c r="EL430" i="112"/>
  <c r="CV430" i="112"/>
  <c r="CV431" i="112" l="1"/>
  <c r="EN431" i="112"/>
  <c r="EM431" i="112"/>
  <c r="EL431" i="112"/>
  <c r="DC431" i="112"/>
  <c r="DC436" i="112" l="1"/>
  <c r="EN436" i="112"/>
  <c r="EM436" i="112"/>
  <c r="EL436" i="112"/>
  <c r="CV436" i="112" l="1"/>
  <c r="EL437" i="112"/>
  <c r="EM437" i="112"/>
  <c r="DC437" i="112"/>
  <c r="EN437" i="112"/>
  <c r="CV437" i="112" l="1"/>
  <c r="EN438" i="112"/>
  <c r="EM438" i="112"/>
  <c r="EL438" i="112"/>
  <c r="CV438" i="112" s="1"/>
  <c r="DC438" i="112"/>
  <c r="EN439" i="112" l="1"/>
  <c r="DC439" i="112"/>
  <c r="EM439" i="112"/>
  <c r="EL439" i="112"/>
  <c r="CV439" i="112" l="1"/>
  <c r="EM440" i="112"/>
  <c r="EN440" i="112"/>
  <c r="DC440" i="112"/>
  <c r="EL440" i="112"/>
  <c r="CV440" i="112" s="1"/>
  <c r="DC441" i="112" l="1"/>
  <c r="EN441" i="112"/>
  <c r="EL441" i="112"/>
  <c r="EM441" i="112"/>
  <c r="CV441" i="112" l="1"/>
  <c r="EL442" i="112"/>
  <c r="EN442" i="112"/>
  <c r="EM442" i="112"/>
  <c r="CV442" i="112" s="1"/>
  <c r="DC442" i="112"/>
  <c r="DC443" i="112" l="1"/>
  <c r="EM443" i="112"/>
  <c r="EN443" i="112"/>
  <c r="EL443" i="112"/>
  <c r="CV443" i="112" l="1"/>
  <c r="DC444" i="112"/>
  <c r="EN444" i="112"/>
  <c r="EM444" i="112"/>
  <c r="EL444" i="112"/>
  <c r="CV444" i="112" s="1"/>
  <c r="DC445" i="112" l="1"/>
  <c r="EM445" i="112"/>
  <c r="EL445" i="112"/>
  <c r="CV445" i="112" s="1"/>
  <c r="EN445" i="112"/>
  <c r="DC446" i="112" l="1"/>
  <c r="EM446" i="112"/>
  <c r="EN446" i="112"/>
  <c r="EL446" i="112"/>
  <c r="CV446" i="112" s="1"/>
  <c r="DC447" i="112" l="1"/>
  <c r="EL447" i="112"/>
  <c r="EM447" i="112"/>
  <c r="CV447" i="112" s="1"/>
  <c r="EN447" i="112"/>
  <c r="DC448" i="112" l="1"/>
  <c r="EL448" i="112"/>
  <c r="EM448" i="112"/>
  <c r="EN448" i="112"/>
  <c r="CV448" i="112" l="1"/>
  <c r="DC449" i="112"/>
  <c r="EL449" i="112"/>
  <c r="EM449" i="112"/>
  <c r="EN449" i="112"/>
  <c r="CV449" i="112" l="1"/>
  <c r="DC450" i="112"/>
  <c r="EL450" i="112"/>
  <c r="EM450" i="112"/>
  <c r="CV450" i="112" s="1"/>
  <c r="EN450" i="112"/>
  <c r="P55" i="115"/>
  <c r="AM13" i="121"/>
  <c r="DC451" i="112" l="1"/>
  <c r="EN451" i="112"/>
  <c r="EL451" i="112"/>
  <c r="EM451" i="112"/>
  <c r="CV451" i="112" l="1"/>
  <c r="DC452" i="112"/>
  <c r="EM452" i="112"/>
  <c r="EL452" i="112"/>
  <c r="EN452" i="112"/>
  <c r="CV452" i="112" l="1"/>
  <c r="DC453" i="112"/>
  <c r="EL453" i="112"/>
  <c r="EN453" i="112"/>
  <c r="EM453" i="112"/>
  <c r="CV453" i="112" s="1"/>
  <c r="DC454" i="112" l="1"/>
  <c r="EN454" i="112"/>
  <c r="EL454" i="112"/>
  <c r="CV454" i="112" s="1"/>
  <c r="EM454" i="112"/>
  <c r="DC455" i="112" l="1"/>
  <c r="EL455" i="112"/>
  <c r="CV455" i="112" s="1"/>
  <c r="EM455" i="112"/>
  <c r="EN455" i="112"/>
  <c r="DC456" i="112" l="1"/>
  <c r="CV456" i="112"/>
  <c r="EN456" i="112"/>
  <c r="EL456" i="112"/>
  <c r="EM456" i="112"/>
  <c r="DC457" i="112" l="1"/>
  <c r="CV457" i="112"/>
  <c r="EL457" i="112"/>
  <c r="EM457" i="112"/>
  <c r="EN457" i="112"/>
  <c r="DC458" i="112" l="1"/>
  <c r="EM458" i="112"/>
  <c r="EL458" i="112"/>
  <c r="EN458" i="112"/>
  <c r="CV458" i="112"/>
  <c r="DC459" i="112" l="1"/>
  <c r="EL459" i="112"/>
  <c r="CV459" i="112"/>
  <c r="EM459" i="112"/>
  <c r="EN459" i="112"/>
  <c r="DC460" i="112" l="1"/>
  <c r="EN460" i="112"/>
  <c r="EL460" i="112"/>
  <c r="EM460" i="112"/>
  <c r="CV460" i="112"/>
  <c r="DC461" i="112" l="1"/>
  <c r="EL461" i="112"/>
  <c r="EM461" i="112"/>
  <c r="EN461" i="112"/>
  <c r="CV461" i="112"/>
  <c r="DC462" i="112" l="1"/>
  <c r="EM462" i="112"/>
  <c r="EN462" i="112"/>
  <c r="EL462" i="112"/>
  <c r="CV462" i="112" s="1"/>
  <c r="DC463" i="112" l="1"/>
  <c r="EN463" i="112"/>
  <c r="EM463" i="112"/>
  <c r="EL463" i="112"/>
  <c r="CV463" i="112"/>
  <c r="DC464" i="112" l="1"/>
  <c r="EL464" i="112"/>
  <c r="EM464" i="112"/>
  <c r="EN464" i="112"/>
  <c r="CV464" i="112"/>
  <c r="DC465" i="112" l="1"/>
  <c r="CV465" i="112"/>
  <c r="EL465" i="112"/>
  <c r="EM465" i="112"/>
  <c r="EN465" i="112"/>
  <c r="DC466" i="112" l="1"/>
  <c r="EN466" i="112"/>
  <c r="CV466" i="112"/>
  <c r="EL466" i="112"/>
  <c r="EM466" i="112"/>
  <c r="DC467" i="112" l="1"/>
  <c r="CV467" i="112"/>
  <c r="EL467" i="112"/>
  <c r="EM467" i="112"/>
  <c r="EN467" i="112"/>
  <c r="DC468" i="112" l="1"/>
  <c r="EL468" i="112"/>
  <c r="EN468" i="112"/>
  <c r="EM468" i="112"/>
  <c r="CV468" i="112"/>
  <c r="DC469" i="112" l="1"/>
  <c r="EM469" i="112"/>
  <c r="EN469" i="112"/>
  <c r="EL469" i="112"/>
  <c r="CV469" i="112" s="1"/>
  <c r="DC470" i="112" l="1"/>
  <c r="EN470" i="112"/>
  <c r="EM470" i="112"/>
  <c r="EL470" i="112"/>
  <c r="CV470" i="112" s="1"/>
  <c r="EL471" i="112" l="1"/>
  <c r="CV471" i="112" s="1"/>
  <c r="EN471" i="112"/>
  <c r="DC471" i="112"/>
  <c r="EM471" i="112"/>
  <c r="EL472" i="112" l="1"/>
  <c r="DC472" i="112"/>
  <c r="EM472" i="112"/>
  <c r="EN472" i="112"/>
  <c r="CV472" i="112"/>
  <c r="EN473" i="112" l="1"/>
  <c r="DC473" i="112"/>
  <c r="EL473" i="112"/>
  <c r="EM473" i="112"/>
  <c r="CV473" i="112"/>
  <c r="DC478" i="112" l="1"/>
  <c r="EN478" i="112"/>
  <c r="EM478" i="112"/>
  <c r="EL478" i="112"/>
  <c r="CV478" i="112" l="1"/>
  <c r="DC479" i="112"/>
  <c r="EL479" i="112"/>
  <c r="EM479" i="112"/>
  <c r="CV479" i="112" s="1"/>
  <c r="EN479" i="112"/>
  <c r="EN480" i="112" l="1"/>
  <c r="DC480" i="112"/>
  <c r="EL480" i="112"/>
  <c r="EM480" i="112"/>
  <c r="CV480" i="112" s="1"/>
  <c r="EM481" i="112" l="1"/>
  <c r="DC481" i="112"/>
  <c r="EL481" i="112"/>
  <c r="CV481" i="112" s="1"/>
  <c r="EN481" i="112"/>
  <c r="EL482" i="112" l="1"/>
  <c r="EN482" i="112"/>
  <c r="EM482" i="112"/>
  <c r="DC482" i="112"/>
  <c r="CV482" i="112"/>
  <c r="DC483" i="112" l="1"/>
  <c r="EL483" i="112"/>
  <c r="CV483" i="112" s="1"/>
  <c r="EM483" i="112"/>
  <c r="EN483" i="112"/>
  <c r="EM484" i="112" l="1"/>
  <c r="EL484" i="112"/>
  <c r="EN484" i="112"/>
  <c r="CV484" i="112" s="1"/>
  <c r="DC484" i="112"/>
  <c r="EM485" i="112" l="1"/>
  <c r="EL485" i="112"/>
  <c r="CV485" i="112" s="1"/>
  <c r="EN485" i="112"/>
  <c r="DC485" i="112"/>
  <c r="DC486" i="112" l="1"/>
  <c r="EL486" i="112"/>
  <c r="EM486" i="112"/>
  <c r="CV486" i="112" s="1"/>
  <c r="EN486" i="112"/>
  <c r="DC487" i="112" l="1"/>
  <c r="EL487" i="112"/>
  <c r="EN487" i="112"/>
  <c r="EM487" i="112"/>
  <c r="CV487" i="112"/>
  <c r="EL488" i="112" l="1"/>
  <c r="DC488" i="112"/>
  <c r="EN488" i="112"/>
  <c r="EM488" i="112"/>
  <c r="CV488" i="112"/>
  <c r="EL489" i="112" l="1"/>
  <c r="EN489" i="112"/>
  <c r="DC489" i="112"/>
  <c r="CV489" i="112"/>
  <c r="EM489" i="112"/>
  <c r="DC490" i="112" l="1"/>
  <c r="EN490" i="112"/>
  <c r="EM490" i="112"/>
  <c r="EL490" i="112"/>
  <c r="CV490" i="112"/>
  <c r="EN491" i="112" l="1"/>
  <c r="DC491" i="112"/>
  <c r="EM491" i="112"/>
  <c r="EL491" i="112"/>
  <c r="CV491" i="112"/>
  <c r="EL497" i="112" l="1"/>
  <c r="EN497" i="112"/>
  <c r="EM497" i="112"/>
  <c r="DC497" i="112"/>
  <c r="CV497" i="112" l="1"/>
  <c r="DC498" i="112"/>
  <c r="EN498" i="112"/>
  <c r="EL498" i="112"/>
  <c r="EM498" i="112"/>
  <c r="CV498" i="112" l="1"/>
  <c r="EL499" i="112"/>
  <c r="DC499" i="112"/>
  <c r="EM499" i="112"/>
  <c r="EN499" i="112"/>
  <c r="CV499" i="112" s="1"/>
  <c r="EN500" i="112" l="1"/>
  <c r="EM500" i="112"/>
  <c r="EL500" i="112"/>
  <c r="CV500" i="112" s="1"/>
  <c r="DC500" i="112"/>
  <c r="EN501" i="112" l="1"/>
  <c r="EM501" i="112"/>
  <c r="CV501" i="112" s="1"/>
  <c r="EL501" i="112"/>
  <c r="DC501" i="112"/>
  <c r="DC502" i="112" l="1"/>
  <c r="EL502" i="112"/>
  <c r="EN502" i="112"/>
  <c r="EM502" i="112"/>
  <c r="CV502" i="112" l="1"/>
  <c r="DC507" i="112"/>
  <c r="EM507" i="112"/>
  <c r="EL507" i="112"/>
  <c r="EN507" i="112"/>
  <c r="CV507" i="112" l="1"/>
  <c r="DC508" i="112"/>
  <c r="EN508" i="112"/>
  <c r="EM508" i="112"/>
  <c r="EL508" i="112"/>
  <c r="CV508" i="112" s="1"/>
  <c r="DC509" i="112" l="1"/>
  <c r="EM509" i="112"/>
  <c r="EN509" i="112"/>
  <c r="EL509" i="112"/>
  <c r="CV509" i="112" s="1"/>
  <c r="EM510" i="112" l="1"/>
  <c r="DC510" i="112"/>
  <c r="EL510" i="112"/>
  <c r="EN510" i="112"/>
  <c r="CV510" i="112" l="1"/>
  <c r="EL511" i="112"/>
  <c r="EM511" i="112"/>
  <c r="EN511" i="112"/>
  <c r="CV511" i="112" s="1"/>
  <c r="DC511" i="112"/>
  <c r="EN512" i="112" l="1"/>
  <c r="DC512" i="112"/>
  <c r="EL512" i="112"/>
  <c r="CV512" i="112" s="1"/>
  <c r="EM512" i="112"/>
  <c r="EM513" i="112" l="1"/>
  <c r="EL513" i="112"/>
  <c r="CV513" i="112" s="1"/>
  <c r="DC513" i="112"/>
  <c r="EN513" i="112"/>
  <c r="EN514" i="112" l="1"/>
  <c r="EL514" i="112"/>
  <c r="EM514" i="112"/>
  <c r="DC514" i="112"/>
  <c r="CV514" i="112"/>
  <c r="EL520" i="112" l="1"/>
  <c r="EM520" i="112"/>
  <c r="EN520" i="112"/>
  <c r="DC520" i="112"/>
  <c r="CV520" i="112" l="1"/>
  <c r="EL521" i="112"/>
  <c r="DC521" i="112"/>
  <c r="EN521" i="112"/>
  <c r="EM521" i="112"/>
  <c r="DC522" i="112" l="1"/>
  <c r="CV521" i="112"/>
  <c r="EN522" i="112"/>
  <c r="EM522" i="112"/>
  <c r="EL522" i="112"/>
  <c r="CV522" i="112" l="1"/>
  <c r="EL523" i="112"/>
  <c r="EM523" i="112"/>
  <c r="EN523" i="112"/>
  <c r="DC523" i="112"/>
  <c r="CV523" i="112" l="1"/>
  <c r="EM524" i="112"/>
  <c r="EN524" i="112"/>
  <c r="EL524" i="112"/>
  <c r="DC524" i="112"/>
  <c r="CV524" i="112" l="1"/>
  <c r="EL525" i="112"/>
  <c r="DC525" i="112"/>
  <c r="EM525" i="112"/>
  <c r="EN525" i="112"/>
  <c r="CV525" i="112" l="1"/>
  <c r="DC526" i="112"/>
  <c r="EM526" i="112"/>
  <c r="EL526" i="112"/>
  <c r="CV526" i="112" s="1"/>
  <c r="EN526" i="112"/>
  <c r="EN527" i="112" l="1"/>
  <c r="EM527" i="112"/>
  <c r="EL527" i="112"/>
  <c r="CV527" i="112" s="1"/>
  <c r="DC527" i="112"/>
  <c r="EL528" i="112" l="1"/>
  <c r="EM528" i="112"/>
  <c r="DC528" i="112"/>
  <c r="EN528" i="112"/>
  <c r="CV528" i="112" l="1"/>
  <c r="EM529" i="112"/>
  <c r="DC529" i="112"/>
  <c r="EL529" i="112"/>
  <c r="EN529" i="112"/>
  <c r="DC530" i="112" l="1"/>
  <c r="EM530" i="112"/>
  <c r="EN530" i="112"/>
  <c r="EL530" i="112"/>
  <c r="CV530" i="112" s="1"/>
  <c r="EN531" i="112" l="1"/>
  <c r="EM531" i="112"/>
  <c r="EL531" i="112"/>
  <c r="CV531" i="112" s="1"/>
  <c r="DC531" i="112"/>
  <c r="EN532" i="112" l="1"/>
  <c r="EM532" i="112"/>
  <c r="EL532" i="112"/>
  <c r="CV532" i="112" s="1"/>
  <c r="DC532" i="112"/>
  <c r="DC533" i="112" l="1"/>
  <c r="EN533" i="112"/>
  <c r="EM533" i="112"/>
  <c r="EL533" i="112"/>
  <c r="D11" i="111"/>
  <c r="CV533" i="112" l="1"/>
  <c r="BA1" i="111"/>
  <c r="BA2" i="111" s="1" a="1"/>
  <c r="BA2" i="111" s="1"/>
  <c r="Z16" i="111"/>
  <c r="AK12" i="111"/>
  <c r="BF1" i="111"/>
  <c r="BO1" i="111"/>
  <c r="BQ1" i="111"/>
  <c r="BL1" i="111"/>
  <c r="BP1" i="111"/>
  <c r="BS1" i="111"/>
  <c r="BD1" i="111"/>
  <c r="BC1" i="111"/>
  <c r="BG1" i="111"/>
  <c r="BJ1" i="111"/>
  <c r="BI1" i="111"/>
  <c r="BN1" i="111"/>
  <c r="BK1" i="111"/>
  <c r="BM1" i="111"/>
  <c r="BT1" i="111"/>
  <c r="BB1" i="111"/>
  <c r="BH1" i="111"/>
  <c r="BE1" i="111"/>
  <c r="BR1" i="111"/>
  <c r="K11" i="111"/>
  <c r="D393" i="111"/>
  <c r="K430" i="111"/>
  <c r="D250" i="111"/>
  <c r="Z435" i="111"/>
  <c r="D513" i="111"/>
  <c r="D453" i="111"/>
  <c r="K550" i="111"/>
  <c r="D130" i="111"/>
  <c r="D153" i="111"/>
  <c r="K310" i="111"/>
  <c r="K190" i="111"/>
  <c r="Z338" i="111"/>
  <c r="D93" i="111"/>
  <c r="Z555" i="111"/>
  <c r="K273" i="111"/>
  <c r="D190" i="111"/>
  <c r="D273" i="111"/>
  <c r="D430" i="111"/>
  <c r="K130" i="111"/>
  <c r="D213" i="111"/>
  <c r="Z98" i="111"/>
  <c r="D550" i="111"/>
  <c r="D333" i="111"/>
  <c r="K250" i="111"/>
  <c r="Z398" i="111"/>
  <c r="D370" i="111"/>
  <c r="D70" i="111"/>
  <c r="Z518" i="111"/>
  <c r="K453" i="111"/>
  <c r="D310" i="111"/>
  <c r="K393" i="111"/>
  <c r="K333" i="111"/>
  <c r="Z458" i="111"/>
  <c r="K370" i="111"/>
  <c r="K490" i="111"/>
  <c r="Z255" i="111"/>
  <c r="Z75" i="111"/>
  <c r="K573" i="111"/>
  <c r="Z218" i="111"/>
  <c r="Z315" i="111"/>
  <c r="Z158" i="111"/>
  <c r="Z495" i="111"/>
  <c r="Z278" i="111"/>
  <c r="K213" i="111"/>
  <c r="K513" i="111"/>
  <c r="K34" i="111"/>
  <c r="Z135" i="111"/>
  <c r="Z195" i="111"/>
  <c r="K93" i="111"/>
  <c r="D490" i="111"/>
  <c r="Z375" i="111"/>
  <c r="Z578" i="111"/>
  <c r="D34" i="111"/>
  <c r="K70" i="111"/>
  <c r="Z39" i="111"/>
  <c r="K153" i="111"/>
  <c r="D573" i="111"/>
  <c r="EN534" i="112"/>
  <c r="EM534" i="112"/>
  <c r="EL534" i="112"/>
  <c r="DC534" i="112"/>
  <c r="CV534" i="112" l="1"/>
  <c r="AK191" i="111"/>
  <c r="AK131" i="111"/>
  <c r="AK574" i="111"/>
  <c r="AK394" i="111"/>
  <c r="AK334" i="111"/>
  <c r="AK154" i="111"/>
  <c r="AK311" i="111"/>
  <c r="AK551" i="111"/>
  <c r="AK454" i="111"/>
  <c r="AK35" i="111"/>
  <c r="AK94" i="111"/>
  <c r="AK514" i="111"/>
  <c r="AK274" i="111"/>
  <c r="AK214" i="111"/>
  <c r="AK71" i="111"/>
  <c r="AK251" i="111"/>
  <c r="AK491" i="111"/>
  <c r="AK371" i="111"/>
  <c r="AK431" i="111"/>
  <c r="BA4" i="111" a="1"/>
  <c r="BA4" i="111" s="1"/>
  <c r="BA3" i="111" a="1"/>
  <c r="BA3" i="111" s="1"/>
  <c r="BT3" i="111" a="1"/>
  <c r="BT3" i="111" s="1"/>
  <c r="BT2" i="111" a="1"/>
  <c r="BT2" i="111" s="1"/>
  <c r="BT4" i="111" a="1"/>
  <c r="BT4" i="111" s="1"/>
  <c r="BD3" i="111" a="1"/>
  <c r="BD3" i="111" s="1"/>
  <c r="BD2" i="111" a="1"/>
  <c r="BD2" i="111" s="1"/>
  <c r="BD4" i="111" a="1"/>
  <c r="BD4" i="111" s="1"/>
  <c r="BM4" i="111" a="1"/>
  <c r="BM4" i="111" s="1"/>
  <c r="BM2" i="111" a="1"/>
  <c r="BM2" i="111" s="1"/>
  <c r="BM3" i="111" a="1"/>
  <c r="BM3" i="111" s="1"/>
  <c r="BS3" i="111" a="1"/>
  <c r="BS3" i="111" s="1"/>
  <c r="BS4" i="111" a="1"/>
  <c r="BS4" i="111" s="1"/>
  <c r="BS2" i="111" a="1"/>
  <c r="BS2" i="111" s="1"/>
  <c r="BK3" i="111" a="1"/>
  <c r="BK3" i="111" s="1"/>
  <c r="BK4" i="111" a="1"/>
  <c r="BK4" i="111" s="1"/>
  <c r="BK2" i="111" a="1"/>
  <c r="BK2" i="111" s="1"/>
  <c r="BP4" i="111" a="1"/>
  <c r="BP4" i="111" s="1"/>
  <c r="BP2" i="111" a="1"/>
  <c r="BP2" i="111" s="1"/>
  <c r="BP3" i="111" a="1"/>
  <c r="BP3" i="111" s="1"/>
  <c r="BN4" i="111" a="1"/>
  <c r="BN4" i="111" s="1"/>
  <c r="BN3" i="111" a="1"/>
  <c r="BN3" i="111" s="1"/>
  <c r="BN2" i="111" a="1"/>
  <c r="BN2" i="111" s="1"/>
  <c r="BL3" i="111" a="1"/>
  <c r="BL3" i="111" s="1"/>
  <c r="BL2" i="111" a="1"/>
  <c r="BL2" i="111" s="1"/>
  <c r="BL4" i="111" a="1"/>
  <c r="BL4" i="111" s="1"/>
  <c r="BR2" i="111" a="1"/>
  <c r="BR2" i="111" s="1"/>
  <c r="BR4" i="111" a="1"/>
  <c r="BR4" i="111" s="1"/>
  <c r="BR3" i="111" a="1"/>
  <c r="BR3" i="111" s="1"/>
  <c r="BI2" i="111" a="1"/>
  <c r="BI2" i="111" s="1"/>
  <c r="BI4" i="111" a="1"/>
  <c r="BI4" i="111" s="1"/>
  <c r="BI3" i="111" a="1"/>
  <c r="BI3" i="111" s="1"/>
  <c r="BQ2" i="111" a="1"/>
  <c r="BQ2" i="111" s="1"/>
  <c r="BQ4" i="111" a="1"/>
  <c r="BQ4" i="111" s="1"/>
  <c r="BQ3" i="111" a="1"/>
  <c r="BQ3" i="111" s="1"/>
  <c r="BE3" i="111" a="1"/>
  <c r="BE3" i="111" s="1"/>
  <c r="BE2" i="111" a="1"/>
  <c r="BE2" i="111" s="1"/>
  <c r="BE4" i="111" a="1"/>
  <c r="BE4" i="111" s="1"/>
  <c r="BJ2" i="111" a="1"/>
  <c r="BJ2" i="111" s="1"/>
  <c r="BJ4" i="111" a="1"/>
  <c r="BJ4" i="111" s="1"/>
  <c r="BJ3" i="111" a="1"/>
  <c r="BJ3" i="111" s="1"/>
  <c r="BO4" i="111" a="1"/>
  <c r="BO4" i="111" s="1"/>
  <c r="BO3" i="111" a="1"/>
  <c r="BO3" i="111" s="1"/>
  <c r="BO2" i="111" a="1"/>
  <c r="BO2" i="111" s="1"/>
  <c r="BH4" i="111" a="1"/>
  <c r="BH4" i="111" s="1"/>
  <c r="BH2" i="111" a="1"/>
  <c r="BH2" i="111" s="1"/>
  <c r="BH3" i="111" a="1"/>
  <c r="BH3" i="111" s="1"/>
  <c r="BG4" i="111" a="1"/>
  <c r="BG4" i="111" s="1"/>
  <c r="BG3" i="111" a="1"/>
  <c r="BG3" i="111" s="1"/>
  <c r="BG2" i="111" a="1"/>
  <c r="BG2" i="111" s="1"/>
  <c r="BF4" i="111" a="1"/>
  <c r="BF4" i="111" s="1"/>
  <c r="BF2" i="111" a="1"/>
  <c r="BF2" i="111" s="1"/>
  <c r="BF3" i="111" a="1"/>
  <c r="BF3" i="111" s="1"/>
  <c r="BB2" i="111" a="1"/>
  <c r="BB2" i="111" s="1"/>
  <c r="BB4" i="111" a="1"/>
  <c r="BB4" i="111" s="1"/>
  <c r="BB3" i="111" a="1"/>
  <c r="BB3" i="111" s="1"/>
  <c r="BC4" i="111" a="1"/>
  <c r="BC4" i="111" s="1"/>
  <c r="BC2" i="111" a="1"/>
  <c r="BC2" i="111" s="1"/>
  <c r="BC3" i="111" a="1"/>
  <c r="BC3" i="111" s="1"/>
  <c r="FU316" i="112"/>
  <c r="AB1" i="111" l="1"/>
  <c r="AD1" i="111"/>
  <c r="AR1" i="111"/>
  <c r="AH1" i="111"/>
  <c r="AT2" i="111"/>
  <c r="AJ2" i="111"/>
  <c r="AL1" i="111"/>
  <c r="AF1" i="111"/>
  <c r="AT1" i="111"/>
  <c r="AB2" i="111"/>
  <c r="AP1" i="111"/>
  <c r="AN1" i="111"/>
  <c r="AD2" i="111"/>
  <c r="AH2" i="111"/>
  <c r="AJ1" i="111"/>
  <c r="AR2" i="111"/>
  <c r="AP2" i="111"/>
  <c r="AN2" i="111"/>
  <c r="AL2" i="111"/>
  <c r="AF2" i="111"/>
  <c r="AH101" i="114"/>
  <c r="AH101" i="115" s="1"/>
  <c r="FT316" i="112"/>
  <c r="T101" i="114" l="1"/>
  <c r="W101" i="114"/>
  <c r="W101" i="115" s="1"/>
  <c r="Y101" i="114"/>
  <c r="O101" i="114"/>
  <c r="O101" i="115" s="1"/>
  <c r="T101" i="115" l="1"/>
  <c r="R101" i="114"/>
  <c r="R101" i="1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 authorId="0" shapeId="0" xr:uid="{D55C8775-C33E-4B5E-88AC-E5A7247D1731}">
      <text>
        <r>
          <rPr>
            <b/>
            <sz val="48"/>
            <color indexed="81"/>
            <rFont val="Meiryo UI"/>
            <family val="3"/>
            <charset val="128"/>
          </rPr>
          <t xml:space="preserve">・図面は、このExcelファイルとは別に、
　PDF形式で
　1つのファイルにまとめて添付してください。
</t>
        </r>
        <r>
          <rPr>
            <b/>
            <sz val="20"/>
            <color indexed="81"/>
            <rFont val="Meiryo UI"/>
            <family val="3"/>
            <charset val="128"/>
          </rPr>
          <t xml:space="preserve">
　※　　まとめる際、用紙サイズ設定・縮尺に注意してください。
　　　　（図面中に、極力、スケールバーを表示し、縮尺ずれに備えるようにしてください。）</t>
        </r>
      </text>
    </comment>
    <comment ref="A3" authorId="0" shapeId="0" xr:uid="{4796D833-8435-488D-87B5-87EE5C625EDB}">
      <text>
        <r>
          <rPr>
            <sz val="20"/>
            <color indexed="81"/>
            <rFont val="Meiryo UI"/>
            <family val="3"/>
            <charset val="128"/>
          </rPr>
          <t xml:space="preserve">
１　必要図面
　・付近見取図
　・配置図
　・各階平面図
２　記載事項
(1)指摘事項（※）
　・指摘事項（要是正（既存不適格を含む。）及び特記すべき事項）について、
　　図中に以下を記入
　　・箇所
　　・写真を撮影した位置
　　・調査結果表の項目番号
　　・内容
(2)その他一般事項
　・付近見取図
　　・方位，道路及び目標となる地物
　・配置図
　　・縮尺及び方位
　　・敷地の境界線
　　・敷地内における建築物の位置及び用途
　　・敷地が接する道路の位置，幅員及び種類
　　・敷地が道路に接する部分及びその長さ
　・各階平面図
　　・縮尺、方位及び寸法
　　・間取り及び各室の用途
　　・開口部の位置及び種類
　　・防火設備の位置及び種類
　　・昇降機の位置及び種類
　　・延焼のおそれがある部分の外壁及び軒裏の構造
　　・防火区画の位置（※）
　　・非常口、非常用進入口及び避難施設の位置
（※）印は、平成20年国土交通省告示第282号別記調査結果表別添1様式による記載事項です。
（※）印以外は、京都市建築基準法施行細則別表第6による記載事項です。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6" authorId="0" shapeId="0" xr:uid="{70307613-A527-43CC-8CD2-1B3C330F1440}">
      <text>
        <r>
          <rPr>
            <b/>
            <sz val="18"/>
            <color indexed="81"/>
            <rFont val="Meiryo UI"/>
            <family val="3"/>
            <charset val="128"/>
          </rPr>
          <t xml:space="preserve">・この様式は、直接編集ができません。
</t>
        </r>
        <r>
          <rPr>
            <sz val="12"/>
            <color indexed="81"/>
            <rFont val="Meiryo UI"/>
            <family val="3"/>
            <charset val="128"/>
          </rPr>
          <t>・入力シートに記入した内容が転記されます。
・転記された内容に誤りがないか確認してください。
・印刷する場合は、文字が切れて表示されていないか確認してください。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6" authorId="0" shapeId="0" xr:uid="{7F797BDC-F924-4697-9D69-021E9C9E8A34}">
      <text>
        <r>
          <rPr>
            <b/>
            <sz val="18"/>
            <color indexed="81"/>
            <rFont val="Meiryo UI"/>
            <family val="3"/>
            <charset val="128"/>
          </rPr>
          <t xml:space="preserve">・この様式は、直接編集ができません。
</t>
        </r>
        <r>
          <rPr>
            <sz val="12"/>
            <color indexed="81"/>
            <rFont val="Meiryo UI"/>
            <family val="3"/>
            <charset val="128"/>
          </rPr>
          <t>・入力シートに記入した内容が転記されます。
・転記された内容に誤りがないか確認してください。
・印刷する場合は、文字が切れて表示されていないか確認してください。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274B4BAE-32BE-48F2-9BF5-E0203B29DF3A}">
      <text>
        <r>
          <rPr>
            <b/>
            <sz val="18"/>
            <color indexed="81"/>
            <rFont val="Meiryo UI"/>
            <family val="3"/>
            <charset val="128"/>
          </rPr>
          <t xml:space="preserve">・この様式は、直接編集ができません。
</t>
        </r>
        <r>
          <rPr>
            <sz val="12"/>
            <color indexed="81"/>
            <rFont val="Meiryo UI"/>
            <family val="3"/>
            <charset val="128"/>
          </rPr>
          <t>・入力シートに記入した内容が転記されます。
・転記された内容に誤りがないか確認してください。
・印刷する場合は、文字が切れて表示されていないが確認してください。
　また、不要なページが印刷されることがありますので、印刷範囲に注意してください。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<sst xmlns="http://schemas.openxmlformats.org/spreadsheetml/2006/main" count="21220" uniqueCount="3439">
  <si>
    <t>　「部位」欄の「番号」、「調査項目」は、それぞれ別記様式の番号、調査項目に対応したものを記入して下さい。</t>
    <rPh sb="2" eb="4">
      <t>ブイ</t>
    </rPh>
    <rPh sb="5" eb="6">
      <t>ラン</t>
    </rPh>
    <rPh sb="8" eb="10">
      <t>バンゴウ</t>
    </rPh>
    <rPh sb="13" eb="15">
      <t>チョウサ</t>
    </rPh>
    <rPh sb="15" eb="17">
      <t>コウモク</t>
    </rPh>
    <rPh sb="24" eb="26">
      <t>ベッキ</t>
    </rPh>
    <rPh sb="26" eb="28">
      <t>ヨウシキ</t>
    </rPh>
    <rPh sb="29" eb="31">
      <t>バンゴウ</t>
    </rPh>
    <rPh sb="32" eb="34">
      <t>チョウサ</t>
    </rPh>
    <rPh sb="34" eb="36">
      <t>コウモク</t>
    </rPh>
    <rPh sb="37" eb="39">
      <t>タイオウ</t>
    </rPh>
    <phoneticPr fontId="3"/>
  </si>
  <si>
    <t>⑤</t>
    <phoneticPr fontId="3"/>
  </si>
  <si>
    <t>　写真は、当該部位の外観の状況が確認できるように撮影したものを添付してください。</t>
    <rPh sb="1" eb="3">
      <t>シャシン</t>
    </rPh>
    <rPh sb="5" eb="7">
      <t>トウガイ</t>
    </rPh>
    <rPh sb="7" eb="9">
      <t>ブイ</t>
    </rPh>
    <rPh sb="10" eb="12">
      <t>ガイカン</t>
    </rPh>
    <rPh sb="13" eb="15">
      <t>ジョウキョウ</t>
    </rPh>
    <rPh sb="16" eb="18">
      <t>カクニン</t>
    </rPh>
    <rPh sb="24" eb="26">
      <t>サツエイ</t>
    </rPh>
    <rPh sb="31" eb="33">
      <t>テンプ</t>
    </rPh>
    <phoneticPr fontId="3"/>
  </si>
  <si>
    <t>第</t>
    <rPh sb="0" eb="1">
      <t>ダイ</t>
    </rPh>
    <phoneticPr fontId="3"/>
  </si>
  <si>
    <t>号</t>
    <rPh sb="0" eb="1">
      <t>ゴウ</t>
    </rPh>
    <phoneticPr fontId="3"/>
  </si>
  <si>
    <t>様</t>
    <rPh sb="0" eb="1">
      <t>ヨウ</t>
    </rPh>
    <phoneticPr fontId="3"/>
  </si>
  <si>
    <t>式</t>
    <rPh sb="0" eb="1">
      <t>シキ</t>
    </rPh>
    <phoneticPr fontId="3"/>
  </si>
  <si>
    <t>調</t>
    <rPh sb="0" eb="1">
      <t>チョウ</t>
    </rPh>
    <phoneticPr fontId="3"/>
  </si>
  <si>
    <t>査</t>
    <rPh sb="0" eb="1">
      <t>サ</t>
    </rPh>
    <phoneticPr fontId="3"/>
  </si>
  <si>
    <t>項</t>
    <rPh sb="0" eb="1">
      <t>コウ</t>
    </rPh>
    <phoneticPr fontId="3"/>
  </si>
  <si>
    <t>記</t>
    <rPh sb="0" eb="1">
      <t>キ</t>
    </rPh>
    <phoneticPr fontId="3"/>
  </si>
  <si>
    <t>特</t>
    <rPh sb="0" eb="1">
      <t>トク</t>
    </rPh>
    <phoneticPr fontId="3"/>
  </si>
  <si>
    <t>年</t>
    <rPh sb="0" eb="1">
      <t>ネン</t>
    </rPh>
    <phoneticPr fontId="3"/>
  </si>
  <si>
    <t>他</t>
    <rPh sb="0" eb="1">
      <t>タ</t>
    </rPh>
    <phoneticPr fontId="3"/>
  </si>
  <si>
    <t>要</t>
    <rPh sb="0" eb="1">
      <t>ヨウ</t>
    </rPh>
    <phoneticPr fontId="3"/>
  </si>
  <si>
    <t>正</t>
    <rPh sb="0" eb="1">
      <t>セイ</t>
    </rPh>
    <phoneticPr fontId="3"/>
  </si>
  <si>
    <t>事</t>
    <rPh sb="0" eb="1">
      <t>コト</t>
    </rPh>
    <phoneticPr fontId="3"/>
  </si>
  <si>
    <t>階</t>
    <rPh sb="0" eb="1">
      <t>カイ</t>
    </rPh>
    <phoneticPr fontId="3"/>
  </si>
  <si>
    <t>別</t>
    <rPh sb="0" eb="1">
      <t>ベツ</t>
    </rPh>
    <phoneticPr fontId="3"/>
  </si>
  <si>
    <t>床</t>
    <rPh sb="0" eb="1">
      <t>ユカ</t>
    </rPh>
    <phoneticPr fontId="3"/>
  </si>
  <si>
    <t>有</t>
    <rPh sb="0" eb="1">
      <t>アリ</t>
    </rPh>
    <phoneticPr fontId="3"/>
  </si>
  <si>
    <t>是</t>
    <rPh sb="0" eb="1">
      <t>コレ</t>
    </rPh>
    <phoneticPr fontId="3"/>
  </si>
  <si>
    <t>）</t>
    <phoneticPr fontId="3"/>
  </si>
  <si>
    <t>の</t>
    <phoneticPr fontId="3"/>
  </si>
  <si>
    <t>改善（予定）
年月</t>
    <rPh sb="0" eb="2">
      <t>カイゼン</t>
    </rPh>
    <rPh sb="3" eb="5">
      <t>ヨテイ</t>
    </rPh>
    <rPh sb="7" eb="9">
      <t>ネンゲツ</t>
    </rPh>
    <phoneticPr fontId="3"/>
  </si>
  <si>
    <t>（</t>
    <phoneticPr fontId="3"/>
  </si>
  <si>
    <t>(</t>
    <phoneticPr fontId="3"/>
  </si>
  <si>
    <t>そ</t>
    <phoneticPr fontId="3"/>
  </si>
  <si>
    <t>㎡</t>
    <phoneticPr fontId="3"/>
  </si>
  <si>
    <t>当該調査に関与した調査者</t>
    <rPh sb="0" eb="2">
      <t>トウガイ</t>
    </rPh>
    <rPh sb="2" eb="4">
      <t>チョウサ</t>
    </rPh>
    <rPh sb="5" eb="7">
      <t>カンヨ</t>
    </rPh>
    <rPh sb="9" eb="12">
      <t>チョウサシャ</t>
    </rPh>
    <phoneticPr fontId="3"/>
  </si>
  <si>
    <t>調査者番号</t>
    <rPh sb="0" eb="3">
      <t>チョウサシャ</t>
    </rPh>
    <rPh sb="3" eb="5">
      <t>バンゴウ</t>
    </rPh>
    <phoneticPr fontId="3"/>
  </si>
  <si>
    <t>番号</t>
    <rPh sb="0" eb="2">
      <t>バンゴウ</t>
    </rPh>
    <phoneticPr fontId="3"/>
  </si>
  <si>
    <t>調　査　項　目</t>
    <rPh sb="0" eb="1">
      <t>チョウ</t>
    </rPh>
    <rPh sb="2" eb="3">
      <t>サ</t>
    </rPh>
    <phoneticPr fontId="3"/>
  </si>
  <si>
    <t>調査結果</t>
    <rPh sb="0" eb="2">
      <t>チョウサ</t>
    </rPh>
    <rPh sb="2" eb="4">
      <t>ケッカ</t>
    </rPh>
    <phoneticPr fontId="3"/>
  </si>
  <si>
    <t>敷地及び地盤</t>
    <rPh sb="0" eb="2">
      <t>シキチ</t>
    </rPh>
    <rPh sb="2" eb="3">
      <t>オヨ</t>
    </rPh>
    <rPh sb="4" eb="6">
      <t>ジバン</t>
    </rPh>
    <phoneticPr fontId="3"/>
  </si>
  <si>
    <t>(1)</t>
    <phoneticPr fontId="3"/>
  </si>
  <si>
    <t>地盤</t>
    <phoneticPr fontId="3"/>
  </si>
  <si>
    <t>敷地</t>
    <phoneticPr fontId="3"/>
  </si>
  <si>
    <t>敷地内の排水の状況</t>
    <phoneticPr fontId="3"/>
  </si>
  <si>
    <t>敷地内の通路</t>
    <rPh sb="0" eb="3">
      <t>シキチナイ</t>
    </rPh>
    <phoneticPr fontId="3"/>
  </si>
  <si>
    <t>敷地内の通路の確保の状況</t>
    <rPh sb="0" eb="3">
      <t>シキチナイ</t>
    </rPh>
    <rPh sb="4" eb="6">
      <t>ツウロ</t>
    </rPh>
    <rPh sb="7" eb="8">
      <t>アキラ</t>
    </rPh>
    <phoneticPr fontId="3"/>
  </si>
  <si>
    <t>有効幅員の確保の状況</t>
    <rPh sb="8" eb="10">
      <t>ジョウキョウ</t>
    </rPh>
    <phoneticPr fontId="3"/>
  </si>
  <si>
    <t>敷地内の通路の支障物の状況</t>
    <rPh sb="0" eb="3">
      <t>シキチナイ</t>
    </rPh>
    <rPh sb="11" eb="13">
      <t>ジョウキョウ</t>
    </rPh>
    <phoneticPr fontId="3"/>
  </si>
  <si>
    <t>(6)</t>
    <phoneticPr fontId="3"/>
  </si>
  <si>
    <t>塀</t>
    <rPh sb="0" eb="1">
      <t>ヘイ</t>
    </rPh>
    <phoneticPr fontId="3"/>
  </si>
  <si>
    <t>組積造の塀又は補強コンクリートブロック造の塀等の劣化及び損傷の状況</t>
    <rPh sb="24" eb="26">
      <t>レッカ</t>
    </rPh>
    <rPh sb="26" eb="27">
      <t>オヨ</t>
    </rPh>
    <rPh sb="28" eb="30">
      <t>ソンショウ</t>
    </rPh>
    <rPh sb="31" eb="33">
      <t>ジョウキョウ</t>
    </rPh>
    <phoneticPr fontId="3"/>
  </si>
  <si>
    <t>擁壁</t>
    <phoneticPr fontId="3"/>
  </si>
  <si>
    <t>擁壁の劣化及び損傷の状況</t>
    <rPh sb="5" eb="7">
      <t>オ</t>
    </rPh>
    <phoneticPr fontId="3"/>
  </si>
  <si>
    <t>擁壁の水抜きパイプの維持保全の状況</t>
    <rPh sb="10" eb="11">
      <t>ユイ</t>
    </rPh>
    <phoneticPr fontId="3"/>
  </si>
  <si>
    <t>建築物の外部</t>
    <rPh sb="0" eb="3">
      <t>ケンチクブツ</t>
    </rPh>
    <rPh sb="4" eb="6">
      <t>ガイブ</t>
    </rPh>
    <phoneticPr fontId="3"/>
  </si>
  <si>
    <t>基礎</t>
    <rPh sb="0" eb="2">
      <t>キソ</t>
    </rPh>
    <phoneticPr fontId="3"/>
  </si>
  <si>
    <t>基礎の沈下等の状況</t>
    <rPh sb="0" eb="2">
      <t>キソ</t>
    </rPh>
    <rPh sb="5" eb="6">
      <t>トウ</t>
    </rPh>
    <phoneticPr fontId="3"/>
  </si>
  <si>
    <t>基礎の劣化及び損傷の状況</t>
    <rPh sb="5" eb="7">
      <t>オ</t>
    </rPh>
    <phoneticPr fontId="3"/>
  </si>
  <si>
    <t>土台の沈下等の状況</t>
    <rPh sb="0" eb="2">
      <t>ドダイ</t>
    </rPh>
    <rPh sb="5" eb="6">
      <t>トウ</t>
    </rPh>
    <phoneticPr fontId="3"/>
  </si>
  <si>
    <t>土台の劣化及び損傷の状況</t>
    <rPh sb="5" eb="7">
      <t>オ</t>
    </rPh>
    <phoneticPr fontId="3"/>
  </si>
  <si>
    <t>躯体等</t>
    <rPh sb="0" eb="1">
      <t>ク</t>
    </rPh>
    <rPh sb="1" eb="2">
      <t>タイ</t>
    </rPh>
    <rPh sb="2" eb="3">
      <t>トウ</t>
    </rPh>
    <phoneticPr fontId="3"/>
  </si>
  <si>
    <t>外壁、軒裏及び外壁の開口部で延焼のおそれのある部分の防火対策の状況</t>
    <rPh sb="0" eb="2">
      <t>ガイヘキ</t>
    </rPh>
    <rPh sb="5" eb="6">
      <t>オヨ</t>
    </rPh>
    <rPh sb="7" eb="9">
      <t>ガイヘキ</t>
    </rPh>
    <rPh sb="10" eb="13">
      <t>カイコウブ</t>
    </rPh>
    <rPh sb="28" eb="30">
      <t>タイサク</t>
    </rPh>
    <rPh sb="31" eb="32">
      <t>ジョウ</t>
    </rPh>
    <phoneticPr fontId="3"/>
  </si>
  <si>
    <t>木造の外壁躯体の劣化及び損傷の状況</t>
    <rPh sb="3" eb="5">
      <t>ガイヘキ</t>
    </rPh>
    <rPh sb="5" eb="6">
      <t>ク</t>
    </rPh>
    <rPh sb="6" eb="7">
      <t>タイ</t>
    </rPh>
    <rPh sb="8" eb="10">
      <t>レッカ</t>
    </rPh>
    <rPh sb="10" eb="12">
      <t>オ</t>
    </rPh>
    <rPh sb="12" eb="14">
      <t>ソンショウ</t>
    </rPh>
    <rPh sb="15" eb="17">
      <t>ジョウキョウ</t>
    </rPh>
    <phoneticPr fontId="3"/>
  </si>
  <si>
    <t>組積造の外壁躯体の劣化及び損傷の状況</t>
    <rPh sb="11" eb="13">
      <t>オ</t>
    </rPh>
    <phoneticPr fontId="3"/>
  </si>
  <si>
    <t>補強コンクリートブロック造の外壁躯体の劣化及び損傷の状況</t>
    <rPh sb="21" eb="23">
      <t>オ</t>
    </rPh>
    <phoneticPr fontId="3"/>
  </si>
  <si>
    <t>鉄骨造の外壁躯体の劣化及び損傷の状況</t>
    <rPh sb="11" eb="13">
      <t>オ</t>
    </rPh>
    <phoneticPr fontId="3"/>
  </si>
  <si>
    <t>鉄筋コンクリート造及び鉄骨鉄筋コンクリート造の外壁躯体の劣化及び損傷の状況</t>
    <rPh sb="8" eb="9">
      <t>ゾウ</t>
    </rPh>
    <rPh sb="9" eb="10">
      <t>オヨ</t>
    </rPh>
    <rPh sb="11" eb="13">
      <t>テッコツ</t>
    </rPh>
    <rPh sb="13" eb="15">
      <t>テッキン</t>
    </rPh>
    <rPh sb="21" eb="22">
      <t>ゾウ</t>
    </rPh>
    <rPh sb="30" eb="32">
      <t>オ</t>
    </rPh>
    <phoneticPr fontId="3"/>
  </si>
  <si>
    <t>外装仕上げ材等</t>
    <phoneticPr fontId="3"/>
  </si>
  <si>
    <t>乾式工法によるタイル、石貼り等の劣化及び損傷の状況</t>
    <rPh sb="0" eb="2">
      <t>カンシキ</t>
    </rPh>
    <rPh sb="2" eb="4">
      <t>コウホウ</t>
    </rPh>
    <rPh sb="11" eb="13">
      <t>イシバ</t>
    </rPh>
    <rPh sb="14" eb="15">
      <t>トウ</t>
    </rPh>
    <rPh sb="16" eb="18">
      <t>レッカ</t>
    </rPh>
    <rPh sb="18" eb="19">
      <t>オヨ</t>
    </rPh>
    <rPh sb="20" eb="22">
      <t>ソンショウ</t>
    </rPh>
    <rPh sb="23" eb="25">
      <t>ジョウキョウ</t>
    </rPh>
    <phoneticPr fontId="3"/>
  </si>
  <si>
    <t>金属系パネル（帳壁を含む。）の劣化及び損傷の状況</t>
    <rPh sb="0" eb="3">
      <t>キンゾクケイ</t>
    </rPh>
    <rPh sb="7" eb="8">
      <t>チョウ</t>
    </rPh>
    <rPh sb="8" eb="9">
      <t>カベ</t>
    </rPh>
    <rPh sb="10" eb="11">
      <t>フク</t>
    </rPh>
    <rPh sb="17" eb="19">
      <t>オ</t>
    </rPh>
    <phoneticPr fontId="3"/>
  </si>
  <si>
    <t>コンクリート系パネル（帳壁を含む。）の劣化及び損傷の状況</t>
    <rPh sb="6" eb="7">
      <t>ケイ</t>
    </rPh>
    <rPh sb="11" eb="12">
      <t>チョウ</t>
    </rPh>
    <rPh sb="12" eb="13">
      <t>カベ</t>
    </rPh>
    <rPh sb="21" eb="23">
      <t>オ</t>
    </rPh>
    <phoneticPr fontId="3"/>
  </si>
  <si>
    <t>窓サッシ等</t>
    <rPh sb="0" eb="1">
      <t>マド</t>
    </rPh>
    <phoneticPr fontId="3"/>
  </si>
  <si>
    <t>サッシ等の劣化及び損傷の状況</t>
    <rPh sb="3" eb="4">
      <t>トウ</t>
    </rPh>
    <rPh sb="5" eb="7">
      <t>レッカ</t>
    </rPh>
    <rPh sb="7" eb="9">
      <t>オ</t>
    </rPh>
    <rPh sb="9" eb="11">
      <t>ソンショウ</t>
    </rPh>
    <rPh sb="12" eb="14">
      <t>ジョウキョウ</t>
    </rPh>
    <phoneticPr fontId="3"/>
  </si>
  <si>
    <t>はめ殺し窓のガラスの固定の状況</t>
    <rPh sb="10" eb="12">
      <t>コテイ</t>
    </rPh>
    <rPh sb="13" eb="15">
      <t>ジョウキョウ</t>
    </rPh>
    <phoneticPr fontId="3"/>
  </si>
  <si>
    <t>外壁に緊結された広告板、空調室外機等</t>
    <rPh sb="0" eb="2">
      <t>ガイヘキ</t>
    </rPh>
    <rPh sb="3" eb="5">
      <t>キンケツ</t>
    </rPh>
    <rPh sb="8" eb="10">
      <t>コウコク</t>
    </rPh>
    <rPh sb="10" eb="11">
      <t>イタ</t>
    </rPh>
    <phoneticPr fontId="3"/>
  </si>
  <si>
    <t>機器本体の劣化及び損傷の状況</t>
    <rPh sb="0" eb="2">
      <t>キキ</t>
    </rPh>
    <rPh sb="2" eb="4">
      <t>ホンタイ</t>
    </rPh>
    <rPh sb="5" eb="7">
      <t>レッカ</t>
    </rPh>
    <rPh sb="7" eb="9">
      <t>オ</t>
    </rPh>
    <rPh sb="9" eb="11">
      <t>ソンショウ</t>
    </rPh>
    <rPh sb="12" eb="14">
      <t>ジョウキョウ</t>
    </rPh>
    <phoneticPr fontId="3"/>
  </si>
  <si>
    <t>支持部分等の劣化及び損傷の状況</t>
    <rPh sb="0" eb="2">
      <t>シジ</t>
    </rPh>
    <rPh sb="2" eb="4">
      <t>ブブン</t>
    </rPh>
    <rPh sb="4" eb="5">
      <t>トウ</t>
    </rPh>
    <rPh sb="6" eb="8">
      <t>レッカ</t>
    </rPh>
    <rPh sb="8" eb="10">
      <t>オ</t>
    </rPh>
    <rPh sb="10" eb="12">
      <t>ソンショウ</t>
    </rPh>
    <rPh sb="13" eb="15">
      <t>ジョウキョウ</t>
    </rPh>
    <phoneticPr fontId="3"/>
  </si>
  <si>
    <t>屋上及び屋根</t>
    <rPh sb="0" eb="2">
      <t>オクジョウ</t>
    </rPh>
    <rPh sb="2" eb="3">
      <t>オヨ</t>
    </rPh>
    <rPh sb="4" eb="6">
      <t>ヤネ</t>
    </rPh>
    <phoneticPr fontId="3"/>
  </si>
  <si>
    <t>屋上面</t>
    <phoneticPr fontId="3"/>
  </si>
  <si>
    <t>屋上面の劣化及び損傷の状況</t>
    <rPh sb="0" eb="2">
      <t>オクジョウ</t>
    </rPh>
    <rPh sb="2" eb="3">
      <t>メン</t>
    </rPh>
    <rPh sb="4" eb="6">
      <t>レッカ</t>
    </rPh>
    <rPh sb="6" eb="8">
      <t>オ</t>
    </rPh>
    <rPh sb="8" eb="10">
      <t>ソンショウ</t>
    </rPh>
    <rPh sb="11" eb="13">
      <t>ジョウキョウ</t>
    </rPh>
    <phoneticPr fontId="3"/>
  </si>
  <si>
    <t>パラペットの立上り面の劣化及び損傷の状況</t>
    <rPh sb="6" eb="8">
      <t>タチノボ</t>
    </rPh>
    <rPh sb="9" eb="10">
      <t>メン</t>
    </rPh>
    <rPh sb="11" eb="13">
      <t>レッカ</t>
    </rPh>
    <rPh sb="13" eb="15">
      <t>オ</t>
    </rPh>
    <rPh sb="15" eb="17">
      <t>ソンショウ</t>
    </rPh>
    <rPh sb="18" eb="20">
      <t>ジョウキョウ</t>
    </rPh>
    <phoneticPr fontId="3"/>
  </si>
  <si>
    <t>笠木モルタル等の劣化及び損傷の状況</t>
    <rPh sb="8" eb="10">
      <t>レッカ</t>
    </rPh>
    <rPh sb="10" eb="12">
      <t>オ</t>
    </rPh>
    <rPh sb="12" eb="14">
      <t>ソンショウ</t>
    </rPh>
    <rPh sb="15" eb="17">
      <t>ジョウキョウ</t>
    </rPh>
    <phoneticPr fontId="3"/>
  </si>
  <si>
    <t>金属笠木の劣化及び損傷の状況</t>
    <rPh sb="0" eb="2">
      <t>キンゾク</t>
    </rPh>
    <rPh sb="2" eb="4">
      <t>カサギ</t>
    </rPh>
    <rPh sb="5" eb="7">
      <t>レッカ</t>
    </rPh>
    <rPh sb="7" eb="9">
      <t>オ</t>
    </rPh>
    <rPh sb="9" eb="11">
      <t>ソンショウ</t>
    </rPh>
    <rPh sb="12" eb="14">
      <t>ジョウキョウ</t>
    </rPh>
    <phoneticPr fontId="3"/>
  </si>
  <si>
    <t>屋根の防火対策の状況</t>
    <rPh sb="0" eb="2">
      <t>ヤネ</t>
    </rPh>
    <rPh sb="3" eb="5">
      <t>ボウカ</t>
    </rPh>
    <rPh sb="5" eb="7">
      <t>タイサク</t>
    </rPh>
    <rPh sb="8" eb="10">
      <t>ジョウキョウ</t>
    </rPh>
    <phoneticPr fontId="3"/>
  </si>
  <si>
    <t>屋根の劣化及び損傷の状況</t>
    <rPh sb="0" eb="2">
      <t>ヤネ</t>
    </rPh>
    <rPh sb="3" eb="5">
      <t>レッカ</t>
    </rPh>
    <rPh sb="5" eb="7">
      <t>オ</t>
    </rPh>
    <rPh sb="7" eb="9">
      <t>ソンショウ</t>
    </rPh>
    <rPh sb="10" eb="12">
      <t>ジョウキョウ</t>
    </rPh>
    <phoneticPr fontId="3"/>
  </si>
  <si>
    <t>機器、工作物本体及び接合部の劣化及び損傷の状況</t>
    <rPh sb="0" eb="2">
      <t>キキ</t>
    </rPh>
    <rPh sb="3" eb="6">
      <t>コウサクブツ</t>
    </rPh>
    <rPh sb="6" eb="8">
      <t>ホンタイ</t>
    </rPh>
    <rPh sb="8" eb="9">
      <t>オヨ</t>
    </rPh>
    <rPh sb="10" eb="13">
      <t>セツゴウブ</t>
    </rPh>
    <rPh sb="14" eb="16">
      <t>レッカ</t>
    </rPh>
    <rPh sb="16" eb="18">
      <t>オ</t>
    </rPh>
    <rPh sb="18" eb="20">
      <t>ソンショウ</t>
    </rPh>
    <rPh sb="21" eb="23">
      <t>ジョウキョウ</t>
    </rPh>
    <phoneticPr fontId="3"/>
  </si>
  <si>
    <t>建築物の内部</t>
    <rPh sb="4" eb="6">
      <t>ナイブ</t>
    </rPh>
    <phoneticPr fontId="3"/>
  </si>
  <si>
    <t>防火区画</t>
    <rPh sb="0" eb="2">
      <t>ボウカ</t>
    </rPh>
    <rPh sb="2" eb="4">
      <t>クカク</t>
    </rPh>
    <phoneticPr fontId="3"/>
  </si>
  <si>
    <t>防火区画の外周部</t>
    <phoneticPr fontId="3"/>
  </si>
  <si>
    <t>木造の壁の室内に面する部分の躯体の劣化及び損傷の状況</t>
    <rPh sb="14" eb="15">
      <t>ク</t>
    </rPh>
    <rPh sb="15" eb="16">
      <t>タイ</t>
    </rPh>
    <rPh sb="17" eb="19">
      <t>レッカ</t>
    </rPh>
    <rPh sb="19" eb="21">
      <t>オ</t>
    </rPh>
    <rPh sb="21" eb="23">
      <t>ソンショウ</t>
    </rPh>
    <rPh sb="24" eb="26">
      <t>ジョウキョウ</t>
    </rPh>
    <phoneticPr fontId="3"/>
  </si>
  <si>
    <t>組積造の壁の室内に面する部分の躯体の劣化及び損傷の状況</t>
    <rPh sb="20" eb="22">
      <t>オ</t>
    </rPh>
    <phoneticPr fontId="3"/>
  </si>
  <si>
    <t>補強コンクリートブロック造の壁の室内に面する部分の躯体の劣化及び損傷の状況</t>
    <rPh sb="30" eb="32">
      <t>オ</t>
    </rPh>
    <phoneticPr fontId="3"/>
  </si>
  <si>
    <t>鉄骨造の壁の室内に面する部分の躯体の劣化及び損傷の状況</t>
    <rPh sb="20" eb="22">
      <t>オ</t>
    </rPh>
    <phoneticPr fontId="3"/>
  </si>
  <si>
    <t>鉄筋コンクリート造及び鉄骨鉄筋コンクリート造の壁の室内に面する部分の躯体の劣化及び損傷の状況</t>
    <rPh sb="8" eb="9">
      <t>ゾウ</t>
    </rPh>
    <rPh sb="9" eb="10">
      <t>オヨ</t>
    </rPh>
    <rPh sb="11" eb="13">
      <t>テッコツ</t>
    </rPh>
    <rPh sb="13" eb="15">
      <t>テッキン</t>
    </rPh>
    <rPh sb="21" eb="22">
      <t>ゾウ</t>
    </rPh>
    <rPh sb="39" eb="41">
      <t>オ</t>
    </rPh>
    <phoneticPr fontId="3"/>
  </si>
  <si>
    <t>準耐火性能等の確保の状況</t>
    <rPh sb="3" eb="5">
      <t>セイノウ</t>
    </rPh>
    <rPh sb="5" eb="6">
      <t>トウ</t>
    </rPh>
    <rPh sb="7" eb="9">
      <t>カクホ</t>
    </rPh>
    <rPh sb="10" eb="12">
      <t>ジョウキョウ</t>
    </rPh>
    <phoneticPr fontId="3"/>
  </si>
  <si>
    <t>部材の劣化及び損傷の状況</t>
    <rPh sb="0" eb="2">
      <t>ブザイ</t>
    </rPh>
    <rPh sb="3" eb="5">
      <t>レッカ</t>
    </rPh>
    <rPh sb="5" eb="7">
      <t>オ</t>
    </rPh>
    <rPh sb="7" eb="9">
      <t>ソンショウ</t>
    </rPh>
    <rPh sb="10" eb="12">
      <t>ジョウキョウ</t>
    </rPh>
    <phoneticPr fontId="3"/>
  </si>
  <si>
    <t>鉄骨の耐火被覆の劣化及び損傷の状況</t>
    <rPh sb="0" eb="2">
      <t>テッコツ</t>
    </rPh>
    <rPh sb="3" eb="5">
      <t>タイカ</t>
    </rPh>
    <rPh sb="5" eb="7">
      <t>ヒフク</t>
    </rPh>
    <rPh sb="8" eb="10">
      <t>レッカ</t>
    </rPh>
    <rPh sb="10" eb="12">
      <t>オ</t>
    </rPh>
    <rPh sb="12" eb="14">
      <t>ソンショウ</t>
    </rPh>
    <rPh sb="15" eb="17">
      <t>ジョウキョウ</t>
    </rPh>
    <phoneticPr fontId="3"/>
  </si>
  <si>
    <t>給水管、配電管その他の管又は風道の区画貫通部の充填等の処理の状況</t>
    <rPh sb="0" eb="3">
      <t>キュウスイカン</t>
    </rPh>
    <rPh sb="4" eb="6">
      <t>ハイデン</t>
    </rPh>
    <rPh sb="6" eb="7">
      <t>カン</t>
    </rPh>
    <rPh sb="9" eb="10">
      <t>タ</t>
    </rPh>
    <rPh sb="11" eb="12">
      <t>カン</t>
    </rPh>
    <rPh sb="12" eb="13">
      <t>マタ</t>
    </rPh>
    <rPh sb="14" eb="15">
      <t>カゼ</t>
    </rPh>
    <rPh sb="15" eb="16">
      <t>ミチ</t>
    </rPh>
    <rPh sb="17" eb="19">
      <t>クカク</t>
    </rPh>
    <rPh sb="19" eb="21">
      <t>カンツウ</t>
    </rPh>
    <rPh sb="21" eb="22">
      <t>ブ</t>
    </rPh>
    <rPh sb="23" eb="25">
      <t>ジュウテン</t>
    </rPh>
    <rPh sb="25" eb="26">
      <t>トウ</t>
    </rPh>
    <rPh sb="27" eb="29">
      <t>ショリ</t>
    </rPh>
    <rPh sb="30" eb="32">
      <t>ジョウキョウ</t>
    </rPh>
    <phoneticPr fontId="3"/>
  </si>
  <si>
    <t>令第114条に規定する界壁、間仕切壁及び隔壁</t>
    <rPh sb="0" eb="1">
      <t>レイ</t>
    </rPh>
    <rPh sb="1" eb="2">
      <t>ダイ</t>
    </rPh>
    <rPh sb="5" eb="6">
      <t>ジョウ</t>
    </rPh>
    <rPh sb="7" eb="9">
      <t>キテイ</t>
    </rPh>
    <rPh sb="11" eb="12">
      <t>カイ</t>
    </rPh>
    <rPh sb="12" eb="13">
      <t>ヘキ</t>
    </rPh>
    <rPh sb="14" eb="17">
      <t>マジキ</t>
    </rPh>
    <rPh sb="17" eb="18">
      <t>カベ</t>
    </rPh>
    <rPh sb="18" eb="19">
      <t>オヨ</t>
    </rPh>
    <rPh sb="20" eb="22">
      <t>カクヘキ</t>
    </rPh>
    <phoneticPr fontId="3"/>
  </si>
  <si>
    <t>令第114条に規定する界壁、間仕切壁及び隔壁の状況</t>
    <rPh sb="0" eb="1">
      <t>レイ</t>
    </rPh>
    <rPh sb="1" eb="2">
      <t>ダイ</t>
    </rPh>
    <rPh sb="5" eb="6">
      <t>ジョウ</t>
    </rPh>
    <rPh sb="7" eb="9">
      <t>キテイ</t>
    </rPh>
    <rPh sb="11" eb="12">
      <t>カイ</t>
    </rPh>
    <rPh sb="12" eb="13">
      <t>カベ</t>
    </rPh>
    <rPh sb="14" eb="18">
      <t>マジキリカベ</t>
    </rPh>
    <rPh sb="18" eb="19">
      <t>オヨ</t>
    </rPh>
    <rPh sb="20" eb="22">
      <t>カクヘキ</t>
    </rPh>
    <rPh sb="23" eb="25">
      <t>ジョウキョウ</t>
    </rPh>
    <phoneticPr fontId="3"/>
  </si>
  <si>
    <t>室内に面する部分の仕上げの維持保全の状況</t>
    <rPh sb="0" eb="2">
      <t>シツナイ</t>
    </rPh>
    <rPh sb="3" eb="4">
      <t>メン</t>
    </rPh>
    <rPh sb="6" eb="8">
      <t>ブブン</t>
    </rPh>
    <rPh sb="9" eb="11">
      <t>シア</t>
    </rPh>
    <rPh sb="15" eb="16">
      <t>ホ</t>
    </rPh>
    <rPh sb="16" eb="17">
      <t>ゼン</t>
    </rPh>
    <rPh sb="18" eb="20">
      <t>ジョウキョウ</t>
    </rPh>
    <phoneticPr fontId="3"/>
  </si>
  <si>
    <t>木造の床躯体の劣化及び損傷の状況</t>
    <rPh sb="3" eb="4">
      <t>ユカ</t>
    </rPh>
    <rPh sb="4" eb="5">
      <t>ク</t>
    </rPh>
    <rPh sb="5" eb="6">
      <t>タイ</t>
    </rPh>
    <rPh sb="7" eb="9">
      <t>レッカ</t>
    </rPh>
    <rPh sb="9" eb="11">
      <t>オ</t>
    </rPh>
    <rPh sb="11" eb="13">
      <t>ソンショウ</t>
    </rPh>
    <rPh sb="14" eb="16">
      <t>ジョウキョウ</t>
    </rPh>
    <phoneticPr fontId="3"/>
  </si>
  <si>
    <t>鉄骨造の床躯体の劣化及び損傷の状況</t>
    <rPh sb="4" eb="5">
      <t>ユカ</t>
    </rPh>
    <rPh sb="10" eb="12">
      <t>オ</t>
    </rPh>
    <phoneticPr fontId="3"/>
  </si>
  <si>
    <t>鉄筋コンクリート造及び鉄骨鉄筋コンクリート造の床躯体の劣化及び損傷の状況</t>
    <rPh sb="8" eb="9">
      <t>ゾウ</t>
    </rPh>
    <rPh sb="9" eb="10">
      <t>オヨ</t>
    </rPh>
    <rPh sb="11" eb="13">
      <t>テッコツ</t>
    </rPh>
    <rPh sb="13" eb="15">
      <t>テッキン</t>
    </rPh>
    <rPh sb="21" eb="22">
      <t>ゾウ</t>
    </rPh>
    <rPh sb="23" eb="24">
      <t>ユカ</t>
    </rPh>
    <rPh sb="29" eb="31">
      <t>オ</t>
    </rPh>
    <phoneticPr fontId="3"/>
  </si>
  <si>
    <t>準耐火性能等の確保の状況</t>
    <rPh sb="0" eb="1">
      <t>ジュン</t>
    </rPh>
    <rPh sb="1" eb="3">
      <t>タイカ</t>
    </rPh>
    <rPh sb="3" eb="5">
      <t>セイノウ</t>
    </rPh>
    <rPh sb="5" eb="6">
      <t>トウ</t>
    </rPh>
    <rPh sb="7" eb="9">
      <t>カクホ</t>
    </rPh>
    <rPh sb="10" eb="12">
      <t>ジョウキョウ</t>
    </rPh>
    <phoneticPr fontId="3"/>
  </si>
  <si>
    <t>天井</t>
    <rPh sb="0" eb="2">
      <t>テンジョウ</t>
    </rPh>
    <phoneticPr fontId="3"/>
  </si>
  <si>
    <t>室内に面する部分の仕上げの劣化及び損傷の状況</t>
    <rPh sb="15" eb="17">
      <t>オ</t>
    </rPh>
    <phoneticPr fontId="3"/>
  </si>
  <si>
    <t>照明器具、懸垂物等の落下防止対策の状況　</t>
    <phoneticPr fontId="3"/>
  </si>
  <si>
    <t>居室の採光及び換気</t>
    <phoneticPr fontId="3"/>
  </si>
  <si>
    <t>採光のための開口部の面積の確保の状況</t>
    <phoneticPr fontId="3"/>
  </si>
  <si>
    <t>採光の妨げとなる物品の放置の状況</t>
    <phoneticPr fontId="3"/>
  </si>
  <si>
    <t>換気のための開口部の面積の確保の状況</t>
    <phoneticPr fontId="3"/>
  </si>
  <si>
    <t>換気設備の設置の状況</t>
    <phoneticPr fontId="3"/>
  </si>
  <si>
    <t>換気設備の作動の状況</t>
    <phoneticPr fontId="3"/>
  </si>
  <si>
    <t>石綿等を添加した建築材料　</t>
    <phoneticPr fontId="3"/>
  </si>
  <si>
    <t>避難施設等</t>
    <rPh sb="0" eb="2">
      <t>ヒナン</t>
    </rPh>
    <rPh sb="2" eb="4">
      <t>シセツ</t>
    </rPh>
    <rPh sb="4" eb="5">
      <t>ナド</t>
    </rPh>
    <phoneticPr fontId="3"/>
  </si>
  <si>
    <t>廊下</t>
    <rPh sb="0" eb="2">
      <t>ロウカ</t>
    </rPh>
    <phoneticPr fontId="3"/>
  </si>
  <si>
    <t>物品の放置の状況</t>
    <rPh sb="0" eb="2">
      <t>ブッピン</t>
    </rPh>
    <rPh sb="3" eb="5">
      <t>ホウチ</t>
    </rPh>
    <rPh sb="6" eb="8">
      <t>ジョウキョウ</t>
    </rPh>
    <phoneticPr fontId="3"/>
  </si>
  <si>
    <t>出入口</t>
    <rPh sb="0" eb="2">
      <t>デイ</t>
    </rPh>
    <rPh sb="2" eb="3">
      <t>クチ</t>
    </rPh>
    <phoneticPr fontId="3"/>
  </si>
  <si>
    <t>出入口の確保の状況</t>
    <rPh sb="4" eb="6">
      <t>カクホ</t>
    </rPh>
    <rPh sb="7" eb="9">
      <t>ジョウキョウ</t>
    </rPh>
    <phoneticPr fontId="3"/>
  </si>
  <si>
    <t>屋上広場</t>
    <rPh sb="0" eb="2">
      <t>オクジョウ</t>
    </rPh>
    <rPh sb="2" eb="4">
      <t>ヒロバ</t>
    </rPh>
    <phoneticPr fontId="3"/>
  </si>
  <si>
    <t>屋上広場の確保の状況</t>
    <rPh sb="0" eb="2">
      <t>オクジョウ</t>
    </rPh>
    <rPh sb="2" eb="4">
      <t>ヒロバ</t>
    </rPh>
    <rPh sb="5" eb="7">
      <t>カクホ</t>
    </rPh>
    <rPh sb="8" eb="10">
      <t>ジョウキョウ</t>
    </rPh>
    <phoneticPr fontId="3"/>
  </si>
  <si>
    <t>避難上有効なバルコニー</t>
    <rPh sb="0" eb="2">
      <t>ヒナン</t>
    </rPh>
    <rPh sb="2" eb="3">
      <t>ジョウ</t>
    </rPh>
    <rPh sb="3" eb="5">
      <t>ユウコウ</t>
    </rPh>
    <phoneticPr fontId="3"/>
  </si>
  <si>
    <t>避難上有効なバルコニーの確保の状況</t>
    <rPh sb="0" eb="2">
      <t>ヒナン</t>
    </rPh>
    <rPh sb="2" eb="3">
      <t>ジョウ</t>
    </rPh>
    <rPh sb="3" eb="5">
      <t>ユウコウ</t>
    </rPh>
    <rPh sb="12" eb="14">
      <t>カクホ</t>
    </rPh>
    <rPh sb="15" eb="17">
      <t>ジョウキョウ</t>
    </rPh>
    <phoneticPr fontId="3"/>
  </si>
  <si>
    <t>手すり等の劣化及び損傷の状況</t>
    <rPh sb="3" eb="4">
      <t>トウ</t>
    </rPh>
    <rPh sb="5" eb="7">
      <t>レッカ</t>
    </rPh>
    <rPh sb="7" eb="9">
      <t>オ</t>
    </rPh>
    <rPh sb="9" eb="11">
      <t>ソンショウ</t>
    </rPh>
    <rPh sb="12" eb="14">
      <t>ジョウキョウ</t>
    </rPh>
    <phoneticPr fontId="3"/>
  </si>
  <si>
    <t>避難器具の操作性の確保の状況</t>
    <rPh sb="0" eb="2">
      <t>ヒナン</t>
    </rPh>
    <rPh sb="2" eb="4">
      <t>キグ</t>
    </rPh>
    <rPh sb="5" eb="8">
      <t>ソウサセイ</t>
    </rPh>
    <rPh sb="9" eb="11">
      <t>カクホ</t>
    </rPh>
    <rPh sb="12" eb="14">
      <t>ジョウキョウ</t>
    </rPh>
    <phoneticPr fontId="3"/>
  </si>
  <si>
    <t>階段</t>
    <rPh sb="0" eb="2">
      <t>カイダン</t>
    </rPh>
    <phoneticPr fontId="3"/>
  </si>
  <si>
    <t>直通階段の設置の状況</t>
    <rPh sb="0" eb="2">
      <t>チョクツウ</t>
    </rPh>
    <rPh sb="2" eb="4">
      <t>カイダン</t>
    </rPh>
    <rPh sb="5" eb="7">
      <t>セッチ</t>
    </rPh>
    <rPh sb="8" eb="10">
      <t>ジョウキョウ</t>
    </rPh>
    <phoneticPr fontId="3"/>
  </si>
  <si>
    <t>手すりの設置の状況</t>
    <rPh sb="4" eb="6">
      <t>セッチ</t>
    </rPh>
    <rPh sb="7" eb="9">
      <t>ジョウキョウ</t>
    </rPh>
    <phoneticPr fontId="3"/>
  </si>
  <si>
    <t>階段各部の劣化及び損傷の状況</t>
    <rPh sb="0" eb="2">
      <t>カイダン</t>
    </rPh>
    <rPh sb="2" eb="4">
      <t>カクブ</t>
    </rPh>
    <rPh sb="5" eb="7">
      <t>レッカ</t>
    </rPh>
    <rPh sb="7" eb="9">
      <t>オ</t>
    </rPh>
    <rPh sb="9" eb="11">
      <t>ソンショウ</t>
    </rPh>
    <rPh sb="12" eb="14">
      <t>ジョウキョウ</t>
    </rPh>
    <phoneticPr fontId="3"/>
  </si>
  <si>
    <t>屋内と階段との間の防火区画の確保の状況</t>
    <rPh sb="0" eb="2">
      <t>オクナイ</t>
    </rPh>
    <rPh sb="3" eb="5">
      <t>カイダン</t>
    </rPh>
    <rPh sb="7" eb="8">
      <t>アイダ</t>
    </rPh>
    <rPh sb="9" eb="11">
      <t>ボウカ</t>
    </rPh>
    <rPh sb="11" eb="13">
      <t>クカク</t>
    </rPh>
    <rPh sb="14" eb="16">
      <t>カクホ</t>
    </rPh>
    <rPh sb="17" eb="19">
      <t>ジョウキョウ</t>
    </rPh>
    <phoneticPr fontId="3"/>
  </si>
  <si>
    <t>開放性の確保の状況</t>
    <rPh sb="0" eb="3">
      <t>カイホウセイ</t>
    </rPh>
    <rPh sb="4" eb="6">
      <t>カクホ</t>
    </rPh>
    <rPh sb="7" eb="9">
      <t>ジョウキョウ</t>
    </rPh>
    <phoneticPr fontId="3"/>
  </si>
  <si>
    <t>特別避難階段</t>
    <rPh sb="0" eb="2">
      <t>トクベツ</t>
    </rPh>
    <rPh sb="2" eb="4">
      <t>ヒナン</t>
    </rPh>
    <rPh sb="4" eb="6">
      <t>カイダン</t>
    </rPh>
    <phoneticPr fontId="3"/>
  </si>
  <si>
    <t>バルコニー又は付室の構造及び面積の確保の状況</t>
    <rPh sb="5" eb="6">
      <t>マタ</t>
    </rPh>
    <rPh sb="7" eb="8">
      <t>ヅケ</t>
    </rPh>
    <rPh sb="8" eb="9">
      <t>シツ</t>
    </rPh>
    <rPh sb="10" eb="12">
      <t>コウゾウ</t>
    </rPh>
    <rPh sb="12" eb="13">
      <t>オヨ</t>
    </rPh>
    <rPh sb="14" eb="16">
      <t>メンセキ</t>
    </rPh>
    <rPh sb="17" eb="19">
      <t>カクホ</t>
    </rPh>
    <rPh sb="20" eb="22">
      <t>ジョウキョウ</t>
    </rPh>
    <phoneticPr fontId="3"/>
  </si>
  <si>
    <t>排煙設備等</t>
    <rPh sb="4" eb="5">
      <t>トウ</t>
    </rPh>
    <phoneticPr fontId="3"/>
  </si>
  <si>
    <t>防煙壁</t>
    <rPh sb="0" eb="1">
      <t>ボウ</t>
    </rPh>
    <rPh sb="1" eb="2">
      <t>エン</t>
    </rPh>
    <rPh sb="2" eb="3">
      <t>ヘキ</t>
    </rPh>
    <phoneticPr fontId="3"/>
  </si>
  <si>
    <t>防煙区画の設置の状況</t>
    <rPh sb="5" eb="7">
      <t>セッチ</t>
    </rPh>
    <rPh sb="8" eb="9">
      <t>ジョウ</t>
    </rPh>
    <phoneticPr fontId="3"/>
  </si>
  <si>
    <t>排煙設備</t>
    <rPh sb="0" eb="2">
      <t>ハイエン</t>
    </rPh>
    <rPh sb="2" eb="4">
      <t>セツビ</t>
    </rPh>
    <phoneticPr fontId="3"/>
  </si>
  <si>
    <t>排煙設備の設置の状況</t>
    <rPh sb="8" eb="9">
      <t>ジョウ</t>
    </rPh>
    <phoneticPr fontId="3"/>
  </si>
  <si>
    <t>非常用の進入口等</t>
    <phoneticPr fontId="3"/>
  </si>
  <si>
    <t>非常用の進入口等の設置の状況</t>
    <phoneticPr fontId="3"/>
  </si>
  <si>
    <t>非常用の進入口等の維持保全の状況</t>
    <phoneticPr fontId="3"/>
  </si>
  <si>
    <t>その他</t>
    <rPh sb="2" eb="3">
      <t>タ</t>
    </rPh>
    <phoneticPr fontId="3"/>
  </si>
  <si>
    <t>膜構造建築物の膜体、取付部材等</t>
    <rPh sb="0" eb="1">
      <t>マク</t>
    </rPh>
    <rPh sb="1" eb="3">
      <t>コウゾウ</t>
    </rPh>
    <rPh sb="3" eb="6">
      <t>ケンチクブツ</t>
    </rPh>
    <phoneticPr fontId="3"/>
  </si>
  <si>
    <t>膜体及び取付部材の劣化及び損傷の状況</t>
    <rPh sb="9" eb="11">
      <t>レッカ</t>
    </rPh>
    <rPh sb="11" eb="13">
      <t>オ</t>
    </rPh>
    <phoneticPr fontId="3"/>
  </si>
  <si>
    <t>免震装置の劣化及び損傷の状況（免震装置が可視状態にある場合に限る。）</t>
    <rPh sb="5" eb="7">
      <t>レッカ</t>
    </rPh>
    <rPh sb="7" eb="9">
      <t>オ</t>
    </rPh>
    <rPh sb="30" eb="31">
      <t>カギ</t>
    </rPh>
    <phoneticPr fontId="3"/>
  </si>
  <si>
    <t>避雷設備</t>
    <rPh sb="0" eb="1">
      <t>サ</t>
    </rPh>
    <rPh sb="1" eb="2">
      <t>カミナリ</t>
    </rPh>
    <rPh sb="2" eb="4">
      <t>セツビ</t>
    </rPh>
    <phoneticPr fontId="3"/>
  </si>
  <si>
    <t>避雷針、避雷導線等の劣化及び損傷の状況</t>
    <rPh sb="0" eb="3">
      <t>ヒライシン</t>
    </rPh>
    <rPh sb="4" eb="5">
      <t>サ</t>
    </rPh>
    <rPh sb="5" eb="6">
      <t>カミナリ</t>
    </rPh>
    <rPh sb="6" eb="8">
      <t>ドウセン</t>
    </rPh>
    <rPh sb="12" eb="14">
      <t>オ</t>
    </rPh>
    <phoneticPr fontId="3"/>
  </si>
  <si>
    <t>煙突</t>
    <rPh sb="0" eb="2">
      <t>エントツ</t>
    </rPh>
    <phoneticPr fontId="3"/>
  </si>
  <si>
    <t>建築物に設ける煙突</t>
    <rPh sb="0" eb="3">
      <t>ケンチクブツ</t>
    </rPh>
    <rPh sb="4" eb="5">
      <t>モウ</t>
    </rPh>
    <rPh sb="7" eb="9">
      <t>エントツ</t>
    </rPh>
    <phoneticPr fontId="3"/>
  </si>
  <si>
    <t>煙突本体及び建築物との接合部の劣化及び損傷の状況</t>
    <rPh sb="2" eb="4">
      <t>ホンタイ</t>
    </rPh>
    <rPh sb="4" eb="5">
      <t>オヨ</t>
    </rPh>
    <rPh sb="7" eb="8">
      <t>チク</t>
    </rPh>
    <rPh sb="17" eb="19">
      <t>オ</t>
    </rPh>
    <phoneticPr fontId="3"/>
  </si>
  <si>
    <t>付帯金物の劣化及び損傷の状況</t>
    <rPh sb="0" eb="2">
      <t>フタイ</t>
    </rPh>
    <rPh sb="2" eb="4">
      <t>カナモノ</t>
    </rPh>
    <rPh sb="5" eb="7">
      <t>レッカ</t>
    </rPh>
    <rPh sb="7" eb="9">
      <t>オ</t>
    </rPh>
    <rPh sb="9" eb="11">
      <t>ソンショウ</t>
    </rPh>
    <rPh sb="12" eb="14">
      <t>ジョウキョウ</t>
    </rPh>
    <phoneticPr fontId="3"/>
  </si>
  <si>
    <t>煙突本体の劣化及び損傷の状況</t>
    <rPh sb="0" eb="2">
      <t>エントツ</t>
    </rPh>
    <rPh sb="2" eb="4">
      <t>ホンタイ</t>
    </rPh>
    <rPh sb="5" eb="7">
      <t>レッカ</t>
    </rPh>
    <rPh sb="7" eb="9">
      <t>オ</t>
    </rPh>
    <rPh sb="9" eb="11">
      <t>ソンショウ</t>
    </rPh>
    <rPh sb="12" eb="14">
      <t>ジョウキョウ</t>
    </rPh>
    <phoneticPr fontId="3"/>
  </si>
  <si>
    <t>上記以外の調査項目</t>
    <rPh sb="0" eb="2">
      <t>ジョウキ</t>
    </rPh>
    <rPh sb="2" eb="4">
      <t>イガイ</t>
    </rPh>
    <rPh sb="5" eb="7">
      <t>チョウサ</t>
    </rPh>
    <rPh sb="7" eb="9">
      <t>コウモク</t>
    </rPh>
    <phoneticPr fontId="3"/>
  </si>
  <si>
    <t>指摘の具体的内容等</t>
    <rPh sb="0" eb="2">
      <t>シテキ</t>
    </rPh>
    <rPh sb="8" eb="9">
      <t>トウ</t>
    </rPh>
    <phoneticPr fontId="3"/>
  </si>
  <si>
    <t>（注意）</t>
    <rPh sb="1" eb="3">
      <t>チュウイ</t>
    </rPh>
    <phoneticPr fontId="3"/>
  </si>
  <si>
    <t>①</t>
    <phoneticPr fontId="3"/>
  </si>
  <si>
    <t>③</t>
    <phoneticPr fontId="3"/>
  </si>
  <si>
    <t>添</t>
    <rPh sb="0" eb="1">
      <t>テン</t>
    </rPh>
    <phoneticPr fontId="3"/>
  </si>
  <si>
    <t>部位</t>
    <rPh sb="0" eb="2">
      <t>ブイ</t>
    </rPh>
    <phoneticPr fontId="3"/>
  </si>
  <si>
    <t>番号</t>
    <rPh sb="0" eb="1">
      <t>バン</t>
    </rPh>
    <rPh sb="1" eb="2">
      <t>ゴウ</t>
    </rPh>
    <phoneticPr fontId="3"/>
  </si>
  <si>
    <t>目</t>
    <rPh sb="0" eb="1">
      <t>モク</t>
    </rPh>
    <phoneticPr fontId="3"/>
  </si>
  <si>
    <t>写真添付</t>
    <rPh sb="0" eb="2">
      <t>シャシン</t>
    </rPh>
    <rPh sb="2" eb="4">
      <t>テンプ</t>
    </rPh>
    <phoneticPr fontId="3"/>
  </si>
  <si>
    <t>②</t>
    <phoneticPr fontId="3"/>
  </si>
  <si>
    <t>　記入欄が不足する場合は、枠を拡大、行を追加して記入するか、別紙に必要な事項を記入して添えてください。</t>
    <rPh sb="1" eb="3">
      <t>キニュウ</t>
    </rPh>
    <rPh sb="3" eb="4">
      <t>ラン</t>
    </rPh>
    <rPh sb="5" eb="7">
      <t>フソク</t>
    </rPh>
    <rPh sb="9" eb="11">
      <t>バアイ</t>
    </rPh>
    <rPh sb="13" eb="14">
      <t>ワク</t>
    </rPh>
    <rPh sb="15" eb="17">
      <t>カクダイ</t>
    </rPh>
    <rPh sb="18" eb="19">
      <t>ギョウ</t>
    </rPh>
    <rPh sb="20" eb="22">
      <t>ツイカ</t>
    </rPh>
    <rPh sb="24" eb="26">
      <t>キニュウ</t>
    </rPh>
    <rPh sb="30" eb="32">
      <t>ベッシ</t>
    </rPh>
    <rPh sb="33" eb="35">
      <t>ヒツヨウ</t>
    </rPh>
    <rPh sb="36" eb="38">
      <t>ジコウ</t>
    </rPh>
    <rPh sb="39" eb="41">
      <t>キニュウ</t>
    </rPh>
    <rPh sb="43" eb="44">
      <t>ソ</t>
    </rPh>
    <phoneticPr fontId="3"/>
  </si>
  <si>
    <t>④</t>
    <phoneticPr fontId="3"/>
  </si>
  <si>
    <t>外壁</t>
    <phoneticPr fontId="3"/>
  </si>
  <si>
    <t>壁の室内に面する部分</t>
    <phoneticPr fontId="3"/>
  </si>
  <si>
    <t>月</t>
    <rPh sb="0" eb="1">
      <t>ガツ</t>
    </rPh>
    <phoneticPr fontId="3"/>
  </si>
  <si>
    <t>日</t>
    <rPh sb="0" eb="1">
      <t>ニチ</t>
    </rPh>
    <phoneticPr fontId="3"/>
  </si>
  <si>
    <t>その他の設備等</t>
    <phoneticPr fontId="3"/>
  </si>
  <si>
    <t>非常用エレベーター</t>
    <phoneticPr fontId="3"/>
  </si>
  <si>
    <t>土台（木造に限る。）</t>
    <rPh sb="0" eb="2">
      <t>ドダイ</t>
    </rPh>
    <rPh sb="3" eb="5">
      <t>モクゾウ</t>
    </rPh>
    <rPh sb="6" eb="7">
      <t>カギ</t>
    </rPh>
    <phoneticPr fontId="3"/>
  </si>
  <si>
    <t>屋根（屋上面を除く。）</t>
    <rPh sb="0" eb="2">
      <t>ヤネ</t>
    </rPh>
    <rPh sb="3" eb="5">
      <t>オクジョウ</t>
    </rPh>
    <rPh sb="5" eb="6">
      <t>メン</t>
    </rPh>
    <rPh sb="7" eb="8">
      <t>ノゾ</t>
    </rPh>
    <phoneticPr fontId="3"/>
  </si>
  <si>
    <t>　この書類は、調査の結果、「要是正」かつ「既存不適格」ではない項目について作成してください。また、「既存不適格」及</t>
    <rPh sb="3" eb="5">
      <t>ショルイ</t>
    </rPh>
    <rPh sb="7" eb="9">
      <t>チョウサ</t>
    </rPh>
    <rPh sb="10" eb="12">
      <t>ケッカ</t>
    </rPh>
    <rPh sb="14" eb="15">
      <t>ヨウ</t>
    </rPh>
    <rPh sb="15" eb="17">
      <t>ゼセイ</t>
    </rPh>
    <rPh sb="21" eb="23">
      <t>キソン</t>
    </rPh>
    <rPh sb="23" eb="26">
      <t>フテキカク</t>
    </rPh>
    <rPh sb="31" eb="33">
      <t>コウモク</t>
    </rPh>
    <rPh sb="37" eb="39">
      <t>サクセイ</t>
    </rPh>
    <rPh sb="50" eb="52">
      <t>キソン</t>
    </rPh>
    <rPh sb="52" eb="54">
      <t>フテキ</t>
    </rPh>
    <phoneticPr fontId="3"/>
  </si>
  <si>
    <t>び「指摘なし」の項目についても、特記すべき事項があれば、必要に応じて作成してください。「要是正」の項目がない場合</t>
    <rPh sb="2" eb="4">
      <t>シテキ</t>
    </rPh>
    <rPh sb="8" eb="10">
      <t>コウモク</t>
    </rPh>
    <rPh sb="16" eb="18">
      <t>トッキ</t>
    </rPh>
    <rPh sb="21" eb="23">
      <t>ジコウ</t>
    </rPh>
    <rPh sb="28" eb="30">
      <t>ヒツヨウ</t>
    </rPh>
    <rPh sb="31" eb="32">
      <t>オウ</t>
    </rPh>
    <rPh sb="34" eb="36">
      <t>サクセイ</t>
    </rPh>
    <rPh sb="44" eb="45">
      <t>ヨウ</t>
    </rPh>
    <rPh sb="45" eb="46">
      <t>ゼ</t>
    </rPh>
    <rPh sb="46" eb="47">
      <t>セイ</t>
    </rPh>
    <rPh sb="49" eb="51">
      <t>コウモク</t>
    </rPh>
    <phoneticPr fontId="3"/>
  </si>
  <si>
    <t>は、この書類は省略してもかまいません。</t>
    <rPh sb="4" eb="6">
      <t>ショルイ</t>
    </rPh>
    <rPh sb="7" eb="9">
      <t>ショウリャク</t>
    </rPh>
    <phoneticPr fontId="3"/>
  </si>
  <si>
    <t>　「調査結果」欄は、調査の結果、要是正の指摘があった場合は「要是正」のチェックボックスに「✓」マークを入れ、それ以</t>
    <rPh sb="2" eb="4">
      <t>チョウサ</t>
    </rPh>
    <rPh sb="4" eb="6">
      <t>ケッカ</t>
    </rPh>
    <rPh sb="7" eb="8">
      <t>ラン</t>
    </rPh>
    <rPh sb="10" eb="12">
      <t>チョウサ</t>
    </rPh>
    <rPh sb="13" eb="15">
      <t>ケッカ</t>
    </rPh>
    <rPh sb="16" eb="17">
      <t>ヨウ</t>
    </rPh>
    <rPh sb="17" eb="19">
      <t>ゼセイ</t>
    </rPh>
    <rPh sb="20" eb="22">
      <t>シテキ</t>
    </rPh>
    <rPh sb="26" eb="28">
      <t>バアイ</t>
    </rPh>
    <rPh sb="30" eb="31">
      <t>ヨウ</t>
    </rPh>
    <rPh sb="31" eb="33">
      <t>ゼセイ</t>
    </rPh>
    <rPh sb="51" eb="52">
      <t>イ</t>
    </rPh>
    <rPh sb="56" eb="57">
      <t>イ</t>
    </rPh>
    <phoneticPr fontId="3"/>
  </si>
  <si>
    <t>外の場合で特記すべき事項がある場合は「その他」のチェックボックスに「✓」マークを入れてください。</t>
    <rPh sb="2" eb="4">
      <t>バアイ</t>
    </rPh>
    <rPh sb="5" eb="7">
      <t>トッキ</t>
    </rPh>
    <rPh sb="10" eb="12">
      <t>ジコウ</t>
    </rPh>
    <rPh sb="15" eb="17">
      <t>バアイ</t>
    </rPh>
    <rPh sb="21" eb="22">
      <t>タ</t>
    </rPh>
    <rPh sb="40" eb="41">
      <t>イ</t>
    </rPh>
    <phoneticPr fontId="3"/>
  </si>
  <si>
    <t>関係写真</t>
    <rPh sb="0" eb="2">
      <t>カンケイ</t>
    </rPh>
    <rPh sb="2" eb="4">
      <t>シャシン</t>
    </rPh>
    <phoneticPr fontId="3"/>
  </si>
  <si>
    <t>A</t>
    <phoneticPr fontId="3"/>
  </si>
  <si>
    <t>工業専用地域</t>
    <rPh sb="0" eb="2">
      <t>コウギョウ</t>
    </rPh>
    <rPh sb="2" eb="4">
      <t>センヨウ</t>
    </rPh>
    <rPh sb="4" eb="6">
      <t>チイキ</t>
    </rPh>
    <phoneticPr fontId="3"/>
  </si>
  <si>
    <t>特定天井</t>
    <rPh sb="0" eb="2">
      <t>トクテイ</t>
    </rPh>
    <rPh sb="2" eb="4">
      <t>テンジョウ</t>
    </rPh>
    <phoneticPr fontId="3"/>
  </si>
  <si>
    <t>特定天井の天井材の劣化及び損傷の状況</t>
    <rPh sb="0" eb="2">
      <t>トクテイ</t>
    </rPh>
    <rPh sb="2" eb="4">
      <t>テンジョウ</t>
    </rPh>
    <rPh sb="5" eb="7">
      <t>テンジョウ</t>
    </rPh>
    <rPh sb="7" eb="8">
      <t>ザイ</t>
    </rPh>
    <rPh sb="9" eb="11">
      <t>レッカ</t>
    </rPh>
    <rPh sb="11" eb="12">
      <t>オヨ</t>
    </rPh>
    <rPh sb="13" eb="15">
      <t>ソンショウ</t>
    </rPh>
    <rPh sb="16" eb="18">
      <t>ジョウキョウ</t>
    </rPh>
    <phoneticPr fontId="3"/>
  </si>
  <si>
    <t>□</t>
    <phoneticPr fontId="3"/>
  </si>
  <si>
    <t>物品の放置の状況</t>
    <phoneticPr fontId="3"/>
  </si>
  <si>
    <t>非常用の照明装置</t>
    <phoneticPr fontId="3"/>
  </si>
  <si>
    <t>非常用の照明装置の設置の状況</t>
    <phoneticPr fontId="3"/>
  </si>
  <si>
    <t>特殊な構造等</t>
    <phoneticPr fontId="3"/>
  </si>
  <si>
    <t>膜張力及びケーブル張力の状況</t>
    <phoneticPr fontId="3"/>
  </si>
  <si>
    <t>免震構造建築物の免震層及び免震装置</t>
    <phoneticPr fontId="3"/>
  </si>
  <si>
    <t>上部構造の可動の状況</t>
    <phoneticPr fontId="3"/>
  </si>
  <si>
    <t>改善策の具体的内容等</t>
    <rPh sb="9" eb="10">
      <t>トウ</t>
    </rPh>
    <phoneticPr fontId="3"/>
  </si>
  <si>
    <t>令第138条第１項第１号に掲げる煙突</t>
    <rPh sb="0" eb="1">
      <t>レイ</t>
    </rPh>
    <rPh sb="1" eb="2">
      <t>ダイ</t>
    </rPh>
    <rPh sb="5" eb="6">
      <t>ジョウ</t>
    </rPh>
    <rPh sb="6" eb="7">
      <t>ダイ</t>
    </rPh>
    <rPh sb="8" eb="9">
      <t>コウ</t>
    </rPh>
    <rPh sb="9" eb="10">
      <t>ダイ</t>
    </rPh>
    <rPh sb="11" eb="12">
      <t>ゴウ</t>
    </rPh>
    <rPh sb="13" eb="14">
      <t>カカ</t>
    </rPh>
    <phoneticPr fontId="3"/>
  </si>
  <si>
    <t>乗降ロビー等の排煙設備の設置の状況</t>
    <rPh sb="5" eb="6">
      <t>トウ</t>
    </rPh>
    <phoneticPr fontId="3"/>
  </si>
  <si>
    <t>付室等の外気に向かって開くことができる窓の状況</t>
    <rPh sb="0" eb="1">
      <t>フ</t>
    </rPh>
    <rPh sb="1" eb="2">
      <t>シツ</t>
    </rPh>
    <rPh sb="2" eb="3">
      <t>トウ</t>
    </rPh>
    <rPh sb="4" eb="6">
      <t>ガイキ</t>
    </rPh>
    <rPh sb="7" eb="8">
      <t>ム</t>
    </rPh>
    <rPh sb="11" eb="12">
      <t>ヒラ</t>
    </rPh>
    <rPh sb="19" eb="20">
      <t>マド</t>
    </rPh>
    <rPh sb="21" eb="23">
      <t>ジョウキョウ</t>
    </rPh>
    <phoneticPr fontId="3"/>
  </si>
  <si>
    <t>付室等の排煙設備の設置の状況</t>
    <rPh sb="0" eb="1">
      <t>フ</t>
    </rPh>
    <rPh sb="1" eb="2">
      <t>シツ</t>
    </rPh>
    <rPh sb="2" eb="3">
      <t>トウ</t>
    </rPh>
    <rPh sb="4" eb="6">
      <t>ハイエン</t>
    </rPh>
    <rPh sb="6" eb="8">
      <t>セツビ</t>
    </rPh>
    <rPh sb="9" eb="11">
      <t>セッチ</t>
    </rPh>
    <rPh sb="12" eb="14">
      <t>ジョウキョウ</t>
    </rPh>
    <phoneticPr fontId="3"/>
  </si>
  <si>
    <t>屋外に設けられた避難階段</t>
    <rPh sb="0" eb="2">
      <t>オクガイ</t>
    </rPh>
    <rPh sb="3" eb="4">
      <t>モウ</t>
    </rPh>
    <rPh sb="8" eb="10">
      <t>ヒナン</t>
    </rPh>
    <rPh sb="10" eb="12">
      <t>カイダン</t>
    </rPh>
    <phoneticPr fontId="3"/>
  </si>
  <si>
    <t>階段室の構造の確保の状況</t>
    <rPh sb="0" eb="3">
      <t>カイダンシツ</t>
    </rPh>
    <rPh sb="4" eb="6">
      <t>コウゾウ</t>
    </rPh>
    <rPh sb="7" eb="9">
      <t>カクホ</t>
    </rPh>
    <rPh sb="10" eb="12">
      <t>ジョウキョウ</t>
    </rPh>
    <phoneticPr fontId="3"/>
  </si>
  <si>
    <t>屋内に設けられた避難階段</t>
    <rPh sb="0" eb="2">
      <t>オクナイ</t>
    </rPh>
    <rPh sb="3" eb="4">
      <t>モウ</t>
    </rPh>
    <rPh sb="8" eb="10">
      <t>ヒナン</t>
    </rPh>
    <rPh sb="10" eb="12">
      <t>カイダン</t>
    </rPh>
    <phoneticPr fontId="3"/>
  </si>
  <si>
    <t>幅員の確保の状況</t>
    <rPh sb="0" eb="2">
      <t>フクイン</t>
    </rPh>
    <rPh sb="3" eb="5">
      <t>カクホ</t>
    </rPh>
    <rPh sb="6" eb="8">
      <t>ジョウキョウ</t>
    </rPh>
    <phoneticPr fontId="3"/>
  </si>
  <si>
    <t xml:space="preserve">幅員の確保の状況
</t>
    <rPh sb="0" eb="1">
      <t>ハバ</t>
    </rPh>
    <rPh sb="1" eb="2">
      <t>イン</t>
    </rPh>
    <rPh sb="3" eb="5">
      <t>カクホ</t>
    </rPh>
    <rPh sb="6" eb="8">
      <t>ジョウキョウ</t>
    </rPh>
    <phoneticPr fontId="3"/>
  </si>
  <si>
    <t>令第120条第２項に規定する通路の確保の状況</t>
    <rPh sb="0" eb="1">
      <t>レイ</t>
    </rPh>
    <rPh sb="1" eb="2">
      <t>ダイ</t>
    </rPh>
    <rPh sb="5" eb="6">
      <t>ジョウ</t>
    </rPh>
    <rPh sb="6" eb="7">
      <t>ダイ</t>
    </rPh>
    <rPh sb="8" eb="9">
      <t>コウ</t>
    </rPh>
    <rPh sb="10" eb="12">
      <t>キテイ</t>
    </rPh>
    <rPh sb="14" eb="16">
      <t>ツウロ</t>
    </rPh>
    <rPh sb="17" eb="19">
      <t>カクホ</t>
    </rPh>
    <rPh sb="20" eb="22">
      <t>ジョウキョウ</t>
    </rPh>
    <phoneticPr fontId="3"/>
  </si>
  <si>
    <t>令第120条第２項に規定する通路</t>
    <rPh sb="0" eb="1">
      <t>レイ</t>
    </rPh>
    <rPh sb="1" eb="2">
      <t>ダイ</t>
    </rPh>
    <rPh sb="5" eb="6">
      <t>ジョウ</t>
    </rPh>
    <rPh sb="6" eb="7">
      <t>ダイ</t>
    </rPh>
    <rPh sb="8" eb="9">
      <t>コウ</t>
    </rPh>
    <rPh sb="10" eb="12">
      <t>キテイ</t>
    </rPh>
    <rPh sb="14" eb="16">
      <t>ツウロ</t>
    </rPh>
    <phoneticPr fontId="3"/>
  </si>
  <si>
    <t>吹付け石綿及び吹付けロックウールでその含有する石綿の重量が当該建築材料の重量の0.1パーセントを超えるもの（以下「吹付け石綿等」という。）の使用の状況</t>
    <rPh sb="36" eb="38">
      <t>ジュウリョウ</t>
    </rPh>
    <rPh sb="57" eb="59">
      <t>フキツ</t>
    </rPh>
    <phoneticPr fontId="3"/>
  </si>
  <si>
    <t>照明器具、懸垂物等</t>
    <rPh sb="0" eb="2">
      <t>ショウメイ</t>
    </rPh>
    <rPh sb="2" eb="4">
      <t>キグ</t>
    </rPh>
    <rPh sb="5" eb="7">
      <t>ケンスイ</t>
    </rPh>
    <rPh sb="7" eb="9">
      <t>ブツナド</t>
    </rPh>
    <phoneticPr fontId="3"/>
  </si>
  <si>
    <t>室内に面する部分の仕上げの維持保全の状況</t>
    <rPh sb="15" eb="16">
      <t>ホ</t>
    </rPh>
    <rPh sb="16" eb="17">
      <t>ゼン</t>
    </rPh>
    <rPh sb="18" eb="20">
      <t>ジョウキョウ</t>
    </rPh>
    <phoneticPr fontId="3"/>
  </si>
  <si>
    <t>令第128条の5各項に規定する建築物の天井の室内に面する部分</t>
    <rPh sb="0" eb="1">
      <t>レイ</t>
    </rPh>
    <rPh sb="11" eb="13">
      <t>キテイ</t>
    </rPh>
    <rPh sb="15" eb="18">
      <t>ケンチクブツ</t>
    </rPh>
    <rPh sb="19" eb="21">
      <t>テンジョウ</t>
    </rPh>
    <rPh sb="22" eb="24">
      <t>シツナイ</t>
    </rPh>
    <rPh sb="25" eb="26">
      <t>メン</t>
    </rPh>
    <rPh sb="28" eb="30">
      <t>ブブン</t>
    </rPh>
    <phoneticPr fontId="3"/>
  </si>
  <si>
    <t>令第128条の5各項に規定する建築物の壁の室内に面する部分</t>
    <rPh sb="0" eb="1">
      <t>レイ</t>
    </rPh>
    <rPh sb="11" eb="13">
      <t>キテイ</t>
    </rPh>
    <rPh sb="15" eb="18">
      <t>ケンチクブツ</t>
    </rPh>
    <rPh sb="19" eb="20">
      <t>カベ</t>
    </rPh>
    <rPh sb="21" eb="23">
      <t>シツナイ</t>
    </rPh>
    <rPh sb="24" eb="25">
      <t>メン</t>
    </rPh>
    <rPh sb="27" eb="29">
      <t>ブブン</t>
    </rPh>
    <phoneticPr fontId="3"/>
  </si>
  <si>
    <t>機器及び工作物（冷却等設備、広告塔等）</t>
    <rPh sb="0" eb="2">
      <t>キキ</t>
    </rPh>
    <rPh sb="2" eb="3">
      <t>オヨ</t>
    </rPh>
    <rPh sb="4" eb="7">
      <t>コウサクブツ</t>
    </rPh>
    <rPh sb="8" eb="10">
      <t>レイキャク</t>
    </rPh>
    <rPh sb="10" eb="11">
      <t>トウ</t>
    </rPh>
    <rPh sb="11" eb="13">
      <t>セツビ</t>
    </rPh>
    <rPh sb="14" eb="17">
      <t>コウコクトウ</t>
    </rPh>
    <rPh sb="17" eb="18">
      <t>ナド</t>
    </rPh>
    <phoneticPr fontId="3"/>
  </si>
  <si>
    <t>排水溝（ドレーンを含む。）の劣化及び損傷の状況</t>
    <rPh sb="14" eb="16">
      <t>レッカ</t>
    </rPh>
    <rPh sb="16" eb="18">
      <t>オ</t>
    </rPh>
    <rPh sb="18" eb="20">
      <t>ソンショウ</t>
    </rPh>
    <rPh sb="21" eb="23">
      <t>ジョウキョウ</t>
    </rPh>
    <phoneticPr fontId="3"/>
  </si>
  <si>
    <t>屋上周り（屋上面を除く。）</t>
    <rPh sb="0" eb="2">
      <t>オクジョウ</t>
    </rPh>
    <rPh sb="2" eb="3">
      <t>マワ</t>
    </rPh>
    <rPh sb="5" eb="7">
      <t>オクジョウ</t>
    </rPh>
    <rPh sb="7" eb="8">
      <t>メン</t>
    </rPh>
    <rPh sb="9" eb="10">
      <t>ノゾ</t>
    </rPh>
    <phoneticPr fontId="3"/>
  </si>
  <si>
    <t>タイル、石貼り等（乾式工法によるものを除く。）、モルタル等の劣化及び損傷の状況</t>
    <rPh sb="9" eb="11">
      <t>カンシキ</t>
    </rPh>
    <rPh sb="11" eb="13">
      <t>コウホウ</t>
    </rPh>
    <rPh sb="19" eb="20">
      <t>ノゾ</t>
    </rPh>
    <rPh sb="28" eb="29">
      <t>トウ</t>
    </rPh>
    <rPh sb="30" eb="32">
      <t>レッカ</t>
    </rPh>
    <rPh sb="32" eb="34">
      <t>オ</t>
    </rPh>
    <rPh sb="34" eb="36">
      <t>ソンショウ</t>
    </rPh>
    <rPh sb="37" eb="39">
      <t>ジョウキョウ</t>
    </rPh>
    <phoneticPr fontId="3"/>
  </si>
  <si>
    <t>地盤沈下等による不陸、傾斜等の状況</t>
    <rPh sb="4" eb="5">
      <t>トウ</t>
    </rPh>
    <rPh sb="9" eb="10">
      <t>リク</t>
    </rPh>
    <rPh sb="11" eb="13">
      <t>ケイシャ</t>
    </rPh>
    <phoneticPr fontId="3"/>
  </si>
  <si>
    <t>その他の調査者</t>
    <rPh sb="2" eb="3">
      <t>タ</t>
    </rPh>
    <rPh sb="4" eb="7">
      <t>チョウサシャ</t>
    </rPh>
    <phoneticPr fontId="3"/>
  </si>
  <si>
    <t>代表となる調査者</t>
    <rPh sb="0" eb="2">
      <t>ダイヒョウ</t>
    </rPh>
    <rPh sb="5" eb="8">
      <t>チョウサシャ</t>
    </rPh>
    <phoneticPr fontId="3"/>
  </si>
  <si>
    <t>無</t>
    <rPh sb="0" eb="1">
      <t>ナ</t>
    </rPh>
    <phoneticPr fontId="3"/>
  </si>
  <si>
    <t>令第112条第11項から第13項までに規定する区画の状況</t>
    <rPh sb="12" eb="13">
      <t>ダイ</t>
    </rPh>
    <rPh sb="15" eb="16">
      <t>コウ</t>
    </rPh>
    <phoneticPr fontId="3"/>
  </si>
  <si>
    <t>令第112条第1項、第4項、第5項又は第7項から第10項までの各項に規定する区画の状況</t>
    <rPh sb="10" eb="11">
      <t>ダイ</t>
    </rPh>
    <rPh sb="12" eb="13">
      <t>コウ</t>
    </rPh>
    <rPh sb="14" eb="15">
      <t>ダイ</t>
    </rPh>
    <rPh sb="16" eb="17">
      <t>コウ</t>
    </rPh>
    <rPh sb="17" eb="18">
      <t>マタ</t>
    </rPh>
    <rPh sb="24" eb="25">
      <t>ダイ</t>
    </rPh>
    <rPh sb="27" eb="28">
      <t>コウ</t>
    </rPh>
    <rPh sb="41" eb="43">
      <t>ジョウキョウ</t>
    </rPh>
    <phoneticPr fontId="3"/>
  </si>
  <si>
    <t>令第112条第18項に規定する区画の状況</t>
    <phoneticPr fontId="3"/>
  </si>
  <si>
    <t>令第112条第16項に規定する外壁等及び同条第17項に規定する防火設備の処置の状況</t>
    <rPh sb="18" eb="19">
      <t>オヨ</t>
    </rPh>
    <rPh sb="20" eb="22">
      <t>ドウジョウ</t>
    </rPh>
    <rPh sb="22" eb="23">
      <t>ダイ</t>
    </rPh>
    <rPh sb="25" eb="26">
      <t>コウ</t>
    </rPh>
    <rPh sb="27" eb="29">
      <t>キテイ</t>
    </rPh>
    <rPh sb="31" eb="33">
      <t>ボウカ</t>
    </rPh>
    <rPh sb="33" eb="35">
      <t>セツビ</t>
    </rPh>
    <phoneticPr fontId="3"/>
  </si>
  <si>
    <t>令第112条第16項に規定する外壁等及び同条第17項に規定する防火設備の劣化及び損傷の状況</t>
    <rPh sb="36" eb="38">
      <t>レッカ</t>
    </rPh>
    <rPh sb="38" eb="40">
      <t>オ</t>
    </rPh>
    <rPh sb="40" eb="42">
      <t>ソンショウ</t>
    </rPh>
    <rPh sb="43" eb="45">
      <t>ジョウキョウ</t>
    </rPh>
    <phoneticPr fontId="3"/>
  </si>
  <si>
    <t>耐火構造の壁又は準耐火構造の壁（防火区画を構成する壁等に限る。）</t>
    <rPh sb="0" eb="2">
      <t>タイカ</t>
    </rPh>
    <rPh sb="2" eb="4">
      <t>コウゾウ</t>
    </rPh>
    <rPh sb="5" eb="6">
      <t>カベ</t>
    </rPh>
    <rPh sb="6" eb="7">
      <t>マタ</t>
    </rPh>
    <rPh sb="8" eb="9">
      <t>ジュン</t>
    </rPh>
    <rPh sb="9" eb="11">
      <t>タイカ</t>
    </rPh>
    <rPh sb="11" eb="13">
      <t>コウゾウ</t>
    </rPh>
    <rPh sb="14" eb="15">
      <t>カベ</t>
    </rPh>
    <rPh sb="16" eb="18">
      <t>ボウカ</t>
    </rPh>
    <rPh sb="18" eb="20">
      <t>クカク</t>
    </rPh>
    <rPh sb="21" eb="23">
      <t>コウセイ</t>
    </rPh>
    <rPh sb="25" eb="26">
      <t>カベ</t>
    </rPh>
    <rPh sb="26" eb="27">
      <t>トウ</t>
    </rPh>
    <rPh sb="28" eb="29">
      <t>カギ</t>
    </rPh>
    <phoneticPr fontId="3"/>
  </si>
  <si>
    <t>区画に対応した防火設備又は戸の設置の状況</t>
    <rPh sb="0" eb="2">
      <t>クカク</t>
    </rPh>
    <rPh sb="3" eb="5">
      <t>タイオウ</t>
    </rPh>
    <rPh sb="7" eb="9">
      <t>ボウカ</t>
    </rPh>
    <rPh sb="9" eb="11">
      <t>セツビ</t>
    </rPh>
    <rPh sb="11" eb="12">
      <t>マタ</t>
    </rPh>
    <rPh sb="13" eb="14">
      <t>ト</t>
    </rPh>
    <rPh sb="15" eb="17">
      <t>セッチ</t>
    </rPh>
    <rPh sb="18" eb="19">
      <t>ジョウ</t>
    </rPh>
    <rPh sb="19" eb="20">
      <t>キョウ</t>
    </rPh>
    <phoneticPr fontId="3"/>
  </si>
  <si>
    <t>居室から地上へ通じる主たる廊下、階段その他の通路に設置された防火設備又は戸におけるくぐり戸の設置の状況</t>
    <rPh sb="0" eb="2">
      <t>キョシツ</t>
    </rPh>
    <rPh sb="4" eb="6">
      <t>チジョウ</t>
    </rPh>
    <rPh sb="7" eb="8">
      <t>ツウ</t>
    </rPh>
    <rPh sb="10" eb="11">
      <t>シュ</t>
    </rPh>
    <rPh sb="13" eb="15">
      <t>ロウカ</t>
    </rPh>
    <rPh sb="16" eb="18">
      <t>カイダン</t>
    </rPh>
    <rPh sb="20" eb="21">
      <t>タ</t>
    </rPh>
    <rPh sb="22" eb="24">
      <t>ツウロ</t>
    </rPh>
    <rPh sb="25" eb="27">
      <t>セッチ</t>
    </rPh>
    <rPh sb="30" eb="32">
      <t>ボウカ</t>
    </rPh>
    <rPh sb="32" eb="34">
      <t>セツビ</t>
    </rPh>
    <rPh sb="34" eb="35">
      <t>マタ</t>
    </rPh>
    <rPh sb="36" eb="37">
      <t>ト</t>
    </rPh>
    <rPh sb="44" eb="45">
      <t>ト</t>
    </rPh>
    <rPh sb="46" eb="48">
      <t>セッチ</t>
    </rPh>
    <phoneticPr fontId="3"/>
  </si>
  <si>
    <t>防火扉又は戸の開放方向</t>
    <rPh sb="2" eb="3">
      <t>トビラ</t>
    </rPh>
    <rPh sb="3" eb="4">
      <t>マタ</t>
    </rPh>
    <rPh sb="5" eb="6">
      <t>ト</t>
    </rPh>
    <rPh sb="7" eb="9">
      <t>カイホウ</t>
    </rPh>
    <rPh sb="9" eb="11">
      <t>ホウコウ</t>
    </rPh>
    <phoneticPr fontId="3"/>
  </si>
  <si>
    <t>耐火構造の床又は準耐火構造の床（防火区画を構成する床に限る。）</t>
    <rPh sb="0" eb="2">
      <t>タイカ</t>
    </rPh>
    <rPh sb="2" eb="4">
      <t>コウゾウ</t>
    </rPh>
    <rPh sb="5" eb="6">
      <t>ユカ</t>
    </rPh>
    <rPh sb="6" eb="7">
      <t>マタ</t>
    </rPh>
    <rPh sb="8" eb="9">
      <t>ジュン</t>
    </rPh>
    <rPh sb="9" eb="11">
      <t>タイカ</t>
    </rPh>
    <rPh sb="11" eb="13">
      <t>コウゾウ</t>
    </rPh>
    <rPh sb="14" eb="15">
      <t>ユカ</t>
    </rPh>
    <rPh sb="16" eb="18">
      <t>ボウカ</t>
    </rPh>
    <rPh sb="18" eb="20">
      <t>クカク</t>
    </rPh>
    <rPh sb="21" eb="23">
      <t>コウセイ</t>
    </rPh>
    <rPh sb="25" eb="26">
      <t>ユカ</t>
    </rPh>
    <rPh sb="27" eb="28">
      <t>カギ</t>
    </rPh>
    <phoneticPr fontId="3"/>
  </si>
  <si>
    <t>住所</t>
    <rPh sb="0" eb="2">
      <t>ジュウショ</t>
    </rPh>
    <phoneticPr fontId="3"/>
  </si>
  <si>
    <t>勤務先</t>
    <rPh sb="0" eb="3">
      <t>キンムサキ</t>
    </rPh>
    <phoneticPr fontId="3"/>
  </si>
  <si>
    <t>所在地</t>
    <rPh sb="0" eb="3">
      <t>ショザイチ</t>
    </rPh>
    <phoneticPr fontId="3"/>
  </si>
  <si>
    <t>防火地域等</t>
    <rPh sb="0" eb="2">
      <t>ボウカ</t>
    </rPh>
    <rPh sb="2" eb="4">
      <t>チイキ</t>
    </rPh>
    <rPh sb="4" eb="5">
      <t>トウ</t>
    </rPh>
    <phoneticPr fontId="3"/>
  </si>
  <si>
    <t>構造</t>
    <rPh sb="0" eb="2">
      <t>コウゾウ</t>
    </rPh>
    <phoneticPr fontId="3"/>
  </si>
  <si>
    <t>階数</t>
    <rPh sb="0" eb="2">
      <t>カイスウ</t>
    </rPh>
    <phoneticPr fontId="3"/>
  </si>
  <si>
    <t>敷地面積</t>
    <rPh sb="0" eb="2">
      <t>シキチ</t>
    </rPh>
    <rPh sb="2" eb="4">
      <t>メンセキ</t>
    </rPh>
    <phoneticPr fontId="3"/>
  </si>
  <si>
    <t>交付番号</t>
    <rPh sb="0" eb="2">
      <t>コウフ</t>
    </rPh>
    <rPh sb="2" eb="4">
      <t>バンゴウ</t>
    </rPh>
    <phoneticPr fontId="3"/>
  </si>
  <si>
    <t>2(1)</t>
    <phoneticPr fontId="3"/>
  </si>
  <si>
    <t>2(2)</t>
    <phoneticPr fontId="3"/>
  </si>
  <si>
    <t>2(3)</t>
    <phoneticPr fontId="3"/>
  </si>
  <si>
    <t>2(4)</t>
    <phoneticPr fontId="3"/>
  </si>
  <si>
    <t>2(5)</t>
    <phoneticPr fontId="3"/>
  </si>
  <si>
    <t>2(6)</t>
    <phoneticPr fontId="3"/>
  </si>
  <si>
    <t>2(7)</t>
    <phoneticPr fontId="3"/>
  </si>
  <si>
    <t>2(8)</t>
    <phoneticPr fontId="3"/>
  </si>
  <si>
    <t>2(9)</t>
    <phoneticPr fontId="3"/>
  </si>
  <si>
    <t>2(10)</t>
    <phoneticPr fontId="3"/>
  </si>
  <si>
    <t>2(11)</t>
    <phoneticPr fontId="3"/>
  </si>
  <si>
    <t>2(12)</t>
    <phoneticPr fontId="3"/>
  </si>
  <si>
    <t>)</t>
    <phoneticPr fontId="3"/>
  </si>
  <si>
    <t>特定建築物調査員</t>
    <rPh sb="0" eb="2">
      <t>トクテイ</t>
    </rPh>
    <rPh sb="2" eb="5">
      <t>ケンチクブツ</t>
    </rPh>
    <rPh sb="5" eb="8">
      <t>チョウサイン</t>
    </rPh>
    <phoneticPr fontId="3"/>
  </si>
  <si>
    <t>建物名称</t>
    <rPh sb="0" eb="2">
      <t>タテモノ</t>
    </rPh>
    <rPh sb="2" eb="4">
      <t>メイショウ</t>
    </rPh>
    <phoneticPr fontId="3"/>
  </si>
  <si>
    <t>敷地の位置</t>
    <rPh sb="0" eb="2">
      <t>シキチ</t>
    </rPh>
    <rPh sb="3" eb="5">
      <t>イチ</t>
    </rPh>
    <phoneticPr fontId="3"/>
  </si>
  <si>
    <t>防火地域</t>
    <rPh sb="0" eb="2">
      <t>ボウカ</t>
    </rPh>
    <rPh sb="2" eb="4">
      <t>チイキ</t>
    </rPh>
    <phoneticPr fontId="3"/>
  </si>
  <si>
    <t>準防火地域</t>
    <rPh sb="0" eb="1">
      <t>ジュン</t>
    </rPh>
    <rPh sb="1" eb="3">
      <t>ボウカ</t>
    </rPh>
    <rPh sb="3" eb="5">
      <t>チイキ</t>
    </rPh>
    <phoneticPr fontId="3"/>
  </si>
  <si>
    <t>その他</t>
    <rPh sb="2" eb="3">
      <t>ホカ</t>
    </rPh>
    <phoneticPr fontId="3"/>
  </si>
  <si>
    <t>指定なし</t>
    <rPh sb="0" eb="2">
      <t>シテイ</t>
    </rPh>
    <phoneticPr fontId="3"/>
  </si>
  <si>
    <t>第一種低層住居専用地域</t>
    <rPh sb="0" eb="1">
      <t>ダイ</t>
    </rPh>
    <rPh sb="1" eb="3">
      <t>イッシュ</t>
    </rPh>
    <rPh sb="3" eb="5">
      <t>テイソウ</t>
    </rPh>
    <rPh sb="5" eb="7">
      <t>ジュウキョ</t>
    </rPh>
    <rPh sb="7" eb="9">
      <t>センヨウ</t>
    </rPh>
    <rPh sb="9" eb="11">
      <t>チイキ</t>
    </rPh>
    <phoneticPr fontId="3"/>
  </si>
  <si>
    <t>第二種低層住居専用地域</t>
    <rPh sb="0" eb="1">
      <t>ダイ</t>
    </rPh>
    <rPh sb="1" eb="2">
      <t>ニ</t>
    </rPh>
    <rPh sb="2" eb="3">
      <t>シュ</t>
    </rPh>
    <rPh sb="3" eb="5">
      <t>テイソウ</t>
    </rPh>
    <rPh sb="5" eb="7">
      <t>ジュウキョ</t>
    </rPh>
    <rPh sb="7" eb="9">
      <t>センヨウ</t>
    </rPh>
    <rPh sb="9" eb="11">
      <t>チイキ</t>
    </rPh>
    <phoneticPr fontId="3"/>
  </si>
  <si>
    <t>第一種中高層住居専用地域</t>
    <rPh sb="0" eb="3">
      <t>ダイイッシュ</t>
    </rPh>
    <rPh sb="3" eb="6">
      <t>チュウコウソウ</t>
    </rPh>
    <rPh sb="6" eb="8">
      <t>ジュウキョ</t>
    </rPh>
    <rPh sb="8" eb="10">
      <t>センヨウ</t>
    </rPh>
    <rPh sb="10" eb="12">
      <t>チイキ</t>
    </rPh>
    <phoneticPr fontId="3"/>
  </si>
  <si>
    <t>第二種中高層住居専用地域</t>
    <rPh sb="0" eb="1">
      <t>ダイ</t>
    </rPh>
    <rPh sb="1" eb="2">
      <t>ニ</t>
    </rPh>
    <rPh sb="2" eb="3">
      <t>シュ</t>
    </rPh>
    <rPh sb="3" eb="6">
      <t>チュウコウソウ</t>
    </rPh>
    <rPh sb="6" eb="8">
      <t>ジュウキョ</t>
    </rPh>
    <rPh sb="8" eb="10">
      <t>センヨウ</t>
    </rPh>
    <rPh sb="10" eb="12">
      <t>チイキ</t>
    </rPh>
    <phoneticPr fontId="3"/>
  </si>
  <si>
    <t>第一種住居地域</t>
    <rPh sb="0" eb="3">
      <t>ダイイッシュ</t>
    </rPh>
    <rPh sb="3" eb="5">
      <t>ジュウキョ</t>
    </rPh>
    <rPh sb="5" eb="7">
      <t>チイキ</t>
    </rPh>
    <phoneticPr fontId="3"/>
  </si>
  <si>
    <t>第二種住居地域</t>
    <rPh sb="0" eb="1">
      <t>ダイ</t>
    </rPh>
    <rPh sb="1" eb="2">
      <t>ニ</t>
    </rPh>
    <rPh sb="2" eb="3">
      <t>シュ</t>
    </rPh>
    <rPh sb="3" eb="5">
      <t>ジュウキョ</t>
    </rPh>
    <rPh sb="5" eb="7">
      <t>チイキ</t>
    </rPh>
    <phoneticPr fontId="3"/>
  </si>
  <si>
    <t>準住居地域</t>
    <rPh sb="0" eb="1">
      <t>ジュン</t>
    </rPh>
    <rPh sb="1" eb="3">
      <t>ジュウキョ</t>
    </rPh>
    <rPh sb="3" eb="5">
      <t>チイキ</t>
    </rPh>
    <phoneticPr fontId="3"/>
  </si>
  <si>
    <t>田園住居地域内</t>
    <rPh sb="0" eb="2">
      <t>デンエン</t>
    </rPh>
    <rPh sb="2" eb="4">
      <t>ジュウキョ</t>
    </rPh>
    <rPh sb="4" eb="6">
      <t>チイキ</t>
    </rPh>
    <rPh sb="6" eb="7">
      <t>ナイ</t>
    </rPh>
    <phoneticPr fontId="3"/>
  </si>
  <si>
    <t>近隣商業地域</t>
    <rPh sb="0" eb="2">
      <t>キンリン</t>
    </rPh>
    <rPh sb="2" eb="4">
      <t>ショウギョウ</t>
    </rPh>
    <rPh sb="4" eb="6">
      <t>チイキ</t>
    </rPh>
    <phoneticPr fontId="3"/>
  </si>
  <si>
    <t>準工業地域</t>
    <rPh sb="0" eb="1">
      <t>ジュン</t>
    </rPh>
    <rPh sb="1" eb="3">
      <t>コウギョウ</t>
    </rPh>
    <rPh sb="3" eb="5">
      <t>チイキ</t>
    </rPh>
    <phoneticPr fontId="3"/>
  </si>
  <si>
    <t>商業地域</t>
    <rPh sb="0" eb="2">
      <t>ショウギョウ</t>
    </rPh>
    <rPh sb="2" eb="4">
      <t>チイキ</t>
    </rPh>
    <phoneticPr fontId="3"/>
  </si>
  <si>
    <t>工業地域</t>
    <rPh sb="0" eb="2">
      <t>コウギョウ</t>
    </rPh>
    <rPh sb="2" eb="4">
      <t>チイキ</t>
    </rPh>
    <phoneticPr fontId="3"/>
  </si>
  <si>
    <t>地上</t>
    <rPh sb="0" eb="2">
      <t>チジョウ</t>
    </rPh>
    <phoneticPr fontId="3"/>
  </si>
  <si>
    <t>地下</t>
    <rPh sb="0" eb="2">
      <t>チカ</t>
    </rPh>
    <phoneticPr fontId="3"/>
  </si>
  <si>
    <t>耐火性能検証法</t>
    <rPh sb="0" eb="2">
      <t>タイカ</t>
    </rPh>
    <rPh sb="2" eb="4">
      <t>セイノウ</t>
    </rPh>
    <rPh sb="4" eb="6">
      <t>ケンショウ</t>
    </rPh>
    <rPh sb="6" eb="7">
      <t>ホウ</t>
    </rPh>
    <phoneticPr fontId="3"/>
  </si>
  <si>
    <t>防火区画検証法</t>
    <rPh sb="0" eb="2">
      <t>ボウカ</t>
    </rPh>
    <rPh sb="2" eb="4">
      <t>クカク</t>
    </rPh>
    <rPh sb="4" eb="6">
      <t>ケンショウ</t>
    </rPh>
    <rPh sb="6" eb="7">
      <t>ホウ</t>
    </rPh>
    <phoneticPr fontId="3"/>
  </si>
  <si>
    <t>区画避難安全検証法</t>
    <rPh sb="0" eb="2">
      <t>クカク</t>
    </rPh>
    <rPh sb="2" eb="4">
      <t>ヒナン</t>
    </rPh>
    <rPh sb="4" eb="6">
      <t>アンゼン</t>
    </rPh>
    <rPh sb="6" eb="8">
      <t>ケンショウ</t>
    </rPh>
    <rPh sb="8" eb="9">
      <t>ホウ</t>
    </rPh>
    <phoneticPr fontId="3"/>
  </si>
  <si>
    <t>階避難安全検証法</t>
    <rPh sb="0" eb="1">
      <t>カイ</t>
    </rPh>
    <rPh sb="1" eb="3">
      <t>ヒナン</t>
    </rPh>
    <rPh sb="3" eb="5">
      <t>アンゼン</t>
    </rPh>
    <rPh sb="5" eb="7">
      <t>ケンショウ</t>
    </rPh>
    <rPh sb="7" eb="8">
      <t>ホウ</t>
    </rPh>
    <phoneticPr fontId="3"/>
  </si>
  <si>
    <t>全館避難安全検証法</t>
    <rPh sb="0" eb="1">
      <t>ゼン</t>
    </rPh>
    <rPh sb="1" eb="2">
      <t>カン</t>
    </rPh>
    <rPh sb="2" eb="4">
      <t>ヒナン</t>
    </rPh>
    <rPh sb="4" eb="6">
      <t>アンゼン</t>
    </rPh>
    <rPh sb="6" eb="8">
      <t>ケンショウ</t>
    </rPh>
    <rPh sb="8" eb="9">
      <t>ホウ</t>
    </rPh>
    <phoneticPr fontId="3"/>
  </si>
  <si>
    <t>各階合計</t>
    <rPh sb="0" eb="2">
      <t>カクカイ</t>
    </rPh>
    <rPh sb="2" eb="4">
      <t>ゴウケイ</t>
    </rPh>
    <phoneticPr fontId="3"/>
  </si>
  <si>
    <t>維持管理保全に関する準則又は計画</t>
    <rPh sb="0" eb="2">
      <t>イジ</t>
    </rPh>
    <rPh sb="2" eb="4">
      <t>カンリ</t>
    </rPh>
    <rPh sb="4" eb="6">
      <t>ホゼン</t>
    </rPh>
    <rPh sb="7" eb="8">
      <t>カン</t>
    </rPh>
    <rPh sb="10" eb="12">
      <t>ジュンソク</t>
    </rPh>
    <rPh sb="12" eb="13">
      <t>マタ</t>
    </rPh>
    <rPh sb="14" eb="16">
      <t>ケイカク</t>
    </rPh>
    <phoneticPr fontId="3"/>
  </si>
  <si>
    <t>対象外</t>
    <rPh sb="0" eb="3">
      <t>タイショウガイ</t>
    </rPh>
    <phoneticPr fontId="3"/>
  </si>
  <si>
    <t>前回の調査に関する書類の写し</t>
    <rPh sb="0" eb="2">
      <t>ゼンカイ</t>
    </rPh>
    <rPh sb="3" eb="5">
      <t>チョウサ</t>
    </rPh>
    <rPh sb="6" eb="7">
      <t>カン</t>
    </rPh>
    <rPh sb="9" eb="11">
      <t>ショルイ</t>
    </rPh>
    <rPh sb="12" eb="13">
      <t>ウツ</t>
    </rPh>
    <phoneticPr fontId="3"/>
  </si>
  <si>
    <t>前回の調査</t>
    <rPh sb="0" eb="2">
      <t>ゼンカイ</t>
    </rPh>
    <rPh sb="3" eb="5">
      <t>チョウサ</t>
    </rPh>
    <phoneticPr fontId="3"/>
  </si>
  <si>
    <t>建築設備の検査</t>
    <rPh sb="0" eb="2">
      <t>ケンチク</t>
    </rPh>
    <rPh sb="2" eb="4">
      <t>セツビ</t>
    </rPh>
    <rPh sb="5" eb="7">
      <t>ケンサ</t>
    </rPh>
    <phoneticPr fontId="3"/>
  </si>
  <si>
    <t>未実施</t>
    <rPh sb="0" eb="3">
      <t>ミジッシ</t>
    </rPh>
    <phoneticPr fontId="3"/>
  </si>
  <si>
    <t>該当する室</t>
    <rPh sb="0" eb="2">
      <t>ガイトウ</t>
    </rPh>
    <rPh sb="4" eb="5">
      <t>シツ</t>
    </rPh>
    <phoneticPr fontId="3"/>
  </si>
  <si>
    <t>耐震診断</t>
    <rPh sb="0" eb="2">
      <t>タイシン</t>
    </rPh>
    <rPh sb="2" eb="4">
      <t>シンダン</t>
    </rPh>
    <phoneticPr fontId="3"/>
  </si>
  <si>
    <t>耐震改修</t>
    <rPh sb="0" eb="2">
      <t>タイシン</t>
    </rPh>
    <rPh sb="2" eb="4">
      <t>カイシュウ</t>
    </rPh>
    <phoneticPr fontId="3"/>
  </si>
  <si>
    <t>2(13)</t>
    <phoneticPr fontId="3"/>
  </si>
  <si>
    <t>2(14)</t>
    <phoneticPr fontId="3"/>
  </si>
  <si>
    <t>2(15)</t>
    <phoneticPr fontId="3"/>
  </si>
  <si>
    <t>2(16)</t>
    <phoneticPr fontId="3"/>
  </si>
  <si>
    <t>2(17)</t>
    <phoneticPr fontId="3"/>
  </si>
  <si>
    <t>2(18)</t>
    <phoneticPr fontId="3"/>
  </si>
  <si>
    <t>3(1)</t>
    <phoneticPr fontId="3"/>
  </si>
  <si>
    <t>3(2)</t>
    <phoneticPr fontId="3"/>
  </si>
  <si>
    <t>3(3)</t>
    <phoneticPr fontId="3"/>
  </si>
  <si>
    <t>3(4)</t>
    <phoneticPr fontId="3"/>
  </si>
  <si>
    <t>3(5)</t>
    <phoneticPr fontId="3"/>
  </si>
  <si>
    <t>3(6)</t>
    <phoneticPr fontId="3"/>
  </si>
  <si>
    <t>3(7)</t>
    <phoneticPr fontId="3"/>
  </si>
  <si>
    <t>3(8)</t>
    <phoneticPr fontId="3"/>
  </si>
  <si>
    <t>3(9)</t>
    <phoneticPr fontId="3"/>
  </si>
  <si>
    <t>令和</t>
    <rPh sb="0" eb="2">
      <t>レイワ</t>
    </rPh>
    <phoneticPr fontId="3"/>
  </si>
  <si>
    <t>不具合等の記録</t>
    <rPh sb="0" eb="3">
      <t>フグアイ</t>
    </rPh>
    <rPh sb="3" eb="4">
      <t>トウ</t>
    </rPh>
    <rPh sb="5" eb="7">
      <t>キロク</t>
    </rPh>
    <phoneticPr fontId="3"/>
  </si>
  <si>
    <t>改善措置の概要等</t>
    <rPh sb="0" eb="2">
      <t>カイゼン</t>
    </rPh>
    <rPh sb="2" eb="4">
      <t>ソチ</t>
    </rPh>
    <rPh sb="5" eb="7">
      <t>ガイヨウ</t>
    </rPh>
    <rPh sb="7" eb="8">
      <t>トウ</t>
    </rPh>
    <phoneticPr fontId="3"/>
  </si>
  <si>
    <t>（理由：</t>
    <rPh sb="1" eb="3">
      <t>リユウ</t>
    </rPh>
    <phoneticPr fontId="3"/>
  </si>
  <si>
    <t>（時期：</t>
    <rPh sb="1" eb="3">
      <t>ジキ</t>
    </rPh>
    <phoneticPr fontId="3"/>
  </si>
  <si>
    <t>月に</t>
    <rPh sb="0" eb="1">
      <t>ガツ</t>
    </rPh>
    <phoneticPr fontId="3"/>
  </si>
  <si>
    <t>ホテル</t>
  </si>
  <si>
    <t>ネイルサロン</t>
  </si>
  <si>
    <t>キャバレー</t>
  </si>
  <si>
    <t>カフェー</t>
  </si>
  <si>
    <t>ナイトクラブ</t>
  </si>
  <si>
    <t>バー</t>
  </si>
  <si>
    <t>ダンスホール</t>
  </si>
  <si>
    <t>用途大分類</t>
  </si>
  <si>
    <t>階）</t>
    <rPh sb="0" eb="1">
      <t>カイ</t>
    </rPh>
    <phoneticPr fontId="3"/>
  </si>
  <si>
    <t>対象外</t>
    <phoneticPr fontId="3"/>
  </si>
  <si>
    <t>予定なし</t>
    <rPh sb="0" eb="2">
      <t>ヨテイ</t>
    </rPh>
    <phoneticPr fontId="3"/>
  </si>
  <si>
    <t>－</t>
    <phoneticPr fontId="3"/>
  </si>
  <si>
    <t>実施日</t>
    <rPh sb="0" eb="3">
      <t>ジッシビ</t>
    </rPh>
    <phoneticPr fontId="3"/>
  </si>
  <si>
    <t>大字・町名</t>
    <rPh sb="0" eb="2">
      <t>オオアザ</t>
    </rPh>
    <rPh sb="3" eb="5">
      <t>チョウメイ</t>
    </rPh>
    <phoneticPr fontId="3"/>
  </si>
  <si>
    <t>ID</t>
  </si>
  <si>
    <t>法人名</t>
    <phoneticPr fontId="3"/>
  </si>
  <si>
    <t>建築士事務所</t>
    <rPh sb="0" eb="2">
      <t>ケンチク</t>
    </rPh>
    <rPh sb="2" eb="3">
      <t>シ</t>
    </rPh>
    <rPh sb="3" eb="6">
      <t>ジムショ</t>
    </rPh>
    <phoneticPr fontId="3"/>
  </si>
  <si>
    <t>肩書</t>
    <phoneticPr fontId="3"/>
  </si>
  <si>
    <t>氏名</t>
    <phoneticPr fontId="3"/>
  </si>
  <si>
    <t>建築面積</t>
    <rPh sb="0" eb="4">
      <t>ケンチクメンセキ</t>
    </rPh>
    <phoneticPr fontId="3"/>
  </si>
  <si>
    <t>関数1</t>
    <rPh sb="0" eb="2">
      <t>カンスウ</t>
    </rPh>
    <phoneticPr fontId="3"/>
  </si>
  <si>
    <t>関数2</t>
    <rPh sb="0" eb="2">
      <t>カンスウ</t>
    </rPh>
    <phoneticPr fontId="3"/>
  </si>
  <si>
    <t>レ</t>
    <phoneticPr fontId="3"/>
  </si>
  <si>
    <t>管理者氏名</t>
    <rPh sb="0" eb="3">
      <t>カンリシャ</t>
    </rPh>
    <rPh sb="3" eb="5">
      <t>シメイ</t>
    </rPh>
    <phoneticPr fontId="3"/>
  </si>
  <si>
    <t>準防火地域</t>
    <rPh sb="0" eb="5">
      <t>ジュンボウカチイキ</t>
    </rPh>
    <phoneticPr fontId="3"/>
  </si>
  <si>
    <t>対象外項目</t>
    <rPh sb="0" eb="3">
      <t>タイショウガイ</t>
    </rPh>
    <rPh sb="3" eb="5">
      <t>コウモク</t>
    </rPh>
    <phoneticPr fontId="24"/>
  </si>
  <si>
    <t>指摘なし</t>
    <rPh sb="0" eb="2">
      <t>シテキ</t>
    </rPh>
    <phoneticPr fontId="24"/>
  </si>
  <si>
    <t>要是正</t>
    <rPh sb="0" eb="3">
      <t>ヨウゼセイ</t>
    </rPh>
    <phoneticPr fontId="24"/>
  </si>
  <si>
    <t>既存不適格</t>
    <rPh sb="0" eb="5">
      <t>キゾンフテキカク</t>
    </rPh>
    <phoneticPr fontId="24"/>
  </si>
  <si>
    <t xml:space="preserve">組積造の塀又は補強コンクリートブロック造の塀等の耐震対策の状況
</t>
    <rPh sb="0" eb="1">
      <t>ソ</t>
    </rPh>
    <rPh sb="1" eb="2">
      <t>セキ</t>
    </rPh>
    <rPh sb="2" eb="3">
      <t>ゾウ</t>
    </rPh>
    <rPh sb="4" eb="5">
      <t>ヘイ</t>
    </rPh>
    <rPh sb="5" eb="6">
      <t>マタ</t>
    </rPh>
    <rPh sb="7" eb="9">
      <t>ホキョウ</t>
    </rPh>
    <rPh sb="19" eb="20">
      <t>ゾウ</t>
    </rPh>
    <rPh sb="21" eb="22">
      <t>ヘイ</t>
    </rPh>
    <rPh sb="29" eb="30">
      <t>ジョウ</t>
    </rPh>
    <phoneticPr fontId="3"/>
  </si>
  <si>
    <t>階＼用途</t>
    <rPh sb="0" eb="1">
      <t>カイ</t>
    </rPh>
    <rPh sb="2" eb="4">
      <t>ヨウト</t>
    </rPh>
    <phoneticPr fontId="3"/>
  </si>
  <si>
    <t>塔屋 1</t>
    <rPh sb="0" eb="2">
      <t>トウヤ</t>
    </rPh>
    <phoneticPr fontId="3"/>
  </si>
  <si>
    <t>塔屋 2</t>
    <rPh sb="0" eb="2">
      <t>トウヤ</t>
    </rPh>
    <phoneticPr fontId="3"/>
  </si>
  <si>
    <t>塔屋 3</t>
    <rPh sb="0" eb="2">
      <t>トウヤ</t>
    </rPh>
    <phoneticPr fontId="3"/>
  </si>
  <si>
    <t>塔屋 4</t>
    <rPh sb="0" eb="2">
      <t>トウヤ</t>
    </rPh>
    <phoneticPr fontId="3"/>
  </si>
  <si>
    <t>塔屋 5</t>
    <rPh sb="0" eb="2">
      <t>トウヤ</t>
    </rPh>
    <phoneticPr fontId="3"/>
  </si>
  <si>
    <t>シート</t>
    <phoneticPr fontId="3"/>
  </si>
  <si>
    <t>必須入力</t>
    <rPh sb="0" eb="4">
      <t>ヒッスニュウリョク</t>
    </rPh>
    <phoneticPr fontId="3"/>
  </si>
  <si>
    <t>任意入力</t>
    <rPh sb="0" eb="2">
      <t>ニンイ</t>
    </rPh>
    <rPh sb="2" eb="4">
      <t>ニュウリョク</t>
    </rPh>
    <phoneticPr fontId="3"/>
  </si>
  <si>
    <t>地下1</t>
    <rPh sb="0" eb="2">
      <t>チカ</t>
    </rPh>
    <phoneticPr fontId="3"/>
  </si>
  <si>
    <t>地下2</t>
    <rPh sb="0" eb="2">
      <t>チカ</t>
    </rPh>
    <phoneticPr fontId="3"/>
  </si>
  <si>
    <t>地下3</t>
    <rPh sb="0" eb="2">
      <t>チカ</t>
    </rPh>
    <phoneticPr fontId="3"/>
  </si>
  <si>
    <t>地下4</t>
    <rPh sb="0" eb="2">
      <t>チカ</t>
    </rPh>
    <phoneticPr fontId="3"/>
  </si>
  <si>
    <t>延べ面積</t>
    <phoneticPr fontId="3"/>
  </si>
  <si>
    <t>エラー入力（入力不要な箇所に入力がある等）</t>
    <rPh sb="3" eb="5">
      <t>ニュウリョク</t>
    </rPh>
    <phoneticPr fontId="3"/>
  </si>
  <si>
    <t>備考（３面）</t>
    <rPh sb="0" eb="2">
      <t>ビコウ</t>
    </rPh>
    <rPh sb="4" eb="5">
      <t>メン</t>
    </rPh>
    <phoneticPr fontId="3"/>
  </si>
  <si>
    <t>チェックボックス</t>
    <phoneticPr fontId="3"/>
  </si>
  <si>
    <t>用途地域</t>
  </si>
  <si>
    <t>月</t>
    <rPh sb="0" eb="1">
      <t>ツキ</t>
    </rPh>
    <phoneticPr fontId="3"/>
  </si>
  <si>
    <t>概要（</t>
    <rPh sb="0" eb="2">
      <t>ガイヨウ</t>
    </rPh>
    <phoneticPr fontId="3"/>
  </si>
  <si>
    <t>不具合等を把握した年月</t>
    <rPh sb="0" eb="4">
      <t>フグアイトウ</t>
    </rPh>
    <rPh sb="5" eb="7">
      <t>ハアク</t>
    </rPh>
    <rPh sb="9" eb="11">
      <t>ネンゲツ</t>
    </rPh>
    <phoneticPr fontId="3"/>
  </si>
  <si>
    <t>不具合等の概要</t>
    <rPh sb="0" eb="4">
      <t>フグアイナド</t>
    </rPh>
    <rPh sb="5" eb="7">
      <t>ガイヨウ</t>
    </rPh>
    <phoneticPr fontId="3"/>
  </si>
  <si>
    <t>改善（予定）年月</t>
    <rPh sb="0" eb="2">
      <t>カイゼン</t>
    </rPh>
    <rPh sb="3" eb="5">
      <t>ヨテイ</t>
    </rPh>
    <rPh sb="6" eb="8">
      <t>ネンゲツ</t>
    </rPh>
    <phoneticPr fontId="3"/>
  </si>
  <si>
    <t>階)</t>
    <rPh sb="0" eb="1">
      <t>カイ</t>
    </rPh>
    <phoneticPr fontId="3"/>
  </si>
  <si>
    <t>防火地域等</t>
    <rPh sb="0" eb="5">
      <t>ボウカチイキナド</t>
    </rPh>
    <phoneticPr fontId="3"/>
  </si>
  <si>
    <t>階別用途別床面積</t>
    <rPh sb="0" eb="2">
      <t>カイベツ</t>
    </rPh>
    <rPh sb="2" eb="5">
      <t>ヨウトベツ</t>
    </rPh>
    <rPh sb="5" eb="8">
      <t>ユカメンセキ</t>
    </rPh>
    <phoneticPr fontId="3"/>
  </si>
  <si>
    <t>東京都知事</t>
    <phoneticPr fontId="3"/>
  </si>
  <si>
    <t>多摩建築指導事務所長　</t>
    <phoneticPr fontId="3"/>
  </si>
  <si>
    <t>第三十六号の二様式（第五条関係）（Ａ４）</t>
    <rPh sb="0" eb="1">
      <t>ダイ</t>
    </rPh>
    <rPh sb="1" eb="5">
      <t>サンジュウロクゴウ</t>
    </rPh>
    <rPh sb="6" eb="7">
      <t>フタ</t>
    </rPh>
    <rPh sb="7" eb="9">
      <t>ヨウシキ</t>
    </rPh>
    <rPh sb="10" eb="11">
      <t>ダイ</t>
    </rPh>
    <rPh sb="11" eb="13">
      <t>ゴジョウ</t>
    </rPh>
    <rPh sb="13" eb="15">
      <t>カンケイ</t>
    </rPh>
    <phoneticPr fontId="3"/>
  </si>
  <si>
    <t>定期調査報告書</t>
    <phoneticPr fontId="3"/>
  </si>
  <si>
    <t>（第一面）</t>
  </si>
  <si>
    <t>　建築基準法第12条第１項の規定による定期調査の結果を報告します。この報告書に記載の事項は、</t>
    <phoneticPr fontId="3"/>
  </si>
  <si>
    <t>事実に相違ありません。</t>
    <phoneticPr fontId="3"/>
  </si>
  <si>
    <t>様</t>
    <rPh sb="0" eb="1">
      <t>サマ</t>
    </rPh>
    <phoneticPr fontId="3"/>
  </si>
  <si>
    <t>日</t>
    <rPh sb="0" eb="1">
      <t>ヒ</t>
    </rPh>
    <phoneticPr fontId="3"/>
  </si>
  <si>
    <t>報告者氏名</t>
    <rPh sb="0" eb="3">
      <t>ホウコクシャ</t>
    </rPh>
    <rPh sb="3" eb="5">
      <t>シメイ</t>
    </rPh>
    <phoneticPr fontId="3"/>
  </si>
  <si>
    <t>調査者氏名</t>
    <rPh sb="0" eb="2">
      <t>チョウサ</t>
    </rPh>
    <rPh sb="2" eb="3">
      <t>シャ</t>
    </rPh>
    <rPh sb="3" eb="5">
      <t>シメイ</t>
    </rPh>
    <phoneticPr fontId="3"/>
  </si>
  <si>
    <t>【1．所有者】</t>
    <rPh sb="3" eb="6">
      <t>ショユウシャ</t>
    </rPh>
    <phoneticPr fontId="3"/>
  </si>
  <si>
    <t>【イ．氏名のフリガナ】</t>
    <rPh sb="3" eb="5">
      <t>シメイ</t>
    </rPh>
    <phoneticPr fontId="3"/>
  </si>
  <si>
    <t>【ロ．氏名】</t>
    <rPh sb="3" eb="5">
      <t>シメイ</t>
    </rPh>
    <phoneticPr fontId="3"/>
  </si>
  <si>
    <t>【ハ．郵便番号】</t>
    <rPh sb="3" eb="5">
      <t>ユウビン</t>
    </rPh>
    <rPh sb="5" eb="7">
      <t>バンゴウ</t>
    </rPh>
    <phoneticPr fontId="3"/>
  </si>
  <si>
    <t>【ニ．住所】</t>
    <rPh sb="3" eb="5">
      <t>ジュウショ</t>
    </rPh>
    <phoneticPr fontId="3"/>
  </si>
  <si>
    <t>【ホ．電話番号】</t>
    <rPh sb="3" eb="5">
      <t>デンワ</t>
    </rPh>
    <rPh sb="5" eb="7">
      <t>バンゴウ</t>
    </rPh>
    <phoneticPr fontId="3"/>
  </si>
  <si>
    <t>【2．管理者】</t>
    <rPh sb="3" eb="5">
      <t>カンリ</t>
    </rPh>
    <phoneticPr fontId="3"/>
  </si>
  <si>
    <t>【3．調査者】</t>
    <rPh sb="3" eb="6">
      <t>チョウサシャ</t>
    </rPh>
    <phoneticPr fontId="3"/>
  </si>
  <si>
    <t>（代表となる調査者）</t>
    <phoneticPr fontId="3"/>
  </si>
  <si>
    <t>【イ．資格】</t>
    <phoneticPr fontId="3"/>
  </si>
  <si>
    <t>）建築士</t>
    <phoneticPr fontId="3"/>
  </si>
  <si>
    <t>）登録</t>
    <phoneticPr fontId="3"/>
  </si>
  <si>
    <t>第</t>
    <phoneticPr fontId="3"/>
  </si>
  <si>
    <t>号</t>
    <phoneticPr fontId="3"/>
  </si>
  <si>
    <t>【ロ．氏名のフリガナ】</t>
    <rPh sb="3" eb="5">
      <t>シメイ</t>
    </rPh>
    <phoneticPr fontId="3"/>
  </si>
  <si>
    <t xml:space="preserve">【ハ．氏名】 </t>
    <rPh sb="3" eb="5">
      <t>シメイ</t>
    </rPh>
    <phoneticPr fontId="3"/>
  </si>
  <si>
    <t>【ニ．勤務先】</t>
    <rPh sb="3" eb="5">
      <t>キンム</t>
    </rPh>
    <rPh sb="5" eb="6">
      <t>サキ</t>
    </rPh>
    <phoneticPr fontId="3"/>
  </si>
  <si>
    <t>）建築士事務所</t>
    <phoneticPr fontId="3"/>
  </si>
  <si>
    <t>）知事登録</t>
    <rPh sb="1" eb="3">
      <t>チジ</t>
    </rPh>
    <phoneticPr fontId="3"/>
  </si>
  <si>
    <t>【ホ．郵便番号】</t>
    <rPh sb="3" eb="5">
      <t>ユウビン</t>
    </rPh>
    <rPh sb="5" eb="7">
      <t>バンゴウ</t>
    </rPh>
    <phoneticPr fontId="3"/>
  </si>
  <si>
    <t>【へ．所在地】</t>
    <rPh sb="3" eb="6">
      <t>ショザイチ</t>
    </rPh>
    <phoneticPr fontId="3"/>
  </si>
  <si>
    <t>【ト．電話番号】</t>
    <rPh sb="3" eb="5">
      <t>デンワ</t>
    </rPh>
    <rPh sb="5" eb="7">
      <t>バンゴウ</t>
    </rPh>
    <phoneticPr fontId="3"/>
  </si>
  <si>
    <t>（その他の調査者）</t>
    <phoneticPr fontId="3"/>
  </si>
  <si>
    <t>【イ．資格】</t>
    <rPh sb="3" eb="5">
      <t>シカク</t>
    </rPh>
    <phoneticPr fontId="3"/>
  </si>
  <si>
    <t>【4．報告対象建築物】</t>
    <rPh sb="3" eb="5">
      <t>ホウコク</t>
    </rPh>
    <rPh sb="5" eb="7">
      <t>タイショウ</t>
    </rPh>
    <rPh sb="7" eb="9">
      <t>ケンチク</t>
    </rPh>
    <rPh sb="9" eb="10">
      <t>ブツ</t>
    </rPh>
    <phoneticPr fontId="3"/>
  </si>
  <si>
    <t>【イ．所在地】</t>
    <phoneticPr fontId="3"/>
  </si>
  <si>
    <t>【ロ．名称のフリガナ】</t>
    <phoneticPr fontId="3"/>
  </si>
  <si>
    <t>【ハ．名称】</t>
    <phoneticPr fontId="3"/>
  </si>
  <si>
    <t>【ニ．用途】</t>
    <phoneticPr fontId="3"/>
  </si>
  <si>
    <t>【5．調査による指摘の概要】</t>
    <phoneticPr fontId="3"/>
  </si>
  <si>
    <t>【イ．指摘の内容】</t>
    <rPh sb="3" eb="5">
      <t>シテキ</t>
    </rPh>
    <rPh sb="6" eb="8">
      <t>ナイヨウ</t>
    </rPh>
    <phoneticPr fontId="3"/>
  </si>
  <si>
    <t>要是正の指摘あり</t>
    <rPh sb="0" eb="1">
      <t>ヨウ</t>
    </rPh>
    <rPh sb="1" eb="3">
      <t>ゼセイ</t>
    </rPh>
    <rPh sb="4" eb="6">
      <t>シテキ</t>
    </rPh>
    <phoneticPr fontId="3"/>
  </si>
  <si>
    <t>既存不適格）</t>
    <rPh sb="0" eb="2">
      <t>キゾン</t>
    </rPh>
    <rPh sb="2" eb="4">
      <t>フテキ</t>
    </rPh>
    <rPh sb="4" eb="5">
      <t>カク</t>
    </rPh>
    <phoneticPr fontId="3"/>
  </si>
  <si>
    <t>指摘なし</t>
    <rPh sb="0" eb="2">
      <t>シテキ</t>
    </rPh>
    <phoneticPr fontId="3"/>
  </si>
  <si>
    <t>【ロ．指摘の概要】</t>
    <rPh sb="3" eb="5">
      <t>シテキ</t>
    </rPh>
    <rPh sb="6" eb="8">
      <t>ガイヨウ</t>
    </rPh>
    <phoneticPr fontId="3"/>
  </si>
  <si>
    <t>【ハ．改善予定の有無】</t>
    <rPh sb="3" eb="5">
      <t>カイゼン</t>
    </rPh>
    <rPh sb="5" eb="7">
      <t>ヨテイ</t>
    </rPh>
    <rPh sb="8" eb="10">
      <t>ウム</t>
    </rPh>
    <phoneticPr fontId="3"/>
  </si>
  <si>
    <t>有（</t>
    <rPh sb="0" eb="1">
      <t>アリ</t>
    </rPh>
    <phoneticPr fontId="3"/>
  </si>
  <si>
    <t>月に改善予定）</t>
    <rPh sb="0" eb="1">
      <t>ツキ</t>
    </rPh>
    <rPh sb="2" eb="4">
      <t>カイゼン</t>
    </rPh>
    <rPh sb="4" eb="6">
      <t>ヨテイ</t>
    </rPh>
    <phoneticPr fontId="3"/>
  </si>
  <si>
    <t>無</t>
    <rPh sb="0" eb="1">
      <t>ナシ</t>
    </rPh>
    <phoneticPr fontId="3"/>
  </si>
  <si>
    <t>【ニ．その他特記事項】</t>
    <rPh sb="5" eb="6">
      <t>タ</t>
    </rPh>
    <rPh sb="6" eb="8">
      <t>トッキ</t>
    </rPh>
    <rPh sb="8" eb="10">
      <t>ジコウ</t>
    </rPh>
    <phoneticPr fontId="3"/>
  </si>
  <si>
    <t>　※受付欄</t>
    <rPh sb="2" eb="4">
      <t>ウケツケ</t>
    </rPh>
    <rPh sb="4" eb="5">
      <t>ラン</t>
    </rPh>
    <phoneticPr fontId="3"/>
  </si>
  <si>
    <t>※特記欄</t>
    <rPh sb="1" eb="3">
      <t>トッキ</t>
    </rPh>
    <rPh sb="3" eb="4">
      <t>ラン</t>
    </rPh>
    <phoneticPr fontId="3"/>
  </si>
  <si>
    <t>係員氏名</t>
    <rPh sb="0" eb="2">
      <t>カカリイン</t>
    </rPh>
    <rPh sb="2" eb="4">
      <t>シメイ</t>
    </rPh>
    <phoneticPr fontId="3"/>
  </si>
  <si>
    <t>（第二面）</t>
    <rPh sb="1" eb="2">
      <t>ダイ</t>
    </rPh>
    <rPh sb="2" eb="3">
      <t>ニ</t>
    </rPh>
    <rPh sb="3" eb="4">
      <t>メン</t>
    </rPh>
    <phoneticPr fontId="3"/>
  </si>
  <si>
    <t>建築物及びその敷地に関する事項</t>
    <rPh sb="0" eb="3">
      <t>ケンチクブツ</t>
    </rPh>
    <rPh sb="3" eb="4">
      <t>オヨ</t>
    </rPh>
    <rPh sb="7" eb="9">
      <t>シキチ</t>
    </rPh>
    <rPh sb="10" eb="11">
      <t>カン</t>
    </rPh>
    <rPh sb="13" eb="15">
      <t>ジコウ</t>
    </rPh>
    <phoneticPr fontId="3"/>
  </si>
  <si>
    <t>【1．敷地の位置】</t>
    <rPh sb="3" eb="5">
      <t>シキチ</t>
    </rPh>
    <rPh sb="6" eb="8">
      <t>イチ</t>
    </rPh>
    <phoneticPr fontId="3"/>
  </si>
  <si>
    <t>【イ．防火地域等】</t>
    <phoneticPr fontId="3"/>
  </si>
  <si>
    <t>防火地域</t>
  </si>
  <si>
    <t>その他（</t>
    <rPh sb="2" eb="3">
      <t>タ</t>
    </rPh>
    <phoneticPr fontId="3"/>
  </si>
  <si>
    <t>【ロ．用途地域】</t>
    <phoneticPr fontId="3"/>
  </si>
  <si>
    <t>【2．建築物及びその敷地の概要】</t>
    <rPh sb="3" eb="6">
      <t>ケンチクブツ</t>
    </rPh>
    <rPh sb="6" eb="7">
      <t>オヨ</t>
    </rPh>
    <rPh sb="10" eb="12">
      <t>シキチ</t>
    </rPh>
    <rPh sb="13" eb="15">
      <t>ガイヨウ</t>
    </rPh>
    <phoneticPr fontId="3"/>
  </si>
  <si>
    <t>【イ．構造】</t>
    <phoneticPr fontId="3"/>
  </si>
  <si>
    <t>鉄筋コンクリート造</t>
    <phoneticPr fontId="3"/>
  </si>
  <si>
    <t>鉄骨鉄筋コンクリート造</t>
    <rPh sb="0" eb="2">
      <t>テッコツ</t>
    </rPh>
    <rPh sb="2" eb="4">
      <t>テッキン</t>
    </rPh>
    <rPh sb="10" eb="11">
      <t>ヅクリ</t>
    </rPh>
    <phoneticPr fontId="3"/>
  </si>
  <si>
    <t>鉄骨造</t>
    <phoneticPr fontId="3"/>
  </si>
  <si>
    <t>【ロ．階数】</t>
    <rPh sb="3" eb="5">
      <t>カイスウ</t>
    </rPh>
    <phoneticPr fontId="3"/>
  </si>
  <si>
    <t>【ハ．敷地面積】</t>
    <phoneticPr fontId="3"/>
  </si>
  <si>
    <t>【ニ．建築面積】</t>
    <phoneticPr fontId="3"/>
  </si>
  <si>
    <t>【ホ．延べ面積】</t>
    <phoneticPr fontId="3"/>
  </si>
  <si>
    <t>【3．階別用途別床面積】</t>
    <rPh sb="3" eb="4">
      <t>カイ</t>
    </rPh>
    <rPh sb="4" eb="5">
      <t>ベツ</t>
    </rPh>
    <rPh sb="5" eb="7">
      <t>ヨウト</t>
    </rPh>
    <rPh sb="7" eb="8">
      <t>ベツ</t>
    </rPh>
    <rPh sb="8" eb="11">
      <t>ユカメンセキ</t>
    </rPh>
    <phoneticPr fontId="3"/>
  </si>
  <si>
    <t>用途</t>
    <rPh sb="0" eb="2">
      <t>ヨウト</t>
    </rPh>
    <phoneticPr fontId="3"/>
  </si>
  <si>
    <t>床面積</t>
    <rPh sb="0" eb="3">
      <t>ユカメンセキ</t>
    </rPh>
    <phoneticPr fontId="3"/>
  </si>
  <si>
    <t>【イ．階別用途別】</t>
    <rPh sb="3" eb="4">
      <t>カイ</t>
    </rPh>
    <rPh sb="4" eb="5">
      <t>ベツ</t>
    </rPh>
    <rPh sb="5" eb="7">
      <t>ヨウト</t>
    </rPh>
    <rPh sb="7" eb="8">
      <t>ベツ</t>
    </rPh>
    <phoneticPr fontId="3"/>
  </si>
  <si>
    <t>【ロ．用途別】</t>
    <phoneticPr fontId="3"/>
  </si>
  <si>
    <t xml:space="preserve"> （その他の検査者２）</t>
    <rPh sb="4" eb="5">
      <t>タ</t>
    </rPh>
    <rPh sb="6" eb="9">
      <t>ケンサシャ</t>
    </rPh>
    <phoneticPr fontId="3"/>
  </si>
  <si>
    <t>（</t>
  </si>
  <si>
    <t xml:space="preserve"> ）建築士</t>
    <rPh sb="2" eb="5">
      <t>ケンチクシ</t>
    </rPh>
    <phoneticPr fontId="3"/>
  </si>
  <si>
    <t>)登録第</t>
    <phoneticPr fontId="3"/>
  </si>
  <si>
    <t>建築設備検査員</t>
    <rPh sb="0" eb="2">
      <t>ケンチク</t>
    </rPh>
    <rPh sb="2" eb="4">
      <t>セツビ</t>
    </rPh>
    <rPh sb="4" eb="6">
      <t>ケンサ</t>
    </rPh>
    <rPh sb="6" eb="7">
      <t>イン</t>
    </rPh>
    <phoneticPr fontId="3"/>
  </si>
  <si>
    <t>登録建築設備検査資格者講習を修了した者</t>
    <rPh sb="0" eb="2">
      <t>トウロク</t>
    </rPh>
    <rPh sb="2" eb="4">
      <t>ケンチク</t>
    </rPh>
    <rPh sb="4" eb="6">
      <t>セツビ</t>
    </rPh>
    <rPh sb="6" eb="8">
      <t>ケンサ</t>
    </rPh>
    <rPh sb="8" eb="11">
      <t>シカクシャ</t>
    </rPh>
    <rPh sb="11" eb="13">
      <t>コウシュウ</t>
    </rPh>
    <rPh sb="14" eb="16">
      <t>シュウリョウ</t>
    </rPh>
    <rPh sb="18" eb="19">
      <t>モノ</t>
    </rPh>
    <phoneticPr fontId="3"/>
  </si>
  <si>
    <t>【ハ．氏名】</t>
    <rPh sb="3" eb="5">
      <t>シメイ</t>
    </rPh>
    <phoneticPr fontId="3"/>
  </si>
  <si>
    <t>【ニ．勤務先】</t>
    <rPh sb="3" eb="6">
      <t>キンムサキ</t>
    </rPh>
    <phoneticPr fontId="3"/>
  </si>
  <si>
    <t xml:space="preserve"> ）建築士事務所</t>
    <rPh sb="2" eb="5">
      <t>ケンチクシ</t>
    </rPh>
    <phoneticPr fontId="3"/>
  </si>
  <si>
    <t>)知事登録第</t>
    <phoneticPr fontId="3"/>
  </si>
  <si>
    <t>【ホ．郵便番号】</t>
    <rPh sb="3" eb="7">
      <t>ユウビンバンゴウ</t>
    </rPh>
    <phoneticPr fontId="3"/>
  </si>
  <si>
    <t>【ヘ．所在地】</t>
    <rPh sb="3" eb="6">
      <t>ショザイチ</t>
    </rPh>
    <phoneticPr fontId="3"/>
  </si>
  <si>
    <t>【4．性能検証法等の適用】</t>
    <phoneticPr fontId="3"/>
  </si>
  <si>
    <t>防火区画検証法</t>
    <rPh sb="0" eb="2">
      <t>ボウカ</t>
    </rPh>
    <rPh sb="2" eb="4">
      <t>クカク</t>
    </rPh>
    <rPh sb="4" eb="7">
      <t>ケンショウホウ</t>
    </rPh>
    <phoneticPr fontId="3"/>
  </si>
  <si>
    <t>区画避難安全検証法（</t>
    <rPh sb="0" eb="2">
      <t>クカク</t>
    </rPh>
    <rPh sb="2" eb="4">
      <t>ヒナン</t>
    </rPh>
    <rPh sb="4" eb="6">
      <t>アンゼン</t>
    </rPh>
    <rPh sb="6" eb="9">
      <t>ケンショウホウ</t>
    </rPh>
    <phoneticPr fontId="3"/>
  </si>
  <si>
    <t>階避難安全検証法（</t>
    <rPh sb="0" eb="1">
      <t>カイ</t>
    </rPh>
    <rPh sb="1" eb="3">
      <t>ヒナン</t>
    </rPh>
    <rPh sb="3" eb="5">
      <t>アンゼン</t>
    </rPh>
    <rPh sb="5" eb="8">
      <t>ケンショウホウ</t>
    </rPh>
    <phoneticPr fontId="3"/>
  </si>
  <si>
    <t>全館避難安全検証法</t>
    <rPh sb="0" eb="2">
      <t>ゼンカン</t>
    </rPh>
    <rPh sb="2" eb="4">
      <t>ヒナン</t>
    </rPh>
    <rPh sb="4" eb="6">
      <t>アンゼン</t>
    </rPh>
    <rPh sb="6" eb="9">
      <t>ケンショウホウ</t>
    </rPh>
    <phoneticPr fontId="3"/>
  </si>
  <si>
    <t>【5．増築、改築、用途変更等の経過】</t>
    <rPh sb="3" eb="5">
      <t>ゾウチク</t>
    </rPh>
    <rPh sb="6" eb="8">
      <t>カイチク</t>
    </rPh>
    <rPh sb="9" eb="11">
      <t>ヨウト</t>
    </rPh>
    <rPh sb="11" eb="14">
      <t>ヘンコウナド</t>
    </rPh>
    <rPh sb="15" eb="17">
      <t>ケイカ</t>
    </rPh>
    <phoneticPr fontId="3"/>
  </si>
  <si>
    <t>【6．関連図書の整備状況】</t>
    <rPh sb="3" eb="5">
      <t>カンレン</t>
    </rPh>
    <rPh sb="5" eb="7">
      <t>トショ</t>
    </rPh>
    <rPh sb="8" eb="10">
      <t>セイビ</t>
    </rPh>
    <rPh sb="10" eb="12">
      <t>ジョウキョウ</t>
    </rPh>
    <phoneticPr fontId="3"/>
  </si>
  <si>
    <t>【イ．確認に要した図書】</t>
    <phoneticPr fontId="3"/>
  </si>
  <si>
    <t>有（</t>
    <rPh sb="0" eb="1">
      <t>ア</t>
    </rPh>
    <phoneticPr fontId="3"/>
  </si>
  <si>
    <t>各階平面図あり）</t>
    <rPh sb="0" eb="2">
      <t>カクカイ</t>
    </rPh>
    <rPh sb="2" eb="5">
      <t>ヘイメンズ</t>
    </rPh>
    <phoneticPr fontId="3"/>
  </si>
  <si>
    <t>【ロ．確認済証】</t>
    <phoneticPr fontId="3"/>
  </si>
  <si>
    <t>有</t>
    <rPh sb="0" eb="1">
      <t>ア</t>
    </rPh>
    <phoneticPr fontId="3"/>
  </si>
  <si>
    <t xml:space="preserve">  交付者</t>
    <rPh sb="2" eb="4">
      <t>コウフ</t>
    </rPh>
    <rPh sb="4" eb="5">
      <t>シャ</t>
    </rPh>
    <phoneticPr fontId="3"/>
  </si>
  <si>
    <t>指定確認検査機関（</t>
    <rPh sb="0" eb="2">
      <t>シテイ</t>
    </rPh>
    <rPh sb="2" eb="4">
      <t>カクニン</t>
    </rPh>
    <rPh sb="4" eb="6">
      <t>ケンサ</t>
    </rPh>
    <rPh sb="6" eb="8">
      <t>キカン</t>
    </rPh>
    <phoneticPr fontId="3"/>
  </si>
  <si>
    <t>【ハ．完了検査に要した図書】</t>
    <phoneticPr fontId="3"/>
  </si>
  <si>
    <t>【ニ．検査済証】</t>
    <phoneticPr fontId="3"/>
  </si>
  <si>
    <t>　交付者</t>
    <rPh sb="1" eb="3">
      <t>コウフ</t>
    </rPh>
    <rPh sb="3" eb="4">
      <t>シャ</t>
    </rPh>
    <phoneticPr fontId="3"/>
  </si>
  <si>
    <t>【ホ．維持保全に関する準則又は計画】</t>
    <phoneticPr fontId="3"/>
  </si>
  <si>
    <t>【ヘ．前回の調査に関する書類の写し】</t>
    <phoneticPr fontId="3"/>
  </si>
  <si>
    <t>建築設備検査員</t>
    <rPh sb="0" eb="2">
      <t>ケンチク</t>
    </rPh>
    <rPh sb="2" eb="4">
      <t>セツビ</t>
    </rPh>
    <rPh sb="4" eb="7">
      <t>ケンサイン</t>
    </rPh>
    <phoneticPr fontId="3"/>
  </si>
  <si>
    <t>【7．備考】</t>
    <rPh sb="3" eb="5">
      <t>ビコウ</t>
    </rPh>
    <phoneticPr fontId="3"/>
  </si>
  <si>
    <t>（第三面）</t>
    <rPh sb="1" eb="2">
      <t>ダイ</t>
    </rPh>
    <rPh sb="3" eb="4">
      <t>メン</t>
    </rPh>
    <phoneticPr fontId="3"/>
  </si>
  <si>
    <t>調査等の概要</t>
    <rPh sb="0" eb="2">
      <t>チョウサ</t>
    </rPh>
    <rPh sb="2" eb="3">
      <t>トウ</t>
    </rPh>
    <rPh sb="4" eb="6">
      <t>ガイヨウ</t>
    </rPh>
    <phoneticPr fontId="3"/>
  </si>
  <si>
    <t>【1．調査及び検査の状況】</t>
    <rPh sb="3" eb="5">
      <t>チョウサ</t>
    </rPh>
    <rPh sb="5" eb="6">
      <t>オヨ</t>
    </rPh>
    <rPh sb="7" eb="9">
      <t>ケンサ</t>
    </rPh>
    <rPh sb="10" eb="12">
      <t>ジョウキョウ</t>
    </rPh>
    <phoneticPr fontId="3"/>
  </si>
  <si>
    <t>【イ．今回の調査】</t>
    <phoneticPr fontId="3"/>
  </si>
  <si>
    <t>日実施</t>
    <rPh sb="0" eb="1">
      <t>ヒ</t>
    </rPh>
    <phoneticPr fontId="3"/>
  </si>
  <si>
    <t>【ロ．前回の調査】</t>
    <rPh sb="3" eb="5">
      <t>ゼンカイ</t>
    </rPh>
    <phoneticPr fontId="3"/>
  </si>
  <si>
    <t>実施（</t>
    <rPh sb="0" eb="2">
      <t>ジッシ</t>
    </rPh>
    <phoneticPr fontId="3"/>
  </si>
  <si>
    <t>日報告）</t>
    <rPh sb="0" eb="1">
      <t>ヒ</t>
    </rPh>
    <rPh sb="1" eb="3">
      <t>ホウコク</t>
    </rPh>
    <phoneticPr fontId="3"/>
  </si>
  <si>
    <t>【ハ．建築設備の検査】</t>
    <phoneticPr fontId="3"/>
  </si>
  <si>
    <t>【ニ．昇降機等の検査】</t>
    <phoneticPr fontId="3"/>
  </si>
  <si>
    <t>【ホ．防火設備の検査】</t>
    <phoneticPr fontId="3"/>
  </si>
  <si>
    <t>【2．調査の状況】</t>
    <rPh sb="3" eb="5">
      <t>チョウサ</t>
    </rPh>
    <rPh sb="6" eb="8">
      <t>ジョウキョウ</t>
    </rPh>
    <phoneticPr fontId="3"/>
  </si>
  <si>
    <t>（敷地及び地盤）</t>
    <phoneticPr fontId="3"/>
  </si>
  <si>
    <t>【ハ．改善予定の有無】</t>
    <phoneticPr fontId="3"/>
  </si>
  <si>
    <t>（建築物の外部）</t>
    <phoneticPr fontId="3"/>
  </si>
  <si>
    <t>【イ．指摘の内容】</t>
    <phoneticPr fontId="3"/>
  </si>
  <si>
    <t>【ロ．指摘の概要】</t>
    <phoneticPr fontId="3"/>
  </si>
  <si>
    <t>（屋上及び屋根）</t>
    <phoneticPr fontId="3"/>
  </si>
  <si>
    <t>（建築物の内部）</t>
    <phoneticPr fontId="3"/>
  </si>
  <si>
    <t>（避難施設等）</t>
    <phoneticPr fontId="3"/>
  </si>
  <si>
    <t>（その他）</t>
    <phoneticPr fontId="3"/>
  </si>
  <si>
    <t>【3．石綿を添加した建築材料の調査状況】</t>
    <rPh sb="3" eb="5">
      <t>イシワタ</t>
    </rPh>
    <rPh sb="6" eb="8">
      <t>テンカ</t>
    </rPh>
    <rPh sb="10" eb="12">
      <t>ケンチク</t>
    </rPh>
    <rPh sb="12" eb="14">
      <t>ザイリョウ</t>
    </rPh>
    <rPh sb="15" eb="17">
      <t>チョウサ</t>
    </rPh>
    <rPh sb="17" eb="19">
      <t>ジョウキョウ</t>
    </rPh>
    <phoneticPr fontId="3"/>
  </si>
  <si>
    <t>（該当する室）</t>
    <phoneticPr fontId="3"/>
  </si>
  <si>
    <t>【イ．該当建築材料の有無】</t>
    <phoneticPr fontId="3"/>
  </si>
  <si>
    <t>有（飛散防止措置無）</t>
    <phoneticPr fontId="3"/>
  </si>
  <si>
    <t>有（飛散防止措置有）</t>
    <phoneticPr fontId="3"/>
  </si>
  <si>
    <t>無</t>
    <phoneticPr fontId="3"/>
  </si>
  <si>
    <t>【4．耐震診断及び耐震改修の調査状況】</t>
    <phoneticPr fontId="3"/>
  </si>
  <si>
    <t>【イ．耐震診断の実施の有無】</t>
    <phoneticPr fontId="3"/>
  </si>
  <si>
    <t>有</t>
    <phoneticPr fontId="3"/>
  </si>
  <si>
    <t>無（</t>
    <phoneticPr fontId="3"/>
  </si>
  <si>
    <t>【ロ．耐震改修の実施の有無】</t>
    <phoneticPr fontId="3"/>
  </si>
  <si>
    <t>【5．建築物等に係る不具合等の状況】</t>
    <phoneticPr fontId="3"/>
  </si>
  <si>
    <t>【イ．不具合等】</t>
    <rPh sb="3" eb="6">
      <t>フグアイ</t>
    </rPh>
    <rPh sb="6" eb="7">
      <t>トウ</t>
    </rPh>
    <phoneticPr fontId="3"/>
  </si>
  <si>
    <t>【ロ．不具合等の記録】</t>
    <rPh sb="3" eb="6">
      <t>フグアイ</t>
    </rPh>
    <rPh sb="6" eb="7">
      <t>トウ</t>
    </rPh>
    <rPh sb="8" eb="10">
      <t>キロク</t>
    </rPh>
    <phoneticPr fontId="3"/>
  </si>
  <si>
    <t>【ハ．改善の状況】</t>
    <rPh sb="3" eb="5">
      <t>カイゼン</t>
    </rPh>
    <rPh sb="6" eb="8">
      <t>ジョウキョウ</t>
    </rPh>
    <phoneticPr fontId="3"/>
  </si>
  <si>
    <t>実施済</t>
    <rPh sb="0" eb="2">
      <t>ジッシ</t>
    </rPh>
    <rPh sb="2" eb="3">
      <t>スミ</t>
    </rPh>
    <phoneticPr fontId="3"/>
  </si>
  <si>
    <t>改善予定</t>
    <rPh sb="0" eb="2">
      <t>カイゼン</t>
    </rPh>
    <rPh sb="2" eb="4">
      <t>ヨテイ</t>
    </rPh>
    <phoneticPr fontId="3"/>
  </si>
  <si>
    <t>【6．備考】</t>
    <rPh sb="3" eb="5">
      <t>ビコウ</t>
    </rPh>
    <phoneticPr fontId="3"/>
  </si>
  <si>
    <t>（第四面）</t>
    <rPh sb="1" eb="2">
      <t>ダイ</t>
    </rPh>
    <rPh sb="3" eb="4">
      <t>メン</t>
    </rPh>
    <phoneticPr fontId="3"/>
  </si>
  <si>
    <t>建築物等に係る不具合等の状況</t>
    <rPh sb="0" eb="4">
      <t>ケンチクブツナド</t>
    </rPh>
    <rPh sb="5" eb="6">
      <t>カカワ</t>
    </rPh>
    <rPh sb="7" eb="10">
      <t>フグアイ</t>
    </rPh>
    <rPh sb="10" eb="11">
      <t>トウ</t>
    </rPh>
    <rPh sb="12" eb="14">
      <t>ジョウキョウ</t>
    </rPh>
    <phoneticPr fontId="3"/>
  </si>
  <si>
    <t>不具合等の概要</t>
    <rPh sb="0" eb="3">
      <t>フグアイ</t>
    </rPh>
    <rPh sb="5" eb="7">
      <t>ガイヨウ</t>
    </rPh>
    <phoneticPr fontId="3"/>
  </si>
  <si>
    <t>考えられる原因</t>
    <rPh sb="0" eb="1">
      <t>カンガ</t>
    </rPh>
    <rPh sb="5" eb="7">
      <t>ゲンイン</t>
    </rPh>
    <phoneticPr fontId="3"/>
  </si>
  <si>
    <t>年月</t>
    <rPh sb="0" eb="1">
      <t>ネン</t>
    </rPh>
    <rPh sb="1" eb="2">
      <t>ツキ</t>
    </rPh>
    <phoneticPr fontId="3"/>
  </si>
  <si>
    <t>(注意)</t>
  </si>
  <si>
    <t>1. 各面共通関係</t>
  </si>
  <si>
    <t>　①　※印のある欄は記入しないでください。</t>
  </si>
  <si>
    <t>　②　数字は算用数字を、単位はメートル法を用いてください。</t>
  </si>
  <si>
    <t>　③　記入欄が不足する場合は、枠を拡大、行を追加して記入するか、別紙に必要な事項を記入し添えて</t>
    <phoneticPr fontId="3"/>
  </si>
  <si>
    <t>　　ください。</t>
    <phoneticPr fontId="3"/>
  </si>
  <si>
    <t>2. 第一面関係</t>
  </si>
  <si>
    <t>　①　調査者が２人以上のときは、代表となる調査者を調査者氏名欄に記入してください。</t>
    <phoneticPr fontId="3"/>
  </si>
  <si>
    <t>　②　１欄及び２欄は、所有者又は管理者が法人のときは、「ロ」はそれぞれ法人の名称及び代表者氏名</t>
    <phoneticPr fontId="3"/>
  </si>
  <si>
    <t>　　を、「ニ」はそれぞれ法人の所在地を記入してください。</t>
    <phoneticPr fontId="3"/>
  </si>
  <si>
    <t>　③　３欄は、代表となる調査者及び当該建築物の調査を行ったすべての調査者について記入してくださ</t>
    <phoneticPr fontId="3"/>
  </si>
  <si>
    <t>　　い。当該建築物の調査を行った調査者が１人の場合は、その他の調査者欄は削除して構いません。</t>
    <phoneticPr fontId="3"/>
  </si>
  <si>
    <t>　④　３欄の「イ」は、調査者の有する資格について記入してください。調査者が特定建築物調査員であ</t>
    <phoneticPr fontId="3"/>
  </si>
  <si>
    <t>　　る場合は、特定建築物調査員資格者証の交付番号を「特定建築物調査員」の番号欄に記入してくださ</t>
    <phoneticPr fontId="3"/>
  </si>
  <si>
    <t>　　い。</t>
    <phoneticPr fontId="3"/>
  </si>
  <si>
    <t>　⑤　３欄の「ニ」は、調査者が法人に勤務している場合は、調査者の勤務先について記入し、勤務先が</t>
    <phoneticPr fontId="3"/>
  </si>
  <si>
    <t>　　建築士事務所のときは、事務所登録番号を併せて記入してください。</t>
    <phoneticPr fontId="3"/>
  </si>
  <si>
    <t>　⑥　３欄の「ホ」から「ト」までは、調査者が法人に勤務している場合は、調査者の勤務先について記</t>
    <phoneticPr fontId="3"/>
  </si>
  <si>
    <t>　　入し、調査者が法人に勤務していない場合は、調査者の住所について記入してください。</t>
    <phoneticPr fontId="3"/>
  </si>
  <si>
    <t>　⑦　第三面の２欄のいずれかの「イ」において「要是正の指摘あり」のチェックボックスに「レ」マー</t>
    <phoneticPr fontId="3"/>
  </si>
  <si>
    <t>　　クを入れたときは、５欄の「イ」の「要是正の指摘あり」のチェックボックスに「レ」マークを入れ、</t>
    <phoneticPr fontId="3"/>
  </si>
  <si>
    <t>　　それ以外のときは、「指摘なし」のチェックボックスに「レ」マークを入れてください。また、第三</t>
    <phoneticPr fontId="3"/>
  </si>
  <si>
    <t>　　面の２欄の「イ」の「要是正の指摘あり」のチェックボックスに「レ」マークを入れたものの全てに</t>
    <phoneticPr fontId="3"/>
  </si>
  <si>
    <t>　　おいて、「既存不適格」のチェックボックスに「レ」マークを入れたときは、併せて５欄の「イ」の</t>
    <phoneticPr fontId="3"/>
  </si>
  <si>
    <t>　　「既存不適格」のチェックボックスに「レ」マークを入れてください。</t>
    <phoneticPr fontId="3"/>
  </si>
  <si>
    <t>　⑧　５欄の「ロ」は、指摘された事項のうち特に報告すべき事項があれば記入してください。</t>
    <phoneticPr fontId="3"/>
  </si>
  <si>
    <t>　⑨　５欄の「ハ」は、第三面の２欄のいずれかの「ハ」において改善予定があるとしているときは「</t>
    <phoneticPr fontId="3"/>
  </si>
  <si>
    <t>　　有」のチェックボックスに「レ」マークを入れ、第三面の２欄の「ハ」に記入された改善予定年月の</t>
    <phoneticPr fontId="3"/>
  </si>
  <si>
    <t>　　うち最も早いものを併せて記入してください。</t>
    <phoneticPr fontId="3"/>
  </si>
  <si>
    <t>　⑩　５欄の「ニ」は、指摘された事項以外に特に報告すべき事項があれば記入してください。</t>
    <phoneticPr fontId="3"/>
  </si>
  <si>
    <t>3. 第二面関係</t>
  </si>
  <si>
    <t>　①　この書類は、建築物ごとに作成してください。</t>
    <phoneticPr fontId="3"/>
  </si>
  <si>
    <t>　②　敷地が複数の地域にまたがるときは、１欄の「イ」は、該当するすべてのチェックボックスに「</t>
    <phoneticPr fontId="3"/>
  </si>
  <si>
    <t>　　レ」マークを入れてください。建築基準法第22条第１項の規定により地域指定がされている場合、災</t>
    <phoneticPr fontId="3"/>
  </si>
  <si>
    <t>　　害危険区域に指定されている場合その他建築基準法又はそれに基づく命令により地域等の指定がされ</t>
    <phoneticPr fontId="3"/>
  </si>
  <si>
    <t>　　ている場合は、「その他」のチェックボックスに「レ」マークを入れ、併せてその内容を記入して下</t>
    <phoneticPr fontId="3"/>
  </si>
  <si>
    <t>　　さい。</t>
    <phoneticPr fontId="3"/>
  </si>
  <si>
    <t>　③　１欄の「ロ」は、該当する用途地域名を全て記入してください。</t>
    <phoneticPr fontId="3"/>
  </si>
  <si>
    <t>　④　２欄の「イ」は、該当する全てのチェックボックスに「レ」マークを入れてください。なお、その</t>
    <phoneticPr fontId="3"/>
  </si>
  <si>
    <t>　　他の構造からなる場合には、「その他」のチェックボックスに「レ」マークを入れ、併せて具体的な</t>
    <phoneticPr fontId="3"/>
  </si>
  <si>
    <t>　　構造を記入してください。</t>
    <phoneticPr fontId="3"/>
  </si>
  <si>
    <t>　⑤　３欄の「イ」は、建築基準法別表第一（い）欄に掲げる用途に供する部分について、最上階から順</t>
    <phoneticPr fontId="3"/>
  </si>
  <si>
    <t>　　に記入し、当該用途に供する部分の床面積を記入してください。ただし、特定行政庁が報告の必要が</t>
    <phoneticPr fontId="3"/>
  </si>
  <si>
    <t>　　ある用途を定めている場合には、その用途について記入して下さい。該当する用途が複数あるときは</t>
    <phoneticPr fontId="3"/>
  </si>
  <si>
    <t>　　、それらを全て記入してください。</t>
    <phoneticPr fontId="3"/>
  </si>
  <si>
    <t>　⑥　３欄の「ロ」は、「イ」の用途ごとに床面積の合計を記入してください。</t>
    <phoneticPr fontId="3"/>
  </si>
  <si>
    <t>　⑦　４欄は、建築基準法施行令第108条の３第２項に規定する耐火性能検証法により耐火に関する性能</t>
    <phoneticPr fontId="3"/>
  </si>
  <si>
    <t>　　が検証されたときは「耐火性能検証法」のチェックボックスに、同令第108条の３第５項に規定する</t>
    <phoneticPr fontId="3"/>
  </si>
  <si>
    <t>　　防火区画検証法により遮炎に関する性能が検証されたときは「防火区画検証法」のチェックボックス</t>
    <phoneticPr fontId="3"/>
  </si>
  <si>
    <t>　　に、同令第128条の６第３項に規定する区画避難安全検証法により区画避難安全性能が検証されたとき</t>
    <phoneticPr fontId="3"/>
  </si>
  <si>
    <t>　　は「区画避難安全検証法」のチェックボックスに、同令第129条第３項に規定する階避難安全検証法に</t>
    <phoneticPr fontId="3"/>
  </si>
  <si>
    <t>　　より階避難安全性能が検証されたときは「階避難安全検証法」のチェックボックスに、同令第129条の</t>
    <phoneticPr fontId="3"/>
  </si>
  <si>
    <t>　　２第４項に規定する全館避難安全検証法により全館避難安全性能が検証されたときは「全館避難安全</t>
    <rPh sb="41" eb="42">
      <t>ゼン</t>
    </rPh>
    <phoneticPr fontId="3"/>
  </si>
  <si>
    <t>　　検証法」のチェックボックスに、それぞれ「レ」マークを入れ、「区画避難安全検証法」の場合は区</t>
    <phoneticPr fontId="3"/>
  </si>
  <si>
    <t>　　画避難安全性能を検証した階を、「階避難安全検証法」の場合は階避難安全性能を検証した階を、併</t>
    <phoneticPr fontId="3"/>
  </si>
  <si>
    <t>　　せて記入してください。建築基準法第38条（同法第66条、第67条の２及び第88条第１項において準用</t>
    <phoneticPr fontId="3"/>
  </si>
  <si>
    <t>　　する場合を含む。）の規定による特殊構造方法等認定、同法第68条の25第１項の規定による構造方法</t>
    <phoneticPr fontId="3"/>
  </si>
  <si>
    <t>　　等の認定又は建築基準法の一部を改正する法律（平成10年法律第100号）による改正前の建築基準法</t>
    <phoneticPr fontId="3"/>
  </si>
  <si>
    <t>　　第38条の規定による認定を受けている建築物のうち、当該適用について特に報告が必要なものについ</t>
    <phoneticPr fontId="3"/>
  </si>
  <si>
    <t>　　ては「その他」のチェックボックスに「レ」マークを入れ、その概要を記入してください。</t>
    <phoneticPr fontId="3"/>
  </si>
  <si>
    <t>　⑧　５欄は、前回調査時以降の建築（新築を除く。）、模様替え、修繕又は用途の変更（以下「増築、</t>
    <phoneticPr fontId="3"/>
  </si>
  <si>
    <t>　　改築、用途変更等」という。）について、古いものから順に記入し、確認（建築基準法第６条第１項</t>
    <phoneticPr fontId="3"/>
  </si>
  <si>
    <t>　　に規定する確認。以下同じ。）を受けている場合は建築確認済証交付年月日を、受けていない場合は</t>
    <phoneticPr fontId="3"/>
  </si>
  <si>
    <t>　　増築、改築、用途変更等が完了した年月日を、併せて記入し、それぞれ増築、改築、用途変更等の概</t>
    <phoneticPr fontId="3"/>
  </si>
  <si>
    <t>　　要を記入してください。</t>
    <phoneticPr fontId="3"/>
  </si>
  <si>
    <t>　⑨　６欄の「イ」は、最近の確認について、当該確認に要した図書の全部又は一部があるときは「有」</t>
    <phoneticPr fontId="3"/>
  </si>
  <si>
    <t>　　のチェックボックスに「レ」マークを入れ、そのうち各階平面図のみがあるときは併せて「各階平面</t>
    <phoneticPr fontId="3"/>
  </si>
  <si>
    <t>　　図あり」のチェックボックスに「レ」マークを入れてください。</t>
    <phoneticPr fontId="3"/>
  </si>
  <si>
    <t>　⑩　６欄の「ロ」は、最近の確認に係る確認済証について、該当するチェックボックスに「レ」マーク</t>
    <phoneticPr fontId="3"/>
  </si>
  <si>
    <t>　　を入れてください。「有」の場合は、確認済証の交付年月日を記入し、交付者に関するチェックボッ</t>
    <phoneticPr fontId="3"/>
  </si>
  <si>
    <t>　　クスに「レ」マークを入れ、「指定確認検査機関」の場合は、併せてその名称を記入してください。</t>
    <phoneticPr fontId="3"/>
  </si>
  <si>
    <t>　⑪　６欄の「ハ」は、直近の完了検査について、当該完了検査に要した図書の全部又は一部があるとき</t>
    <phoneticPr fontId="3"/>
  </si>
  <si>
    <t>　　は「有」のチェックボックスに「レ」マークを入れてください。</t>
    <phoneticPr fontId="3"/>
  </si>
  <si>
    <t>　⑫　６欄の「ニ」は、（注意）⑩に準じて記入してください。</t>
    <phoneticPr fontId="3"/>
  </si>
  <si>
    <t>　⑬　６欄の「ホ」は、建築基準法第８条第２項に規定する維持保全に関する準則又は計画について記入</t>
    <phoneticPr fontId="3"/>
  </si>
  <si>
    <t>　　してください。</t>
    <phoneticPr fontId="3"/>
  </si>
  <si>
    <t>　⑭　６欄の「ヘ」は、前回の定期調査の結果を記録した書類の保存の有無について記入してください。</t>
    <phoneticPr fontId="3"/>
  </si>
  <si>
    <t>　⑮　建築基準法第86条の８又は同法第87条の２の規定の適用を受けている場合において、７欄にその旨</t>
    <phoneticPr fontId="3"/>
  </si>
  <si>
    <t>　　を記載してください。</t>
    <phoneticPr fontId="3"/>
  </si>
  <si>
    <t>　⑯　ここに書き表せない事項で特に報告すべき事項は、７欄又は別紙に記載して添えてください。</t>
    <phoneticPr fontId="3"/>
  </si>
  <si>
    <t>4.第三面関係</t>
  </si>
  <si>
    <t>　①　この書類は、建築物ごとに、当該建築物の敷地、構造及び建築設備の状況（別途建築設備の検査を</t>
    <phoneticPr fontId="3"/>
  </si>
  <si>
    <t>　　行っている場合は建築設備の設置の状況に係るものに限る。）に関する調査の結果について作成して</t>
    <phoneticPr fontId="3"/>
  </si>
  <si>
    <t>　②　１欄の「イ」は、調査が終了した年月日を記入してください。</t>
    <phoneticPr fontId="3"/>
  </si>
  <si>
    <t>　③　１欄の「ロ」から「ホ」までは、報告の対象となっていない場合には「未実施」のチェックボック</t>
    <phoneticPr fontId="3"/>
  </si>
  <si>
    <t>　　スに「レ」マークを入れてください。</t>
    <phoneticPr fontId="3"/>
  </si>
  <si>
    <t>　④　１欄の「ハ」から「ホ」までは、直前の報告について、それぞれ記入してください。</t>
    <phoneticPr fontId="3"/>
  </si>
  <si>
    <t>　⑤　２欄の「イ」は、調査結果において、是正が必要と認められるときは「要是正の指摘あり」のチェ</t>
    <phoneticPr fontId="3"/>
  </si>
  <si>
    <t>　　ックボックスに「レ」マークを入れ、建築基準法第３条第２項（同法第86条の９第１項において準用</t>
    <phoneticPr fontId="3"/>
  </si>
  <si>
    <t>　　する場合を含む。）の規定の適用を受けているものであることが確認されたときは併せて「既存不適</t>
    <phoneticPr fontId="3"/>
  </si>
  <si>
    <t>　　格」のチェックボックスに「レ」マークを入れてください。</t>
    <phoneticPr fontId="3"/>
  </si>
  <si>
    <t>　⑥　２欄の「イ」の「要是正の指摘あり」のチェックボックスに「レ」マークを入れたとき（「既存不</t>
    <phoneticPr fontId="3"/>
  </si>
  <si>
    <t>　　適格」のチェックボックスに「レ」マークを入れたときを除く。）は、「ロ」に指摘の概要を記入し</t>
    <phoneticPr fontId="3"/>
  </si>
  <si>
    <t>　　て下さい。</t>
    <phoneticPr fontId="3"/>
  </si>
  <si>
    <t>　⑦　２欄の「イ」の「要是正の指摘あり」のチェックボックスに「レ」マークを入れた当該指摘をうけ</t>
    <phoneticPr fontId="3"/>
  </si>
  <si>
    <t>　　た項目について改善予定があるときは「ハ」の「有」のチェックボックスに「レ」マークを入れ、併</t>
    <phoneticPr fontId="3"/>
  </si>
  <si>
    <t>　　せて改善予定年月を記入してください。改善予定がないときは「ハ」の「無」のチェックボックスに</t>
    <phoneticPr fontId="3"/>
  </si>
  <si>
    <t>　　「レ」マークを入れてください。</t>
    <phoneticPr fontId="3"/>
  </si>
  <si>
    <t>　⑧　３欄は、建築基準法第28条の２の規定の適用を受ける石綿を添加した建築材料について記入してく</t>
    <phoneticPr fontId="3"/>
  </si>
  <si>
    <t>　　ださい。「イ」の「有（飛散防止措置無）」又は「有（飛散防止措置有）」のチェックボックスに「</t>
    <phoneticPr fontId="3"/>
  </si>
  <si>
    <t>　　レ」マークを入れたときは、当該建築材料が確認された室を記入してください。当該建築材料につい</t>
    <phoneticPr fontId="3"/>
  </si>
  <si>
    <t>　　て飛散防止措置を行う予定があるときは、「ロ」の「有」のチェックボックスに「レ」マークを入れ、</t>
    <phoneticPr fontId="3"/>
  </si>
  <si>
    <t>　　併せて措置予定年月を記入してください。措置を行う予定がないときは、「ロ」の「無」のチェック</t>
    <phoneticPr fontId="3"/>
  </si>
  <si>
    <t>　　ボックスに「レ」マークを入れてください。</t>
    <phoneticPr fontId="3"/>
  </si>
  <si>
    <t>　⑨　４欄は、建築物の耐震改修の促進に関する法律（平成７年法律第123号）第２条第１項又は第２項に</t>
    <phoneticPr fontId="3"/>
  </si>
  <si>
    <t>　　規定する耐震診断又は耐震改修の実施の有無について記入してください。耐震診断又は耐震改修の実</t>
    <phoneticPr fontId="3"/>
  </si>
  <si>
    <t>　　施の予定があるときは、実施予定年月を記入し、具体的な耐震改修の内容を定めている場合は別紙に</t>
    <phoneticPr fontId="3"/>
  </si>
  <si>
    <t>　　記入し添えてください。</t>
    <phoneticPr fontId="3"/>
  </si>
  <si>
    <t>　⑩　前回調査時以降に把握した屋根ふき材、内装材、外装材等及び広告塔、装飾塔その他建築物の屋外</t>
    <phoneticPr fontId="3"/>
  </si>
  <si>
    <t>　　に取り付けられたものの脱落、バルコニー、屋上等の手すりその他建築物の部分の脱落等（以下「不</t>
    <phoneticPr fontId="3"/>
  </si>
  <si>
    <t>　　具合等」という。）について第四面の「不具合等の概要」欄に記入したときは、５欄の「イ」の「有</t>
    <phoneticPr fontId="3"/>
  </si>
  <si>
    <t>　　」のチェックボックスに「レ」マークを入れ、当該不具合等について記録が有るときは「ロ」の「有</t>
    <phoneticPr fontId="3"/>
  </si>
  <si>
    <t>　　」のチェックボックスに「レ」マークを入れ、記録が無いときは「ロ」の「無」のチェックボックス</t>
    <phoneticPr fontId="3"/>
  </si>
  <si>
    <t>　　に「レ」マークを入れてください。また、第四面に記入された不具合等のうち当該不具合等を受け既</t>
    <phoneticPr fontId="3"/>
  </si>
  <si>
    <t>　　に改善を実施しているものがあり、かつ、改善を行う予定があるものがない場合には「ハ」の「実施</t>
    <phoneticPr fontId="3"/>
  </si>
  <si>
    <t>　　済」のチェックボックスに「レ」マークを入れ、第四面に記入された不具合等のうち改善を行う予定</t>
    <phoneticPr fontId="3"/>
  </si>
  <si>
    <t>　　があるものがある場合には「改善予定」のチェックボックスに「レ」マークを入れ、第四面の「改善</t>
    <phoneticPr fontId="3"/>
  </si>
  <si>
    <t>　　（予定）年月」欄に記入された改善予定年月のうち最も早いものを併せて記入し、これら以外の場合</t>
    <phoneticPr fontId="3"/>
  </si>
  <si>
    <t>　　には「予定なし」のチェックボックスに「レ」マークを入れてください。</t>
    <phoneticPr fontId="3"/>
  </si>
  <si>
    <t>　⑪　各欄に掲げられている項目以外で特に報告すべき事項は、６欄又は別紙に記入して添えてください。</t>
    <phoneticPr fontId="3"/>
  </si>
  <si>
    <t>5.第四面関係</t>
    <phoneticPr fontId="3"/>
  </si>
  <si>
    <t>　①　第四面は、前回調査時以降に把握した建築物等に係る不具合等のうち第三面の２欄において指摘さ</t>
    <phoneticPr fontId="3"/>
  </si>
  <si>
    <t>　　れるもの以外のものについて、把握できる範囲において記入してください。前回調査時以降の不具合</t>
    <phoneticPr fontId="3"/>
  </si>
  <si>
    <t>　　等を把握していない場合は、第四面を省略することができます。</t>
    <phoneticPr fontId="3"/>
  </si>
  <si>
    <t>　②　「不具合等を把握した年月」欄は、当該不具合等を把握した年月を記入してください。</t>
    <phoneticPr fontId="3"/>
  </si>
  <si>
    <t>　③　「不具合等の概要」欄は、当該不具合等の概要を記入してください。</t>
    <phoneticPr fontId="3"/>
  </si>
  <si>
    <t>　④　「考えられる原因」欄は、当該不具合等が生じた原因として考えられるものを記入してください。</t>
    <phoneticPr fontId="3"/>
  </si>
  <si>
    <t>　⑤　「改善（予定）年月」欄は、既に改善を実施している場合には実施年月を、改善を行う予定がある</t>
    <phoneticPr fontId="3"/>
  </si>
  <si>
    <t>　　場合には改善予定年月を記入し、改善を行う予定がない場合には「－」マークを記入してください。</t>
    <phoneticPr fontId="3"/>
  </si>
  <si>
    <t>　⑥　「改善措置の概要等」欄は、既に改善を実施している場合又は改善を行う予定がある場合に、具体</t>
    <phoneticPr fontId="3"/>
  </si>
  <si>
    <t>　　的措置の概要を記入してください。改善を行う予定がない場合には、その理由を記入してください。</t>
    <phoneticPr fontId="3"/>
  </si>
  <si>
    <t>　　</t>
    <phoneticPr fontId="3"/>
  </si>
  <si>
    <t>未定</t>
    <rPh sb="0" eb="2">
      <t>ミテイ</t>
    </rPh>
    <phoneticPr fontId="3"/>
  </si>
  <si>
    <t>第三十六号の三様式（第五条、第六条の三、第十一条の三関係）（Ａ４）</t>
    <rPh sb="0" eb="1">
      <t>ダイ</t>
    </rPh>
    <rPh sb="1" eb="5">
      <t>サンジュウロクゴウ</t>
    </rPh>
    <rPh sb="6" eb="7">
      <t>ミ</t>
    </rPh>
    <rPh sb="7" eb="9">
      <t>ヨウシキ</t>
    </rPh>
    <rPh sb="10" eb="11">
      <t>ダイ</t>
    </rPh>
    <rPh sb="11" eb="13">
      <t>ゴジョウ</t>
    </rPh>
    <rPh sb="14" eb="15">
      <t>ダイ</t>
    </rPh>
    <rPh sb="15" eb="17">
      <t>ロクジョウ</t>
    </rPh>
    <rPh sb="18" eb="19">
      <t>ミ</t>
    </rPh>
    <rPh sb="20" eb="21">
      <t>ダイ</t>
    </rPh>
    <rPh sb="21" eb="24">
      <t>ジュウイチジョウ</t>
    </rPh>
    <rPh sb="25" eb="26">
      <t>サン</t>
    </rPh>
    <rPh sb="26" eb="28">
      <t>カンケイ</t>
    </rPh>
    <phoneticPr fontId="3"/>
  </si>
  <si>
    <t>定期調査報告概要書</t>
    <phoneticPr fontId="3"/>
  </si>
  <si>
    <t>【6．調査及び検査の状況】</t>
    <rPh sb="3" eb="5">
      <t>チョウサ</t>
    </rPh>
    <rPh sb="5" eb="6">
      <t>オヨ</t>
    </rPh>
    <rPh sb="7" eb="9">
      <t>ケンサ</t>
    </rPh>
    <rPh sb="10" eb="12">
      <t>ジョウキョウ</t>
    </rPh>
    <phoneticPr fontId="3"/>
  </si>
  <si>
    <t>【7．建築物等に係る不具合等の状況】</t>
    <rPh sb="3" eb="6">
      <t>ケンチクブツ</t>
    </rPh>
    <rPh sb="6" eb="7">
      <t>トウ</t>
    </rPh>
    <rPh sb="8" eb="9">
      <t>カカ</t>
    </rPh>
    <rPh sb="10" eb="13">
      <t>フグアイ</t>
    </rPh>
    <rPh sb="13" eb="14">
      <t>トウ</t>
    </rPh>
    <rPh sb="15" eb="17">
      <t>ジョウキョウ</t>
    </rPh>
    <phoneticPr fontId="3"/>
  </si>
  <si>
    <t>【ハ．不具合等の概要】</t>
    <rPh sb="3" eb="6">
      <t>フグアイ</t>
    </rPh>
    <rPh sb="6" eb="7">
      <t>トウ</t>
    </rPh>
    <rPh sb="8" eb="10">
      <t>ガイヨウ</t>
    </rPh>
    <phoneticPr fontId="3"/>
  </si>
  <si>
    <t>【ニ．改善の状況】</t>
    <rPh sb="3" eb="5">
      <t>カイゼン</t>
    </rPh>
    <rPh sb="6" eb="8">
      <t>ジョウキョウ</t>
    </rPh>
    <phoneticPr fontId="3"/>
  </si>
  <si>
    <t>改善予定（</t>
    <rPh sb="0" eb="2">
      <t>カイゼン</t>
    </rPh>
    <rPh sb="2" eb="4">
      <t>ヨテイ</t>
    </rPh>
    <phoneticPr fontId="3"/>
  </si>
  <si>
    <t>　この様式には、第三十六号の二様式に記入した内容と同一の内容を記入してください。なお、第一面</t>
    <phoneticPr fontId="3"/>
  </si>
  <si>
    <t>の５欄の「ロ」及び「ニ」は同様式第三面の２欄から４欄において指摘があつた項目について、第一面</t>
    <rPh sb="2" eb="3">
      <t>ラン</t>
    </rPh>
    <rPh sb="7" eb="8">
      <t>オヨ</t>
    </rPh>
    <rPh sb="13" eb="14">
      <t>ドウ</t>
    </rPh>
    <rPh sb="14" eb="16">
      <t>ヨウシキ</t>
    </rPh>
    <rPh sb="16" eb="17">
      <t>ダイ</t>
    </rPh>
    <rPh sb="17" eb="18">
      <t>ミ</t>
    </rPh>
    <rPh sb="18" eb="19">
      <t>メン</t>
    </rPh>
    <rPh sb="21" eb="22">
      <t>ラン</t>
    </rPh>
    <rPh sb="25" eb="26">
      <t>ラン</t>
    </rPh>
    <rPh sb="30" eb="32">
      <t>シテキ</t>
    </rPh>
    <rPh sb="36" eb="38">
      <t>コウモク</t>
    </rPh>
    <rPh sb="43" eb="45">
      <t>ダイイチ</t>
    </rPh>
    <rPh sb="45" eb="46">
      <t>メン</t>
    </rPh>
    <phoneticPr fontId="3"/>
  </si>
  <si>
    <t>の７欄の「ハ」は同様式第四面に記入されたものについて、すべて記入してください。</t>
    <phoneticPr fontId="3"/>
  </si>
  <si>
    <t>知事登録</t>
    <rPh sb="0" eb="2">
      <t>チジ</t>
    </rPh>
    <rPh sb="2" eb="4">
      <t>トウロク</t>
    </rPh>
    <phoneticPr fontId="3"/>
  </si>
  <si>
    <t>登録</t>
  </si>
  <si>
    <t>報告日</t>
    <rPh sb="0" eb="2">
      <t>ホウコク</t>
    </rPh>
    <rPh sb="2" eb="3">
      <t>ビ</t>
    </rPh>
    <phoneticPr fontId="3"/>
  </si>
  <si>
    <t>鉄骨造（S造）</t>
    <phoneticPr fontId="3"/>
  </si>
  <si>
    <t>その他</t>
    <phoneticPr fontId="3"/>
  </si>
  <si>
    <t>構造</t>
    <phoneticPr fontId="3"/>
  </si>
  <si>
    <t>備考（第二面）</t>
    <rPh sb="0" eb="2">
      <t>ビコウ</t>
    </rPh>
    <rPh sb="3" eb="4">
      <t>ダイ</t>
    </rPh>
    <rPh sb="4" eb="5">
      <t>ニ</t>
    </rPh>
    <rPh sb="5" eb="6">
      <t>メン</t>
    </rPh>
    <phoneticPr fontId="3"/>
  </si>
  <si>
    <t>セル　上端</t>
    <rPh sb="3" eb="5">
      <t>ジョウタン</t>
    </rPh>
    <phoneticPr fontId="3"/>
  </si>
  <si>
    <t>セル　下端</t>
    <rPh sb="3" eb="4">
      <t>シタ</t>
    </rPh>
    <rPh sb="4" eb="5">
      <t>ハシ</t>
    </rPh>
    <phoneticPr fontId="3"/>
  </si>
  <si>
    <t>項目番号</t>
    <rPh sb="0" eb="4">
      <t>コウモクバンゴウ</t>
    </rPh>
    <phoneticPr fontId="3"/>
  </si>
  <si>
    <t>その他</t>
    <rPh sb="2" eb="3">
      <t>タ</t>
    </rPh>
    <phoneticPr fontId="3"/>
  </si>
  <si>
    <t>フリガナ</t>
    <phoneticPr fontId="3"/>
  </si>
  <si>
    <t>番地など</t>
    <rPh sb="0" eb="2">
      <t>バンチ</t>
    </rPh>
    <phoneticPr fontId="3"/>
  </si>
  <si>
    <t>フリガナ</t>
    <phoneticPr fontId="3"/>
  </si>
  <si>
    <t>事務所登録</t>
    <rPh sb="0" eb="5">
      <t>ジムショトウロク</t>
    </rPh>
    <phoneticPr fontId="3"/>
  </si>
  <si>
    <t>建築士</t>
    <rPh sb="0" eb="3">
      <t>ケンチクシ</t>
    </rPh>
    <phoneticPr fontId="3"/>
  </si>
  <si>
    <t>名称</t>
    <rPh sb="0" eb="2">
      <t>メイショウ</t>
    </rPh>
    <phoneticPr fontId="3"/>
  </si>
  <si>
    <t>FAX番号</t>
    <rPh sb="3" eb="5">
      <t>バンゴウ</t>
    </rPh>
    <phoneticPr fontId="3"/>
  </si>
  <si>
    <t>防火地域等　1</t>
    <phoneticPr fontId="3"/>
  </si>
  <si>
    <t>防火地域等　2</t>
    <phoneticPr fontId="3"/>
  </si>
  <si>
    <t>防火地域等　3</t>
    <phoneticPr fontId="3"/>
  </si>
  <si>
    <t>用途地域　1</t>
  </si>
  <si>
    <t>用途地域　2</t>
    <phoneticPr fontId="3"/>
  </si>
  <si>
    <t>用途地域　3</t>
    <phoneticPr fontId="3"/>
  </si>
  <si>
    <t>用途地域</t>
    <rPh sb="0" eb="2">
      <t>ヨウト</t>
    </rPh>
    <rPh sb="2" eb="4">
      <t>チイキ</t>
    </rPh>
    <phoneticPr fontId="3"/>
  </si>
  <si>
    <t>構造　1</t>
    <phoneticPr fontId="3"/>
  </si>
  <si>
    <t>その他</t>
    <phoneticPr fontId="3"/>
  </si>
  <si>
    <t>構造　2</t>
    <phoneticPr fontId="3"/>
  </si>
  <si>
    <t>構造　3</t>
    <phoneticPr fontId="3"/>
  </si>
  <si>
    <t>所有者氏名</t>
    <rPh sb="0" eb="3">
      <t>ショユウシャ</t>
    </rPh>
    <rPh sb="3" eb="5">
      <t>シメイ</t>
    </rPh>
    <phoneticPr fontId="3"/>
  </si>
  <si>
    <t>確認に要した図書</t>
    <rPh sb="0" eb="2">
      <t>カクニン</t>
    </rPh>
    <rPh sb="3" eb="4">
      <t>ヨウ</t>
    </rPh>
    <rPh sb="6" eb="8">
      <t>トショ</t>
    </rPh>
    <phoneticPr fontId="3"/>
  </si>
  <si>
    <t>完了検査に要した図書</t>
    <rPh sb="0" eb="2">
      <t>カンリョウ</t>
    </rPh>
    <rPh sb="2" eb="4">
      <t>ケンサ</t>
    </rPh>
    <rPh sb="5" eb="6">
      <t>ヨウ</t>
    </rPh>
    <rPh sb="8" eb="10">
      <t>トショ</t>
    </rPh>
    <phoneticPr fontId="3"/>
  </si>
  <si>
    <t>交付番号</t>
    <phoneticPr fontId="3"/>
  </si>
  <si>
    <t>交付者</t>
    <phoneticPr fontId="3"/>
  </si>
  <si>
    <t>有無</t>
    <rPh sb="0" eb="2">
      <t>ウム</t>
    </rPh>
    <phoneticPr fontId="3"/>
  </si>
  <si>
    <t>検査機関</t>
    <rPh sb="0" eb="4">
      <t>ケンサキカン</t>
    </rPh>
    <phoneticPr fontId="3"/>
  </si>
  <si>
    <t>交付年月日</t>
    <rPh sb="2" eb="5">
      <t>ネンガッピ</t>
    </rPh>
    <phoneticPr fontId="3"/>
  </si>
  <si>
    <t>今回の調査　実施日</t>
    <rPh sb="0" eb="2">
      <t>コンカイ</t>
    </rPh>
    <rPh sb="3" eb="5">
      <t>チョウサ</t>
    </rPh>
    <phoneticPr fontId="3"/>
  </si>
  <si>
    <t>昇降機等の検査</t>
    <phoneticPr fontId="3"/>
  </si>
  <si>
    <t>防火設備の検査</t>
    <phoneticPr fontId="3"/>
  </si>
  <si>
    <t>建築設備</t>
    <rPh sb="0" eb="4">
      <t>ケンチクセツビ</t>
    </rPh>
    <phoneticPr fontId="3"/>
  </si>
  <si>
    <t>機械換気設備</t>
    <rPh sb="0" eb="2">
      <t>キカイ</t>
    </rPh>
    <rPh sb="2" eb="6">
      <t>カンキセツビ</t>
    </rPh>
    <phoneticPr fontId="3"/>
  </si>
  <si>
    <t>機械排煙設備</t>
    <rPh sb="0" eb="2">
      <t>キカイ</t>
    </rPh>
    <rPh sb="2" eb="6">
      <t>ハイエンセツビ</t>
    </rPh>
    <phoneticPr fontId="3"/>
  </si>
  <si>
    <t>非常用の照明装置</t>
    <rPh sb="0" eb="3">
      <t>ヒジョウヨウ</t>
    </rPh>
    <rPh sb="4" eb="8">
      <t>ショウメイソウチ</t>
    </rPh>
    <phoneticPr fontId="3"/>
  </si>
  <si>
    <t>給水設備及び排水設備</t>
    <rPh sb="0" eb="4">
      <t>キュウスイセツビ</t>
    </rPh>
    <rPh sb="4" eb="5">
      <t>オヨ</t>
    </rPh>
    <rPh sb="6" eb="8">
      <t>ハイスイ</t>
    </rPh>
    <rPh sb="8" eb="10">
      <t>セツビ</t>
    </rPh>
    <phoneticPr fontId="3"/>
  </si>
  <si>
    <t>防火設備</t>
    <rPh sb="0" eb="2">
      <t>ボウカ</t>
    </rPh>
    <rPh sb="2" eb="4">
      <t>セツビ</t>
    </rPh>
    <phoneticPr fontId="3"/>
  </si>
  <si>
    <t>有無</t>
    <rPh sb="0" eb="2">
      <t>ウム</t>
    </rPh>
    <phoneticPr fontId="3"/>
  </si>
  <si>
    <t>設置されている階</t>
    <phoneticPr fontId="3"/>
  </si>
  <si>
    <t>定期報告対象</t>
    <rPh sb="0" eb="2">
      <t>テイキ</t>
    </rPh>
    <rPh sb="2" eb="4">
      <t>ホウコク</t>
    </rPh>
    <rPh sb="4" eb="6">
      <t>タイショウ</t>
    </rPh>
    <phoneticPr fontId="3"/>
  </si>
  <si>
    <t>自動消火設備</t>
    <rPh sb="0" eb="1">
      <t>ジ</t>
    </rPh>
    <rPh sb="1" eb="2">
      <t>ドウ</t>
    </rPh>
    <rPh sb="2" eb="4">
      <t>ショウカ</t>
    </rPh>
    <rPh sb="4" eb="6">
      <t>セツビ</t>
    </rPh>
    <phoneticPr fontId="3"/>
  </si>
  <si>
    <t>自動消火設備（スプリンクラー設備、水噴霧消火設備、泡消火設備等）</t>
    <rPh sb="0" eb="2">
      <t>ジドウ</t>
    </rPh>
    <rPh sb="2" eb="6">
      <t>ショウカセツビ</t>
    </rPh>
    <rPh sb="14" eb="16">
      <t>セツビ</t>
    </rPh>
    <rPh sb="17" eb="18">
      <t>ミズ</t>
    </rPh>
    <rPh sb="18" eb="20">
      <t>フンム</t>
    </rPh>
    <rPh sb="20" eb="22">
      <t>ショウカ</t>
    </rPh>
    <rPh sb="22" eb="24">
      <t>セツビ</t>
    </rPh>
    <rPh sb="25" eb="26">
      <t>アワ</t>
    </rPh>
    <rPh sb="26" eb="28">
      <t>ショウカ</t>
    </rPh>
    <rPh sb="28" eb="30">
      <t>セツビ</t>
    </rPh>
    <rPh sb="30" eb="31">
      <t>ナド</t>
    </rPh>
    <phoneticPr fontId="3"/>
  </si>
  <si>
    <t>有無</t>
    <phoneticPr fontId="3"/>
  </si>
  <si>
    <t>該当建築材料</t>
    <rPh sb="0" eb="2">
      <t>ガイトウ</t>
    </rPh>
    <rPh sb="2" eb="4">
      <t>ケンチク</t>
    </rPh>
    <rPh sb="4" eb="6">
      <t>ザイリョウ</t>
    </rPh>
    <phoneticPr fontId="3"/>
  </si>
  <si>
    <t>改善予定年月</t>
    <phoneticPr fontId="3"/>
  </si>
  <si>
    <t>措置予定</t>
    <rPh sb="0" eb="2">
      <t>ソチ</t>
    </rPh>
    <rPh sb="2" eb="4">
      <t>ヨテイ</t>
    </rPh>
    <phoneticPr fontId="3"/>
  </si>
  <si>
    <t>乗降ロビーの構造及び面積の確保の状況</t>
    <rPh sb="8" eb="9">
      <t>オヨ</t>
    </rPh>
    <rPh sb="10" eb="12">
      <t>メンセキ</t>
    </rPh>
    <rPh sb="13" eb="15">
      <t>カクホ</t>
    </rPh>
    <rPh sb="16" eb="18">
      <t>ジョウキョウ</t>
    </rPh>
    <phoneticPr fontId="3"/>
  </si>
  <si>
    <t>月</t>
    <rPh sb="0" eb="1">
      <t>ツキ</t>
    </rPh>
    <phoneticPr fontId="3"/>
  </si>
  <si>
    <t>年月日</t>
    <rPh sb="0" eb="3">
      <t>ネンガッピ</t>
    </rPh>
    <phoneticPr fontId="3"/>
  </si>
  <si>
    <t>概要</t>
    <rPh sb="0" eb="2">
      <t>ガイヨウ</t>
    </rPh>
    <phoneticPr fontId="3"/>
  </si>
  <si>
    <t>要是正と既存不適格</t>
    <rPh sb="0" eb="3">
      <t>ヨウゼセイ</t>
    </rPh>
    <rPh sb="4" eb="9">
      <t>キゾンフテキカク</t>
    </rPh>
    <phoneticPr fontId="3"/>
  </si>
  <si>
    <t>竣工（改修含む）から10年以内</t>
    <rPh sb="0" eb="2">
      <t>シュンコウ</t>
    </rPh>
    <rPh sb="3" eb="5">
      <t>カイシュウ</t>
    </rPh>
    <rPh sb="5" eb="6">
      <t>フク</t>
    </rPh>
    <rPh sb="12" eb="15">
      <t>ネンイナイ</t>
    </rPh>
    <phoneticPr fontId="3"/>
  </si>
  <si>
    <t>安全対策を実施しているため、全面打診等は不要</t>
    <rPh sb="0" eb="2">
      <t>アンゼン</t>
    </rPh>
    <rPh sb="2" eb="4">
      <t>タイサク</t>
    </rPh>
    <rPh sb="5" eb="7">
      <t>ジッシ</t>
    </rPh>
    <rPh sb="14" eb="18">
      <t>ゼンメンダシン</t>
    </rPh>
    <rPh sb="18" eb="19">
      <t>ナド</t>
    </rPh>
    <rPh sb="20" eb="22">
      <t>フヨウ</t>
    </rPh>
    <phoneticPr fontId="3"/>
  </si>
  <si>
    <t>全面打診等が実施できていない（実施の必要がある）</t>
    <rPh sb="0" eb="2">
      <t>ゼンメン</t>
    </rPh>
    <rPh sb="2" eb="4">
      <t>ダシン</t>
    </rPh>
    <rPh sb="4" eb="5">
      <t>トウ</t>
    </rPh>
    <rPh sb="6" eb="8">
      <t>ジッシ</t>
    </rPh>
    <rPh sb="15" eb="17">
      <t>ジッシ</t>
    </rPh>
    <rPh sb="18" eb="20">
      <t>ヒツヨウ</t>
    </rPh>
    <phoneticPr fontId="3"/>
  </si>
  <si>
    <t>全面打診等の実施状況</t>
    <phoneticPr fontId="3"/>
  </si>
  <si>
    <t>外装仕上材のタイル・石貼り等、モルタル塗り等の使用</t>
    <rPh sb="0" eb="2">
      <t>ガイソウ</t>
    </rPh>
    <rPh sb="2" eb="5">
      <t>シアゲザイ</t>
    </rPh>
    <rPh sb="10" eb="12">
      <t>イシバ</t>
    </rPh>
    <rPh sb="13" eb="14">
      <t>ナド</t>
    </rPh>
    <rPh sb="19" eb="20">
      <t>ヌ</t>
    </rPh>
    <rPh sb="21" eb="22">
      <t>ナド</t>
    </rPh>
    <rPh sb="23" eb="25">
      <t>シヨウ</t>
    </rPh>
    <phoneticPr fontId="3"/>
  </si>
  <si>
    <t>調査者
番号</t>
    <rPh sb="0" eb="3">
      <t>チョウサシャ</t>
    </rPh>
    <rPh sb="4" eb="6">
      <t>バンゴウ</t>
    </rPh>
    <phoneticPr fontId="3"/>
  </si>
  <si>
    <t>年月カウント</t>
    <rPh sb="0" eb="2">
      <t>ネンゲツ</t>
    </rPh>
    <phoneticPr fontId="3"/>
  </si>
  <si>
    <t>項目</t>
    <rPh sb="0" eb="2">
      <t>コウモク</t>
    </rPh>
    <phoneticPr fontId="3"/>
  </si>
  <si>
    <t>1(1)</t>
  </si>
  <si>
    <t>1(2)</t>
  </si>
  <si>
    <t>1(3)</t>
  </si>
  <si>
    <t>1(4)</t>
  </si>
  <si>
    <t>1(5)</t>
  </si>
  <si>
    <t>1(6)</t>
  </si>
  <si>
    <t>1(7)</t>
  </si>
  <si>
    <t>1(8)</t>
  </si>
  <si>
    <t>1(9)</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</si>
  <si>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</si>
  <si>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</si>
  <si>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</si>
  <si>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</si>
  <si>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</si>
  <si>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</si>
  <si>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</si>
  <si>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</si>
  <si>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</si>
  <si>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</si>
  <si>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</si>
  <si>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</si>
  <si>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</si>
  <si>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</si>
  <si>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</si>
  <si>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</si>
  <si>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</si>
  <si>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</si>
  <si>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</si>
  <si>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</si>
  <si>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</si>
  <si>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</si>
  <si>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</si>
  <si>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</si>
  <si>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</si>
  <si>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</si>
  <si>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</si>
  <si>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</si>
  <si>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</si>
  <si>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</si>
  <si>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</si>
  <si>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</si>
  <si>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</si>
  <si>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</si>
  <si>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</si>
  <si>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</si>
  <si>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</si>
  <si>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</si>
  <si>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</si>
  <si>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</si>
  <si>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</si>
  <si>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</si>
  <si>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</si>
  <si>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</si>
  <si>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</si>
  <si>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5(1)</t>
  </si>
  <si>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</si>
  <si>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</si>
  <si>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</si>
  <si>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</si>
  <si>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</si>
  <si>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</si>
  <si>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</si>
  <si>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</si>
  <si>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</si>
  <si>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</si>
  <si>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</si>
  <si>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</si>
  <si>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</si>
  <si>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</si>
  <si>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</si>
  <si>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</si>
  <si>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</si>
  <si>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</si>
  <si>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</si>
  <si>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</si>
  <si>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</si>
  <si>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</si>
  <si>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</si>
  <si>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</si>
  <si>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</si>
  <si>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</si>
  <si>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</si>
  <si>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</si>
  <si>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</si>
  <si>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</si>
  <si>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</si>
  <si>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</si>
  <si>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</si>
  <si>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</si>
  <si>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</si>
  <si>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</si>
  <si>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</si>
  <si>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6(1)</t>
  </si>
  <si>
    <t>6(2)</t>
  </si>
  <si>
    <t>6(3)</t>
  </si>
  <si>
    <t>6(4)</t>
  </si>
  <si>
    <t>6(5)</t>
  </si>
  <si>
    <t>6(6)</t>
  </si>
  <si>
    <t>6(7)</t>
  </si>
  <si>
    <t>6(8)</t>
  </si>
  <si>
    <t>6(9)</t>
  </si>
  <si>
    <t>7(1)</t>
  </si>
  <si>
    <t>7(2)</t>
  </si>
  <si>
    <t>7(3)</t>
  </si>
  <si>
    <t>7(4)</t>
  </si>
  <si>
    <t>7(5)</t>
  </si>
  <si>
    <t>項目番号
関数なし</t>
    <rPh sb="0" eb="4">
      <t>コウモクバンゴウ</t>
    </rPh>
    <rPh sb="5" eb="7">
      <t>カンスウ</t>
    </rPh>
    <phoneticPr fontId="3"/>
  </si>
  <si>
    <t>3．階別用途別床面積</t>
  </si>
  <si>
    <t>年
(令和)</t>
    <rPh sb="0" eb="1">
      <t>ネン</t>
    </rPh>
    <rPh sb="3" eb="5">
      <t>レイワ</t>
    </rPh>
    <phoneticPr fontId="3"/>
  </si>
  <si>
    <t>確認図書あり</t>
    <phoneticPr fontId="3"/>
  </si>
  <si>
    <t>確認図書なし</t>
    <phoneticPr fontId="3"/>
  </si>
  <si>
    <t>平面図のみあり</t>
    <phoneticPr fontId="3"/>
  </si>
  <si>
    <t>有</t>
    <rPh sb="0" eb="1">
      <t>アリ</t>
    </rPh>
    <phoneticPr fontId="3"/>
  </si>
  <si>
    <t>無</t>
  </si>
  <si>
    <t>無</t>
    <rPh sb="0" eb="1">
      <t>ナシ</t>
    </rPh>
    <phoneticPr fontId="3"/>
  </si>
  <si>
    <t>新築</t>
    <phoneticPr fontId="3"/>
  </si>
  <si>
    <t>増築</t>
    <phoneticPr fontId="3"/>
  </si>
  <si>
    <t>大規模の模様替</t>
    <phoneticPr fontId="3"/>
  </si>
  <si>
    <t>用途変更</t>
    <phoneticPr fontId="3"/>
  </si>
  <si>
    <t>大規模の修繕</t>
    <phoneticPr fontId="3"/>
  </si>
  <si>
    <t>改築</t>
    <phoneticPr fontId="3"/>
  </si>
  <si>
    <t>移転</t>
    <phoneticPr fontId="3"/>
  </si>
  <si>
    <t>指定確認検査機関</t>
    <phoneticPr fontId="3"/>
  </si>
  <si>
    <t>対象外</t>
    <rPh sb="0" eb="3">
      <t>タイショウガイ</t>
    </rPh>
    <phoneticPr fontId="3"/>
  </si>
  <si>
    <t>実施</t>
    <rPh sb="0" eb="2">
      <t>ジッシ</t>
    </rPh>
    <phoneticPr fontId="3"/>
  </si>
  <si>
    <t>有（飛散防止措置無）</t>
    <phoneticPr fontId="3"/>
  </si>
  <si>
    <t>未調査</t>
    <phoneticPr fontId="3"/>
  </si>
  <si>
    <t>有（飛散防止措置有）</t>
    <phoneticPr fontId="3"/>
  </si>
  <si>
    <t>未実施</t>
    <phoneticPr fontId="3"/>
  </si>
  <si>
    <t>対象外</t>
    <phoneticPr fontId="3"/>
  </si>
  <si>
    <t>無</t>
    <phoneticPr fontId="3"/>
  </si>
  <si>
    <t>年</t>
    <rPh sb="0" eb="1">
      <t>ネン</t>
    </rPh>
    <phoneticPr fontId="1"/>
  </si>
  <si>
    <t>2-1.調査の状況</t>
  </si>
  <si>
    <t>ｲ．指摘の内容</t>
    <rPh sb="2" eb="4">
      <t>シテキ</t>
    </rPh>
    <rPh sb="5" eb="7">
      <t>ナイヨウ</t>
    </rPh>
    <phoneticPr fontId="1"/>
  </si>
  <si>
    <t>要是正の指摘あり</t>
    <rPh sb="0" eb="1">
      <t>ヨウ</t>
    </rPh>
    <rPh sb="1" eb="3">
      <t>ゼセイ</t>
    </rPh>
    <rPh sb="4" eb="6">
      <t>シテキ</t>
    </rPh>
    <phoneticPr fontId="1"/>
  </si>
  <si>
    <t>既存不適格）</t>
    <rPh sb="0" eb="2">
      <t>キゾン</t>
    </rPh>
    <rPh sb="2" eb="5">
      <t>フテキカク</t>
    </rPh>
    <phoneticPr fontId="1"/>
  </si>
  <si>
    <t>(敷地及び地盤)</t>
    <rPh sb="1" eb="3">
      <t>シキチ</t>
    </rPh>
    <rPh sb="3" eb="4">
      <t>オヨ</t>
    </rPh>
    <rPh sb="5" eb="7">
      <t>ジバン</t>
    </rPh>
    <phoneticPr fontId="1"/>
  </si>
  <si>
    <t>ﾛ．指摘の概要</t>
    <rPh sb="2" eb="4">
      <t>シテキ</t>
    </rPh>
    <rPh sb="5" eb="7">
      <t>ガイヨウ</t>
    </rPh>
    <phoneticPr fontId="1"/>
  </si>
  <si>
    <t>ﾊ．改善予定の有無</t>
    <rPh sb="2" eb="4">
      <t>カイゼン</t>
    </rPh>
    <rPh sb="4" eb="6">
      <t>ヨテイ</t>
    </rPh>
    <rPh sb="7" eb="9">
      <t>ウム</t>
    </rPh>
    <phoneticPr fontId="1"/>
  </si>
  <si>
    <t>2-2.調査の状況</t>
  </si>
  <si>
    <t>(建築物の外部)</t>
    <rPh sb="1" eb="4">
      <t>ケンチクブツ</t>
    </rPh>
    <rPh sb="5" eb="7">
      <t>ガイブ</t>
    </rPh>
    <phoneticPr fontId="1"/>
  </si>
  <si>
    <t>2-3.調査の状況</t>
  </si>
  <si>
    <t>(屋上及び屋根)</t>
    <rPh sb="1" eb="3">
      <t>オクジョウ</t>
    </rPh>
    <rPh sb="3" eb="4">
      <t>オヨ</t>
    </rPh>
    <rPh sb="5" eb="7">
      <t>ヤネ</t>
    </rPh>
    <phoneticPr fontId="1"/>
  </si>
  <si>
    <t>2-4.調査の状況</t>
  </si>
  <si>
    <t>(建築物の内部)</t>
    <rPh sb="1" eb="4">
      <t>ケンチクブツ</t>
    </rPh>
    <rPh sb="5" eb="7">
      <t>ナイブ</t>
    </rPh>
    <phoneticPr fontId="1"/>
  </si>
  <si>
    <t>指摘なし</t>
  </si>
  <si>
    <t>有</t>
    <rPh sb="0" eb="1">
      <t>ア</t>
    </rPh>
    <phoneticPr fontId="1"/>
  </si>
  <si>
    <t>(令和</t>
    <rPh sb="1" eb="3">
      <t>レイワ</t>
    </rPh>
    <phoneticPr fontId="1"/>
  </si>
  <si>
    <t>無</t>
    <rPh sb="0" eb="1">
      <t>ナ</t>
    </rPh>
    <phoneticPr fontId="1"/>
  </si>
  <si>
    <t>2-5.調査の状況</t>
  </si>
  <si>
    <t>(避難施設等)</t>
    <rPh sb="1" eb="3">
      <t>ヒナン</t>
    </rPh>
    <rPh sb="3" eb="5">
      <t>シセツ</t>
    </rPh>
    <rPh sb="5" eb="6">
      <t>トウ</t>
    </rPh>
    <phoneticPr fontId="1"/>
  </si>
  <si>
    <t>2-6.調査の状況</t>
  </si>
  <si>
    <t>（その他）</t>
    <rPh sb="3" eb="4">
      <t>ホカ</t>
    </rPh>
    <phoneticPr fontId="1"/>
  </si>
  <si>
    <t>指摘の具体的内容等
要是正＋（既存不適格）</t>
    <rPh sb="0" eb="2">
      <t>シテキ</t>
    </rPh>
    <rPh sb="8" eb="9">
      <t>トウ</t>
    </rPh>
    <rPh sb="10" eb="13">
      <t>ヨウゼセイ</t>
    </rPh>
    <rPh sb="15" eb="20">
      <t>キゾンフテキカク</t>
    </rPh>
    <phoneticPr fontId="3"/>
  </si>
  <si>
    <t>カウント
報告書用</t>
    <rPh sb="5" eb="8">
      <t>ホウコクショ</t>
    </rPh>
    <rPh sb="8" eb="9">
      <t>ヨウ</t>
    </rPh>
    <phoneticPr fontId="3"/>
  </si>
  <si>
    <t xml:space="preserve"> ※整理番号欄</t>
    <rPh sb="2" eb="4">
      <t>セイリ</t>
    </rPh>
    <rPh sb="4" eb="6">
      <t>バンゴウ</t>
    </rPh>
    <rPh sb="6" eb="7">
      <t>ラン</t>
    </rPh>
    <phoneticPr fontId="3"/>
  </si>
  <si>
    <t>要是正の指摘あり （</t>
    <rPh sb="0" eb="1">
      <t>ヨウ</t>
    </rPh>
    <rPh sb="1" eb="3">
      <t>ゼセイ</t>
    </rPh>
    <rPh sb="4" eb="6">
      <t>シテキ</t>
    </rPh>
    <phoneticPr fontId="3"/>
  </si>
  <si>
    <t>改善（予定）</t>
    <rPh sb="0" eb="2">
      <t>カイゼン</t>
    </rPh>
    <rPh sb="3" eb="5">
      <t>ヨテイ</t>
    </rPh>
    <phoneticPr fontId="3"/>
  </si>
  <si>
    <t>←調査結果表に記入する内容については、記入不要です</t>
    <rPh sb="1" eb="6">
      <t>チョウサケッカヒョウ</t>
    </rPh>
    <rPh sb="7" eb="9">
      <t>キニュウ</t>
    </rPh>
    <rPh sb="11" eb="13">
      <t>ナイヨウ</t>
    </rPh>
    <rPh sb="19" eb="23">
      <t>キニュウフヨウ</t>
    </rPh>
    <phoneticPr fontId="3"/>
  </si>
  <si>
    <t>改善の状況</t>
    <rPh sb="0" eb="2">
      <t>カイゼン</t>
    </rPh>
    <rPh sb="3" eb="5">
      <t>ジョウキョウ</t>
    </rPh>
    <phoneticPr fontId="3"/>
  </si>
  <si>
    <t>改善措置の概要等又は改善の予定がない場合は理由</t>
    <rPh sb="0" eb="4">
      <t>カイゼンソチ</t>
    </rPh>
    <rPh sb="5" eb="7">
      <t>ガイヨウ</t>
    </rPh>
    <rPh sb="7" eb="8">
      <t>ナド</t>
    </rPh>
    <rPh sb="8" eb="9">
      <t>マタ</t>
    </rPh>
    <rPh sb="10" eb="12">
      <t>カイゼン</t>
    </rPh>
    <rPh sb="13" eb="15">
      <t>ヨテイ</t>
    </rPh>
    <rPh sb="18" eb="20">
      <t>バアイ</t>
    </rPh>
    <rPh sb="21" eb="23">
      <t>リユウ</t>
    </rPh>
    <phoneticPr fontId="3"/>
  </si>
  <si>
    <t>年月</t>
    <rPh sb="0" eb="2">
      <t>ネンゲツ</t>
    </rPh>
    <phoneticPr fontId="3"/>
  </si>
  <si>
    <t>要是正カウント（別添2リンク先）</t>
    <rPh sb="0" eb="3">
      <t>ヨウゼセイ</t>
    </rPh>
    <rPh sb="8" eb="10">
      <t>ベッテン</t>
    </rPh>
    <rPh sb="14" eb="15">
      <t>サキ</t>
    </rPh>
    <phoneticPr fontId="3"/>
  </si>
  <si>
    <t>（注意事項）</t>
    <rPh sb="1" eb="5">
      <t>チュウイジコウ</t>
    </rPh>
    <phoneticPr fontId="3"/>
  </si>
  <si>
    <t>第三面５欄・第四面</t>
    <rPh sb="1" eb="2">
      <t>サン</t>
    </rPh>
    <rPh sb="2" eb="3">
      <t>メン</t>
    </rPh>
    <rPh sb="6" eb="9">
      <t>ダイヨンメン</t>
    </rPh>
    <phoneticPr fontId="3"/>
  </si>
  <si>
    <t>実施済み</t>
    <rPh sb="0" eb="3">
      <t>ジッシズ</t>
    </rPh>
    <phoneticPr fontId="3"/>
  </si>
  <si>
    <t>改善予定</t>
    <rPh sb="0" eb="4">
      <t>カイゼンヨテイ</t>
    </rPh>
    <phoneticPr fontId="3"/>
  </si>
  <si>
    <t>予定なし</t>
    <rPh sb="0" eb="2">
      <t>ヨテイ</t>
    </rPh>
    <phoneticPr fontId="3"/>
  </si>
  <si>
    <t>資格</t>
    <rPh sb="0" eb="2">
      <t>シカク</t>
    </rPh>
    <phoneticPr fontId="3"/>
  </si>
  <si>
    <t>第</t>
    <rPh sb="0" eb="1">
      <t>ダイ</t>
    </rPh>
    <phoneticPr fontId="3"/>
  </si>
  <si>
    <t>（第二面　別紙）</t>
    <rPh sb="1" eb="2">
      <t>ダイ</t>
    </rPh>
    <rPh sb="2" eb="4">
      <t>ニメン</t>
    </rPh>
    <rPh sb="5" eb="7">
      <t>ベッシ</t>
    </rPh>
    <phoneticPr fontId="3"/>
  </si>
  <si>
    <t>既存不適格のみの場合</t>
    <rPh sb="0" eb="5">
      <t>キゾンフテキカク</t>
    </rPh>
    <rPh sb="8" eb="10">
      <t>バアイ</t>
    </rPh>
    <phoneticPr fontId="3"/>
  </si>
  <si>
    <t>改善（予定）
年月</t>
    <phoneticPr fontId="3"/>
  </si>
  <si>
    <t>年
(令和)</t>
    <phoneticPr fontId="3"/>
  </si>
  <si>
    <t>月</t>
    <phoneticPr fontId="3"/>
  </si>
  <si>
    <t>実施済</t>
    <rPh sb="0" eb="3">
      <t>ジッシズ</t>
    </rPh>
    <phoneticPr fontId="3"/>
  </si>
  <si>
    <t>未実施
対象外</t>
    <rPh sb="0" eb="3">
      <t>ミジッシ</t>
    </rPh>
    <rPh sb="4" eb="7">
      <t>タイショウガイ</t>
    </rPh>
    <phoneticPr fontId="3"/>
  </si>
  <si>
    <t>要是正ありの場合</t>
    <rPh sb="0" eb="3">
      <t>ヨウゼセイ</t>
    </rPh>
    <rPh sb="6" eb="8">
      <t>バアイ</t>
    </rPh>
    <phoneticPr fontId="3"/>
  </si>
  <si>
    <t>関連写真添付　リンク指定先一覧</t>
    <rPh sb="0" eb="4">
      <t>カンレンシャシン</t>
    </rPh>
    <rPh sb="4" eb="6">
      <t>テンプ</t>
    </rPh>
    <rPh sb="10" eb="13">
      <t>シテイサキ</t>
    </rPh>
    <rPh sb="13" eb="15">
      <t>イチラン</t>
    </rPh>
    <phoneticPr fontId="3"/>
  </si>
  <si>
    <t>関連写真添付　リンク指定先</t>
    <phoneticPr fontId="3"/>
  </si>
  <si>
    <t>報告書１面5欄用</t>
    <rPh sb="0" eb="3">
      <t>ホウコクショ</t>
    </rPh>
    <rPh sb="4" eb="5">
      <t>メン</t>
    </rPh>
    <rPh sb="6" eb="7">
      <t>ラン</t>
    </rPh>
    <rPh sb="7" eb="8">
      <t>ヨウ</t>
    </rPh>
    <phoneticPr fontId="3"/>
  </si>
  <si>
    <t>要是正</t>
    <rPh sb="0" eb="3">
      <t>ヨウゼセイ</t>
    </rPh>
    <phoneticPr fontId="3"/>
  </si>
  <si>
    <t>変換/有</t>
    <rPh sb="0" eb="2">
      <t>ヘンカン</t>
    </rPh>
    <rPh sb="3" eb="4">
      <t>アリ</t>
    </rPh>
    <phoneticPr fontId="3"/>
  </si>
  <si>
    <t>西暦変換/(有)</t>
    <rPh sb="0" eb="2">
      <t>セイレキ</t>
    </rPh>
    <rPh sb="2" eb="4">
      <t>ヘンカン</t>
    </rPh>
    <rPh sb="6" eb="7">
      <t>アリ</t>
    </rPh>
    <phoneticPr fontId="3"/>
  </si>
  <si>
    <t>未来の年月
カウント/年</t>
    <rPh sb="0" eb="2">
      <t>ミライ</t>
    </rPh>
    <rPh sb="3" eb="5">
      <t>ネンゲツ</t>
    </rPh>
    <rPh sb="11" eb="12">
      <t>ネン</t>
    </rPh>
    <phoneticPr fontId="3"/>
  </si>
  <si>
    <t>未来の直近/月</t>
    <rPh sb="0" eb="2">
      <t>ミライ</t>
    </rPh>
    <rPh sb="3" eb="5">
      <t>チョッキン</t>
    </rPh>
    <rPh sb="6" eb="7">
      <t>ツキ</t>
    </rPh>
    <phoneticPr fontId="3"/>
  </si>
  <si>
    <t>未定/無</t>
    <rPh sb="3" eb="4">
      <t>ナシ</t>
    </rPh>
    <phoneticPr fontId="3"/>
  </si>
  <si>
    <t>報告書　第三面別紙</t>
    <phoneticPr fontId="3"/>
  </si>
  <si>
    <t>配列関数（セルを選択した際はCtrl+Shift+Enterで）</t>
    <rPh sb="0" eb="4">
      <t>ハイレツカンスウ</t>
    </rPh>
    <rPh sb="8" eb="10">
      <t>センタク</t>
    </rPh>
    <rPh sb="12" eb="13">
      <t>サイ</t>
    </rPh>
    <phoneticPr fontId="3"/>
  </si>
  <si>
    <t>報告書　第一面5</t>
    <rPh sb="5" eb="6">
      <t>イチ</t>
    </rPh>
    <rPh sb="6" eb="7">
      <t>メン</t>
    </rPh>
    <phoneticPr fontId="3"/>
  </si>
  <si>
    <t>西暦変換
/有（済）</t>
    <rPh sb="0" eb="2">
      <t>セイレキ</t>
    </rPh>
    <rPh sb="2" eb="4">
      <t>ヘンカン</t>
    </rPh>
    <rPh sb="6" eb="7">
      <t>アリ</t>
    </rPh>
    <rPh sb="8" eb="9">
      <t>スミ</t>
    </rPh>
    <phoneticPr fontId="3"/>
  </si>
  <si>
    <t>変換
/有(予定)</t>
    <rPh sb="0" eb="2">
      <t>ヘンカン</t>
    </rPh>
    <rPh sb="4" eb="5">
      <t>アリ</t>
    </rPh>
    <rPh sb="6" eb="8">
      <t>ヨテイ</t>
    </rPh>
    <phoneticPr fontId="3"/>
  </si>
  <si>
    <t>未来の直近</t>
    <rPh sb="0" eb="2">
      <t>ミライ</t>
    </rPh>
    <rPh sb="3" eb="5">
      <t>チョッキン</t>
    </rPh>
    <phoneticPr fontId="3"/>
  </si>
  <si>
    <t>過去の直近</t>
    <rPh sb="0" eb="2">
      <t>カコ</t>
    </rPh>
    <rPh sb="3" eb="5">
      <t>チョッキン</t>
    </rPh>
    <phoneticPr fontId="3"/>
  </si>
  <si>
    <t>　/無</t>
    <phoneticPr fontId="3"/>
  </si>
  <si>
    <t>第二面　別紙参照</t>
    <rPh sb="0" eb="3">
      <t>ダイニメン</t>
    </rPh>
    <rPh sb="4" eb="8">
      <t>ベッシサンショウ</t>
    </rPh>
    <phoneticPr fontId="3"/>
  </si>
  <si>
    <t>対象外項目</t>
    <rPh sb="0" eb="3">
      <t>タイショウガイ</t>
    </rPh>
    <rPh sb="3" eb="5">
      <t>コウモク</t>
    </rPh>
    <phoneticPr fontId="3"/>
  </si>
  <si>
    <t>担当
調査者
番号</t>
    <rPh sb="0" eb="2">
      <t>タントウ</t>
    </rPh>
    <rPh sb="3" eb="6">
      <t>チョウサシャ</t>
    </rPh>
    <rPh sb="7" eb="9">
      <t>バンゴウ</t>
    </rPh>
    <phoneticPr fontId="3"/>
  </si>
  <si>
    <t>指摘
なし</t>
    <phoneticPr fontId="3"/>
  </si>
  <si>
    <t>要是正</t>
    <rPh sb="0" eb="1">
      <t>ヨウ</t>
    </rPh>
    <rPh sb="1" eb="3">
      <t>ゼセイ</t>
    </rPh>
    <phoneticPr fontId="3"/>
  </si>
  <si>
    <t>既　存
不適格</t>
    <phoneticPr fontId="3"/>
  </si>
  <si>
    <t>(2)</t>
    <phoneticPr fontId="3"/>
  </si>
  <si>
    <t>(3)</t>
    <phoneticPr fontId="3"/>
  </si>
  <si>
    <t>(4)</t>
    <phoneticPr fontId="3"/>
  </si>
  <si>
    <t>(5)</t>
    <phoneticPr fontId="3"/>
  </si>
  <si>
    <t>(7)</t>
    <phoneticPr fontId="3"/>
  </si>
  <si>
    <t>(8)</t>
    <phoneticPr fontId="3"/>
  </si>
  <si>
    <t>(9)</t>
    <phoneticPr fontId="3"/>
  </si>
  <si>
    <t>(10)</t>
    <phoneticPr fontId="3"/>
  </si>
  <si>
    <t>(11)</t>
    <phoneticPr fontId="3"/>
  </si>
  <si>
    <t>(12)</t>
    <phoneticPr fontId="3"/>
  </si>
  <si>
    <t>(13)</t>
    <phoneticPr fontId="3"/>
  </si>
  <si>
    <t>(14)</t>
    <phoneticPr fontId="3"/>
  </si>
  <si>
    <t>(15)</t>
    <phoneticPr fontId="3"/>
  </si>
  <si>
    <t>(16)</t>
    <phoneticPr fontId="3"/>
  </si>
  <si>
    <t>(17)</t>
    <phoneticPr fontId="3"/>
  </si>
  <si>
    <t>(18)</t>
    <phoneticPr fontId="3"/>
  </si>
  <si>
    <t>警報設備</t>
    <phoneticPr fontId="3"/>
  </si>
  <si>
    <t>(19)</t>
    <phoneticPr fontId="3"/>
  </si>
  <si>
    <t>(20)</t>
    <phoneticPr fontId="3"/>
  </si>
  <si>
    <t>(21)</t>
    <phoneticPr fontId="3"/>
  </si>
  <si>
    <t>(22)</t>
    <phoneticPr fontId="3"/>
  </si>
  <si>
    <t>(23)</t>
    <phoneticPr fontId="3"/>
  </si>
  <si>
    <t>(24)</t>
    <phoneticPr fontId="3"/>
  </si>
  <si>
    <t>(25)</t>
    <phoneticPr fontId="3"/>
  </si>
  <si>
    <t>(26)</t>
    <phoneticPr fontId="3"/>
  </si>
  <si>
    <t>(27)</t>
    <phoneticPr fontId="3"/>
  </si>
  <si>
    <t>(28)</t>
    <phoneticPr fontId="3"/>
  </si>
  <si>
    <t>(29)</t>
    <phoneticPr fontId="3"/>
  </si>
  <si>
    <t>(30)</t>
    <phoneticPr fontId="3"/>
  </si>
  <si>
    <t>(31)</t>
    <phoneticPr fontId="3"/>
  </si>
  <si>
    <t>(32)</t>
    <phoneticPr fontId="3"/>
  </si>
  <si>
    <t>(33)</t>
    <phoneticPr fontId="3"/>
  </si>
  <si>
    <t>(34)</t>
    <phoneticPr fontId="3"/>
  </si>
  <si>
    <t>(35)</t>
    <phoneticPr fontId="3"/>
  </si>
  <si>
    <t>(38)</t>
    <phoneticPr fontId="3"/>
  </si>
  <si>
    <t>(39)</t>
    <phoneticPr fontId="3"/>
  </si>
  <si>
    <t>(40)</t>
    <phoneticPr fontId="3"/>
  </si>
  <si>
    <t>法第12条第3項の規定による検査を要する防火設備の有無</t>
    <rPh sb="0" eb="1">
      <t>ダイ</t>
    </rPh>
    <rPh sb="3" eb="4">
      <t>ジョウ</t>
    </rPh>
    <rPh sb="4" eb="5">
      <t>ダイ</t>
    </rPh>
    <rPh sb="6" eb="7">
      <t>コウ</t>
    </rPh>
    <rPh sb="8" eb="10">
      <t>キテイ</t>
    </rPh>
    <rPh sb="13" eb="15">
      <t>ケンサ</t>
    </rPh>
    <rPh sb="16" eb="17">
      <t>ヨウ</t>
    </rPh>
    <rPh sb="19" eb="21">
      <t>ボウカ</t>
    </rPh>
    <rPh sb="21" eb="23">
      <t>セツビ</t>
    </rPh>
    <rPh sb="24" eb="26">
      <t>ウム</t>
    </rPh>
    <phoneticPr fontId="3"/>
  </si>
  <si>
    <t>調査項目</t>
    <rPh sb="0" eb="2">
      <t>チョウサ</t>
    </rPh>
    <rPh sb="2" eb="4">
      <t>コウモク</t>
    </rPh>
    <phoneticPr fontId="3"/>
  </si>
  <si>
    <t>　記入欄が不足する場合は、枠を拡大、行を追加して記入するか、別紙に必要な事項を記入して添えてください。</t>
    <rPh sb="1" eb="4">
      <t>キニュウラン</t>
    </rPh>
    <rPh sb="5" eb="7">
      <t>フソク</t>
    </rPh>
    <rPh sb="9" eb="11">
      <t>バアイ</t>
    </rPh>
    <rPh sb="13" eb="14">
      <t>ワク</t>
    </rPh>
    <rPh sb="15" eb="17">
      <t>カクダイ</t>
    </rPh>
    <rPh sb="18" eb="19">
      <t>ギョウ</t>
    </rPh>
    <rPh sb="20" eb="22">
      <t>ツイカ</t>
    </rPh>
    <rPh sb="24" eb="26">
      <t>キニュウ</t>
    </rPh>
    <rPh sb="30" eb="32">
      <t>ベッシ</t>
    </rPh>
    <rPh sb="33" eb="35">
      <t>ヒツヨウ</t>
    </rPh>
    <rPh sb="36" eb="38">
      <t>ジコウ</t>
    </rPh>
    <rPh sb="39" eb="41">
      <t>キニュウ</t>
    </rPh>
    <rPh sb="43" eb="44">
      <t>ソ</t>
    </rPh>
    <phoneticPr fontId="3"/>
  </si>
  <si>
    <t>　「検査結果」欄のうち「指摘なし」欄は、⑥に該当しない場合に○印を記入してください。</t>
    <phoneticPr fontId="3"/>
  </si>
  <si>
    <t>　「既存不適格」欄は、「要是正」欄に○印を記入した場合で、建築基準法第３条第２項の規定の適用を受けているものであることが確認されたときは、○印を記入してください。</t>
    <phoneticPr fontId="3"/>
  </si>
  <si>
    <t>　「特記事項」は、調査の結果、要是正の指摘があった場合のほか、指摘がない場合にあっても特記すべき事項がある場合に、該当する調査項目の番号、調査項目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t>
    <rPh sb="9" eb="11">
      <t>チョウサ</t>
    </rPh>
    <rPh sb="61" eb="63">
      <t>チョウサ</t>
    </rPh>
    <rPh sb="69" eb="71">
      <t>チョウサ</t>
    </rPh>
    <rPh sb="93" eb="94">
      <t>マタ</t>
    </rPh>
    <rPh sb="118" eb="120">
      <t>カイゼン</t>
    </rPh>
    <rPh sb="120" eb="121">
      <t>ズ</t>
    </rPh>
    <rPh sb="123" eb="125">
      <t>バアイ</t>
    </rPh>
    <rPh sb="125" eb="127">
      <t>オ</t>
    </rPh>
    <rPh sb="153" eb="154">
      <t>トウ</t>
    </rPh>
    <rPh sb="166" eb="168">
      <t>カイゼン</t>
    </rPh>
    <rPh sb="170" eb="172">
      <t>バアイ</t>
    </rPh>
    <rPh sb="183" eb="184">
      <t>ラン</t>
    </rPh>
    <rPh sb="185" eb="187">
      <t>トウガイ</t>
    </rPh>
    <rPh sb="187" eb="189">
      <t>ネンゲツ</t>
    </rPh>
    <rPh sb="190" eb="192">
      <t>キニュウ</t>
    </rPh>
    <rPh sb="233" eb="234">
      <t>カ</t>
    </rPh>
    <phoneticPr fontId="3"/>
  </si>
  <si>
    <t>　要是正とされた調査項目（既存不適格の場合を除く。）については、要是正とされた部分を撮影した写真を別添２の様式に従い添付してください。</t>
    <rPh sb="1" eb="2">
      <t>ヨウ</t>
    </rPh>
    <rPh sb="2" eb="4">
      <t>ゼセイ</t>
    </rPh>
    <rPh sb="8" eb="10">
      <t>チョウサ</t>
    </rPh>
    <rPh sb="10" eb="12">
      <t>コウモク</t>
    </rPh>
    <rPh sb="13" eb="15">
      <t>キソン</t>
    </rPh>
    <rPh sb="15" eb="18">
      <t>フテキカク</t>
    </rPh>
    <rPh sb="19" eb="21">
      <t>バアイ</t>
    </rPh>
    <rPh sb="22" eb="23">
      <t>ノゾ</t>
    </rPh>
    <rPh sb="32" eb="33">
      <t>ヨウ</t>
    </rPh>
    <rPh sb="33" eb="35">
      <t>ゼセイ</t>
    </rPh>
    <rPh sb="39" eb="41">
      <t>ブブン</t>
    </rPh>
    <rPh sb="42" eb="44">
      <t>サツエイ</t>
    </rPh>
    <rPh sb="46" eb="48">
      <t>シャシン</t>
    </rPh>
    <rPh sb="49" eb="51">
      <t>ベッテン</t>
    </rPh>
    <rPh sb="53" eb="55">
      <t>ヨウシキ</t>
    </rPh>
    <rPh sb="56" eb="57">
      <t>シタガ</t>
    </rPh>
    <rPh sb="58" eb="60">
      <t>テンプ</t>
    </rPh>
    <phoneticPr fontId="3"/>
  </si>
  <si>
    <t>５　代表となる調査者</t>
    <rPh sb="2" eb="4">
      <t>ダイヒョウ</t>
    </rPh>
    <rPh sb="7" eb="10">
      <t>チョウサシャ</t>
    </rPh>
    <phoneticPr fontId="3"/>
  </si>
  <si>
    <t>建物所在地</t>
    <rPh sb="2" eb="5">
      <t>ショザイチ</t>
    </rPh>
    <phoneticPr fontId="3"/>
  </si>
  <si>
    <t>２　報告内容に関する問合せ先</t>
    <rPh sb="2" eb="4">
      <t>ホウコク</t>
    </rPh>
    <rPh sb="4" eb="6">
      <t>ナイヨウ</t>
    </rPh>
    <rPh sb="7" eb="8">
      <t>カン</t>
    </rPh>
    <rPh sb="10" eb="12">
      <t>トイアワ</t>
    </rPh>
    <rPh sb="13" eb="14">
      <t>サキ</t>
    </rPh>
    <phoneticPr fontId="3"/>
  </si>
  <si>
    <t>メールアドレス（半角）</t>
    <rPh sb="8" eb="10">
      <t>ハンカク</t>
    </rPh>
    <phoneticPr fontId="3"/>
  </si>
  <si>
    <t>６　その他の調査者１</t>
    <rPh sb="4" eb="5">
      <t>タ</t>
    </rPh>
    <rPh sb="6" eb="9">
      <t>チョウサシャ</t>
    </rPh>
    <phoneticPr fontId="3"/>
  </si>
  <si>
    <t>７　その他の調査者２</t>
    <rPh sb="4" eb="5">
      <t>タ</t>
    </rPh>
    <rPh sb="6" eb="9">
      <t>チョウサシャ</t>
    </rPh>
    <phoneticPr fontId="3"/>
  </si>
  <si>
    <t>８　敷地の位置</t>
    <rPh sb="2" eb="4">
      <t>シキチ</t>
    </rPh>
    <rPh sb="5" eb="7">
      <t>イチ</t>
    </rPh>
    <phoneticPr fontId="3"/>
  </si>
  <si>
    <t>９　建物及びその敷地の概要</t>
    <rPh sb="2" eb="4">
      <t>タテモノ</t>
    </rPh>
    <rPh sb="4" eb="5">
      <t>オヨ</t>
    </rPh>
    <rPh sb="8" eb="10">
      <t>シキチ</t>
    </rPh>
    <rPh sb="11" eb="13">
      <t>ガイヨウ</t>
    </rPh>
    <phoneticPr fontId="3"/>
  </si>
  <si>
    <t>確認</t>
    <rPh sb="0" eb="2">
      <t>カクニン</t>
    </rPh>
    <phoneticPr fontId="3"/>
  </si>
  <si>
    <t>確認済証の有無</t>
    <rPh sb="0" eb="2">
      <t>カクニン</t>
    </rPh>
    <rPh sb="2" eb="3">
      <t>スミ</t>
    </rPh>
    <rPh sb="3" eb="4">
      <t>ショウ</t>
    </rPh>
    <rPh sb="5" eb="7">
      <t>ウム</t>
    </rPh>
    <phoneticPr fontId="3"/>
  </si>
  <si>
    <t>工事種別</t>
    <rPh sb="0" eb="4">
      <t>コウジシュベツ</t>
    </rPh>
    <phoneticPr fontId="3"/>
  </si>
  <si>
    <t>完了</t>
    <rPh sb="0" eb="2">
      <t>カンリョウ</t>
    </rPh>
    <phoneticPr fontId="3"/>
  </si>
  <si>
    <t>←3箇月以内に提出</t>
    <rPh sb="2" eb="4">
      <t>カゲツ</t>
    </rPh>
    <rPh sb="4" eb="6">
      <t>イナイ</t>
    </rPh>
    <rPh sb="7" eb="9">
      <t>テイシュツ</t>
    </rPh>
    <phoneticPr fontId="3"/>
  </si>
  <si>
    <t>別添１様式</t>
    <rPh sb="0" eb="2">
      <t>ベッテン</t>
    </rPh>
    <rPh sb="3" eb="5">
      <t>ヨウシキ</t>
    </rPh>
    <phoneticPr fontId="3"/>
  </si>
  <si>
    <t>（Ａ３）</t>
    <phoneticPr fontId="3"/>
  </si>
  <si>
    <t>調　査　結　果　図</t>
    <rPh sb="0" eb="1">
      <t>チョウ</t>
    </rPh>
    <rPh sb="2" eb="3">
      <t>サ</t>
    </rPh>
    <rPh sb="4" eb="5">
      <t>ムスブ</t>
    </rPh>
    <rPh sb="6" eb="7">
      <t>ハタシ</t>
    </rPh>
    <rPh sb="8" eb="9">
      <t>ズ</t>
    </rPh>
    <phoneticPr fontId="3"/>
  </si>
  <si>
    <t>（1）</t>
    <phoneticPr fontId="3"/>
  </si>
  <si>
    <t>地盤</t>
    <rPh sb="0" eb="2">
      <t>ジバン</t>
    </rPh>
    <phoneticPr fontId="3"/>
  </si>
  <si>
    <t>（2）</t>
    <phoneticPr fontId="3"/>
  </si>
  <si>
    <t>敷地</t>
    <rPh sb="0" eb="2">
      <t>シキチ</t>
    </rPh>
    <phoneticPr fontId="3"/>
  </si>
  <si>
    <t>（3）から（5）</t>
    <phoneticPr fontId="3"/>
  </si>
  <si>
    <t>敷地内の通路</t>
    <rPh sb="0" eb="2">
      <t>シキチ</t>
    </rPh>
    <rPh sb="2" eb="3">
      <t>ナイ</t>
    </rPh>
    <rPh sb="4" eb="6">
      <t>ツウロ</t>
    </rPh>
    <phoneticPr fontId="3"/>
  </si>
  <si>
    <t>（6）から（7）</t>
    <phoneticPr fontId="3"/>
  </si>
  <si>
    <t>（8）から（9）</t>
    <phoneticPr fontId="3"/>
  </si>
  <si>
    <t>擁壁</t>
    <rPh sb="0" eb="1">
      <t>ヨウ</t>
    </rPh>
    <rPh sb="1" eb="2">
      <t>ヘキ</t>
    </rPh>
    <phoneticPr fontId="3"/>
  </si>
  <si>
    <t>（1）から（2）</t>
    <phoneticPr fontId="3"/>
  </si>
  <si>
    <t>（3）から（4）</t>
    <phoneticPr fontId="3"/>
  </si>
  <si>
    <t>（5）から（18）</t>
    <phoneticPr fontId="3"/>
  </si>
  <si>
    <t>外壁</t>
    <rPh sb="0" eb="2">
      <t>ガイヘキ</t>
    </rPh>
    <phoneticPr fontId="3"/>
  </si>
  <si>
    <t>（2）から（5）</t>
    <phoneticPr fontId="3"/>
  </si>
  <si>
    <t>建物の内部</t>
    <rPh sb="0" eb="2">
      <t>タテモノ</t>
    </rPh>
    <rPh sb="3" eb="5">
      <t>ナイブ</t>
    </rPh>
    <phoneticPr fontId="3"/>
  </si>
  <si>
    <t>（1）から（5）</t>
    <phoneticPr fontId="3"/>
  </si>
  <si>
    <t>（6）から（16）</t>
    <phoneticPr fontId="3"/>
  </si>
  <si>
    <t>壁の室内に面する部分</t>
    <rPh sb="0" eb="1">
      <t>カベ</t>
    </rPh>
    <rPh sb="2" eb="4">
      <t>シツナイ</t>
    </rPh>
    <rPh sb="5" eb="6">
      <t>メン</t>
    </rPh>
    <rPh sb="8" eb="10">
      <t>ブブン</t>
    </rPh>
    <phoneticPr fontId="3"/>
  </si>
  <si>
    <t>（17）から（22）</t>
    <phoneticPr fontId="3"/>
  </si>
  <si>
    <t>（23）から（25）</t>
    <phoneticPr fontId="3"/>
  </si>
  <si>
    <t>防火設備又は戸</t>
    <rPh sb="0" eb="2">
      <t>ボウカ</t>
    </rPh>
    <rPh sb="2" eb="4">
      <t>セツビ</t>
    </rPh>
    <rPh sb="4" eb="5">
      <t>マタ</t>
    </rPh>
    <rPh sb="6" eb="7">
      <t>ト</t>
    </rPh>
    <phoneticPr fontId="3"/>
  </si>
  <si>
    <t>（34）から（35）</t>
    <phoneticPr fontId="3"/>
  </si>
  <si>
    <t>照明器具、懸垂物等</t>
    <rPh sb="0" eb="2">
      <t>ショウメイ</t>
    </rPh>
    <rPh sb="2" eb="4">
      <t>キグ</t>
    </rPh>
    <rPh sb="5" eb="7">
      <t>ケンスイ</t>
    </rPh>
    <rPh sb="7" eb="8">
      <t>ブツ</t>
    </rPh>
    <rPh sb="8" eb="9">
      <t>トウ</t>
    </rPh>
    <phoneticPr fontId="3"/>
  </si>
  <si>
    <t>居室の採光及び換気</t>
    <rPh sb="0" eb="2">
      <t>キョシツ</t>
    </rPh>
    <rPh sb="3" eb="5">
      <t>サイコウ</t>
    </rPh>
    <rPh sb="5" eb="6">
      <t>オヨ</t>
    </rPh>
    <rPh sb="7" eb="9">
      <t>カンキ</t>
    </rPh>
    <phoneticPr fontId="3"/>
  </si>
  <si>
    <t>石綿等を添加した建築材料</t>
    <rPh sb="0" eb="2">
      <t>セキメン</t>
    </rPh>
    <rPh sb="2" eb="3">
      <t>トウ</t>
    </rPh>
    <rPh sb="4" eb="6">
      <t>テンカ</t>
    </rPh>
    <rPh sb="8" eb="10">
      <t>ケンチク</t>
    </rPh>
    <rPh sb="10" eb="12">
      <t>ザイリョウ</t>
    </rPh>
    <phoneticPr fontId="3"/>
  </si>
  <si>
    <t>避難施設等</t>
    <rPh sb="0" eb="2">
      <t>ヒナン</t>
    </rPh>
    <rPh sb="2" eb="5">
      <t>シセツナド</t>
    </rPh>
    <phoneticPr fontId="3"/>
  </si>
  <si>
    <t>令第１２０条第２項に規定する通路</t>
    <rPh sb="0" eb="1">
      <t>レイ</t>
    </rPh>
    <rPh sb="1" eb="2">
      <t>ダイ</t>
    </rPh>
    <rPh sb="5" eb="6">
      <t>ジョウ</t>
    </rPh>
    <rPh sb="6" eb="7">
      <t>ダイ</t>
    </rPh>
    <rPh sb="8" eb="9">
      <t>コウ</t>
    </rPh>
    <rPh sb="10" eb="12">
      <t>キテイ</t>
    </rPh>
    <rPh sb="14" eb="16">
      <t>ツウロ</t>
    </rPh>
    <phoneticPr fontId="3"/>
  </si>
  <si>
    <t>（２)から（3）</t>
    <phoneticPr fontId="3"/>
  </si>
  <si>
    <t>（4）から（5）</t>
    <phoneticPr fontId="3"/>
  </si>
  <si>
    <t>出入口</t>
    <rPh sb="0" eb="2">
      <t>デイリ</t>
    </rPh>
    <rPh sb="2" eb="3">
      <t>クチ</t>
    </rPh>
    <phoneticPr fontId="3"/>
  </si>
  <si>
    <t>（6）</t>
    <phoneticPr fontId="3"/>
  </si>
  <si>
    <t>（7）から（10）</t>
    <phoneticPr fontId="3"/>
  </si>
  <si>
    <t>避難上有効なバルコニー</t>
    <rPh sb="0" eb="2">
      <t>ヒナン</t>
    </rPh>
    <rPh sb="2" eb="3">
      <t>ウエ</t>
    </rPh>
    <rPh sb="3" eb="5">
      <t>ユウコウ</t>
    </rPh>
    <phoneticPr fontId="3"/>
  </si>
  <si>
    <t>排煙設備等</t>
    <rPh sb="0" eb="2">
      <t>ハイエン</t>
    </rPh>
    <rPh sb="2" eb="4">
      <t>セツビ</t>
    </rPh>
    <rPh sb="4" eb="5">
      <t>トウ</t>
    </rPh>
    <phoneticPr fontId="3"/>
  </si>
  <si>
    <t>その他の設備等</t>
    <rPh sb="2" eb="3">
      <t>タ</t>
    </rPh>
    <rPh sb="4" eb="6">
      <t>セツビ</t>
    </rPh>
    <rPh sb="6" eb="7">
      <t>トウ</t>
    </rPh>
    <phoneticPr fontId="3"/>
  </si>
  <si>
    <t>（1）から（4）</t>
    <phoneticPr fontId="3"/>
  </si>
  <si>
    <t>特殊な構造等</t>
    <rPh sb="0" eb="2">
      <t>トクシュ</t>
    </rPh>
    <rPh sb="3" eb="6">
      <t>コウゾウトウ</t>
    </rPh>
    <phoneticPr fontId="3"/>
  </si>
  <si>
    <t>（5）</t>
    <phoneticPr fontId="3"/>
  </si>
  <si>
    <t>（6）から（9）</t>
    <phoneticPr fontId="3"/>
  </si>
  <si>
    <t>資格名称</t>
    <rPh sb="0" eb="2">
      <t>シカク</t>
    </rPh>
    <rPh sb="2" eb="4">
      <t>メイショウ</t>
    </rPh>
    <phoneticPr fontId="3"/>
  </si>
  <si>
    <t>（注）前回の調査日以降</t>
  </si>
  <si>
    <t>工事種別</t>
    <rPh sb="0" eb="2">
      <t>コウジ</t>
    </rPh>
    <rPh sb="2" eb="4">
      <t>シュベツ</t>
    </rPh>
    <phoneticPr fontId="3"/>
  </si>
  <si>
    <t>A272</t>
  </si>
  <si>
    <t>AU293</t>
  </si>
  <si>
    <t>A10</t>
  </si>
  <si>
    <t>A33</t>
  </si>
  <si>
    <t>A69</t>
  </si>
  <si>
    <t>A92</t>
  </si>
  <si>
    <t>A152</t>
  </si>
  <si>
    <t>A189</t>
  </si>
  <si>
    <t>A212</t>
  </si>
  <si>
    <t>A249</t>
  </si>
  <si>
    <t>A309</t>
  </si>
  <si>
    <t>A332</t>
  </si>
  <si>
    <t>A369</t>
  </si>
  <si>
    <t>A392</t>
  </si>
  <si>
    <t>A429</t>
  </si>
  <si>
    <t>A452</t>
  </si>
  <si>
    <t>A489</t>
  </si>
  <si>
    <t>A512</t>
  </si>
  <si>
    <t>A549</t>
  </si>
  <si>
    <t>A572</t>
  </si>
  <si>
    <t>AU31</t>
  </si>
  <si>
    <t>AU54</t>
  </si>
  <si>
    <t>AU90</t>
  </si>
  <si>
    <t>AU150</t>
  </si>
  <si>
    <t>AU173</t>
  </si>
  <si>
    <t>AU210</t>
  </si>
  <si>
    <t>AU233</t>
  </si>
  <si>
    <t>AU270</t>
  </si>
  <si>
    <t>AU330</t>
  </si>
  <si>
    <t>AU353</t>
  </si>
  <si>
    <t>AU390</t>
  </si>
  <si>
    <t>AU413</t>
  </si>
  <si>
    <t>AU450</t>
  </si>
  <si>
    <t>AU473</t>
  </si>
  <si>
    <t>AU510</t>
  </si>
  <si>
    <t>AU533</t>
  </si>
  <si>
    <t>AU570</t>
  </si>
  <si>
    <t>AU593</t>
  </si>
  <si>
    <t>#'3_入力シート【写真】'</t>
  </si>
  <si>
    <t>（36）から（37）</t>
    <phoneticPr fontId="3"/>
  </si>
  <si>
    <t>警報設備</t>
    <rPh sb="0" eb="4">
      <t>ケイホウセツビ</t>
    </rPh>
    <phoneticPr fontId="3"/>
  </si>
  <si>
    <t>警報設備</t>
    <rPh sb="0" eb="4">
      <t>ケイホウセツビ</t>
    </rPh>
    <phoneticPr fontId="3"/>
  </si>
  <si>
    <t>警報設備の設置の状況</t>
    <phoneticPr fontId="3"/>
  </si>
  <si>
    <t>警報設備の劣化及び損傷の状況</t>
    <phoneticPr fontId="3"/>
  </si>
  <si>
    <t>4(46)</t>
  </si>
  <si>
    <t>4(47)</t>
  </si>
  <si>
    <t>概要または改善未記入</t>
    <rPh sb="0" eb="2">
      <t>ガイヨウ</t>
    </rPh>
    <rPh sb="5" eb="7">
      <t>カイゼン</t>
    </rPh>
    <rPh sb="7" eb="10">
      <t>ミキニュウ</t>
    </rPh>
    <phoneticPr fontId="3"/>
  </si>
  <si>
    <t>実施済・改善予定合計</t>
    <rPh sb="0" eb="3">
      <t>ジッシズ</t>
    </rPh>
    <rPh sb="4" eb="6">
      <t>カイゼン</t>
    </rPh>
    <rPh sb="6" eb="10">
      <t>ヨテイゴウケイ</t>
    </rPh>
    <phoneticPr fontId="3"/>
  </si>
  <si>
    <t>実施済みか改善予定合計行単位</t>
    <rPh sb="0" eb="3">
      <t>ジッシズ</t>
    </rPh>
    <rPh sb="5" eb="9">
      <t>カイゼンヨテイ</t>
    </rPh>
    <rPh sb="9" eb="11">
      <t>ゴウケイ</t>
    </rPh>
    <rPh sb="11" eb="14">
      <t>ギョウタンイ</t>
    </rPh>
    <phoneticPr fontId="3"/>
  </si>
  <si>
    <t>実施済・改善予定</t>
    <rPh sb="0" eb="2">
      <t>ジッシ</t>
    </rPh>
    <rPh sb="2" eb="3">
      <t>スミ</t>
    </rPh>
    <rPh sb="4" eb="6">
      <t>カイゼン</t>
    </rPh>
    <rPh sb="6" eb="8">
      <t>ヨテイ</t>
    </rPh>
    <phoneticPr fontId="3"/>
  </si>
  <si>
    <t>有で実施済・改善予定</t>
    <rPh sb="0" eb="1">
      <t>アリ</t>
    </rPh>
    <rPh sb="2" eb="5">
      <t>ジッシズ</t>
    </rPh>
    <rPh sb="6" eb="10">
      <t>カイゼンヨテイ</t>
    </rPh>
    <phoneticPr fontId="3"/>
  </si>
  <si>
    <t>×要是正（既存不適格以外）</t>
  </si>
  <si>
    <t>―対象外</t>
  </si>
  <si>
    <t>○指摘なし</t>
  </si>
  <si>
    <t>選択肢候補1</t>
    <rPh sb="0" eb="3">
      <t>センタクシ</t>
    </rPh>
    <rPh sb="3" eb="5">
      <t>コウホ</t>
    </rPh>
    <phoneticPr fontId="3"/>
  </si>
  <si>
    <t>選択肢候補2</t>
    <rPh sb="0" eb="3">
      <t>センタクシ</t>
    </rPh>
    <rPh sb="3" eb="5">
      <t>コウホ</t>
    </rPh>
    <phoneticPr fontId="3"/>
  </si>
  <si>
    <t>選択肢候補3</t>
    <rPh sb="0" eb="3">
      <t>センタクシ</t>
    </rPh>
    <rPh sb="3" eb="5">
      <t>コウホ</t>
    </rPh>
    <phoneticPr fontId="3"/>
  </si>
  <si>
    <t>選択肢候補4</t>
    <rPh sb="0" eb="3">
      <t>センタクシ</t>
    </rPh>
    <rPh sb="3" eb="5">
      <t>コウホ</t>
    </rPh>
    <phoneticPr fontId="3"/>
  </si>
  <si>
    <t>選択肢候補5</t>
    <rPh sb="0" eb="3">
      <t>センタクシ</t>
    </rPh>
    <rPh sb="3" eb="5">
      <t>コウホ</t>
    </rPh>
    <phoneticPr fontId="3"/>
  </si>
  <si>
    <t>１０　性能検証法等の適用</t>
    <rPh sb="3" eb="5">
      <t>セイノウ</t>
    </rPh>
    <rPh sb="5" eb="7">
      <t>ケンショウ</t>
    </rPh>
    <rPh sb="7" eb="8">
      <t>ホウ</t>
    </rPh>
    <rPh sb="8" eb="9">
      <t>トウ</t>
    </rPh>
    <rPh sb="10" eb="12">
      <t>テキヨウ</t>
    </rPh>
    <phoneticPr fontId="3"/>
  </si>
  <si>
    <t>１１　増築、改築、用途変更等の経過</t>
    <rPh sb="3" eb="5">
      <t>ゾウチク</t>
    </rPh>
    <rPh sb="6" eb="8">
      <t>カイチク</t>
    </rPh>
    <rPh sb="9" eb="13">
      <t>ヨウトヘンコウ</t>
    </rPh>
    <rPh sb="13" eb="14">
      <t>ナド</t>
    </rPh>
    <rPh sb="15" eb="17">
      <t>ケイカ</t>
    </rPh>
    <phoneticPr fontId="3"/>
  </si>
  <si>
    <t>１２　関連図書の整備</t>
    <rPh sb="3" eb="5">
      <t>カンレン</t>
    </rPh>
    <rPh sb="5" eb="7">
      <t>トショ</t>
    </rPh>
    <rPh sb="8" eb="10">
      <t>セイビ</t>
    </rPh>
    <phoneticPr fontId="3"/>
  </si>
  <si>
    <t>１４　調査及び検査の状況</t>
    <rPh sb="3" eb="5">
      <t>チョウサ</t>
    </rPh>
    <rPh sb="5" eb="6">
      <t>オヨ</t>
    </rPh>
    <rPh sb="7" eb="9">
      <t>ケンサ</t>
    </rPh>
    <rPh sb="10" eb="12">
      <t>ジョウキョウ</t>
    </rPh>
    <phoneticPr fontId="3"/>
  </si>
  <si>
    <t>１５　石綿を添加した建築材料の調査状況</t>
    <rPh sb="3" eb="5">
      <t>イシワタ</t>
    </rPh>
    <rPh sb="6" eb="8">
      <t>テンカ</t>
    </rPh>
    <rPh sb="10" eb="12">
      <t>ケンチク</t>
    </rPh>
    <rPh sb="12" eb="14">
      <t>ザイリョウ</t>
    </rPh>
    <rPh sb="15" eb="17">
      <t>チョウサ</t>
    </rPh>
    <rPh sb="17" eb="19">
      <t>ジョウキョウ</t>
    </rPh>
    <phoneticPr fontId="3"/>
  </si>
  <si>
    <t>１６　耐震診断及び耐震改修の調査状況</t>
    <rPh sb="3" eb="5">
      <t>タイシン</t>
    </rPh>
    <rPh sb="5" eb="7">
      <t>シンダン</t>
    </rPh>
    <rPh sb="7" eb="8">
      <t>オヨ</t>
    </rPh>
    <rPh sb="9" eb="11">
      <t>タイシン</t>
    </rPh>
    <rPh sb="11" eb="13">
      <t>カイシュウ</t>
    </rPh>
    <rPh sb="14" eb="16">
      <t>チョウサ</t>
    </rPh>
    <rPh sb="16" eb="18">
      <t>ジョウキョウ</t>
    </rPh>
    <phoneticPr fontId="3"/>
  </si>
  <si>
    <t>１７　建築物等に係る不具合等の状況</t>
    <rPh sb="3" eb="6">
      <t>ケンチクブツ</t>
    </rPh>
    <rPh sb="6" eb="7">
      <t>ナド</t>
    </rPh>
    <rPh sb="8" eb="9">
      <t>カカ</t>
    </rPh>
    <rPh sb="10" eb="13">
      <t>フグアイ</t>
    </rPh>
    <rPh sb="13" eb="14">
      <t>ナド</t>
    </rPh>
    <rPh sb="15" eb="17">
      <t>ジョウキョウ</t>
    </rPh>
    <phoneticPr fontId="3"/>
  </si>
  <si>
    <t>１９　外装仕上げ材等について</t>
    <phoneticPr fontId="3"/>
  </si>
  <si>
    <t>－</t>
    <phoneticPr fontId="3"/>
  </si>
  <si>
    <t>都道府県</t>
    <rPh sb="0" eb="4">
      <t>トドウフケン</t>
    </rPh>
    <phoneticPr fontId="3"/>
  </si>
  <si>
    <t>市郡</t>
    <rPh sb="0" eb="1">
      <t>シ</t>
    </rPh>
    <rPh sb="1" eb="2">
      <t>グン</t>
    </rPh>
    <phoneticPr fontId="3"/>
  </si>
  <si>
    <t>区町村</t>
    <rPh sb="0" eb="1">
      <t>ク</t>
    </rPh>
    <rPh sb="1" eb="3">
      <t>チョウソン</t>
    </rPh>
    <phoneticPr fontId="3"/>
  </si>
  <si>
    <t>－</t>
    <phoneticPr fontId="3"/>
  </si>
  <si>
    <t>特定建築物調査員</t>
    <rPh sb="0" eb="2">
      <t>トクテイ</t>
    </rPh>
    <rPh sb="2" eb="4">
      <t>ケンチク</t>
    </rPh>
    <rPh sb="4" eb="5">
      <t>ブツ</t>
    </rPh>
    <rPh sb="5" eb="7">
      <t>チョウサ</t>
    </rPh>
    <rPh sb="7" eb="8">
      <t>イン</t>
    </rPh>
    <phoneticPr fontId="3"/>
  </si>
  <si>
    <t>特定建築物調査員</t>
    <rPh sb="0" eb="2">
      <t>トクテイ</t>
    </rPh>
    <rPh sb="2" eb="4">
      <t>ケンチク</t>
    </rPh>
    <rPh sb="4" eb="5">
      <t>ブツ</t>
    </rPh>
    <rPh sb="5" eb="8">
      <t>チョウサイン</t>
    </rPh>
    <phoneticPr fontId="3"/>
  </si>
  <si>
    <t>二級建築士</t>
    <phoneticPr fontId="3"/>
  </si>
  <si>
    <t>特定建築物調査員</t>
    <rPh sb="7" eb="8">
      <t>イン</t>
    </rPh>
    <phoneticPr fontId="3"/>
  </si>
  <si>
    <t>一級建築士</t>
    <phoneticPr fontId="3"/>
  </si>
  <si>
    <t>特定建築物調査員</t>
    <phoneticPr fontId="3"/>
  </si>
  <si>
    <t>有(各階平面図のみあり)</t>
    <phoneticPr fontId="3"/>
  </si>
  <si>
    <t>確認済証の有無</t>
    <rPh sb="0" eb="3">
      <t>カクニンズ</t>
    </rPh>
    <rPh sb="3" eb="4">
      <t>ショウ</t>
    </rPh>
    <rPh sb="5" eb="7">
      <t>ウム</t>
    </rPh>
    <phoneticPr fontId="3"/>
  </si>
  <si>
    <t>元号</t>
    <rPh sb="0" eb="2">
      <t>ゲンゴウ</t>
    </rPh>
    <phoneticPr fontId="3"/>
  </si>
  <si>
    <t>小荷物専用昇降機の有無</t>
    <rPh sb="0" eb="3">
      <t>コニモツ</t>
    </rPh>
    <rPh sb="3" eb="5">
      <t>センヨウ</t>
    </rPh>
    <rPh sb="5" eb="8">
      <t>ショウコウキ</t>
    </rPh>
    <rPh sb="9" eb="11">
      <t>ウム</t>
    </rPh>
    <phoneticPr fontId="3"/>
  </si>
  <si>
    <t>半角統一</t>
    <rPh sb="0" eb="2">
      <t>ハンカク</t>
    </rPh>
    <rPh sb="2" eb="4">
      <t>トウイツ</t>
    </rPh>
    <phoneticPr fontId="3"/>
  </si>
  <si>
    <t>連結</t>
    <rPh sb="0" eb="2">
      <t>レンケツ</t>
    </rPh>
    <phoneticPr fontId="3"/>
  </si>
  <si>
    <t>検査済証の有無</t>
    <rPh sb="0" eb="3">
      <t>ケンサズ</t>
    </rPh>
    <rPh sb="3" eb="4">
      <t>ショウ</t>
    </rPh>
    <rPh sb="5" eb="7">
      <t>ウム</t>
    </rPh>
    <phoneticPr fontId="3"/>
  </si>
  <si>
    <t>△既存不適格</t>
  </si>
  <si>
    <t>国交省調査結果表転記用</t>
  </si>
  <si>
    <t>要是正</t>
  </si>
  <si>
    <t>既存不適格</t>
  </si>
  <si>
    <t>担当者番号</t>
  </si>
  <si>
    <t>1(2)</t>
    <phoneticPr fontId="3"/>
  </si>
  <si>
    <t>調査者番号</t>
    <rPh sb="0" eb="3">
      <t>チョウサシャ</t>
    </rPh>
    <rPh sb="3" eb="5">
      <t>バンゴウ</t>
    </rPh>
    <phoneticPr fontId="3"/>
  </si>
  <si>
    <t>２.　調査の状況</t>
    <rPh sb="3" eb="5">
      <t>チョウサ</t>
    </rPh>
    <rPh sb="6" eb="8">
      <t>ジョウキョウ</t>
    </rPh>
    <phoneticPr fontId="3"/>
  </si>
  <si>
    <t>改善予定</t>
    <rPh sb="0" eb="2">
      <t>カイゼン</t>
    </rPh>
    <rPh sb="2" eb="4">
      <t>ヨテイ</t>
    </rPh>
    <phoneticPr fontId="3"/>
  </si>
  <si>
    <t>予定なし</t>
    <rPh sb="0" eb="2">
      <t>ヨテイ</t>
    </rPh>
    <phoneticPr fontId="3"/>
  </si>
  <si>
    <t>実施済</t>
    <phoneticPr fontId="3"/>
  </si>
  <si>
    <t>1(3)</t>
    <phoneticPr fontId="3"/>
  </si>
  <si>
    <t>1(4)</t>
    <phoneticPr fontId="3"/>
  </si>
  <si>
    <t>1(5)</t>
    <phoneticPr fontId="3"/>
  </si>
  <si>
    <t>1(6)</t>
    <phoneticPr fontId="3"/>
  </si>
  <si>
    <t>1(7)</t>
    <phoneticPr fontId="3"/>
  </si>
  <si>
    <t>1(8)</t>
    <phoneticPr fontId="3"/>
  </si>
  <si>
    <t>1(9)</t>
    <phoneticPr fontId="3"/>
  </si>
  <si>
    <t>2(2)</t>
    <phoneticPr fontId="3"/>
  </si>
  <si>
    <t>2(3)</t>
    <phoneticPr fontId="3"/>
  </si>
  <si>
    <t>2(4)</t>
    <phoneticPr fontId="3"/>
  </si>
  <si>
    <t>2(5)</t>
    <phoneticPr fontId="3"/>
  </si>
  <si>
    <t>2(6)</t>
    <phoneticPr fontId="3"/>
  </si>
  <si>
    <t>2(7)</t>
    <phoneticPr fontId="3"/>
  </si>
  <si>
    <t>2(8)</t>
    <phoneticPr fontId="3"/>
  </si>
  <si>
    <t>2(9)</t>
    <phoneticPr fontId="3"/>
  </si>
  <si>
    <t>2(10)</t>
    <phoneticPr fontId="3"/>
  </si>
  <si>
    <t>2(11)</t>
    <phoneticPr fontId="3"/>
  </si>
  <si>
    <t>2(12)</t>
    <phoneticPr fontId="3"/>
  </si>
  <si>
    <t>2(13)</t>
    <phoneticPr fontId="3"/>
  </si>
  <si>
    <t>2(14)</t>
    <phoneticPr fontId="3"/>
  </si>
  <si>
    <t>2(15)</t>
    <phoneticPr fontId="3"/>
  </si>
  <si>
    <t>2(16)</t>
    <phoneticPr fontId="3"/>
  </si>
  <si>
    <t>2(17)</t>
    <phoneticPr fontId="3"/>
  </si>
  <si>
    <t>2(18)</t>
    <phoneticPr fontId="3"/>
  </si>
  <si>
    <t>3(2)</t>
    <phoneticPr fontId="3"/>
  </si>
  <si>
    <t>3(3)</t>
    <phoneticPr fontId="3"/>
  </si>
  <si>
    <t>3(4)</t>
    <phoneticPr fontId="3"/>
  </si>
  <si>
    <t>3(5)</t>
    <phoneticPr fontId="3"/>
  </si>
  <si>
    <t>3(6)</t>
    <phoneticPr fontId="3"/>
  </si>
  <si>
    <t>3(7)</t>
    <phoneticPr fontId="3"/>
  </si>
  <si>
    <t>3(8)</t>
    <phoneticPr fontId="3"/>
  </si>
  <si>
    <t>3(9)</t>
    <phoneticPr fontId="3"/>
  </si>
  <si>
    <t>4(1)</t>
    <phoneticPr fontId="3"/>
  </si>
  <si>
    <t>4(2)</t>
    <phoneticPr fontId="3"/>
  </si>
  <si>
    <t>4(3)</t>
    <phoneticPr fontId="3"/>
  </si>
  <si>
    <t>4(4)</t>
    <phoneticPr fontId="3"/>
  </si>
  <si>
    <t>4(5)</t>
    <phoneticPr fontId="3"/>
  </si>
  <si>
    <t>4(6)</t>
    <phoneticPr fontId="3"/>
  </si>
  <si>
    <t>4(7)</t>
    <phoneticPr fontId="3"/>
  </si>
  <si>
    <t>4(8)</t>
    <phoneticPr fontId="3"/>
  </si>
  <si>
    <t>4(9)</t>
    <phoneticPr fontId="3"/>
  </si>
  <si>
    <t>4(10)</t>
    <phoneticPr fontId="3"/>
  </si>
  <si>
    <t>4(11)</t>
    <phoneticPr fontId="3"/>
  </si>
  <si>
    <t>4(12)</t>
    <phoneticPr fontId="3"/>
  </si>
  <si>
    <t>4(13)</t>
    <phoneticPr fontId="3"/>
  </si>
  <si>
    <t>4(14)</t>
    <phoneticPr fontId="3"/>
  </si>
  <si>
    <t>4(15)</t>
    <phoneticPr fontId="3"/>
  </si>
  <si>
    <t>4(16)</t>
    <phoneticPr fontId="3"/>
  </si>
  <si>
    <t>4(17)</t>
    <phoneticPr fontId="3"/>
  </si>
  <si>
    <t>4(18)</t>
    <phoneticPr fontId="3"/>
  </si>
  <si>
    <t>4(19)</t>
    <phoneticPr fontId="3"/>
  </si>
  <si>
    <t>4(20)</t>
    <phoneticPr fontId="3"/>
  </si>
  <si>
    <t>4(21)</t>
    <phoneticPr fontId="3"/>
  </si>
  <si>
    <t>4(22)</t>
    <phoneticPr fontId="3"/>
  </si>
  <si>
    <t>4(23)</t>
    <phoneticPr fontId="3"/>
  </si>
  <si>
    <t>4(24)</t>
    <phoneticPr fontId="3"/>
  </si>
  <si>
    <t>4(25)</t>
    <phoneticPr fontId="3"/>
  </si>
  <si>
    <t>4(26)</t>
    <phoneticPr fontId="3"/>
  </si>
  <si>
    <t>4(27)</t>
    <phoneticPr fontId="3"/>
  </si>
  <si>
    <t>4(28)</t>
    <phoneticPr fontId="3"/>
  </si>
  <si>
    <t>4(29)</t>
    <phoneticPr fontId="3"/>
  </si>
  <si>
    <t>4(30)</t>
    <phoneticPr fontId="3"/>
  </si>
  <si>
    <t>4(31)</t>
    <phoneticPr fontId="3"/>
  </si>
  <si>
    <t>4(32)</t>
    <phoneticPr fontId="3"/>
  </si>
  <si>
    <t>4(33)</t>
    <phoneticPr fontId="3"/>
  </si>
  <si>
    <t>4(34)</t>
    <phoneticPr fontId="3"/>
  </si>
  <si>
    <t>4(35)</t>
    <phoneticPr fontId="3"/>
  </si>
  <si>
    <t>4(36)</t>
    <phoneticPr fontId="3"/>
  </si>
  <si>
    <t>4(37)</t>
    <phoneticPr fontId="3"/>
  </si>
  <si>
    <t>4(38)</t>
    <phoneticPr fontId="3"/>
  </si>
  <si>
    <t>4(39)</t>
    <phoneticPr fontId="3"/>
  </si>
  <si>
    <t>4(40)</t>
    <phoneticPr fontId="3"/>
  </si>
  <si>
    <t>4(41)</t>
    <phoneticPr fontId="3"/>
  </si>
  <si>
    <t>4(42)</t>
    <phoneticPr fontId="3"/>
  </si>
  <si>
    <t>4(43)</t>
    <phoneticPr fontId="3"/>
  </si>
  <si>
    <t>4(44)</t>
    <phoneticPr fontId="3"/>
  </si>
  <si>
    <t>4(45)</t>
    <phoneticPr fontId="3"/>
  </si>
  <si>
    <t>5(1)</t>
    <phoneticPr fontId="3"/>
  </si>
  <si>
    <t>5(2)</t>
    <phoneticPr fontId="3"/>
  </si>
  <si>
    <t>5(3)</t>
    <phoneticPr fontId="3"/>
  </si>
  <si>
    <t>5(4)</t>
    <phoneticPr fontId="3"/>
  </si>
  <si>
    <t>5(5)</t>
    <phoneticPr fontId="3"/>
  </si>
  <si>
    <t>5(6)</t>
    <phoneticPr fontId="3"/>
  </si>
  <si>
    <t>5(7)</t>
    <phoneticPr fontId="3"/>
  </si>
  <si>
    <t>5(8)</t>
    <phoneticPr fontId="3"/>
  </si>
  <si>
    <t>5(9)</t>
    <phoneticPr fontId="3"/>
  </si>
  <si>
    <t>5(10)</t>
    <phoneticPr fontId="3"/>
  </si>
  <si>
    <t>5(11)</t>
    <phoneticPr fontId="3"/>
  </si>
  <si>
    <t>5(12)</t>
    <phoneticPr fontId="3"/>
  </si>
  <si>
    <t>5(13)</t>
    <phoneticPr fontId="3"/>
  </si>
  <si>
    <t>5(14)</t>
    <phoneticPr fontId="3"/>
  </si>
  <si>
    <t>5(15)</t>
    <phoneticPr fontId="3"/>
  </si>
  <si>
    <t>5(16)</t>
    <phoneticPr fontId="3"/>
  </si>
  <si>
    <t>5(17)</t>
    <phoneticPr fontId="3"/>
  </si>
  <si>
    <t>5(18)</t>
    <phoneticPr fontId="3"/>
  </si>
  <si>
    <t>5(19)</t>
    <phoneticPr fontId="3"/>
  </si>
  <si>
    <t>5(20)</t>
    <phoneticPr fontId="3"/>
  </si>
  <si>
    <t>5(21)</t>
    <phoneticPr fontId="3"/>
  </si>
  <si>
    <t>6(1)</t>
    <phoneticPr fontId="3"/>
  </si>
  <si>
    <t>6(2)</t>
    <phoneticPr fontId="3"/>
  </si>
  <si>
    <t>6(3)</t>
    <phoneticPr fontId="3"/>
  </si>
  <si>
    <t>6(4)</t>
    <phoneticPr fontId="3"/>
  </si>
  <si>
    <t>6(5)</t>
    <phoneticPr fontId="3"/>
  </si>
  <si>
    <t>6(6)</t>
    <phoneticPr fontId="3"/>
  </si>
  <si>
    <t>6(7)</t>
    <phoneticPr fontId="3"/>
  </si>
  <si>
    <t>6(8)</t>
    <phoneticPr fontId="3"/>
  </si>
  <si>
    <t>6(9)</t>
    <phoneticPr fontId="3"/>
  </si>
  <si>
    <t>7(1)</t>
    <phoneticPr fontId="3"/>
  </si>
  <si>
    <t>7(2)</t>
    <phoneticPr fontId="3"/>
  </si>
  <si>
    <t>7(3)</t>
    <phoneticPr fontId="3"/>
  </si>
  <si>
    <t>7(4)</t>
    <phoneticPr fontId="3"/>
  </si>
  <si>
    <t>7(5)</t>
    <phoneticPr fontId="3"/>
  </si>
  <si>
    <t>予定</t>
    <rPh sb="0" eb="2">
      <t>ヨテイ</t>
    </rPh>
    <phoneticPr fontId="3"/>
  </si>
  <si>
    <t>改善済</t>
    <rPh sb="0" eb="3">
      <t>カイゼンズ</t>
    </rPh>
    <phoneticPr fontId="3"/>
  </si>
  <si>
    <t>1(1)</t>
    <phoneticPr fontId="3"/>
  </si>
  <si>
    <t>考えられる要因</t>
    <rPh sb="0" eb="1">
      <t>カンガ</t>
    </rPh>
    <rPh sb="5" eb="7">
      <t>ヨウイン</t>
    </rPh>
    <phoneticPr fontId="3"/>
  </si>
  <si>
    <t>年
（令和）</t>
    <rPh sb="0" eb="1">
      <t>ネン</t>
    </rPh>
    <rPh sb="3" eb="5">
      <t>レイワ</t>
    </rPh>
    <phoneticPr fontId="3"/>
  </si>
  <si>
    <t>調査者番号</t>
    <rPh sb="0" eb="3">
      <t>チョウサシャ</t>
    </rPh>
    <rPh sb="3" eb="5">
      <t>バンゴウ</t>
    </rPh>
    <phoneticPr fontId="3"/>
  </si>
  <si>
    <t>調査者番号入力制限向け</t>
    <rPh sb="0" eb="3">
      <t>チョウサシャ</t>
    </rPh>
    <rPh sb="3" eb="5">
      <t>バンゴウ</t>
    </rPh>
    <rPh sb="5" eb="7">
      <t>ニュウリョク</t>
    </rPh>
    <rPh sb="7" eb="9">
      <t>セイゲン</t>
    </rPh>
    <rPh sb="9" eb="10">
      <t>ム</t>
    </rPh>
    <phoneticPr fontId="3"/>
  </si>
  <si>
    <t>対象</t>
    <rPh sb="0" eb="2">
      <t>タイショウ</t>
    </rPh>
    <phoneticPr fontId="3"/>
  </si>
  <si>
    <t>擁壁</t>
  </si>
  <si>
    <t>対象外</t>
    <rPh sb="0" eb="2">
      <t>タイショウ</t>
    </rPh>
    <rPh sb="2" eb="3">
      <t>ガイ</t>
    </rPh>
    <phoneticPr fontId="3"/>
  </si>
  <si>
    <t>＜入力不要＞調査結果表転記</t>
    <rPh sb="1" eb="5">
      <t>ニュウリョクフヨウ</t>
    </rPh>
    <rPh sb="6" eb="11">
      <t>チョウサケッカヒョウ</t>
    </rPh>
    <rPh sb="11" eb="13">
      <t>テンキ</t>
    </rPh>
    <phoneticPr fontId="3"/>
  </si>
  <si>
    <t>（第一面　別紙）</t>
    <rPh sb="1" eb="2">
      <t>ダイ</t>
    </rPh>
    <rPh sb="2" eb="3">
      <t>イチ</t>
    </rPh>
    <rPh sb="3" eb="4">
      <t>メン</t>
    </rPh>
    <rPh sb="5" eb="7">
      <t>ベッシ</t>
    </rPh>
    <phoneticPr fontId="3"/>
  </si>
  <si>
    <t>5.調査による指摘の概要</t>
    <rPh sb="2" eb="4">
      <t>チョウサ</t>
    </rPh>
    <rPh sb="7" eb="9">
      <t>シテキ</t>
    </rPh>
    <rPh sb="10" eb="12">
      <t>ガイヨウ</t>
    </rPh>
    <phoneticPr fontId="3"/>
  </si>
  <si>
    <t>ﾊ．不具合等の概要</t>
    <rPh sb="2" eb="6">
      <t>フグアイトウ</t>
    </rPh>
    <rPh sb="7" eb="9">
      <t>ガイヨウ</t>
    </rPh>
    <phoneticPr fontId="1"/>
  </si>
  <si>
    <t>（その他の調査者2）</t>
    <phoneticPr fontId="3"/>
  </si>
  <si>
    <t>3.調査者</t>
    <rPh sb="2" eb="4">
      <t>チョウサ</t>
    </rPh>
    <rPh sb="4" eb="5">
      <t>モノ</t>
    </rPh>
    <phoneticPr fontId="3"/>
  </si>
  <si>
    <t>7.建築物等に係る不具合等の状況</t>
    <rPh sb="2" eb="5">
      <t>ケンチクブツ</t>
    </rPh>
    <rPh sb="5" eb="6">
      <t>ナド</t>
    </rPh>
    <rPh sb="7" eb="8">
      <t>カカリ</t>
    </rPh>
    <rPh sb="9" eb="12">
      <t>フグアイ</t>
    </rPh>
    <rPh sb="12" eb="13">
      <t>トウ</t>
    </rPh>
    <rPh sb="14" eb="16">
      <t>ジョウキョウ</t>
    </rPh>
    <phoneticPr fontId="3"/>
  </si>
  <si>
    <t>無</t>
    <rPh sb="0" eb="1">
      <t>ム</t>
    </rPh>
    <phoneticPr fontId="3"/>
  </si>
  <si>
    <t>(41)</t>
    <phoneticPr fontId="3"/>
  </si>
  <si>
    <t>階）</t>
    <phoneticPr fontId="3"/>
  </si>
  <si>
    <t>定期報告対象対象階</t>
    <rPh sb="0" eb="4">
      <t>テイキホウコク</t>
    </rPh>
    <rPh sb="4" eb="6">
      <t>タイショウ</t>
    </rPh>
    <rPh sb="6" eb="8">
      <t>タイショウ</t>
    </rPh>
    <rPh sb="8" eb="9">
      <t>カイ</t>
    </rPh>
    <phoneticPr fontId="3"/>
  </si>
  <si>
    <t>外壁に緊結された広告板、空調室外機等</t>
    <phoneticPr fontId="3"/>
  </si>
  <si>
    <t>　　氏　名</t>
  </si>
  <si>
    <t>石綿等を添加した建築材料　</t>
  </si>
  <si>
    <t>非常用の進入口等</t>
  </si>
  <si>
    <t>非常用エレベーター</t>
  </si>
  <si>
    <t>その他確認事項</t>
    <phoneticPr fontId="3"/>
  </si>
  <si>
    <t>特記事項</t>
  </si>
  <si>
    <t>①</t>
  </si>
  <si>
    <t>②</t>
  </si>
  <si>
    <t>③</t>
  </si>
  <si>
    <t>④</t>
  </si>
  <si>
    <t>⑤</t>
  </si>
  <si>
    <t>⑥</t>
  </si>
  <si>
    <t>⑦</t>
  </si>
  <si>
    <t>⑧</t>
  </si>
  <si>
    <t>⑨</t>
  </si>
  <si>
    <t>⑩</t>
  </si>
  <si>
    <t>⑪</t>
  </si>
  <si>
    <t>⑫</t>
  </si>
  <si>
    <t>⑬</t>
  </si>
  <si>
    <t>⑭</t>
  </si>
  <si>
    <t>昭和</t>
    <rPh sb="0" eb="2">
      <t>ショウワ</t>
    </rPh>
    <phoneticPr fontId="3"/>
  </si>
  <si>
    <t>平成</t>
    <rPh sb="0" eb="2">
      <t>ヘイセイ</t>
    </rPh>
    <phoneticPr fontId="3"/>
  </si>
  <si>
    <t>第三面　別紙参照</t>
  </si>
  <si>
    <t>第一面別紙参照</t>
  </si>
  <si>
    <t>第一面別紙参照</t>
    <phoneticPr fontId="3"/>
  </si>
  <si>
    <t>【ロ．措置予定の有無】</t>
    <rPh sb="3" eb="7">
      <t>ソチヨテイ</t>
    </rPh>
    <rPh sb="8" eb="10">
      <t>ウム</t>
    </rPh>
    <phoneticPr fontId="3"/>
  </si>
  <si>
    <t>第二面別紙参照</t>
  </si>
  <si>
    <t>無</t>
    <rPh sb="0" eb="1">
      <t>ナシ</t>
    </rPh>
    <phoneticPr fontId="3"/>
  </si>
  <si>
    <t>令和</t>
    <rPh sb="0" eb="2">
      <t>レイワ</t>
    </rPh>
    <phoneticPr fontId="3"/>
  </si>
  <si>
    <t>年</t>
    <rPh sb="0" eb="1">
      <t>ネン</t>
    </rPh>
    <phoneticPr fontId="3"/>
  </si>
  <si>
    <t>建築</t>
    <rPh sb="0" eb="2">
      <t>ケンチク</t>
    </rPh>
    <phoneticPr fontId="3"/>
  </si>
  <si>
    <t>郵便番号</t>
    <phoneticPr fontId="3"/>
  </si>
  <si>
    <t>電話番号</t>
    <phoneticPr fontId="3"/>
  </si>
  <si>
    <t>7(6)</t>
  </si>
  <si>
    <t>7(7)</t>
  </si>
  <si>
    <t>7(8)</t>
  </si>
  <si>
    <t>7(9)</t>
  </si>
  <si>
    <t>7(10)</t>
  </si>
  <si>
    <t>―対象外</t>
    <phoneticPr fontId="3"/>
  </si>
  <si>
    <t>△既存不適格</t>
    <phoneticPr fontId="3"/>
  </si>
  <si>
    <t>×要是正（既存不適格以外）</t>
    <phoneticPr fontId="3"/>
  </si>
  <si>
    <t>○指摘なし</t>
    <phoneticPr fontId="3"/>
  </si>
  <si>
    <t>未来の直近
/月</t>
    <rPh sb="0" eb="2">
      <t>ミライ</t>
    </rPh>
    <rPh sb="3" eb="5">
      <t>チョッキン</t>
    </rPh>
    <rPh sb="7" eb="8">
      <t>ツキ</t>
    </rPh>
    <phoneticPr fontId="3"/>
  </si>
  <si>
    <t>項目番号</t>
    <rPh sb="0" eb="2">
      <t>コウモク</t>
    </rPh>
    <rPh sb="2" eb="4">
      <t>バンゴウ</t>
    </rPh>
    <phoneticPr fontId="3"/>
  </si>
  <si>
    <t>0</t>
    <phoneticPr fontId="3"/>
  </si>
  <si>
    <t>1</t>
    <phoneticPr fontId="3"/>
  </si>
  <si>
    <t>2</t>
    <phoneticPr fontId="3"/>
  </si>
  <si>
    <t>3</t>
    <phoneticPr fontId="3"/>
  </si>
  <si>
    <t>登録</t>
    <rPh sb="0" eb="2">
      <t>トウロク</t>
    </rPh>
    <phoneticPr fontId="3"/>
  </si>
  <si>
    <t>4</t>
    <phoneticPr fontId="3"/>
  </si>
  <si>
    <t>交付年月日</t>
    <rPh sb="0" eb="2">
      <t>コウフ</t>
    </rPh>
    <rPh sb="2" eb="5">
      <t>ネンガッピ</t>
    </rPh>
    <phoneticPr fontId="3"/>
  </si>
  <si>
    <t>完了検査に要した図書</t>
  </si>
  <si>
    <t>交付番号</t>
  </si>
  <si>
    <t>交付者</t>
  </si>
  <si>
    <t>-</t>
    <phoneticPr fontId="3"/>
  </si>
  <si>
    <t>_</t>
    <phoneticPr fontId="3"/>
  </si>
  <si>
    <t>１　報告対象建築物</t>
    <phoneticPr fontId="3"/>
  </si>
  <si>
    <t>未調査</t>
  </si>
  <si>
    <t>自由記入欄</t>
    <rPh sb="0" eb="5">
      <t>ジユウキニュウラン</t>
    </rPh>
    <phoneticPr fontId="3"/>
  </si>
  <si>
    <t>有（飛散防止措置無）か未調査</t>
    <rPh sb="0" eb="1">
      <t>アリ</t>
    </rPh>
    <rPh sb="2" eb="4">
      <t>ヒサン</t>
    </rPh>
    <rPh sb="4" eb="6">
      <t>ボウシ</t>
    </rPh>
    <rPh sb="6" eb="8">
      <t>ソチ</t>
    </rPh>
    <rPh sb="8" eb="9">
      <t>ム</t>
    </rPh>
    <rPh sb="11" eb="14">
      <t>ミチョウサ</t>
    </rPh>
    <phoneticPr fontId="3"/>
  </si>
  <si>
    <t>１５.石綿</t>
    <rPh sb="3" eb="5">
      <t>イシワタ</t>
    </rPh>
    <phoneticPr fontId="3"/>
  </si>
  <si>
    <t>無か未定</t>
    <rPh sb="2" eb="4">
      <t>ミテイ</t>
    </rPh>
    <phoneticPr fontId="3"/>
  </si>
  <si>
    <t>状況</t>
    <rPh sb="0" eb="2">
      <t>ジョウキョウ</t>
    </rPh>
    <phoneticPr fontId="3"/>
  </si>
  <si>
    <t>8</t>
    <phoneticPr fontId="3"/>
  </si>
  <si>
    <t>報告日</t>
    <rPh sb="0" eb="3">
      <t>ホウコクビ</t>
    </rPh>
    <phoneticPr fontId="3"/>
  </si>
  <si>
    <t>報告対象建築物</t>
    <rPh sb="0" eb="2">
      <t>ホウコク</t>
    </rPh>
    <rPh sb="2" eb="4">
      <t>タイショウ</t>
    </rPh>
    <rPh sb="4" eb="7">
      <t>ケンチクブツ</t>
    </rPh>
    <phoneticPr fontId="3"/>
  </si>
  <si>
    <t>ID</t>
    <phoneticPr fontId="3"/>
  </si>
  <si>
    <t>建築名称</t>
    <rPh sb="0" eb="2">
      <t>ケンチク</t>
    </rPh>
    <rPh sb="2" eb="4">
      <t>メイショウ</t>
    </rPh>
    <phoneticPr fontId="3"/>
  </si>
  <si>
    <t>建物所在地</t>
    <rPh sb="0" eb="2">
      <t>タテモノ</t>
    </rPh>
    <rPh sb="2" eb="5">
      <t>ショザイチ</t>
    </rPh>
    <phoneticPr fontId="3"/>
  </si>
  <si>
    <t>区町村</t>
    <rPh sb="0" eb="3">
      <t>クチョウソン</t>
    </rPh>
    <phoneticPr fontId="3"/>
  </si>
  <si>
    <t>報告内容に関する問合せ先</t>
    <rPh sb="0" eb="2">
      <t>ホウコク</t>
    </rPh>
    <rPh sb="2" eb="4">
      <t>ナイヨウ</t>
    </rPh>
    <rPh sb="5" eb="6">
      <t>カン</t>
    </rPh>
    <rPh sb="8" eb="10">
      <t>トイアワ</t>
    </rPh>
    <rPh sb="11" eb="12">
      <t>サキ</t>
    </rPh>
    <phoneticPr fontId="3"/>
  </si>
  <si>
    <t>法人名</t>
    <rPh sb="0" eb="3">
      <t>ホウジンメイ</t>
    </rPh>
    <phoneticPr fontId="3"/>
  </si>
  <si>
    <t>肩書</t>
    <rPh sb="0" eb="2">
      <t>カタガキ</t>
    </rPh>
    <phoneticPr fontId="3"/>
  </si>
  <si>
    <t>氏名</t>
    <rPh sb="0" eb="2">
      <t>シメイ</t>
    </rPh>
    <phoneticPr fontId="3"/>
  </si>
  <si>
    <t>郵便番号</t>
    <rPh sb="0" eb="2">
      <t>ユウビン</t>
    </rPh>
    <rPh sb="2" eb="4">
      <t>バンゴウ</t>
    </rPh>
    <phoneticPr fontId="3"/>
  </si>
  <si>
    <t>電話番号</t>
    <rPh sb="0" eb="2">
      <t>デンワ</t>
    </rPh>
    <rPh sb="2" eb="4">
      <t>バンゴウ</t>
    </rPh>
    <phoneticPr fontId="3"/>
  </si>
  <si>
    <t>所有者</t>
    <rPh sb="0" eb="3">
      <t>ショユウシャ</t>
    </rPh>
    <phoneticPr fontId="3"/>
  </si>
  <si>
    <t>管理者</t>
    <rPh sb="0" eb="3">
      <t>カンリシャ</t>
    </rPh>
    <phoneticPr fontId="3"/>
  </si>
  <si>
    <t>5</t>
    <phoneticPr fontId="3"/>
  </si>
  <si>
    <t>代表となる調査者</t>
    <rPh sb="0" eb="2">
      <t>ダイヒョウ</t>
    </rPh>
    <rPh sb="5" eb="7">
      <t>チョウサ</t>
    </rPh>
    <rPh sb="7" eb="8">
      <t>シャ</t>
    </rPh>
    <phoneticPr fontId="3"/>
  </si>
  <si>
    <t>事務所登録</t>
    <rPh sb="0" eb="3">
      <t>ジムショ</t>
    </rPh>
    <rPh sb="3" eb="5">
      <t>トウロク</t>
    </rPh>
    <phoneticPr fontId="3"/>
  </si>
  <si>
    <t>建築士事務所</t>
    <rPh sb="0" eb="3">
      <t>ケンチクシ</t>
    </rPh>
    <rPh sb="3" eb="6">
      <t>ジムショ</t>
    </rPh>
    <phoneticPr fontId="3"/>
  </si>
  <si>
    <t>郵便番号</t>
    <rPh sb="0" eb="4">
      <t>ユウビンバンゴウ</t>
    </rPh>
    <phoneticPr fontId="3"/>
  </si>
  <si>
    <t>6</t>
    <phoneticPr fontId="3"/>
  </si>
  <si>
    <t>その他の調査者1</t>
    <rPh sb="2" eb="3">
      <t>タ</t>
    </rPh>
    <rPh sb="4" eb="6">
      <t>チョウサ</t>
    </rPh>
    <rPh sb="6" eb="7">
      <t>シャ</t>
    </rPh>
    <phoneticPr fontId="3"/>
  </si>
  <si>
    <t>電話番号</t>
    <rPh sb="0" eb="4">
      <t>デンワバンゴウ</t>
    </rPh>
    <phoneticPr fontId="3"/>
  </si>
  <si>
    <t>7</t>
    <phoneticPr fontId="3"/>
  </si>
  <si>
    <t>その他の調査者2</t>
    <rPh sb="2" eb="3">
      <t>タ</t>
    </rPh>
    <rPh sb="4" eb="6">
      <t>チョウサ</t>
    </rPh>
    <rPh sb="6" eb="7">
      <t>シャ</t>
    </rPh>
    <phoneticPr fontId="3"/>
  </si>
  <si>
    <t>防火地域等</t>
    <rPh sb="0" eb="2">
      <t>ボウカ</t>
    </rPh>
    <rPh sb="2" eb="4">
      <t>チイキ</t>
    </rPh>
    <rPh sb="4" eb="5">
      <t>ナド</t>
    </rPh>
    <phoneticPr fontId="3"/>
  </si>
  <si>
    <t>防火地域等 1</t>
    <rPh sb="0" eb="2">
      <t>ボウカ</t>
    </rPh>
    <rPh sb="2" eb="4">
      <t>チイキ</t>
    </rPh>
    <rPh sb="4" eb="5">
      <t>ナド</t>
    </rPh>
    <phoneticPr fontId="3"/>
  </si>
  <si>
    <t>防火地域等 2</t>
    <rPh sb="0" eb="2">
      <t>ボウカ</t>
    </rPh>
    <rPh sb="2" eb="4">
      <t>チイキ</t>
    </rPh>
    <rPh sb="4" eb="5">
      <t>ナド</t>
    </rPh>
    <phoneticPr fontId="3"/>
  </si>
  <si>
    <t>防火地域等 3</t>
    <rPh sb="0" eb="2">
      <t>ボウカ</t>
    </rPh>
    <rPh sb="2" eb="4">
      <t>チイキ</t>
    </rPh>
    <rPh sb="4" eb="5">
      <t>ナド</t>
    </rPh>
    <phoneticPr fontId="3"/>
  </si>
  <si>
    <t>用途地域 1</t>
    <rPh sb="0" eb="2">
      <t>ヨウト</t>
    </rPh>
    <rPh sb="2" eb="4">
      <t>チイキ</t>
    </rPh>
    <phoneticPr fontId="3"/>
  </si>
  <si>
    <t>用途地域 2</t>
    <rPh sb="0" eb="2">
      <t>ヨウト</t>
    </rPh>
    <rPh sb="2" eb="4">
      <t>チイキ</t>
    </rPh>
    <phoneticPr fontId="3"/>
  </si>
  <si>
    <t>用途地域 3</t>
    <rPh sb="0" eb="2">
      <t>ヨウト</t>
    </rPh>
    <rPh sb="2" eb="4">
      <t>チイキ</t>
    </rPh>
    <phoneticPr fontId="3"/>
  </si>
  <si>
    <t>9</t>
    <phoneticPr fontId="3"/>
  </si>
  <si>
    <t>建物及びその敷地の概要</t>
    <rPh sb="0" eb="2">
      <t>タテモノ</t>
    </rPh>
    <rPh sb="2" eb="3">
      <t>オヨ</t>
    </rPh>
    <rPh sb="6" eb="8">
      <t>シキチ</t>
    </rPh>
    <rPh sb="9" eb="11">
      <t>ガイヨウ</t>
    </rPh>
    <phoneticPr fontId="3"/>
  </si>
  <si>
    <t>構造 1</t>
    <rPh sb="0" eb="2">
      <t>コウゾウ</t>
    </rPh>
    <phoneticPr fontId="3"/>
  </si>
  <si>
    <t>構造 2</t>
    <rPh sb="0" eb="2">
      <t>コウゾウ</t>
    </rPh>
    <phoneticPr fontId="3"/>
  </si>
  <si>
    <t>構造 3</t>
    <rPh sb="0" eb="2">
      <t>コウゾウ</t>
    </rPh>
    <phoneticPr fontId="3"/>
  </si>
  <si>
    <t>階数</t>
    <rPh sb="0" eb="1">
      <t>カイ</t>
    </rPh>
    <rPh sb="1" eb="2">
      <t>スウ</t>
    </rPh>
    <phoneticPr fontId="3"/>
  </si>
  <si>
    <t>建築面積</t>
    <rPh sb="0" eb="2">
      <t>ケンチク</t>
    </rPh>
    <rPh sb="2" eb="4">
      <t>メンセキ</t>
    </rPh>
    <phoneticPr fontId="3"/>
  </si>
  <si>
    <t>10</t>
    <phoneticPr fontId="3"/>
  </si>
  <si>
    <t>性能検証法等の適用</t>
    <rPh sb="0" eb="2">
      <t>セイノウ</t>
    </rPh>
    <rPh sb="2" eb="4">
      <t>ケンショウ</t>
    </rPh>
    <rPh sb="4" eb="5">
      <t>ホウ</t>
    </rPh>
    <rPh sb="5" eb="6">
      <t>ナド</t>
    </rPh>
    <rPh sb="7" eb="9">
      <t>テキヨウ</t>
    </rPh>
    <phoneticPr fontId="3"/>
  </si>
  <si>
    <t>全館避難安全検証法</t>
    <rPh sb="0" eb="2">
      <t>ゼンカン</t>
    </rPh>
    <rPh sb="2" eb="4">
      <t>ヒナン</t>
    </rPh>
    <rPh sb="4" eb="6">
      <t>アンゼン</t>
    </rPh>
    <rPh sb="6" eb="8">
      <t>ケンショウ</t>
    </rPh>
    <rPh sb="8" eb="9">
      <t>ホウ</t>
    </rPh>
    <phoneticPr fontId="3"/>
  </si>
  <si>
    <t>11</t>
    <phoneticPr fontId="3"/>
  </si>
  <si>
    <t>増築、改築、用途変更等の経過</t>
    <rPh sb="0" eb="2">
      <t>ゾウチク</t>
    </rPh>
    <rPh sb="3" eb="5">
      <t>カイチク</t>
    </rPh>
    <rPh sb="6" eb="8">
      <t>ヨウト</t>
    </rPh>
    <rPh sb="8" eb="10">
      <t>ヘンコウ</t>
    </rPh>
    <rPh sb="10" eb="11">
      <t>ナド</t>
    </rPh>
    <rPh sb="12" eb="14">
      <t>ケイカ</t>
    </rPh>
    <phoneticPr fontId="3"/>
  </si>
  <si>
    <t>12</t>
    <phoneticPr fontId="3"/>
  </si>
  <si>
    <t>関連図書の整備</t>
    <rPh sb="0" eb="2">
      <t>カンレン</t>
    </rPh>
    <rPh sb="2" eb="4">
      <t>トショ</t>
    </rPh>
    <rPh sb="5" eb="7">
      <t>セイビ</t>
    </rPh>
    <phoneticPr fontId="3"/>
  </si>
  <si>
    <t>直近の確認申請</t>
    <rPh sb="0" eb="2">
      <t>チョッキン</t>
    </rPh>
    <rPh sb="3" eb="5">
      <t>カクニン</t>
    </rPh>
    <rPh sb="5" eb="7">
      <t>シンセイ</t>
    </rPh>
    <phoneticPr fontId="3"/>
  </si>
  <si>
    <t>交付者</t>
    <rPh sb="0" eb="3">
      <t>コウフシャ</t>
    </rPh>
    <phoneticPr fontId="3"/>
  </si>
  <si>
    <t>検査機関</t>
    <rPh sb="0" eb="2">
      <t>ケンサ</t>
    </rPh>
    <rPh sb="2" eb="4">
      <t>キカン</t>
    </rPh>
    <phoneticPr fontId="3"/>
  </si>
  <si>
    <t>検査済証の有無</t>
    <rPh sb="0" eb="2">
      <t>ケンサ</t>
    </rPh>
    <rPh sb="2" eb="3">
      <t>スミ</t>
    </rPh>
    <rPh sb="3" eb="4">
      <t>ショウ</t>
    </rPh>
    <rPh sb="5" eb="7">
      <t>ウム</t>
    </rPh>
    <phoneticPr fontId="3"/>
  </si>
  <si>
    <t>新築時の確認申請</t>
    <rPh sb="0" eb="3">
      <t>シンチクジ</t>
    </rPh>
    <rPh sb="4" eb="6">
      <t>カクニン</t>
    </rPh>
    <rPh sb="6" eb="8">
      <t>シンセイ</t>
    </rPh>
    <phoneticPr fontId="3"/>
  </si>
  <si>
    <t>-</t>
  </si>
  <si>
    <t>維持管理保全に関する準則又は計画</t>
    <rPh sb="0" eb="2">
      <t>イジ</t>
    </rPh>
    <rPh sb="2" eb="4">
      <t>カンリ</t>
    </rPh>
    <rPh sb="4" eb="6">
      <t>ホゼン</t>
    </rPh>
    <rPh sb="7" eb="8">
      <t>カン</t>
    </rPh>
    <rPh sb="10" eb="11">
      <t>ジュン</t>
    </rPh>
    <rPh sb="11" eb="12">
      <t>ソク</t>
    </rPh>
    <rPh sb="12" eb="13">
      <t>マタ</t>
    </rPh>
    <rPh sb="14" eb="16">
      <t>ケイカク</t>
    </rPh>
    <phoneticPr fontId="3"/>
  </si>
  <si>
    <t>13</t>
    <phoneticPr fontId="3"/>
  </si>
  <si>
    <t>備考</t>
    <rPh sb="0" eb="2">
      <t>ビコウ</t>
    </rPh>
    <phoneticPr fontId="3"/>
  </si>
  <si>
    <t>備考（第二面）</t>
    <rPh sb="0" eb="2">
      <t>ビコウ</t>
    </rPh>
    <rPh sb="3" eb="4">
      <t>ダイ</t>
    </rPh>
    <rPh sb="4" eb="6">
      <t>ニメン</t>
    </rPh>
    <phoneticPr fontId="3"/>
  </si>
  <si>
    <t>14</t>
    <phoneticPr fontId="3"/>
  </si>
  <si>
    <t>調査及び検査の状況</t>
    <rPh sb="0" eb="2">
      <t>チョウサ</t>
    </rPh>
    <rPh sb="2" eb="3">
      <t>オヨ</t>
    </rPh>
    <rPh sb="4" eb="6">
      <t>ケンサ</t>
    </rPh>
    <rPh sb="7" eb="9">
      <t>ジョウキョウ</t>
    </rPh>
    <phoneticPr fontId="3"/>
  </si>
  <si>
    <t>今回の調査　実施日</t>
    <rPh sb="0" eb="2">
      <t>コンカイ</t>
    </rPh>
    <rPh sb="3" eb="5">
      <t>チョウサ</t>
    </rPh>
    <rPh sb="6" eb="8">
      <t>ジッシ</t>
    </rPh>
    <rPh sb="8" eb="9">
      <t>ヒ</t>
    </rPh>
    <phoneticPr fontId="3"/>
  </si>
  <si>
    <t>昇降機等の検査</t>
    <rPh sb="0" eb="2">
      <t>ショウコウ</t>
    </rPh>
    <rPh sb="2" eb="3">
      <t>キ</t>
    </rPh>
    <rPh sb="3" eb="4">
      <t>ナド</t>
    </rPh>
    <rPh sb="5" eb="7">
      <t>ケンサ</t>
    </rPh>
    <phoneticPr fontId="3"/>
  </si>
  <si>
    <t>防火設備の検査</t>
    <rPh sb="0" eb="2">
      <t>ボウカ</t>
    </rPh>
    <rPh sb="2" eb="4">
      <t>セツビ</t>
    </rPh>
    <rPh sb="5" eb="7">
      <t>ケンサ</t>
    </rPh>
    <phoneticPr fontId="3"/>
  </si>
  <si>
    <t>15</t>
    <phoneticPr fontId="3"/>
  </si>
  <si>
    <t>石綿を添加した建築材料の調査状況</t>
    <rPh sb="0" eb="2">
      <t>イシワタ</t>
    </rPh>
    <rPh sb="3" eb="5">
      <t>テンカ</t>
    </rPh>
    <rPh sb="7" eb="9">
      <t>ケンチク</t>
    </rPh>
    <rPh sb="9" eb="11">
      <t>ザイリョウ</t>
    </rPh>
    <rPh sb="12" eb="14">
      <t>チョウサ</t>
    </rPh>
    <rPh sb="14" eb="16">
      <t>ジョウキョウ</t>
    </rPh>
    <phoneticPr fontId="3"/>
  </si>
  <si>
    <t>改善予定年月</t>
    <rPh sb="0" eb="2">
      <t>カイゼン</t>
    </rPh>
    <rPh sb="2" eb="4">
      <t>ヨテイ</t>
    </rPh>
    <rPh sb="4" eb="6">
      <t>ネンゲツ</t>
    </rPh>
    <phoneticPr fontId="3"/>
  </si>
  <si>
    <t>月実施予定</t>
    <rPh sb="0" eb="1">
      <t>ツキ</t>
    </rPh>
    <rPh sb="1" eb="3">
      <t>ジッシ</t>
    </rPh>
    <rPh sb="3" eb="5">
      <t>ヨテイ</t>
    </rPh>
    <phoneticPr fontId="3"/>
  </si>
  <si>
    <t>16</t>
    <phoneticPr fontId="3"/>
  </si>
  <si>
    <t>耐震診断及び耐震改修の調査状況</t>
    <rPh sb="0" eb="2">
      <t>タイシン</t>
    </rPh>
    <rPh sb="2" eb="4">
      <t>シンダン</t>
    </rPh>
    <rPh sb="4" eb="5">
      <t>オヨ</t>
    </rPh>
    <rPh sb="6" eb="8">
      <t>タイシン</t>
    </rPh>
    <rPh sb="8" eb="10">
      <t>カイシュウ</t>
    </rPh>
    <rPh sb="11" eb="13">
      <t>チョウサ</t>
    </rPh>
    <rPh sb="13" eb="15">
      <t>ジョウキョウ</t>
    </rPh>
    <phoneticPr fontId="3"/>
  </si>
  <si>
    <t>17</t>
    <phoneticPr fontId="3"/>
  </si>
  <si>
    <t>建築物等に係る不具合等の状況</t>
    <rPh sb="0" eb="2">
      <t>ケンチク</t>
    </rPh>
    <rPh sb="2" eb="3">
      <t>ブツ</t>
    </rPh>
    <rPh sb="3" eb="4">
      <t>ナド</t>
    </rPh>
    <rPh sb="5" eb="6">
      <t>カカワ</t>
    </rPh>
    <rPh sb="7" eb="10">
      <t>フグアイ</t>
    </rPh>
    <rPh sb="10" eb="11">
      <t>ナド</t>
    </rPh>
    <rPh sb="12" eb="14">
      <t>ジョウキョウ</t>
    </rPh>
    <phoneticPr fontId="3"/>
  </si>
  <si>
    <t>不具合等</t>
    <rPh sb="0" eb="3">
      <t>フグアイ</t>
    </rPh>
    <rPh sb="3" eb="4">
      <t>ナド</t>
    </rPh>
    <phoneticPr fontId="3"/>
  </si>
  <si>
    <t>不具合等の記録</t>
    <rPh sb="0" eb="3">
      <t>フグアイ</t>
    </rPh>
    <rPh sb="3" eb="4">
      <t>ナド</t>
    </rPh>
    <rPh sb="5" eb="7">
      <t>キロク</t>
    </rPh>
    <phoneticPr fontId="3"/>
  </si>
  <si>
    <t>不具合等を把握した年月</t>
    <rPh sb="0" eb="3">
      <t>フグアイ</t>
    </rPh>
    <rPh sb="3" eb="4">
      <t>ナド</t>
    </rPh>
    <rPh sb="5" eb="7">
      <t>ハアク</t>
    </rPh>
    <rPh sb="9" eb="11">
      <t>ネンゲツ</t>
    </rPh>
    <phoneticPr fontId="3"/>
  </si>
  <si>
    <t>年（令和）</t>
    <rPh sb="0" eb="1">
      <t>ネン</t>
    </rPh>
    <rPh sb="2" eb="4">
      <t>レイワ</t>
    </rPh>
    <phoneticPr fontId="3"/>
  </si>
  <si>
    <t>改善措置の概要等又は改善の予定がない場合は理由</t>
    <rPh sb="0" eb="2">
      <t>カイゼン</t>
    </rPh>
    <rPh sb="2" eb="4">
      <t>ソチ</t>
    </rPh>
    <rPh sb="5" eb="7">
      <t>ガイヨウ</t>
    </rPh>
    <rPh sb="7" eb="8">
      <t>ナド</t>
    </rPh>
    <rPh sb="8" eb="9">
      <t>マタ</t>
    </rPh>
    <rPh sb="10" eb="12">
      <t>カイゼン</t>
    </rPh>
    <rPh sb="13" eb="15">
      <t>ヨテイ</t>
    </rPh>
    <rPh sb="18" eb="20">
      <t>バアイ</t>
    </rPh>
    <rPh sb="21" eb="23">
      <t>リユウ</t>
    </rPh>
    <phoneticPr fontId="3"/>
  </si>
  <si>
    <t>18</t>
    <phoneticPr fontId="3"/>
  </si>
  <si>
    <t>備考（3）</t>
    <rPh sb="0" eb="2">
      <t>ビコウ</t>
    </rPh>
    <phoneticPr fontId="3"/>
  </si>
  <si>
    <t>19</t>
    <phoneticPr fontId="3"/>
  </si>
  <si>
    <t>外装仕上げ材等について</t>
    <rPh sb="0" eb="2">
      <t>ガイソウ</t>
    </rPh>
    <rPh sb="2" eb="4">
      <t>シア</t>
    </rPh>
    <rPh sb="5" eb="6">
      <t>ザイ</t>
    </rPh>
    <rPh sb="6" eb="7">
      <t>ナド</t>
    </rPh>
    <phoneticPr fontId="3"/>
  </si>
  <si>
    <t>時期：</t>
    <rPh sb="0" eb="2">
      <t>ジキ</t>
    </rPh>
    <phoneticPr fontId="3"/>
  </si>
  <si>
    <t>月に</t>
    <rPh sb="0" eb="1">
      <t>ツキ</t>
    </rPh>
    <phoneticPr fontId="3"/>
  </si>
  <si>
    <t>理由：</t>
    <rPh sb="0" eb="2">
      <t>リユウ</t>
    </rPh>
    <phoneticPr fontId="3"/>
  </si>
  <si>
    <t>設備（法第12条第三項関係など）</t>
    <rPh sb="0" eb="2">
      <t>セツビ</t>
    </rPh>
    <rPh sb="3" eb="4">
      <t>ホウ</t>
    </rPh>
    <rPh sb="4" eb="5">
      <t>ダイ</t>
    </rPh>
    <rPh sb="7" eb="8">
      <t>ジョウ</t>
    </rPh>
    <rPh sb="8" eb="9">
      <t>ダイ</t>
    </rPh>
    <rPh sb="9" eb="10">
      <t>サン</t>
    </rPh>
    <rPh sb="10" eb="11">
      <t>コウ</t>
    </rPh>
    <rPh sb="11" eb="13">
      <t>カンケイ</t>
    </rPh>
    <phoneticPr fontId="3"/>
  </si>
  <si>
    <t>建築設備</t>
    <rPh sb="0" eb="2">
      <t>ケンチク</t>
    </rPh>
    <rPh sb="2" eb="4">
      <t>セツビ</t>
    </rPh>
    <phoneticPr fontId="3"/>
  </si>
  <si>
    <t>設置されている階</t>
    <rPh sb="0" eb="2">
      <t>セッチ</t>
    </rPh>
    <rPh sb="7" eb="8">
      <t>カイ</t>
    </rPh>
    <phoneticPr fontId="3"/>
  </si>
  <si>
    <t>小荷物専用昇降機の有無</t>
    <rPh sb="0" eb="3">
      <t>コニモツ</t>
    </rPh>
    <rPh sb="3" eb="5">
      <t>センヨウ</t>
    </rPh>
    <rPh sb="5" eb="7">
      <t>ショウコウ</t>
    </rPh>
    <rPh sb="7" eb="8">
      <t>キ</t>
    </rPh>
    <rPh sb="9" eb="11">
      <t>ウム</t>
    </rPh>
    <phoneticPr fontId="3"/>
  </si>
  <si>
    <t>自由記入欄</t>
    <rPh sb="0" eb="2">
      <t>ジユウ</t>
    </rPh>
    <rPh sb="2" eb="5">
      <t>キニュウラン</t>
    </rPh>
    <phoneticPr fontId="3"/>
  </si>
  <si>
    <t>1（1）</t>
  </si>
  <si>
    <t>指摘の具体的内容等</t>
    <rPh sb="0" eb="2">
      <t>シテキ</t>
    </rPh>
    <rPh sb="3" eb="6">
      <t>グタイテキ</t>
    </rPh>
    <rPh sb="6" eb="8">
      <t>ナイヨウ</t>
    </rPh>
    <rPh sb="8" eb="9">
      <t>ナド</t>
    </rPh>
    <phoneticPr fontId="3"/>
  </si>
  <si>
    <t>改善策の具体的内容等</t>
    <rPh sb="0" eb="2">
      <t>カイゼン</t>
    </rPh>
    <rPh sb="2" eb="3">
      <t>サク</t>
    </rPh>
    <rPh sb="4" eb="7">
      <t>グタイテキ</t>
    </rPh>
    <rPh sb="7" eb="9">
      <t>ナイヨウ</t>
    </rPh>
    <rPh sb="9" eb="10">
      <t>ナド</t>
    </rPh>
    <phoneticPr fontId="3"/>
  </si>
  <si>
    <t>1（1）</t>
    <phoneticPr fontId="3"/>
  </si>
  <si>
    <t>1（2）</t>
  </si>
  <si>
    <t>1（3）</t>
  </si>
  <si>
    <t>1（4）</t>
  </si>
  <si>
    <t>1（5）</t>
  </si>
  <si>
    <t>1（6）</t>
  </si>
  <si>
    <t>1（7）</t>
  </si>
  <si>
    <t>1（8）</t>
  </si>
  <si>
    <t>1（9）</t>
  </si>
  <si>
    <t>2（1）</t>
    <phoneticPr fontId="3"/>
  </si>
  <si>
    <t>2（2）</t>
  </si>
  <si>
    <t>2（3）</t>
  </si>
  <si>
    <t>2（4）</t>
  </si>
  <si>
    <t>2（5）</t>
  </si>
  <si>
    <t>2（6）</t>
  </si>
  <si>
    <t>2（7）</t>
  </si>
  <si>
    <t>2（8）</t>
  </si>
  <si>
    <t>2（9）</t>
  </si>
  <si>
    <t>2（10）</t>
  </si>
  <si>
    <t>2（11）</t>
  </si>
  <si>
    <t>2（12）</t>
  </si>
  <si>
    <t>2（13）</t>
  </si>
  <si>
    <t>2（14）</t>
  </si>
  <si>
    <t>2（15）</t>
  </si>
  <si>
    <t>2（16）</t>
  </si>
  <si>
    <t>2（17）</t>
  </si>
  <si>
    <t>2（18）</t>
  </si>
  <si>
    <t>3（1）</t>
    <phoneticPr fontId="3"/>
  </si>
  <si>
    <t>3（2）</t>
  </si>
  <si>
    <t>3（3）</t>
  </si>
  <si>
    <t>3（4）</t>
  </si>
  <si>
    <t>3（5）</t>
  </si>
  <si>
    <t>3（6）</t>
  </si>
  <si>
    <t>3（7）</t>
  </si>
  <si>
    <t>3（8）</t>
  </si>
  <si>
    <t>3（9）</t>
  </si>
  <si>
    <t>建築物の内部</t>
    <rPh sb="0" eb="3">
      <t>ケンチクブツ</t>
    </rPh>
    <rPh sb="4" eb="6">
      <t>ナイブ</t>
    </rPh>
    <phoneticPr fontId="3"/>
  </si>
  <si>
    <t>4（1）</t>
    <phoneticPr fontId="3"/>
  </si>
  <si>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</si>
  <si>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</si>
  <si>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</si>
  <si>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</si>
  <si>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</si>
  <si>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</si>
  <si>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</si>
  <si>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</si>
  <si>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</si>
  <si>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</si>
  <si>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</si>
  <si>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</si>
  <si>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</si>
  <si>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</si>
  <si>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</si>
  <si>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</si>
  <si>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</si>
  <si>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</si>
  <si>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</si>
  <si>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</si>
  <si>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</si>
  <si>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</si>
  <si>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</si>
  <si>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</si>
  <si>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</si>
  <si>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</si>
  <si>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</si>
  <si>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</si>
  <si>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</si>
  <si>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</si>
  <si>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</si>
  <si>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</si>
  <si>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</si>
  <si>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</si>
  <si>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</si>
  <si>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</si>
  <si>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</si>
  <si>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</si>
  <si>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</si>
  <si>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</si>
  <si>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</si>
  <si>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</si>
  <si>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</si>
  <si>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</si>
  <si>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5（1）</t>
    <phoneticPr fontId="3"/>
  </si>
  <si>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</si>
  <si>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</si>
  <si>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</si>
  <si>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</si>
  <si>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</si>
  <si>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</si>
  <si>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</si>
  <si>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</si>
  <si>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</si>
  <si>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</si>
  <si>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</si>
  <si>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</si>
  <si>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</si>
  <si>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</si>
  <si>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</si>
  <si>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</si>
  <si>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</si>
  <si>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</si>
  <si>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</si>
  <si>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</si>
  <si>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</si>
  <si>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</si>
  <si>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</si>
  <si>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</si>
  <si>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</si>
  <si>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</si>
  <si>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</si>
  <si>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</si>
  <si>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</si>
  <si>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</si>
  <si>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</si>
  <si>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</si>
  <si>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6（1）</t>
    <phoneticPr fontId="3"/>
  </si>
  <si>
    <t>6（2）</t>
  </si>
  <si>
    <t>6（3）</t>
  </si>
  <si>
    <t>6（4）</t>
  </si>
  <si>
    <t>6（5）</t>
  </si>
  <si>
    <t>6（6）</t>
  </si>
  <si>
    <t>6（7）</t>
  </si>
  <si>
    <t>6（8）</t>
  </si>
  <si>
    <t>6（9）</t>
  </si>
  <si>
    <t>7（1）</t>
    <phoneticPr fontId="3"/>
  </si>
  <si>
    <t>7（2）</t>
  </si>
  <si>
    <t>7（3）</t>
  </si>
  <si>
    <t>7（4）</t>
  </si>
  <si>
    <t>7（5）</t>
  </si>
  <si>
    <t>7（6）</t>
  </si>
  <si>
    <t>7（7）</t>
  </si>
  <si>
    <t>7（8）</t>
  </si>
  <si>
    <t>7（9）</t>
  </si>
  <si>
    <t>7（10）</t>
  </si>
  <si>
    <t>地下1階</t>
  </si>
  <si>
    <t>地下2階</t>
  </si>
  <si>
    <t>地下3階</t>
  </si>
  <si>
    <t>地下4階</t>
  </si>
  <si>
    <t>塔屋 1階</t>
  </si>
  <si>
    <t>塔屋 2階</t>
  </si>
  <si>
    <t>塔屋 3階</t>
  </si>
  <si>
    <t>塔屋 4階</t>
  </si>
  <si>
    <t>塔屋 5階</t>
  </si>
  <si>
    <t>1階</t>
  </si>
  <si>
    <t>2階</t>
  </si>
  <si>
    <t>3階</t>
  </si>
  <si>
    <t>4階</t>
  </si>
  <si>
    <t>5階</t>
  </si>
  <si>
    <t>6階</t>
  </si>
  <si>
    <t>7階</t>
  </si>
  <si>
    <t>8階</t>
  </si>
  <si>
    <t>9階</t>
  </si>
  <si>
    <t>10階</t>
  </si>
  <si>
    <t>11階</t>
  </si>
  <si>
    <t>12階</t>
  </si>
  <si>
    <t>13階</t>
  </si>
  <si>
    <t>14階</t>
  </si>
  <si>
    <t>15階</t>
  </si>
  <si>
    <t>16階</t>
  </si>
  <si>
    <t>17階</t>
  </si>
  <si>
    <t>18階</t>
  </si>
  <si>
    <t>19階</t>
  </si>
  <si>
    <t>20階</t>
  </si>
  <si>
    <t>21階</t>
  </si>
  <si>
    <t>22階</t>
  </si>
  <si>
    <t>23階</t>
  </si>
  <si>
    <t>24階</t>
  </si>
  <si>
    <t>25階</t>
  </si>
  <si>
    <t>26階</t>
  </si>
  <si>
    <t>27階</t>
  </si>
  <si>
    <t>28階</t>
  </si>
  <si>
    <t>29階</t>
  </si>
  <si>
    <t>30階</t>
  </si>
  <si>
    <t>31階</t>
  </si>
  <si>
    <t>32階</t>
  </si>
  <si>
    <t>33階</t>
  </si>
  <si>
    <t>34階</t>
  </si>
  <si>
    <t>35階</t>
  </si>
  <si>
    <t>36階</t>
  </si>
  <si>
    <t>37階</t>
  </si>
  <si>
    <t>38階</t>
  </si>
  <si>
    <t>39階</t>
  </si>
  <si>
    <t>40階</t>
  </si>
  <si>
    <t>41階</t>
  </si>
  <si>
    <t>42階</t>
  </si>
  <si>
    <t>43階</t>
  </si>
  <si>
    <t>44階</t>
  </si>
  <si>
    <t>45階</t>
  </si>
  <si>
    <t>46階</t>
  </si>
  <si>
    <t>47階</t>
  </si>
  <si>
    <t>48階</t>
  </si>
  <si>
    <t>49階</t>
  </si>
  <si>
    <t>50階</t>
  </si>
  <si>
    <t>大分類</t>
  </si>
  <si>
    <t>小分類</t>
  </si>
  <si>
    <t>5</t>
  </si>
  <si>
    <t>6</t>
  </si>
  <si>
    <t>7</t>
  </si>
  <si>
    <t>階別用途別床面積</t>
    <phoneticPr fontId="3"/>
  </si>
  <si>
    <t>別紙に反映されない範囲⇒</t>
    <rPh sb="0" eb="2">
      <t>ベッシ</t>
    </rPh>
    <rPh sb="3" eb="5">
      <t>ハンエイ</t>
    </rPh>
    <rPh sb="9" eb="11">
      <t>ハンイ</t>
    </rPh>
    <phoneticPr fontId="3"/>
  </si>
  <si>
    <t xml:space="preserve">西暦変換
</t>
    <rPh sb="0" eb="2">
      <t>セイレキ</t>
    </rPh>
    <rPh sb="2" eb="4">
      <t>ヘンカン</t>
    </rPh>
    <phoneticPr fontId="3"/>
  </si>
  <si>
    <t>和暦変換（予定は( )付き）</t>
    <rPh sb="0" eb="2">
      <t>ワレキ</t>
    </rPh>
    <rPh sb="2" eb="4">
      <t>ヘンカン</t>
    </rPh>
    <rPh sb="5" eb="7">
      <t>ヨテイ</t>
    </rPh>
    <rPh sb="11" eb="12">
      <t>ツ</t>
    </rPh>
    <phoneticPr fontId="3"/>
  </si>
  <si>
    <t>号</t>
    <rPh sb="0" eb="1">
      <t>ゴウ</t>
    </rPh>
    <phoneticPr fontId="3"/>
  </si>
  <si>
    <t>和暦</t>
    <rPh sb="0" eb="2">
      <t>ワレキ</t>
    </rPh>
    <phoneticPr fontId="3"/>
  </si>
  <si>
    <t>←選択肢にない場合は、直接入力してください。</t>
    <rPh sb="1" eb="4">
      <t>センタクシ</t>
    </rPh>
    <rPh sb="7" eb="9">
      <t>バアイ</t>
    </rPh>
    <rPh sb="11" eb="15">
      <t>チョクセツニュウリョク</t>
    </rPh>
    <phoneticPr fontId="3"/>
  </si>
  <si>
    <t>無合計</t>
    <rPh sb="0" eb="1">
      <t>ナ</t>
    </rPh>
    <rPh sb="1" eb="3">
      <t>ゴウケイ</t>
    </rPh>
    <phoneticPr fontId="3"/>
  </si>
  <si>
    <t>予定なし</t>
    <rPh sb="0" eb="2">
      <t>ヨテイ</t>
    </rPh>
    <phoneticPr fontId="3"/>
  </si>
  <si>
    <t>フリガナ</t>
    <phoneticPr fontId="3"/>
  </si>
  <si>
    <t>法人名</t>
    <rPh sb="0" eb="3">
      <t>ホウジンメイ</t>
    </rPh>
    <phoneticPr fontId="3"/>
  </si>
  <si>
    <t>フリガネ</t>
    <phoneticPr fontId="3"/>
  </si>
  <si>
    <t>肩書</t>
    <rPh sb="0" eb="2">
      <t>カタガキ</t>
    </rPh>
    <phoneticPr fontId="3"/>
  </si>
  <si>
    <t>氏名</t>
    <rPh sb="0" eb="2">
      <t>シメイ</t>
    </rPh>
    <phoneticPr fontId="3"/>
  </si>
  <si>
    <t>指摘の具体的内容等</t>
  </si>
  <si>
    <t>（既存不適格）を付ける</t>
    <rPh sb="1" eb="6">
      <t>キゾンフテキカク</t>
    </rPh>
    <rPh sb="8" eb="9">
      <t>ツ</t>
    </rPh>
    <phoneticPr fontId="3"/>
  </si>
  <si>
    <t>和暦変換（予定は（）付き）の編集</t>
    <rPh sb="0" eb="2">
      <t>ワレキ</t>
    </rPh>
    <rPh sb="2" eb="4">
      <t>ヘンカン</t>
    </rPh>
    <rPh sb="5" eb="7">
      <t>ヨテイ</t>
    </rPh>
    <rPh sb="10" eb="11">
      <t>ツ</t>
    </rPh>
    <rPh sb="14" eb="16">
      <t>ヘンシュウ</t>
    </rPh>
    <phoneticPr fontId="3"/>
  </si>
  <si>
    <t>項目
要是正＆
既存不適格</t>
    <rPh sb="0" eb="2">
      <t>コウモク</t>
    </rPh>
    <rPh sb="3" eb="6">
      <t>ヨウゼセイ</t>
    </rPh>
    <rPh sb="8" eb="13">
      <t>キゾンフテキカク</t>
    </rPh>
    <phoneticPr fontId="3"/>
  </si>
  <si>
    <t>対象外</t>
    <rPh sb="0" eb="3">
      <t>タイショウガイ</t>
    </rPh>
    <phoneticPr fontId="3"/>
  </si>
  <si>
    <t>結合↓</t>
    <rPh sb="0" eb="2">
      <t>ケツゴウ</t>
    </rPh>
    <phoneticPr fontId="3"/>
  </si>
  <si>
    <t>追加集計・別フォーム転記向け（紫）</t>
    <rPh sb="0" eb="2">
      <t>ツイカ</t>
    </rPh>
    <rPh sb="2" eb="4">
      <t>シュウケイ</t>
    </rPh>
    <rPh sb="5" eb="6">
      <t>ベツ</t>
    </rPh>
    <rPh sb="10" eb="13">
      <t>テンキム</t>
    </rPh>
    <rPh sb="15" eb="16">
      <t>ムラサキ</t>
    </rPh>
    <phoneticPr fontId="3"/>
  </si>
  <si>
    <t>国交省調査結果表転記用</t>
    <phoneticPr fontId="3"/>
  </si>
  <si>
    <t>現在不使用</t>
    <rPh sb="0" eb="2">
      <t>ゲンザイ</t>
    </rPh>
    <rPh sb="2" eb="5">
      <t>フシヨウ</t>
    </rPh>
    <phoneticPr fontId="3"/>
  </si>
  <si>
    <t>要是正</t>
    <rPh sb="0" eb="3">
      <t>ヨウゼセイ</t>
    </rPh>
    <phoneticPr fontId="3"/>
  </si>
  <si>
    <t>国交省調査結果表別パターン転記用</t>
    <rPh sb="8" eb="9">
      <t>ベツ</t>
    </rPh>
    <phoneticPr fontId="3"/>
  </si>
  <si>
    <t>郵便番号</t>
    <rPh sb="0" eb="4">
      <t>ユウビンバンゴウ</t>
    </rPh>
    <phoneticPr fontId="3"/>
  </si>
  <si>
    <t>電話番号</t>
    <rPh sb="0" eb="4">
      <t>デンワバンゴウ</t>
    </rPh>
    <phoneticPr fontId="3"/>
  </si>
  <si>
    <t>↓メッセージ補助</t>
    <rPh sb="6" eb="8">
      <t>ホジョ</t>
    </rPh>
    <phoneticPr fontId="3"/>
  </si>
  <si>
    <t>メッセージ補助</t>
    <rPh sb="5" eb="7">
      <t>ホジョ</t>
    </rPh>
    <phoneticPr fontId="3"/>
  </si>
  <si>
    <t>3面5転記基準用</t>
    <rPh sb="1" eb="2">
      <t>メン</t>
    </rPh>
    <rPh sb="3" eb="5">
      <t>テンキ</t>
    </rPh>
    <rPh sb="5" eb="7">
      <t>キジュン</t>
    </rPh>
    <rPh sb="7" eb="8">
      <t>ヨウ</t>
    </rPh>
    <phoneticPr fontId="3"/>
  </si>
  <si>
    <t>↓結合</t>
    <rPh sb="1" eb="3">
      <t>ケツゴウ</t>
    </rPh>
    <phoneticPr fontId="3"/>
  </si>
  <si>
    <t>5,6,7 代表となる調査者</t>
    <rPh sb="6" eb="8">
      <t>ダイヒョウ</t>
    </rPh>
    <rPh sb="11" eb="14">
      <t>チョウサシャ</t>
    </rPh>
    <phoneticPr fontId="3"/>
  </si>
  <si>
    <t>8 敷地の位置</t>
    <rPh sb="2" eb="4">
      <t>シキチ</t>
    </rPh>
    <rPh sb="5" eb="7">
      <t>イチ</t>
    </rPh>
    <phoneticPr fontId="3"/>
  </si>
  <si>
    <t>9 建物及びその敷地の概要</t>
    <rPh sb="2" eb="4">
      <t>タテモノ</t>
    </rPh>
    <rPh sb="4" eb="5">
      <t>オヨ</t>
    </rPh>
    <rPh sb="8" eb="10">
      <t>シキチ</t>
    </rPh>
    <rPh sb="11" eb="13">
      <t>ガイヨウ</t>
    </rPh>
    <phoneticPr fontId="3"/>
  </si>
  <si>
    <t>19 外装仕上げ材等について</t>
    <phoneticPr fontId="3"/>
  </si>
  <si>
    <t>17 建築物等に係る不具合等の状況</t>
    <rPh sb="3" eb="5">
      <t>ケンチク</t>
    </rPh>
    <rPh sb="5" eb="6">
      <t>ブツ</t>
    </rPh>
    <rPh sb="6" eb="7">
      <t>ナド</t>
    </rPh>
    <rPh sb="8" eb="9">
      <t>カカワ</t>
    </rPh>
    <rPh sb="10" eb="13">
      <t>フグアイ</t>
    </rPh>
    <rPh sb="13" eb="14">
      <t>ナド</t>
    </rPh>
    <rPh sb="15" eb="17">
      <t>ジョウキョウ</t>
    </rPh>
    <phoneticPr fontId="3"/>
  </si>
  <si>
    <t>改善（予定）年月 状況</t>
    <rPh sb="0" eb="2">
      <t>カイゼン</t>
    </rPh>
    <rPh sb="3" eb="5">
      <t>ヨテイ</t>
    </rPh>
    <rPh sb="6" eb="8">
      <t>ネンゲツ</t>
    </rPh>
    <rPh sb="9" eb="11">
      <t>ジョウキョウ</t>
    </rPh>
    <phoneticPr fontId="3"/>
  </si>
  <si>
    <t>調査者番号（1）は入力不要</t>
    <rPh sb="0" eb="3">
      <t>チョウサシャ</t>
    </rPh>
    <rPh sb="3" eb="5">
      <t>バンゴウ</t>
    </rPh>
    <rPh sb="9" eb="11">
      <t>ニュウリョク</t>
    </rPh>
    <rPh sb="11" eb="13">
      <t>フヨウ</t>
    </rPh>
    <phoneticPr fontId="3"/>
  </si>
  <si>
    <t>調査結果</t>
    <rPh sb="0" eb="2">
      <t>チョウサ</t>
    </rPh>
    <rPh sb="2" eb="4">
      <t>ケッカ</t>
    </rPh>
    <phoneticPr fontId="3"/>
  </si>
  <si>
    <t>措置予定</t>
    <rPh sb="0" eb="2">
      <t>ソチ</t>
    </rPh>
    <rPh sb="2" eb="4">
      <t>ヨテイ</t>
    </rPh>
    <phoneticPr fontId="3"/>
  </si>
  <si>
    <t>22 調査結果</t>
    <rPh sb="3" eb="5">
      <t>チョウサ</t>
    </rPh>
    <rPh sb="5" eb="7">
      <t>ケッカ</t>
    </rPh>
    <phoneticPr fontId="3"/>
  </si>
  <si>
    <t>詳細</t>
    <rPh sb="0" eb="2">
      <t>ショウサイ</t>
    </rPh>
    <phoneticPr fontId="3"/>
  </si>
  <si>
    <t>郵便番号</t>
    <rPh sb="0" eb="4">
      <t>ユウビンバンゴウ</t>
    </rPh>
    <phoneticPr fontId="3"/>
  </si>
  <si>
    <t>電話番号</t>
    <rPh sb="0" eb="2">
      <t>デンワ</t>
    </rPh>
    <rPh sb="2" eb="4">
      <t>バンゴウ</t>
    </rPh>
    <phoneticPr fontId="3"/>
  </si>
  <si>
    <t>電話番号</t>
    <rPh sb="0" eb="4">
      <t>デンワバンゴウ</t>
    </rPh>
    <phoneticPr fontId="3"/>
  </si>
  <si>
    <t>その他特記事項</t>
  </si>
  <si>
    <t>日付欄完全未入力で14</t>
    <rPh sb="0" eb="2">
      <t>ヒヅケ</t>
    </rPh>
    <rPh sb="2" eb="3">
      <t>ラン</t>
    </rPh>
    <rPh sb="3" eb="5">
      <t>カンゼン</t>
    </rPh>
    <rPh sb="5" eb="8">
      <t>ミニュウリョク</t>
    </rPh>
    <phoneticPr fontId="3"/>
  </si>
  <si>
    <t>外装仕上げ材</t>
    <rPh sb="0" eb="4">
      <t>ガイソウシア</t>
    </rPh>
    <rPh sb="5" eb="6">
      <t>ザイ</t>
    </rPh>
    <phoneticPr fontId="3"/>
  </si>
  <si>
    <t>未使用1</t>
    <rPh sb="0" eb="3">
      <t>ミシヨウ</t>
    </rPh>
    <phoneticPr fontId="3"/>
  </si>
  <si>
    <t>使用2</t>
    <rPh sb="0" eb="2">
      <t>シヨウ</t>
    </rPh>
    <phoneticPr fontId="3"/>
  </si>
  <si>
    <t>実施状況</t>
    <rPh sb="0" eb="4">
      <t>ジッシジョウキョウ</t>
    </rPh>
    <phoneticPr fontId="3"/>
  </si>
  <si>
    <t>２０　設備（法第12条第三項関係など）</t>
  </si>
  <si>
    <t>年月判定用</t>
    <rPh sb="0" eb="2">
      <t>ネンゲツ</t>
    </rPh>
    <rPh sb="2" eb="4">
      <t>ハンテイ</t>
    </rPh>
    <rPh sb="4" eb="5">
      <t>ヨウ</t>
    </rPh>
    <phoneticPr fontId="3"/>
  </si>
  <si>
    <t>報告日和暦連結</t>
    <rPh sb="0" eb="3">
      <t>ホウコクビ</t>
    </rPh>
    <rPh sb="3" eb="5">
      <t>ワレキ</t>
    </rPh>
    <rPh sb="5" eb="7">
      <t>レンケツ</t>
    </rPh>
    <phoneticPr fontId="3"/>
  </si>
  <si>
    <t>平成30年最終日</t>
    <rPh sb="0" eb="2">
      <t>ヘイセイ</t>
    </rPh>
    <rPh sb="4" eb="5">
      <t>ネン</t>
    </rPh>
    <rPh sb="5" eb="8">
      <t>サイシュウビ</t>
    </rPh>
    <phoneticPr fontId="3"/>
  </si>
  <si>
    <t>法第22条区域</t>
    <rPh sb="0" eb="1">
      <t>ホウ</t>
    </rPh>
    <rPh sb="1" eb="2">
      <t>ダイ</t>
    </rPh>
    <rPh sb="4" eb="7">
      <t>ジョウクイキ</t>
    </rPh>
    <phoneticPr fontId="3"/>
  </si>
  <si>
    <t>事務所登録</t>
    <rPh sb="0" eb="3">
      <t>ジムショ</t>
    </rPh>
    <rPh sb="3" eb="5">
      <t>トウロク</t>
    </rPh>
    <phoneticPr fontId="3"/>
  </si>
  <si>
    <t>一級</t>
    <rPh sb="0" eb="2">
      <t>イッキュウ</t>
    </rPh>
    <phoneticPr fontId="3"/>
  </si>
  <si>
    <t>二級</t>
    <rPh sb="0" eb="2">
      <t>ニキュウ</t>
    </rPh>
    <phoneticPr fontId="3"/>
  </si>
  <si>
    <t>鉄筋コンクリート造（RC造）</t>
    <phoneticPr fontId="3"/>
  </si>
  <si>
    <t>鉄骨鉄筋コンクリート造（SRC造）</t>
    <phoneticPr fontId="3"/>
  </si>
  <si>
    <t>10 性能検証法等の適用</t>
    <rPh sb="3" eb="5">
      <t>セイノウ</t>
    </rPh>
    <rPh sb="5" eb="7">
      <t>ケンショウ</t>
    </rPh>
    <rPh sb="7" eb="8">
      <t>ホウ</t>
    </rPh>
    <rPh sb="8" eb="9">
      <t>ナド</t>
    </rPh>
    <rPh sb="10" eb="12">
      <t>テキヨウ</t>
    </rPh>
    <phoneticPr fontId="3"/>
  </si>
  <si>
    <t>適用</t>
    <rPh sb="0" eb="2">
      <t>テキヨウ</t>
    </rPh>
    <phoneticPr fontId="3"/>
  </si>
  <si>
    <t>11 増築、改築、用途変更等の経過</t>
    <rPh sb="3" eb="5">
      <t>ゾウチク</t>
    </rPh>
    <rPh sb="6" eb="8">
      <t>カイチク</t>
    </rPh>
    <rPh sb="9" eb="11">
      <t>ヨウト</t>
    </rPh>
    <rPh sb="11" eb="13">
      <t>ヘンコウ</t>
    </rPh>
    <rPh sb="13" eb="14">
      <t>ナド</t>
    </rPh>
    <rPh sb="15" eb="17">
      <t>ケイカ</t>
    </rPh>
    <phoneticPr fontId="3"/>
  </si>
  <si>
    <t>和暦</t>
    <rPh sb="0" eb="2">
      <t>ワレキ</t>
    </rPh>
    <phoneticPr fontId="3"/>
  </si>
  <si>
    <t>※自由入力可</t>
    <rPh sb="1" eb="5">
      <t>ジユウニュウリョク</t>
    </rPh>
    <rPh sb="5" eb="6">
      <t>カ</t>
    </rPh>
    <phoneticPr fontId="3"/>
  </si>
  <si>
    <t>工事種別</t>
    <rPh sb="0" eb="2">
      <t>コウジ</t>
    </rPh>
    <rPh sb="2" eb="4">
      <t>シュベツ</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</si>
  <si>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</si>
  <si>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</si>
  <si>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</si>
  <si>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</si>
  <si>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模様替え</t>
    <rPh sb="0" eb="3">
      <t>モヨウガ</t>
    </rPh>
    <phoneticPr fontId="3"/>
  </si>
  <si>
    <t>修繕</t>
    <rPh sb="0" eb="2">
      <t>シュウゼン</t>
    </rPh>
    <phoneticPr fontId="3"/>
  </si>
  <si>
    <t>12 関連図書の整備</t>
    <rPh sb="3" eb="7">
      <t>カンレントショ</t>
    </rPh>
    <rPh sb="8" eb="10">
      <t>セイビ</t>
    </rPh>
    <phoneticPr fontId="3"/>
  </si>
  <si>
    <t>確認に要した図書</t>
    <rPh sb="0" eb="2">
      <t>カクニン</t>
    </rPh>
    <rPh sb="3" eb="4">
      <t>ヨウ</t>
    </rPh>
    <rPh sb="6" eb="8">
      <t>トショ</t>
    </rPh>
    <phoneticPr fontId="3"/>
  </si>
  <si>
    <t>確認検証の有無、完了検証の有無</t>
    <rPh sb="0" eb="2">
      <t>カクニン</t>
    </rPh>
    <rPh sb="2" eb="4">
      <t>ケンショウ</t>
    </rPh>
    <rPh sb="5" eb="7">
      <t>ウム</t>
    </rPh>
    <rPh sb="8" eb="10">
      <t>カンリョウ</t>
    </rPh>
    <rPh sb="10" eb="12">
      <t>ケンショウ</t>
    </rPh>
    <rPh sb="13" eb="15">
      <t>ウム</t>
    </rPh>
    <phoneticPr fontId="3"/>
  </si>
  <si>
    <t>前回の調査に関する書類の写し</t>
    <rPh sb="0" eb="2">
      <t>ゼンカイ</t>
    </rPh>
    <rPh sb="3" eb="5">
      <t>チョウサ</t>
    </rPh>
    <rPh sb="6" eb="7">
      <t>カン</t>
    </rPh>
    <rPh sb="9" eb="11">
      <t>ショルイ</t>
    </rPh>
    <rPh sb="12" eb="13">
      <t>ウツ</t>
    </rPh>
    <phoneticPr fontId="3"/>
  </si>
  <si>
    <t>完了検査に要した図書</t>
    <rPh sb="0" eb="2">
      <t>カンリョウ</t>
    </rPh>
    <rPh sb="2" eb="4">
      <t>ケンサ</t>
    </rPh>
    <rPh sb="5" eb="6">
      <t>ヨウ</t>
    </rPh>
    <rPh sb="8" eb="10">
      <t>トショ</t>
    </rPh>
    <phoneticPr fontId="3"/>
  </si>
  <si>
    <t>有</t>
    <rPh sb="0" eb="1">
      <t>ウ</t>
    </rPh>
    <phoneticPr fontId="3"/>
  </si>
  <si>
    <t>無</t>
    <rPh sb="0" eb="1">
      <t>ム</t>
    </rPh>
    <phoneticPr fontId="3"/>
  </si>
  <si>
    <t>和暦</t>
    <rPh sb="0" eb="2">
      <t>ワレキ</t>
    </rPh>
    <phoneticPr fontId="3"/>
  </si>
  <si>
    <t>工事種別</t>
    <rPh sb="0" eb="4">
      <t>コウジシュベツ</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</si>
  <si>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</si>
  <si>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</si>
  <si>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</si>
  <si>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</si>
  <si>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</si>
  <si>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</si>
  <si>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大規模の模様替え</t>
    <rPh sb="0" eb="3">
      <t>ダイキボ</t>
    </rPh>
    <rPh sb="4" eb="7">
      <t>モヨウガ</t>
    </rPh>
    <phoneticPr fontId="3"/>
  </si>
  <si>
    <t>※自由入力可</t>
    <rPh sb="1" eb="6">
      <t>ジユウニュウリョクカ</t>
    </rPh>
    <phoneticPr fontId="3"/>
  </si>
  <si>
    <t>交付者</t>
    <rPh sb="0" eb="3">
      <t>コウフシャ</t>
    </rPh>
    <phoneticPr fontId="3"/>
  </si>
  <si>
    <t>指定確認検査機関</t>
    <rPh sb="0" eb="2">
      <t>シテイ</t>
    </rPh>
    <rPh sb="2" eb="4">
      <t>カクニン</t>
    </rPh>
    <rPh sb="4" eb="6">
      <t>ケンサ</t>
    </rPh>
    <rPh sb="6" eb="8">
      <t>キカン</t>
    </rPh>
    <phoneticPr fontId="3"/>
  </si>
  <si>
    <t>維持管理保全に関する準則又は計画</t>
    <rPh sb="0" eb="2">
      <t>イジ</t>
    </rPh>
    <rPh sb="2" eb="4">
      <t>カンリ</t>
    </rPh>
    <rPh sb="4" eb="6">
      <t>ホゼン</t>
    </rPh>
    <rPh sb="7" eb="8">
      <t>カン</t>
    </rPh>
    <rPh sb="10" eb="11">
      <t>ジュン</t>
    </rPh>
    <rPh sb="11" eb="12">
      <t>ソク</t>
    </rPh>
    <rPh sb="12" eb="13">
      <t>マタ</t>
    </rPh>
    <rPh sb="14" eb="16">
      <t>ケイカク</t>
    </rPh>
    <phoneticPr fontId="3"/>
  </si>
  <si>
    <t>14 調査及び検査の状況</t>
    <rPh sb="3" eb="5">
      <t>チョウサ</t>
    </rPh>
    <rPh sb="5" eb="6">
      <t>オヨ</t>
    </rPh>
    <rPh sb="7" eb="9">
      <t>ケンサ</t>
    </rPh>
    <rPh sb="10" eb="12">
      <t>ジョウキョウ</t>
    </rPh>
    <phoneticPr fontId="3"/>
  </si>
  <si>
    <t>実施</t>
    <rPh sb="0" eb="2">
      <t>ジッシ</t>
    </rPh>
    <phoneticPr fontId="3"/>
  </si>
  <si>
    <t>未実施</t>
    <rPh sb="0" eb="1">
      <t>ミ</t>
    </rPh>
    <rPh sb="1" eb="3">
      <t>ジッシ</t>
    </rPh>
    <phoneticPr fontId="3"/>
  </si>
  <si>
    <t>対象外</t>
    <rPh sb="0" eb="3">
      <t>タイショウガイ</t>
    </rPh>
    <phoneticPr fontId="3"/>
  </si>
  <si>
    <t>平成</t>
    <rPh sb="0" eb="2">
      <t>ヘイセイ</t>
    </rPh>
    <phoneticPr fontId="3"/>
  </si>
  <si>
    <t>令和</t>
    <rPh sb="0" eb="2">
      <t>レイワ</t>
    </rPh>
    <phoneticPr fontId="3"/>
  </si>
  <si>
    <t>16 耐震診断及び耐震改修の調査状況</t>
    <rPh sb="3" eb="5">
      <t>タイシン</t>
    </rPh>
    <rPh sb="5" eb="7">
      <t>シンダン</t>
    </rPh>
    <rPh sb="7" eb="8">
      <t>オヨ</t>
    </rPh>
    <rPh sb="9" eb="11">
      <t>タイシン</t>
    </rPh>
    <rPh sb="11" eb="13">
      <t>カイシュウ</t>
    </rPh>
    <rPh sb="14" eb="16">
      <t>チョウサ</t>
    </rPh>
    <rPh sb="16" eb="18">
      <t>ジョウキョウ</t>
    </rPh>
    <phoneticPr fontId="3"/>
  </si>
  <si>
    <t>耐震診断</t>
    <rPh sb="0" eb="2">
      <t>タイシン</t>
    </rPh>
    <rPh sb="2" eb="4">
      <t>シンダン</t>
    </rPh>
    <phoneticPr fontId="3"/>
  </si>
  <si>
    <t>耐震改修</t>
    <rPh sb="0" eb="2">
      <t>タイシン</t>
    </rPh>
    <rPh sb="2" eb="4">
      <t>カイシュウ</t>
    </rPh>
    <phoneticPr fontId="3"/>
  </si>
  <si>
    <t>不具合等</t>
    <rPh sb="0" eb="3">
      <t>フグアイ</t>
    </rPh>
    <rPh sb="3" eb="4">
      <t>ナド</t>
    </rPh>
    <phoneticPr fontId="3"/>
  </si>
  <si>
    <t>不具合等の記録</t>
    <rPh sb="0" eb="4">
      <t>フグアイナド</t>
    </rPh>
    <rPh sb="5" eb="7">
      <t>キロク</t>
    </rPh>
    <phoneticPr fontId="3"/>
  </si>
  <si>
    <t>※自由入力可</t>
    <rPh sb="0" eb="6">
      <t>コメジユウニュウリョクカ</t>
    </rPh>
    <phoneticPr fontId="3"/>
  </si>
  <si>
    <t>改善の状況</t>
    <rPh sb="0" eb="2">
      <t>カイゼン</t>
    </rPh>
    <rPh sb="3" eb="5">
      <t>ジョウキョウ</t>
    </rPh>
    <phoneticPr fontId="3"/>
  </si>
  <si>
    <t>外装仕上げ材のタイル、石貼り等、モルタル塗り等の使用</t>
    <rPh sb="0" eb="2">
      <t>ガイソウ</t>
    </rPh>
    <rPh sb="2" eb="4">
      <t>シア</t>
    </rPh>
    <rPh sb="5" eb="6">
      <t>ザイ</t>
    </rPh>
    <rPh sb="11" eb="12">
      <t>イシ</t>
    </rPh>
    <rPh sb="12" eb="13">
      <t>ハ</t>
    </rPh>
    <rPh sb="14" eb="15">
      <t>ナド</t>
    </rPh>
    <rPh sb="20" eb="21">
      <t>ヌ</t>
    </rPh>
    <rPh sb="22" eb="23">
      <t>ナド</t>
    </rPh>
    <rPh sb="24" eb="26">
      <t>シヨウ</t>
    </rPh>
    <phoneticPr fontId="3"/>
  </si>
  <si>
    <t>〇　タイル等の外装仕上げ材を使用</t>
    <rPh sb="5" eb="6">
      <t>ナド</t>
    </rPh>
    <rPh sb="7" eb="9">
      <t>ガイソウ</t>
    </rPh>
    <rPh sb="9" eb="11">
      <t>シア</t>
    </rPh>
    <rPh sb="12" eb="13">
      <t>ザイ</t>
    </rPh>
    <rPh sb="14" eb="16">
      <t>シヨウ</t>
    </rPh>
    <phoneticPr fontId="3"/>
  </si>
  <si>
    <t>―　未使用</t>
    <rPh sb="2" eb="5">
      <t>ミシヨウ</t>
    </rPh>
    <phoneticPr fontId="3"/>
  </si>
  <si>
    <t>全面打診等の実施から10年以内</t>
    <rPh sb="0" eb="2">
      <t>ゼンメン</t>
    </rPh>
    <rPh sb="2" eb="4">
      <t>ダシン</t>
    </rPh>
    <rPh sb="4" eb="5">
      <t>トウ</t>
    </rPh>
    <rPh sb="6" eb="8">
      <t>ジッシ</t>
    </rPh>
    <rPh sb="12" eb="13">
      <t>ネン</t>
    </rPh>
    <rPh sb="13" eb="15">
      <t>イナイ</t>
    </rPh>
    <phoneticPr fontId="3"/>
  </si>
  <si>
    <t>今回の定期調査時に全面打診等を実施</t>
    <rPh sb="0" eb="2">
      <t>コンカイ</t>
    </rPh>
    <rPh sb="3" eb="5">
      <t>テイキ</t>
    </rPh>
    <rPh sb="5" eb="7">
      <t>チョウサ</t>
    </rPh>
    <rPh sb="7" eb="8">
      <t>ジ</t>
    </rPh>
    <rPh sb="9" eb="11">
      <t>ゼンメン</t>
    </rPh>
    <rPh sb="11" eb="13">
      <t>ダシン</t>
    </rPh>
    <rPh sb="13" eb="14">
      <t>トウ</t>
    </rPh>
    <rPh sb="15" eb="17">
      <t>ジッシ</t>
    </rPh>
    <phoneticPr fontId="3"/>
  </si>
  <si>
    <t>設置されている箇所</t>
    <rPh sb="7" eb="9">
      <t>カショ</t>
    </rPh>
    <phoneticPr fontId="3"/>
  </si>
  <si>
    <t>全面打診等の実施状況</t>
    <rPh sb="0" eb="2">
      <t>ゼンメン</t>
    </rPh>
    <rPh sb="2" eb="4">
      <t>ダシン</t>
    </rPh>
    <rPh sb="4" eb="5">
      <t>ナド</t>
    </rPh>
    <rPh sb="6" eb="8">
      <t>ジッシ</t>
    </rPh>
    <rPh sb="8" eb="10">
      <t>ジョウキョウ</t>
    </rPh>
    <phoneticPr fontId="3"/>
  </si>
  <si>
    <t>1(10)</t>
    <phoneticPr fontId="3"/>
  </si>
  <si>
    <t>1(11)</t>
    <phoneticPr fontId="3"/>
  </si>
  <si>
    <t>1(12)</t>
    <phoneticPr fontId="3"/>
  </si>
  <si>
    <t>1(13)</t>
    <phoneticPr fontId="3"/>
  </si>
  <si>
    <t>1(14)</t>
    <phoneticPr fontId="3"/>
  </si>
  <si>
    <t>2(19)</t>
    <phoneticPr fontId="3"/>
  </si>
  <si>
    <t>2(21)</t>
    <phoneticPr fontId="3"/>
  </si>
  <si>
    <t>2(22)</t>
    <phoneticPr fontId="3"/>
  </si>
  <si>
    <t>2(23)</t>
    <phoneticPr fontId="3"/>
  </si>
  <si>
    <t>3(10)</t>
    <phoneticPr fontId="3"/>
  </si>
  <si>
    <t>3(11)</t>
    <phoneticPr fontId="3"/>
  </si>
  <si>
    <t>3(12)</t>
    <phoneticPr fontId="3"/>
  </si>
  <si>
    <t>3(13)</t>
    <phoneticPr fontId="3"/>
  </si>
  <si>
    <t>3(14)</t>
    <phoneticPr fontId="3"/>
  </si>
  <si>
    <t>6(10)</t>
    <phoneticPr fontId="3"/>
  </si>
  <si>
    <t>6(11)</t>
    <phoneticPr fontId="3"/>
  </si>
  <si>
    <t>6(12)</t>
    <phoneticPr fontId="3"/>
  </si>
  <si>
    <t>6(13)</t>
    <phoneticPr fontId="3"/>
  </si>
  <si>
    <t>6(14)</t>
    <phoneticPr fontId="3"/>
  </si>
  <si>
    <t>2(20)</t>
    <phoneticPr fontId="3"/>
  </si>
  <si>
    <t>☑</t>
    <phoneticPr fontId="3"/>
  </si>
  <si>
    <t>☐</t>
    <phoneticPr fontId="3"/>
  </si>
  <si>
    <t>4_入力シート【写真】</t>
    <rPh sb="2" eb="4">
      <t>ニュウリョク</t>
    </rPh>
    <rPh sb="8" eb="10">
      <t>シャシン</t>
    </rPh>
    <phoneticPr fontId="3"/>
  </si>
  <si>
    <t>AU113</t>
    <phoneticPr fontId="3"/>
  </si>
  <si>
    <t>A129</t>
    <phoneticPr fontId="3"/>
  </si>
  <si>
    <t>1(10)</t>
  </si>
  <si>
    <t>1(11)</t>
  </si>
  <si>
    <t>1(12)</t>
  </si>
  <si>
    <t>1(13)</t>
  </si>
  <si>
    <t>1(14)</t>
  </si>
  <si>
    <t>改修済</t>
    <rPh sb="0" eb="3">
      <t>カイシュウズ</t>
    </rPh>
    <phoneticPr fontId="3"/>
  </si>
  <si>
    <t>改修済</t>
    <rPh sb="0" eb="2">
      <t>カイシュウ</t>
    </rPh>
    <rPh sb="2" eb="3">
      <t>スミ</t>
    </rPh>
    <phoneticPr fontId="3"/>
  </si>
  <si>
    <t>3(10)</t>
  </si>
  <si>
    <t>3(11)</t>
  </si>
  <si>
    <t>3(12)</t>
  </si>
  <si>
    <t>3(13)</t>
  </si>
  <si>
    <t>3(14)</t>
  </si>
  <si>
    <t>6(10)</t>
  </si>
  <si>
    <t>6(11)</t>
  </si>
  <si>
    <t>6(12)</t>
  </si>
  <si>
    <t>6(13)</t>
  </si>
  <si>
    <t>6(14)</t>
  </si>
  <si>
    <t>（理由：</t>
    <phoneticPr fontId="3"/>
  </si>
  <si>
    <t>適用数</t>
    <rPh sb="0" eb="3">
      <t>テキヨウスウ</t>
    </rPh>
    <phoneticPr fontId="3"/>
  </si>
  <si>
    <t>※調査から3箇月以内の報告が必要です。</t>
    <rPh sb="1" eb="3">
      <t>チョウサ</t>
    </rPh>
    <rPh sb="6" eb="8">
      <t>カゲツ</t>
    </rPh>
    <rPh sb="7" eb="8">
      <t>ゲツ</t>
    </rPh>
    <rPh sb="8" eb="10">
      <t>イナイ</t>
    </rPh>
    <rPh sb="11" eb="13">
      <t>ホウコク</t>
    </rPh>
    <rPh sb="14" eb="16">
      <t>ヒツヨウ</t>
    </rPh>
    <phoneticPr fontId="3"/>
  </si>
  <si>
    <t>いない庁舎者番号を排除</t>
    <rPh sb="3" eb="6">
      <t>チョウシャシャ</t>
    </rPh>
    <rPh sb="6" eb="8">
      <t>バンゴウ</t>
    </rPh>
    <rPh sb="9" eb="11">
      <t>ハイジョ</t>
    </rPh>
    <phoneticPr fontId="3"/>
  </si>
  <si>
    <t>調査者の選任数</t>
    <rPh sb="0" eb="3">
      <t>チョウサシャ</t>
    </rPh>
    <rPh sb="4" eb="7">
      <t>センニンスウ</t>
    </rPh>
    <phoneticPr fontId="3"/>
  </si>
  <si>
    <t>←1だと調査者番号欄は入力不要</t>
    <rPh sb="4" eb="9">
      <t>チョウサシャバンゴウ</t>
    </rPh>
    <rPh sb="9" eb="10">
      <t>ラン</t>
    </rPh>
    <rPh sb="11" eb="13">
      <t>ニュウリョク</t>
    </rPh>
    <rPh sb="13" eb="15">
      <t>フヨウ</t>
    </rPh>
    <phoneticPr fontId="3"/>
  </si>
  <si>
    <t>適用</t>
    <rPh sb="0" eb="2">
      <t>テキヨウ</t>
    </rPh>
    <phoneticPr fontId="3"/>
  </si>
  <si>
    <t>.</t>
    <phoneticPr fontId="3"/>
  </si>
  <si>
    <t>7(11)</t>
  </si>
  <si>
    <t>7(12)</t>
  </si>
  <si>
    <t>7(13)</t>
  </si>
  <si>
    <t>7(14)</t>
  </si>
  <si>
    <t>7(15)</t>
  </si>
  <si>
    <t>法第12条第3項の規定による検査を要する防火設備の有無</t>
    <rPh sb="0" eb="1">
      <t>ダイ</t>
    </rPh>
    <rPh sb="3" eb="4">
      <t>ジョウ</t>
    </rPh>
    <rPh sb="4" eb="5">
      <t>ダイ</t>
    </rPh>
    <rPh sb="6" eb="7">
      <t>コウ</t>
    </rPh>
    <rPh sb="8" eb="10">
      <t>キテイ</t>
    </rPh>
    <rPh sb="13" eb="15">
      <t>ケンサ</t>
    </rPh>
    <rPh sb="16" eb="17">
      <t>ヨウ</t>
    </rPh>
    <rPh sb="19" eb="21">
      <t>ボウカ</t>
    </rPh>
    <rPh sb="21" eb="23">
      <t>セツビ</t>
    </rPh>
    <rPh sb="24" eb="26">
      <t>ウム</t>
    </rPh>
    <phoneticPr fontId="3"/>
  </si>
  <si>
    <t>【イ．防火地域】</t>
    <phoneticPr fontId="3"/>
  </si>
  <si>
    <t>検査済証の有無</t>
    <phoneticPr fontId="3"/>
  </si>
  <si>
    <t>線引き
（現在不使用）</t>
    <rPh sb="5" eb="7">
      <t>ゲンザイ</t>
    </rPh>
    <rPh sb="7" eb="10">
      <t>フシヨウ</t>
    </rPh>
    <phoneticPr fontId="3"/>
  </si>
  <si>
    <t>未定/改善済のみ</t>
    <rPh sb="0" eb="2">
      <t>ミテイ</t>
    </rPh>
    <rPh sb="3" eb="6">
      <t>カイゼンズ</t>
    </rPh>
    <phoneticPr fontId="3"/>
  </si>
  <si>
    <t>既存不適格のみ</t>
    <rPh sb="0" eb="5">
      <t>キゾンフテキカク</t>
    </rPh>
    <phoneticPr fontId="3"/>
  </si>
  <si>
    <t>京都市編集</t>
    <rPh sb="0" eb="3">
      <t>キョウトシ</t>
    </rPh>
    <rPh sb="3" eb="5">
      <t>ヘンシュウ</t>
    </rPh>
    <phoneticPr fontId="3"/>
  </si>
  <si>
    <t>A</t>
  </si>
  <si>
    <t>B</t>
  </si>
  <si>
    <t>C</t>
  </si>
  <si>
    <t>D</t>
  </si>
  <si>
    <t>E</t>
  </si>
  <si>
    <t>F</t>
  </si>
  <si>
    <t>G</t>
  </si>
  <si>
    <t>H</t>
  </si>
  <si>
    <t>I</t>
  </si>
  <si>
    <t>J</t>
  </si>
  <si>
    <t>K</t>
  </si>
  <si>
    <t>1 報告対象建築物</t>
    <phoneticPr fontId="3"/>
  </si>
  <si>
    <t>ID_用途記号</t>
    <rPh sb="3" eb="7">
      <t>ヨウトキゴウ</t>
    </rPh>
    <phoneticPr fontId="3"/>
  </si>
  <si>
    <t>ID_種別番号</t>
    <rPh sb="3" eb="5">
      <t>シュベツ</t>
    </rPh>
    <rPh sb="5" eb="7">
      <t>バンゴウ</t>
    </rPh>
    <phoneticPr fontId="3"/>
  </si>
  <si>
    <t>京都市</t>
    <rPh sb="0" eb="3">
      <t>キョウトシ</t>
    </rPh>
    <phoneticPr fontId="3"/>
  </si>
  <si>
    <t>担当者</t>
    <phoneticPr fontId="3"/>
  </si>
  <si>
    <t>指定なし（都市計画区域外）</t>
    <phoneticPr fontId="3"/>
  </si>
  <si>
    <t>指定なし（市街化調整区域）</t>
    <rPh sb="0" eb="2">
      <t>シテイ</t>
    </rPh>
    <phoneticPr fontId="3"/>
  </si>
  <si>
    <t>シート内リンク→</t>
    <rPh sb="3" eb="4">
      <t>ナイ</t>
    </rPh>
    <phoneticPr fontId="3"/>
  </si>
  <si>
    <t>↑このシート内での移動に利用できるリンクです</t>
    <rPh sb="6" eb="7">
      <t>ナイ</t>
    </rPh>
    <rPh sb="9" eb="11">
      <t>イドウ</t>
    </rPh>
    <rPh sb="12" eb="14">
      <t>リヨウ</t>
    </rPh>
    <phoneticPr fontId="3"/>
  </si>
  <si>
    <t>2(1)</t>
  </si>
  <si>
    <t>2(2)</t>
  </si>
  <si>
    <t>2(3)</t>
  </si>
  <si>
    <t>2(4)</t>
  </si>
  <si>
    <t>2(5)</t>
  </si>
  <si>
    <t>2(6)</t>
  </si>
  <si>
    <t>2(7)</t>
  </si>
  <si>
    <t>2(8)</t>
  </si>
  <si>
    <t>2(9)</t>
  </si>
  <si>
    <t>2(10)</t>
  </si>
  <si>
    <t>2(11)</t>
  </si>
  <si>
    <t>2(12)</t>
  </si>
  <si>
    <t>2(13)</t>
  </si>
  <si>
    <t>2(14)</t>
  </si>
  <si>
    <t>2(15)</t>
  </si>
  <si>
    <t>2(16)</t>
  </si>
  <si>
    <t>2(17)</t>
  </si>
  <si>
    <t>2(18)</t>
  </si>
  <si>
    <t>3(1)</t>
  </si>
  <si>
    <t>3(2)</t>
  </si>
  <si>
    <t>3(3)</t>
  </si>
  <si>
    <t>3(4)</t>
  </si>
  <si>
    <t>3(5)</t>
  </si>
  <si>
    <t>3(6)</t>
  </si>
  <si>
    <t>3(7)</t>
  </si>
  <si>
    <t>3(8)</t>
  </si>
  <si>
    <t>3(9)</t>
  </si>
  <si>
    <t>特定行政庁　京都市長</t>
    <rPh sb="0" eb="2">
      <t>トクテイ</t>
    </rPh>
    <rPh sb="2" eb="5">
      <t>ギョウセイチョウ</t>
    </rPh>
    <rPh sb="6" eb="8">
      <t>キョウト</t>
    </rPh>
    <rPh sb="8" eb="10">
      <t>シチョウ</t>
    </rPh>
    <phoneticPr fontId="3"/>
  </si>
  <si>
    <t>大項目振り分け</t>
  </si>
  <si>
    <t>空白</t>
    <rPh sb="0" eb="2">
      <t>クウハク</t>
    </rPh>
    <phoneticPr fontId="3"/>
  </si>
  <si>
    <t>要是正なし:0、あり:1</t>
    <phoneticPr fontId="3"/>
  </si>
  <si>
    <t>要是正あり</t>
    <phoneticPr fontId="3"/>
  </si>
  <si>
    <t>合計</t>
    <rPh sb="0" eb="2">
      <t>ゴウケイ</t>
    </rPh>
    <phoneticPr fontId="3"/>
  </si>
  <si>
    <t>タイル貼等は手の届く範囲のみであり、今回の定期調査時に打診等を実施</t>
  </si>
  <si>
    <t>タイル貼等は手の届く範囲のみであり、今回の定期調査時に打診等を実施</t>
    <rPh sb="3" eb="4">
      <t>ハ</t>
    </rPh>
    <rPh sb="4" eb="5">
      <t>トウ</t>
    </rPh>
    <rPh sb="6" eb="7">
      <t>テ</t>
    </rPh>
    <rPh sb="8" eb="9">
      <t>トド</t>
    </rPh>
    <rPh sb="10" eb="12">
      <t>ハンイ</t>
    </rPh>
    <rPh sb="18" eb="20">
      <t>コンカイ</t>
    </rPh>
    <rPh sb="21" eb="23">
      <t>テイキ</t>
    </rPh>
    <rPh sb="23" eb="25">
      <t>チョウサ</t>
    </rPh>
    <rPh sb="25" eb="26">
      <t>ジ</t>
    </rPh>
    <rPh sb="27" eb="29">
      <t>ダシン</t>
    </rPh>
    <rPh sb="29" eb="30">
      <t>トウ</t>
    </rPh>
    <rPh sb="31" eb="33">
      <t>ジッシ</t>
    </rPh>
    <phoneticPr fontId="3"/>
  </si>
  <si>
    <t>大分類</t>
    <rPh sb="0" eb="3">
      <t>ダイブンルイ</t>
    </rPh>
    <phoneticPr fontId="3"/>
  </si>
  <si>
    <t>小分類</t>
    <rPh sb="0" eb="3">
      <t>ショウブンルイ</t>
    </rPh>
    <phoneticPr fontId="3"/>
  </si>
  <si>
    <t>用途</t>
    <rPh sb="0" eb="2">
      <t>ヨウト</t>
    </rPh>
    <phoneticPr fontId="3"/>
  </si>
  <si>
    <t>←用途別合計</t>
    <phoneticPr fontId="3"/>
  </si>
  <si>
    <t>　階別床面積、
　延べ床面積</t>
    <rPh sb="3" eb="4">
      <t>ユカ</t>
    </rPh>
    <rPh sb="11" eb="12">
      <t>ユカ</t>
    </rPh>
    <phoneticPr fontId="3"/>
  </si>
  <si>
    <t>←「0」の記入は不要</t>
  </si>
  <si>
    <t xml:space="preserve">
【階別、用途別床面積の入力】</t>
    <rPh sb="2" eb="3">
      <t>カイ</t>
    </rPh>
    <rPh sb="3" eb="4">
      <t>ベツ</t>
    </rPh>
    <rPh sb="5" eb="7">
      <t>ヨウト</t>
    </rPh>
    <rPh sb="7" eb="8">
      <t>ベツ</t>
    </rPh>
    <rPh sb="8" eb="11">
      <t>ユカメンセキ</t>
    </rPh>
    <rPh sb="12" eb="14">
      <t>ニュウリョク</t>
    </rPh>
    <phoneticPr fontId="3"/>
  </si>
  <si>
    <t>【要是正項目の写真添付】</t>
    <rPh sb="1" eb="2">
      <t>ヨウ</t>
    </rPh>
    <rPh sb="2" eb="4">
      <t>ゼセイ</t>
    </rPh>
    <rPh sb="4" eb="6">
      <t>コウモク</t>
    </rPh>
    <rPh sb="7" eb="9">
      <t>シャシン</t>
    </rPh>
    <rPh sb="9" eb="11">
      <t>テンプ</t>
    </rPh>
    <phoneticPr fontId="3"/>
  </si>
  <si>
    <t>↓メモの記入可能</t>
  </si>
  <si>
    <t>【基本情報(調査結果含む）の入力】</t>
    <rPh sb="1" eb="3">
      <t>キホン</t>
    </rPh>
    <rPh sb="3" eb="5">
      <t>ジョウホウ</t>
    </rPh>
    <rPh sb="6" eb="8">
      <t>チョウサ</t>
    </rPh>
    <rPh sb="8" eb="10">
      <t>ケッカ</t>
    </rPh>
    <rPh sb="10" eb="11">
      <t>フク</t>
    </rPh>
    <phoneticPr fontId="3"/>
  </si>
  <si>
    <t>提出日を記入してください。報告書１面右肩に転記されます。</t>
    <rPh sb="19" eb="20">
      <t>カタ</t>
    </rPh>
    <phoneticPr fontId="3"/>
  </si>
  <si>
    <t>←</t>
  </si>
  <si>
    <t>←</t>
    <phoneticPr fontId="3"/>
  </si>
  <si>
    <t>←例　A3-9999</t>
    <rPh sb="1" eb="2">
      <t>レイ</t>
    </rPh>
    <phoneticPr fontId="3"/>
  </si>
  <si>
    <t>確認に要した図書</t>
  </si>
  <si>
    <t>確認済証の有無</t>
  </si>
  <si>
    <t>工事種別</t>
  </si>
  <si>
    <t>交付年月日</t>
  </si>
  <si>
    <t>検査機関</t>
  </si>
  <si>
    <t>検査済証の有無</t>
  </si>
  <si>
    <t>R</t>
    <phoneticPr fontId="3"/>
  </si>
  <si>
    <t>建　築　物</t>
    <rPh sb="0" eb="1">
      <t>ケン</t>
    </rPh>
    <rPh sb="2" eb="3">
      <t>チク</t>
    </rPh>
    <rPh sb="4" eb="5">
      <t>ブツ</t>
    </rPh>
    <phoneticPr fontId="3"/>
  </si>
  <si>
    <r>
      <t>　　　　　　　建物ＩＤ</t>
    </r>
    <r>
      <rPr>
        <sz val="9"/>
        <color indexed="8"/>
        <rFont val="HG丸ｺﾞｼｯｸM-PRO"/>
        <family val="3"/>
        <charset val="128"/>
      </rPr>
      <t xml:space="preserve">
</t>
    </r>
    <r>
      <rPr>
        <sz val="8"/>
        <color indexed="8"/>
        <rFont val="HG丸ｺﾞｼｯｸM-PRO"/>
        <family val="3"/>
        <charset val="128"/>
      </rPr>
      <t/>
    </r>
    <rPh sb="7" eb="9">
      <t>タテモノ</t>
    </rPh>
    <phoneticPr fontId="3"/>
  </si>
  <si>
    <t>建築物名</t>
    <rPh sb="0" eb="3">
      <t>ケンチクブツ</t>
    </rPh>
    <rPh sb="3" eb="4">
      <t>メイ</t>
    </rPh>
    <phoneticPr fontId="3"/>
  </si>
  <si>
    <t>外装仕上材のタイル・石貼り等、
モルタル塗り等の使用</t>
    <rPh sb="0" eb="2">
      <t>ガイソウ</t>
    </rPh>
    <rPh sb="2" eb="5">
      <t>シアゲザイ</t>
    </rPh>
    <rPh sb="10" eb="12">
      <t>イシバ</t>
    </rPh>
    <rPh sb="13" eb="14">
      <t>ナド</t>
    </rPh>
    <rPh sb="20" eb="21">
      <t>ヌ</t>
    </rPh>
    <rPh sb="22" eb="23">
      <t>ナド</t>
    </rPh>
    <rPh sb="24" eb="26">
      <t>シヨウ</t>
    </rPh>
    <phoneticPr fontId="3"/>
  </si>
  <si>
    <t>　設備（法第12条第三項関係など）</t>
    <rPh sb="1" eb="3">
      <t>セツビ</t>
    </rPh>
    <rPh sb="4" eb="5">
      <t>ホウ</t>
    </rPh>
    <rPh sb="5" eb="6">
      <t>ダイ</t>
    </rPh>
    <rPh sb="8" eb="9">
      <t>ジョウ</t>
    </rPh>
    <rPh sb="9" eb="10">
      <t>ダイ</t>
    </rPh>
    <rPh sb="10" eb="12">
      <t>サンコウ</t>
    </rPh>
    <rPh sb="12" eb="14">
      <t>カンケイ</t>
    </rPh>
    <phoneticPr fontId="3"/>
  </si>
  <si>
    <t>随閉防火設備</t>
    <rPh sb="2" eb="4">
      <t>ボウカ</t>
    </rPh>
    <rPh sb="4" eb="6">
      <t>セツビ</t>
    </rPh>
    <phoneticPr fontId="3"/>
  </si>
  <si>
    <t>小荷物専用昇降機</t>
    <rPh sb="0" eb="3">
      <t>コニモツ</t>
    </rPh>
    <rPh sb="3" eb="5">
      <t>センヨウ</t>
    </rPh>
    <rPh sb="5" eb="8">
      <t>ショウコウキ</t>
    </rPh>
    <phoneticPr fontId="3"/>
  </si>
  <si>
    <t>　新築時の確認申請</t>
    <rPh sb="5" eb="7">
      <t>カクニン</t>
    </rPh>
    <rPh sb="7" eb="9">
      <t>シンセイ</t>
    </rPh>
    <phoneticPr fontId="3"/>
  </si>
  <si>
    <t>※欄は事務処理欄ですので何も記入しないでください。</t>
    <phoneticPr fontId="3"/>
  </si>
  <si>
    <t>※備考</t>
    <rPh sb="1" eb="3">
      <t>ビコウ</t>
    </rPh>
    <phoneticPr fontId="3"/>
  </si>
  <si>
    <t>①ID用途面積　　　 　（　　　　　　　　　）㎡</t>
    <phoneticPr fontId="3"/>
  </si>
  <si>
    <t>②建築設備対象面積    （　　　　　　　　　）㎡</t>
    <phoneticPr fontId="3"/>
  </si>
  <si>
    <t>③特殊建築物　　　　 （　　　　　　　　　）㎡　</t>
    <phoneticPr fontId="3"/>
  </si>
  <si>
    <t>※供覧</t>
  </si>
  <si>
    <t>入力</t>
    <rPh sb="0" eb="2">
      <t>ニュウリョク</t>
    </rPh>
    <phoneticPr fontId="3"/>
  </si>
  <si>
    <t>1     2</t>
    <phoneticPr fontId="3"/>
  </si>
  <si>
    <t>受付管理票</t>
    <rPh sb="0" eb="2">
      <t>ウケツケ</t>
    </rPh>
    <rPh sb="2" eb="4">
      <t>カンリ</t>
    </rPh>
    <rPh sb="4" eb="5">
      <t>ヒョウ</t>
    </rPh>
    <phoneticPr fontId="3"/>
  </si>
  <si>
    <t>診断済</t>
  </si>
  <si>
    <t>診断済</t>
    <rPh sb="0" eb="2">
      <t>シンダン</t>
    </rPh>
    <rPh sb="2" eb="3">
      <t>スミ</t>
    </rPh>
    <phoneticPr fontId="3"/>
  </si>
  <si>
    <t>診断済</t>
    <phoneticPr fontId="3"/>
  </si>
  <si>
    <t>報告書等への転記先を示しています（以下、同様です）。</t>
    <rPh sb="3" eb="4">
      <t>トウ</t>
    </rPh>
    <rPh sb="10" eb="11">
      <t>シメ</t>
    </rPh>
    <rPh sb="17" eb="19">
      <t>イカ</t>
    </rPh>
    <rPh sb="20" eb="22">
      <t>ドウヨウ</t>
    </rPh>
    <phoneticPr fontId="3"/>
  </si>
  <si>
    <t>未実施（実施時期未定）</t>
    <rPh sb="0" eb="1">
      <t>ミ</t>
    </rPh>
    <rPh sb="1" eb="3">
      <t>ジッシ</t>
    </rPh>
    <rPh sb="4" eb="6">
      <t>ジッシ</t>
    </rPh>
    <rPh sb="6" eb="8">
      <t>ジキ</t>
    </rPh>
    <rPh sb="8" eb="10">
      <t>ミテイ</t>
    </rPh>
    <phoneticPr fontId="3"/>
  </si>
  <si>
    <t>未実施（実施時期未定）</t>
    <rPh sb="0" eb="3">
      <t>ミジッシ</t>
    </rPh>
    <phoneticPr fontId="3"/>
  </si>
  <si>
    <t>未実施（実施予定あり）</t>
    <rPh sb="0" eb="3">
      <t>ミジッシ</t>
    </rPh>
    <rPh sb="6" eb="8">
      <t>ヨテイ</t>
    </rPh>
    <phoneticPr fontId="3"/>
  </si>
  <si>
    <t>未実施（実施予定あり）</t>
    <rPh sb="0" eb="1">
      <t>ミ</t>
    </rPh>
    <rPh sb="1" eb="3">
      <t>ジッシ</t>
    </rPh>
    <phoneticPr fontId="3"/>
  </si>
  <si>
    <t>対象外</t>
  </si>
  <si>
    <t>【報告書】転記された内容に誤りがないか確認してください。</t>
    <rPh sb="1" eb="4">
      <t>ホウコクショ</t>
    </rPh>
    <rPh sb="5" eb="7">
      <t>テンキ</t>
    </rPh>
    <rPh sb="10" eb="12">
      <t>ナイヨウ</t>
    </rPh>
    <phoneticPr fontId="3"/>
  </si>
  <si>
    <t>建物ID</t>
  </si>
  <si>
    <t>【概要書】転記された内容に誤りがないか確認してください。</t>
    <rPh sb="1" eb="4">
      <t>ガイヨウショ</t>
    </rPh>
    <rPh sb="5" eb="7">
      <t>テンキ</t>
    </rPh>
    <rPh sb="10" eb="12">
      <t>ナイヨウ</t>
    </rPh>
    <phoneticPr fontId="3"/>
  </si>
  <si>
    <t>【調査結果表】転記された内容に誤りがないか確認してください。</t>
    <rPh sb="1" eb="3">
      <t>チョウサ</t>
    </rPh>
    <rPh sb="3" eb="5">
      <t>ケッカ</t>
    </rPh>
    <rPh sb="5" eb="6">
      <t>ヒョウ</t>
    </rPh>
    <rPh sb="7" eb="9">
      <t>テンキ</t>
    </rPh>
    <rPh sb="12" eb="14">
      <t>ナイヨウ</t>
    </rPh>
    <phoneticPr fontId="3"/>
  </si>
  <si>
    <t>１８　備考（任意入力です。入力内容は報告書の第三面6欄に反映されます）</t>
    <rPh sb="22" eb="24">
      <t>ダイサン</t>
    </rPh>
    <rPh sb="24" eb="25">
      <t>メン</t>
    </rPh>
    <phoneticPr fontId="3"/>
  </si>
  <si>
    <t>月に実施</t>
    <rPh sb="0" eb="1">
      <t>ツキ</t>
    </rPh>
    <rPh sb="2" eb="4">
      <t>ジッシ</t>
    </rPh>
    <phoneticPr fontId="3"/>
  </si>
  <si>
    <t>予定</t>
    <phoneticPr fontId="3"/>
  </si>
  <si>
    <t>）</t>
  </si>
  <si>
    <t>その他特記事項
（第一面5欄ニに転記されます）</t>
    <phoneticPr fontId="3"/>
  </si>
  <si>
    <t>別紙による</t>
    <phoneticPr fontId="3"/>
  </si>
  <si>
    <t>【図面】</t>
    <rPh sb="1" eb="3">
      <t>ズメン</t>
    </rPh>
    <phoneticPr fontId="3"/>
  </si>
  <si>
    <t>管理者とは：</t>
  </si>
  <si>
    <t>建物の維持管理について権限を持っている者を指します。清掃等の日常管理のみを行う者ではありませんのでご注意ください。</t>
    <phoneticPr fontId="3"/>
  </si>
  <si>
    <t>←</t>
    <phoneticPr fontId="3"/>
  </si>
  <si>
    <t>その場合、報告書及び概要書には、5.代表となる調査者に入力した勤務先が転記されます。</t>
    <phoneticPr fontId="3"/>
  </si>
  <si>
    <t>代表となる調査者と勤務先が同じ場合、チェックボックスにチェックを入れてください。</t>
    <phoneticPr fontId="3"/>
  </si>
  <si>
    <t>建築士が業として調査・報告を行う場合、建築士事務所登録が必要です。</t>
    <phoneticPr fontId="3"/>
  </si>
  <si>
    <t>調査者が法人に勤務していない場合、調査者の住所を記入してください。</t>
    <phoneticPr fontId="3"/>
  </si>
  <si>
    <t>災害危険区域に指定されている場合その他建築基準法又はそれに基づく命令により地域等の指定がされている場合は、プルダウン選択肢より「その他」を選択し、併せてその内容を記入して下さい。</t>
    <phoneticPr fontId="3"/>
  </si>
  <si>
    <t>敷地が複数の用途地域にまたがるときは、用途地域2・3にも記入してください。</t>
    <phoneticPr fontId="3"/>
  </si>
  <si>
    <t>敷地が複数の地域にまたがるときは、防火地域等2・3にも記入してください。</t>
    <phoneticPr fontId="3"/>
  </si>
  <si>
    <t>該当する全ての構造を記入してください。</t>
    <rPh sb="0" eb="2">
      <t>ガイトウ</t>
    </rPh>
    <rPh sb="4" eb="5">
      <t>スベ</t>
    </rPh>
    <rPh sb="7" eb="9">
      <t>コウゾウ</t>
    </rPh>
    <rPh sb="10" eb="12">
      <t>キニュウ</t>
    </rPh>
    <phoneticPr fontId="3"/>
  </si>
  <si>
    <t>その他構造からなる場合は、プルダウン選択肢より「その他」を選択し、併せて具体的な構造を記入してください。</t>
    <phoneticPr fontId="3"/>
  </si>
  <si>
    <t>建築基準法上の階数で記載してください。
（傾斜地にあるもの、中2階があるもの等は現地の階数表示と異なる場合があります）</t>
    <rPh sb="5" eb="6">
      <t>ジョウ</t>
    </rPh>
    <rPh sb="30" eb="31">
      <t>チュウ</t>
    </rPh>
    <rPh sb="32" eb="33">
      <t>カイ</t>
    </rPh>
    <rPh sb="38" eb="39">
      <t>トウ</t>
    </rPh>
    <phoneticPr fontId="3"/>
  </si>
  <si>
    <t>適用項目がない場合、記入不要です。</t>
    <rPh sb="0" eb="2">
      <t>テキヨウ</t>
    </rPh>
    <rPh sb="2" eb="4">
      <t>コウモク</t>
    </rPh>
    <rPh sb="7" eb="9">
      <t>バアイ</t>
    </rPh>
    <rPh sb="10" eb="12">
      <t>キニュウ</t>
    </rPh>
    <rPh sb="12" eb="14">
      <t>フヨウ</t>
    </rPh>
    <phoneticPr fontId="3"/>
  </si>
  <si>
    <t>有・・・確認に要した図書の全部又は一部がある場合
有(各階平面図のみあり)・・・各階平面図のみがある場合
無・・・確認に要した図書がない場合</t>
    <rPh sb="0" eb="1">
      <t>アリ</t>
    </rPh>
    <rPh sb="22" eb="24">
      <t>バアイ</t>
    </rPh>
    <rPh sb="50" eb="52">
      <t>バアイ</t>
    </rPh>
    <rPh sb="53" eb="54">
      <t>ナ</t>
    </rPh>
    <rPh sb="57" eb="59">
      <t>カクニン</t>
    </rPh>
    <rPh sb="60" eb="61">
      <t>ヨウ</t>
    </rPh>
    <rPh sb="63" eb="65">
      <t>トショ</t>
    </rPh>
    <rPh sb="68" eb="70">
      <t>バアイ</t>
    </rPh>
    <phoneticPr fontId="3"/>
  </si>
  <si>
    <t>今回が初回の調査である場合、対象外にチェックしてください。</t>
    <rPh sb="0" eb="2">
      <t>コンカイ</t>
    </rPh>
    <phoneticPr fontId="3"/>
  </si>
  <si>
    <t>建築基準法第8条第2項に規定する維持保全に関する準則又は計画について記入してください。</t>
    <phoneticPr fontId="3"/>
  </si>
  <si>
    <t>調査が終了した年月日を記入してください。</t>
    <phoneticPr fontId="3"/>
  </si>
  <si>
    <t>新耐震基準の場合、対象外を選択してください。
（昭和56年6月1日以降に新築工事に着手：新耐震基準）</t>
    <phoneticPr fontId="3"/>
  </si>
  <si>
    <t>不具合等とは：</t>
    <rPh sb="0" eb="3">
      <t>フグアイ</t>
    </rPh>
    <rPh sb="3" eb="4">
      <t>トウ</t>
    </rPh>
    <phoneticPr fontId="3"/>
  </si>
  <si>
    <t>報告書の第三面に転記されます。概要書には反映されません。</t>
    <rPh sb="8" eb="10">
      <t>テンキ</t>
    </rPh>
    <rPh sb="15" eb="18">
      <t>ガイヨウショ</t>
    </rPh>
    <rPh sb="20" eb="22">
      <t>ハンエイ</t>
    </rPh>
    <phoneticPr fontId="3"/>
  </si>
  <si>
    <t>タイル・石貼り等は乾式工法によるものを除きます。</t>
    <phoneticPr fontId="3"/>
  </si>
  <si>
    <t>←</t>
    <phoneticPr fontId="3"/>
  </si>
  <si>
    <t>概要書には転記されません。</t>
    <rPh sb="0" eb="3">
      <t>ガイヨウショ</t>
    </rPh>
    <rPh sb="5" eb="7">
      <t>テンキ</t>
    </rPh>
    <phoneticPr fontId="3"/>
  </si>
  <si>
    <t>全面打診等の実施
　　　　　から10年以内</t>
    <phoneticPr fontId="3"/>
  </si>
  <si>
    <t>竣工（改修含む）
　　　　　から10年以内</t>
    <phoneticPr fontId="3"/>
  </si>
  <si>
    <t>第一面５欄・第三面２欄
調査結果表</t>
    <rPh sb="0" eb="2">
      <t>ダイイチ</t>
    </rPh>
    <rPh sb="2" eb="3">
      <t>メン</t>
    </rPh>
    <rPh sb="4" eb="5">
      <t>ラン</t>
    </rPh>
    <rPh sb="6" eb="8">
      <t>ダイサン</t>
    </rPh>
    <rPh sb="8" eb="9">
      <t>メン</t>
    </rPh>
    <rPh sb="10" eb="11">
      <t>ラン</t>
    </rPh>
    <rPh sb="12" eb="14">
      <t>チョウサ</t>
    </rPh>
    <rPh sb="14" eb="16">
      <t>ケッカ</t>
    </rPh>
    <rPh sb="16" eb="17">
      <t>ヒョウ</t>
    </rPh>
    <phoneticPr fontId="3"/>
  </si>
  <si>
    <t>受付管理票にのみ転記されます。
全ての出し入れ口の床面からの高さが50cm以上のものは、「対象外」です。</t>
    <phoneticPr fontId="3"/>
  </si>
  <si>
    <t>第一面５欄ニに転記されます。指摘された事項以外に特に報告すべき事項があれば記入してください。</t>
    <phoneticPr fontId="3"/>
  </si>
  <si>
    <t>注意事項・参考事項等</t>
    <rPh sb="0" eb="2">
      <t>チュウイ</t>
    </rPh>
    <rPh sb="2" eb="4">
      <t>ジコウ</t>
    </rPh>
    <rPh sb="5" eb="7">
      <t>サンコウ</t>
    </rPh>
    <rPh sb="7" eb="9">
      <t>ジコウ</t>
    </rPh>
    <rPh sb="9" eb="10">
      <t>トウ</t>
    </rPh>
    <phoneticPr fontId="3"/>
  </si>
  <si>
    <t>面積区画・高層区画</t>
    <phoneticPr fontId="3"/>
  </si>
  <si>
    <t>異種用途区画</t>
    <phoneticPr fontId="3"/>
  </si>
  <si>
    <t>スパンドレル</t>
    <phoneticPr fontId="3"/>
  </si>
  <si>
    <t>内装制限</t>
    <phoneticPr fontId="3"/>
  </si>
  <si>
    <t>防火区画を構成する床がある場合、調査対象</t>
    <phoneticPr fontId="3"/>
  </si>
  <si>
    <t>防火区画を構成する壁がある場合、調査対象</t>
    <phoneticPr fontId="3"/>
  </si>
  <si>
    <t>（注意事項）
・セルの着色及び各所の注釈を参考に、入力ください。</t>
    <rPh sb="15" eb="17">
      <t>カクショ</t>
    </rPh>
    <phoneticPr fontId="3"/>
  </si>
  <si>
    <r>
      <rPr>
        <u/>
        <sz val="11"/>
        <rFont val="ＭＳ Ｐゴシック"/>
        <family val="3"/>
        <charset val="128"/>
        <scheme val="major"/>
      </rPr>
      <t>前回調査時以降に把握した</t>
    </r>
    <r>
      <rPr>
        <sz val="11"/>
        <rFont val="ＭＳ Ｐゴシック"/>
        <family val="3"/>
        <charset val="128"/>
        <scheme val="major"/>
      </rPr>
      <t>、建築物等に係る不具合等について記入しください。</t>
    </r>
    <phoneticPr fontId="3"/>
  </si>
  <si>
    <r>
      <t>随時閉鎖式の防火設備</t>
    </r>
    <r>
      <rPr>
        <sz val="11"/>
        <rFont val="ＭＳ Ｐゴシック"/>
        <family val="3"/>
        <charset val="128"/>
        <scheme val="major"/>
      </rPr>
      <t>※について、記入してください。
　※　随時閉鎖又は作動をできる防火設備
　　　（防火ダンパーを除く）をいいます（以下、同様です）。</t>
    </r>
    <phoneticPr fontId="3"/>
  </si>
  <si>
    <r>
      <rPr>
        <b/>
        <sz val="11"/>
        <rFont val="ＭＳ Ｐゴシック"/>
        <family val="3"/>
        <charset val="128"/>
        <scheme val="major"/>
      </rPr>
      <t>竪穴区画</t>
    </r>
    <r>
      <rPr>
        <sz val="11"/>
        <rFont val="ＭＳ Ｐゴシック"/>
        <family val="3"/>
        <charset val="128"/>
        <scheme val="major"/>
      </rPr>
      <t xml:space="preserve">
H14/5/31　EV扉遮煙性能の見直し</t>
    </r>
    <phoneticPr fontId="3"/>
  </si>
  <si>
    <t>↓　1つの項目番号に「要是正」や「既存不適格」の指摘内容が複数ある場合、「要是正」について1つ記入し、</t>
    <phoneticPr fontId="3"/>
  </si>
  <si>
    <t>上記１から７で表現できない項目</t>
    <phoneticPr fontId="3"/>
  </si>
  <si>
    <t>国土交通大臣</t>
    <rPh sb="0" eb="2">
      <t>コクド</t>
    </rPh>
    <rPh sb="2" eb="4">
      <t>コウツウ</t>
    </rPh>
    <rPh sb="4" eb="6">
      <t>ダイジン</t>
    </rPh>
    <phoneticPr fontId="1"/>
  </si>
  <si>
    <t>京都府　知事</t>
  </si>
  <si>
    <t>滋賀県　知事</t>
  </si>
  <si>
    <t>大阪府　知事</t>
  </si>
  <si>
    <t>兵庫県　知事</t>
  </si>
  <si>
    <t>奈良県　知事</t>
  </si>
  <si>
    <t>和歌山県知事</t>
  </si>
  <si>
    <t>北海道　知事</t>
  </si>
  <si>
    <t>青森県　知事</t>
  </si>
  <si>
    <t>岩手県　知事</t>
  </si>
  <si>
    <t>宮城県　知事</t>
  </si>
  <si>
    <t>秋田県　知事</t>
  </si>
  <si>
    <t>山形県　知事</t>
  </si>
  <si>
    <t>福島県　知事</t>
  </si>
  <si>
    <t>茨城県　知事</t>
  </si>
  <si>
    <t>栃木県　知事</t>
  </si>
  <si>
    <t>群馬県　知事</t>
  </si>
  <si>
    <t>埼玉県　知事</t>
  </si>
  <si>
    <t>千葉県　知事</t>
  </si>
  <si>
    <t>東京都　知事</t>
  </si>
  <si>
    <t>神奈川県知事</t>
  </si>
  <si>
    <t>新潟県　知事</t>
  </si>
  <si>
    <t>富山県　知事</t>
  </si>
  <si>
    <t>石川県　知事</t>
  </si>
  <si>
    <t>福井県　知事</t>
  </si>
  <si>
    <t>山梨県　知事</t>
  </si>
  <si>
    <t>長野県　知事</t>
  </si>
  <si>
    <t>岐阜県　知事</t>
  </si>
  <si>
    <t>静岡県　知事</t>
  </si>
  <si>
    <t>愛知県　知事</t>
  </si>
  <si>
    <t>三重県　知事</t>
  </si>
  <si>
    <t>鳥取県　知事</t>
  </si>
  <si>
    <t>島根県　知事</t>
  </si>
  <si>
    <t>岡山県　知事</t>
  </si>
  <si>
    <t>広島県　知事</t>
  </si>
  <si>
    <t>山口県　知事</t>
  </si>
  <si>
    <t>徳島県　知事</t>
  </si>
  <si>
    <t>香川県　知事</t>
  </si>
  <si>
    <t>愛媛県　知事</t>
  </si>
  <si>
    <t>高知県　知事</t>
  </si>
  <si>
    <t>福岡県　知事</t>
  </si>
  <si>
    <t>佐賀県　知事</t>
  </si>
  <si>
    <t>長崎県　知事</t>
  </si>
  <si>
    <t>熊本県　知事</t>
  </si>
  <si>
    <t>大分県　知事</t>
  </si>
  <si>
    <t>宮崎県　知事</t>
  </si>
  <si>
    <t>鹿児島県知事</t>
  </si>
  <si>
    <t>沖縄県　知事</t>
  </si>
  <si>
    <t>建築士登録</t>
    <rPh sb="0" eb="3">
      <t>ケンチクシ</t>
    </rPh>
    <rPh sb="3" eb="5">
      <t>トウロク</t>
    </rPh>
    <phoneticPr fontId="3"/>
  </si>
  <si>
    <t>事務所登録</t>
    <rPh sb="0" eb="2">
      <t>ジム</t>
    </rPh>
    <rPh sb="2" eb="3">
      <t>ショ</t>
    </rPh>
    <rPh sb="3" eb="5">
      <t>トウロク</t>
    </rPh>
    <phoneticPr fontId="3"/>
  </si>
  <si>
    <t>京都府</t>
  </si>
  <si>
    <t>滋賀県</t>
  </si>
  <si>
    <t>大阪府</t>
  </si>
  <si>
    <t>兵庫県</t>
  </si>
  <si>
    <t>奈良県</t>
  </si>
  <si>
    <t>和歌山県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</si>
  <si>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</si>
  <si>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</si>
  <si>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</si>
  <si>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</si>
  <si>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</si>
  <si>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</si>
  <si>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</si>
  <si>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</si>
  <si>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</si>
  <si>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</si>
  <si>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</si>
  <si>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</si>
  <si>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</si>
  <si>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</si>
  <si>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</si>
  <si>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</si>
  <si>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</si>
  <si>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</si>
  <si>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</si>
  <si>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</si>
  <si>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</si>
  <si>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</si>
  <si>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</si>
  <si>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</si>
  <si>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</si>
  <si>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</si>
  <si>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</si>
  <si>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</si>
  <si>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</si>
  <si>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</si>
  <si>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</si>
  <si>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</si>
  <si>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</si>
  <si>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</si>
  <si>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</si>
  <si>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</si>
  <si>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</si>
  <si>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</si>
  <si>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</si>
  <si>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</si>
  <si>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</si>
  <si>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 xml:space="preserve">↓プルダウン選択
</t>
    <rPh sb="6" eb="8">
      <t>センタク</t>
    </rPh>
    <phoneticPr fontId="3"/>
  </si>
  <si>
    <t>↓プルダウン選択
　　　（直接入力も可能）</t>
    <rPh sb="6" eb="8">
      <t>センタク</t>
    </rPh>
    <rPh sb="13" eb="15">
      <t>チョクセツ</t>
    </rPh>
    <rPh sb="15" eb="17">
      <t>ニュウリョク</t>
    </rPh>
    <rPh sb="18" eb="20">
      <t>カノウ</t>
    </rPh>
    <phoneticPr fontId="3"/>
  </si>
  <si>
    <t xml:space="preserve">※
</t>
    <phoneticPr fontId="3"/>
  </si>
  <si>
    <t xml:space="preserve">項目間で入力内容のコピー＆ペーストをする場合、
貼り付けの方法によっては、セルの結合が解除されてしまうことがあります。
不具合の原因となりますので、「元に戻す」で貼り付けを一旦キャンセルしていただき、
「値の貼り付け」により貼り付けてください。
</t>
    <rPh sb="0" eb="2">
      <t>コウモク</t>
    </rPh>
    <rPh sb="2" eb="3">
      <t>カン</t>
    </rPh>
    <phoneticPr fontId="3"/>
  </si>
  <si>
    <t>↑「0」「1」「その他」で条件付き書式設定</t>
    <phoneticPr fontId="3"/>
  </si>
  <si>
    <t>定期報告提出チェックシート</t>
    <rPh sb="0" eb="2">
      <t>テイキ</t>
    </rPh>
    <rPh sb="2" eb="4">
      <t>ホウコク</t>
    </rPh>
    <rPh sb="4" eb="6">
      <t>テイシュツ</t>
    </rPh>
    <phoneticPr fontId="3"/>
  </si>
  <si>
    <t>建築物</t>
    <rPh sb="0" eb="3">
      <t>ケンチクブツ</t>
    </rPh>
    <phoneticPr fontId="3"/>
  </si>
  <si>
    <t>　報告に当たり、以下について確認し、チェックを入れたうえで報告書を提出してください。</t>
    <rPh sb="27" eb="30">
      <t>ホウコクショ</t>
    </rPh>
    <rPh sb="31" eb="32">
      <t>ゴ</t>
    </rPh>
    <phoneticPr fontId="72"/>
  </si>
  <si>
    <t>■チェック項目■</t>
    <rPh sb="5" eb="7">
      <t>コウモク</t>
    </rPh>
    <phoneticPr fontId="3"/>
  </si>
  <si>
    <t>入力必要</t>
    <rPh sb="0" eb="2">
      <t>ニュウリョク</t>
    </rPh>
    <rPh sb="2" eb="4">
      <t>ヒツヨウ</t>
    </rPh>
    <phoneticPr fontId="72"/>
  </si>
  <si>
    <t>入力あり</t>
    <rPh sb="0" eb="2">
      <t>ニュウリョク</t>
    </rPh>
    <phoneticPr fontId="72"/>
  </si>
  <si>
    <t>受付チェック用</t>
    <rPh sb="0" eb="2">
      <t>ウケツケ</t>
    </rPh>
    <rPh sb="6" eb="7">
      <t>ヨウ</t>
    </rPh>
    <phoneticPr fontId="72"/>
  </si>
  <si>
    <t>【提出書類の確認】</t>
    <phoneticPr fontId="3"/>
  </si>
  <si>
    <t>　　報告書の正確性の担保、データの処理のため、必ず確認してください。</t>
    <phoneticPr fontId="72"/>
  </si>
  <si>
    <t>　　（入力支援ファイル）</t>
    <rPh sb="3" eb="7">
      <t>ニュウリョクシエン</t>
    </rPh>
    <phoneticPr fontId="3"/>
  </si>
  <si>
    <r>
      <t>① 京都市が公開している</t>
    </r>
    <r>
      <rPr>
        <b/>
        <u/>
        <sz val="12"/>
        <color theme="1"/>
        <rFont val="メイリオ"/>
        <family val="3"/>
        <charset val="128"/>
      </rPr>
      <t>最新の入力支援ファイル</t>
    </r>
    <r>
      <rPr>
        <b/>
        <sz val="12"/>
        <color theme="1"/>
        <rFont val="メイリオ"/>
        <family val="3"/>
        <charset val="128"/>
      </rPr>
      <t>を使用していますか。</t>
    </r>
    <phoneticPr fontId="72"/>
  </si>
  <si>
    <t>② 入力支援ファイルの「入力シート」に、必要事項を全て記入していますか。</t>
    <phoneticPr fontId="72"/>
  </si>
  <si>
    <t>入力不備</t>
    <rPh sb="0" eb="2">
      <t>ニュウリョク</t>
    </rPh>
    <rPh sb="2" eb="4">
      <t>フビ</t>
    </rPh>
    <phoneticPr fontId="72"/>
  </si>
  <si>
    <t>　　　【主な注意点】（記入がないと、報告書の正確性のほか、データの処理にも支障のある項目）</t>
    <rPh sb="4" eb="5">
      <t>オモ</t>
    </rPh>
    <rPh sb="6" eb="9">
      <t>チュウイテン</t>
    </rPh>
    <rPh sb="11" eb="13">
      <t>キニュウ</t>
    </rPh>
    <rPh sb="18" eb="21">
      <t>ホウコクショ</t>
    </rPh>
    <rPh sb="22" eb="25">
      <t>セイカクセイ</t>
    </rPh>
    <rPh sb="37" eb="39">
      <t>シショウ</t>
    </rPh>
    <rPh sb="42" eb="44">
      <t>コウモク</t>
    </rPh>
    <phoneticPr fontId="72"/>
  </si>
  <si>
    <r>
      <t>　　　　</t>
    </r>
    <r>
      <rPr>
        <u/>
        <sz val="12"/>
        <color theme="1"/>
        <rFont val="メイリオ"/>
        <family val="3"/>
        <charset val="128"/>
      </rPr>
      <t>（1_入力シート【基本情報】）</t>
    </r>
    <phoneticPr fontId="72"/>
  </si>
  <si>
    <r>
      <t>　　　　　　②－１　</t>
    </r>
    <r>
      <rPr>
        <b/>
        <u/>
        <sz val="12"/>
        <color theme="1"/>
        <rFont val="メイリオ"/>
        <family val="3"/>
        <charset val="128"/>
      </rPr>
      <t>報告対象となる年</t>
    </r>
    <r>
      <rPr>
        <b/>
        <sz val="12"/>
        <color theme="1"/>
        <rFont val="メイリオ"/>
        <family val="3"/>
        <charset val="128"/>
      </rPr>
      <t>を記入していますか。</t>
    </r>
    <rPh sb="10" eb="12">
      <t>ホウコク</t>
    </rPh>
    <rPh sb="12" eb="14">
      <t>タイショウ</t>
    </rPh>
    <rPh sb="17" eb="18">
      <t>トシ</t>
    </rPh>
    <rPh sb="19" eb="21">
      <t>キニュウ</t>
    </rPh>
    <phoneticPr fontId="72"/>
  </si>
  <si>
    <r>
      <t>　　　　　　②－２　建築物の</t>
    </r>
    <r>
      <rPr>
        <b/>
        <u/>
        <sz val="12"/>
        <color theme="1"/>
        <rFont val="メイリオ"/>
        <family val="3"/>
        <charset val="128"/>
      </rPr>
      <t>ID、名称、所在地</t>
    </r>
    <r>
      <rPr>
        <b/>
        <sz val="12"/>
        <color theme="1"/>
        <rFont val="メイリオ"/>
        <family val="3"/>
        <charset val="128"/>
      </rPr>
      <t>を記入していますか。</t>
    </r>
    <rPh sb="24" eb="26">
      <t>キニュウ</t>
    </rPh>
    <phoneticPr fontId="72"/>
  </si>
  <si>
    <r>
      <t>　　　　　　②－３　</t>
    </r>
    <r>
      <rPr>
        <b/>
        <u/>
        <sz val="12"/>
        <color theme="1"/>
        <rFont val="メイリオ"/>
        <family val="3"/>
        <charset val="128"/>
      </rPr>
      <t>所有者、管理者、調査者</t>
    </r>
    <r>
      <rPr>
        <b/>
        <sz val="12"/>
        <color theme="1"/>
        <rFont val="メイリオ"/>
        <family val="3"/>
        <charset val="128"/>
      </rPr>
      <t>の情報を記入していますか。</t>
    </r>
    <rPh sb="10" eb="13">
      <t>ショユウシャ</t>
    </rPh>
    <rPh sb="14" eb="17">
      <t>カンリシャ</t>
    </rPh>
    <rPh sb="18" eb="21">
      <t>チョウサシャ</t>
    </rPh>
    <rPh sb="22" eb="24">
      <t>ジョウホウ</t>
    </rPh>
    <phoneticPr fontId="72"/>
  </si>
  <si>
    <r>
      <t>　　　　　　②－４　</t>
    </r>
    <r>
      <rPr>
        <b/>
        <u/>
        <sz val="12"/>
        <color theme="1"/>
        <rFont val="メイリオ"/>
        <family val="3"/>
        <charset val="128"/>
      </rPr>
      <t>確認済証、検査済証</t>
    </r>
    <r>
      <rPr>
        <b/>
        <sz val="12"/>
        <color theme="1"/>
        <rFont val="メイリオ"/>
        <family val="3"/>
        <charset val="128"/>
      </rPr>
      <t>の交付年月日等を記入していますか。</t>
    </r>
    <rPh sb="10" eb="12">
      <t>カクニン</t>
    </rPh>
    <rPh sb="12" eb="13">
      <t>スミ</t>
    </rPh>
    <rPh sb="13" eb="14">
      <t>ショウ</t>
    </rPh>
    <rPh sb="15" eb="19">
      <t>ケンズミ</t>
    </rPh>
    <rPh sb="20" eb="22">
      <t>コウフ</t>
    </rPh>
    <rPh sb="22" eb="25">
      <t>ネンガッピ</t>
    </rPh>
    <rPh sb="25" eb="26">
      <t>トウ</t>
    </rPh>
    <rPh sb="27" eb="29">
      <t>キニュウ</t>
    </rPh>
    <phoneticPr fontId="72"/>
  </si>
  <si>
    <r>
      <t>　　　　　　②－５　</t>
    </r>
    <r>
      <rPr>
        <b/>
        <u/>
        <sz val="12"/>
        <color theme="1"/>
        <rFont val="メイリオ"/>
        <family val="3"/>
        <charset val="128"/>
      </rPr>
      <t>調査結果</t>
    </r>
    <r>
      <rPr>
        <b/>
        <sz val="12"/>
        <color theme="1"/>
        <rFont val="メイリオ"/>
        <family val="3"/>
        <charset val="128"/>
      </rPr>
      <t>を記入していますか。</t>
    </r>
    <rPh sb="10" eb="14">
      <t>チョウサケッカ</t>
    </rPh>
    <phoneticPr fontId="72"/>
  </si>
  <si>
    <r>
      <t>　　　　</t>
    </r>
    <r>
      <rPr>
        <u/>
        <sz val="12"/>
        <color theme="1"/>
        <rFont val="メイリオ"/>
        <family val="3"/>
        <charset val="128"/>
      </rPr>
      <t>（2_入力シート【用途面積】）</t>
    </r>
    <phoneticPr fontId="72"/>
  </si>
  <si>
    <r>
      <t>　　　　　　②－６　</t>
    </r>
    <r>
      <rPr>
        <b/>
        <u/>
        <sz val="12"/>
        <color theme="1"/>
        <rFont val="メイリオ"/>
        <family val="3"/>
        <charset val="128"/>
      </rPr>
      <t>各用途</t>
    </r>
    <r>
      <rPr>
        <b/>
        <sz val="12"/>
        <color theme="1"/>
        <rFont val="メイリオ"/>
        <family val="3"/>
        <charset val="128"/>
      </rPr>
      <t>について、</t>
    </r>
    <r>
      <rPr>
        <b/>
        <u/>
        <sz val="12"/>
        <color theme="1"/>
        <rFont val="メイリオ"/>
        <family val="3"/>
        <charset val="128"/>
      </rPr>
      <t>各階</t>
    </r>
    <r>
      <rPr>
        <b/>
        <sz val="12"/>
        <color theme="1"/>
        <rFont val="メイリオ"/>
        <family val="3"/>
        <charset val="128"/>
      </rPr>
      <t>の</t>
    </r>
    <r>
      <rPr>
        <b/>
        <u/>
        <sz val="12"/>
        <color theme="1"/>
        <rFont val="メイリオ"/>
        <family val="3"/>
        <charset val="128"/>
      </rPr>
      <t>床面積</t>
    </r>
    <r>
      <rPr>
        <b/>
        <sz val="12"/>
        <color theme="1"/>
        <rFont val="メイリオ"/>
        <family val="3"/>
        <charset val="128"/>
      </rPr>
      <t>を記入していますか。</t>
    </r>
    <rPh sb="10" eb="13">
      <t>カクヨウト</t>
    </rPh>
    <rPh sb="18" eb="20">
      <t>カクカイ</t>
    </rPh>
    <rPh sb="21" eb="24">
      <t>ユカメンセキ</t>
    </rPh>
    <rPh sb="25" eb="27">
      <t>キニュウ</t>
    </rPh>
    <phoneticPr fontId="72"/>
  </si>
  <si>
    <t>　　（図面）</t>
    <phoneticPr fontId="3"/>
  </si>
  <si>
    <r>
      <t>③ 必要な図面を全て添付していますか（付近見取図、配置図、</t>
    </r>
    <r>
      <rPr>
        <b/>
        <u/>
        <sz val="12"/>
        <color theme="1"/>
        <rFont val="メイリオ"/>
        <family val="3"/>
        <charset val="128"/>
      </rPr>
      <t>各階</t>
    </r>
    <r>
      <rPr>
        <b/>
        <sz val="12"/>
        <color theme="1"/>
        <rFont val="メイリオ"/>
        <family val="3"/>
        <charset val="128"/>
      </rPr>
      <t>平面図）。</t>
    </r>
    <rPh sb="2" eb="4">
      <t>ヒツヨウ</t>
    </rPh>
    <rPh sb="5" eb="7">
      <t>ズメン</t>
    </rPh>
    <rPh sb="8" eb="9">
      <t>スベ</t>
    </rPh>
    <rPh sb="10" eb="12">
      <t>テンプ</t>
    </rPh>
    <rPh sb="19" eb="21">
      <t>フキン</t>
    </rPh>
    <rPh sb="21" eb="24">
      <t>ミトリズ</t>
    </rPh>
    <rPh sb="25" eb="27">
      <t>ハイチ</t>
    </rPh>
    <rPh sb="27" eb="28">
      <t>ズ</t>
    </rPh>
    <rPh sb="29" eb="31">
      <t>カクカイ</t>
    </rPh>
    <rPh sb="31" eb="34">
      <t>ヘイメンズ</t>
    </rPh>
    <phoneticPr fontId="72"/>
  </si>
  <si>
    <t>④ 必要な事項を明瞭に図示していますか
　 （防火区画、防火設備、延焼のおそれのある部分、非常用進入口等。
　　 京都市建築基準法施行細則第２８条別表第６の右欄「明示すべき事項」参照）。</t>
    <rPh sb="2" eb="4">
      <t>ズシ</t>
    </rPh>
    <rPh sb="11" eb="13">
      <t>ボウカ</t>
    </rPh>
    <rPh sb="19" eb="21">
      <t>クカク</t>
    </rPh>
    <rPh sb="22" eb="24">
      <t>セツビ</t>
    </rPh>
    <rPh sb="25" eb="27">
      <t>エンショウ</t>
    </rPh>
    <rPh sb="34" eb="36">
      <t>ブブン</t>
    </rPh>
    <rPh sb="37" eb="40">
      <t>ヒジョウヨウ</t>
    </rPh>
    <rPh sb="40" eb="42">
      <t>シンニュウ</t>
    </rPh>
    <rPh sb="42" eb="44">
      <t>グチナド</t>
    </rPh>
    <rPh sb="51" eb="54">
      <t>キョウトシケンチク</t>
    </rPh>
    <rPh sb="57" eb="59">
      <t>シコウ</t>
    </rPh>
    <rPh sb="59" eb="61">
      <t>サイソク</t>
    </rPh>
    <rPh sb="61" eb="62">
      <t>ダイ</t>
    </rPh>
    <rPh sb="64" eb="65">
      <t>ジョウ</t>
    </rPh>
    <rPh sb="65" eb="67">
      <t>ベッピョウ</t>
    </rPh>
    <rPh sb="67" eb="68">
      <t>ダイ</t>
    </rPh>
    <rPh sb="70" eb="72">
      <t>ウラン</t>
    </rPh>
    <rPh sb="73" eb="75">
      <t>メイジ</t>
    </rPh>
    <rPh sb="78" eb="80">
      <t>ジコウ</t>
    </rPh>
    <rPh sb="81" eb="83">
      <t>サンショウ</t>
    </rPh>
    <phoneticPr fontId="72"/>
  </si>
  <si>
    <t>【調査結果等に関する説明等】</t>
    <rPh sb="1" eb="3">
      <t>チョウサ</t>
    </rPh>
    <rPh sb="3" eb="5">
      <t>ケッカ</t>
    </rPh>
    <rPh sb="5" eb="6">
      <t>トウ</t>
    </rPh>
    <rPh sb="7" eb="8">
      <t>カン</t>
    </rPh>
    <rPh sb="10" eb="12">
      <t>セツメイ</t>
    </rPh>
    <rPh sb="12" eb="13">
      <t>トウ</t>
    </rPh>
    <phoneticPr fontId="3"/>
  </si>
  <si>
    <t>　　調査の結果について、調査者等から所有者又は管理者への説明を実施してください。
　　　※「要是正」「既存不適格」等の指摘事項がある場合、建築物の利用者等に危険が及ぶ可能性もあります。
　　　　　所有者又は管理者は、今後の対応について、十分に検討してください。</t>
    <phoneticPr fontId="72"/>
  </si>
  <si>
    <t>　　（全般）</t>
    <rPh sb="3" eb="5">
      <t>ゼンパン</t>
    </rPh>
    <phoneticPr fontId="3"/>
  </si>
  <si>
    <t>⑤ 所有者又は管理者は、調査者等から説明を受け、調査結果等の報告書の内容について、十分理解していますか。</t>
    <rPh sb="41" eb="43">
      <t>ジュウブン</t>
    </rPh>
    <rPh sb="43" eb="45">
      <t>リカイ</t>
    </rPh>
    <phoneticPr fontId="72"/>
  </si>
  <si>
    <t>　　（「要是正」「既存不適格」に該当する項目について）</t>
    <phoneticPr fontId="72"/>
  </si>
  <si>
    <t>⑥ 「要是正」「既存不適格」に該当する項目がありますか。</t>
    <rPh sb="3" eb="4">
      <t>ヨウ</t>
    </rPh>
    <rPh sb="4" eb="6">
      <t>ゼセイ</t>
    </rPh>
    <rPh sb="8" eb="10">
      <t>キソン</t>
    </rPh>
    <rPh sb="10" eb="13">
      <t>フテキカク</t>
    </rPh>
    <rPh sb="15" eb="17">
      <t>ガイトウ</t>
    </rPh>
    <rPh sb="19" eb="21">
      <t>コウモク</t>
    </rPh>
    <phoneticPr fontId="72"/>
  </si>
  <si>
    <t>　　⑥－１ 所有者又は管理者は、調査者等から説明を受け、報告書記載の「要是正」「既存不適格」に対する改善策
　　　　　　その他の今後必要となる対応等（※）について、十分理解していますか。</t>
    <rPh sb="16" eb="19">
      <t>チョウサシャ</t>
    </rPh>
    <rPh sb="19" eb="20">
      <t>トウ</t>
    </rPh>
    <rPh sb="22" eb="24">
      <t>セツメイ</t>
    </rPh>
    <rPh sb="25" eb="26">
      <t>ウ</t>
    </rPh>
    <rPh sb="28" eb="31">
      <t>ホウコクショ</t>
    </rPh>
    <rPh sb="31" eb="33">
      <t>キサイ</t>
    </rPh>
    <rPh sb="35" eb="36">
      <t>ヨウ</t>
    </rPh>
    <rPh sb="36" eb="38">
      <t>ゼセイ</t>
    </rPh>
    <rPh sb="40" eb="42">
      <t>キソン</t>
    </rPh>
    <rPh sb="42" eb="45">
      <t>フテキカク</t>
    </rPh>
    <rPh sb="47" eb="48">
      <t>タイ</t>
    </rPh>
    <rPh sb="52" eb="53">
      <t>サク</t>
    </rPh>
    <rPh sb="62" eb="63">
      <t>タ</t>
    </rPh>
    <phoneticPr fontId="72"/>
  </si>
  <si>
    <t>　　　※「既存不適格」以外の「要是正」については、改善計画／完了報告書の提出を含みます。</t>
    <rPh sb="11" eb="13">
      <t>イガイ</t>
    </rPh>
    <rPh sb="25" eb="27">
      <t>カイゼン</t>
    </rPh>
    <rPh sb="27" eb="29">
      <t>ケイカク</t>
    </rPh>
    <rPh sb="30" eb="32">
      <t>カンリョウ</t>
    </rPh>
    <rPh sb="32" eb="35">
      <t>ホウコクショ</t>
    </rPh>
    <rPh sb="36" eb="38">
      <t>テイシュツ</t>
    </rPh>
    <rPh sb="39" eb="40">
      <t>フク</t>
    </rPh>
    <phoneticPr fontId="72"/>
  </si>
  <si>
    <t>　（石綿について）</t>
    <rPh sb="2" eb="4">
      <t>セキメン</t>
    </rPh>
    <phoneticPr fontId="3"/>
  </si>
  <si>
    <t>⑦ 石綿を添加した建築材料が使用されていますか。</t>
    <rPh sb="14" eb="16">
      <t>シヨウ</t>
    </rPh>
    <phoneticPr fontId="72"/>
  </si>
  <si>
    <t>　　⑦－１ 所有者又は管理者は、調査者等から説明を受け、
　　　　　　石綿の使用状況、危険性、対応の必要性について、十分理解していますか。</t>
    <phoneticPr fontId="72"/>
  </si>
  <si>
    <t>　（耐震性能について）</t>
    <rPh sb="2" eb="4">
      <t>タイシン</t>
    </rPh>
    <rPh sb="4" eb="6">
      <t>セイノウ</t>
    </rPh>
    <phoneticPr fontId="3"/>
  </si>
  <si>
    <t>⑧ 現行の耐震関係規定に適合していますか（適 又は 否（既存不適格））。</t>
    <rPh sb="2" eb="4">
      <t>ゲンコウ</t>
    </rPh>
    <rPh sb="5" eb="7">
      <t>タイシン</t>
    </rPh>
    <rPh sb="7" eb="9">
      <t>カンケイ</t>
    </rPh>
    <rPh sb="9" eb="11">
      <t>キテイ</t>
    </rPh>
    <rPh sb="12" eb="14">
      <t>テキゴウ</t>
    </rPh>
    <rPh sb="21" eb="22">
      <t>テキ</t>
    </rPh>
    <rPh sb="23" eb="24">
      <t>マタ</t>
    </rPh>
    <rPh sb="26" eb="27">
      <t>イナ</t>
    </rPh>
    <rPh sb="28" eb="33">
      <t>キゾンフテキカク</t>
    </rPh>
    <phoneticPr fontId="72"/>
  </si>
  <si>
    <t>まとめ</t>
    <phoneticPr fontId="72"/>
  </si>
  <si>
    <t>【チェックシート】</t>
    <phoneticPr fontId="3"/>
  </si>
  <si>
    <t>【受付管理票】</t>
    <rPh sb="1" eb="6">
      <t>ウケツケカンリヒョウ</t>
    </rPh>
    <phoneticPr fontId="3"/>
  </si>
  <si>
    <t>　なお、報告書の内容について確認を要する場合、京都市から所有者・管理者の方に直接、連絡する場合があります。</t>
    <rPh sb="28" eb="31">
      <t>ショユウシャ</t>
    </rPh>
    <rPh sb="32" eb="35">
      <t>カンリシャ</t>
    </rPh>
    <rPh sb="36" eb="37">
      <t>カタ</t>
    </rPh>
    <phoneticPr fontId="72"/>
  </si>
  <si>
    <t>チェックシート</t>
  </si>
  <si>
    <t>参照先シート</t>
    <rPh sb="0" eb="2">
      <t>サンショウ</t>
    </rPh>
    <rPh sb="2" eb="3">
      <t>サキ</t>
    </rPh>
    <phoneticPr fontId="3"/>
  </si>
  <si>
    <t>参照先セル</t>
    <rPh sb="0" eb="2">
      <t>サンショウ</t>
    </rPh>
    <rPh sb="2" eb="3">
      <t>サキ</t>
    </rPh>
    <phoneticPr fontId="3"/>
  </si>
  <si>
    <t>A1</t>
    <phoneticPr fontId="3"/>
  </si>
  <si>
    <t>表示名</t>
    <rPh sb="0" eb="2">
      <t>ヒョウジ</t>
    </rPh>
    <rPh sb="2" eb="3">
      <t>メイ</t>
    </rPh>
    <phoneticPr fontId="3"/>
  </si>
  <si>
    <t>（注意事項）
・図面は、このExcelファイルとは別に、PDF形式で
　1つのファイルにまとめて添付してください。</t>
    <rPh sb="1" eb="3">
      <t>チュウイ</t>
    </rPh>
    <rPh sb="3" eb="5">
      <t>ジコウ</t>
    </rPh>
    <rPh sb="8" eb="10">
      <t>ズメン</t>
    </rPh>
    <rPh sb="25" eb="26">
      <t>ベツ</t>
    </rPh>
    <rPh sb="31" eb="33">
      <t>ケイシキ</t>
    </rPh>
    <rPh sb="48" eb="50">
      <t>テンプ</t>
    </rPh>
    <phoneticPr fontId="3"/>
  </si>
  <si>
    <t>1_入力シート【基本情報】</t>
  </si>
  <si>
    <t>2_入力シート【用途面積】</t>
  </si>
  <si>
    <t>3_入力シート【写真】</t>
  </si>
  <si>
    <t>＜別途添付要＞図面</t>
  </si>
  <si>
    <t>＜入力不要＞報告書</t>
  </si>
  <si>
    <t>＜入力不要＞概要書</t>
  </si>
  <si>
    <t>＜入力不要＞調査結果表</t>
  </si>
  <si>
    <t>注意事項</t>
  </si>
  <si>
    <t>●</t>
    <phoneticPr fontId="3"/>
  </si>
  <si>
    <t>▲</t>
  </si>
  <si>
    <t>▲</t>
    <phoneticPr fontId="3"/>
  </si>
  <si>
    <t>＜入力不要＞受付管理票</t>
    <phoneticPr fontId="3"/>
  </si>
  <si>
    <t>非表示</t>
    <rPh sb="0" eb="3">
      <t>ヒヒョウジ</t>
    </rPh>
    <phoneticPr fontId="3"/>
  </si>
  <si>
    <t>・調査及び報告書の作成の前に、まず、このシートのチェック項目を確認してください。
・報告書の提出に当たり、改めて確認し、チェックを入れて提出してください。</t>
    <rPh sb="12" eb="13">
      <t>マエ</t>
    </rPh>
    <phoneticPr fontId="3"/>
  </si>
  <si>
    <t>(注意事項)
　以下の内容について、
　・調査及び報告書の作成の前に、まず、チェック項目を確認してください。
　・報告書の提出に当たり、改めて確認し、チェックを入れて提出してください。</t>
    <rPh sb="72" eb="75">
      <t>ホウコクショ</t>
    </rPh>
    <rPh sb="76" eb="78">
      <t>テイシュツ</t>
    </rPh>
    <rPh sb="79" eb="80">
      <t>ア</t>
    </rPh>
    <rPh sb="83" eb="84">
      <t>アラタ</t>
    </rPh>
    <rPh sb="86" eb="88">
      <t>カクニンイテイシュツ</t>
    </rPh>
    <phoneticPr fontId="3"/>
  </si>
  <si>
    <t>(注意事項)
・入力シートに記入した内容が転記されます。直接編集はできません。
・内容に誤りがないか確認し、提出してください。</t>
    <rPh sb="14" eb="16">
      <t>キニュウ</t>
    </rPh>
    <rPh sb="18" eb="20">
      <t>ナイヨウテイシュツ</t>
    </rPh>
    <phoneticPr fontId="3"/>
  </si>
  <si>
    <t>（凡例）</t>
    <rPh sb="1" eb="3">
      <t>ハンレイ</t>
    </rPh>
    <phoneticPr fontId="3"/>
  </si>
  <si>
    <t>入力支援ファイル（このExcelファイル）</t>
  </si>
  <si>
    <t>Excel
入力</t>
    <rPh sb="6" eb="8">
      <t>ニュウリョク</t>
    </rPh>
    <phoneticPr fontId="3"/>
  </si>
  <si>
    <t>シート名
（リンク付き）</t>
    <rPh sb="3" eb="4">
      <t>メイ</t>
    </rPh>
    <rPh sb="9" eb="10">
      <t>ツ</t>
    </rPh>
    <phoneticPr fontId="3"/>
  </si>
  <si>
    <t>別途添付</t>
    <rPh sb="0" eb="2">
      <t>ベット</t>
    </rPh>
    <rPh sb="2" eb="4">
      <t>テンプ</t>
    </rPh>
    <phoneticPr fontId="3"/>
  </si>
  <si>
    <t>【入力支援ファイル（このExcelファイル）の使用方法】</t>
    <rPh sb="23" eb="25">
      <t>シヨウ</t>
    </rPh>
    <rPh sb="25" eb="27">
      <t>ホウホウ</t>
    </rPh>
    <phoneticPr fontId="3"/>
  </si>
  <si>
    <t>・入力シートの内容が転記されます。誤りがないか確認してください。</t>
  </si>
  <si>
    <t>・要是正（既存不適格以外）の項目が、転記されます。
　状況が確認できる写真を挿入してください。また、必要に応じ特記事項欄に補記してください。
・番号、調査項目及び調査結果は、１_入力シート（基本情報）から転記されます。
・最大20項目が転記されます。20項目を超える要是正の指摘がある場合は、別途作成し、別添PDFで提出してください。
・既存不適格及び指摘なし等については転記されません。特記すべき事項があれば、必要に応じ別途作成し、別添PDFで提出してください。</t>
    <rPh sb="27" eb="29">
      <t>ジョウキョウ</t>
    </rPh>
    <rPh sb="30" eb="32">
      <t>カクニン</t>
    </rPh>
    <rPh sb="35" eb="37">
      <t>シャシン</t>
    </rPh>
    <rPh sb="38" eb="40">
      <t>ソウニュウ</t>
    </rPh>
    <rPh sb="50" eb="52">
      <t>ヒツヨウ</t>
    </rPh>
    <rPh sb="53" eb="54">
      <t>オウ</t>
    </rPh>
    <rPh sb="55" eb="57">
      <t>トッキ</t>
    </rPh>
    <rPh sb="57" eb="59">
      <t>ジコウ</t>
    </rPh>
    <rPh sb="59" eb="60">
      <t>ラン</t>
    </rPh>
    <rPh sb="61" eb="63">
      <t>ホキ</t>
    </rPh>
    <phoneticPr fontId="3"/>
  </si>
  <si>
    <t>1つ目の
ファイル
添付ボタン</t>
    <rPh sb="2" eb="3">
      <t>メ</t>
    </rPh>
    <rPh sb="10" eb="12">
      <t>テンプ</t>
    </rPh>
    <phoneticPr fontId="3"/>
  </si>
  <si>
    <t>2つ目の
ファイル
添付ボタン</t>
    <rPh sb="2" eb="3">
      <t>メ</t>
    </rPh>
    <rPh sb="10" eb="12">
      <t>テンプ</t>
    </rPh>
    <phoneticPr fontId="3"/>
  </si>
  <si>
    <t>3つ目の
ファイル
添付ボタン</t>
    <rPh sb="2" eb="3">
      <t>メ</t>
    </rPh>
    <rPh sb="10" eb="12">
      <t>テンプ</t>
    </rPh>
    <phoneticPr fontId="3"/>
  </si>
  <si>
    <t>・</t>
    <phoneticPr fontId="116"/>
  </si>
  <si>
    <t>なお、上段から順に入力することを想定し、セルの色を設定しています。</t>
    <phoneticPr fontId="116"/>
  </si>
  <si>
    <t>必須</t>
    <rPh sb="0" eb="2">
      <t>ヒッスウ</t>
    </rPh>
    <phoneticPr fontId="116"/>
  </si>
  <si>
    <t>必ず入力してください。</t>
    <rPh sb="0" eb="1">
      <t>カナラ</t>
    </rPh>
    <rPh sb="2" eb="4">
      <t>ニュウリョク</t>
    </rPh>
    <phoneticPr fontId="116"/>
  </si>
  <si>
    <t>任意</t>
    <rPh sb="0" eb="2">
      <t>ニンイ</t>
    </rPh>
    <phoneticPr fontId="116"/>
  </si>
  <si>
    <t>必要に応じて入力してください。</t>
    <rPh sb="0" eb="2">
      <t>ヒツヨウ</t>
    </rPh>
    <rPh sb="3" eb="4">
      <t>オウ</t>
    </rPh>
    <rPh sb="6" eb="8">
      <t>ニュウリョク</t>
    </rPh>
    <phoneticPr fontId="116"/>
  </si>
  <si>
    <t>入力済・入力不要</t>
    <rPh sb="0" eb="2">
      <t>ニュウリョク</t>
    </rPh>
    <rPh sb="2" eb="3">
      <t>ズ</t>
    </rPh>
    <rPh sb="4" eb="6">
      <t>ニュウリョク</t>
    </rPh>
    <rPh sb="6" eb="8">
      <t>フヨウ</t>
    </rPh>
    <phoneticPr fontId="116"/>
  </si>
  <si>
    <t>入力済又は入力不要</t>
    <rPh sb="0" eb="2">
      <t>ニュウリョク</t>
    </rPh>
    <rPh sb="2" eb="3">
      <t>ズ</t>
    </rPh>
    <rPh sb="3" eb="4">
      <t>マタ</t>
    </rPh>
    <rPh sb="5" eb="7">
      <t>ニュウリョク</t>
    </rPh>
    <rPh sb="7" eb="9">
      <t>フヨウ</t>
    </rPh>
    <phoneticPr fontId="116"/>
  </si>
  <si>
    <t>エラー</t>
    <phoneticPr fontId="116"/>
  </si>
  <si>
    <t>誤記の可能性があります。入力内容を確認してください。</t>
    <rPh sb="0" eb="2">
      <t>ゴキ</t>
    </rPh>
    <rPh sb="3" eb="6">
      <t>カノウセイ</t>
    </rPh>
    <rPh sb="12" eb="14">
      <t>ニュウリョク</t>
    </rPh>
    <rPh sb="14" eb="16">
      <t>ナイヨウ</t>
    </rPh>
    <rPh sb="17" eb="19">
      <t>カクニン</t>
    </rPh>
    <phoneticPr fontId="116"/>
  </si>
  <si>
    <t>自動で転記される箇所等、記入の必要がない箇所についてはロックがかけられています。</t>
    <rPh sb="0" eb="2">
      <t>ジドウ</t>
    </rPh>
    <rPh sb="3" eb="5">
      <t>テンキ</t>
    </rPh>
    <rPh sb="8" eb="10">
      <t>カショ</t>
    </rPh>
    <rPh sb="10" eb="11">
      <t>ナド</t>
    </rPh>
    <rPh sb="12" eb="14">
      <t>キニュウ</t>
    </rPh>
    <rPh sb="15" eb="17">
      <t>ヒツヨウ</t>
    </rPh>
    <rPh sb="20" eb="22">
      <t>カショ</t>
    </rPh>
    <phoneticPr fontId="116"/>
  </si>
  <si>
    <t>kenchiku-teiho@city.kyoto.lg.jp</t>
    <phoneticPr fontId="116"/>
  </si>
  <si>
    <t>入力済・入力不要</t>
    <rPh sb="0" eb="3">
      <t>ニュウリョクズ</t>
    </rPh>
    <rPh sb="4" eb="8">
      <t>ニュウリョクフヨウ</t>
    </rPh>
    <phoneticPr fontId="3"/>
  </si>
  <si>
    <t>報告書（階別用途別面積表）
概要書（階別用途別面積表）</t>
    <phoneticPr fontId="3"/>
  </si>
  <si>
    <t>このファイルで記載できない項目がある場合は、当該箇所について別紙を作成してください。</t>
    <rPh sb="7" eb="9">
      <t>キサイ</t>
    </rPh>
    <rPh sb="13" eb="15">
      <t>コウモク</t>
    </rPh>
    <rPh sb="18" eb="20">
      <t>バアイ</t>
    </rPh>
    <rPh sb="22" eb="24">
      <t>トウガイ</t>
    </rPh>
    <rPh sb="24" eb="26">
      <t>カショ</t>
    </rPh>
    <rPh sb="30" eb="32">
      <t>ベッシ</t>
    </rPh>
    <rPh sb="33" eb="35">
      <t>サクセイ</t>
    </rPh>
    <phoneticPr fontId="116"/>
  </si>
  <si>
    <t>入力支援ファイル
に
含まれるシート</t>
    <rPh sb="11" eb="12">
      <t>フク</t>
    </rPh>
    <phoneticPr fontId="3"/>
  </si>
  <si>
    <t>転記先</t>
    <rPh sb="0" eb="2">
      <t>テンキ</t>
    </rPh>
    <rPh sb="2" eb="3">
      <t>サキ</t>
    </rPh>
    <phoneticPr fontId="3"/>
  </si>
  <si>
    <t>オートコンプリート機能とは、過去に入力した文字を記憶し、次に入力される内容を予想して表示する機能です。</t>
    <rPh sb="9" eb="11">
      <t>キノウ</t>
    </rPh>
    <rPh sb="14" eb="16">
      <t>カコ</t>
    </rPh>
    <rPh sb="17" eb="19">
      <t>ニュウリョク</t>
    </rPh>
    <rPh sb="21" eb="23">
      <t>モジ</t>
    </rPh>
    <rPh sb="24" eb="26">
      <t>キオク</t>
    </rPh>
    <rPh sb="28" eb="29">
      <t>ツギ</t>
    </rPh>
    <rPh sb="30" eb="32">
      <t>ニュウリョク</t>
    </rPh>
    <rPh sb="35" eb="37">
      <t>ナイヨウ</t>
    </rPh>
    <rPh sb="38" eb="40">
      <t>ヨソウ</t>
    </rPh>
    <rPh sb="42" eb="44">
      <t>ヒョウジ</t>
    </rPh>
    <rPh sb="46" eb="48">
      <t>キノウ</t>
    </rPh>
    <phoneticPr fontId="116"/>
  </si>
  <si>
    <t>オートコンプリート機能が入力の弊害になる為、無効にすることを推奨します。</t>
    <rPh sb="9" eb="11">
      <t>キノウ</t>
    </rPh>
    <rPh sb="12" eb="14">
      <t>ニュウリョク</t>
    </rPh>
    <rPh sb="15" eb="17">
      <t>ヘイガイ</t>
    </rPh>
    <rPh sb="20" eb="21">
      <t>タメ</t>
    </rPh>
    <rPh sb="22" eb="24">
      <t>ムコウ</t>
    </rPh>
    <rPh sb="30" eb="32">
      <t>スイショウ</t>
    </rPh>
    <phoneticPr fontId="116"/>
  </si>
  <si>
    <r>
      <t>Excelのオートコンプリート機能を無効にすることを推奨します。</t>
    </r>
    <r>
      <rPr>
        <b/>
        <sz val="11"/>
        <color theme="1"/>
        <rFont val="Meiryo UI"/>
        <family val="3"/>
        <charset val="128"/>
      </rPr>
      <t>III.オートコンプリート解除方法</t>
    </r>
    <r>
      <rPr>
        <sz val="11"/>
        <color theme="1"/>
        <rFont val="Meiryo UI"/>
        <family val="3"/>
        <charset val="128"/>
      </rPr>
      <t>参照</t>
    </r>
    <rPh sb="15" eb="17">
      <t>キノウ</t>
    </rPh>
    <rPh sb="18" eb="20">
      <t>ムコウ</t>
    </rPh>
    <rPh sb="26" eb="28">
      <t>スイショウ</t>
    </rPh>
    <phoneticPr fontId="116"/>
  </si>
  <si>
    <t>III. オートコンプリー解除方法</t>
    <rPh sb="13" eb="15">
      <t>カイジョ</t>
    </rPh>
    <rPh sb="15" eb="17">
      <t>ホウホウ</t>
    </rPh>
    <phoneticPr fontId="116"/>
  </si>
  <si>
    <t>切れてしまう場合は、当該箇所を別途作成し、報告書に添えて提出してください。</t>
    <rPh sb="0" eb="1">
      <t>キ</t>
    </rPh>
    <rPh sb="6" eb="8">
      <t>バアイ</t>
    </rPh>
    <rPh sb="10" eb="12">
      <t>トウガイ</t>
    </rPh>
    <rPh sb="12" eb="14">
      <t>カショ</t>
    </rPh>
    <phoneticPr fontId="116"/>
  </si>
  <si>
    <t>紙に印刷を行う場合やPDF形式に変換する場合、文字が切れて表示される場合があります。御注意ください。</t>
    <rPh sb="0" eb="1">
      <t>カミ</t>
    </rPh>
    <rPh sb="2" eb="4">
      <t>インサツ</t>
    </rPh>
    <rPh sb="5" eb="6">
      <t>オコナ</t>
    </rPh>
    <rPh sb="7" eb="9">
      <t>バアイ</t>
    </rPh>
    <rPh sb="13" eb="15">
      <t>ケイシキ</t>
    </rPh>
    <rPh sb="16" eb="18">
      <t>ヘンカン</t>
    </rPh>
    <rPh sb="20" eb="22">
      <t>バアイ</t>
    </rPh>
    <rPh sb="23" eb="25">
      <t>モジ</t>
    </rPh>
    <rPh sb="26" eb="27">
      <t>ギ</t>
    </rPh>
    <rPh sb="29" eb="31">
      <t>ヒョウジ</t>
    </rPh>
    <rPh sb="34" eb="36">
      <t>バアイ</t>
    </rPh>
    <phoneticPr fontId="116"/>
  </si>
  <si>
    <t>このファイルを使用したことにより生じるいかなる損害についても、本市は一切の責任を負いません。</t>
    <rPh sb="7" eb="9">
      <t>シヨウ</t>
    </rPh>
    <rPh sb="16" eb="17">
      <t>ショウ</t>
    </rPh>
    <rPh sb="23" eb="25">
      <t>ソンガイ</t>
    </rPh>
    <phoneticPr fontId="116"/>
  </si>
  <si>
    <t>Excel等ソフトウェアの使用方法についてのお問合せはお受けできません。</t>
    <rPh sb="5" eb="6">
      <t>ナド</t>
    </rPh>
    <rPh sb="13" eb="15">
      <t>シヨウ</t>
    </rPh>
    <rPh sb="15" eb="17">
      <t>ホウホウ</t>
    </rPh>
    <rPh sb="23" eb="25">
      <t>トイアワ</t>
    </rPh>
    <rPh sb="28" eb="29">
      <t>ウ</t>
    </rPh>
    <phoneticPr fontId="116"/>
  </si>
  <si>
    <t>Excelのオプション→詳細設定→【オートコンプリートを使用する】のチェックを外す</t>
    <rPh sb="12" eb="14">
      <t>ショウサイ</t>
    </rPh>
    <rPh sb="14" eb="16">
      <t>セッテイ</t>
    </rPh>
    <rPh sb="28" eb="30">
      <t>シヨウ</t>
    </rPh>
    <rPh sb="39" eb="40">
      <t>ハズ</t>
    </rPh>
    <phoneticPr fontId="116"/>
  </si>
  <si>
    <r>
      <t>解除方法</t>
    </r>
    <r>
      <rPr>
        <sz val="11"/>
        <rFont val="Meiryo UI"/>
        <family val="3"/>
        <charset val="128"/>
      </rPr>
      <t>（例）</t>
    </r>
    <rPh sb="5" eb="6">
      <t>レイ</t>
    </rPh>
    <phoneticPr fontId="116"/>
  </si>
  <si>
    <t>I. 入力支援ファイルの使用方法・全般注意事項</t>
    <rPh sb="12" eb="14">
      <t>シヨウ</t>
    </rPh>
    <rPh sb="14" eb="16">
      <t>ホウホウ</t>
    </rPh>
    <rPh sb="17" eb="19">
      <t>ゼンパン</t>
    </rPh>
    <rPh sb="19" eb="21">
      <t>チュウイ</t>
    </rPh>
    <rPh sb="21" eb="23">
      <t>ジコウ</t>
    </rPh>
    <phoneticPr fontId="116"/>
  </si>
  <si>
    <t>様式名</t>
    <rPh sb="0" eb="2">
      <t>ヨウシキ</t>
    </rPh>
    <rPh sb="2" eb="3">
      <t>メイ</t>
    </rPh>
    <phoneticPr fontId="3"/>
  </si>
  <si>
    <t>（チェックシート）</t>
    <phoneticPr fontId="3"/>
  </si>
  <si>
    <t>（受付管理票）</t>
    <rPh sb="1" eb="6">
      <t>ウケツケカンリヒョウ</t>
    </rPh>
    <phoneticPr fontId="20"/>
  </si>
  <si>
    <t>報告書
（第三十六号の二様式）</t>
  </si>
  <si>
    <t>概要書
（第三十六号の三様式）</t>
  </si>
  <si>
    <t>調査結果表
（告示第２８２号別記）</t>
  </si>
  <si>
    <t>入力を補助するために、記入が必要なセルに色がついています。色の意味は以下のとおりです。</t>
    <rPh sb="0" eb="2">
      <t>ニュウリョク</t>
    </rPh>
    <rPh sb="3" eb="5">
      <t>ホジョ</t>
    </rPh>
    <rPh sb="14" eb="16">
      <t>ヒツヨウ</t>
    </rPh>
    <rPh sb="34" eb="36">
      <t>イカ</t>
    </rPh>
    <phoneticPr fontId="116"/>
  </si>
  <si>
    <t>II. シート一覧・注意事項・様式名・転記先</t>
    <rPh sb="7" eb="9">
      <t>イチラン</t>
    </rPh>
    <rPh sb="10" eb="12">
      <t>チュウイ</t>
    </rPh>
    <rPh sb="12" eb="14">
      <t>ジコウ</t>
    </rPh>
    <rPh sb="15" eb="17">
      <t>ヨウシキ</t>
    </rPh>
    <rPh sb="17" eb="18">
      <t>メイ</t>
    </rPh>
    <phoneticPr fontId="116"/>
  </si>
  <si>
    <t>必須</t>
  </si>
  <si>
    <t>必要な場合</t>
  </si>
  <si>
    <t>入力不要</t>
  </si>
  <si>
    <t>入力シートに記入すると、定められた報告様式の各所に転記されるようになっています。</t>
    <rPh sb="0" eb="2">
      <t>ニュウリョク</t>
    </rPh>
    <rPh sb="6" eb="8">
      <t>キニュウ</t>
    </rPh>
    <rPh sb="12" eb="13">
      <t>サダ</t>
    </rPh>
    <rPh sb="17" eb="19">
      <t>ホウコク</t>
    </rPh>
    <rPh sb="19" eb="21">
      <t>ヨウシキ</t>
    </rPh>
    <rPh sb="22" eb="24">
      <t>カクショ</t>
    </rPh>
    <phoneticPr fontId="116"/>
  </si>
  <si>
    <t>チェックボックス生データ</t>
    <rPh sb="8" eb="9">
      <t>ナマ</t>
    </rPh>
    <phoneticPr fontId="72"/>
  </si>
  <si>
    <t>その他生データ</t>
    <rPh sb="2" eb="3">
      <t>タ</t>
    </rPh>
    <rPh sb="3" eb="4">
      <t>ナマ</t>
    </rPh>
    <phoneticPr fontId="3"/>
  </si>
  <si>
    <t>非表示</t>
    <rPh sb="0" eb="3">
      <t>ヒヒョウジ</t>
    </rPh>
    <phoneticPr fontId="3"/>
  </si>
  <si>
    <t>ロック解除</t>
    <rPh sb="3" eb="5">
      <t>カイジョ</t>
    </rPh>
    <phoneticPr fontId="3"/>
  </si>
  <si>
    <t>ロック</t>
    <phoneticPr fontId="3"/>
  </si>
  <si>
    <t>指摘の具体的内容等　要是正＋（既存不適格）</t>
  </si>
  <si>
    <t>吹付け石綿及び吹付けロックウールでその含有する石綿の重量が当該建築材料の重量の0.1パーセントを超えるもの（以下「吹付け石綿等」という。）の使用の状況</t>
  </si>
  <si>
    <t>吹付け石綿等の劣化の状況</t>
  </si>
  <si>
    <t>除去又は囲い込み若しくは封じ込めによる飛散防止措置の実施の状況</t>
  </si>
  <si>
    <t>囲い込み又は封じ込めによる飛散防止措置の劣化及び損傷の状況</t>
  </si>
  <si>
    <t>吹付け石綿等の劣化の状況</t>
    <rPh sb="0" eb="2">
      <t>フキツ</t>
    </rPh>
    <phoneticPr fontId="3"/>
  </si>
  <si>
    <t>除去又は囲い込み若しくは封じ込めによる飛散防止措置の実施の状況</t>
    <rPh sb="2" eb="4">
      <t>マ</t>
    </rPh>
    <rPh sb="8" eb="9">
      <t>モ</t>
    </rPh>
    <phoneticPr fontId="3"/>
  </si>
  <si>
    <t>囲い込み又は封じ込めによる飛散防止措置の劣化及び損傷の状況</t>
    <phoneticPr fontId="3"/>
  </si>
  <si>
    <t>4(石綿関係)</t>
    <phoneticPr fontId="3"/>
  </si>
  <si>
    <t>まとめ（改善済/一部改善済/未改善/要是正なし）</t>
  </si>
  <si>
    <t>「上記１から７で表現できない項目」記載分小計</t>
    <rPh sb="17" eb="19">
      <t>キサイ</t>
    </rPh>
    <rPh sb="19" eb="20">
      <t>ブン</t>
    </rPh>
    <rPh sb="20" eb="22">
      <t>ショウケイ</t>
    </rPh>
    <phoneticPr fontId="3"/>
  </si>
  <si>
    <t>「上記１から７」記載分転記</t>
    <rPh sb="1" eb="3">
      <t>ジョウキ</t>
    </rPh>
    <rPh sb="8" eb="10">
      <t>キサイ</t>
    </rPh>
    <rPh sb="10" eb="11">
      <t>ブン</t>
    </rPh>
    <rPh sb="11" eb="13">
      <t>テンキ</t>
    </rPh>
    <phoneticPr fontId="3"/>
  </si>
  <si>
    <t>計</t>
    <rPh sb="0" eb="1">
      <t>ケイ</t>
    </rPh>
    <phoneticPr fontId="3"/>
  </si>
  <si>
    <t>計</t>
    <phoneticPr fontId="3"/>
  </si>
  <si>
    <r>
      <t>1つの項目番号に「要是正」や「既存不適格」の指摘内容が複数ある場合、上欄に「要是正」を1つ記入し、残りの指摘内容はこちらの欄に記入してください。</t>
    </r>
    <r>
      <rPr>
        <sz val="11"/>
        <rFont val="ＭＳ Ｐゴシック"/>
        <family val="3"/>
        <charset val="128"/>
        <scheme val="major"/>
      </rPr>
      <t xml:space="preserve">
項目番号はプルダウン選択できます。</t>
    </r>
    <rPh sb="3" eb="5">
      <t>コウモク</t>
    </rPh>
    <rPh sb="24" eb="26">
      <t>ナイヨウ</t>
    </rPh>
    <rPh sb="27" eb="29">
      <t>フクスウ</t>
    </rPh>
    <rPh sb="45" eb="47">
      <t>キニュウ</t>
    </rPh>
    <phoneticPr fontId="3"/>
  </si>
  <si>
    <t>結合</t>
    <phoneticPr fontId="3"/>
  </si>
  <si>
    <t>２０　直通階段の数について</t>
    <rPh sb="3" eb="5">
      <t>チョクツウ</t>
    </rPh>
    <rPh sb="5" eb="7">
      <t>カイダン</t>
    </rPh>
    <rPh sb="8" eb="9">
      <t>カズ</t>
    </rPh>
    <phoneticPr fontId="3"/>
  </si>
  <si>
    <t>20 直通階段の数</t>
    <rPh sb="3" eb="5">
      <t>チョクツウ</t>
    </rPh>
    <rPh sb="5" eb="7">
      <t>カイダン</t>
    </rPh>
    <rPh sb="8" eb="9">
      <t>カズ</t>
    </rPh>
    <phoneticPr fontId="3"/>
  </si>
  <si>
    <t>避難階以外で居室を有する階がない</t>
    <rPh sb="0" eb="2">
      <t>ヒナン</t>
    </rPh>
    <rPh sb="2" eb="3">
      <t>カイ</t>
    </rPh>
    <rPh sb="3" eb="5">
      <t>イガイ</t>
    </rPh>
    <rPh sb="6" eb="8">
      <t>キョシツ</t>
    </rPh>
    <rPh sb="9" eb="10">
      <t>ユウ</t>
    </rPh>
    <rPh sb="12" eb="13">
      <t>カイ</t>
    </rPh>
    <phoneticPr fontId="3"/>
  </si>
  <si>
    <t>直通階段の数</t>
    <rPh sb="0" eb="4">
      <t>チョクツウカイダン</t>
    </rPh>
    <rPh sb="5" eb="6">
      <t>カズ</t>
    </rPh>
    <phoneticPr fontId="3"/>
  </si>
  <si>
    <t>居室を有する階のうち、直通階段の数が最も少ない階について、記載してください。</t>
    <rPh sb="0" eb="2">
      <t>キョシツ</t>
    </rPh>
    <rPh sb="3" eb="4">
      <t>ユウ</t>
    </rPh>
    <rPh sb="6" eb="7">
      <t>カイ</t>
    </rPh>
    <rPh sb="11" eb="15">
      <t>チョクツウカイダン</t>
    </rPh>
    <rPh sb="16" eb="17">
      <t>カズ</t>
    </rPh>
    <rPh sb="18" eb="19">
      <t>モット</t>
    </rPh>
    <rPh sb="20" eb="21">
      <t>スク</t>
    </rPh>
    <rPh sb="23" eb="24">
      <t>カイ</t>
    </rPh>
    <rPh sb="29" eb="31">
      <t>キサイ</t>
    </rPh>
    <phoneticPr fontId="3"/>
  </si>
  <si>
    <t>直通階段の数</t>
    <rPh sb="0" eb="2">
      <t>チョクツウ</t>
    </rPh>
    <rPh sb="2" eb="4">
      <t>カイダン</t>
    </rPh>
    <rPh sb="5" eb="6">
      <t>カズ</t>
    </rPh>
    <phoneticPr fontId="3"/>
  </si>
  <si>
    <t>２１　設備（法第12条第三項関係など）</t>
    <rPh sb="3" eb="5">
      <t>セツビ</t>
    </rPh>
    <rPh sb="6" eb="7">
      <t>ホウ</t>
    </rPh>
    <rPh sb="7" eb="8">
      <t>ダイ</t>
    </rPh>
    <rPh sb="10" eb="11">
      <t>ジョウ</t>
    </rPh>
    <rPh sb="11" eb="12">
      <t>ダイ</t>
    </rPh>
    <rPh sb="12" eb="14">
      <t>サンコウ</t>
    </rPh>
    <rPh sb="14" eb="16">
      <t>カンケイ</t>
    </rPh>
    <phoneticPr fontId="3"/>
  </si>
  <si>
    <t>２３　調査結果</t>
    <phoneticPr fontId="3"/>
  </si>
  <si>
    <t>23-1</t>
    <phoneticPr fontId="3"/>
  </si>
  <si>
    <t>23-2</t>
    <phoneticPr fontId="3"/>
  </si>
  <si>
    <t>23-5</t>
    <phoneticPr fontId="3"/>
  </si>
  <si>
    <t>23-3</t>
    <phoneticPr fontId="3"/>
  </si>
  <si>
    <t>23-4</t>
    <phoneticPr fontId="3"/>
  </si>
  <si>
    <t>23-6</t>
    <phoneticPr fontId="3"/>
  </si>
  <si>
    <t>23-7</t>
    <phoneticPr fontId="3"/>
  </si>
  <si>
    <t>23-8</t>
    <phoneticPr fontId="3"/>
  </si>
  <si>
    <t>定期報告に関するお知らせ　その他建築物の安心安全に係る情報等をお送りすることがあります。受付管理票にのみ転記されます。</t>
    <rPh sb="0" eb="2">
      <t>テイキ</t>
    </rPh>
    <rPh sb="2" eb="4">
      <t>ホウコク</t>
    </rPh>
    <rPh sb="5" eb="6">
      <t>カン</t>
    </rPh>
    <rPh sb="9" eb="10">
      <t>シ</t>
    </rPh>
    <rPh sb="15" eb="16">
      <t>タ</t>
    </rPh>
    <rPh sb="16" eb="19">
      <t>ケンｔ</t>
    </rPh>
    <rPh sb="20" eb="22">
      <t>アンシン</t>
    </rPh>
    <rPh sb="22" eb="24">
      <t>アンゼン</t>
    </rPh>
    <rPh sb="25" eb="26">
      <t>カカ</t>
    </rPh>
    <rPh sb="27" eb="29">
      <t>ジョウホウ</t>
    </rPh>
    <rPh sb="29" eb="30">
      <t>トウ</t>
    </rPh>
    <rPh sb="44" eb="49">
      <t>ウケツケカンリヒョウ</t>
    </rPh>
    <rPh sb="52" eb="54">
      <t>テンキ</t>
    </rPh>
    <phoneticPr fontId="3"/>
  </si>
  <si>
    <t>※床面積は</t>
    <phoneticPr fontId="3"/>
  </si>
  <si>
    <t>実施（予定）年月</t>
    <rPh sb="0" eb="2">
      <t>ジッシ</t>
    </rPh>
    <rPh sb="3" eb="5">
      <t>ヨテイ</t>
    </rPh>
    <rPh sb="6" eb="8">
      <t>ネンゲツ</t>
    </rPh>
    <phoneticPr fontId="3"/>
  </si>
  <si>
    <t>←報告対象となる年を記入してください。</t>
    <phoneticPr fontId="3"/>
  </si>
  <si>
    <t>このファイルについて、正しく表示されないなどのエラーを発見された場合は、お手数ですが以下のメールアドレスまで御連絡ください。</t>
    <rPh sb="11" eb="12">
      <t>タダ</t>
    </rPh>
    <rPh sb="14" eb="16">
      <t>ヒョウジ</t>
    </rPh>
    <rPh sb="27" eb="29">
      <t>ハッケン</t>
    </rPh>
    <rPh sb="32" eb="34">
      <t>バアイ</t>
    </rPh>
    <rPh sb="42" eb="44">
      <t>イカ</t>
    </rPh>
    <rPh sb="54" eb="55">
      <t>ゴ</t>
    </rPh>
    <phoneticPr fontId="116"/>
  </si>
  <si>
    <t>法令改正、その他このファイルの使用環境の情報等を基に、改版を行うことがあります。</t>
    <rPh sb="0" eb="2">
      <t>ホウレイ</t>
    </rPh>
    <rPh sb="2" eb="4">
      <t>カイセイ</t>
    </rPh>
    <rPh sb="7" eb="8">
      <t>タ</t>
    </rPh>
    <rPh sb="15" eb="17">
      <t>シヨウ</t>
    </rPh>
    <rPh sb="17" eb="19">
      <t>カンキョウ</t>
    </rPh>
    <rPh sb="20" eb="22">
      <t>ジョウホウ</t>
    </rPh>
    <rPh sb="22" eb="23">
      <t>トウ</t>
    </rPh>
    <rPh sb="24" eb="25">
      <t>モト</t>
    </rPh>
    <rPh sb="27" eb="29">
      <t>カイハン</t>
    </rPh>
    <rPh sb="30" eb="31">
      <t>オコナ</t>
    </rPh>
    <phoneticPr fontId="116"/>
  </si>
  <si>
    <t>PDF
（図面）
添付</t>
    <phoneticPr fontId="3"/>
  </si>
  <si>
    <t>PDF
（追加）
添付</t>
    <rPh sb="5" eb="7">
      <t>ツイカ</t>
    </rPh>
    <phoneticPr fontId="3"/>
  </si>
  <si>
    <r>
      <t xml:space="preserve">・基本情報（調査結果表の内容含む）を記入してください。
</t>
    </r>
    <r>
      <rPr>
        <sz val="11"/>
        <rFont val="Meiryo UI"/>
        <family val="3"/>
        <charset val="128"/>
      </rPr>
      <t>・書ききれない項目がある場合、転記先の＜入力不要＞各様式を、PDF（追加）の別途添付により提出してください。</t>
    </r>
    <rPh sb="1" eb="3">
      <t>キホン</t>
    </rPh>
    <rPh sb="3" eb="5">
      <t>ジョウホウ</t>
    </rPh>
    <rPh sb="6" eb="11">
      <t>チョウサケッカヒョウ</t>
    </rPh>
    <rPh sb="12" eb="14">
      <t>ナイヨウ</t>
    </rPh>
    <rPh sb="14" eb="15">
      <t>フク</t>
    </rPh>
    <rPh sb="18" eb="27">
      <t>キニュウ</t>
    </rPh>
    <rPh sb="29" eb="30">
      <t>カ</t>
    </rPh>
    <rPh sb="40" eb="42">
      <t>バアイ</t>
    </rPh>
    <rPh sb="43" eb="45">
      <t>テンキ</t>
    </rPh>
    <rPh sb="45" eb="46">
      <t>サキ</t>
    </rPh>
    <rPh sb="48" eb="50">
      <t>ニュウリョク</t>
    </rPh>
    <rPh sb="50" eb="52">
      <t>フヨウ</t>
    </rPh>
    <rPh sb="53" eb="54">
      <t>カク</t>
    </rPh>
    <rPh sb="54" eb="56">
      <t>ヨウシキ</t>
    </rPh>
    <rPh sb="66" eb="68">
      <t>ベット</t>
    </rPh>
    <phoneticPr fontId="3"/>
  </si>
  <si>
    <r>
      <t xml:space="preserve">・階別、用途別床面積を記入してください。
</t>
    </r>
    <r>
      <rPr>
        <sz val="11"/>
        <rFont val="Meiryo UI"/>
        <family val="3"/>
        <charset val="128"/>
      </rPr>
      <t>・用途が8以上の場合、転記先の＜入力不要＞各様式を、PDF（追加）の別途添付により提出してください。</t>
    </r>
    <rPh sb="11" eb="13">
      <t>キニュウ</t>
    </rPh>
    <rPh sb="22" eb="24">
      <t>ヨウト</t>
    </rPh>
    <rPh sb="26" eb="28">
      <t>イジョウ</t>
    </rPh>
    <phoneticPr fontId="3"/>
  </si>
  <si>
    <r>
      <rPr>
        <b/>
        <sz val="11"/>
        <color rgb="FFFF0000"/>
        <rFont val="Meiryo UI"/>
        <family val="3"/>
        <charset val="128"/>
      </rPr>
      <t>・要是正（既存不適格以外）の指摘がある場合、</t>
    </r>
    <r>
      <rPr>
        <sz val="11"/>
        <rFont val="Meiryo UI"/>
        <family val="3"/>
        <charset val="128"/>
      </rPr>
      <t>入力シートの内容が転記されます。各欄に</t>
    </r>
    <r>
      <rPr>
        <b/>
        <sz val="11"/>
        <color rgb="FFFF0000"/>
        <rFont val="Meiryo UI"/>
        <family val="3"/>
        <charset val="128"/>
      </rPr>
      <t>写真を挿入してください。</t>
    </r>
    <r>
      <rPr>
        <sz val="11"/>
        <rFont val="Meiryo UI"/>
        <family val="3"/>
        <charset val="128"/>
      </rPr>
      <t xml:space="preserve">
・最大20項目が転記されます。20項目を超える場合、PDF（追加）の別途添付により提出してください。
・転記された指摘以外で、既存不適格等、特記すべき事項があれば、必要に応じ、PDF（追加）の別途添付により提出してください。</t>
    </r>
    <rPh sb="110" eb="112">
      <t>シテキ</t>
    </rPh>
    <rPh sb="112" eb="114">
      <t>イガイ</t>
    </rPh>
    <phoneticPr fontId="3"/>
  </si>
  <si>
    <t>・入力シートの内容が転記されます。誤りがないか確認してください。
・印刷する場合は、文字が切れて表示されていないが確認してください。
・所有者・管理者が複数である、備考欄のスペース不足、用途が8以上等、入力シートに書ききれない項目がある場合、
　当該項目については、PDF（追加）の別途添付により提出してください。</t>
    <rPh sb="101" eb="103">
      <t>ニュウリョク</t>
    </rPh>
    <rPh sb="123" eb="125">
      <t>トウガイ</t>
    </rPh>
    <rPh sb="125" eb="127">
      <t>コウモク</t>
    </rPh>
    <phoneticPr fontId="3"/>
  </si>
  <si>
    <t>メールアドレス（半角）</t>
    <phoneticPr fontId="3"/>
  </si>
  <si>
    <t xml:space="preserve"> 会社</t>
    <rPh sb="1" eb="3">
      <t>カイシャ</t>
    </rPh>
    <phoneticPr fontId="3"/>
  </si>
  <si>
    <t xml:space="preserve"> 氏名</t>
    <rPh sb="1" eb="3">
      <t>シメイ</t>
    </rPh>
    <phoneticPr fontId="3"/>
  </si>
  <si>
    <t xml:space="preserve"> 電話</t>
    <rPh sb="1" eb="3">
      <t>デンワ</t>
    </rPh>
    <phoneticPr fontId="3"/>
  </si>
  <si>
    <t xml:space="preserve"> メール</t>
    <phoneticPr fontId="3"/>
  </si>
  <si>
    <t>　外装仕上げ材等について</t>
  </si>
  <si>
    <t>　直通階段の数について</t>
    <phoneticPr fontId="3"/>
  </si>
  <si>
    <t>建築物の管理者の連絡先</t>
    <rPh sb="0" eb="3">
      <t>ケンｔ</t>
    </rPh>
    <rPh sb="4" eb="7">
      <t>カンリシャ</t>
    </rPh>
    <rPh sb="8" eb="11">
      <t>レンラクサキ</t>
    </rPh>
    <phoneticPr fontId="3"/>
  </si>
  <si>
    <t>和暦</t>
  </si>
  <si>
    <t>昭和</t>
  </si>
  <si>
    <t>平成</t>
  </si>
  <si>
    <t>令和</t>
  </si>
  <si>
    <t>※自由入力可</t>
  </si>
  <si>
    <t>直通階段の数
（居室を有する階で最少の階）</t>
    <rPh sb="16" eb="18">
      <t>サイショウ</t>
    </rPh>
    <rPh sb="19" eb="20">
      <t>カイ</t>
    </rPh>
    <phoneticPr fontId="3"/>
  </si>
  <si>
    <t>https://www.city.kyoto.lg.jp/tokei/page/0000301596.html</t>
    <phoneticPr fontId="3"/>
  </si>
  <si>
    <t>１以下</t>
    <rPh sb="0" eb="2">
      <t>イカ</t>
    </rPh>
    <phoneticPr fontId="3"/>
  </si>
  <si>
    <t>２以上</t>
    <rPh sb="1" eb="3">
      <t>イジョウ</t>
    </rPh>
    <phoneticPr fontId="3"/>
  </si>
  <si>
    <t>インターネットカフェ</t>
  </si>
  <si>
    <t>特記</t>
    <rPh sb="0" eb="2">
      <t>トッキ</t>
    </rPh>
    <phoneticPr fontId="3"/>
  </si>
  <si>
    <r>
      <t>↓↓　</t>
    </r>
    <r>
      <rPr>
        <b/>
        <u/>
        <sz val="11"/>
        <color rgb="FFFF0000"/>
        <rFont val="ＭＳ Ｐゴシック"/>
        <family val="3"/>
        <charset val="128"/>
      </rPr>
      <t>上段</t>
    </r>
    <r>
      <rPr>
        <b/>
        <sz val="11"/>
        <color rgb="FFFF0000"/>
        <rFont val="ＭＳ Ｐゴシック"/>
        <family val="3"/>
        <charset val="128"/>
      </rPr>
      <t>「大分類」→</t>
    </r>
    <r>
      <rPr>
        <b/>
        <u/>
        <sz val="11"/>
        <color rgb="FFFF0000"/>
        <rFont val="ＭＳ Ｐゴシック"/>
        <family val="3"/>
        <charset val="128"/>
      </rPr>
      <t>下段</t>
    </r>
    <r>
      <rPr>
        <b/>
        <sz val="11"/>
        <color rgb="FFFF0000"/>
        <rFont val="ＭＳ Ｐゴシック"/>
        <family val="3"/>
        <charset val="128"/>
      </rPr>
      <t>「小分類」</t>
    </r>
    <r>
      <rPr>
        <b/>
        <u/>
        <sz val="11"/>
        <color rgb="FFFF0000"/>
        <rFont val="ＭＳ Ｐゴシック"/>
        <family val="3"/>
        <charset val="128"/>
      </rPr>
      <t>の順に</t>
    </r>
    <r>
      <rPr>
        <b/>
        <sz val="11"/>
        <color rgb="FFFF0000"/>
        <rFont val="ＭＳ Ｐゴシック"/>
        <family val="3"/>
        <charset val="128"/>
      </rPr>
      <t>選択してください。　</t>
    </r>
    <r>
      <rPr>
        <sz val="11"/>
        <color rgb="FFFF0000"/>
        <rFont val="ＭＳ Ｐゴシック"/>
        <family val="3"/>
        <charset val="128"/>
      </rPr>
      <t>（「小分類」については、直接入力も可能です。）</t>
    </r>
    <r>
      <rPr>
        <b/>
        <sz val="11"/>
        <color rgb="FFFF0000"/>
        <rFont val="ＭＳ Ｐゴシック"/>
        <family val="3"/>
        <charset val="128"/>
      </rPr>
      <t>　↓↓</t>
    </r>
    <rPh sb="3" eb="5">
      <t>ジョウダン</t>
    </rPh>
    <rPh sb="6" eb="9">
      <t>ダイブンルイ</t>
    </rPh>
    <rPh sb="11" eb="13">
      <t>ゲダン</t>
    </rPh>
    <rPh sb="14" eb="17">
      <t>ショウブンルイ</t>
    </rPh>
    <rPh sb="19" eb="20">
      <t>ジュン</t>
    </rPh>
    <rPh sb="21" eb="23">
      <t>センタク</t>
    </rPh>
    <rPh sb="48" eb="50">
      <t>カノウ</t>
    </rPh>
    <phoneticPr fontId="3"/>
  </si>
  <si>
    <t>集会場等</t>
  </si>
  <si>
    <t>病院系施設</t>
  </si>
  <si>
    <t>宿泊施設</t>
  </si>
  <si>
    <t>美術館等</t>
  </si>
  <si>
    <t>スポーツ練習場等</t>
  </si>
  <si>
    <t>物販店等</t>
  </si>
  <si>
    <t>展示場等</t>
  </si>
  <si>
    <t>飲食等</t>
  </si>
  <si>
    <t>遊技場等</t>
  </si>
  <si>
    <t>自動車車庫等</t>
  </si>
  <si>
    <t>学校</t>
  </si>
  <si>
    <t>体育館（学校に付属するもの以外）</t>
  </si>
  <si>
    <t>工場</t>
  </si>
  <si>
    <t>体育館（学校に付属するもの）</t>
  </si>
  <si>
    <t>マーケット</t>
  </si>
  <si>
    <t>駅舎</t>
  </si>
  <si>
    <t>住宅</t>
  </si>
  <si>
    <t>障害者福祉サービスを行う事業所（生活介護を行う事業所）</t>
  </si>
  <si>
    <t>テレビスタジオ</t>
  </si>
  <si>
    <t>障害者福祉サービスを行う事業所（就労継続支援を行う事業所）</t>
  </si>
  <si>
    <t>学習塾</t>
  </si>
  <si>
    <t>障害者福祉サービスを行う事業所（自立訓練を行う事業所で、利用者の就寝の用に供しないもの）</t>
  </si>
  <si>
    <t>障害者福祉サービスを行う事業所（就労移行支援を行う事業所で、利用者の就寝の用に供しないもの）</t>
  </si>
  <si>
    <t>老人デイサービスセンター（宿泊サービスを提供するもの）</t>
  </si>
  <si>
    <t>障害者福祉サービスを行う事業所（自立訓練を行う事業所で、利用者の就寝の用に供するもの）</t>
  </si>
  <si>
    <t>観覧場（屋外観覧場を除く）</t>
    <rPh sb="0" eb="2">
      <t>カンラン</t>
    </rPh>
    <rPh sb="2" eb="3">
      <t>ジョウ</t>
    </rPh>
    <rPh sb="4" eb="6">
      <t>オクガイ</t>
    </rPh>
    <rPh sb="6" eb="8">
      <t>カンラン</t>
    </rPh>
    <rPh sb="8" eb="9">
      <t>ジョウ</t>
    </rPh>
    <rPh sb="10" eb="11">
      <t>ノゾ</t>
    </rPh>
    <phoneticPr fontId="123"/>
  </si>
  <si>
    <t>病院</t>
    <rPh sb="0" eb="2">
      <t>ビョウイン</t>
    </rPh>
    <phoneticPr fontId="123"/>
  </si>
  <si>
    <t>ホテル</t>
    <phoneticPr fontId="123"/>
  </si>
  <si>
    <t>公会堂</t>
    <rPh sb="0" eb="3">
      <t>コウカイドウ</t>
    </rPh>
    <phoneticPr fontId="123"/>
  </si>
  <si>
    <t>診療所（患者の収容施設があるもの）</t>
    <rPh sb="0" eb="3">
      <t>シンリョウジョ</t>
    </rPh>
    <rPh sb="4" eb="6">
      <t>カンジャ</t>
    </rPh>
    <rPh sb="7" eb="9">
      <t>シュウヨウ</t>
    </rPh>
    <rPh sb="9" eb="11">
      <t>シセツ</t>
    </rPh>
    <phoneticPr fontId="123"/>
  </si>
  <si>
    <t>更生施設</t>
    <rPh sb="0" eb="2">
      <t>コウセイ</t>
    </rPh>
    <rPh sb="2" eb="4">
      <t>シセツ</t>
    </rPh>
    <phoneticPr fontId="123"/>
  </si>
  <si>
    <t>遊技場</t>
    <rPh sb="0" eb="3">
      <t>ユウギジョウ</t>
    </rPh>
    <phoneticPr fontId="123"/>
  </si>
  <si>
    <t>有料老人ホーム</t>
    <rPh sb="0" eb="2">
      <t>ユウリョウ</t>
    </rPh>
    <rPh sb="2" eb="4">
      <t>ロウジン</t>
    </rPh>
    <phoneticPr fontId="123"/>
  </si>
  <si>
    <t>劇場</t>
    <rPh sb="0" eb="2">
      <t>ゲキジョウ</t>
    </rPh>
    <phoneticPr fontId="123"/>
  </si>
  <si>
    <t>下宿</t>
    <rPh sb="0" eb="2">
      <t>ゲシュク</t>
    </rPh>
    <phoneticPr fontId="123"/>
  </si>
  <si>
    <t>サービス付き高齢者向け住宅</t>
    <rPh sb="4" eb="5">
      <t>ツ</t>
    </rPh>
    <rPh sb="6" eb="9">
      <t>コウレイシャ</t>
    </rPh>
    <rPh sb="9" eb="10">
      <t>ム</t>
    </rPh>
    <rPh sb="11" eb="13">
      <t>ジュウタク</t>
    </rPh>
    <phoneticPr fontId="123"/>
  </si>
  <si>
    <t>助産施設</t>
    <rPh sb="0" eb="2">
      <t>ジョサン</t>
    </rPh>
    <rPh sb="2" eb="4">
      <t>シセツ</t>
    </rPh>
    <phoneticPr fontId="123"/>
  </si>
  <si>
    <t>博物館</t>
    <rPh sb="0" eb="3">
      <t>ハクブツカン</t>
    </rPh>
    <phoneticPr fontId="123"/>
  </si>
  <si>
    <t>ボーリング場</t>
    <rPh sb="5" eb="6">
      <t>ジョウ</t>
    </rPh>
    <phoneticPr fontId="123"/>
  </si>
  <si>
    <t>百貨店</t>
    <rPh sb="0" eb="3">
      <t>ヒャッカテン</t>
    </rPh>
    <phoneticPr fontId="123"/>
  </si>
  <si>
    <t>展示場</t>
    <rPh sb="0" eb="3">
      <t>テンジジョウ</t>
    </rPh>
    <phoneticPr fontId="123"/>
  </si>
  <si>
    <t>飲食店</t>
    <rPh sb="0" eb="2">
      <t>インショク</t>
    </rPh>
    <rPh sb="2" eb="3">
      <t>テン</t>
    </rPh>
    <phoneticPr fontId="123"/>
  </si>
  <si>
    <t>公衆浴場</t>
    <rPh sb="0" eb="2">
      <t>コウシュウ</t>
    </rPh>
    <rPh sb="2" eb="4">
      <t>ヨクジョウ</t>
    </rPh>
    <phoneticPr fontId="123"/>
  </si>
  <si>
    <t>自動車車庫</t>
    <rPh sb="0" eb="3">
      <t>ジドウシャ</t>
    </rPh>
    <rPh sb="3" eb="5">
      <t>シャコ</t>
    </rPh>
    <phoneticPr fontId="123"/>
  </si>
  <si>
    <t>事務所</t>
    <rPh sb="0" eb="2">
      <t>ジム</t>
    </rPh>
    <rPh sb="2" eb="3">
      <t>ショ</t>
    </rPh>
    <phoneticPr fontId="123"/>
  </si>
  <si>
    <t>倉庫（別の用途に附属するもの以外）</t>
    <rPh sb="3" eb="4">
      <t>ベツ</t>
    </rPh>
    <phoneticPr fontId="124"/>
  </si>
  <si>
    <t>映画館</t>
    <rPh sb="0" eb="3">
      <t>エイガカン</t>
    </rPh>
    <phoneticPr fontId="123"/>
  </si>
  <si>
    <t>旅館</t>
    <rPh sb="0" eb="2">
      <t>リョカン</t>
    </rPh>
    <phoneticPr fontId="123"/>
  </si>
  <si>
    <t>共同住宅</t>
    <rPh sb="0" eb="2">
      <t>キョウドウ</t>
    </rPh>
    <rPh sb="2" eb="4">
      <t>ジュウタク</t>
    </rPh>
    <phoneticPr fontId="123"/>
  </si>
  <si>
    <t>認知症高齢者グループホーム</t>
    <rPh sb="0" eb="3">
      <t>ニンチショウ</t>
    </rPh>
    <rPh sb="3" eb="6">
      <t>コウレイシャ</t>
    </rPh>
    <phoneticPr fontId="123"/>
  </si>
  <si>
    <t>乳児院</t>
    <rPh sb="0" eb="2">
      <t>ニュウジ</t>
    </rPh>
    <rPh sb="2" eb="3">
      <t>イン</t>
    </rPh>
    <phoneticPr fontId="123"/>
  </si>
  <si>
    <t>美術館</t>
    <rPh sb="0" eb="3">
      <t>ビジュツカン</t>
    </rPh>
    <phoneticPr fontId="123"/>
  </si>
  <si>
    <t>スキー場</t>
    <rPh sb="3" eb="4">
      <t>ジョウ</t>
    </rPh>
    <phoneticPr fontId="123"/>
  </si>
  <si>
    <t>料理店</t>
    <rPh sb="0" eb="2">
      <t>リョウリ</t>
    </rPh>
    <rPh sb="2" eb="3">
      <t>テン</t>
    </rPh>
    <phoneticPr fontId="123"/>
  </si>
  <si>
    <t>自動車修理工場</t>
    <rPh sb="0" eb="3">
      <t>ジドウシャ</t>
    </rPh>
    <rPh sb="3" eb="5">
      <t>シュウリ</t>
    </rPh>
    <rPh sb="5" eb="7">
      <t>コウジョウ</t>
    </rPh>
    <phoneticPr fontId="123"/>
  </si>
  <si>
    <t>美容室</t>
    <rPh sb="0" eb="3">
      <t>ビヨウシツ</t>
    </rPh>
    <phoneticPr fontId="123"/>
  </si>
  <si>
    <t>演芸場</t>
    <rPh sb="0" eb="1">
      <t>ヒロシ</t>
    </rPh>
    <rPh sb="1" eb="2">
      <t>ゲイ</t>
    </rPh>
    <rPh sb="2" eb="3">
      <t>ジョウ</t>
    </rPh>
    <phoneticPr fontId="123"/>
  </si>
  <si>
    <t>集会場</t>
    <rPh sb="0" eb="3">
      <t>シュウカイジョウ</t>
    </rPh>
    <phoneticPr fontId="123"/>
  </si>
  <si>
    <t>寄宿舎</t>
    <rPh sb="0" eb="3">
      <t>キシュクシャ</t>
    </rPh>
    <phoneticPr fontId="123"/>
  </si>
  <si>
    <t>障害者グループホーム</t>
    <rPh sb="0" eb="3">
      <t>ショウガイシャ</t>
    </rPh>
    <phoneticPr fontId="123"/>
  </si>
  <si>
    <t>障害児入所施設</t>
    <rPh sb="0" eb="2">
      <t>ショウガイ</t>
    </rPh>
    <rPh sb="2" eb="3">
      <t>ジ</t>
    </rPh>
    <rPh sb="3" eb="5">
      <t>ニュウショ</t>
    </rPh>
    <rPh sb="5" eb="7">
      <t>シセツ</t>
    </rPh>
    <phoneticPr fontId="123"/>
  </si>
  <si>
    <t>図書館</t>
    <rPh sb="0" eb="3">
      <t>トショカン</t>
    </rPh>
    <phoneticPr fontId="123"/>
  </si>
  <si>
    <t>スケート場</t>
    <rPh sb="4" eb="5">
      <t>ジョウ</t>
    </rPh>
    <phoneticPr fontId="123"/>
  </si>
  <si>
    <t>物品販売業を営む店舗</t>
    <rPh sb="0" eb="2">
      <t>ブッピン</t>
    </rPh>
    <rPh sb="2" eb="4">
      <t>ハンバイ</t>
    </rPh>
    <rPh sb="4" eb="5">
      <t>ギョウ</t>
    </rPh>
    <rPh sb="6" eb="7">
      <t>イトナ</t>
    </rPh>
    <rPh sb="8" eb="10">
      <t>テンポ</t>
    </rPh>
    <phoneticPr fontId="123"/>
  </si>
  <si>
    <t>待合</t>
    <rPh sb="0" eb="2">
      <t>マチアイ</t>
    </rPh>
    <phoneticPr fontId="123"/>
  </si>
  <si>
    <t>映画スタジオ</t>
    <rPh sb="0" eb="2">
      <t>エイガ</t>
    </rPh>
    <phoneticPr fontId="123"/>
  </si>
  <si>
    <t>助産所</t>
    <rPh sb="0" eb="2">
      <t>ジョサン</t>
    </rPh>
    <rPh sb="2" eb="3">
      <t>ジョ</t>
    </rPh>
    <phoneticPr fontId="123"/>
  </si>
  <si>
    <t>水泳場</t>
    <rPh sb="0" eb="3">
      <t>スイエイジョウ</t>
    </rPh>
    <phoneticPr fontId="123"/>
  </si>
  <si>
    <t>診療所（患者の収容施設がないもの）</t>
    <rPh sb="0" eb="3">
      <t>シンリョウジョ</t>
    </rPh>
    <phoneticPr fontId="123"/>
  </si>
  <si>
    <t>盲導犬訓練施設</t>
    <rPh sb="0" eb="3">
      <t>モウドウケン</t>
    </rPh>
    <rPh sb="3" eb="5">
      <t>クンレン</t>
    </rPh>
    <rPh sb="5" eb="7">
      <t>シセツ</t>
    </rPh>
    <phoneticPr fontId="123"/>
  </si>
  <si>
    <t>スポーツの練習場</t>
    <rPh sb="5" eb="8">
      <t>レンシュウジョウ</t>
    </rPh>
    <phoneticPr fontId="123"/>
  </si>
  <si>
    <t>救護施設</t>
    <rPh sb="0" eb="2">
      <t>キュウゴ</t>
    </rPh>
    <rPh sb="2" eb="4">
      <t>シセツ</t>
    </rPh>
    <phoneticPr fontId="123"/>
  </si>
  <si>
    <t>老人短期入所施設</t>
    <rPh sb="0" eb="2">
      <t>ロウジン</t>
    </rPh>
    <rPh sb="2" eb="4">
      <t>タンキ</t>
    </rPh>
    <rPh sb="4" eb="6">
      <t>ニュウショ</t>
    </rPh>
    <rPh sb="6" eb="8">
      <t>シセツ</t>
    </rPh>
    <phoneticPr fontId="123"/>
  </si>
  <si>
    <t>小規模多機能居宅介護の事業所</t>
    <rPh sb="0" eb="3">
      <t>ショウキボ</t>
    </rPh>
    <rPh sb="3" eb="6">
      <t>タキノウ</t>
    </rPh>
    <rPh sb="6" eb="8">
      <t>キョタク</t>
    </rPh>
    <rPh sb="8" eb="10">
      <t>カイゴ</t>
    </rPh>
    <rPh sb="11" eb="14">
      <t>ジギョウショ</t>
    </rPh>
    <phoneticPr fontId="123"/>
  </si>
  <si>
    <t>看護小規模多機能型居宅介護の事業所</t>
    <rPh sb="0" eb="2">
      <t>カンゴ</t>
    </rPh>
    <rPh sb="2" eb="5">
      <t>ショウキボ</t>
    </rPh>
    <rPh sb="5" eb="9">
      <t>タキノウガタ</t>
    </rPh>
    <rPh sb="9" eb="11">
      <t>キョタク</t>
    </rPh>
    <rPh sb="11" eb="13">
      <t>カイゴ</t>
    </rPh>
    <rPh sb="14" eb="17">
      <t>ジギョウショ</t>
    </rPh>
    <phoneticPr fontId="123"/>
  </si>
  <si>
    <t>養護老人ホーム</t>
    <rPh sb="0" eb="2">
      <t>ヨウゴ</t>
    </rPh>
    <rPh sb="2" eb="4">
      <t>ロウジン</t>
    </rPh>
    <phoneticPr fontId="123"/>
  </si>
  <si>
    <t>特別養護老人ホーム</t>
    <rPh sb="0" eb="2">
      <t>トクベツ</t>
    </rPh>
    <rPh sb="2" eb="4">
      <t>ヨウゴ</t>
    </rPh>
    <rPh sb="4" eb="6">
      <t>ロウジン</t>
    </rPh>
    <phoneticPr fontId="123"/>
  </si>
  <si>
    <t>軽費老人ホーム</t>
    <rPh sb="0" eb="2">
      <t>ケイヒ</t>
    </rPh>
    <rPh sb="2" eb="4">
      <t>ロウジン</t>
    </rPh>
    <phoneticPr fontId="123"/>
  </si>
  <si>
    <t>母子保健施設</t>
    <rPh sb="0" eb="2">
      <t>ボシ</t>
    </rPh>
    <rPh sb="2" eb="4">
      <t>ホケン</t>
    </rPh>
    <rPh sb="4" eb="6">
      <t>シセツ</t>
    </rPh>
    <phoneticPr fontId="123"/>
  </si>
  <si>
    <t>障害者支援施設</t>
    <rPh sb="0" eb="3">
      <t>ショウガイシャ</t>
    </rPh>
    <rPh sb="3" eb="5">
      <t>シエン</t>
    </rPh>
    <rPh sb="5" eb="7">
      <t>シセツ</t>
    </rPh>
    <phoneticPr fontId="123"/>
  </si>
  <si>
    <t>福祉ホーム</t>
    <rPh sb="0" eb="2">
      <t>フクシ</t>
    </rPh>
    <phoneticPr fontId="123"/>
  </si>
  <si>
    <t>障害者福祉サービスを行う事業所（自立訓練を行う事業所で、利用者の就寝の用に供するもの）</t>
    <phoneticPr fontId="124"/>
  </si>
  <si>
    <t>障害者福祉サービスを行う事業所（就労移行支援を行う事業所で、利用者の就寝の用に供するもの）</t>
    <rPh sb="0" eb="3">
      <t>ショウガイシャ</t>
    </rPh>
    <rPh sb="3" eb="5">
      <t>フクシ</t>
    </rPh>
    <phoneticPr fontId="123"/>
  </si>
  <si>
    <t>劇場</t>
    <rPh sb="0" eb="2">
      <t>ゲキジョウ</t>
    </rPh>
    <phoneticPr fontId="5"/>
  </si>
  <si>
    <t>映画館</t>
    <rPh sb="0" eb="3">
      <t>エイガカン</t>
    </rPh>
    <phoneticPr fontId="5"/>
  </si>
  <si>
    <t>演芸場</t>
    <rPh sb="0" eb="1">
      <t>ヒロシ</t>
    </rPh>
    <rPh sb="1" eb="2">
      <t>ゲイ</t>
    </rPh>
    <rPh sb="2" eb="3">
      <t>ジョウ</t>
    </rPh>
    <phoneticPr fontId="5"/>
  </si>
  <si>
    <t>観覧場（屋外観覧場を除く）</t>
    <rPh sb="0" eb="2">
      <t>カンラン</t>
    </rPh>
    <rPh sb="2" eb="3">
      <t>ジョウ</t>
    </rPh>
    <rPh sb="4" eb="6">
      <t>オクガイ</t>
    </rPh>
    <rPh sb="6" eb="8">
      <t>カンラン</t>
    </rPh>
    <rPh sb="8" eb="9">
      <t>ジョウ</t>
    </rPh>
    <rPh sb="10" eb="11">
      <t>ノゾ</t>
    </rPh>
    <phoneticPr fontId="5"/>
  </si>
  <si>
    <t>公会堂</t>
    <rPh sb="0" eb="3">
      <t>コウカイドウ</t>
    </rPh>
    <phoneticPr fontId="5"/>
  </si>
  <si>
    <t>集会場</t>
    <rPh sb="0" eb="3">
      <t>シュウカイジョウ</t>
    </rPh>
    <phoneticPr fontId="5"/>
  </si>
  <si>
    <t>病院</t>
    <rPh sb="0" eb="2">
      <t>ビョウイン</t>
    </rPh>
    <phoneticPr fontId="5"/>
  </si>
  <si>
    <t>診療所（患者の収容施設があるもの）</t>
    <rPh sb="0" eb="3">
      <t>シンリョウジョ</t>
    </rPh>
    <rPh sb="4" eb="6">
      <t>カンジャ</t>
    </rPh>
    <rPh sb="7" eb="9">
      <t>シュウヨウ</t>
    </rPh>
    <rPh sb="9" eb="11">
      <t>シセツ</t>
    </rPh>
    <phoneticPr fontId="5"/>
  </si>
  <si>
    <t>旅館</t>
    <rPh sb="0" eb="2">
      <t>リョカン</t>
    </rPh>
    <phoneticPr fontId="5"/>
  </si>
  <si>
    <t>下宿</t>
    <rPh sb="0" eb="2">
      <t>ゲシュク</t>
    </rPh>
    <phoneticPr fontId="5"/>
  </si>
  <si>
    <t>共同住宅</t>
    <rPh sb="0" eb="2">
      <t>キョウドウ</t>
    </rPh>
    <rPh sb="2" eb="4">
      <t>ジュウタク</t>
    </rPh>
    <phoneticPr fontId="5"/>
  </si>
  <si>
    <t>寄宿舎</t>
    <rPh sb="0" eb="3">
      <t>キシュクシャ</t>
    </rPh>
    <phoneticPr fontId="5"/>
  </si>
  <si>
    <t>サービス付き高齢者向け住宅</t>
    <rPh sb="4" eb="5">
      <t>ツ</t>
    </rPh>
    <rPh sb="6" eb="9">
      <t>コウレイシャ</t>
    </rPh>
    <rPh sb="9" eb="10">
      <t>ム</t>
    </rPh>
    <rPh sb="11" eb="13">
      <t>ジュウタク</t>
    </rPh>
    <phoneticPr fontId="5"/>
  </si>
  <si>
    <t>認知症高齢者グループホーム</t>
    <rPh sb="0" eb="3">
      <t>ニンチショウ</t>
    </rPh>
    <rPh sb="3" eb="6">
      <t>コウレイシャ</t>
    </rPh>
    <phoneticPr fontId="5"/>
  </si>
  <si>
    <t>障害者グループホーム</t>
    <rPh sb="0" eb="3">
      <t>ショウガイシャ</t>
    </rPh>
    <phoneticPr fontId="5"/>
  </si>
  <si>
    <t>助産施設</t>
    <rPh sb="0" eb="2">
      <t>ジョサン</t>
    </rPh>
    <rPh sb="2" eb="4">
      <t>シセツ</t>
    </rPh>
    <phoneticPr fontId="5"/>
  </si>
  <si>
    <t>乳児院</t>
    <rPh sb="0" eb="2">
      <t>ニュウジ</t>
    </rPh>
    <rPh sb="2" eb="3">
      <t>イン</t>
    </rPh>
    <phoneticPr fontId="5"/>
  </si>
  <si>
    <t>障害児入所施設</t>
    <rPh sb="0" eb="2">
      <t>ショウガイ</t>
    </rPh>
    <rPh sb="2" eb="3">
      <t>ジ</t>
    </rPh>
    <rPh sb="3" eb="5">
      <t>ニュウショ</t>
    </rPh>
    <rPh sb="5" eb="7">
      <t>シセツ</t>
    </rPh>
    <phoneticPr fontId="5"/>
  </si>
  <si>
    <t>助産所</t>
    <rPh sb="0" eb="2">
      <t>ジョサン</t>
    </rPh>
    <rPh sb="2" eb="3">
      <t>ジョ</t>
    </rPh>
    <phoneticPr fontId="5"/>
  </si>
  <si>
    <t>盲導犬訓練施設</t>
    <rPh sb="0" eb="3">
      <t>モウドウケン</t>
    </rPh>
    <rPh sb="3" eb="5">
      <t>クンレン</t>
    </rPh>
    <rPh sb="5" eb="7">
      <t>シセツ</t>
    </rPh>
    <phoneticPr fontId="5"/>
  </si>
  <si>
    <t>救護施設</t>
    <rPh sb="0" eb="2">
      <t>キュウゴ</t>
    </rPh>
    <rPh sb="2" eb="4">
      <t>シセツ</t>
    </rPh>
    <phoneticPr fontId="5"/>
  </si>
  <si>
    <t>更生施設</t>
    <rPh sb="0" eb="2">
      <t>コウセイ</t>
    </rPh>
    <rPh sb="2" eb="4">
      <t>シセツ</t>
    </rPh>
    <phoneticPr fontId="5"/>
  </si>
  <si>
    <t>老人短期入所施設</t>
    <rPh sb="0" eb="2">
      <t>ロウジン</t>
    </rPh>
    <rPh sb="2" eb="4">
      <t>タンキ</t>
    </rPh>
    <rPh sb="4" eb="6">
      <t>ニュウショ</t>
    </rPh>
    <rPh sb="6" eb="8">
      <t>シセツ</t>
    </rPh>
    <phoneticPr fontId="5"/>
  </si>
  <si>
    <t>小規模多機能居宅介護の事業所</t>
    <rPh sb="0" eb="3">
      <t>ショウキボ</t>
    </rPh>
    <rPh sb="3" eb="6">
      <t>タキノウ</t>
    </rPh>
    <rPh sb="6" eb="8">
      <t>キョタク</t>
    </rPh>
    <rPh sb="8" eb="10">
      <t>カイゴ</t>
    </rPh>
    <rPh sb="11" eb="14">
      <t>ジギョウショ</t>
    </rPh>
    <phoneticPr fontId="5"/>
  </si>
  <si>
    <t>看護小規模多機能型居宅介護の事業所</t>
    <rPh sb="0" eb="2">
      <t>カンゴ</t>
    </rPh>
    <rPh sb="2" eb="5">
      <t>ショウキボ</t>
    </rPh>
    <rPh sb="5" eb="9">
      <t>タキノウガタ</t>
    </rPh>
    <rPh sb="9" eb="11">
      <t>キョタク</t>
    </rPh>
    <rPh sb="11" eb="13">
      <t>カイゴ</t>
    </rPh>
    <rPh sb="14" eb="17">
      <t>ジギョウショ</t>
    </rPh>
    <phoneticPr fontId="5"/>
  </si>
  <si>
    <t>養護老人ホーム</t>
    <rPh sb="0" eb="2">
      <t>ヨウゴ</t>
    </rPh>
    <rPh sb="2" eb="4">
      <t>ロウジン</t>
    </rPh>
    <phoneticPr fontId="5"/>
  </si>
  <si>
    <t>特別養護老人ホーム</t>
    <rPh sb="0" eb="2">
      <t>トクベツ</t>
    </rPh>
    <rPh sb="2" eb="4">
      <t>ヨウゴ</t>
    </rPh>
    <rPh sb="4" eb="6">
      <t>ロウジン</t>
    </rPh>
    <phoneticPr fontId="5"/>
  </si>
  <si>
    <t>軽費老人ホーム</t>
    <rPh sb="0" eb="2">
      <t>ケイヒ</t>
    </rPh>
    <rPh sb="2" eb="4">
      <t>ロウジン</t>
    </rPh>
    <phoneticPr fontId="5"/>
  </si>
  <si>
    <t>有料老人ホーム</t>
    <rPh sb="0" eb="2">
      <t>ユウリョウ</t>
    </rPh>
    <rPh sb="2" eb="4">
      <t>ロウジン</t>
    </rPh>
    <phoneticPr fontId="5"/>
  </si>
  <si>
    <t>母子保健施設</t>
    <rPh sb="0" eb="2">
      <t>ボシ</t>
    </rPh>
    <rPh sb="2" eb="4">
      <t>ホケン</t>
    </rPh>
    <rPh sb="4" eb="6">
      <t>シセツ</t>
    </rPh>
    <phoneticPr fontId="5"/>
  </si>
  <si>
    <t>障害者支援施設</t>
    <rPh sb="0" eb="3">
      <t>ショウガイシャ</t>
    </rPh>
    <rPh sb="3" eb="5">
      <t>シエン</t>
    </rPh>
    <rPh sb="5" eb="7">
      <t>シセツ</t>
    </rPh>
    <phoneticPr fontId="5"/>
  </si>
  <si>
    <t>福祉ホーム</t>
    <rPh sb="0" eb="2">
      <t>フクシ</t>
    </rPh>
    <phoneticPr fontId="5"/>
  </si>
  <si>
    <t>障害者福祉サービスを行う事業所（就労移行支援を行う事業所で、利用者の就寝の用に供するもの）</t>
    <rPh sb="0" eb="3">
      <t>ショウガイシャ</t>
    </rPh>
    <rPh sb="3" eb="5">
      <t>フクシ</t>
    </rPh>
    <phoneticPr fontId="5"/>
  </si>
  <si>
    <t>―住居系施設(高齢者,障害者等以外)―</t>
  </si>
  <si>
    <t>―集会場等――――――――――――</t>
  </si>
  <si>
    <t>―病院系施設―――――――――――</t>
  </si>
  <si>
    <t>―宿泊施設――――――――――――</t>
  </si>
  <si>
    <t>―住居系施設(高齢者,障害者等)―――</t>
  </si>
  <si>
    <t>―体育館（学校付属以外）―――――</t>
  </si>
  <si>
    <t>―美術館等――――――――――――</t>
  </si>
  <si>
    <t>博物館</t>
    <rPh sb="0" eb="3">
      <t>ハクブツカン</t>
    </rPh>
    <phoneticPr fontId="5"/>
  </si>
  <si>
    <t>美術館</t>
    <rPh sb="0" eb="3">
      <t>ビジュツカン</t>
    </rPh>
    <phoneticPr fontId="5"/>
  </si>
  <si>
    <t>図書館</t>
    <rPh sb="0" eb="3">
      <t>トショカン</t>
    </rPh>
    <phoneticPr fontId="5"/>
  </si>
  <si>
    <t>―スポーツ練習場等――――――――</t>
  </si>
  <si>
    <t>ボーリング場</t>
    <rPh sb="5" eb="6">
      <t>ジョウ</t>
    </rPh>
    <phoneticPr fontId="5"/>
  </si>
  <si>
    <t>スキー場</t>
    <rPh sb="3" eb="4">
      <t>ジョウ</t>
    </rPh>
    <phoneticPr fontId="5"/>
  </si>
  <si>
    <t>スケート場</t>
    <rPh sb="4" eb="5">
      <t>ジョウ</t>
    </rPh>
    <phoneticPr fontId="5"/>
  </si>
  <si>
    <t>水泳場</t>
    <rPh sb="0" eb="3">
      <t>スイエイジョウ</t>
    </rPh>
    <phoneticPr fontId="5"/>
  </si>
  <si>
    <t>スポーツの練習場</t>
    <rPh sb="5" eb="8">
      <t>レンシュウジョウ</t>
    </rPh>
    <phoneticPr fontId="5"/>
  </si>
  <si>
    <t>―物販店等――――――――――――</t>
  </si>
  <si>
    <t>百貨店</t>
    <rPh sb="0" eb="3">
      <t>ヒャッカテン</t>
    </rPh>
    <phoneticPr fontId="5"/>
  </si>
  <si>
    <t>物品販売業を営む店舗</t>
    <rPh sb="0" eb="2">
      <t>ブッピン</t>
    </rPh>
    <rPh sb="2" eb="4">
      <t>ハンバイ</t>
    </rPh>
    <rPh sb="4" eb="5">
      <t>ギョウ</t>
    </rPh>
    <rPh sb="6" eb="7">
      <t>イトナ</t>
    </rPh>
    <rPh sb="8" eb="10">
      <t>テンポ</t>
    </rPh>
    <phoneticPr fontId="5"/>
  </si>
  <si>
    <t>―展示場等――――――――――――</t>
  </si>
  <si>
    <t>展示場</t>
    <rPh sb="0" eb="3">
      <t>テンジジョウ</t>
    </rPh>
    <phoneticPr fontId="5"/>
  </si>
  <si>
    <t>―飲食等―――――――――――――</t>
  </si>
  <si>
    <t>飲食店</t>
    <rPh sb="0" eb="2">
      <t>インショク</t>
    </rPh>
    <rPh sb="2" eb="3">
      <t>テン</t>
    </rPh>
    <phoneticPr fontId="5"/>
  </si>
  <si>
    <t>料理店</t>
    <rPh sb="0" eb="2">
      <t>リョウリ</t>
    </rPh>
    <rPh sb="2" eb="3">
      <t>テン</t>
    </rPh>
    <phoneticPr fontId="5"/>
  </si>
  <si>
    <t>待合</t>
    <rPh sb="0" eb="2">
      <t>マチアイ</t>
    </rPh>
    <phoneticPr fontId="5"/>
  </si>
  <si>
    <t>―遊技場等――――――――――――</t>
  </si>
  <si>
    <t>公衆浴場</t>
    <rPh sb="0" eb="2">
      <t>コウシュウ</t>
    </rPh>
    <rPh sb="2" eb="4">
      <t>ヨクジョウ</t>
    </rPh>
    <phoneticPr fontId="5"/>
  </si>
  <si>
    <t>遊技場</t>
    <rPh sb="0" eb="3">
      <t>ユウギジョウ</t>
    </rPh>
    <phoneticPr fontId="5"/>
  </si>
  <si>
    <t>―自動車車庫等――――――――――</t>
  </si>
  <si>
    <t>自動車車庫</t>
    <rPh sb="0" eb="3">
      <t>ジドウシャ</t>
    </rPh>
    <rPh sb="3" eb="5">
      <t>シャコ</t>
    </rPh>
    <phoneticPr fontId="5"/>
  </si>
  <si>
    <t>自動車修理工場</t>
    <rPh sb="0" eb="3">
      <t>ジドウシャ</t>
    </rPh>
    <rPh sb="3" eb="5">
      <t>シュウリ</t>
    </rPh>
    <rPh sb="5" eb="7">
      <t>コウジョウ</t>
    </rPh>
    <phoneticPr fontId="5"/>
  </si>
  <si>
    <t>映画スタジオ</t>
    <rPh sb="0" eb="2">
      <t>エイガ</t>
    </rPh>
    <phoneticPr fontId="5"/>
  </si>
  <si>
    <t>事務所</t>
    <rPh sb="0" eb="2">
      <t>ジム</t>
    </rPh>
    <rPh sb="2" eb="3">
      <t>ショ</t>
    </rPh>
    <phoneticPr fontId="5"/>
  </si>
  <si>
    <t>美容室</t>
    <rPh sb="0" eb="3">
      <t>ビヨウシツ</t>
    </rPh>
    <phoneticPr fontId="5"/>
  </si>
  <si>
    <t>診療所（患者の収容施設がないもの）</t>
    <rPh sb="0" eb="3">
      <t>シンリョウジョ</t>
    </rPh>
    <phoneticPr fontId="5"/>
  </si>
  <si>
    <t>―定報対象以外の用途（倉庫）―――</t>
  </si>
  <si>
    <t>倉庫（別の用途に附属するもの以外）</t>
    <rPh sb="3" eb="4">
      <t>ベツ</t>
    </rPh>
    <phoneticPr fontId="4"/>
  </si>
  <si>
    <t>―定報対象以外の用途（倉庫以外）―</t>
  </si>
  <si>
    <t>―劇場,映画館等――――――――――</t>
  </si>
  <si>
    <t>―学校,体育館（学校付属）―――――</t>
  </si>
  <si>
    <t>―事務所,サービス店舗等――――――</t>
  </si>
  <si>
    <t>劇場,映画館等</t>
  </si>
  <si>
    <t>住居系施設(高齢者,障害者等以外)</t>
  </si>
  <si>
    <t>住居系施設(高齢者,障害者等)</t>
  </si>
  <si>
    <t>事務所,サービス店舗等</t>
  </si>
  <si>
    <t>学校,体育館(学校付属)</t>
  </si>
  <si>
    <t>体育館(学校付属以外)</t>
  </si>
  <si>
    <t>定報対象以外の用途(倉庫)</t>
  </si>
  <si>
    <t>定報対象以外の用途(倉庫以外)</t>
  </si>
  <si>
    <t>名前定義用→</t>
    <rPh sb="0" eb="2">
      <t>ナマエ</t>
    </rPh>
    <rPh sb="2" eb="4">
      <t>テイギ</t>
    </rPh>
    <rPh sb="4" eb="5">
      <t>ヨウ</t>
    </rPh>
    <phoneticPr fontId="123"/>
  </si>
  <si>
    <t>大分類プルダウン→</t>
    <rPh sb="0" eb="3">
      <t>ダイブンルイ</t>
    </rPh>
    <phoneticPr fontId="123"/>
  </si>
  <si>
    <t>マージャン屋</t>
  </si>
  <si>
    <t>ぱちんこ屋</t>
  </si>
  <si>
    <t>カラオケボックス</t>
  </si>
  <si>
    <t>漫画喫茶</t>
  </si>
  <si>
    <t>個室ビデオ</t>
  </si>
  <si>
    <t>特記</t>
    <rPh sb="0" eb="2">
      <t>トッキ</t>
    </rPh>
    <phoneticPr fontId="123"/>
  </si>
  <si>
    <t>特殊な用途</t>
    <rPh sb="0" eb="2">
      <t>トクシュ</t>
    </rPh>
    <rPh sb="3" eb="5">
      <t>ヨウト</t>
    </rPh>
    <phoneticPr fontId="123"/>
  </si>
  <si>
    <t>（該当なし）</t>
    <rPh sb="1" eb="3">
      <t>ガイトウ</t>
    </rPh>
    <phoneticPr fontId="123"/>
  </si>
  <si>
    <t>←プルダウンに該当する用途があれば選択</t>
    <rPh sb="7" eb="9">
      <t>ガイトウ</t>
    </rPh>
    <rPh sb="11" eb="13">
      <t>ヨウト</t>
    </rPh>
    <rPh sb="17" eb="19">
      <t>センタク</t>
    </rPh>
    <phoneticPr fontId="3"/>
  </si>
  <si>
    <t>入力未完</t>
    <phoneticPr fontId="3"/>
  </si>
  <si>
    <r>
      <t>　　※入力欄の赤色</t>
    </r>
    <r>
      <rPr>
        <sz val="12"/>
        <color rgb="FFFF0000"/>
        <rFont val="メイリオ"/>
        <family val="3"/>
        <charset val="128"/>
      </rPr>
      <t>■</t>
    </r>
    <r>
      <rPr>
        <sz val="12"/>
        <color theme="1"/>
        <rFont val="メイリオ"/>
        <family val="3"/>
        <charset val="128"/>
      </rPr>
      <t>着色(入力不備)、緑色</t>
    </r>
    <r>
      <rPr>
        <sz val="12"/>
        <color rgb="FF99FF33"/>
        <rFont val="メイリオ"/>
        <family val="3"/>
        <charset val="128"/>
      </rPr>
      <t>■</t>
    </r>
    <r>
      <rPr>
        <sz val="12"/>
        <color theme="1"/>
        <rFont val="メイリオ"/>
        <family val="3"/>
        <charset val="128"/>
      </rPr>
      <t>着色(入力未完)が残らないようにしてください。</t>
    </r>
    <rPh sb="7" eb="8">
      <t>アカ</t>
    </rPh>
    <rPh sb="10" eb="12">
      <t>チャクショク</t>
    </rPh>
    <rPh sb="13" eb="15">
      <t>ニュウリョク</t>
    </rPh>
    <rPh sb="15" eb="17">
      <t>フビ</t>
    </rPh>
    <rPh sb="19" eb="21">
      <t>ミドリイロ</t>
    </rPh>
    <phoneticPr fontId="72"/>
  </si>
  <si>
    <t>　　⑧－１ 所有者又は管理者は、調査者等から説明を受け、
　　　　　　現行の規定への適合状況、耐震診断・耐震改修の必要性について、十分理解していますか。　　　　</t>
    <phoneticPr fontId="72"/>
  </si>
  <si>
    <t>特記用途</t>
    <rPh sb="0" eb="2">
      <t>トッキ</t>
    </rPh>
    <rPh sb="2" eb="4">
      <t>ヨウト</t>
    </rPh>
    <phoneticPr fontId="3"/>
  </si>
  <si>
    <t>☐</t>
  </si>
  <si>
    <t>関係写真
（告示第２８２号別記
　　別添２様式）</t>
    <rPh sb="0" eb="2">
      <t>カンケイ</t>
    </rPh>
    <phoneticPr fontId="3"/>
  </si>
  <si>
    <t>今回が初回の調査時期である場合、「対象外」としてください。</t>
  </si>
  <si>
    <t>調査者1，2，3それぞれの氏名は調査者の入力欄から自動反映されます。（調査者2及び3はいない場合もあります）
調査者が1名のみの場合、以下の調査者番号は入力不要です。</t>
    <phoneticPr fontId="3"/>
  </si>
  <si>
    <r>
      <t>・図面はこのExcelファイルには添付できません。</t>
    </r>
    <r>
      <rPr>
        <b/>
        <sz val="11"/>
        <color rgb="FFFF0000"/>
        <rFont val="Meiryo UI"/>
        <family val="3"/>
        <charset val="128"/>
      </rPr>
      <t>PDF（図面）の別途添付</t>
    </r>
    <r>
      <rPr>
        <sz val="11"/>
        <rFont val="Meiryo UI"/>
        <family val="3"/>
        <charset val="128"/>
      </rPr>
      <t>により提出してください。
　（付近見取図、配置図、各階平面図を1つのPDFファイルにまとめてください。）</t>
    </r>
    <rPh sb="1" eb="3">
      <t>ズメン</t>
    </rPh>
    <rPh sb="17" eb="19">
      <t>テンプ</t>
    </rPh>
    <rPh sb="29" eb="31">
      <t>ズメン</t>
    </rPh>
    <rPh sb="52" eb="56">
      <t>フキンミト</t>
    </rPh>
    <rPh sb="56" eb="57">
      <t>ズ</t>
    </rPh>
    <rPh sb="58" eb="60">
      <t>ハイチ</t>
    </rPh>
    <rPh sb="60" eb="61">
      <t>ズ</t>
    </rPh>
    <rPh sb="62" eb="67">
      <t>カクカイヘイメンズ</t>
    </rPh>
    <phoneticPr fontId="3"/>
  </si>
  <si>
    <t>調査結果図
（告示第２８２号別記
　　別添１様式）・添付図面</t>
    <rPh sb="0" eb="2">
      <t>チョウサ</t>
    </rPh>
    <rPh sb="2" eb="4">
      <t>ケッカ</t>
    </rPh>
    <rPh sb="4" eb="5">
      <t>ズ</t>
    </rPh>
    <phoneticPr fontId="3"/>
  </si>
  <si>
    <t>特記用途</t>
    <rPh sb="0" eb="4">
      <t>トッキヨウト</t>
    </rPh>
    <phoneticPr fontId="3"/>
  </si>
  <si>
    <t>幼保連携型認定こども園</t>
  </si>
  <si>
    <t>児童厚生施設</t>
  </si>
  <si>
    <t>児童養護施設</t>
  </si>
  <si>
    <t>身体障害者福祉センター</t>
  </si>
  <si>
    <t>老人福祉センター</t>
  </si>
  <si>
    <t>保育所</t>
    <phoneticPr fontId="3"/>
  </si>
  <si>
    <t>老人デイサービスセンター（宿泊サービスを提供しないもの）</t>
    <phoneticPr fontId="3"/>
  </si>
  <si>
    <t>　　　令第115条の3第1項第1号に掲げる児童福祉施設等</t>
  </si>
  <si>
    <t>　　　（平成28年国土交通省告示第240号第1第2項に掲げる</t>
  </si>
  <si>
    <t>　　　　高齢者、障害者等の就寝の用に供する用途）</t>
  </si>
  <si>
    <t>※ 児童福祉施設等(1)(2)については、</t>
    <phoneticPr fontId="3"/>
  </si>
  <si>
    <t>　　　小分類は、「児童福祉施設等 (2) （国指定）」小分類プルダウンから選択</t>
  </si>
  <si>
    <t>　　　小分類は、「児童福祉施設等 (1) （市指定）」小分類プルダウンから選択、</t>
  </si>
  <si>
    <t>　　　　　　　　　又は、直接入力</t>
  </si>
  <si>
    <t>　　以下のとおり、大分類・小分類を入力してください。</t>
    <rPh sb="13" eb="16">
      <t>ショウブンルイ</t>
    </rPh>
    <rPh sb="17" eb="19">
      <t>ニュウリョク</t>
    </rPh>
    <phoneticPr fontId="3"/>
  </si>
  <si>
    <r>
      <t xml:space="preserve">　・「児童福祉施設等 (2) </t>
    </r>
    <r>
      <rPr>
        <b/>
        <sz val="10"/>
        <rFont val="ＭＳ Ｐゴシック"/>
        <family val="3"/>
        <charset val="128"/>
      </rPr>
      <t>（国指定）</t>
    </r>
    <r>
      <rPr>
        <sz val="10"/>
        <rFont val="ＭＳ Ｐゴシック"/>
        <family val="3"/>
        <charset val="128"/>
      </rPr>
      <t>」小分類プルダウン</t>
    </r>
    <r>
      <rPr>
        <b/>
        <sz val="10"/>
        <rFont val="ＭＳ Ｐゴシック"/>
        <family val="3"/>
        <charset val="128"/>
      </rPr>
      <t>一覧にない</t>
    </r>
    <r>
      <rPr>
        <sz val="10"/>
        <rFont val="ＭＳ Ｐゴシック"/>
        <family val="3"/>
        <charset val="128"/>
      </rPr>
      <t>、</t>
    </r>
    <phoneticPr fontId="3"/>
  </si>
  <si>
    <r>
      <t xml:space="preserve">　・「児童福祉施設等 (2) </t>
    </r>
    <r>
      <rPr>
        <b/>
        <sz val="10"/>
        <rFont val="ＭＳ Ｐゴシック"/>
        <family val="3"/>
        <charset val="128"/>
      </rPr>
      <t>（国指定）</t>
    </r>
    <r>
      <rPr>
        <sz val="10"/>
        <rFont val="ＭＳ Ｐゴシック"/>
        <family val="3"/>
        <charset val="128"/>
      </rPr>
      <t>」小分類プルダウン</t>
    </r>
    <r>
      <rPr>
        <b/>
        <sz val="10"/>
        <rFont val="ＭＳ Ｐゴシック"/>
        <family val="3"/>
        <charset val="128"/>
      </rPr>
      <t>一覧にある</t>
    </r>
    <r>
      <rPr>
        <sz val="10"/>
        <rFont val="ＭＳ Ｐゴシック"/>
        <family val="3"/>
        <charset val="128"/>
      </rPr>
      <t>用途</t>
    </r>
    <phoneticPr fontId="3"/>
  </si>
  <si>
    <r>
      <t xml:space="preserve">　　→大分類は、「児童福祉施設等 (2) </t>
    </r>
    <r>
      <rPr>
        <b/>
        <sz val="10"/>
        <rFont val="ＭＳ Ｐゴシック"/>
        <family val="3"/>
        <charset val="128"/>
      </rPr>
      <t>（国指定）</t>
    </r>
    <r>
      <rPr>
        <sz val="10"/>
        <rFont val="ＭＳ Ｐゴシック"/>
        <family val="3"/>
        <charset val="128"/>
      </rPr>
      <t>」</t>
    </r>
    <phoneticPr fontId="3"/>
  </si>
  <si>
    <r>
      <t xml:space="preserve">　　→大分類は、「児童福祉施設等 (1) </t>
    </r>
    <r>
      <rPr>
        <b/>
        <sz val="10"/>
        <rFont val="ＭＳ Ｐゴシック"/>
        <family val="3"/>
        <charset val="128"/>
      </rPr>
      <t>（市指定）</t>
    </r>
    <r>
      <rPr>
        <sz val="10"/>
        <rFont val="ＭＳ Ｐゴシック"/>
        <family val="3"/>
        <charset val="128"/>
      </rPr>
      <t>」</t>
    </r>
    <phoneticPr fontId="3"/>
  </si>
  <si>
    <t>１３　備考（入力内容は概要書及び報告書の第二面7欄に反映されます）</t>
    <rPh sb="3" eb="5">
      <t>ビコウ</t>
    </rPh>
    <rPh sb="20" eb="21">
      <t>ダイ</t>
    </rPh>
    <rPh sb="21" eb="23">
      <t>ニメン</t>
    </rPh>
    <phoneticPr fontId="3"/>
  </si>
  <si>
    <r>
      <rPr>
        <b/>
        <sz val="11"/>
        <rFont val="ＭＳ Ｐゴシック"/>
        <family val="3"/>
        <charset val="128"/>
        <scheme val="major"/>
      </rPr>
      <t>前回調査時より前</t>
    </r>
    <r>
      <rPr>
        <sz val="11"/>
        <rFont val="ＭＳ Ｐゴシック"/>
        <family val="3"/>
        <charset val="128"/>
        <scheme val="major"/>
      </rPr>
      <t>（＝</t>
    </r>
    <r>
      <rPr>
        <b/>
        <sz val="11"/>
        <rFont val="ＭＳ Ｐゴシック"/>
        <family val="3"/>
        <charset val="128"/>
        <scheme val="major"/>
      </rPr>
      <t>１１</t>
    </r>
    <r>
      <rPr>
        <sz val="11"/>
        <rFont val="ＭＳ Ｐゴシック"/>
        <family val="3"/>
        <charset val="128"/>
        <scheme val="major"/>
      </rPr>
      <t>　増築、改築、用途変更等の経過」に記載のもの</t>
    </r>
    <r>
      <rPr>
        <b/>
        <sz val="11"/>
        <rFont val="ＭＳ Ｐゴシック"/>
        <family val="3"/>
        <charset val="128"/>
        <scheme val="major"/>
      </rPr>
      <t>以外</t>
    </r>
    <r>
      <rPr>
        <sz val="11"/>
        <rFont val="ＭＳ Ｐゴシック"/>
        <family val="3"/>
        <charset val="128"/>
        <scheme val="major"/>
      </rPr>
      <t>）の「増築、改築、用途変更等」について、記入してください。建築確認を受けている場合は確認番号・検査済番号、各交付年月日を記入し、受けていない場合は工事が完了した年月日を記入してください。
全体計画認定の適用を受けている場合において、その旨を記入してください。
記載枠が足りず書ききれない場合は、別紙PDFを作成し、報告書に添えて提出してください。</t>
    </r>
    <phoneticPr fontId="3"/>
  </si>
  <si>
    <t>↑352行目～365行目結果の変換</t>
    <phoneticPr fontId="3"/>
  </si>
  <si>
    <t>20</t>
    <phoneticPr fontId="3"/>
  </si>
  <si>
    <t>直通階段の数について</t>
    <rPh sb="0" eb="4">
      <t>チョクツウカイダン</t>
    </rPh>
    <rPh sb="5" eb="6">
      <t>カズ</t>
    </rPh>
    <phoneticPr fontId="3"/>
  </si>
  <si>
    <t>直通階段の数</t>
    <phoneticPr fontId="3"/>
  </si>
  <si>
    <t>4</t>
  </si>
  <si>
    <t>メールアドレス（半角）</t>
  </si>
  <si>
    <t>延べ面積</t>
    <rPh sb="0" eb="1">
      <t>ノ</t>
    </rPh>
    <rPh sb="2" eb="4">
      <t>メンセキ</t>
    </rPh>
    <phoneticPr fontId="3"/>
  </si>
  <si>
    <t>特記</t>
    <phoneticPr fontId="3"/>
  </si>
  <si>
    <t>階別用途別床面積</t>
  </si>
  <si>
    <t>延べ面積</t>
  </si>
  <si>
    <t>郵便番号</t>
  </si>
  <si>
    <t>住所</t>
  </si>
  <si>
    <t>電話番号</t>
  </si>
  <si>
    <t>氏名</t>
    <phoneticPr fontId="3"/>
  </si>
  <si>
    <t>法人名</t>
  </si>
  <si>
    <t>外装仕上材のタイル・石貼り等、モルタル塗り等の使用</t>
    <rPh sb="0" eb="2">
      <t>ガイソウ</t>
    </rPh>
    <rPh sb="2" eb="4">
      <t>シア</t>
    </rPh>
    <rPh sb="4" eb="5">
      <t>ザイ</t>
    </rPh>
    <rPh sb="10" eb="11">
      <t>イシ</t>
    </rPh>
    <rPh sb="11" eb="12">
      <t>ハ</t>
    </rPh>
    <rPh sb="13" eb="14">
      <t>ナド</t>
    </rPh>
    <rPh sb="19" eb="20">
      <t>ヌ</t>
    </rPh>
    <rPh sb="21" eb="22">
      <t>ナド</t>
    </rPh>
    <rPh sb="23" eb="24">
      <t>ヨウ</t>
    </rPh>
    <phoneticPr fontId="3"/>
  </si>
  <si>
    <t>予定</t>
    <rPh sb="0" eb="2">
      <t>ヨテイ</t>
    </rPh>
    <phoneticPr fontId="3"/>
  </si>
  <si>
    <t>改善済</t>
    <rPh sb="0" eb="3">
      <t>カイゼンズ</t>
    </rPh>
    <phoneticPr fontId="3"/>
  </si>
  <si>
    <t>未定</t>
    <rPh sb="0" eb="2">
      <t>ミテイ</t>
    </rPh>
    <phoneticPr fontId="3"/>
  </si>
  <si>
    <t>児童福祉施設等(1)(市指定※)</t>
  </si>
  <si>
    <t>児童福祉施設等(2)(国指定※)</t>
  </si>
  <si>
    <t>劇場_映画館等</t>
  </si>
  <si>
    <t>住居系施設_高齢者_障害者等以外</t>
  </si>
  <si>
    <t>住居系施設_高齢者_障害者等</t>
  </si>
  <si>
    <t>児童福祉施設等_1_市指定</t>
  </si>
  <si>
    <t>児童福祉施設等_2_国指定</t>
  </si>
  <si>
    <t>事務所_サービス店舗等</t>
  </si>
  <si>
    <t>定報対象以外の用途_倉庫</t>
  </si>
  <si>
    <t>定報対象以外の用途_倉庫以外</t>
  </si>
  <si>
    <t>保育所</t>
  </si>
  <si>
    <t>老人デイサービスセンター（宿泊サービスを提供しないもの）</t>
  </si>
  <si>
    <t>学校_体育館_学校付属</t>
    <phoneticPr fontId="123"/>
  </si>
  <si>
    <t>体育館_学校付属以外</t>
    <phoneticPr fontId="123"/>
  </si>
  <si>
    <t>記載枠あふれ可能性</t>
  </si>
  <si>
    <t>記載枠あふれ可能性</t>
    <rPh sb="0" eb="3">
      <t>キサイワク</t>
    </rPh>
    <rPh sb="6" eb="9">
      <t>カノウセイ</t>
    </rPh>
    <phoneticPr fontId="3"/>
  </si>
  <si>
    <t>まとめ</t>
  </si>
  <si>
    <t>上記１から７で表現できない項目</t>
  </si>
  <si>
    <t>１から７</t>
  </si>
  <si>
    <t>出力用</t>
    <phoneticPr fontId="3"/>
  </si>
  <si>
    <t>info関数</t>
    <rPh sb="4" eb="6">
      <t>カンスウ</t>
    </rPh>
    <phoneticPr fontId="124"/>
  </si>
  <si>
    <t>操作環境の名前</t>
  </si>
  <si>
    <t>OSのバージョン</t>
  </si>
  <si>
    <t>Excel のバージョン</t>
  </si>
  <si>
    <t>市指定（細則29条1項1号）</t>
    <rPh sb="0" eb="3">
      <t>シシテイ</t>
    </rPh>
    <phoneticPr fontId="24"/>
  </si>
  <si>
    <t>国指定まとめ</t>
    <rPh sb="0" eb="3">
      <t>クニシテイ</t>
    </rPh>
    <phoneticPr fontId="24"/>
  </si>
  <si>
    <t>告示240第3_1項2号</t>
    <rPh sb="0" eb="2">
      <t>コクジ</t>
    </rPh>
    <rPh sb="5" eb="6">
      <t>ダイ</t>
    </rPh>
    <rPh sb="9" eb="10">
      <t>コウ</t>
    </rPh>
    <rPh sb="11" eb="12">
      <t>ゴウ</t>
    </rPh>
    <phoneticPr fontId="24"/>
  </si>
  <si>
    <t>告示240第3_1項1号</t>
    <rPh sb="0" eb="2">
      <t>コクジ</t>
    </rPh>
    <rPh sb="5" eb="6">
      <t>ダイ</t>
    </rPh>
    <rPh sb="9" eb="10">
      <t>コウ</t>
    </rPh>
    <rPh sb="11" eb="12">
      <t>ゴウ</t>
    </rPh>
    <phoneticPr fontId="24"/>
  </si>
  <si>
    <t>防火設備判定</t>
    <rPh sb="0" eb="4">
      <t>ボウカセツビ</t>
    </rPh>
    <rPh sb="4" eb="6">
      <t>ハンテイ</t>
    </rPh>
    <phoneticPr fontId="24"/>
  </si>
  <si>
    <t>市指定（細則29条1項2号）</t>
    <rPh sb="0" eb="3">
      <t>シシテイ</t>
    </rPh>
    <phoneticPr fontId="24"/>
  </si>
  <si>
    <t>建築設備判定</t>
    <rPh sb="0" eb="2">
      <t>ケンチク</t>
    </rPh>
    <rPh sb="2" eb="4">
      <t>セツビ</t>
    </rPh>
    <rPh sb="4" eb="6">
      <t>ハンテイ</t>
    </rPh>
    <phoneticPr fontId="24"/>
  </si>
  <si>
    <t>IDと突合用</t>
    <rPh sb="3" eb="5">
      <t>トツゴウ</t>
    </rPh>
    <rPh sb="5" eb="6">
      <t>ヨウ</t>
    </rPh>
    <phoneticPr fontId="24"/>
  </si>
  <si>
    <t>市指定まとめ</t>
    <rPh sb="0" eb="1">
      <t>シ</t>
    </rPh>
    <rPh sb="1" eb="3">
      <t>シテイ</t>
    </rPh>
    <phoneticPr fontId="24"/>
  </si>
  <si>
    <t>市指定（細則28条1項1号）まとめ</t>
    <rPh sb="0" eb="3">
      <t>シシテイ</t>
    </rPh>
    <phoneticPr fontId="24"/>
  </si>
  <si>
    <t>市指定（細則28条1項2号-4号）まとめ</t>
    <rPh sb="0" eb="3">
      <t>シシテイ</t>
    </rPh>
    <phoneticPr fontId="24"/>
  </si>
  <si>
    <t>全階（市）</t>
  </si>
  <si>
    <t>事務所階数5以上</t>
    <rPh sb="0" eb="2">
      <t>ジム</t>
    </rPh>
    <rPh sb="2" eb="3">
      <t>ショ</t>
    </rPh>
    <rPh sb="3" eb="5">
      <t>カイスウ</t>
    </rPh>
    <rPh sb="6" eb="8">
      <t>イジョウ</t>
    </rPh>
    <phoneticPr fontId="129"/>
  </si>
  <si>
    <t>旧耐震仮判定</t>
    <rPh sb="3" eb="6">
      <t>カリハンテイ</t>
    </rPh>
    <phoneticPr fontId="131"/>
  </si>
  <si>
    <t>劇場主階仮判定</t>
    <rPh sb="0" eb="4">
      <t>ゲキジョウシュカイ</t>
    </rPh>
    <rPh sb="4" eb="7">
      <t>カリハンテイ</t>
    </rPh>
    <phoneticPr fontId="129"/>
  </si>
  <si>
    <t>階数</t>
    <rPh sb="0" eb="2">
      <t>カイスウ</t>
    </rPh>
    <phoneticPr fontId="24"/>
  </si>
  <si>
    <t>事務所階数5</t>
    <rPh sb="0" eb="3">
      <t>ジムショ</t>
    </rPh>
    <rPh sb="3" eb="5">
      <t>カイスウ</t>
    </rPh>
    <phoneticPr fontId="129"/>
  </si>
  <si>
    <t>面積_3F～</t>
  </si>
  <si>
    <t>共住旧耐震</t>
    <rPh sb="0" eb="2">
      <t>キョウジュウ</t>
    </rPh>
    <rPh sb="2" eb="5">
      <t>キュウタイシン</t>
    </rPh>
    <phoneticPr fontId="129"/>
  </si>
  <si>
    <t>面積_2F</t>
  </si>
  <si>
    <t>塔屋5/</t>
  </si>
  <si>
    <t>面積_1F</t>
  </si>
  <si>
    <t>塔屋4/</t>
  </si>
  <si>
    <t>面積_B1F</t>
  </si>
  <si>
    <t>告示240/細則28条1項2号-4号まとめ</t>
    <rPh sb="0" eb="2">
      <t>コクジ</t>
    </rPh>
    <rPh sb="6" eb="8">
      <t>サイソク</t>
    </rPh>
    <rPh sb="10" eb="11">
      <t>ジョウ</t>
    </rPh>
    <rPh sb="12" eb="13">
      <t>コウ</t>
    </rPh>
    <rPh sb="14" eb="15">
      <t>ゴウ</t>
    </rPh>
    <rPh sb="17" eb="18">
      <t>ゴウ</t>
    </rPh>
    <phoneticPr fontId="24"/>
  </si>
  <si>
    <t>塔屋3/</t>
  </si>
  <si>
    <t>面積_～B2F</t>
  </si>
  <si>
    <t>塔屋2/</t>
  </si>
  <si>
    <t>用途別面積CSV出力用</t>
    <rPh sb="0" eb="5">
      <t>ヨウトベツメンセキ</t>
    </rPh>
    <rPh sb="8" eb="11">
      <t>シュツリョクヨウ</t>
    </rPh>
    <phoneticPr fontId="24"/>
  </si>
  <si>
    <t>劇場主階1階以外</t>
    <rPh sb="0" eb="4">
      <t>ゲキジョウシュカイ</t>
    </rPh>
    <rPh sb="5" eb="8">
      <t>カイイガイ</t>
    </rPh>
    <phoneticPr fontId="24"/>
  </si>
  <si>
    <t>塔屋1/</t>
  </si>
  <si>
    <t>50/</t>
  </si>
  <si>
    <t>客席200㎡以上</t>
    <rPh sb="0" eb="2">
      <t>キャクセキ</t>
    </rPh>
    <rPh sb="5" eb="8">
      <t>ヘイベイイジョウ</t>
    </rPh>
    <phoneticPr fontId="24"/>
  </si>
  <si>
    <t>49/</t>
  </si>
  <si>
    <t>全階</t>
  </si>
  <si>
    <t>48/</t>
  </si>
  <si>
    <t>3F～</t>
    <phoneticPr fontId="24"/>
  </si>
  <si>
    <t>47/</t>
  </si>
  <si>
    <t>2F</t>
  </si>
  <si>
    <t>46/</t>
  </si>
  <si>
    <t>BF</t>
  </si>
  <si>
    <t>45/</t>
  </si>
  <si>
    <t>44/</t>
  </si>
  <si>
    <t>43/</t>
  </si>
  <si>
    <t>避難階以外あり（法別表1(1)～(4)）</t>
    <rPh sb="0" eb="3">
      <t>ヒナンカイ</t>
    </rPh>
    <rPh sb="3" eb="5">
      <t>イガイ</t>
    </rPh>
    <rPh sb="8" eb="11">
      <t>ホウベッピョウ</t>
    </rPh>
    <phoneticPr fontId="24"/>
  </si>
  <si>
    <t>42/</t>
  </si>
  <si>
    <t>41/</t>
  </si>
  <si>
    <t>令14条の2_1項</t>
    <rPh sb="0" eb="1">
      <t>レイ</t>
    </rPh>
    <rPh sb="3" eb="4">
      <t>ジョウ</t>
    </rPh>
    <rPh sb="8" eb="9">
      <t>コウ</t>
    </rPh>
    <phoneticPr fontId="24"/>
  </si>
  <si>
    <t>40/</t>
  </si>
  <si>
    <t>39/</t>
  </si>
  <si>
    <t>法6条1項1号</t>
    <rPh sb="0" eb="1">
      <t>ホウ</t>
    </rPh>
    <phoneticPr fontId="24"/>
  </si>
  <si>
    <t>38/</t>
  </si>
  <si>
    <t>37/</t>
  </si>
  <si>
    <t>面積（法別表1(1)～(6)）</t>
    <rPh sb="0" eb="2">
      <t>メンセキ</t>
    </rPh>
    <rPh sb="3" eb="6">
      <t>ホウベッピョウ</t>
    </rPh>
    <phoneticPr fontId="24"/>
  </si>
  <si>
    <t>建築物判定</t>
    <rPh sb="0" eb="3">
      <t>ケンチクブツ</t>
    </rPh>
    <rPh sb="3" eb="5">
      <t>ハンテイ</t>
    </rPh>
    <phoneticPr fontId="24"/>
  </si>
  <si>
    <t>36/</t>
  </si>
  <si>
    <t>35/</t>
  </si>
  <si>
    <t>避難階</t>
    <rPh sb="0" eb="3">
      <t>ヒナンカイ</t>
    </rPh>
    <phoneticPr fontId="24"/>
  </si>
  <si>
    <t>34/</t>
  </si>
  <si>
    <t>全階</t>
    <phoneticPr fontId="24"/>
  </si>
  <si>
    <t>33/</t>
  </si>
  <si>
    <t>3F～</t>
  </si>
  <si>
    <t>32/</t>
  </si>
  <si>
    <t>2F</t>
    <phoneticPr fontId="24"/>
  </si>
  <si>
    <t>31/</t>
  </si>
  <si>
    <t>BF</t>
    <phoneticPr fontId="24"/>
  </si>
  <si>
    <t>30/</t>
  </si>
  <si>
    <t>大分類改め（記号）</t>
    <rPh sb="3" eb="4">
      <t>アラタ</t>
    </rPh>
    <rPh sb="6" eb="8">
      <t>キゴウ</t>
    </rPh>
    <phoneticPr fontId="24"/>
  </si>
  <si>
    <t>29/</t>
  </si>
  <si>
    <t>用途7</t>
    <rPh sb="0" eb="2">
      <t>ヨウト</t>
    </rPh>
    <phoneticPr fontId="24"/>
  </si>
  <si>
    <t>用途6</t>
    <rPh sb="0" eb="2">
      <t>ヨウト</t>
    </rPh>
    <phoneticPr fontId="24"/>
  </si>
  <si>
    <t>用途5</t>
    <rPh sb="0" eb="2">
      <t>ヨウト</t>
    </rPh>
    <phoneticPr fontId="24"/>
  </si>
  <si>
    <t>用途4</t>
    <rPh sb="0" eb="2">
      <t>ヨウト</t>
    </rPh>
    <phoneticPr fontId="24"/>
  </si>
  <si>
    <t>用途3</t>
    <rPh sb="0" eb="2">
      <t>ヨウト</t>
    </rPh>
    <phoneticPr fontId="24"/>
  </si>
  <si>
    <t>用途2</t>
    <rPh sb="0" eb="2">
      <t>ヨウト</t>
    </rPh>
    <phoneticPr fontId="24"/>
  </si>
  <si>
    <t>用途1</t>
    <rPh sb="0" eb="2">
      <t>ヨウト</t>
    </rPh>
    <phoneticPr fontId="24"/>
  </si>
  <si>
    <t>面積小計</t>
    <rPh sb="0" eb="4">
      <t>メンセキショウケイ</t>
    </rPh>
    <phoneticPr fontId="24"/>
  </si>
  <si>
    <t>28/</t>
  </si>
  <si>
    <t>&gt;</t>
  </si>
  <si>
    <t>全階</t>
    <phoneticPr fontId="24"/>
  </si>
  <si>
    <t>国</t>
    <rPh sb="0" eb="1">
      <t>クニ</t>
    </rPh>
    <phoneticPr fontId="24"/>
  </si>
  <si>
    <t>27/</t>
  </si>
  <si>
    <t>26/</t>
  </si>
  <si>
    <t>全階</t>
    <rPh sb="0" eb="1">
      <t>ゼン</t>
    </rPh>
    <rPh sb="1" eb="2">
      <t>カイ</t>
    </rPh>
    <phoneticPr fontId="24"/>
  </si>
  <si>
    <t>防火設備判定</t>
    <rPh sb="0" eb="2">
      <t>ボウカ</t>
    </rPh>
    <rPh sb="2" eb="4">
      <t>セツビ</t>
    </rPh>
    <rPh sb="4" eb="6">
      <t>ハンテイ</t>
    </rPh>
    <phoneticPr fontId="24"/>
  </si>
  <si>
    <t>25/</t>
  </si>
  <si>
    <t>24/</t>
  </si>
  <si>
    <t>市</t>
    <rPh sb="0" eb="1">
      <t>シ</t>
    </rPh>
    <phoneticPr fontId="24"/>
  </si>
  <si>
    <t>23/</t>
  </si>
  <si>
    <t>22/</t>
  </si>
  <si>
    <t>全階（市）</t>
    <rPh sb="0" eb="1">
      <t>ゼン</t>
    </rPh>
    <rPh sb="1" eb="2">
      <t>カイ</t>
    </rPh>
    <rPh sb="3" eb="4">
      <t>シ</t>
    </rPh>
    <phoneticPr fontId="24"/>
  </si>
  <si>
    <t>21/</t>
  </si>
  <si>
    <t>20/</t>
  </si>
  <si>
    <t>19/</t>
  </si>
  <si>
    <t>18/</t>
  </si>
  <si>
    <t>17/</t>
  </si>
  <si>
    <t>16/</t>
  </si>
  <si>
    <t>&gt;=</t>
  </si>
  <si>
    <t>15/</t>
  </si>
  <si>
    <t>14/</t>
  </si>
  <si>
    <t>13/</t>
  </si>
  <si>
    <t>12/</t>
  </si>
  <si>
    <t>11/</t>
  </si>
  <si>
    <t>全階</t>
    <rPh sb="0" eb="2">
      <t>ゼンカイ</t>
    </rPh>
    <phoneticPr fontId="24"/>
  </si>
  <si>
    <t>10/</t>
  </si>
  <si>
    <t>9/</t>
  </si>
  <si>
    <t>8/</t>
  </si>
  <si>
    <t>7/</t>
  </si>
  <si>
    <t>6/</t>
  </si>
  <si>
    <t>5/</t>
  </si>
  <si>
    <t>4/</t>
  </si>
  <si>
    <t>3/</t>
  </si>
  <si>
    <t>2/</t>
  </si>
  <si>
    <t>1/</t>
  </si>
  <si>
    <t>○</t>
  </si>
  <si>
    <t>塔屋 5</t>
    <rPh sb="0" eb="2">
      <t>トウヤ</t>
    </rPh>
    <phoneticPr fontId="131"/>
  </si>
  <si>
    <t>塔屋 4</t>
    <rPh sb="0" eb="2">
      <t>トウヤ</t>
    </rPh>
    <phoneticPr fontId="131"/>
  </si>
  <si>
    <t>塔屋 3</t>
    <rPh sb="0" eb="2">
      <t>トウヤ</t>
    </rPh>
    <phoneticPr fontId="131"/>
  </si>
  <si>
    <t>塔屋 2</t>
    <rPh sb="0" eb="2">
      <t>トウヤ</t>
    </rPh>
    <phoneticPr fontId="131"/>
  </si>
  <si>
    <t>塔屋 1</t>
    <rPh sb="0" eb="2">
      <t>トウヤ</t>
    </rPh>
    <phoneticPr fontId="131"/>
  </si>
  <si>
    <t>地下4</t>
    <rPh sb="0" eb="2">
      <t>チカ</t>
    </rPh>
    <phoneticPr fontId="131"/>
  </si>
  <si>
    <t>地下3</t>
    <rPh sb="0" eb="2">
      <t>チカ</t>
    </rPh>
    <phoneticPr fontId="131"/>
  </si>
  <si>
    <t>地下2</t>
    <rPh sb="0" eb="2">
      <t>チカ</t>
    </rPh>
    <phoneticPr fontId="131"/>
  </si>
  <si>
    <t>地下1</t>
    <rPh sb="0" eb="2">
      <t>チカ</t>
    </rPh>
    <phoneticPr fontId="131"/>
  </si>
  <si>
    <t>B1/</t>
  </si>
  <si>
    <t>B2/</t>
  </si>
  <si>
    <t>特記</t>
    <rPh sb="0" eb="2">
      <t>トッキ</t>
    </rPh>
    <phoneticPr fontId="24"/>
  </si>
  <si>
    <t>B3/</t>
  </si>
  <si>
    <t>改め後</t>
    <rPh sb="0" eb="1">
      <t>アラタ</t>
    </rPh>
    <rPh sb="2" eb="3">
      <t>アト</t>
    </rPh>
    <phoneticPr fontId="131"/>
  </si>
  <si>
    <t>B4/</t>
  </si>
  <si>
    <t>改め</t>
    <phoneticPr fontId="24"/>
  </si>
  <si>
    <t>大分類改め</t>
    <rPh sb="3" eb="4">
      <t>アラタ</t>
    </rPh>
    <phoneticPr fontId="24"/>
  </si>
  <si>
    <t>仮判定</t>
    <rPh sb="0" eb="3">
      <t>カリハンテイ</t>
    </rPh>
    <phoneticPr fontId="24"/>
  </si>
  <si>
    <t>小分類自由記入有</t>
    <rPh sb="3" eb="7">
      <t>ジユウキニュウ</t>
    </rPh>
    <rPh sb="7" eb="8">
      <t>アリ</t>
    </rPh>
    <phoneticPr fontId="24"/>
  </si>
  <si>
    <t>対象用途有</t>
    <rPh sb="0" eb="4">
      <t>タイショウヨウト</t>
    </rPh>
    <rPh sb="4" eb="5">
      <t>アリ</t>
    </rPh>
    <phoneticPr fontId="24"/>
  </si>
  <si>
    <t>旧耐震/新耐震</t>
    <rPh sb="4" eb="7">
      <t>シンタイシン</t>
    </rPh>
    <phoneticPr fontId="131"/>
  </si>
  <si>
    <t>客席</t>
    <rPh sb="0" eb="2">
      <t>キャクセキ</t>
    </rPh>
    <phoneticPr fontId="24"/>
  </si>
  <si>
    <t>劇場主階</t>
  </si>
  <si>
    <t>事務所階数</t>
    <rPh sb="0" eb="3">
      <t>ジムショ</t>
    </rPh>
    <rPh sb="3" eb="5">
      <t>カイスウ</t>
    </rPh>
    <phoneticPr fontId="24"/>
  </si>
  <si>
    <t>用途計</t>
    <rPh sb="0" eb="2">
      <t>ヨウト</t>
    </rPh>
    <rPh sb="2" eb="3">
      <t>ケイ</t>
    </rPh>
    <phoneticPr fontId="24"/>
  </si>
  <si>
    <t>避難階設定</t>
    <rPh sb="0" eb="3">
      <t>ヒナンカイ</t>
    </rPh>
    <rPh sb="3" eb="5">
      <t>セッテイ</t>
    </rPh>
    <phoneticPr fontId="24"/>
  </si>
  <si>
    <t>存する階CSV出力用</t>
    <rPh sb="0" eb="1">
      <t>ソン</t>
    </rPh>
    <rPh sb="3" eb="4">
      <t>カイ</t>
    </rPh>
    <rPh sb="7" eb="10">
      <t>シュツリョクヨウ</t>
    </rPh>
    <phoneticPr fontId="24"/>
  </si>
  <si>
    <t>Ka</t>
    <phoneticPr fontId="24"/>
  </si>
  <si>
    <t>Za</t>
  </si>
  <si>
    <t>Ya</t>
  </si>
  <si>
    <t>Ja</t>
  </si>
  <si>
    <t>Ia</t>
  </si>
  <si>
    <t>Hb</t>
  </si>
  <si>
    <t>Ha</t>
  </si>
  <si>
    <t>Gb</t>
  </si>
  <si>
    <t>Ga</t>
  </si>
  <si>
    <t>Fd</t>
  </si>
  <si>
    <t>Fc</t>
  </si>
  <si>
    <t>Fb</t>
  </si>
  <si>
    <t>Fa</t>
  </si>
  <si>
    <t>Eb</t>
  </si>
  <si>
    <t>Ea</t>
  </si>
  <si>
    <t>Db</t>
  </si>
  <si>
    <t>Da</t>
  </si>
  <si>
    <t>Ca</t>
  </si>
  <si>
    <t>Ba</t>
  </si>
  <si>
    <t>Ab</t>
  </si>
  <si>
    <t>Aa</t>
  </si>
  <si>
    <t>CSVシート</t>
  </si>
  <si>
    <t>面積</t>
    <rPh sb="0" eb="2">
      <t>メンセキ</t>
    </rPh>
    <phoneticPr fontId="3"/>
  </si>
  <si>
    <t>用途存否</t>
    <rPh sb="0" eb="2">
      <t>ヨウト</t>
    </rPh>
    <rPh sb="2" eb="4">
      <t>ソンピ</t>
    </rPh>
    <phoneticPr fontId="3"/>
  </si>
  <si>
    <t>面積（国）</t>
    <rPh sb="0" eb="2">
      <t>メンセキ</t>
    </rPh>
    <rPh sb="3" eb="4">
      <t>クニ</t>
    </rPh>
    <phoneticPr fontId="3"/>
  </si>
  <si>
    <t>面積（市）</t>
    <rPh sb="0" eb="2">
      <t>メンセキ</t>
    </rPh>
    <rPh sb="3" eb="4">
      <t>シ</t>
    </rPh>
    <phoneticPr fontId="3"/>
  </si>
  <si>
    <t>面積該否（告示240/細則28条1項2号-4号）</t>
    <rPh sb="2" eb="4">
      <t>ガイヒ</t>
    </rPh>
    <rPh sb="5" eb="7">
      <t>コクジ</t>
    </rPh>
    <rPh sb="11" eb="13">
      <t>サイソク</t>
    </rPh>
    <rPh sb="15" eb="16">
      <t>ジョウ</t>
    </rPh>
    <rPh sb="17" eb="18">
      <t>コウ</t>
    </rPh>
    <rPh sb="19" eb="20">
      <t>ゴウ</t>
    </rPh>
    <rPh sb="22" eb="23">
      <t>ゴウ</t>
    </rPh>
    <phoneticPr fontId="24"/>
  </si>
  <si>
    <t>面積該否（細則28条1項1号）</t>
    <rPh sb="5" eb="7">
      <t>サイソク</t>
    </rPh>
    <rPh sb="9" eb="10">
      <t>ジョウ</t>
    </rPh>
    <rPh sb="11" eb="12">
      <t>コウ</t>
    </rPh>
    <rPh sb="13" eb="14">
      <t>ゴウ</t>
    </rPh>
    <phoneticPr fontId="24"/>
  </si>
  <si>
    <t>同種用途面積振り分け（国）</t>
    <rPh sb="4" eb="7">
      <t>メンセキフ</t>
    </rPh>
    <rPh sb="8" eb="9">
      <t>ワ</t>
    </rPh>
    <rPh sb="11" eb="12">
      <t>クニ</t>
    </rPh>
    <phoneticPr fontId="3"/>
  </si>
  <si>
    <t>同種用途面積振り分け（市）</t>
    <rPh sb="4" eb="7">
      <t>メンセキフ</t>
    </rPh>
    <rPh sb="8" eb="9">
      <t>ワ</t>
    </rPh>
    <rPh sb="11" eb="12">
      <t>シ</t>
    </rPh>
    <phoneticPr fontId="3"/>
  </si>
  <si>
    <t>該否</t>
    <rPh sb="0" eb="2">
      <t>ガイヒ</t>
    </rPh>
    <phoneticPr fontId="3"/>
  </si>
  <si>
    <t>記号</t>
    <rPh sb="0" eb="2">
      <t>キゴウ</t>
    </rPh>
    <phoneticPr fontId="3"/>
  </si>
  <si>
    <t>建築物まとめ</t>
    <rPh sb="0" eb="3">
      <t>ケンチクブツ</t>
    </rPh>
    <phoneticPr fontId="3"/>
  </si>
  <si>
    <t>存在用途まとめ</t>
    <rPh sb="0" eb="4">
      <t>ソンザイヨウト</t>
    </rPh>
    <phoneticPr fontId="3"/>
  </si>
  <si>
    <t>対象用途まとめ（国建）</t>
    <rPh sb="0" eb="4">
      <t>タイショウヨウト</t>
    </rPh>
    <rPh sb="8" eb="9">
      <t>クニ</t>
    </rPh>
    <phoneticPr fontId="3"/>
  </si>
  <si>
    <t>対象用途まとめ（市新建）</t>
    <rPh sb="10" eb="11">
      <t>ケン</t>
    </rPh>
    <phoneticPr fontId="3"/>
  </si>
  <si>
    <t>対象用途まとめ（市従建）</t>
    <rPh sb="9" eb="10">
      <t>ジュウ</t>
    </rPh>
    <rPh sb="10" eb="11">
      <t>ケン</t>
    </rPh>
    <phoneticPr fontId="3"/>
  </si>
  <si>
    <t>対象用途まとめ（市建）</t>
    <rPh sb="9" eb="10">
      <t>ケン</t>
    </rPh>
    <phoneticPr fontId="3"/>
  </si>
  <si>
    <t>対象用途まとめ（建築物）</t>
    <rPh sb="8" eb="11">
      <t>ケンチクブツ</t>
    </rPh>
    <phoneticPr fontId="3"/>
  </si>
  <si>
    <t>対象用途まとめ（市設）</t>
    <rPh sb="8" eb="9">
      <t>シ</t>
    </rPh>
    <rPh sb="9" eb="10">
      <t>セツ</t>
    </rPh>
    <phoneticPr fontId="3"/>
  </si>
  <si>
    <t>対象用途まとめ（国防）</t>
    <rPh sb="8" eb="9">
      <t>クニ</t>
    </rPh>
    <rPh sb="9" eb="10">
      <t>ボウ</t>
    </rPh>
    <phoneticPr fontId="3"/>
  </si>
  <si>
    <t>対象用途まとめ（市新防）</t>
    <rPh sb="8" eb="9">
      <t>シ</t>
    </rPh>
    <rPh sb="9" eb="10">
      <t>シン</t>
    </rPh>
    <rPh sb="10" eb="11">
      <t>ボウ</t>
    </rPh>
    <phoneticPr fontId="3"/>
  </si>
  <si>
    <t>建築物周期</t>
    <rPh sb="0" eb="3">
      <t>ケンチクブツ</t>
    </rPh>
    <rPh sb="3" eb="5">
      <t>シュウキ</t>
    </rPh>
    <phoneticPr fontId="3"/>
  </si>
  <si>
    <t>周期</t>
    <rPh sb="0" eb="2">
      <t>シュウキ</t>
    </rPh>
    <phoneticPr fontId="3"/>
  </si>
  <si>
    <t>周期整合</t>
    <rPh sb="0" eb="4">
      <t>シュウキセイゴウ</t>
    </rPh>
    <phoneticPr fontId="3"/>
  </si>
  <si>
    <t>令和</t>
    <rPh sb="0" eb="2">
      <t>レイワ</t>
    </rPh>
    <phoneticPr fontId="3"/>
  </si>
  <si>
    <t>防火設備まとめ</t>
    <rPh sb="0" eb="4">
      <t>ボウカセツビ</t>
    </rPh>
    <phoneticPr fontId="3"/>
  </si>
  <si>
    <t>対象用途まとめ（防火設備）</t>
    <rPh sb="8" eb="12">
      <t>ボウカセツビ</t>
    </rPh>
    <phoneticPr fontId="3"/>
  </si>
  <si>
    <t>建</t>
    <rPh sb="0" eb="1">
      <t>ケン</t>
    </rPh>
    <phoneticPr fontId="3"/>
  </si>
  <si>
    <t>建・設</t>
    <rPh sb="0" eb="1">
      <t>ケン</t>
    </rPh>
    <rPh sb="2" eb="3">
      <t>セツ</t>
    </rPh>
    <phoneticPr fontId="3"/>
  </si>
  <si>
    <t>建・設・防</t>
    <rPh sb="0" eb="1">
      <t>ケン</t>
    </rPh>
    <rPh sb="2" eb="3">
      <t>セツ</t>
    </rPh>
    <rPh sb="4" eb="5">
      <t>ボウ</t>
    </rPh>
    <phoneticPr fontId="3"/>
  </si>
  <si>
    <t>建・防</t>
    <rPh sb="0" eb="1">
      <t>ケン</t>
    </rPh>
    <rPh sb="2" eb="3">
      <t>ボウ</t>
    </rPh>
    <phoneticPr fontId="3"/>
  </si>
  <si>
    <t>防</t>
    <rPh sb="0" eb="1">
      <t>ボウ</t>
    </rPh>
    <phoneticPr fontId="3"/>
  </si>
  <si>
    <t>対象外</t>
    <phoneticPr fontId="3"/>
  </si>
  <si>
    <t>建築物</t>
    <rPh sb="0" eb="2">
      <t>ケンチク</t>
    </rPh>
    <rPh sb="2" eb="3">
      <t>ブツ</t>
    </rPh>
    <phoneticPr fontId="3"/>
  </si>
  <si>
    <t>対象種別</t>
    <rPh sb="0" eb="4">
      <t>タイショウシュベツ</t>
    </rPh>
    <phoneticPr fontId="3"/>
  </si>
  <si>
    <t>まとめ</t>
    <phoneticPr fontId="3"/>
  </si>
  <si>
    <t>対象年</t>
    <rPh sb="0" eb="2">
      <t>タイショウ</t>
    </rPh>
    <rPh sb="2" eb="3">
      <t>ネン</t>
    </rPh>
    <phoneticPr fontId="3"/>
  </si>
  <si>
    <t>ID用途面積</t>
  </si>
  <si>
    <t>ID用途面積</t>
    <rPh sb="2" eb="4">
      <t>ヨウト</t>
    </rPh>
    <rPh sb="4" eb="6">
      <t>メンセキ</t>
    </rPh>
    <phoneticPr fontId="3"/>
  </si>
  <si>
    <t>建築設備対象面積</t>
  </si>
  <si>
    <t>建築設備対象面積</t>
    <rPh sb="0" eb="4">
      <t>ケンチクセツビ</t>
    </rPh>
    <rPh sb="4" eb="6">
      <t>タイショウ</t>
    </rPh>
    <rPh sb="6" eb="8">
      <t>メンセキ</t>
    </rPh>
    <phoneticPr fontId="3"/>
  </si>
  <si>
    <t>特殊建築物面積</t>
  </si>
  <si>
    <t>特殊建築物面積</t>
    <rPh sb="0" eb="5">
      <t>トクシュケンチクブツ</t>
    </rPh>
    <rPh sb="5" eb="7">
      <t>メンセキ</t>
    </rPh>
    <phoneticPr fontId="3"/>
  </si>
  <si>
    <t>指定根拠分類</t>
  </si>
  <si>
    <t>記号1字</t>
    <rPh sb="0" eb="2">
      <t>キゴウ</t>
    </rPh>
    <rPh sb="3" eb="4">
      <t>ジ</t>
    </rPh>
    <phoneticPr fontId="3"/>
  </si>
  <si>
    <t>/付き</t>
    <rPh sb="1" eb="2">
      <t>ツ</t>
    </rPh>
    <phoneticPr fontId="3"/>
  </si>
  <si>
    <t>細則別表7指定有無</t>
    <rPh sb="0" eb="2">
      <t>サイソク</t>
    </rPh>
    <rPh sb="2" eb="4">
      <t>ベッピョウ</t>
    </rPh>
    <rPh sb="5" eb="9">
      <t>シテイウム</t>
    </rPh>
    <phoneticPr fontId="3"/>
  </si>
  <si>
    <t>対象用途面積</t>
    <rPh sb="0" eb="4">
      <t>タイショウヨウト</t>
    </rPh>
    <rPh sb="4" eb="6">
      <t>メンセキ</t>
    </rPh>
    <phoneticPr fontId="3"/>
  </si>
  <si>
    <t>受付管理票備考欄用</t>
  </si>
  <si>
    <t>記号1字</t>
    <phoneticPr fontId="3"/>
  </si>
  <si>
    <t>記号1字_A～J最大</t>
    <rPh sb="8" eb="10">
      <t>サイダイ</t>
    </rPh>
    <phoneticPr fontId="3"/>
  </si>
  <si>
    <t>防火設備</t>
    <rPh sb="0" eb="4">
      <t>ボウカセツビ</t>
    </rPh>
    <phoneticPr fontId="3"/>
  </si>
  <si>
    <t>単に転記</t>
    <rPh sb="0" eb="1">
      <t>タン</t>
    </rPh>
    <rPh sb="2" eb="4">
      <t>テンキ</t>
    </rPh>
    <phoneticPr fontId="3"/>
  </si>
  <si>
    <t>演算結果</t>
    <rPh sb="0" eb="2">
      <t>エンザン</t>
    </rPh>
    <rPh sb="2" eb="4">
      <t>ケッカ</t>
    </rPh>
    <phoneticPr fontId="3"/>
  </si>
  <si>
    <t>定数</t>
    <rPh sb="0" eb="2">
      <t>テイスウ</t>
    </rPh>
    <phoneticPr fontId="3"/>
  </si>
  <si>
    <t>適宜書き換え</t>
    <rPh sb="0" eb="3">
      <t>テキギカ</t>
    </rPh>
    <rPh sb="4" eb="5">
      <t>カ</t>
    </rPh>
    <phoneticPr fontId="3"/>
  </si>
  <si>
    <t>注意箇所（条件付き書式）</t>
    <rPh sb="0" eb="4">
      <t>チュウイカショ</t>
    </rPh>
    <rPh sb="5" eb="8">
      <t>ジョウケンツ</t>
    </rPh>
    <rPh sb="9" eb="11">
      <t>ショシキ</t>
    </rPh>
    <phoneticPr fontId="3"/>
  </si>
  <si>
    <t>適宜書き換え（条件付き書式）</t>
    <rPh sb="0" eb="2">
      <t>テキギ</t>
    </rPh>
    <rPh sb="2" eb="3">
      <t>カ</t>
    </rPh>
    <rPh sb="4" eb="5">
      <t>カ</t>
    </rPh>
    <rPh sb="7" eb="10">
      <t>ジョウケンツ</t>
    </rPh>
    <rPh sb="11" eb="13">
      <t>ショシキ</t>
    </rPh>
    <phoneticPr fontId="3"/>
  </si>
  <si>
    <t>概要書印刷確認</t>
    <rPh sb="0" eb="3">
      <t>ガイヨウショ</t>
    </rPh>
    <rPh sb="3" eb="7">
      <t>インサツカクニン</t>
    </rPh>
    <phoneticPr fontId="3"/>
  </si>
  <si>
    <t>（リンク）</t>
    <phoneticPr fontId="3"/>
  </si>
  <si>
    <t>周期（入力）</t>
    <rPh sb="0" eb="2">
      <t>シュウキ</t>
    </rPh>
    <phoneticPr fontId="3"/>
  </si>
  <si>
    <t>建築設備対象用途ID記号</t>
    <rPh sb="0" eb="4">
      <t>ケンチクセツビ</t>
    </rPh>
    <rPh sb="4" eb="6">
      <t>タイショウ</t>
    </rPh>
    <rPh sb="6" eb="8">
      <t>ヨウト</t>
    </rPh>
    <rPh sb="10" eb="12">
      <t>キゴウ</t>
    </rPh>
    <phoneticPr fontId="3"/>
  </si>
  <si>
    <t>対象種別ID分類番号</t>
    <rPh sb="0" eb="2">
      <t>タイショウ</t>
    </rPh>
    <rPh sb="2" eb="4">
      <t>シュベツ</t>
    </rPh>
    <rPh sb="6" eb="8">
      <t>ブンルイ</t>
    </rPh>
    <rPh sb="8" eb="10">
      <t>バンゴウ</t>
    </rPh>
    <phoneticPr fontId="3"/>
  </si>
  <si>
    <t>用途ID記号</t>
    <rPh sb="0" eb="2">
      <t>ヨウト</t>
    </rPh>
    <rPh sb="4" eb="6">
      <t>キゴウ</t>
    </rPh>
    <phoneticPr fontId="3"/>
  </si>
  <si>
    <t>存在用途</t>
  </si>
  <si>
    <t>対象用途ID記号（面積最大）</t>
  </si>
  <si>
    <t>対象用途ID記号（全て）</t>
  </si>
  <si>
    <t>対象種別ID分類番号</t>
    <rPh sb="6" eb="8">
      <t>ブンルイ</t>
    </rPh>
    <phoneticPr fontId="19"/>
  </si>
  <si>
    <t>対象用途（国建）</t>
  </si>
  <si>
    <t>対象用途（市新建）</t>
  </si>
  <si>
    <t>対象用途（市従建）</t>
  </si>
  <si>
    <t>対象用途（市建）</t>
  </si>
  <si>
    <t>対象用途（建築物）</t>
  </si>
  <si>
    <t>対象用途（市設）</t>
  </si>
  <si>
    <t>対象用途（国防）</t>
  </si>
  <si>
    <t>対象用途（市新防）</t>
  </si>
  <si>
    <t>対象用途（防火設備）</t>
  </si>
  <si>
    <t>建築設備対象用途ID記号</t>
    <rPh sb="10" eb="12">
      <t>キゴウ</t>
    </rPh>
    <phoneticPr fontId="19"/>
  </si>
  <si>
    <t>備考欄転記用</t>
  </si>
  <si>
    <t>延床面積</t>
    <rPh sb="0" eb="4">
      <t>ノベユカメンセキ</t>
    </rPh>
    <phoneticPr fontId="3"/>
  </si>
  <si>
    <t>着色規則</t>
    <rPh sb="0" eb="2">
      <t>チャクショク</t>
    </rPh>
    <rPh sb="2" eb="4">
      <t>キソク</t>
    </rPh>
    <phoneticPr fontId="3"/>
  </si>
  <si>
    <t>受付時確認用</t>
    <rPh sb="0" eb="3">
      <t>ウケツケジ</t>
    </rPh>
    <rPh sb="3" eb="6">
      <t>カクニンヨウ</t>
    </rPh>
    <phoneticPr fontId="3"/>
  </si>
  <si>
    <t xml:space="preserve"> </t>
    <phoneticPr fontId="3"/>
  </si>
  <si>
    <t>補正指示例</t>
    <rPh sb="0" eb="2">
      <t>ホセイ</t>
    </rPh>
    <rPh sb="2" eb="4">
      <t>シジ</t>
    </rPh>
    <rPh sb="4" eb="5">
      <t>レイ</t>
    </rPh>
    <phoneticPr fontId="3"/>
  </si>
  <si>
    <t>添付図書（付近見取図・配置図・●階平面図・塔屋階平面図）が不足しています。</t>
  </si>
  <si>
    <t>報告対象の年は、令和●年です。訂正してください（「1_入力シート【基本情報】」M4セル）。</t>
  </si>
  <si>
    <t>IDが誤っています。「●」に修正してください。入力支援ファイルExcel、図面等PDFのファイル名も修正してください。</t>
    <rPh sb="23" eb="27">
      <t>ニュウリョクシエン</t>
    </rPh>
    <rPh sb="37" eb="39">
      <t>ズメン</t>
    </rPh>
    <rPh sb="39" eb="40">
      <t>トウ</t>
    </rPh>
    <phoneticPr fontId="3"/>
  </si>
  <si>
    <t>(注意事項)
　第一面4欄ニ、第二面3欄別紙（報告書・概要書）、受付管理票に転記されます。
　（用途）
　・用途はプルダウン選択となっています。
　・上段「大分類」→中段「小分類」の順に選択してください。
　　「大分類」の選択に応じ、「小分類」の選択肢が表示されます。左側のプルダウン一覧を参考にしてください。
　　「小分類」については、選択肢にない場合、直接入力することもできます。
　・「特記」については、プルダウンに該当する用途があればその用途、なければ（該当なし）を選択してください。
　・用途が8以上ある場合は、別添PDFで提出してください。
　・規模等によらず定期報告の対象でない用途は、大分類を「定報対象以外の用途」としてください。
　（面積）
　・用途ごとに記入してください。
　・当該用途に供する部分がない階について、「0」の記入は不要です。</t>
    <rPh sb="3" eb="5">
      <t>ジコウ</t>
    </rPh>
    <rPh sb="32" eb="37">
      <t>ウケツケカンリヒョウ</t>
    </rPh>
    <rPh sb="38" eb="40">
      <t>テンキ</t>
    </rPh>
    <rPh sb="49" eb="51">
      <t>ヨウト</t>
    </rPh>
    <rPh sb="84" eb="85">
      <t>チュウ</t>
    </rPh>
    <rPh sb="197" eb="199">
      <t>トッキ</t>
    </rPh>
    <rPh sb="224" eb="226">
      <t>ヨウト</t>
    </rPh>
    <rPh sb="232" eb="234">
      <t>ガイトウ</t>
    </rPh>
    <rPh sb="324" eb="326">
      <t>ヨウト</t>
    </rPh>
    <rPh sb="329" eb="338">
      <t>キニュウ</t>
    </rPh>
    <rPh sb="341" eb="343">
      <t>トウガイ</t>
    </rPh>
    <rPh sb="343" eb="345">
      <t>ヨウト</t>
    </rPh>
    <rPh sb="346" eb="347">
      <t>キョウ</t>
    </rPh>
    <rPh sb="354" eb="355">
      <t>カイ</t>
    </rPh>
    <rPh sb="364" eb="366">
      <t>キニュウ</t>
    </rPh>
    <rPh sb="367" eb="369">
      <t>フヨウ</t>
    </rPh>
    <phoneticPr fontId="3"/>
  </si>
  <si>
    <t>まとめ</t>
    <phoneticPr fontId="3"/>
  </si>
  <si>
    <t>改善予定/改善済/改善未定/（一部改善済）</t>
    <rPh sb="0" eb="2">
      <t>カイゼン</t>
    </rPh>
    <rPh sb="2" eb="4">
      <t>ヨテイ</t>
    </rPh>
    <rPh sb="5" eb="7">
      <t>カイゼン</t>
    </rPh>
    <rPh sb="7" eb="8">
      <t>ズ</t>
    </rPh>
    <rPh sb="9" eb="11">
      <t>カイゼン</t>
    </rPh>
    <rPh sb="11" eb="13">
      <t>ミテイ</t>
    </rPh>
    <rPh sb="15" eb="17">
      <t>イチブ</t>
    </rPh>
    <rPh sb="17" eb="19">
      <t>カイゼン</t>
    </rPh>
    <rPh sb="19" eb="20">
      <t>ズ</t>
    </rPh>
    <phoneticPr fontId="3"/>
  </si>
  <si>
    <t>指摘まとめ_（既存不適格）付き</t>
    <rPh sb="0" eb="2">
      <t>シテキ</t>
    </rPh>
    <rPh sb="7" eb="9">
      <t>キゾン</t>
    </rPh>
    <rPh sb="9" eb="12">
      <t>フテキカク</t>
    </rPh>
    <rPh sb="13" eb="14">
      <t>ツ</t>
    </rPh>
    <phoneticPr fontId="3"/>
  </si>
  <si>
    <t>版数</t>
    <rPh sb="0" eb="1">
      <t>ハン</t>
    </rPh>
    <rPh sb="1" eb="2">
      <t>スウ</t>
    </rPh>
    <phoneticPr fontId="3"/>
  </si>
  <si>
    <t>【要注意●●】</t>
    <rPh sb="1" eb="4">
      <t>ヨウチュウイ</t>
    </rPh>
    <phoneticPr fontId="3"/>
  </si>
  <si>
    <t>入力支援ファイルのバージョン</t>
    <rPh sb="0" eb="4">
      <t>ニュウリョクシエン</t>
    </rPh>
    <phoneticPr fontId="3"/>
  </si>
  <si>
    <t>　建築設備対象用途：A　B　C　D　E　F　G　H　I　J　K　</t>
    <phoneticPr fontId="3"/>
  </si>
  <si>
    <t xml:space="preserve">[市]１建・２設・５新細則(建防)
[国]３建・４防	</t>
    <phoneticPr fontId="3"/>
  </si>
  <si>
    <t>報告日</t>
    <phoneticPr fontId="3"/>
  </si>
  <si>
    <t>であっても、目視・部分打診で異常を認めた場合、これらの選択肢でなく、「今回の定期調査時に全面打診等を実施」等、全面打診等の実施状況について選択してください。</t>
    <rPh sb="6" eb="8">
      <t>モクシ</t>
    </rPh>
    <rPh sb="9" eb="11">
      <t>ブブン</t>
    </rPh>
    <rPh sb="11" eb="13">
      <t>ダシン</t>
    </rPh>
    <rPh sb="14" eb="16">
      <t>イジョウ</t>
    </rPh>
    <rPh sb="17" eb="18">
      <t>ミト</t>
    </rPh>
    <rPh sb="20" eb="22">
      <t>バアイ</t>
    </rPh>
    <phoneticPr fontId="3"/>
  </si>
  <si>
    <t>7（1）</t>
  </si>
  <si>
    <t>不具合等を</t>
    <rPh sb="0" eb="3">
      <t>フグアイ</t>
    </rPh>
    <rPh sb="3" eb="4">
      <t>トウ</t>
    </rPh>
    <phoneticPr fontId="3"/>
  </si>
  <si>
    <t>把握した年月</t>
    <phoneticPr fontId="3"/>
  </si>
  <si>
    <t>選択してください</t>
  </si>
  <si>
    <t>IV. 更新履歴</t>
    <rPh sb="4" eb="6">
      <t>コウシン</t>
    </rPh>
    <rPh sb="6" eb="8">
      <t>リレキ</t>
    </rPh>
    <phoneticPr fontId="116"/>
  </si>
  <si>
    <t>受付管理票</t>
  </si>
  <si>
    <t>1_入力シート【基本情報】14</t>
  </si>
  <si>
    <t>1_入力シート【基本情報】19</t>
  </si>
  <si>
    <t>特記用途欄への転記の設定を変更しました（「該当なし」を表示）。</t>
  </si>
  <si>
    <t>注意書きの表現を修正しました。</t>
  </si>
  <si>
    <t>全般</t>
    <rPh sb="0" eb="2">
      <t>ゼンパン</t>
    </rPh>
    <phoneticPr fontId="3"/>
  </si>
  <si>
    <t>・</t>
  </si>
  <si>
    <t>【ver111（令和4年10月）】</t>
    <rPh sb="8" eb="10">
      <t>レイワ</t>
    </rPh>
    <rPh sb="11" eb="12">
      <t>ネン</t>
    </rPh>
    <rPh sb="14" eb="15">
      <t>ガツ</t>
    </rPh>
    <phoneticPr fontId="3"/>
  </si>
  <si>
    <t>確認・検済番号の表示がはみ出さないよう変更しました。</t>
    <rPh sb="13" eb="14">
      <t>ダ</t>
    </rPh>
    <phoneticPr fontId="3"/>
  </si>
  <si>
    <t>その他、転記・表示の設定を微修正しました。</t>
    <rPh sb="7" eb="9">
      <t>ヒョウジ</t>
    </rPh>
    <rPh sb="13" eb="14">
      <t>ビ</t>
    </rPh>
    <phoneticPr fontId="3"/>
  </si>
  <si>
    <t>昭和</t>
    <rPh sb="0" eb="2">
      <t>ショウワ</t>
    </rPh>
    <phoneticPr fontId="18"/>
  </si>
  <si>
    <t>S</t>
  </si>
  <si>
    <t>平成</t>
    <rPh sb="0" eb="2">
      <t>ヘイセイ</t>
    </rPh>
    <phoneticPr fontId="18"/>
  </si>
  <si>
    <t>令和</t>
    <rPh sb="0" eb="2">
      <t>レイワ</t>
    </rPh>
    <phoneticPr fontId="18"/>
  </si>
  <si>
    <t>R</t>
  </si>
  <si>
    <t>元号初日</t>
    <rPh sb="0" eb="2">
      <t>ゲンゴウ</t>
    </rPh>
    <rPh sb="2" eb="4">
      <t>ショニチ</t>
    </rPh>
    <phoneticPr fontId="3"/>
  </si>
  <si>
    <t>改善予定年月シリアル値</t>
    <rPh sb="4" eb="6">
      <t>ネンゲツ</t>
    </rPh>
    <rPh sb="10" eb="11">
      <t>チ</t>
    </rPh>
    <phoneticPr fontId="3"/>
  </si>
  <si>
    <t>改善予定元号</t>
    <rPh sb="4" eb="6">
      <t>ゲンゴウ</t>
    </rPh>
    <phoneticPr fontId="3"/>
  </si>
  <si>
    <t>改善予定年月略表記</t>
    <rPh sb="6" eb="7">
      <t>リャク</t>
    </rPh>
    <rPh sb="7" eb="9">
      <t>ヒョウキ</t>
    </rPh>
    <phoneticPr fontId="3"/>
  </si>
  <si>
    <t>和暦表示に関する改善を行いました。</t>
    <phoneticPr fontId="3"/>
  </si>
  <si>
    <t>・</t>
    <phoneticPr fontId="3"/>
  </si>
  <si>
    <t>報告書、概要書</t>
    <rPh sb="4" eb="7">
      <t>ガイヨウショ</t>
    </rPh>
    <phoneticPr fontId="3"/>
  </si>
  <si>
    <r>
      <t xml:space="preserve">屋根ふき材、内装材、外装材等及び広告塔、装飾等その他建築物の屋外に取り付けられたものの脱落、バルコニー、屋上等の手すりその他建築物の部分の脱落等をいいます。
</t>
    </r>
    <r>
      <rPr>
        <b/>
        <sz val="11"/>
        <rFont val="ＭＳ Ｐゴシック"/>
        <family val="3"/>
        <charset val="128"/>
        <scheme val="major"/>
      </rPr>
      <t>23 調査結果に記載する要是正の指摘は、この欄には記載しないでください。</t>
    </r>
    <phoneticPr fontId="3"/>
  </si>
  <si>
    <t>1_入力シート【基本情報】17</t>
    <phoneticPr fontId="3"/>
  </si>
  <si>
    <t>項目名・注意書きの表現を補記修正しました。</t>
    <rPh sb="9" eb="11">
      <t>ヒョウゲン</t>
    </rPh>
    <phoneticPr fontId="3"/>
  </si>
  <si>
    <t>不具合等　（「23 調査結果」以外）</t>
    <rPh sb="0" eb="3">
      <t>フグアイ</t>
    </rPh>
    <rPh sb="3" eb="4">
      <t>トウ</t>
    </rPh>
    <phoneticPr fontId="3"/>
  </si>
  <si>
    <t>要是正・既存不適格カウント並べ替え用</t>
    <rPh sb="4" eb="6">
      <t>キゾン</t>
    </rPh>
    <rPh sb="6" eb="9">
      <t>フテキカク</t>
    </rPh>
    <phoneticPr fontId="3"/>
  </si>
  <si>
    <t>要是正＋既存不適格</t>
    <rPh sb="0" eb="3">
      <t>ヨウゼセイ</t>
    </rPh>
    <rPh sb="4" eb="9">
      <t>キゾンフテキカク</t>
    </rPh>
    <phoneticPr fontId="3"/>
  </si>
  <si>
    <t>表示順位</t>
    <rPh sb="0" eb="2">
      <t>ヒョウジ</t>
    </rPh>
    <rPh sb="2" eb="4">
      <t>ジュンイ</t>
    </rPh>
    <phoneticPr fontId="3"/>
  </si>
  <si>
    <t>3_入力シート【写真】、調査結果表</t>
    <rPh sb="12" eb="17">
      <t>チョウサケッカヒョウ</t>
    </rPh>
    <phoneticPr fontId="3"/>
  </si>
  <si>
    <t>要是正の調査項目の転記順序を変更しました。</t>
    <rPh sb="0" eb="1">
      <t>ヨウ</t>
    </rPh>
    <rPh sb="1" eb="3">
      <t>ゼセイ</t>
    </rPh>
    <rPh sb="4" eb="6">
      <t>チョウサ</t>
    </rPh>
    <rPh sb="6" eb="8">
      <t>コウモク</t>
    </rPh>
    <phoneticPr fontId="3"/>
  </si>
  <si>
    <t>※</t>
    <phoneticPr fontId="3"/>
  </si>
  <si>
    <t>日　報告</t>
    <rPh sb="0" eb="1">
      <t>ニチ</t>
    </rPh>
    <rPh sb="2" eb="4">
      <t>ホウコク</t>
    </rPh>
    <phoneticPr fontId="3"/>
  </si>
  <si>
    <t>日　実施</t>
    <rPh sb="0" eb="1">
      <t>ニチ</t>
    </rPh>
    <rPh sb="2" eb="4">
      <t>ジッシ</t>
    </rPh>
    <phoneticPr fontId="3"/>
  </si>
  <si>
    <t>前回調査・報告の日付について、項目名・入力欄の表現を報告書様式に合わせて修正しました。</t>
    <rPh sb="19" eb="21">
      <t>ニュウリョク</t>
    </rPh>
    <rPh sb="21" eb="22">
      <t>ラン</t>
    </rPh>
    <rPh sb="23" eb="25">
      <t>ヒョウゲン</t>
    </rPh>
    <phoneticPr fontId="3"/>
  </si>
  <si>
    <t>直近の建築確認　（新築時以降に建築確認を受けていない場合、新築時の建築確認）</t>
    <rPh sb="0" eb="2">
      <t>チョッキン</t>
    </rPh>
    <rPh sb="3" eb="5">
      <t>ケンチク</t>
    </rPh>
    <rPh sb="5" eb="7">
      <t>カクニン</t>
    </rPh>
    <rPh sb="9" eb="11">
      <t>シンチク</t>
    </rPh>
    <rPh sb="11" eb="12">
      <t>ジ</t>
    </rPh>
    <rPh sb="12" eb="14">
      <t>イコウ</t>
    </rPh>
    <rPh sb="15" eb="17">
      <t>ケンチク</t>
    </rPh>
    <rPh sb="17" eb="19">
      <t>カクニン</t>
    </rPh>
    <rPh sb="20" eb="21">
      <t>ウ</t>
    </rPh>
    <rPh sb="26" eb="28">
      <t>バアイ</t>
    </rPh>
    <rPh sb="29" eb="31">
      <t>シンチク</t>
    </rPh>
    <rPh sb="31" eb="32">
      <t>ジ</t>
    </rPh>
    <rPh sb="33" eb="35">
      <t>ケンチク</t>
    </rPh>
    <rPh sb="35" eb="37">
      <t>カクニン</t>
    </rPh>
    <phoneticPr fontId="3"/>
  </si>
  <si>
    <t>新築時の建築確認</t>
    <rPh sb="4" eb="6">
      <t>ケンチク</t>
    </rPh>
    <rPh sb="6" eb="8">
      <t>カクニン</t>
    </rPh>
    <phoneticPr fontId="3"/>
  </si>
  <si>
    <t>/</t>
    <phoneticPr fontId="3"/>
  </si>
  <si>
    <t>※収受</t>
    <phoneticPr fontId="3"/>
  </si>
  <si>
    <t>※担当</t>
    <phoneticPr fontId="3"/>
  </si>
  <si>
    <t>ID種別番号</t>
    <rPh sb="4" eb="6">
      <t>バンゴウ</t>
    </rPh>
    <phoneticPr fontId="3"/>
  </si>
  <si>
    <t>ID種別番号（入力）</t>
    <phoneticPr fontId="3"/>
  </si>
  <si>
    <t>ID種別番号整合</t>
    <rPh sb="2" eb="4">
      <t>シュベツ</t>
    </rPh>
    <rPh sb="4" eb="6">
      <t>バンゴウ</t>
    </rPh>
    <rPh sb="6" eb="8">
      <t>セイゴウ</t>
    </rPh>
    <phoneticPr fontId="3"/>
  </si>
  <si>
    <t>建築物・建築設備・防火設備　用途/規模該否まとめ</t>
    <rPh sb="0" eb="3">
      <t>ケンチクブツ</t>
    </rPh>
    <rPh sb="4" eb="8">
      <t>ケンチクセツビ</t>
    </rPh>
    <rPh sb="9" eb="13">
      <t>ボウカセツビ</t>
    </rPh>
    <rPh sb="14" eb="16">
      <t>ヨウト</t>
    </rPh>
    <rPh sb="17" eb="19">
      <t>キボ</t>
    </rPh>
    <rPh sb="19" eb="21">
      <t>ガイヒ</t>
    </rPh>
    <phoneticPr fontId="3"/>
  </si>
  <si>
    <t>対象用途記号まとめ（面積最大）</t>
    <rPh sb="10" eb="14">
      <t>メンセキサイダイ</t>
    </rPh>
    <phoneticPr fontId="3"/>
  </si>
  <si>
    <t>対象用途記号まとめ（全て）</t>
    <rPh sb="0" eb="2">
      <t>タイショウ</t>
    </rPh>
    <rPh sb="2" eb="4">
      <t>ヨウト</t>
    </rPh>
    <rPh sb="4" eb="6">
      <t>キゴウ</t>
    </rPh>
    <rPh sb="10" eb="11">
      <t>スベ</t>
    </rPh>
    <phoneticPr fontId="3"/>
  </si>
  <si>
    <t>ID用途記号整合</t>
    <rPh sb="2" eb="4">
      <t>ヨウト</t>
    </rPh>
    <rPh sb="4" eb="6">
      <t>キゴウ</t>
    </rPh>
    <rPh sb="6" eb="8">
      <t>セイゴウ</t>
    </rPh>
    <phoneticPr fontId="3"/>
  </si>
  <si>
    <t>ID用途記号（入力）</t>
    <rPh sb="2" eb="4">
      <t>ヨウト</t>
    </rPh>
    <rPh sb="4" eb="6">
      <t>キゴウ</t>
    </rPh>
    <phoneticPr fontId="3"/>
  </si>
  <si>
    <t>設備有無</t>
    <rPh sb="0" eb="2">
      <t>セツビ</t>
    </rPh>
    <rPh sb="2" eb="4">
      <t>ウム</t>
    </rPh>
    <phoneticPr fontId="3"/>
  </si>
  <si>
    <t>用途/規模該否（逆算）</t>
    <rPh sb="0" eb="2">
      <t>ヨウト</t>
    </rPh>
    <rPh sb="3" eb="5">
      <t>キボ</t>
    </rPh>
    <rPh sb="5" eb="7">
      <t>ガイヒ</t>
    </rPh>
    <phoneticPr fontId="3"/>
  </si>
  <si>
    <t>指定根拠コード</t>
    <rPh sb="0" eb="2">
      <t>シテイ</t>
    </rPh>
    <rPh sb="2" eb="4">
      <t>コンキョ</t>
    </rPh>
    <phoneticPr fontId="3"/>
  </si>
  <si>
    <t>指定対象該否</t>
    <rPh sb="0" eb="2">
      <t>シテイ</t>
    </rPh>
    <rPh sb="2" eb="4">
      <t>タイショウ</t>
    </rPh>
    <rPh sb="4" eb="6">
      <t>ガイヒ</t>
    </rPh>
    <phoneticPr fontId="3"/>
  </si>
  <si>
    <t>指定対象該否</t>
    <rPh sb="0" eb="2">
      <t>シテイ</t>
    </rPh>
    <rPh sb="2" eb="6">
      <t>タイショウガイヒ</t>
    </rPh>
    <phoneticPr fontId="3"/>
  </si>
  <si>
    <t>建築設備用途/規模該否整合</t>
    <rPh sb="4" eb="6">
      <t>ヨウト</t>
    </rPh>
    <rPh sb="7" eb="9">
      <t>キボ</t>
    </rPh>
    <rPh sb="9" eb="11">
      <t>ガイヒ</t>
    </rPh>
    <rPh sb="11" eb="13">
      <t>セイゴウ</t>
    </rPh>
    <phoneticPr fontId="3"/>
  </si>
  <si>
    <t>建築設備用途/規模該否（入力）（逆算）</t>
    <rPh sb="4" eb="6">
      <t>ヨウト</t>
    </rPh>
    <rPh sb="7" eb="9">
      <t>キボ</t>
    </rPh>
    <rPh sb="9" eb="11">
      <t>ガイヒ</t>
    </rPh>
    <rPh sb="16" eb="18">
      <t>ギャクサン</t>
    </rPh>
    <phoneticPr fontId="3"/>
  </si>
  <si>
    <t>防火設備用途/規模該否整合</t>
    <rPh sb="0" eb="2">
      <t>ボウカ</t>
    </rPh>
    <rPh sb="4" eb="6">
      <t>ヨウト</t>
    </rPh>
    <rPh sb="7" eb="9">
      <t>キボ</t>
    </rPh>
    <rPh sb="9" eb="11">
      <t>ガイヒ</t>
    </rPh>
    <rPh sb="11" eb="13">
      <t>セイゴウ</t>
    </rPh>
    <phoneticPr fontId="3"/>
  </si>
  <si>
    <t>防火設備用途/規模該否（入力）（逆算）</t>
    <rPh sb="0" eb="2">
      <t>ボウカ</t>
    </rPh>
    <rPh sb="4" eb="6">
      <t>ヨウト</t>
    </rPh>
    <rPh sb="7" eb="9">
      <t>キボ</t>
    </rPh>
    <rPh sb="9" eb="11">
      <t>ガイヒ</t>
    </rPh>
    <rPh sb="12" eb="14">
      <t>ニュウリョク</t>
    </rPh>
    <rPh sb="16" eb="18">
      <t>ギャクサン</t>
    </rPh>
    <phoneticPr fontId="3"/>
  </si>
  <si>
    <t>種別番号判定用No.</t>
    <rPh sb="0" eb="2">
      <t>シュベツ</t>
    </rPh>
    <rPh sb="2" eb="4">
      <t>バンゴウ</t>
    </rPh>
    <rPh sb="4" eb="7">
      <t>ハンテイヨウ</t>
    </rPh>
    <phoneticPr fontId="3"/>
  </si>
  <si>
    <t>「直近の建築確認」には、</t>
    <rPh sb="4" eb="6">
      <t>ケンチク</t>
    </rPh>
    <phoneticPr fontId="3"/>
  </si>
  <si>
    <t>直近の建築確認について記入してください。</t>
    <rPh sb="0" eb="2">
      <t>チョッキン</t>
    </rPh>
    <rPh sb="3" eb="5">
      <t>ケンチク</t>
    </rPh>
    <rPh sb="5" eb="7">
      <t>カクニン</t>
    </rPh>
    <rPh sb="11" eb="13">
      <t>キニュウ</t>
    </rPh>
    <phoneticPr fontId="3"/>
  </si>
  <si>
    <t>1_入力シート【基本情報】12</t>
    <phoneticPr fontId="3"/>
  </si>
  <si>
    <t>建築確認の情報に関する、プルダウン項目・注意書きの表現を修正しました。</t>
    <rPh sb="0" eb="2">
      <t>ケンチク</t>
    </rPh>
    <rPh sb="2" eb="4">
      <t>カクニン</t>
    </rPh>
    <rPh sb="5" eb="7">
      <t>ジョウホウ</t>
    </rPh>
    <rPh sb="8" eb="9">
      <t>カン</t>
    </rPh>
    <rPh sb="20" eb="23">
      <t>チュウイガ</t>
    </rPh>
    <rPh sb="25" eb="27">
      <t>ヒョウゲン</t>
    </rPh>
    <phoneticPr fontId="3"/>
  </si>
  <si>
    <t>【ver112（令和4年11月）】</t>
    <rPh sb="8" eb="10">
      <t>レイワ</t>
    </rPh>
    <rPh sb="11" eb="12">
      <t>ネン</t>
    </rPh>
    <rPh sb="14" eb="15">
      <t>ガツ</t>
    </rPh>
    <phoneticPr fontId="3"/>
  </si>
  <si>
    <t>調査結果表</t>
  </si>
  <si>
    <t>既存不適格の指摘が特記事項欄に表示されない不具合を修正しました。</t>
    <rPh sb="25" eb="27">
      <t>シュウセイ</t>
    </rPh>
    <phoneticPr fontId="3"/>
  </si>
  <si>
    <t>←報告日西暦変換</t>
    <rPh sb="1" eb="3">
      <t>ホウコク</t>
    </rPh>
    <rPh sb="3" eb="4">
      <t>ヒ</t>
    </rPh>
    <rPh sb="4" eb="6">
      <t>セイレキ</t>
    </rPh>
    <rPh sb="6" eb="8">
      <t>ヘンカン</t>
    </rPh>
    <phoneticPr fontId="3"/>
  </si>
  <si>
    <t>メモ</t>
    <phoneticPr fontId="3"/>
  </si>
  <si>
    <t>非表示行</t>
    <rPh sb="0" eb="3">
      <t>ヒヒョウジ</t>
    </rPh>
    <rPh sb="3" eb="4">
      <t>ギョウ</t>
    </rPh>
    <phoneticPr fontId="3"/>
  </si>
  <si>
    <t>←郵便番号</t>
    <rPh sb="1" eb="3">
      <t>ユウビン</t>
    </rPh>
    <rPh sb="3" eb="5">
      <t>バンゴウ</t>
    </rPh>
    <phoneticPr fontId="3"/>
  </si>
  <si>
    <t>←電話番号</t>
    <rPh sb="1" eb="3">
      <t>デンワ</t>
    </rPh>
    <rPh sb="3" eb="5">
      <t>バンゴウ</t>
    </rPh>
    <phoneticPr fontId="3"/>
  </si>
  <si>
    <t>プルダウン</t>
    <phoneticPr fontId="3"/>
  </si>
  <si>
    <t>京都市の建物IDは、英字＋数字+数字4桁で付与しています。
（所有者又は管理者の方にお送りしている通知文に記載しています。）</t>
    <phoneticPr fontId="3"/>
  </si>
  <si>
    <r>
      <t>「2_入力シート【用途面積】」</t>
    </r>
    <r>
      <rPr>
        <b/>
        <sz val="12"/>
        <color rgb="FFFF0000"/>
        <rFont val="ＭＳ Ｐゴシック"/>
        <family val="3"/>
        <charset val="128"/>
        <scheme val="major"/>
      </rPr>
      <t>で記載</t>
    </r>
    <phoneticPr fontId="3"/>
  </si>
  <si>
    <t xml:space="preserve">Kyoto City（R7.7） </t>
    <phoneticPr fontId="3"/>
  </si>
  <si>
    <t>区町村（行政区）</t>
    <rPh sb="0" eb="1">
      <t>ク</t>
    </rPh>
    <rPh sb="1" eb="3">
      <t>チョウソン</t>
    </rPh>
    <rPh sb="4" eb="7">
      <t>ギョウセイク</t>
    </rPh>
    <phoneticPr fontId="123"/>
  </si>
  <si>
    <t>北区</t>
    <rPh sb="0" eb="2">
      <t>キタク</t>
    </rPh>
    <phoneticPr fontId="123"/>
  </si>
  <si>
    <t>上京区</t>
    <rPh sb="0" eb="3">
      <t>カミギョウク</t>
    </rPh>
    <phoneticPr fontId="123"/>
  </si>
  <si>
    <t>左京区</t>
    <rPh sb="0" eb="3">
      <t>サキョウク</t>
    </rPh>
    <phoneticPr fontId="123"/>
  </si>
  <si>
    <t>中京区</t>
    <rPh sb="0" eb="3">
      <t>ナカギョウク</t>
    </rPh>
    <phoneticPr fontId="123"/>
  </si>
  <si>
    <t>東山区</t>
    <rPh sb="0" eb="3">
      <t>ヒガシヤマク</t>
    </rPh>
    <phoneticPr fontId="123"/>
  </si>
  <si>
    <t>山科区</t>
    <rPh sb="0" eb="3">
      <t>ヤマシナク</t>
    </rPh>
    <phoneticPr fontId="123"/>
  </si>
  <si>
    <t>下京区</t>
    <rPh sb="0" eb="3">
      <t>シモギョウク</t>
    </rPh>
    <phoneticPr fontId="123"/>
  </si>
  <si>
    <t>南区</t>
    <rPh sb="0" eb="2">
      <t>ミナミク</t>
    </rPh>
    <phoneticPr fontId="123"/>
  </si>
  <si>
    <t>右京区</t>
    <rPh sb="0" eb="3">
      <t>ウキョウク</t>
    </rPh>
    <phoneticPr fontId="123"/>
  </si>
  <si>
    <t>西京区</t>
    <rPh sb="0" eb="3">
      <t>ニシキョウク</t>
    </rPh>
    <phoneticPr fontId="123"/>
  </si>
  <si>
    <t>伏見区</t>
    <rPh sb="0" eb="3">
      <t>フシミク</t>
    </rPh>
    <phoneticPr fontId="123"/>
  </si>
  <si>
    <t>有無（随閉）</t>
    <rPh sb="0" eb="2">
      <t>ウム</t>
    </rPh>
    <rPh sb="3" eb="4">
      <t>ズイ</t>
    </rPh>
    <rPh sb="4" eb="5">
      <t>ヘイ</t>
    </rPh>
    <phoneticPr fontId="3"/>
  </si>
  <si>
    <t>１.敷地及び地盤</t>
    <rPh sb="2" eb="4">
      <t>シキチ</t>
    </rPh>
    <rPh sb="4" eb="5">
      <t>オヨ</t>
    </rPh>
    <rPh sb="6" eb="8">
      <t>ジバン</t>
    </rPh>
    <phoneticPr fontId="3"/>
  </si>
  <si>
    <t>２.建築物の外部</t>
    <rPh sb="2" eb="5">
      <t>ケンチクブツ</t>
    </rPh>
    <rPh sb="6" eb="8">
      <t>ガイブ</t>
    </rPh>
    <phoneticPr fontId="3"/>
  </si>
  <si>
    <t>３.屋上及び屋根</t>
    <rPh sb="2" eb="4">
      <t>オクジョウ</t>
    </rPh>
    <rPh sb="4" eb="5">
      <t>オヨ</t>
    </rPh>
    <rPh sb="6" eb="8">
      <t>ヤネ</t>
    </rPh>
    <phoneticPr fontId="3"/>
  </si>
  <si>
    <t>４.建築物の内部</t>
    <rPh sb="6" eb="8">
      <t>ナイブ</t>
    </rPh>
    <phoneticPr fontId="3"/>
  </si>
  <si>
    <t>スプリンクラー設備</t>
    <rPh sb="7" eb="9">
      <t>セツビ</t>
    </rPh>
    <phoneticPr fontId="3"/>
  </si>
  <si>
    <t>令和6年国交省告示第284号第1第1号又は第2号二に規定するスプリンクラー設備</t>
    <rPh sb="0" eb="2">
      <t>レイワ</t>
    </rPh>
    <rPh sb="3" eb="4">
      <t>ネン</t>
    </rPh>
    <rPh sb="4" eb="7">
      <t>コッコウショウ</t>
    </rPh>
    <rPh sb="7" eb="9">
      <t>コクジ</t>
    </rPh>
    <rPh sb="9" eb="10">
      <t>ダイ</t>
    </rPh>
    <rPh sb="13" eb="14">
      <t>ゴウ</t>
    </rPh>
    <rPh sb="14" eb="15">
      <t>ダイ</t>
    </rPh>
    <rPh sb="16" eb="17">
      <t>ダイ</t>
    </rPh>
    <rPh sb="18" eb="19">
      <t>ゴウ</t>
    </rPh>
    <rPh sb="19" eb="20">
      <t>マタ</t>
    </rPh>
    <rPh sb="21" eb="22">
      <t>ダイ</t>
    </rPh>
    <rPh sb="23" eb="24">
      <t>ゴウ</t>
    </rPh>
    <rPh sb="24" eb="25">
      <t>ニ</t>
    </rPh>
    <rPh sb="26" eb="28">
      <t>キテイ</t>
    </rPh>
    <rPh sb="37" eb="39">
      <t>セツビ</t>
    </rPh>
    <phoneticPr fontId="3"/>
  </si>
  <si>
    <t>スプリンクラー設備の設置の状況</t>
    <rPh sb="7" eb="9">
      <t>セツビ</t>
    </rPh>
    <rPh sb="10" eb="12">
      <t>セッチ</t>
    </rPh>
    <rPh sb="13" eb="15">
      <t>ジョウキョウ</t>
    </rPh>
    <phoneticPr fontId="3"/>
  </si>
  <si>
    <t>スプリンクラー設備の劣化及び損傷の状況</t>
    <rPh sb="7" eb="9">
      <t>セツビ</t>
    </rPh>
    <rPh sb="10" eb="12">
      <t>レッカ</t>
    </rPh>
    <rPh sb="12" eb="13">
      <t>オヨ</t>
    </rPh>
    <rPh sb="14" eb="16">
      <t>ソンショウ</t>
    </rPh>
    <rPh sb="17" eb="19">
      <t>ジョウキョウ</t>
    </rPh>
    <phoneticPr fontId="3"/>
  </si>
  <si>
    <t>５.避難施設等</t>
    <rPh sb="2" eb="4">
      <t>ヒナン</t>
    </rPh>
    <rPh sb="4" eb="6">
      <t>シセツ</t>
    </rPh>
    <rPh sb="6" eb="7">
      <t>ナド</t>
    </rPh>
    <phoneticPr fontId="3"/>
  </si>
  <si>
    <t>令第120条第2項に規定する通路</t>
    <rPh sb="0" eb="1">
      <t>レイ</t>
    </rPh>
    <rPh sb="1" eb="2">
      <t>ダイ</t>
    </rPh>
    <rPh sb="5" eb="6">
      <t>ジョウ</t>
    </rPh>
    <rPh sb="6" eb="7">
      <t>ダイ</t>
    </rPh>
    <rPh sb="8" eb="9">
      <t>コウ</t>
    </rPh>
    <rPh sb="10" eb="12">
      <t>キテイ</t>
    </rPh>
    <rPh sb="14" eb="16">
      <t>ツウロ</t>
    </rPh>
    <phoneticPr fontId="3"/>
  </si>
  <si>
    <t>６.その他</t>
    <rPh sb="4" eb="5">
      <t>タ</t>
    </rPh>
    <phoneticPr fontId="3"/>
  </si>
  <si>
    <t>７.上記以外の調査項目</t>
    <rPh sb="2" eb="4">
      <t>ジョウキ</t>
    </rPh>
    <rPh sb="4" eb="6">
      <t>イガイ</t>
    </rPh>
    <rPh sb="7" eb="9">
      <t>チョウサ</t>
    </rPh>
    <rPh sb="9" eb="11">
      <t>コウモク</t>
    </rPh>
    <phoneticPr fontId="3"/>
  </si>
  <si>
    <t>非常用エレベーター</t>
    <rPh sb="0" eb="3">
      <t>ヒジョウヨウ</t>
    </rPh>
    <phoneticPr fontId="3"/>
  </si>
  <si>
    <t>可動式防煙壁</t>
    <rPh sb="0" eb="3">
      <t>カドウシキ</t>
    </rPh>
    <rPh sb="3" eb="5">
      <t>ボウエン</t>
    </rPh>
    <rPh sb="5" eb="6">
      <t>カベ</t>
    </rPh>
    <phoneticPr fontId="3"/>
  </si>
  <si>
    <t>換気の妨げとなる物品の放置の状況</t>
    <phoneticPr fontId="3"/>
  </si>
  <si>
    <t>可動式防煙壁の作動の状況</t>
    <phoneticPr fontId="3"/>
  </si>
  <si>
    <t>排煙設備の作動の状況</t>
    <phoneticPr fontId="3"/>
  </si>
  <si>
    <t>非常用の照明装置の作動の状況</t>
    <phoneticPr fontId="3"/>
  </si>
  <si>
    <t>照明の妨げとなる物品の放置の状況</t>
    <phoneticPr fontId="3"/>
  </si>
  <si>
    <t>８.上記１から７で表現できない項目</t>
    <phoneticPr fontId="3"/>
  </si>
  <si>
    <t>【報告書/概要書】第一面４欄</t>
    <rPh sb="1" eb="4">
      <t>ホウコクショ</t>
    </rPh>
    <rPh sb="5" eb="8">
      <t>ガイヨウショ</t>
    </rPh>
    <rPh sb="9" eb="11">
      <t>ダイイチ</t>
    </rPh>
    <phoneticPr fontId="3"/>
  </si>
  <si>
    <t>プルダウン一覧（参考）</t>
    <rPh sb="8" eb="10">
      <t>サンコウ</t>
    </rPh>
    <phoneticPr fontId="3"/>
  </si>
  <si>
    <r>
      <t>―児童福祉施設等(1)（市指定</t>
    </r>
    <r>
      <rPr>
        <sz val="9"/>
        <rFont val="メイリオ"/>
        <family val="3"/>
        <charset val="128"/>
      </rPr>
      <t>※</t>
    </r>
    <r>
      <rPr>
        <b/>
        <sz val="9"/>
        <rFont val="メイリオ"/>
        <family val="3"/>
        <charset val="128"/>
      </rPr>
      <t>）――</t>
    </r>
    <phoneticPr fontId="3"/>
  </si>
  <si>
    <r>
      <t>―児童福祉施設等(2)（国指定</t>
    </r>
    <r>
      <rPr>
        <sz val="9"/>
        <rFont val="メイリオ"/>
        <family val="3"/>
        <charset val="128"/>
      </rPr>
      <t>※</t>
    </r>
    <r>
      <rPr>
        <b/>
        <sz val="9"/>
        <rFont val="メイリオ"/>
        <family val="3"/>
        <charset val="128"/>
      </rPr>
      <t>）――</t>
    </r>
    <phoneticPr fontId="3"/>
  </si>
  <si>
    <t>↓　氏名統合（法人名+肩書+氏名）</t>
    <rPh sb="2" eb="4">
      <t>シメイ</t>
    </rPh>
    <rPh sb="4" eb="6">
      <t>トウゴウ</t>
    </rPh>
    <rPh sb="7" eb="9">
      <t>ホウジン</t>
    </rPh>
    <rPh sb="9" eb="10">
      <t>メイ</t>
    </rPh>
    <rPh sb="11" eb="13">
      <t>カタガキ</t>
    </rPh>
    <rPh sb="14" eb="16">
      <t>シメイ</t>
    </rPh>
    <phoneticPr fontId="3"/>
  </si>
  <si>
    <t>⇒　一面1欄ロ</t>
    <rPh sb="2" eb="4">
      <t>イチメン</t>
    </rPh>
    <rPh sb="5" eb="6">
      <t>ラン</t>
    </rPh>
    <phoneticPr fontId="3"/>
  </si>
  <si>
    <t>【報告書/概要書】第一面１欄</t>
    <rPh sb="1" eb="4">
      <t>ホウコクショ</t>
    </rPh>
    <rPh sb="5" eb="8">
      <t>ガイヨウショ</t>
    </rPh>
    <phoneticPr fontId="3"/>
  </si>
  <si>
    <t>【受付管理票】</t>
    <rPh sb="1" eb="3">
      <t>ウケツケ</t>
    </rPh>
    <rPh sb="3" eb="5">
      <t>カンリ</t>
    </rPh>
    <rPh sb="5" eb="6">
      <t>ヒョウ</t>
    </rPh>
    <phoneticPr fontId="3"/>
  </si>
  <si>
    <t>↓所有者1電話番号</t>
    <rPh sb="1" eb="4">
      <t>ショユウシャ</t>
    </rPh>
    <rPh sb="5" eb="7">
      <t>デンワ</t>
    </rPh>
    <rPh sb="7" eb="9">
      <t>バンゴウ</t>
    </rPh>
    <phoneticPr fontId="3"/>
  </si>
  <si>
    <t>⇒　一面1欄ハ</t>
    <rPh sb="2" eb="4">
      <t>イチメン</t>
    </rPh>
    <rPh sb="5" eb="6">
      <t>ラン</t>
    </rPh>
    <phoneticPr fontId="3"/>
  </si>
  <si>
    <t>⇒　一面1欄ホ</t>
    <rPh sb="2" eb="4">
      <t>イチメン</t>
    </rPh>
    <rPh sb="5" eb="6">
      <t>ラン</t>
    </rPh>
    <phoneticPr fontId="3"/>
  </si>
  <si>
    <t>1.所有者</t>
    <rPh sb="2" eb="5">
      <t>ショユウシャ</t>
    </rPh>
    <phoneticPr fontId="3"/>
  </si>
  <si>
    <t>（所有者2）</t>
    <rPh sb="1" eb="4">
      <t>ショユウシャ</t>
    </rPh>
    <phoneticPr fontId="3"/>
  </si>
  <si>
    <t>３-1　所有者1</t>
    <rPh sb="4" eb="7">
      <t>ショユウシャ</t>
    </rPh>
    <phoneticPr fontId="3"/>
  </si>
  <si>
    <t>↓所有者2電話番号</t>
    <rPh sb="1" eb="4">
      <t>ショユウシャ</t>
    </rPh>
    <rPh sb="5" eb="7">
      <t>デンワ</t>
    </rPh>
    <rPh sb="7" eb="9">
      <t>バンゴウ</t>
    </rPh>
    <phoneticPr fontId="3"/>
  </si>
  <si>
    <t>↓所有者1郵便番号</t>
    <rPh sb="1" eb="4">
      <t>ショユウシャ</t>
    </rPh>
    <rPh sb="5" eb="7">
      <t>ユウビン</t>
    </rPh>
    <rPh sb="7" eb="9">
      <t>バンゴウ</t>
    </rPh>
    <phoneticPr fontId="3"/>
  </si>
  <si>
    <t>↓所有者2郵便番号</t>
    <rPh sb="1" eb="4">
      <t>ショユウシャ</t>
    </rPh>
    <rPh sb="5" eb="7">
      <t>ユウビン</t>
    </rPh>
    <rPh sb="7" eb="9">
      <t>バンゴウ</t>
    </rPh>
    <phoneticPr fontId="3"/>
  </si>
  <si>
    <t>⇒　一面別紙（1欄ロ）</t>
    <rPh sb="2" eb="4">
      <t>イチメン</t>
    </rPh>
    <rPh sb="4" eb="6">
      <t>ベッシ</t>
    </rPh>
    <rPh sb="8" eb="9">
      <t>ラン</t>
    </rPh>
    <phoneticPr fontId="3"/>
  </si>
  <si>
    <t>４　管理者</t>
    <rPh sb="2" eb="5">
      <t>カンリシャ</t>
    </rPh>
    <phoneticPr fontId="3"/>
  </si>
  <si>
    <t>【報告書/概要書】第一面別紙</t>
    <rPh sb="1" eb="4">
      <t>ホウコクショ</t>
    </rPh>
    <rPh sb="5" eb="8">
      <t>ガイヨウショ</t>
    </rPh>
    <rPh sb="12" eb="14">
      <t>ベッシ</t>
    </rPh>
    <phoneticPr fontId="3"/>
  </si>
  <si>
    <t>【報告書/概要書】第一面２欄</t>
    <rPh sb="1" eb="4">
      <t>ホウコクショ</t>
    </rPh>
    <rPh sb="5" eb="8">
      <t>ガイヨウショ</t>
    </rPh>
    <phoneticPr fontId="3"/>
  </si>
  <si>
    <t>【報告書/概要書】第一面３欄</t>
    <rPh sb="1" eb="4">
      <t>ホウコクショ</t>
    </rPh>
    <rPh sb="5" eb="8">
      <t>ガイヨウショ</t>
    </rPh>
    <phoneticPr fontId="3"/>
  </si>
  <si>
    <t>↓管理者郵便番号</t>
    <rPh sb="1" eb="4">
      <t>カンリシャ</t>
    </rPh>
    <rPh sb="4" eb="6">
      <t>ユウビン</t>
    </rPh>
    <rPh sb="6" eb="8">
      <t>バンゴウ</t>
    </rPh>
    <phoneticPr fontId="3"/>
  </si>
  <si>
    <t>↓管理者電話番号</t>
    <rPh sb="1" eb="4">
      <t>カンリシャ</t>
    </rPh>
    <rPh sb="4" eb="6">
      <t>デンワ</t>
    </rPh>
    <rPh sb="6" eb="8">
      <t>バンゴウ</t>
    </rPh>
    <phoneticPr fontId="3"/>
  </si>
  <si>
    <t>⇒　一面2欄ハ</t>
    <rPh sb="2" eb="4">
      <t>イチメン</t>
    </rPh>
    <rPh sb="5" eb="6">
      <t>ラン</t>
    </rPh>
    <phoneticPr fontId="3"/>
  </si>
  <si>
    <t>⇒　一面2欄ホ</t>
    <rPh sb="2" eb="4">
      <t>イチメン</t>
    </rPh>
    <rPh sb="5" eb="6">
      <t>ラン</t>
    </rPh>
    <phoneticPr fontId="3"/>
  </si>
  <si>
    <t>⇒　一面2欄ロ</t>
    <rPh sb="2" eb="4">
      <t>イチメン</t>
    </rPh>
    <rPh sb="5" eb="6">
      <t>ラン</t>
    </rPh>
    <phoneticPr fontId="3"/>
  </si>
  <si>
    <t>⇒　一面3欄(代表)ハ</t>
    <rPh sb="2" eb="4">
      <t>イチメン</t>
    </rPh>
    <rPh sb="5" eb="6">
      <t>ラン</t>
    </rPh>
    <rPh sb="7" eb="9">
      <t>ダイヒョウ</t>
    </rPh>
    <phoneticPr fontId="3"/>
  </si>
  <si>
    <t>⇒　一面3欄(代表)イ</t>
    <rPh sb="2" eb="4">
      <t>イチメン</t>
    </rPh>
    <rPh sb="5" eb="6">
      <t>ラン</t>
    </rPh>
    <rPh sb="7" eb="9">
      <t>ダイヒョウ</t>
    </rPh>
    <phoneticPr fontId="3"/>
  </si>
  <si>
    <t>←空欄：0、特定建築物調査員：1、一級・二級：2</t>
    <rPh sb="1" eb="3">
      <t>クウラン</t>
    </rPh>
    <rPh sb="6" eb="8">
      <t>トクテイ</t>
    </rPh>
    <rPh sb="8" eb="11">
      <t>ケンチクブツ</t>
    </rPh>
    <rPh sb="11" eb="14">
      <t>チョウサイン</t>
    </rPh>
    <rPh sb="17" eb="18">
      <t>イチ</t>
    </rPh>
    <rPh sb="18" eb="19">
      <t>キュウ</t>
    </rPh>
    <rPh sb="20" eb="22">
      <t>ニキュウ</t>
    </rPh>
    <phoneticPr fontId="3"/>
  </si>
  <si>
    <t>⇒　一面3欄(代表)ロ</t>
    <rPh sb="2" eb="4">
      <t>イチメン</t>
    </rPh>
    <rPh sb="5" eb="6">
      <t>ラン</t>
    </rPh>
    <rPh sb="7" eb="9">
      <t>ダイヒョウ</t>
    </rPh>
    <phoneticPr fontId="3"/>
  </si>
  <si>
    <t>⇒　一面3欄(代表)二</t>
    <rPh sb="2" eb="4">
      <t>イチメン</t>
    </rPh>
    <rPh sb="5" eb="6">
      <t>ラン</t>
    </rPh>
    <rPh sb="7" eb="9">
      <t>ダイヒョウ</t>
    </rPh>
    <rPh sb="10" eb="11">
      <t>ニ</t>
    </rPh>
    <phoneticPr fontId="3"/>
  </si>
  <si>
    <t>⇒　一面3欄(代表)ホ</t>
    <rPh sb="2" eb="4">
      <t>イチメン</t>
    </rPh>
    <rPh sb="5" eb="6">
      <t>ラン</t>
    </rPh>
    <rPh sb="7" eb="9">
      <t>ダイヒョウ</t>
    </rPh>
    <phoneticPr fontId="3"/>
  </si>
  <si>
    <t>⇒　一面3欄(代表)ト</t>
    <rPh sb="2" eb="4">
      <t>イチメン</t>
    </rPh>
    <rPh sb="5" eb="6">
      <t>ラン</t>
    </rPh>
    <rPh sb="7" eb="9">
      <t>ダイヒョウ</t>
    </rPh>
    <phoneticPr fontId="3"/>
  </si>
  <si>
    <t>⇒　一面3欄(代表)ヘ</t>
    <rPh sb="2" eb="4">
      <t>イチメン</t>
    </rPh>
    <rPh sb="5" eb="6">
      <t>ラン</t>
    </rPh>
    <rPh sb="7" eb="9">
      <t>ダイヒョウ</t>
    </rPh>
    <phoneticPr fontId="3"/>
  </si>
  <si>
    <t>↓調査者（代表）郵便番号</t>
    <rPh sb="1" eb="3">
      <t>チョウサ</t>
    </rPh>
    <rPh sb="3" eb="4">
      <t>シャ</t>
    </rPh>
    <rPh sb="5" eb="7">
      <t>ダイヒョウ</t>
    </rPh>
    <rPh sb="8" eb="10">
      <t>ユウビン</t>
    </rPh>
    <rPh sb="10" eb="12">
      <t>バンゴウ</t>
    </rPh>
    <phoneticPr fontId="3"/>
  </si>
  <si>
    <t>↓調査者（代表）電話番号</t>
    <rPh sb="1" eb="3">
      <t>チョウサ</t>
    </rPh>
    <rPh sb="3" eb="4">
      <t>シャ</t>
    </rPh>
    <rPh sb="5" eb="7">
      <t>ダイヒョウ</t>
    </rPh>
    <rPh sb="8" eb="10">
      <t>デンワ</t>
    </rPh>
    <rPh sb="10" eb="12">
      <t>バンゴウ</t>
    </rPh>
    <phoneticPr fontId="3"/>
  </si>
  <si>
    <t>←条件付き書式用(空欄or特定：0、一級・二級：1）</t>
    <rPh sb="1" eb="4">
      <t>ジョウケンツ</t>
    </rPh>
    <rPh sb="5" eb="7">
      <t>ショシキ</t>
    </rPh>
    <rPh sb="7" eb="8">
      <t>ヨウ</t>
    </rPh>
    <rPh sb="9" eb="11">
      <t>クウラン</t>
    </rPh>
    <rPh sb="13" eb="15">
      <t>トクテイ</t>
    </rPh>
    <rPh sb="18" eb="20">
      <t>イッキュウ</t>
    </rPh>
    <rPh sb="21" eb="23">
      <t>ニキュウ</t>
    </rPh>
    <phoneticPr fontId="3"/>
  </si>
  <si>
    <t>→チェックボックスに応じて、代表となる調査者の情報が受付管理票に転記されます</t>
    <phoneticPr fontId="3"/>
  </si>
  <si>
    <t>→住所及び電話番号が、所有者1と同一の場合、チェックボックスにチェックしてください（入力省略）</t>
    <rPh sb="1" eb="3">
      <t>ジュウショ</t>
    </rPh>
    <rPh sb="3" eb="4">
      <t>オヨ</t>
    </rPh>
    <rPh sb="5" eb="7">
      <t>デンワ</t>
    </rPh>
    <rPh sb="7" eb="9">
      <t>バンゴウ</t>
    </rPh>
    <rPh sb="11" eb="14">
      <t>ショユウシャ</t>
    </rPh>
    <rPh sb="16" eb="18">
      <t>ドウイツ</t>
    </rPh>
    <rPh sb="19" eb="21">
      <t>バアイ</t>
    </rPh>
    <rPh sb="42" eb="44">
      <t>ニュウリョク</t>
    </rPh>
    <rPh sb="44" eb="46">
      <t>ショウリャク</t>
    </rPh>
    <phoneticPr fontId="3"/>
  </si>
  <si>
    <t>↓チェックボックス反映</t>
    <rPh sb="9" eb="11">
      <t>ハンエイ</t>
    </rPh>
    <phoneticPr fontId="3"/>
  </si>
  <si>
    <t>⇒　一面1欄イ</t>
    <rPh sb="2" eb="4">
      <t>イチメン</t>
    </rPh>
    <rPh sb="5" eb="6">
      <t>ラン</t>
    </rPh>
    <phoneticPr fontId="3"/>
  </si>
  <si>
    <t>郵便番号</t>
    <rPh sb="0" eb="4">
      <t>ユウビンバンゴウ</t>
    </rPh>
    <phoneticPr fontId="3"/>
  </si>
  <si>
    <t>電話番号</t>
    <rPh sb="0" eb="2">
      <t>デンワ</t>
    </rPh>
    <rPh sb="2" eb="4">
      <t>バンゴウ</t>
    </rPh>
    <phoneticPr fontId="3"/>
  </si>
  <si>
    <t>住所</t>
    <rPh sb="0" eb="2">
      <t>ジュウショ</t>
    </rPh>
    <phoneticPr fontId="3"/>
  </si>
  <si>
    <t>↓　チェックボックス反映（TRUE　⇒　「郵便番号」、「住所」、「電話」は所有者1を採用</t>
    <rPh sb="10" eb="12">
      <t>ハンエイ</t>
    </rPh>
    <rPh sb="21" eb="25">
      <t>ユウビンバンゴウ</t>
    </rPh>
    <rPh sb="28" eb="30">
      <t>ジュウショ</t>
    </rPh>
    <rPh sb="33" eb="35">
      <t>デンワ</t>
    </rPh>
    <rPh sb="37" eb="40">
      <t>ショユウシャ</t>
    </rPh>
    <rPh sb="42" eb="44">
      <t>サイヨウ</t>
    </rPh>
    <phoneticPr fontId="3"/>
  </si>
  <si>
    <t>⇒　一面別紙（1欄イ）</t>
    <rPh sb="2" eb="4">
      <t>イチメン</t>
    </rPh>
    <rPh sb="4" eb="6">
      <t>ベッシ</t>
    </rPh>
    <rPh sb="8" eb="9">
      <t>ラン</t>
    </rPh>
    <phoneticPr fontId="3"/>
  </si>
  <si>
    <t>－</t>
  </si>
  <si>
    <t>⇒　一面別紙（1欄ハ）※所有者2</t>
    <rPh sb="2" eb="4">
      <t>イチメン</t>
    </rPh>
    <rPh sb="4" eb="6">
      <t>ベッシ</t>
    </rPh>
    <rPh sb="8" eb="9">
      <t>ラン</t>
    </rPh>
    <rPh sb="12" eb="15">
      <t>ショユウシャ</t>
    </rPh>
    <phoneticPr fontId="3"/>
  </si>
  <si>
    <t>⇒　一面別紙（1欄ニ）※所有者2</t>
    <rPh sb="2" eb="4">
      <t>イチメン</t>
    </rPh>
    <rPh sb="4" eb="6">
      <t>ベッシ</t>
    </rPh>
    <rPh sb="8" eb="9">
      <t>ラン</t>
    </rPh>
    <rPh sb="12" eb="15">
      <t>ショユウシャ</t>
    </rPh>
    <phoneticPr fontId="3"/>
  </si>
  <si>
    <t>⇒　一面別紙（1欄ホ）※所有者2</t>
    <rPh sb="2" eb="4">
      <t>イチメン</t>
    </rPh>
    <rPh sb="4" eb="6">
      <t>ベッシ</t>
    </rPh>
    <rPh sb="8" eb="9">
      <t>ラン</t>
    </rPh>
    <phoneticPr fontId="3"/>
  </si>
  <si>
    <t>法人名</t>
    <rPh sb="0" eb="2">
      <t>ホウジン</t>
    </rPh>
    <rPh sb="2" eb="3">
      <t>メイ</t>
    </rPh>
    <phoneticPr fontId="3"/>
  </si>
  <si>
    <t>肩書</t>
    <rPh sb="0" eb="2">
      <t>カタガキ</t>
    </rPh>
    <phoneticPr fontId="3"/>
  </si>
  <si>
    <t>氏名</t>
    <rPh sb="0" eb="2">
      <t>シメイ</t>
    </rPh>
    <phoneticPr fontId="3"/>
  </si>
  <si>
    <t>報告者法人名</t>
    <rPh sb="0" eb="2">
      <t>ホウコク</t>
    </rPh>
    <rPh sb="2" eb="3">
      <t>シャ</t>
    </rPh>
    <rPh sb="3" eb="5">
      <t>ホウジン</t>
    </rPh>
    <rPh sb="5" eb="6">
      <t>メイ</t>
    </rPh>
    <phoneticPr fontId="3"/>
  </si>
  <si>
    <t>報告者肩書+氏名</t>
    <rPh sb="0" eb="2">
      <t>ホウコク</t>
    </rPh>
    <rPh sb="2" eb="3">
      <t>シャ</t>
    </rPh>
    <rPh sb="3" eb="5">
      <t>カタガキ</t>
    </rPh>
    <rPh sb="6" eb="8">
      <t>シメイ</t>
    </rPh>
    <phoneticPr fontId="3"/>
  </si>
  <si>
    <t>⇒　一面2欄イ</t>
    <rPh sb="2" eb="4">
      <t>イチメン</t>
    </rPh>
    <rPh sb="5" eb="6">
      <t>ラン</t>
    </rPh>
    <phoneticPr fontId="3"/>
  </si>
  <si>
    <t>⇒　一面2欄二</t>
    <rPh sb="2" eb="4">
      <t>イチメン</t>
    </rPh>
    <rPh sb="5" eb="6">
      <t>ラン</t>
    </rPh>
    <rPh sb="6" eb="7">
      <t>ニ</t>
    </rPh>
    <phoneticPr fontId="3"/>
  </si>
  <si>
    <t>⇒　一面右肩</t>
    <rPh sb="2" eb="4">
      <t>イチメン</t>
    </rPh>
    <rPh sb="4" eb="6">
      <t>ミギカタ</t>
    </rPh>
    <phoneticPr fontId="3"/>
  </si>
  <si>
    <t>登録</t>
    <rPh sb="0" eb="2">
      <t>トウロク</t>
    </rPh>
    <phoneticPr fontId="3"/>
  </si>
  <si>
    <t>番号（特定</t>
    <rPh sb="0" eb="2">
      <t>バンゴウ</t>
    </rPh>
    <rPh sb="3" eb="5">
      <t>トクテイ</t>
    </rPh>
    <phoneticPr fontId="3"/>
  </si>
  <si>
    <t>番号（建築士</t>
    <rPh sb="0" eb="2">
      <t>バンゴウ</t>
    </rPh>
    <rPh sb="3" eb="5">
      <t>ケンチク</t>
    </rPh>
    <rPh sb="5" eb="6">
      <t>シ</t>
    </rPh>
    <phoneticPr fontId="3"/>
  </si>
  <si>
    <t>勤務先名称</t>
    <rPh sb="0" eb="3">
      <t>キンムサキ</t>
    </rPh>
    <rPh sb="3" eb="5">
      <t>メイショウ</t>
    </rPh>
    <phoneticPr fontId="3"/>
  </si>
  <si>
    <t>事務所登録</t>
    <rPh sb="0" eb="2">
      <t>ジム</t>
    </rPh>
    <rPh sb="2" eb="3">
      <t>ショ</t>
    </rPh>
    <rPh sb="3" eb="5">
      <t>トウロク</t>
    </rPh>
    <phoneticPr fontId="3"/>
  </si>
  <si>
    <t>事務所登録番号</t>
    <rPh sb="0" eb="5">
      <t>ジムショトウロク</t>
    </rPh>
    <rPh sb="5" eb="7">
      <t>バンゴウ</t>
    </rPh>
    <phoneticPr fontId="3"/>
  </si>
  <si>
    <t>フリガナ(半角</t>
    <rPh sb="5" eb="7">
      <t>ハンカク</t>
    </rPh>
    <phoneticPr fontId="3"/>
  </si>
  <si>
    <t>入力シートから転記</t>
    <rPh sb="0" eb="2">
      <t>ニュウリョク</t>
    </rPh>
    <rPh sb="7" eb="9">
      <t>テンキ</t>
    </rPh>
    <phoneticPr fontId="3"/>
  </si>
  <si>
    <t>←</t>
    <phoneticPr fontId="3"/>
  </si>
  <si>
    <t>入力不要</t>
    <rPh sb="0" eb="2">
      <t>ニュウリョク</t>
    </rPh>
    <rPh sb="2" eb="4">
      <t>フヨウ</t>
    </rPh>
    <phoneticPr fontId="3"/>
  </si>
  <si>
    <t>行政区を選んでください。</t>
    <rPh sb="0" eb="3">
      <t>ギョウセイク</t>
    </rPh>
    <rPh sb="4" eb="5">
      <t>エラ</t>
    </rPh>
    <phoneticPr fontId="3"/>
  </si>
  <si>
    <r>
      <t xml:space="preserve">区・町をまたぐ場合は、「大字・町名」欄には主要な町名を記入のうえ、「番地など」欄の末尾に、その他の町名番地等について追記してください。
</t>
    </r>
    <r>
      <rPr>
        <sz val="9"/>
        <rFont val="ＭＳ ゴシック"/>
        <family val="3"/>
        <charset val="128"/>
      </rPr>
      <t>　　　例）「大字・町名」：上本能寺前町
　　　　　「番地など」　：488番地、榎木町450の2</t>
    </r>
    <rPh sb="0" eb="1">
      <t>ク</t>
    </rPh>
    <rPh sb="2" eb="3">
      <t>マチ</t>
    </rPh>
    <rPh sb="7" eb="9">
      <t>バアイ</t>
    </rPh>
    <rPh sb="12" eb="14">
      <t>オオアザ</t>
    </rPh>
    <rPh sb="15" eb="17">
      <t>チョウメイ</t>
    </rPh>
    <rPh sb="19" eb="21">
      <t>シュヨウ</t>
    </rPh>
    <rPh sb="22" eb="23">
      <t>マチ</t>
    </rPh>
    <rPh sb="23" eb="24">
      <t>メイ</t>
    </rPh>
    <rPh sb="25" eb="27">
      <t>キニュウ</t>
    </rPh>
    <rPh sb="32" eb="34">
      <t>バンチ</t>
    </rPh>
    <rPh sb="37" eb="38">
      <t>ラン</t>
    </rPh>
    <rPh sb="39" eb="41">
      <t>マツビ</t>
    </rPh>
    <rPh sb="45" eb="46">
      <t>タ</t>
    </rPh>
    <rPh sb="47" eb="49">
      <t>チョウメイ</t>
    </rPh>
    <rPh sb="49" eb="51">
      <t>バンチ</t>
    </rPh>
    <rPh sb="51" eb="52">
      <t>トウ</t>
    </rPh>
    <rPh sb="56" eb="58">
      <t>ツイキ</t>
    </rPh>
    <rPh sb="69" eb="70">
      <t>レイ</t>
    </rPh>
    <rPh sb="71" eb="73">
      <t>オオアザ</t>
    </rPh>
    <rPh sb="74" eb="76">
      <t>チョウメイ</t>
    </rPh>
    <rPh sb="78" eb="79">
      <t>ウエ</t>
    </rPh>
    <rPh sb="79" eb="84">
      <t>ホンノウジマエマチ</t>
    </rPh>
    <rPh sb="91" eb="93">
      <t>バンチ</t>
    </rPh>
    <phoneticPr fontId="3"/>
  </si>
  <si>
    <t>←建物所在地結合</t>
    <rPh sb="1" eb="6">
      <t>タテモノショザイチ</t>
    </rPh>
    <rPh sb="6" eb="8">
      <t>ケツゴウ</t>
    </rPh>
    <phoneticPr fontId="3"/>
  </si>
  <si>
    <t>【報告書/概要書】第二面１欄</t>
    <rPh sb="1" eb="4">
      <t>ホウコクショ</t>
    </rPh>
    <rPh sb="5" eb="8">
      <t>ガイヨウショ</t>
    </rPh>
    <rPh sb="10" eb="11">
      <t>ニ</t>
    </rPh>
    <rPh sb="11" eb="12">
      <t>メン</t>
    </rPh>
    <phoneticPr fontId="3"/>
  </si>
  <si>
    <t>【報告書/概要書】第二面２欄</t>
    <rPh sb="1" eb="4">
      <t>ホウコクショ</t>
    </rPh>
    <rPh sb="5" eb="8">
      <t>ガイヨウショ</t>
    </rPh>
    <rPh sb="10" eb="11">
      <t>ニ</t>
    </rPh>
    <rPh sb="11" eb="12">
      <t>メン</t>
    </rPh>
    <phoneticPr fontId="3"/>
  </si>
  <si>
    <t>【報告書/概要書】第二面４欄</t>
    <rPh sb="1" eb="4">
      <t>ホウコクショ</t>
    </rPh>
    <rPh sb="5" eb="8">
      <t>ガイヨウショ</t>
    </rPh>
    <rPh sb="10" eb="11">
      <t>ニ</t>
    </rPh>
    <rPh sb="11" eb="12">
      <t>メン</t>
    </rPh>
    <phoneticPr fontId="3"/>
  </si>
  <si>
    <t>【報告書/概要書】第二面５欄</t>
    <rPh sb="1" eb="4">
      <t>ホウコクショ</t>
    </rPh>
    <rPh sb="5" eb="8">
      <t>ガイヨウショ</t>
    </rPh>
    <rPh sb="10" eb="11">
      <t>ニ</t>
    </rPh>
    <rPh sb="11" eb="12">
      <t>メン</t>
    </rPh>
    <phoneticPr fontId="3"/>
  </si>
  <si>
    <t>【報告書/概要書】第二面６欄・７欄、【受付管理票】</t>
    <rPh sb="1" eb="4">
      <t>ホウコクショ</t>
    </rPh>
    <rPh sb="5" eb="8">
      <t>ガイヨウショ</t>
    </rPh>
    <rPh sb="16" eb="17">
      <t>ラン</t>
    </rPh>
    <phoneticPr fontId="3"/>
  </si>
  <si>
    <t>【報告書/概要書】第二面７欄</t>
    <rPh sb="1" eb="4">
      <t>ホウコクショ</t>
    </rPh>
    <rPh sb="5" eb="8">
      <t>ガイヨウショ</t>
    </rPh>
    <rPh sb="10" eb="11">
      <t>ニ</t>
    </rPh>
    <rPh sb="11" eb="12">
      <t>メン</t>
    </rPh>
    <phoneticPr fontId="3"/>
  </si>
  <si>
    <t>固定値</t>
    <rPh sb="0" eb="2">
      <t>コテイ</t>
    </rPh>
    <rPh sb="2" eb="3">
      <t>チ</t>
    </rPh>
    <phoneticPr fontId="3"/>
  </si>
  <si>
    <t>①（全て）</t>
    <rPh sb="2" eb="3">
      <t>スベ</t>
    </rPh>
    <phoneticPr fontId="3"/>
  </si>
  <si>
    <t>報告対象年</t>
    <rPh sb="0" eb="2">
      <t>ホウコク</t>
    </rPh>
    <rPh sb="2" eb="4">
      <t>タイショウ</t>
    </rPh>
    <rPh sb="4" eb="5">
      <t>ネン</t>
    </rPh>
    <phoneticPr fontId="3"/>
  </si>
  <si>
    <t>新規</t>
    <rPh sb="0" eb="2">
      <t>シンキ</t>
    </rPh>
    <phoneticPr fontId="3"/>
  </si>
  <si>
    <t>西暦</t>
    <rPh sb="0" eb="2">
      <t>セイレキ</t>
    </rPh>
    <phoneticPr fontId="3"/>
  </si>
  <si>
    <t>←報告日西暦変換用（令和に非対応のExcel用）</t>
    <rPh sb="1" eb="3">
      <t>ホウコク</t>
    </rPh>
    <rPh sb="3" eb="4">
      <t>ヒ</t>
    </rPh>
    <rPh sb="4" eb="6">
      <t>セイレキ</t>
    </rPh>
    <rPh sb="6" eb="8">
      <t>ヘンカン</t>
    </rPh>
    <rPh sb="8" eb="9">
      <t>ヨウ</t>
    </rPh>
    <rPh sb="10" eb="12">
      <t>レイワ</t>
    </rPh>
    <rPh sb="13" eb="16">
      <t>ヒタイオウ</t>
    </rPh>
    <rPh sb="22" eb="23">
      <t>ヨウ</t>
    </rPh>
    <phoneticPr fontId="3"/>
  </si>
  <si>
    <t>←報告対象年、西暦変換</t>
    <rPh sb="1" eb="3">
      <t>ホウコク</t>
    </rPh>
    <rPh sb="3" eb="5">
      <t>タイショウ</t>
    </rPh>
    <rPh sb="5" eb="6">
      <t>ネン</t>
    </rPh>
    <rPh sb="7" eb="9">
      <t>セイレキ</t>
    </rPh>
    <rPh sb="9" eb="11">
      <t>ヘンカン</t>
    </rPh>
    <phoneticPr fontId="3"/>
  </si>
  <si>
    <t>↓CSVシートへ転記する列</t>
    <rPh sb="8" eb="10">
      <t>テンキ</t>
    </rPh>
    <rPh sb="12" eb="13">
      <t>レツ</t>
    </rPh>
    <phoneticPr fontId="3"/>
  </si>
  <si>
    <t>新</t>
    <rPh sb="0" eb="1">
      <t>シン</t>
    </rPh>
    <phoneticPr fontId="3"/>
  </si>
  <si>
    <t>ID用途記号</t>
    <rPh sb="2" eb="4">
      <t>ヨウト</t>
    </rPh>
    <rPh sb="4" eb="6">
      <t>キゴウ</t>
    </rPh>
    <phoneticPr fontId="3"/>
  </si>
  <si>
    <t>ID種別番号</t>
    <rPh sb="2" eb="4">
      <t>シュベツ</t>
    </rPh>
    <rPh sb="4" eb="6">
      <t>バンゴウ</t>
    </rPh>
    <phoneticPr fontId="3"/>
  </si>
  <si>
    <t>建物ID</t>
    <rPh sb="0" eb="2">
      <t>タテモノ</t>
    </rPh>
    <phoneticPr fontId="3"/>
  </si>
  <si>
    <t>建物所在地</t>
    <rPh sb="0" eb="5">
      <t>タテモノショザイチ</t>
    </rPh>
    <phoneticPr fontId="3"/>
  </si>
  <si>
    <t>区</t>
    <rPh sb="0" eb="1">
      <t>ク</t>
    </rPh>
    <phoneticPr fontId="3"/>
  </si>
  <si>
    <t>区以降1</t>
    <rPh sb="0" eb="1">
      <t>ク</t>
    </rPh>
    <rPh sb="1" eb="3">
      <t>イコウ</t>
    </rPh>
    <phoneticPr fontId="3"/>
  </si>
  <si>
    <t>区以降2</t>
    <rPh sb="0" eb="1">
      <t>ク</t>
    </rPh>
    <rPh sb="1" eb="3">
      <t>イコウ</t>
    </rPh>
    <phoneticPr fontId="3"/>
  </si>
  <si>
    <t>◆報告内容に関する問合せ先中間処理</t>
    <rPh sb="13" eb="15">
      <t>チュウカン</t>
    </rPh>
    <rPh sb="15" eb="17">
      <t>ショリ</t>
    </rPh>
    <phoneticPr fontId="3"/>
  </si>
  <si>
    <t>報告書作成者</t>
    <rPh sb="0" eb="3">
      <t>ホウコクショ</t>
    </rPh>
    <rPh sb="3" eb="5">
      <t>サクセイ</t>
    </rPh>
    <rPh sb="5" eb="6">
      <t>シャ</t>
    </rPh>
    <phoneticPr fontId="3"/>
  </si>
  <si>
    <t>↑代表となる調査者と同一</t>
    <rPh sb="1" eb="3">
      <t>ダイヒョウ</t>
    </rPh>
    <rPh sb="6" eb="8">
      <t>チョウサ</t>
    </rPh>
    <rPh sb="8" eb="9">
      <t>シャ</t>
    </rPh>
    <rPh sb="10" eb="12">
      <t>ドウイツ</t>
    </rPh>
    <phoneticPr fontId="3"/>
  </si>
  <si>
    <t>↑代表となる調査者と勤務先が同一</t>
    <rPh sb="1" eb="3">
      <t>ダイヒョウ</t>
    </rPh>
    <rPh sb="6" eb="8">
      <t>チョウサ</t>
    </rPh>
    <rPh sb="8" eb="9">
      <t>シャ</t>
    </rPh>
    <rPh sb="10" eb="13">
      <t>キンムサキ</t>
    </rPh>
    <rPh sb="14" eb="16">
      <t>ドウイツ</t>
    </rPh>
    <phoneticPr fontId="3"/>
  </si>
  <si>
    <t>◆所有者氏名の編集</t>
    <rPh sb="1" eb="4">
      <t>ショユウシャ</t>
    </rPh>
    <rPh sb="4" eb="6">
      <t>シメイ</t>
    </rPh>
    <rPh sb="7" eb="9">
      <t>ヘンシュウ</t>
    </rPh>
    <phoneticPr fontId="3"/>
  </si>
  <si>
    <t>◆所有者2氏名の編集</t>
    <rPh sb="1" eb="4">
      <t>ショユウシャ</t>
    </rPh>
    <rPh sb="5" eb="7">
      <t>シメイ</t>
    </rPh>
    <rPh sb="8" eb="10">
      <t>ヘンシュウ</t>
    </rPh>
    <phoneticPr fontId="3"/>
  </si>
  <si>
    <t>所有者2</t>
    <rPh sb="0" eb="3">
      <t>ショユウシャ</t>
    </rPh>
    <phoneticPr fontId="3"/>
  </si>
  <si>
    <t>◆所有者2住所等の中間処理</t>
    <rPh sb="1" eb="4">
      <t>ショユウシャ</t>
    </rPh>
    <rPh sb="5" eb="7">
      <t>ジュウショ</t>
    </rPh>
    <rPh sb="7" eb="8">
      <t>トウ</t>
    </rPh>
    <rPh sb="9" eb="11">
      <t>チュウカン</t>
    </rPh>
    <rPh sb="11" eb="13">
      <t>ショリ</t>
    </rPh>
    <phoneticPr fontId="3"/>
  </si>
  <si>
    <t>↑所有者1と住所及び電話番号が同一</t>
    <rPh sb="1" eb="4">
      <t>ショユウシャ</t>
    </rPh>
    <rPh sb="6" eb="8">
      <t>ジュウショ</t>
    </rPh>
    <rPh sb="8" eb="9">
      <t>オヨ</t>
    </rPh>
    <rPh sb="10" eb="12">
      <t>デンワ</t>
    </rPh>
    <rPh sb="12" eb="14">
      <t>バンゴウ</t>
    </rPh>
    <rPh sb="15" eb="17">
      <t>ドウイツ</t>
    </rPh>
    <phoneticPr fontId="3"/>
  </si>
  <si>
    <t>メールアドレス</t>
    <phoneticPr fontId="3"/>
  </si>
  <si>
    <t>↑所有者1と同一</t>
    <rPh sb="1" eb="4">
      <t>ショユウシャ</t>
    </rPh>
    <rPh sb="6" eb="8">
      <t>ドウイツ</t>
    </rPh>
    <phoneticPr fontId="3"/>
  </si>
  <si>
    <t>◆管理者氏名の編集</t>
    <rPh sb="1" eb="4">
      <t>カンリシャ</t>
    </rPh>
    <rPh sb="4" eb="6">
      <t>シメイ</t>
    </rPh>
    <rPh sb="7" eb="9">
      <t>ヘンシュウ</t>
    </rPh>
    <phoneticPr fontId="3"/>
  </si>
  <si>
    <t>◆管理者の中間処理（チェックボックス反映）</t>
    <rPh sb="1" eb="4">
      <t>カンリシャ</t>
    </rPh>
    <rPh sb="5" eb="7">
      <t>チュウカン</t>
    </rPh>
    <rPh sb="7" eb="9">
      <t>ショリ</t>
    </rPh>
    <rPh sb="18" eb="20">
      <t>ハンエイ</t>
    </rPh>
    <phoneticPr fontId="3"/>
  </si>
  <si>
    <t>◆報告者の中間処理（報告書右肩に転記用）</t>
    <rPh sb="1" eb="3">
      <t>ホウコク</t>
    </rPh>
    <rPh sb="3" eb="4">
      <t>シャ</t>
    </rPh>
    <rPh sb="5" eb="7">
      <t>チュウカン</t>
    </rPh>
    <rPh sb="7" eb="9">
      <t>ショリ</t>
    </rPh>
    <rPh sb="10" eb="13">
      <t>ホウコクショ</t>
    </rPh>
    <rPh sb="13" eb="15">
      <t>ミギカタ</t>
    </rPh>
    <rPh sb="16" eb="18">
      <t>テンキ</t>
    </rPh>
    <rPh sb="18" eb="19">
      <t>ヨウ</t>
    </rPh>
    <phoneticPr fontId="3"/>
  </si>
  <si>
    <t>資格(建築士</t>
    <rPh sb="0" eb="2">
      <t>シカク</t>
    </rPh>
    <rPh sb="3" eb="6">
      <t>ケンチクシ</t>
    </rPh>
    <phoneticPr fontId="3"/>
  </si>
  <si>
    <t>代表調査者</t>
    <rPh sb="0" eb="2">
      <t>ダイヒョウ</t>
    </rPh>
    <rPh sb="2" eb="4">
      <t>チョウサ</t>
    </rPh>
    <rPh sb="4" eb="5">
      <t>シャ</t>
    </rPh>
    <phoneticPr fontId="3"/>
  </si>
  <si>
    <t>資格種別</t>
    <rPh sb="0" eb="2">
      <t>シカク</t>
    </rPh>
    <rPh sb="2" eb="4">
      <t>シュベツ</t>
    </rPh>
    <phoneticPr fontId="3"/>
  </si>
  <si>
    <t>◆その他の調査者1の中間処理（チェックボックス反映</t>
    <rPh sb="3" eb="4">
      <t>タ</t>
    </rPh>
    <rPh sb="5" eb="7">
      <t>チョウサ</t>
    </rPh>
    <rPh sb="7" eb="8">
      <t>シャ</t>
    </rPh>
    <rPh sb="10" eb="12">
      <t>チュウカン</t>
    </rPh>
    <rPh sb="12" eb="14">
      <t>ショリ</t>
    </rPh>
    <rPh sb="23" eb="25">
      <t>ハンエイ</t>
    </rPh>
    <phoneticPr fontId="3"/>
  </si>
  <si>
    <t>←条件付き書式用（一級or二級：1、1以外：0</t>
    <rPh sb="1" eb="4">
      <t>ジョウケンツ</t>
    </rPh>
    <rPh sb="5" eb="7">
      <t>ショシキ</t>
    </rPh>
    <rPh sb="7" eb="8">
      <t>ヨウ</t>
    </rPh>
    <rPh sb="9" eb="11">
      <t>イッキュウ</t>
    </rPh>
    <rPh sb="13" eb="15">
      <t>ニキュウ</t>
    </rPh>
    <rPh sb="19" eb="21">
      <t>イガイ</t>
    </rPh>
    <phoneticPr fontId="3"/>
  </si>
  <si>
    <t>所有者2</t>
    <rPh sb="0" eb="3">
      <t>ショユウシャ</t>
    </rPh>
    <phoneticPr fontId="3"/>
  </si>
  <si>
    <t>↓調査者（その他1）郵便番号</t>
    <rPh sb="1" eb="3">
      <t>チョウサ</t>
    </rPh>
    <rPh sb="3" eb="4">
      <t>シャ</t>
    </rPh>
    <rPh sb="7" eb="8">
      <t>タ</t>
    </rPh>
    <rPh sb="10" eb="12">
      <t>ユウビン</t>
    </rPh>
    <rPh sb="12" eb="14">
      <t>バンゴウ</t>
    </rPh>
    <phoneticPr fontId="3"/>
  </si>
  <si>
    <t>↓調査者（その他2）電話番号</t>
    <rPh sb="1" eb="3">
      <t>チョウサ</t>
    </rPh>
    <rPh sb="3" eb="4">
      <t>シャ</t>
    </rPh>
    <rPh sb="7" eb="8">
      <t>タ</t>
    </rPh>
    <rPh sb="10" eb="12">
      <t>デンワ</t>
    </rPh>
    <rPh sb="12" eb="14">
      <t>バンゴウ</t>
    </rPh>
    <phoneticPr fontId="3"/>
  </si>
  <si>
    <t>↓調査者（その他2）郵便番号</t>
    <rPh sb="1" eb="3">
      <t>チョウサ</t>
    </rPh>
    <rPh sb="3" eb="4">
      <t>シャ</t>
    </rPh>
    <rPh sb="7" eb="8">
      <t>タ</t>
    </rPh>
    <rPh sb="10" eb="12">
      <t>ユウビン</t>
    </rPh>
    <rPh sb="12" eb="14">
      <t>バンゴウ</t>
    </rPh>
    <phoneticPr fontId="3"/>
  </si>
  <si>
    <t>↓調査者（その他1）電話番号</t>
    <rPh sb="1" eb="3">
      <t>チョウサ</t>
    </rPh>
    <rPh sb="3" eb="4">
      <t>シャ</t>
    </rPh>
    <rPh sb="7" eb="8">
      <t>タ</t>
    </rPh>
    <rPh sb="10" eb="12">
      <t>デンワ</t>
    </rPh>
    <rPh sb="12" eb="14">
      <t>バンゴウ</t>
    </rPh>
    <phoneticPr fontId="3"/>
  </si>
  <si>
    <t>◆その他の調査者2の中間処理（チェックボックス反映</t>
    <rPh sb="3" eb="4">
      <t>タ</t>
    </rPh>
    <rPh sb="5" eb="7">
      <t>チョウサ</t>
    </rPh>
    <rPh sb="7" eb="8">
      <t>シャ</t>
    </rPh>
    <rPh sb="10" eb="12">
      <t>チュウカン</t>
    </rPh>
    <rPh sb="12" eb="14">
      <t>ショリ</t>
    </rPh>
    <rPh sb="23" eb="25">
      <t>ハンエイ</t>
    </rPh>
    <phoneticPr fontId="3"/>
  </si>
  <si>
    <t>防火地域等1</t>
    <rPh sb="0" eb="2">
      <t>ボウカ</t>
    </rPh>
    <rPh sb="2" eb="4">
      <t>チイキ</t>
    </rPh>
    <rPh sb="4" eb="5">
      <t>トウ</t>
    </rPh>
    <phoneticPr fontId="3"/>
  </si>
  <si>
    <t>防火地域等2</t>
    <rPh sb="0" eb="2">
      <t>ボウカ</t>
    </rPh>
    <rPh sb="2" eb="4">
      <t>チイキ</t>
    </rPh>
    <rPh sb="4" eb="5">
      <t>トウ</t>
    </rPh>
    <phoneticPr fontId="3"/>
  </si>
  <si>
    <t>防火地域等3</t>
    <rPh sb="0" eb="2">
      <t>ボウカ</t>
    </rPh>
    <rPh sb="2" eb="4">
      <t>チイキ</t>
    </rPh>
    <rPh sb="4" eb="5">
      <t>トウ</t>
    </rPh>
    <phoneticPr fontId="3"/>
  </si>
  <si>
    <t>（略称）</t>
    <rPh sb="1" eb="3">
      <t>リャクショウ</t>
    </rPh>
    <phoneticPr fontId="123"/>
  </si>
  <si>
    <t>防火</t>
    <rPh sb="0" eb="2">
      <t>ボウカ</t>
    </rPh>
    <phoneticPr fontId="123"/>
  </si>
  <si>
    <t>準防</t>
    <rPh sb="0" eb="1">
      <t>ジュン</t>
    </rPh>
    <rPh sb="1" eb="2">
      <t>ボウ</t>
    </rPh>
    <phoneticPr fontId="123"/>
  </si>
  <si>
    <t>22条</t>
    <rPh sb="2" eb="3">
      <t>ジョウ</t>
    </rPh>
    <phoneticPr fontId="123"/>
  </si>
  <si>
    <t>その他</t>
    <rPh sb="2" eb="3">
      <t>タ</t>
    </rPh>
    <phoneticPr fontId="123"/>
  </si>
  <si>
    <t>指定なし</t>
    <rPh sb="0" eb="2">
      <t>シテイ</t>
    </rPh>
    <phoneticPr fontId="123"/>
  </si>
  <si>
    <t>一低住</t>
    <rPh sb="0" eb="1">
      <t>イチ</t>
    </rPh>
    <rPh sb="1" eb="2">
      <t>ヒク</t>
    </rPh>
    <rPh sb="2" eb="3">
      <t>ス</t>
    </rPh>
    <phoneticPr fontId="123"/>
  </si>
  <si>
    <t>二低住</t>
    <rPh sb="0" eb="1">
      <t>ニ</t>
    </rPh>
    <rPh sb="1" eb="2">
      <t>テイ</t>
    </rPh>
    <rPh sb="2" eb="3">
      <t>ジュウ</t>
    </rPh>
    <phoneticPr fontId="123"/>
  </si>
  <si>
    <t>一中高住</t>
    <rPh sb="0" eb="1">
      <t>イチ</t>
    </rPh>
    <rPh sb="1" eb="3">
      <t>チュウコウ</t>
    </rPh>
    <rPh sb="3" eb="4">
      <t>ジュウ</t>
    </rPh>
    <phoneticPr fontId="123"/>
  </si>
  <si>
    <t>二中高住</t>
    <rPh sb="0" eb="1">
      <t>ニ</t>
    </rPh>
    <rPh sb="1" eb="3">
      <t>チュウコウ</t>
    </rPh>
    <rPh sb="3" eb="4">
      <t>ジュウ</t>
    </rPh>
    <phoneticPr fontId="123"/>
  </si>
  <si>
    <t>一住</t>
    <rPh sb="0" eb="1">
      <t>イチ</t>
    </rPh>
    <rPh sb="1" eb="2">
      <t>ジュウ</t>
    </rPh>
    <phoneticPr fontId="123"/>
  </si>
  <si>
    <t>二住</t>
    <rPh sb="0" eb="1">
      <t>ニ</t>
    </rPh>
    <rPh sb="1" eb="2">
      <t>ジュウ</t>
    </rPh>
    <phoneticPr fontId="123"/>
  </si>
  <si>
    <t>準住</t>
    <rPh sb="0" eb="1">
      <t>ジュン</t>
    </rPh>
    <rPh sb="1" eb="2">
      <t>ジュウ</t>
    </rPh>
    <phoneticPr fontId="123"/>
  </si>
  <si>
    <t>近商</t>
    <rPh sb="0" eb="1">
      <t>キン</t>
    </rPh>
    <rPh sb="1" eb="2">
      <t>ショウ</t>
    </rPh>
    <phoneticPr fontId="123"/>
  </si>
  <si>
    <t>商業</t>
    <rPh sb="0" eb="2">
      <t>ショウギョウ</t>
    </rPh>
    <phoneticPr fontId="123"/>
  </si>
  <si>
    <t>準工</t>
    <rPh sb="0" eb="1">
      <t>ジュン</t>
    </rPh>
    <rPh sb="1" eb="2">
      <t>コウ</t>
    </rPh>
    <phoneticPr fontId="123"/>
  </si>
  <si>
    <t>工業</t>
    <rPh sb="0" eb="2">
      <t>コウギョウ</t>
    </rPh>
    <phoneticPr fontId="123"/>
  </si>
  <si>
    <t>工専</t>
    <rPh sb="0" eb="2">
      <t>コウセン</t>
    </rPh>
    <phoneticPr fontId="123"/>
  </si>
  <si>
    <t>調整区域</t>
    <rPh sb="0" eb="2">
      <t>チョウセイ</t>
    </rPh>
    <rPh sb="2" eb="4">
      <t>クイキ</t>
    </rPh>
    <phoneticPr fontId="123"/>
  </si>
  <si>
    <t>区域外</t>
    <rPh sb="0" eb="2">
      <t>クイキ</t>
    </rPh>
    <rPh sb="2" eb="3">
      <t>ガイ</t>
    </rPh>
    <phoneticPr fontId="123"/>
  </si>
  <si>
    <t>◆防火地域・用途地域、略称に変換</t>
    <rPh sb="1" eb="3">
      <t>ボウカ</t>
    </rPh>
    <rPh sb="3" eb="5">
      <t>チイキ</t>
    </rPh>
    <rPh sb="6" eb="8">
      <t>ヨウト</t>
    </rPh>
    <rPh sb="8" eb="10">
      <t>チイキ</t>
    </rPh>
    <rPh sb="11" eb="13">
      <t>リャクショウ</t>
    </rPh>
    <rPh sb="14" eb="16">
      <t>ヘンカン</t>
    </rPh>
    <phoneticPr fontId="3"/>
  </si>
  <si>
    <t>用途地域1</t>
    <rPh sb="0" eb="2">
      <t>ヨウト</t>
    </rPh>
    <rPh sb="2" eb="4">
      <t>チイキ</t>
    </rPh>
    <phoneticPr fontId="3"/>
  </si>
  <si>
    <t>用途地域2</t>
    <rPh sb="0" eb="2">
      <t>ヨウト</t>
    </rPh>
    <rPh sb="2" eb="4">
      <t>チイキ</t>
    </rPh>
    <phoneticPr fontId="3"/>
  </si>
  <si>
    <t>用途地域3</t>
    <rPh sb="0" eb="2">
      <t>ヨウト</t>
    </rPh>
    <rPh sb="2" eb="4">
      <t>チイキ</t>
    </rPh>
    <phoneticPr fontId="3"/>
  </si>
  <si>
    <t>防火地域等その他</t>
    <rPh sb="0" eb="2">
      <t>ボウカ</t>
    </rPh>
    <rPh sb="2" eb="4">
      <t>チイキ</t>
    </rPh>
    <rPh sb="4" eb="5">
      <t>トウ</t>
    </rPh>
    <rPh sb="7" eb="8">
      <t>タ</t>
    </rPh>
    <phoneticPr fontId="3"/>
  </si>
  <si>
    <t>◆構造、階数を変換</t>
    <rPh sb="1" eb="3">
      <t>コウゾウ</t>
    </rPh>
    <rPh sb="4" eb="6">
      <t>カイスウ</t>
    </rPh>
    <rPh sb="7" eb="9">
      <t>ヘンカン</t>
    </rPh>
    <phoneticPr fontId="3"/>
  </si>
  <si>
    <t>構造1</t>
    <rPh sb="0" eb="2">
      <t>コウゾウ</t>
    </rPh>
    <phoneticPr fontId="3"/>
  </si>
  <si>
    <t>構造その他</t>
    <rPh sb="0" eb="2">
      <t>コウゾウ</t>
    </rPh>
    <rPh sb="4" eb="5">
      <t>タ</t>
    </rPh>
    <phoneticPr fontId="3"/>
  </si>
  <si>
    <t>最後に削除</t>
    <rPh sb="0" eb="2">
      <t>サイゴ</t>
    </rPh>
    <rPh sb="3" eb="5">
      <t>サクジョ</t>
    </rPh>
    <phoneticPr fontId="3"/>
  </si>
  <si>
    <t>転記箇所メモ</t>
    <rPh sb="0" eb="2">
      <t>テンキ</t>
    </rPh>
    <rPh sb="2" eb="4">
      <t>カショ</t>
    </rPh>
    <phoneticPr fontId="3"/>
  </si>
  <si>
    <t>1:直（左の方）
2:加工（右の方）</t>
    <rPh sb="2" eb="3">
      <t>チョク</t>
    </rPh>
    <rPh sb="4" eb="5">
      <t>ヒダリ</t>
    </rPh>
    <rPh sb="6" eb="7">
      <t>ホウ</t>
    </rPh>
    <rPh sb="11" eb="13">
      <t>カコウ</t>
    </rPh>
    <rPh sb="14" eb="15">
      <t>ミギ</t>
    </rPh>
    <rPh sb="16" eb="17">
      <t>ホウ</t>
    </rPh>
    <phoneticPr fontId="3"/>
  </si>
  <si>
    <t>数字半角処理（赤字のみ）</t>
    <rPh sb="0" eb="2">
      <t>スウジ</t>
    </rPh>
    <rPh sb="2" eb="4">
      <t>ハンカク</t>
    </rPh>
    <rPh sb="4" eb="6">
      <t>ショリ</t>
    </rPh>
    <rPh sb="7" eb="9">
      <t>アカジ</t>
    </rPh>
    <phoneticPr fontId="3"/>
  </si>
  <si>
    <t>セル内改行削除（全て）</t>
    <rPh sb="2" eb="3">
      <t>ナイ</t>
    </rPh>
    <rPh sb="3" eb="5">
      <t>カイギョウ</t>
    </rPh>
    <rPh sb="5" eb="7">
      <t>サクジョ</t>
    </rPh>
    <rPh sb="8" eb="9">
      <t>スベ</t>
    </rPh>
    <phoneticPr fontId="3"/>
  </si>
  <si>
    <t>いらんかも。念のため</t>
    <rPh sb="6" eb="7">
      <t>ネン</t>
    </rPh>
    <phoneticPr fontId="3"/>
  </si>
  <si>
    <t>←ID、4桁に変換（部分IDは5桁）</t>
    <rPh sb="5" eb="6">
      <t>ケタ</t>
    </rPh>
    <rPh sb="7" eb="9">
      <t>ヘンカン</t>
    </rPh>
    <rPh sb="10" eb="12">
      <t>ブブン</t>
    </rPh>
    <rPh sb="16" eb="17">
      <t>ケタ</t>
    </rPh>
    <phoneticPr fontId="3"/>
  </si>
  <si>
    <t>報告年</t>
    <rPh sb="0" eb="2">
      <t>ホウコク</t>
    </rPh>
    <rPh sb="2" eb="3">
      <t>ネン</t>
    </rPh>
    <phoneticPr fontId="3"/>
  </si>
  <si>
    <t>数式</t>
    <rPh sb="0" eb="2">
      <t>スウシキ</t>
    </rPh>
    <phoneticPr fontId="3"/>
  </si>
  <si>
    <t>建築主事等</t>
    <rPh sb="0" eb="2">
      <t>ケンチク</t>
    </rPh>
    <rPh sb="2" eb="4">
      <t>シュジ</t>
    </rPh>
    <rPh sb="4" eb="5">
      <t>トウ</t>
    </rPh>
    <phoneticPr fontId="3"/>
  </si>
  <si>
    <t>別記第一号（A４)　</t>
    <rPh sb="0" eb="2">
      <t>ベッキ</t>
    </rPh>
    <rPh sb="2" eb="3">
      <t>ダイ</t>
    </rPh>
    <rPh sb="3" eb="4">
      <t>イチ</t>
    </rPh>
    <rPh sb="4" eb="5">
      <t>ゴウ</t>
    </rPh>
    <phoneticPr fontId="3"/>
  </si>
  <si>
    <t>防火設備（防火扉、防火シャッターその他これらに類するものに限る。）又は戸（令第112条第19項第2号に掲げる戸に限る。）</t>
    <rPh sb="33" eb="34">
      <t>マタ</t>
    </rPh>
    <rPh sb="35" eb="36">
      <t>ト</t>
    </rPh>
    <rPh sb="37" eb="38">
      <t>レイ</t>
    </rPh>
    <rPh sb="38" eb="39">
      <t>ダイ</t>
    </rPh>
    <rPh sb="42" eb="43">
      <t>ジョウ</t>
    </rPh>
    <rPh sb="43" eb="44">
      <t>ダイ</t>
    </rPh>
    <rPh sb="46" eb="47">
      <t>コウ</t>
    </rPh>
    <rPh sb="47" eb="48">
      <t>ダイ</t>
    </rPh>
    <rPh sb="49" eb="50">
      <t>ゴウ</t>
    </rPh>
    <rPh sb="51" eb="52">
      <t>カカ</t>
    </rPh>
    <rPh sb="54" eb="55">
      <t>ト</t>
    </rPh>
    <rPh sb="56" eb="57">
      <t>カギ</t>
    </rPh>
    <phoneticPr fontId="3"/>
  </si>
  <si>
    <t>(33)</t>
  </si>
  <si>
    <t>　「当該調査に関与した調査者」欄は、建築基準法施行規則別記第36の２様式第一面３欄に記入した調査者について記入し、「調査者番号」欄に調査者を特定できる番号、記号等を記入してください。当該建築物の調査を行った調査者が１人の場合は、その他の調査者欄は記入不要です。</t>
    <rPh sb="2" eb="4">
      <t>トウガイ</t>
    </rPh>
    <rPh sb="4" eb="6">
      <t>チョウサ</t>
    </rPh>
    <rPh sb="7" eb="9">
      <t>カンヨ</t>
    </rPh>
    <rPh sb="11" eb="14">
      <t>チョウサシャ</t>
    </rPh>
    <rPh sb="15" eb="16">
      <t>ラン</t>
    </rPh>
    <rPh sb="18" eb="20">
      <t>ケンチク</t>
    </rPh>
    <rPh sb="20" eb="23">
      <t>キジュンホウ</t>
    </rPh>
    <rPh sb="23" eb="25">
      <t>セコウ</t>
    </rPh>
    <rPh sb="25" eb="27">
      <t>キソク</t>
    </rPh>
    <rPh sb="27" eb="29">
      <t>ベッキ</t>
    </rPh>
    <rPh sb="29" eb="30">
      <t>ダイ</t>
    </rPh>
    <rPh sb="34" eb="36">
      <t>ヨウシキ</t>
    </rPh>
    <rPh sb="36" eb="37">
      <t>ダイ</t>
    </rPh>
    <rPh sb="37" eb="38">
      <t>イチ</t>
    </rPh>
    <rPh sb="38" eb="39">
      <t>メン</t>
    </rPh>
    <rPh sb="40" eb="41">
      <t>ラン</t>
    </rPh>
    <rPh sb="42" eb="44">
      <t>キニュウ</t>
    </rPh>
    <rPh sb="46" eb="49">
      <t>チョウサシャ</t>
    </rPh>
    <rPh sb="53" eb="55">
      <t>キニュウ</t>
    </rPh>
    <rPh sb="58" eb="61">
      <t>チョウサシャ</t>
    </rPh>
    <rPh sb="64" eb="65">
      <t>ラン</t>
    </rPh>
    <rPh sb="123" eb="125">
      <t>キニュウ</t>
    </rPh>
    <rPh sb="125" eb="127">
      <t>フヨウ</t>
    </rPh>
    <phoneticPr fontId="3"/>
  </si>
  <si>
    <t>　「調査結果」欄は、別表第１（い）欄に掲げる各調査項目ごとに記入してください。</t>
    <rPh sb="2" eb="4">
      <t>チョウサ</t>
    </rPh>
    <rPh sb="12" eb="13">
      <t>ダイ</t>
    </rPh>
    <rPh sb="23" eb="25">
      <t>チョウサ</t>
    </rPh>
    <phoneticPr fontId="3"/>
  </si>
  <si>
    <t>⑥</t>
    <phoneticPr fontId="3"/>
  </si>
  <si>
    <t>　「調査結果」欄のうち「要是正」欄は、別表第１（い）欄に掲げる調査項目について（は）欄に掲げる判定基準に該当する場合に○印を記入してください。</t>
    <rPh sb="2" eb="4">
      <t>チョウサ</t>
    </rPh>
    <rPh sb="21" eb="22">
      <t>ダイ</t>
    </rPh>
    <rPh sb="31" eb="33">
      <t>チョウサ</t>
    </rPh>
    <phoneticPr fontId="3"/>
  </si>
  <si>
    <t>⑦</t>
    <phoneticPr fontId="3"/>
  </si>
  <si>
    <t>⑧</t>
    <phoneticPr fontId="3"/>
  </si>
  <si>
    <t>⑨</t>
    <phoneticPr fontId="3"/>
  </si>
  <si>
    <t>　「担当調査者番号」欄は、「調査に関与した調査者」欄で記入した番号、記号等を記入してください。ただし、当該建築物の調査を行った調査者が１人の場合は、記入不要です。</t>
    <rPh sb="4" eb="6">
      <t>チョウサ</t>
    </rPh>
    <rPh sb="14" eb="16">
      <t>チョウサ</t>
    </rPh>
    <rPh sb="17" eb="19">
      <t>カンヨ</t>
    </rPh>
    <rPh sb="21" eb="24">
      <t>チョウサシャ</t>
    </rPh>
    <rPh sb="25" eb="26">
      <t>ラン</t>
    </rPh>
    <rPh sb="27" eb="29">
      <t>キニュウ</t>
    </rPh>
    <rPh sb="34" eb="36">
      <t>キゴウ</t>
    </rPh>
    <rPh sb="36" eb="37">
      <t>トウ</t>
    </rPh>
    <rPh sb="53" eb="56">
      <t>ケンチクブツ</t>
    </rPh>
    <rPh sb="57" eb="59">
      <t>チョウサ</t>
    </rPh>
    <rPh sb="60" eb="61">
      <t>オコナ</t>
    </rPh>
    <rPh sb="63" eb="65">
      <t>チョウサ</t>
    </rPh>
    <rPh sb="68" eb="69">
      <t>ニン</t>
    </rPh>
    <rPh sb="76" eb="78">
      <t>フヨウ</t>
    </rPh>
    <phoneticPr fontId="3"/>
  </si>
  <si>
    <t>⑩</t>
    <phoneticPr fontId="3"/>
  </si>
  <si>
    <t>　７「上記以外の調査項目」欄は、第２の規定により特定行政庁が調査項目等を付加している場合に、当該調査項目等を追加し、⑤から⑨までに準じて調査結果等を記入してください。</t>
    <rPh sb="8" eb="10">
      <t>チョウサ</t>
    </rPh>
    <rPh sb="13" eb="14">
      <t>ラン</t>
    </rPh>
    <rPh sb="19" eb="21">
      <t>キテイ</t>
    </rPh>
    <rPh sb="24" eb="26">
      <t>トクテイ</t>
    </rPh>
    <rPh sb="26" eb="29">
      <t>ギョウセイチョウ</t>
    </rPh>
    <rPh sb="30" eb="32">
      <t>チョウサ</t>
    </rPh>
    <rPh sb="32" eb="34">
      <t>コウモク</t>
    </rPh>
    <rPh sb="34" eb="35">
      <t>トウ</t>
    </rPh>
    <rPh sb="36" eb="38">
      <t>フカ</t>
    </rPh>
    <rPh sb="42" eb="44">
      <t>バアイ</t>
    </rPh>
    <rPh sb="46" eb="48">
      <t>トウガイ</t>
    </rPh>
    <rPh sb="48" eb="50">
      <t>チョウサ</t>
    </rPh>
    <rPh sb="50" eb="52">
      <t>コウモク</t>
    </rPh>
    <rPh sb="52" eb="53">
      <t>トウ</t>
    </rPh>
    <rPh sb="68" eb="70">
      <t>チョウサ</t>
    </rPh>
    <phoneticPr fontId="3"/>
  </si>
  <si>
    <t>⑪</t>
    <phoneticPr fontId="3"/>
  </si>
  <si>
    <t>⑫</t>
    <phoneticPr fontId="3"/>
  </si>
  <si>
    <t>　「その他確認事項」は、法第12条第３項の規定による検査を要する常時閉鎖した状態にある防火扉（各階の主要なものに限る。）及び随時閉鎖又は作動をできる防火設備（防火ダンパーを除く。）の設置の有無を確認し、該当するチェックボックスに「レ」マークを入れてください。「有」の場合は、当該防火設備が設置されている階を記入してください。</t>
    <rPh sb="32" eb="34">
      <t>ジョウジ</t>
    </rPh>
    <rPh sb="34" eb="36">
      <t>ヘイサ</t>
    </rPh>
    <rPh sb="38" eb="40">
      <t>ジョウタイ</t>
    </rPh>
    <rPh sb="43" eb="45">
      <t>ボウカ</t>
    </rPh>
    <rPh sb="45" eb="46">
      <t>トビラ</t>
    </rPh>
    <rPh sb="47" eb="49">
      <t>カクカイ</t>
    </rPh>
    <rPh sb="50" eb="52">
      <t>シュヨウ</t>
    </rPh>
    <rPh sb="56" eb="57">
      <t>カギ</t>
    </rPh>
    <rPh sb="60" eb="61">
      <t>オヨ</t>
    </rPh>
    <rPh sb="62" eb="64">
      <t>ズイジ</t>
    </rPh>
    <rPh sb="64" eb="66">
      <t>ヘイサ</t>
    </rPh>
    <rPh sb="66" eb="67">
      <t>マタ</t>
    </rPh>
    <rPh sb="68" eb="70">
      <t>サドウ</t>
    </rPh>
    <rPh sb="74" eb="76">
      <t>ボウカ</t>
    </rPh>
    <rPh sb="76" eb="78">
      <t>セツビ</t>
    </rPh>
    <rPh sb="79" eb="81">
      <t>ボウカ</t>
    </rPh>
    <rPh sb="86" eb="87">
      <t>ノゾ</t>
    </rPh>
    <rPh sb="91" eb="93">
      <t>セッチ</t>
    </rPh>
    <phoneticPr fontId="3"/>
  </si>
  <si>
    <t>⑬</t>
    <phoneticPr fontId="3"/>
  </si>
  <si>
    <t>　配置図及び各階平面図を別添１の様式に従い添付し、指摘(特記すべき事項を含む）のあった箇所や撮影した写真の位置等を明記してください。</t>
    <rPh sb="1" eb="3">
      <t>ハイチ</t>
    </rPh>
    <rPh sb="3" eb="4">
      <t>ズ</t>
    </rPh>
    <rPh sb="4" eb="5">
      <t>オヨ</t>
    </rPh>
    <rPh sb="6" eb="8">
      <t>カクカイ</t>
    </rPh>
    <rPh sb="8" eb="11">
      <t>ヘイメンズ</t>
    </rPh>
    <rPh sb="12" eb="14">
      <t>ベッテン</t>
    </rPh>
    <rPh sb="16" eb="18">
      <t>ヨウシキ</t>
    </rPh>
    <rPh sb="19" eb="20">
      <t>シタガ</t>
    </rPh>
    <rPh sb="21" eb="23">
      <t>テンプ</t>
    </rPh>
    <rPh sb="25" eb="27">
      <t>シテキ</t>
    </rPh>
    <rPh sb="28" eb="30">
      <t>トッキ</t>
    </rPh>
    <rPh sb="33" eb="35">
      <t>ジコウ</t>
    </rPh>
    <rPh sb="36" eb="37">
      <t>フク</t>
    </rPh>
    <rPh sb="43" eb="45">
      <t>カショ</t>
    </rPh>
    <rPh sb="46" eb="48">
      <t>サツエイ</t>
    </rPh>
    <rPh sb="50" eb="52">
      <t>シャシン</t>
    </rPh>
    <rPh sb="53" eb="56">
      <t>イチナド</t>
    </rPh>
    <rPh sb="57" eb="59">
      <t>メイキ</t>
    </rPh>
    <phoneticPr fontId="3"/>
  </si>
  <si>
    <t>⑭</t>
    <phoneticPr fontId="3"/>
  </si>
  <si>
    <t>(36)</t>
  </si>
  <si>
    <t>(37)</t>
  </si>
  <si>
    <t>令和６年国土交通省告示第284号第1第1号又は第2号二に規定するスプリンクラー設備</t>
    <rPh sb="0" eb="2">
      <t>レイワ</t>
    </rPh>
    <rPh sb="3" eb="4">
      <t>ネン</t>
    </rPh>
    <rPh sb="4" eb="6">
      <t>コクド</t>
    </rPh>
    <rPh sb="6" eb="9">
      <t>コウツウショウ</t>
    </rPh>
    <rPh sb="9" eb="11">
      <t>コクジ</t>
    </rPh>
    <rPh sb="11" eb="12">
      <t>ダイ</t>
    </rPh>
    <rPh sb="15" eb="16">
      <t>ゴウ</t>
    </rPh>
    <rPh sb="16" eb="17">
      <t>ダイ</t>
    </rPh>
    <rPh sb="18" eb="19">
      <t>ダイ</t>
    </rPh>
    <rPh sb="20" eb="21">
      <t>ゴウ</t>
    </rPh>
    <rPh sb="21" eb="22">
      <t>マタ</t>
    </rPh>
    <rPh sb="23" eb="24">
      <t>ダイ</t>
    </rPh>
    <rPh sb="25" eb="26">
      <t>ゴウ</t>
    </rPh>
    <rPh sb="26" eb="27">
      <t>ニ</t>
    </rPh>
    <rPh sb="28" eb="30">
      <t>キテイ</t>
    </rPh>
    <rPh sb="39" eb="41">
      <t>セツビ</t>
    </rPh>
    <phoneticPr fontId="3"/>
  </si>
  <si>
    <t>(42)</t>
  </si>
  <si>
    <t>(43)</t>
  </si>
  <si>
    <t>(44)</t>
  </si>
  <si>
    <t>(45)</t>
  </si>
  <si>
    <t>(21)</t>
  </si>
  <si>
    <t>(22)</t>
  </si>
  <si>
    <t>(23)</t>
  </si>
  <si>
    <t>(24)</t>
  </si>
  <si>
    <t>(25)</t>
  </si>
  <si>
    <t>(26)</t>
  </si>
  <si>
    <t>(27)</t>
  </si>
  <si>
    <t>(28)</t>
  </si>
  <si>
    <t>(29)</t>
  </si>
  <si>
    <t>(30)</t>
  </si>
  <si>
    <t>(31)</t>
  </si>
  <si>
    <t>(32)</t>
  </si>
  <si>
    <t>防煙壁の劣化及び損傷の状況</t>
    <rPh sb="4" eb="6">
      <t>レッカ</t>
    </rPh>
    <rPh sb="6" eb="8">
      <t>オ</t>
    </rPh>
    <phoneticPr fontId="3"/>
  </si>
  <si>
    <t>排煙口の維持保全の状況</t>
    <phoneticPr fontId="3"/>
  </si>
  <si>
    <t>(11)</t>
  </si>
  <si>
    <t>(12)</t>
  </si>
  <si>
    <t>(13)</t>
  </si>
  <si>
    <t>(14)</t>
  </si>
  <si>
    <t>(15)</t>
  </si>
  <si>
    <t>(16)</t>
  </si>
  <si>
    <t>(17)</t>
  </si>
  <si>
    <t>(18)</t>
  </si>
  <si>
    <t>煙又は熱を感知し自動的に閉鎖又は作動させる装置の設置の状況</t>
    <rPh sb="0" eb="1">
      <t>ケムリ</t>
    </rPh>
    <rPh sb="1" eb="2">
      <t>マタ</t>
    </rPh>
    <rPh sb="3" eb="4">
      <t>ネツ</t>
    </rPh>
    <rPh sb="5" eb="7">
      <t>カンチ</t>
    </rPh>
    <rPh sb="8" eb="11">
      <t>ジドウテキ</t>
    </rPh>
    <rPh sb="12" eb="14">
      <t>ヘイサ</t>
    </rPh>
    <rPh sb="14" eb="15">
      <t>マタ</t>
    </rPh>
    <rPh sb="16" eb="18">
      <t>サドウ</t>
    </rPh>
    <rPh sb="21" eb="23">
      <t>ソウチ</t>
    </rPh>
    <rPh sb="24" eb="26">
      <t>セッチ</t>
    </rPh>
    <rPh sb="27" eb="29">
      <t>ジョウキョウ</t>
    </rPh>
    <phoneticPr fontId="3"/>
  </si>
  <si>
    <t>各階の主要な随閉防火設備の閉鎖又は作動の状況</t>
    <phoneticPr fontId="3"/>
  </si>
  <si>
    <t>閉鎖又は作動の障害となる物品の放置並びに照明器具及び懸垂物等の状況</t>
    <rPh sb="0" eb="2">
      <t>ヘイサ</t>
    </rPh>
    <rPh sb="2" eb="3">
      <t>マタ</t>
    </rPh>
    <rPh sb="4" eb="6">
      <t>サドウ</t>
    </rPh>
    <rPh sb="7" eb="9">
      <t>ショウガイ</t>
    </rPh>
    <rPh sb="12" eb="14">
      <t>ブッピン</t>
    </rPh>
    <rPh sb="15" eb="17">
      <t>ホウチ</t>
    </rPh>
    <rPh sb="17" eb="18">
      <t>ナラ</t>
    </rPh>
    <rPh sb="20" eb="22">
      <t>ショウメイ</t>
    </rPh>
    <rPh sb="22" eb="24">
      <t>キグ</t>
    </rPh>
    <rPh sb="24" eb="25">
      <t>オヨ</t>
    </rPh>
    <rPh sb="26" eb="28">
      <t>ケンスイ</t>
    </rPh>
    <rPh sb="28" eb="30">
      <t>ブツナド</t>
    </rPh>
    <rPh sb="31" eb="33">
      <t>ジョウキョウ</t>
    </rPh>
    <phoneticPr fontId="3"/>
  </si>
  <si>
    <t>扉、枠及び金物の劣化及び損傷の状況</t>
    <phoneticPr fontId="3"/>
  </si>
  <si>
    <t>閉鎖又は作動の障害となる物品の放置並びに照明器具及び懸垂物等の状況</t>
    <phoneticPr fontId="3"/>
  </si>
  <si>
    <t>扉の取付けの状況</t>
    <phoneticPr fontId="3"/>
  </si>
  <si>
    <t>固定の状況</t>
    <rPh sb="0" eb="2">
      <t>コテイ</t>
    </rPh>
    <rPh sb="3" eb="5">
      <t>ジョウキョウ</t>
    </rPh>
    <phoneticPr fontId="3"/>
  </si>
  <si>
    <t>7(16)</t>
  </si>
  <si>
    <t>7(17)</t>
  </si>
  <si>
    <t>7(18)</t>
  </si>
  <si>
    <t>換気設備（細則第29条第1項第2号に規定するものを除く。）</t>
    <rPh sb="0" eb="2">
      <t>カンキ</t>
    </rPh>
    <rPh sb="2" eb="4">
      <t>セツビ</t>
    </rPh>
    <rPh sb="5" eb="7">
      <t>サイソク</t>
    </rPh>
    <rPh sb="7" eb="8">
      <t>ダイ</t>
    </rPh>
    <rPh sb="10" eb="11">
      <t>ジョウ</t>
    </rPh>
    <rPh sb="11" eb="12">
      <t>ダイ</t>
    </rPh>
    <rPh sb="13" eb="14">
      <t>コウ</t>
    </rPh>
    <rPh sb="14" eb="15">
      <t>ダイ</t>
    </rPh>
    <rPh sb="16" eb="17">
      <t>ゴウ</t>
    </rPh>
    <rPh sb="18" eb="20">
      <t>キテイ</t>
    </rPh>
    <rPh sb="25" eb="26">
      <t>ノゾ</t>
    </rPh>
    <phoneticPr fontId="3"/>
  </si>
  <si>
    <t>防火扉（人の通行の用に供する部分に設けるものに限る。）の昭和４８年建設省告示第２５６３号第１第一号に規定する基準についての適合の状況</t>
    <rPh sb="64" eb="66">
      <t>ジョウキョウ</t>
    </rPh>
    <phoneticPr fontId="3"/>
  </si>
  <si>
    <t>排煙設備（細則第29条第1項第2号に規定するものを除く。以下同じ。）</t>
    <rPh sb="0" eb="2">
      <t>ハイエン</t>
    </rPh>
    <rPh sb="2" eb="4">
      <t>セツビ</t>
    </rPh>
    <rPh sb="5" eb="7">
      <t>サイソク</t>
    </rPh>
    <rPh sb="7" eb="8">
      <t>ダイ</t>
    </rPh>
    <rPh sb="10" eb="11">
      <t>ジョウ</t>
    </rPh>
    <rPh sb="11" eb="12">
      <t>ダイ</t>
    </rPh>
    <rPh sb="13" eb="14">
      <t>コウ</t>
    </rPh>
    <rPh sb="14" eb="15">
      <t>ダイ</t>
    </rPh>
    <rPh sb="16" eb="17">
      <t>ゴウ</t>
    </rPh>
    <rPh sb="18" eb="20">
      <t>キテイ</t>
    </rPh>
    <rPh sb="25" eb="26">
      <t>ノゾ</t>
    </rPh>
    <rPh sb="28" eb="30">
      <t>イカ</t>
    </rPh>
    <rPh sb="30" eb="31">
      <t>オナ</t>
    </rPh>
    <phoneticPr fontId="3"/>
  </si>
  <si>
    <t>階段室又は令123条第3項第1号に規定する付室の排煙設備の作動の状況</t>
    <rPh sb="5" eb="6">
      <t>レイ</t>
    </rPh>
    <rPh sb="9" eb="10">
      <t>ジョウ</t>
    </rPh>
    <rPh sb="10" eb="11">
      <t>ダイ</t>
    </rPh>
    <rPh sb="12" eb="13">
      <t>コウ</t>
    </rPh>
    <rPh sb="13" eb="14">
      <t>ダイ</t>
    </rPh>
    <rPh sb="15" eb="16">
      <t>ゴウ</t>
    </rPh>
    <rPh sb="17" eb="19">
      <t>キテイ</t>
    </rPh>
    <rPh sb="24" eb="26">
      <t>ハイエン</t>
    </rPh>
    <rPh sb="26" eb="28">
      <t>セツビ</t>
    </rPh>
    <rPh sb="29" eb="31">
      <t>サドウ</t>
    </rPh>
    <rPh sb="32" eb="34">
      <t>ジョウキョウ</t>
    </rPh>
    <phoneticPr fontId="3"/>
  </si>
  <si>
    <t>昇降路又は令129条の13の3第3項に規定する乗降ロビーの排煙設備の作動の状況</t>
    <rPh sb="5" eb="6">
      <t>レイ</t>
    </rPh>
    <rPh sb="9" eb="10">
      <t>ジョウ</t>
    </rPh>
    <rPh sb="15" eb="16">
      <t>ダイ</t>
    </rPh>
    <rPh sb="17" eb="18">
      <t>コウ</t>
    </rPh>
    <rPh sb="19" eb="21">
      <t>キテイ</t>
    </rPh>
    <rPh sb="29" eb="31">
      <t>ハイエン</t>
    </rPh>
    <rPh sb="31" eb="33">
      <t>セツビ</t>
    </rPh>
    <rPh sb="34" eb="36">
      <t>サドウ</t>
    </rPh>
    <phoneticPr fontId="3"/>
  </si>
  <si>
    <t>非常用の照明装置（細則第29条第1項第2号に規定するものを除く。）</t>
    <phoneticPr fontId="3"/>
  </si>
  <si>
    <t>各階の主要な随閉防火設備（人の通行の用に供する部分に設けるものに限る。）の昭和４８年建設省告示第２５６３号第１第二号イに規定する基準についての適合の状況</t>
    <phoneticPr fontId="3"/>
  </si>
  <si>
    <t>常時閉鎖又は作動した状態にある防火扉（各階の主要なものに限る。）</t>
    <phoneticPr fontId="3"/>
  </si>
  <si>
    <t>随時閉鎖又は作動をできる防火設備（防火扉、防火シャッターその他これらに類するものに限り、令第１６条第３項第２号又は細則第２９条第１項第１号に規定するものを除く。以下「随閉防火設備」という。）</t>
    <phoneticPr fontId="3"/>
  </si>
  <si>
    <t>令128条に規定する通路</t>
    <rPh sb="0" eb="1">
      <t>レイ</t>
    </rPh>
    <rPh sb="4" eb="5">
      <t>ジョウ</t>
    </rPh>
    <rPh sb="6" eb="8">
      <t>キテイ</t>
    </rPh>
    <rPh sb="10" eb="12">
      <t>ツウロ</t>
    </rPh>
    <phoneticPr fontId="3"/>
  </si>
  <si>
    <t>↓固定値</t>
    <rPh sb="1" eb="4">
      <t>コテイチ</t>
    </rPh>
    <phoneticPr fontId="3"/>
  </si>
  <si>
    <t>↓改善年月の入力有無</t>
    <rPh sb="1" eb="3">
      <t>カイゼン</t>
    </rPh>
    <rPh sb="3" eb="5">
      <t>ネンゲツ</t>
    </rPh>
    <rPh sb="6" eb="8">
      <t>ニュウリョク</t>
    </rPh>
    <rPh sb="8" eb="10">
      <t>ウム</t>
    </rPh>
    <phoneticPr fontId="3"/>
  </si>
  <si>
    <t>防火設備（防火扉、防火シャッターその他これらに類するものに限る。）又は戸（令第112条第19項第2号に掲げる戸に限る。）</t>
    <rPh sb="0" eb="2">
      <t>ボウカ</t>
    </rPh>
    <rPh sb="2" eb="4">
      <t>セツビ</t>
    </rPh>
    <rPh sb="5" eb="7">
      <t>ボウカ</t>
    </rPh>
    <rPh sb="7" eb="8">
      <t>トビラ</t>
    </rPh>
    <rPh sb="9" eb="11">
      <t>ボウカ</t>
    </rPh>
    <rPh sb="18" eb="19">
      <t>タ</t>
    </rPh>
    <rPh sb="23" eb="24">
      <t>ルイ</t>
    </rPh>
    <rPh sb="29" eb="30">
      <t>カギ</t>
    </rPh>
    <rPh sb="33" eb="34">
      <t>マタ</t>
    </rPh>
    <rPh sb="35" eb="36">
      <t>ト</t>
    </rPh>
    <rPh sb="37" eb="38">
      <t>レイ</t>
    </rPh>
    <rPh sb="38" eb="39">
      <t>ダイ</t>
    </rPh>
    <rPh sb="42" eb="43">
      <t>ジョウ</t>
    </rPh>
    <rPh sb="43" eb="44">
      <t>ダイ</t>
    </rPh>
    <rPh sb="46" eb="47">
      <t>コウ</t>
    </rPh>
    <rPh sb="47" eb="48">
      <t>ダイ</t>
    </rPh>
    <rPh sb="49" eb="50">
      <t>ゴウ</t>
    </rPh>
    <rPh sb="51" eb="52">
      <t>カカ</t>
    </rPh>
    <rPh sb="54" eb="55">
      <t>ト</t>
    </rPh>
    <rPh sb="56" eb="57">
      <t>カギ</t>
    </rPh>
    <phoneticPr fontId="3"/>
  </si>
  <si>
    <t>各階の主要な常閉防火設備等の閉鎖又は作動の状況</t>
    <rPh sb="0" eb="2">
      <t>カクカイ</t>
    </rPh>
    <rPh sb="3" eb="5">
      <t>シュヨウ</t>
    </rPh>
    <rPh sb="6" eb="8">
      <t>ジョウヘイ</t>
    </rPh>
    <rPh sb="8" eb="10">
      <t>ボウカ</t>
    </rPh>
    <rPh sb="10" eb="12">
      <t>セツビ</t>
    </rPh>
    <rPh sb="12" eb="13">
      <t>トウ</t>
    </rPh>
    <rPh sb="14" eb="16">
      <t>ヘイサ</t>
    </rPh>
    <rPh sb="16" eb="17">
      <t>マタ</t>
    </rPh>
    <rPh sb="18" eb="20">
      <t>サドウ</t>
    </rPh>
    <rPh sb="21" eb="23">
      <t>ジョウキョウ</t>
    </rPh>
    <phoneticPr fontId="3"/>
  </si>
  <si>
    <t>常閉防火設備等の閉鎖又は作動の障害となる物品の放置並びに照明器具及び懸垂物等の状況</t>
    <rPh sb="0" eb="2">
      <t>ジョウヘイ</t>
    </rPh>
    <rPh sb="2" eb="4">
      <t>ボウカ</t>
    </rPh>
    <rPh sb="4" eb="6">
      <t>セツビ</t>
    </rPh>
    <rPh sb="6" eb="7">
      <t>トウ</t>
    </rPh>
    <rPh sb="8" eb="10">
      <t>ヘイサ</t>
    </rPh>
    <rPh sb="10" eb="11">
      <t>マタ</t>
    </rPh>
    <rPh sb="12" eb="14">
      <t>サドウ</t>
    </rPh>
    <rPh sb="15" eb="17">
      <t>ショウガイ</t>
    </rPh>
    <rPh sb="20" eb="22">
      <t>ブッピン</t>
    </rPh>
    <rPh sb="23" eb="25">
      <t>ホウチ</t>
    </rPh>
    <rPh sb="25" eb="26">
      <t>ナラ</t>
    </rPh>
    <rPh sb="28" eb="30">
      <t>ショウメイ</t>
    </rPh>
    <rPh sb="30" eb="32">
      <t>キグ</t>
    </rPh>
    <rPh sb="32" eb="33">
      <t>オヨ</t>
    </rPh>
    <rPh sb="34" eb="36">
      <t>ケンスイ</t>
    </rPh>
    <rPh sb="36" eb="38">
      <t>ブツナド</t>
    </rPh>
    <rPh sb="39" eb="41">
      <t>ジョウキョウ</t>
    </rPh>
    <phoneticPr fontId="3"/>
  </si>
  <si>
    <t>常時閉鎖した状態にある戸の固定の状況</t>
    <phoneticPr fontId="3"/>
  </si>
  <si>
    <r>
      <t>建築基準法の設置基準に基づき設置されたスプリンクラー設備</t>
    </r>
    <r>
      <rPr>
        <sz val="11"/>
        <rFont val="ＭＳ Ｐゴシック"/>
        <family val="3"/>
        <charset val="128"/>
        <scheme val="major"/>
      </rPr>
      <t>が対象
（関係条文：法21条2項、令和6年国交省告示第284号）</t>
    </r>
    <rPh sb="26" eb="28">
      <t>セツビ</t>
    </rPh>
    <rPh sb="45" eb="47">
      <t>レイワ</t>
    </rPh>
    <rPh sb="48" eb="49">
      <t>ネン</t>
    </rPh>
    <rPh sb="49" eb="52">
      <t>コッコウショウ</t>
    </rPh>
    <rPh sb="52" eb="54">
      <t>コクジ</t>
    </rPh>
    <rPh sb="54" eb="55">
      <t>ダイ</t>
    </rPh>
    <rPh sb="58" eb="59">
      <t>ゴウ</t>
    </rPh>
    <phoneticPr fontId="3"/>
  </si>
  <si>
    <t>RC</t>
    <phoneticPr fontId="123"/>
  </si>
  <si>
    <t>SRC</t>
    <phoneticPr fontId="123"/>
  </si>
  <si>
    <t>S</t>
    <phoneticPr fontId="123"/>
  </si>
  <si>
    <t>その他</t>
    <rPh sb="2" eb="3">
      <t>タ</t>
    </rPh>
    <phoneticPr fontId="123"/>
  </si>
  <si>
    <t>CSVフィールド名（数式）【生かす】</t>
    <rPh sb="8" eb="9">
      <t>メイ</t>
    </rPh>
    <rPh sb="10" eb="12">
      <t>スウシキ</t>
    </rPh>
    <rPh sb="14" eb="15">
      <t>イ</t>
    </rPh>
    <phoneticPr fontId="3"/>
  </si>
  <si>
    <t>フィールド名_台帳対応</t>
    <rPh sb="5" eb="6">
      <t>メイ</t>
    </rPh>
    <rPh sb="7" eb="9">
      <t>ダイチョウ</t>
    </rPh>
    <rPh sb="9" eb="11">
      <t>タイオウ</t>
    </rPh>
    <phoneticPr fontId="3"/>
  </si>
  <si>
    <t>4桁or5桁</t>
    <rPh sb="1" eb="2">
      <t>ケタ</t>
    </rPh>
    <rPh sb="5" eb="6">
      <t>ケタ</t>
    </rPh>
    <phoneticPr fontId="3"/>
  </si>
  <si>
    <t>セル内空白削除</t>
    <rPh sb="2" eb="3">
      <t>ナイ</t>
    </rPh>
    <rPh sb="3" eb="5">
      <t>クウハク</t>
    </rPh>
    <rPh sb="5" eb="7">
      <t>サクジョ</t>
    </rPh>
    <phoneticPr fontId="3"/>
  </si>
  <si>
    <t>←建物所在地結合（区以降）</t>
    <rPh sb="1" eb="6">
      <t>タテモノショザイチ</t>
    </rPh>
    <rPh sb="6" eb="8">
      <t>ケツゴウ</t>
    </rPh>
    <rPh sb="9" eb="10">
      <t>ク</t>
    </rPh>
    <rPh sb="10" eb="12">
      <t>イコウ</t>
    </rPh>
    <phoneticPr fontId="3"/>
  </si>
  <si>
    <t>項目番号で色分</t>
    <rPh sb="0" eb="2">
      <t>コウモク</t>
    </rPh>
    <rPh sb="2" eb="4">
      <t>バンゴウ</t>
    </rPh>
    <rPh sb="5" eb="7">
      <t>イロワ</t>
    </rPh>
    <phoneticPr fontId="3"/>
  </si>
  <si>
    <t>（所有者が複数の場合、2人目はこちらへ記載してください）</t>
    <phoneticPr fontId="3"/>
  </si>
  <si>
    <t>（所有者が法人の場合）
・法人の名称及び所在地を記入してください。
・代表者の肩書及び個人名まで記入してください。
（所有者が複数の場合）
・この欄には1名のみを記入のうえ、2人目については、次項の「3-2所有者（複数の場合）」へ記入してください。</t>
    <rPh sb="20" eb="23">
      <t>ショザイチ</t>
    </rPh>
    <rPh sb="24" eb="26">
      <t>キニュウ</t>
    </rPh>
    <rPh sb="41" eb="42">
      <t>オヨ</t>
    </rPh>
    <rPh sb="97" eb="98">
      <t>ツギ</t>
    </rPh>
    <rPh sb="98" eb="99">
      <t>コウ</t>
    </rPh>
    <rPh sb="104" eb="107">
      <t>ショユウシャ</t>
    </rPh>
    <rPh sb="108" eb="110">
      <t>フクスウ</t>
    </rPh>
    <rPh sb="111" eb="113">
      <t>バアイ</t>
    </rPh>
    <rPh sb="116" eb="118">
      <t>キニュウ</t>
    </rPh>
    <phoneticPr fontId="3"/>
  </si>
  <si>
    <t>所有者2氏名</t>
    <rPh sb="0" eb="3">
      <t>ショユウシャ</t>
    </rPh>
    <rPh sb="4" eb="6">
      <t>シメイ</t>
    </rPh>
    <phoneticPr fontId="3"/>
  </si>
  <si>
    <t>⇒　受付管理票</t>
    <rPh sb="2" eb="4">
      <t>ウケツケ</t>
    </rPh>
    <rPh sb="4" eb="6">
      <t>カンリ</t>
    </rPh>
    <rPh sb="6" eb="7">
      <t>ヒョウ</t>
    </rPh>
    <phoneticPr fontId="3"/>
  </si>
  <si>
    <t>メールアドレス</t>
    <phoneticPr fontId="3"/>
  </si>
  <si>
    <t>防火地域等</t>
    <rPh sb="0" eb="2">
      <t>ボウカ</t>
    </rPh>
    <rPh sb="2" eb="4">
      <t>チイキ</t>
    </rPh>
    <rPh sb="4" eb="5">
      <t>トウ</t>
    </rPh>
    <phoneticPr fontId="3"/>
  </si>
  <si>
    <t>用途地域</t>
    <rPh sb="0" eb="2">
      <t>ヨウト</t>
    </rPh>
    <rPh sb="2" eb="4">
      <t>チイキ</t>
    </rPh>
    <phoneticPr fontId="3"/>
  </si>
  <si>
    <t>その他</t>
    <rPh sb="2" eb="3">
      <t>タ</t>
    </rPh>
    <phoneticPr fontId="3"/>
  </si>
  <si>
    <t>構造</t>
    <rPh sb="0" eb="2">
      <t>コウゾウ</t>
    </rPh>
    <phoneticPr fontId="3"/>
  </si>
  <si>
    <t>←地下がない場合は、0と入力してください</t>
    <phoneticPr fontId="3"/>
  </si>
  <si>
    <t>階数</t>
    <rPh sb="0" eb="2">
      <t>カイスウ</t>
    </rPh>
    <phoneticPr fontId="3"/>
  </si>
  <si>
    <t>地上</t>
    <rPh sb="0" eb="2">
      <t>チジョウ</t>
    </rPh>
    <phoneticPr fontId="3"/>
  </si>
  <si>
    <t>地下</t>
    <rPh sb="0" eb="2">
      <t>チカ</t>
    </rPh>
    <phoneticPr fontId="3"/>
  </si>
  <si>
    <t>敷地面積</t>
    <rPh sb="0" eb="4">
      <t>シキチメンセキ</t>
    </rPh>
    <phoneticPr fontId="3"/>
  </si>
  <si>
    <t>建築面積</t>
    <rPh sb="0" eb="2">
      <t>ケンチク</t>
    </rPh>
    <rPh sb="2" eb="4">
      <t>メンセキ</t>
    </rPh>
    <phoneticPr fontId="3"/>
  </si>
  <si>
    <t>←条件付き書式用</t>
    <rPh sb="1" eb="4">
      <t>ジョウケンツ</t>
    </rPh>
    <rPh sb="5" eb="7">
      <t>ショシキ</t>
    </rPh>
    <rPh sb="7" eb="8">
      <t>ヨウ</t>
    </rPh>
    <phoneticPr fontId="3"/>
  </si>
  <si>
    <t>↓西暦変換用</t>
    <rPh sb="1" eb="3">
      <t>セイレキ</t>
    </rPh>
    <rPh sb="3" eb="6">
      <t>ヘンカンヨウ</t>
    </rPh>
    <phoneticPr fontId="3"/>
  </si>
  <si>
    <t>↑取込用にテキスト化</t>
    <rPh sb="1" eb="3">
      <t>トリコミ</t>
    </rPh>
    <rPh sb="3" eb="4">
      <t>ヨウ</t>
    </rPh>
    <rPh sb="9" eb="10">
      <t>カ</t>
    </rPh>
    <phoneticPr fontId="3"/>
  </si>
  <si>
    <t>西暦年月日</t>
    <rPh sb="0" eb="2">
      <t>セイレキ</t>
    </rPh>
    <rPh sb="2" eb="5">
      <t>ネンガッピ</t>
    </rPh>
    <phoneticPr fontId="3"/>
  </si>
  <si>
    <t xml:space="preserve">◆新築時の建築確認 </t>
    <rPh sb="1" eb="3">
      <t>シンチク</t>
    </rPh>
    <rPh sb="3" eb="4">
      <t>ジ</t>
    </rPh>
    <rPh sb="5" eb="7">
      <t>ケンチク</t>
    </rPh>
    <rPh sb="7" eb="9">
      <t>カクニン</t>
    </rPh>
    <phoneticPr fontId="3"/>
  </si>
  <si>
    <t>確認日（直近）→</t>
    <rPh sb="0" eb="2">
      <t>カクニン</t>
    </rPh>
    <rPh sb="2" eb="3">
      <t>ビ</t>
    </rPh>
    <rPh sb="4" eb="6">
      <t>チョッキン</t>
    </rPh>
    <phoneticPr fontId="3"/>
  </si>
  <si>
    <t>検済日（直近）→</t>
    <rPh sb="0" eb="2">
      <t>ケンズミ</t>
    </rPh>
    <rPh sb="2" eb="3">
      <t>ビ</t>
    </rPh>
    <rPh sb="4" eb="6">
      <t>チョッキン</t>
    </rPh>
    <phoneticPr fontId="3"/>
  </si>
  <si>
    <t>確認日（新築）→</t>
    <rPh sb="0" eb="2">
      <t>カクニン</t>
    </rPh>
    <rPh sb="2" eb="3">
      <t>ビ</t>
    </rPh>
    <rPh sb="4" eb="6">
      <t>シンチク</t>
    </rPh>
    <phoneticPr fontId="3"/>
  </si>
  <si>
    <t>12</t>
  </si>
  <si>
    <t>検済日（新築）→</t>
    <rPh sb="0" eb="1">
      <t>ケン</t>
    </rPh>
    <rPh sb="1" eb="2">
      <t>ズミ</t>
    </rPh>
    <rPh sb="2" eb="3">
      <t>ビ</t>
    </rPh>
    <rPh sb="4" eb="6">
      <t>シンチク</t>
    </rPh>
    <phoneticPr fontId="3"/>
  </si>
  <si>
    <t>確認済</t>
    <rPh sb="0" eb="2">
      <t>カクニン</t>
    </rPh>
    <rPh sb="2" eb="3">
      <t>ズミ</t>
    </rPh>
    <phoneticPr fontId="3"/>
  </si>
  <si>
    <t>日付</t>
    <rPh sb="0" eb="2">
      <t>ヒヅケ</t>
    </rPh>
    <phoneticPr fontId="3"/>
  </si>
  <si>
    <t>番号</t>
    <rPh sb="0" eb="2">
      <t>バンゴウ</t>
    </rPh>
    <phoneticPr fontId="3"/>
  </si>
  <si>
    <t>検査済</t>
    <rPh sb="0" eb="2">
      <t>ケンサ</t>
    </rPh>
    <rPh sb="2" eb="3">
      <t>ズ</t>
    </rPh>
    <phoneticPr fontId="3"/>
  </si>
  <si>
    <t>維持保全計画</t>
    <rPh sb="0" eb="4">
      <t>イジホゼン</t>
    </rPh>
    <rPh sb="4" eb="6">
      <t>ケイカク</t>
    </rPh>
    <phoneticPr fontId="3"/>
  </si>
  <si>
    <t>[有]</t>
    <rPh sb="1" eb="2">
      <t>ア</t>
    </rPh>
    <phoneticPr fontId="3"/>
  </si>
  <si>
    <t>[無]</t>
    <rPh sb="1" eb="2">
      <t>ナ</t>
    </rPh>
    <phoneticPr fontId="3"/>
  </si>
  <si>
    <t>有</t>
    <rPh sb="0" eb="1">
      <t>ア</t>
    </rPh>
    <phoneticPr fontId="3"/>
  </si>
  <si>
    <t>無</t>
    <rPh sb="0" eb="1">
      <t>ナ</t>
    </rPh>
    <phoneticPr fontId="3"/>
  </si>
  <si>
    <t>【報告書】第三面3欄</t>
    <rPh sb="1" eb="4">
      <t>ホウコクショ</t>
    </rPh>
    <rPh sb="5" eb="7">
      <t>ダイサン</t>
    </rPh>
    <rPh sb="7" eb="8">
      <t>メン</t>
    </rPh>
    <rPh sb="9" eb="10">
      <t>ラン</t>
    </rPh>
    <phoneticPr fontId="3"/>
  </si>
  <si>
    <t>↓調査結果表の条件付き書式へリンク</t>
    <rPh sb="1" eb="3">
      <t>チョウサ</t>
    </rPh>
    <rPh sb="3" eb="5">
      <t>ケッカ</t>
    </rPh>
    <rPh sb="5" eb="6">
      <t>ヒョウ</t>
    </rPh>
    <rPh sb="7" eb="10">
      <t>ジョウケンツ</t>
    </rPh>
    <rPh sb="11" eb="13">
      <t>ショシキ</t>
    </rPh>
    <phoneticPr fontId="3"/>
  </si>
  <si>
    <t>飛散防止措置／調査を行う予定があるとき：「有」を選択</t>
    <phoneticPr fontId="3"/>
  </si>
  <si>
    <t>飛散防止措置／調査を行う予定がないとき：「無」を選択</t>
    <phoneticPr fontId="3"/>
  </si>
  <si>
    <t>建築基準法第28条の２の規定の適用を受ける石綿を添加した建築材料について記入してください。
（石綿含有調査が未実施の場合は「未調査」を選択してください。）</t>
    <rPh sb="47" eb="49">
      <t>セキメン</t>
    </rPh>
    <rPh sb="49" eb="51">
      <t>ガンユウ</t>
    </rPh>
    <rPh sb="51" eb="53">
      <t>チョウサ</t>
    </rPh>
    <rPh sb="54" eb="57">
      <t>ミジッシ</t>
    </rPh>
    <rPh sb="58" eb="60">
      <t>バアイ</t>
    </rPh>
    <rPh sb="62" eb="65">
      <t>ミチョウサ</t>
    </rPh>
    <rPh sb="67" eb="69">
      <t>センタク</t>
    </rPh>
    <phoneticPr fontId="3"/>
  </si>
  <si>
    <t>↓【1】有（飛散防止措置無）【2】未調査【0】有（飛散防止措置有）、無</t>
    <rPh sb="4" eb="5">
      <t>アリ</t>
    </rPh>
    <rPh sb="6" eb="8">
      <t>ヒサン</t>
    </rPh>
    <rPh sb="8" eb="10">
      <t>ボウシ</t>
    </rPh>
    <rPh sb="10" eb="12">
      <t>ソチ</t>
    </rPh>
    <rPh sb="12" eb="13">
      <t>ナ</t>
    </rPh>
    <rPh sb="17" eb="20">
      <t>ミチョウサ</t>
    </rPh>
    <rPh sb="23" eb="24">
      <t>アリ</t>
    </rPh>
    <rPh sb="25" eb="27">
      <t>ヒサン</t>
    </rPh>
    <rPh sb="27" eb="29">
      <t>ボウシ</t>
    </rPh>
    <rPh sb="29" eb="31">
      <t>ソチ</t>
    </rPh>
    <rPh sb="31" eb="32">
      <t>アリ</t>
    </rPh>
    <rPh sb="34" eb="35">
      <t>ナ</t>
    </rPh>
    <phoneticPr fontId="3"/>
  </si>
  <si>
    <t>石綿_有（飛散防止無）該当する室</t>
  </si>
  <si>
    <t>石綿_有（飛散防止有）該当する室</t>
  </si>
  <si>
    <t>措置予定[有]</t>
    <phoneticPr fontId="3"/>
  </si>
  <si>
    <t>措置予定[無]</t>
    <phoneticPr fontId="3"/>
  </si>
  <si>
    <t>[有（飛散防止無）]</t>
    <phoneticPr fontId="3"/>
  </si>
  <si>
    <t>[有（飛散防止有）]</t>
    <phoneticPr fontId="3"/>
  </si>
  <si>
    <t>[無]</t>
  </si>
  <si>
    <t>[無]</t>
    <phoneticPr fontId="3"/>
  </si>
  <si>
    <t>改善予定年月</t>
    <rPh sb="0" eb="2">
      <t>カイゼン</t>
    </rPh>
    <rPh sb="2" eb="4">
      <t>ヨテイ</t>
    </rPh>
    <rPh sb="4" eb="5">
      <t>ネン</t>
    </rPh>
    <rPh sb="5" eb="6">
      <t>ガツ</t>
    </rPh>
    <phoneticPr fontId="3"/>
  </si>
  <si>
    <t>元号</t>
    <rPh sb="0" eb="2">
      <t>ゲンゴウ</t>
    </rPh>
    <phoneticPr fontId="3"/>
  </si>
  <si>
    <t>和暦年</t>
    <rPh sb="0" eb="2">
      <t>ワレキ</t>
    </rPh>
    <rPh sb="2" eb="3">
      <t>ネン</t>
    </rPh>
    <phoneticPr fontId="3"/>
  </si>
  <si>
    <t>月</t>
    <rPh sb="0" eb="1">
      <t>ツキ</t>
    </rPh>
    <phoneticPr fontId="3"/>
  </si>
  <si>
    <t>石綿</t>
    <rPh sb="0" eb="2">
      <t>セキメン</t>
    </rPh>
    <phoneticPr fontId="3"/>
  </si>
  <si>
    <t>[有（飛散防止無）]</t>
    <rPh sb="1" eb="2">
      <t>ア</t>
    </rPh>
    <rPh sb="3" eb="5">
      <t>ヒサン</t>
    </rPh>
    <rPh sb="5" eb="7">
      <t>ボウシ</t>
    </rPh>
    <rPh sb="7" eb="8">
      <t>ナ</t>
    </rPh>
    <phoneticPr fontId="3"/>
  </si>
  <si>
    <t>[有（飛散防止有）]</t>
    <rPh sb="1" eb="2">
      <t>ア</t>
    </rPh>
    <rPh sb="3" eb="5">
      <t>ヒサン</t>
    </rPh>
    <rPh sb="5" eb="7">
      <t>ボウシ</t>
    </rPh>
    <rPh sb="7" eb="8">
      <t>アリ</t>
    </rPh>
    <phoneticPr fontId="3"/>
  </si>
  <si>
    <t>[無]</t>
    <rPh sb="1" eb="2">
      <t>ナ</t>
    </rPh>
    <phoneticPr fontId="3"/>
  </si>
  <si>
    <t>有（飛散防止無）該当する室</t>
    <phoneticPr fontId="3"/>
  </si>
  <si>
    <t>有（飛散防止有）該当する室</t>
    <rPh sb="0" eb="1">
      <t>ア</t>
    </rPh>
    <rPh sb="6" eb="7">
      <t>アリ</t>
    </rPh>
    <phoneticPr fontId="3"/>
  </si>
  <si>
    <t>措置予定</t>
    <rPh sb="0" eb="4">
      <t>ソチヨテイ</t>
    </rPh>
    <phoneticPr fontId="3"/>
  </si>
  <si>
    <t>措置予定</t>
    <rPh sb="0" eb="2">
      <t>ソチ</t>
    </rPh>
    <rPh sb="2" eb="4">
      <t>ヨテイ</t>
    </rPh>
    <phoneticPr fontId="3"/>
  </si>
  <si>
    <t>[有]</t>
  </si>
  <si>
    <t>有</t>
    <rPh sb="0" eb="1">
      <t>ア</t>
    </rPh>
    <phoneticPr fontId="3"/>
  </si>
  <si>
    <t>元号</t>
    <rPh sb="0" eb="2">
      <t>ゲンゴウ</t>
    </rPh>
    <phoneticPr fontId="3"/>
  </si>
  <si>
    <t>和暦年</t>
    <rPh sb="0" eb="2">
      <t>ワレキ</t>
    </rPh>
    <rPh sb="2" eb="3">
      <t>ネン</t>
    </rPh>
    <phoneticPr fontId="3"/>
  </si>
  <si>
    <t>月</t>
    <rPh sb="0" eb="1">
      <t>ツキ</t>
    </rPh>
    <phoneticPr fontId="3"/>
  </si>
  <si>
    <t>15</t>
  </si>
  <si>
    <t>有（飛散防止無）</t>
    <rPh sb="0" eb="1">
      <t>ア</t>
    </rPh>
    <rPh sb="2" eb="4">
      <t>ヒサン</t>
    </rPh>
    <rPh sb="4" eb="6">
      <t>ボウシ</t>
    </rPh>
    <rPh sb="6" eb="7">
      <t>ナ</t>
    </rPh>
    <phoneticPr fontId="3"/>
  </si>
  <si>
    <t>有（飛散防止有）</t>
    <rPh sb="0" eb="1">
      <t>ア</t>
    </rPh>
    <rPh sb="2" eb="4">
      <t>ヒサン</t>
    </rPh>
    <rPh sb="4" eb="6">
      <t>ボウシ</t>
    </rPh>
    <rPh sb="6" eb="7">
      <t>アリ</t>
    </rPh>
    <phoneticPr fontId="3"/>
  </si>
  <si>
    <t>無</t>
    <rPh sb="0" eb="1">
      <t>ナ</t>
    </rPh>
    <phoneticPr fontId="3"/>
  </si>
  <si>
    <t>該当する室（飛散防止無）</t>
    <rPh sb="0" eb="2">
      <t>ガイトウ</t>
    </rPh>
    <rPh sb="4" eb="5">
      <t>シツ</t>
    </rPh>
    <rPh sb="6" eb="8">
      <t>ヒサン</t>
    </rPh>
    <rPh sb="8" eb="10">
      <t>ボウシ</t>
    </rPh>
    <rPh sb="10" eb="11">
      <t>ナ</t>
    </rPh>
    <phoneticPr fontId="3"/>
  </si>
  <si>
    <t>該当する室（飛散防止有）</t>
    <rPh sb="0" eb="2">
      <t>ガイトウ</t>
    </rPh>
    <rPh sb="4" eb="5">
      <t>シツ</t>
    </rPh>
    <rPh sb="6" eb="8">
      <t>ヒサン</t>
    </rPh>
    <rPh sb="8" eb="10">
      <t>ボウシ</t>
    </rPh>
    <rPh sb="10" eb="11">
      <t>アリ</t>
    </rPh>
    <phoneticPr fontId="3"/>
  </si>
  <si>
    <t>和暦年</t>
    <rPh sb="0" eb="3">
      <t>ワレキネン</t>
    </rPh>
    <phoneticPr fontId="3"/>
  </si>
  <si>
    <t>←</t>
    <phoneticPr fontId="3"/>
  </si>
  <si>
    <t>【報告書】第三面4欄</t>
    <rPh sb="1" eb="4">
      <t>ホウコクショ</t>
    </rPh>
    <rPh sb="5" eb="7">
      <t>ダイサン</t>
    </rPh>
    <rPh sb="7" eb="8">
      <t>メン</t>
    </rPh>
    <rPh sb="9" eb="10">
      <t>ラン</t>
    </rPh>
    <phoneticPr fontId="3"/>
  </si>
  <si>
    <t>耐震診断[有]</t>
    <rPh sb="0" eb="2">
      <t>タイシン</t>
    </rPh>
    <rPh sb="2" eb="4">
      <t>シンダン</t>
    </rPh>
    <rPh sb="5" eb="6">
      <t>タモツ</t>
    </rPh>
    <phoneticPr fontId="3"/>
  </si>
  <si>
    <t>耐震診断[無]</t>
    <rPh sb="0" eb="2">
      <t>タイシン</t>
    </rPh>
    <rPh sb="2" eb="4">
      <t>シンダン</t>
    </rPh>
    <rPh sb="5" eb="6">
      <t>ナ</t>
    </rPh>
    <phoneticPr fontId="3"/>
  </si>
  <si>
    <t>耐震診断[対象外]</t>
    <rPh sb="0" eb="2">
      <t>タイシン</t>
    </rPh>
    <rPh sb="2" eb="4">
      <t>シンダン</t>
    </rPh>
    <rPh sb="5" eb="7">
      <t>タイショウ</t>
    </rPh>
    <rPh sb="7" eb="8">
      <t>ガイ</t>
    </rPh>
    <phoneticPr fontId="3"/>
  </si>
  <si>
    <t>耐震診断実施</t>
    <rPh sb="0" eb="2">
      <t>タイシン</t>
    </rPh>
    <rPh sb="2" eb="4">
      <t>シンダン</t>
    </rPh>
    <rPh sb="4" eb="6">
      <t>ジッシ</t>
    </rPh>
    <phoneticPr fontId="3"/>
  </si>
  <si>
    <t>◆耐震診断実施状況</t>
    <rPh sb="1" eb="3">
      <t>タイシン</t>
    </rPh>
    <rPh sb="3" eb="5">
      <t>シンダン</t>
    </rPh>
    <rPh sb="5" eb="7">
      <t>ジッシ</t>
    </rPh>
    <rPh sb="7" eb="9">
      <t>ジョウキョウ</t>
    </rPh>
    <phoneticPr fontId="3"/>
  </si>
  <si>
    <t>◆耐震改修実施状況</t>
    <rPh sb="1" eb="3">
      <t>タイシン</t>
    </rPh>
    <rPh sb="3" eb="5">
      <t>カイシュウ</t>
    </rPh>
    <rPh sb="5" eb="7">
      <t>ジッシ</t>
    </rPh>
    <rPh sb="7" eb="9">
      <t>ジョウキョウ</t>
    </rPh>
    <phoneticPr fontId="3"/>
  </si>
  <si>
    <t>耐震改修[有]</t>
    <rPh sb="0" eb="2">
      <t>タイシン</t>
    </rPh>
    <rPh sb="2" eb="4">
      <t>カイシュウ</t>
    </rPh>
    <rPh sb="5" eb="6">
      <t>ア</t>
    </rPh>
    <phoneticPr fontId="3"/>
  </si>
  <si>
    <t>耐震改修[無]</t>
    <rPh sb="0" eb="2">
      <t>タイシン</t>
    </rPh>
    <rPh sb="2" eb="4">
      <t>カイシュウ</t>
    </rPh>
    <rPh sb="5" eb="6">
      <t>ナ</t>
    </rPh>
    <phoneticPr fontId="3"/>
  </si>
  <si>
    <t>耐震改修[対象外]</t>
    <rPh sb="0" eb="2">
      <t>タイシン</t>
    </rPh>
    <rPh sb="2" eb="4">
      <t>カイシュウ</t>
    </rPh>
    <rPh sb="5" eb="7">
      <t>タイショウ</t>
    </rPh>
    <rPh sb="7" eb="8">
      <t>ガイ</t>
    </rPh>
    <phoneticPr fontId="3"/>
  </si>
  <si>
    <t>耐震改修実施</t>
    <rPh sb="0" eb="2">
      <t>タイシン</t>
    </rPh>
    <rPh sb="2" eb="4">
      <t>カイシュウ</t>
    </rPh>
    <rPh sb="4" eb="6">
      <t>ジッシ</t>
    </rPh>
    <phoneticPr fontId="3"/>
  </si>
  <si>
    <t>耐震診断</t>
    <rPh sb="0" eb="2">
      <t>タイシン</t>
    </rPh>
    <rPh sb="2" eb="4">
      <t>シンダン</t>
    </rPh>
    <phoneticPr fontId="3"/>
  </si>
  <si>
    <t>[有]</t>
    <rPh sb="1" eb="2">
      <t>ア</t>
    </rPh>
    <phoneticPr fontId="3"/>
  </si>
  <si>
    <t>[対象外]</t>
    <rPh sb="1" eb="3">
      <t>タイショウ</t>
    </rPh>
    <rPh sb="3" eb="4">
      <t>ガイ</t>
    </rPh>
    <phoneticPr fontId="3"/>
  </si>
  <si>
    <t>実施</t>
    <rPh sb="0" eb="2">
      <t>ジッシ</t>
    </rPh>
    <phoneticPr fontId="3"/>
  </si>
  <si>
    <t>耐震改修</t>
    <rPh sb="0" eb="2">
      <t>タイシン</t>
    </rPh>
    <rPh sb="2" eb="4">
      <t>カイシュウ</t>
    </rPh>
    <phoneticPr fontId="3"/>
  </si>
  <si>
    <t>【報告書】第三面5欄・第四面</t>
    <rPh sb="1" eb="4">
      <t>ホウコクショ</t>
    </rPh>
    <rPh sb="5" eb="7">
      <t>ダイサン</t>
    </rPh>
    <rPh sb="7" eb="8">
      <t>メン</t>
    </rPh>
    <rPh sb="9" eb="10">
      <t>ラン</t>
    </rPh>
    <rPh sb="11" eb="12">
      <t>ダイ</t>
    </rPh>
    <rPh sb="12" eb="14">
      <t>ヨンメン</t>
    </rPh>
    <phoneticPr fontId="3"/>
  </si>
  <si>
    <t>↓不具合等の有無</t>
    <rPh sb="1" eb="4">
      <t>フグアイ</t>
    </rPh>
    <rPh sb="4" eb="5">
      <t>トウ</t>
    </rPh>
    <rPh sb="6" eb="8">
      <t>ウム</t>
    </rPh>
    <phoneticPr fontId="3"/>
  </si>
  <si>
    <t>↓不具合等の記録の有無</t>
    <rPh sb="1" eb="4">
      <t>フグアイ</t>
    </rPh>
    <rPh sb="4" eb="5">
      <t>トウ</t>
    </rPh>
    <rPh sb="6" eb="8">
      <t>キロク</t>
    </rPh>
    <rPh sb="9" eb="11">
      <t>ウム</t>
    </rPh>
    <phoneticPr fontId="3"/>
  </si>
  <si>
    <t>【報告書】第三面6欄</t>
    <rPh sb="1" eb="4">
      <t>ホウコクショ</t>
    </rPh>
    <rPh sb="5" eb="7">
      <t>ダイサン</t>
    </rPh>
    <rPh sb="7" eb="8">
      <t>メン</t>
    </rPh>
    <rPh sb="9" eb="10">
      <t>ラン</t>
    </rPh>
    <phoneticPr fontId="3"/>
  </si>
  <si>
    <t>16</t>
    <phoneticPr fontId="3"/>
  </si>
  <si>
    <t>対象外</t>
    <rPh sb="0" eb="2">
      <t>タイショウ</t>
    </rPh>
    <rPh sb="2" eb="3">
      <t>ガイ</t>
    </rPh>
    <phoneticPr fontId="3"/>
  </si>
  <si>
    <t>実施年月</t>
    <rPh sb="0" eb="2">
      <t>ジッシ</t>
    </rPh>
    <rPh sb="2" eb="4">
      <t>ネンゲツ</t>
    </rPh>
    <phoneticPr fontId="3"/>
  </si>
  <si>
    <t>実施年月</t>
    <rPh sb="0" eb="4">
      <t>ジッシネンゲツ</t>
    </rPh>
    <phoneticPr fontId="3"/>
  </si>
  <si>
    <t>全面打診[使用有]</t>
  </si>
  <si>
    <t>全面打診[使用無]</t>
  </si>
  <si>
    <t>全面打診</t>
    <rPh sb="0" eb="2">
      <t>ゼンメン</t>
    </rPh>
    <rPh sb="2" eb="4">
      <t>ダシン</t>
    </rPh>
    <phoneticPr fontId="3"/>
  </si>
  <si>
    <t>[使用有]</t>
    <rPh sb="1" eb="3">
      <t>シヨウ</t>
    </rPh>
    <rPh sb="3" eb="4">
      <t>アリ</t>
    </rPh>
    <phoneticPr fontId="3"/>
  </si>
  <si>
    <t>[使用無]</t>
    <rPh sb="1" eb="3">
      <t>シヨウ</t>
    </rPh>
    <rPh sb="3" eb="4">
      <t>ナ</t>
    </rPh>
    <phoneticPr fontId="3"/>
  </si>
  <si>
    <t>状況</t>
    <rPh sb="0" eb="2">
      <t>ジョウキョウ</t>
    </rPh>
    <phoneticPr fontId="3"/>
  </si>
  <si>
    <t>備考</t>
    <rPh sb="0" eb="2">
      <t>ビコウ</t>
    </rPh>
    <phoneticPr fontId="3"/>
  </si>
  <si>
    <t>直通階段の数</t>
    <rPh sb="0" eb="2">
      <t>チョクツウ</t>
    </rPh>
    <rPh sb="2" eb="4">
      <t>カイダン</t>
    </rPh>
    <rPh sb="5" eb="6">
      <t>カズ</t>
    </rPh>
    <phoneticPr fontId="3"/>
  </si>
  <si>
    <t>【調査結果表】特記事項、【受付管理票】</t>
    <rPh sb="1" eb="3">
      <t>チョウサ</t>
    </rPh>
    <rPh sb="3" eb="5">
      <t>ケッカ</t>
    </rPh>
    <rPh sb="5" eb="6">
      <t>ヒョウ</t>
    </rPh>
    <rPh sb="7" eb="9">
      <t>トッキ</t>
    </rPh>
    <rPh sb="9" eb="11">
      <t>ジコウ</t>
    </rPh>
    <rPh sb="13" eb="15">
      <t>ウケツケ</t>
    </rPh>
    <rPh sb="15" eb="18">
      <t>カンリヒョウ</t>
    </rPh>
    <phoneticPr fontId="3"/>
  </si>
  <si>
    <t>【報告書】第三面1欄、【概要書】第一面6欄</t>
    <rPh sb="1" eb="4">
      <t>ホウコクショ</t>
    </rPh>
    <rPh sb="5" eb="7">
      <t>ダイサン</t>
    </rPh>
    <rPh sb="7" eb="8">
      <t>メン</t>
    </rPh>
    <rPh sb="9" eb="10">
      <t>ラン</t>
    </rPh>
    <rPh sb="12" eb="15">
      <t>ガイヨウショ</t>
    </rPh>
    <rPh sb="17" eb="18">
      <t>イチ</t>
    </rPh>
    <rPh sb="18" eb="19">
      <t>メン</t>
    </rPh>
    <phoneticPr fontId="3"/>
  </si>
  <si>
    <r>
      <rPr>
        <b/>
        <sz val="11"/>
        <rFont val="ＭＳ Ｐゴシック"/>
        <family val="3"/>
        <charset val="128"/>
        <scheme val="major"/>
      </rPr>
      <t>「換気設備（自然換気設備を除く）で風道を有するもの」「排煙機又は送風機を有する排煙設備」「非常用の照明装置」</t>
    </r>
    <r>
      <rPr>
        <sz val="11"/>
        <rFont val="ＭＳ Ｐゴシック"/>
        <family val="3"/>
        <charset val="128"/>
        <scheme val="major"/>
      </rPr>
      <t>のいずれかが設置されている場合は、「有」を選択してください。</t>
    </r>
    <rPh sb="1" eb="3">
      <t>カンキ</t>
    </rPh>
    <rPh sb="3" eb="5">
      <t>セツビ</t>
    </rPh>
    <rPh sb="6" eb="8">
      <t>シゼン</t>
    </rPh>
    <rPh sb="8" eb="10">
      <t>カンキ</t>
    </rPh>
    <rPh sb="10" eb="12">
      <t>セツビ</t>
    </rPh>
    <rPh sb="13" eb="14">
      <t>ノゾ</t>
    </rPh>
    <rPh sb="17" eb="19">
      <t>フウドウ</t>
    </rPh>
    <rPh sb="20" eb="21">
      <t>ユウ</t>
    </rPh>
    <rPh sb="27" eb="30">
      <t>ハイエンキ</t>
    </rPh>
    <rPh sb="30" eb="31">
      <t>マタ</t>
    </rPh>
    <rPh sb="32" eb="35">
      <t>ソウフウキ</t>
    </rPh>
    <rPh sb="36" eb="37">
      <t>ユウ</t>
    </rPh>
    <rPh sb="39" eb="41">
      <t>ハイエン</t>
    </rPh>
    <rPh sb="41" eb="43">
      <t>セツビ</t>
    </rPh>
    <rPh sb="45" eb="48">
      <t>ヒジョウヨウ</t>
    </rPh>
    <rPh sb="49" eb="51">
      <t>ショウメイ</t>
    </rPh>
    <rPh sb="51" eb="53">
      <t>ソウチ</t>
    </rPh>
    <rPh sb="60" eb="62">
      <t>セッチ</t>
    </rPh>
    <rPh sb="67" eb="69">
      <t>バアイ</t>
    </rPh>
    <rPh sb="72" eb="73">
      <t>アリ</t>
    </rPh>
    <rPh sb="75" eb="77">
      <t>センタク</t>
    </rPh>
    <phoneticPr fontId="3"/>
  </si>
  <si>
    <t>随時閉鎖式の防火設備が「無」の場合は、「対象外」を選択してください。</t>
    <rPh sb="12" eb="13">
      <t>ナ</t>
    </rPh>
    <rPh sb="15" eb="17">
      <t>バアイ</t>
    </rPh>
    <rPh sb="20" eb="23">
      <t>タイショウガイ</t>
    </rPh>
    <rPh sb="25" eb="27">
      <t>センタク</t>
    </rPh>
    <phoneticPr fontId="3"/>
  </si>
  <si>
    <t>建築設備</t>
    <rPh sb="0" eb="2">
      <t>ケンチク</t>
    </rPh>
    <rPh sb="2" eb="4">
      <t>セツビ</t>
    </rPh>
    <phoneticPr fontId="3"/>
  </si>
  <si>
    <t>有無</t>
    <rPh sb="0" eb="2">
      <t>ウム</t>
    </rPh>
    <phoneticPr fontId="3"/>
  </si>
  <si>
    <t>防火設備</t>
    <rPh sb="0" eb="2">
      <t>ボウカ</t>
    </rPh>
    <rPh sb="2" eb="4">
      <t>セツビ</t>
    </rPh>
    <phoneticPr fontId="3"/>
  </si>
  <si>
    <t>【報告書/概要書】第一面5欄</t>
    <rPh sb="1" eb="4">
      <t>ホウコクショ</t>
    </rPh>
    <rPh sb="5" eb="8">
      <t>ガイヨウショ</t>
    </rPh>
    <rPh sb="9" eb="10">
      <t>ダイ</t>
    </rPh>
    <rPh sb="10" eb="12">
      <t>イチメン</t>
    </rPh>
    <rPh sb="13" eb="14">
      <t>ラン</t>
    </rPh>
    <phoneticPr fontId="3"/>
  </si>
  <si>
    <t>２２　その他特記事項</t>
    <rPh sb="5" eb="6">
      <t>タ</t>
    </rPh>
    <rPh sb="6" eb="8">
      <t>トッキ</t>
    </rPh>
    <rPh sb="8" eb="10">
      <t>ジコウ</t>
    </rPh>
    <phoneticPr fontId="3"/>
  </si>
  <si>
    <t>特記用途</t>
    <rPh sb="0" eb="2">
      <t>トッキ</t>
    </rPh>
    <rPh sb="2" eb="4">
      <t>ヨウト</t>
    </rPh>
    <phoneticPr fontId="3"/>
  </si>
  <si>
    <t>介護老人保健施設</t>
    <rPh sb="0" eb="2">
      <t>カイゴ</t>
    </rPh>
    <rPh sb="2" eb="4">
      <t>ロウジン</t>
    </rPh>
    <rPh sb="4" eb="6">
      <t>ホケン</t>
    </rPh>
    <rPh sb="6" eb="8">
      <t>シセツ</t>
    </rPh>
    <phoneticPr fontId="123"/>
  </si>
  <si>
    <t>_</t>
    <phoneticPr fontId="3"/>
  </si>
  <si>
    <t>照合用</t>
    <rPh sb="0" eb="3">
      <t>ショウゴウヨウ</t>
    </rPh>
    <phoneticPr fontId="3"/>
  </si>
  <si>
    <t>①ID用途面積</t>
    <rPh sb="3" eb="5">
      <t>ヨウト</t>
    </rPh>
    <rPh sb="5" eb="7">
      <t>メンセキ</t>
    </rPh>
    <phoneticPr fontId="3"/>
  </si>
  <si>
    <t>受付管理票備考欄記載事項（台帳取込項目）</t>
    <rPh sb="0" eb="2">
      <t>ウケツケ</t>
    </rPh>
    <rPh sb="2" eb="4">
      <t>カンリ</t>
    </rPh>
    <rPh sb="4" eb="5">
      <t>ヒョウ</t>
    </rPh>
    <rPh sb="5" eb="7">
      <t>ビコウ</t>
    </rPh>
    <rPh sb="7" eb="8">
      <t>ラン</t>
    </rPh>
    <rPh sb="8" eb="12">
      <t>キサイジコウ</t>
    </rPh>
    <rPh sb="13" eb="15">
      <t>ダイチョウ</t>
    </rPh>
    <rPh sb="15" eb="17">
      <t>トリコミ</t>
    </rPh>
    <rPh sb="17" eb="19">
      <t>コウモク</t>
    </rPh>
    <phoneticPr fontId="3"/>
  </si>
  <si>
    <t>②建築設備対象面積</t>
    <rPh sb="1" eb="3">
      <t>ケンチク</t>
    </rPh>
    <rPh sb="3" eb="5">
      <t>セツビ</t>
    </rPh>
    <rPh sb="5" eb="7">
      <t>タイショウ</t>
    </rPh>
    <rPh sb="7" eb="9">
      <t>メンセキ</t>
    </rPh>
    <phoneticPr fontId="3"/>
  </si>
  <si>
    <t>※【基本情報】シートで入力したIDに対応した面積</t>
    <rPh sb="2" eb="4">
      <t>キホン</t>
    </rPh>
    <rPh sb="4" eb="6">
      <t>ジョウホウ</t>
    </rPh>
    <rPh sb="11" eb="13">
      <t>ニュウリョク</t>
    </rPh>
    <rPh sb="18" eb="20">
      <t>タイオウ</t>
    </rPh>
    <rPh sb="22" eb="24">
      <t>メンセキ</t>
    </rPh>
    <phoneticPr fontId="3"/>
  </si>
  <si>
    <t>建築設備対象用途</t>
    <rPh sb="0" eb="2">
      <t>ケンチク</t>
    </rPh>
    <rPh sb="2" eb="4">
      <t>セツビ</t>
    </rPh>
    <rPh sb="4" eb="6">
      <t>タイショウ</t>
    </rPh>
    <rPh sb="6" eb="8">
      <t>ヨウト</t>
    </rPh>
    <phoneticPr fontId="3"/>
  </si>
  <si>
    <t>③特殊建築物面積</t>
    <rPh sb="1" eb="3">
      <t>トクシュ</t>
    </rPh>
    <rPh sb="3" eb="6">
      <t>ケンチクブツ</t>
    </rPh>
    <rPh sb="6" eb="8">
      <t>メンセキ</t>
    </rPh>
    <phoneticPr fontId="3"/>
  </si>
  <si>
    <t>チェック用項目</t>
    <rPh sb="4" eb="5">
      <t>ヨウ</t>
    </rPh>
    <rPh sb="5" eb="7">
      <t>コウモク</t>
    </rPh>
    <phoneticPr fontId="3"/>
  </si>
  <si>
    <t>チェック用</t>
    <rPh sb="4" eb="5">
      <t>ヨウ</t>
    </rPh>
    <phoneticPr fontId="3"/>
  </si>
  <si>
    <t>チェック用</t>
    <rPh sb="4" eb="5">
      <t>ヨウ</t>
    </rPh>
    <phoneticPr fontId="3"/>
  </si>
  <si>
    <t>用途</t>
    <rPh sb="0" eb="2">
      <t>ヨウト</t>
    </rPh>
    <phoneticPr fontId="3"/>
  </si>
  <si>
    <t>用途3以降を連結</t>
    <rPh sb="0" eb="2">
      <t>ヨウト</t>
    </rPh>
    <rPh sb="3" eb="5">
      <t>イコウ</t>
    </rPh>
    <rPh sb="6" eb="8">
      <t>レンケツ</t>
    </rPh>
    <phoneticPr fontId="3"/>
  </si>
  <si>
    <t>用途3</t>
    <rPh sb="0" eb="2">
      <t>ヨウト</t>
    </rPh>
    <phoneticPr fontId="3"/>
  </si>
  <si>
    <t>用途1</t>
    <rPh sb="0" eb="2">
      <t>ヨウト</t>
    </rPh>
    <phoneticPr fontId="3"/>
  </si>
  <si>
    <t>用途2</t>
    <rPh sb="0" eb="2">
      <t>ヨウト</t>
    </rPh>
    <phoneticPr fontId="3"/>
  </si>
  <si>
    <t>延床面積</t>
    <rPh sb="0" eb="1">
      <t>ノ</t>
    </rPh>
    <rPh sb="1" eb="2">
      <t>ユカ</t>
    </rPh>
    <rPh sb="2" eb="4">
      <t>メンセキ</t>
    </rPh>
    <phoneticPr fontId="3"/>
  </si>
  <si>
    <t>小分類3以降</t>
    <rPh sb="0" eb="3">
      <t>ショウブンルイ</t>
    </rPh>
    <rPh sb="4" eb="6">
      <t>イコウ</t>
    </rPh>
    <phoneticPr fontId="3"/>
  </si>
  <si>
    <t>指導書番号</t>
    <rPh sb="0" eb="3">
      <t>シドウショ</t>
    </rPh>
    <rPh sb="3" eb="5">
      <t>バンゴウ</t>
    </rPh>
    <phoneticPr fontId="3"/>
  </si>
  <si>
    <t>◆指導書番号の作成</t>
    <rPh sb="1" eb="4">
      <t>シドウショ</t>
    </rPh>
    <rPh sb="4" eb="6">
      <t>バンゴウ</t>
    </rPh>
    <rPh sb="7" eb="9">
      <t>サクセイ</t>
    </rPh>
    <phoneticPr fontId="3"/>
  </si>
  <si>
    <t>7（11）</t>
    <phoneticPr fontId="3"/>
  </si>
  <si>
    <t>7（12）</t>
    <phoneticPr fontId="3"/>
  </si>
  <si>
    <t>7（13）</t>
    <phoneticPr fontId="3"/>
  </si>
  <si>
    <t>7（14）</t>
    <phoneticPr fontId="3"/>
  </si>
  <si>
    <t>7（15）</t>
    <phoneticPr fontId="3"/>
  </si>
  <si>
    <t>7（16）</t>
    <phoneticPr fontId="3"/>
  </si>
  <si>
    <t>7（17）</t>
    <phoneticPr fontId="3"/>
  </si>
  <si>
    <t>7（18）</t>
    <phoneticPr fontId="3"/>
  </si>
  <si>
    <t>【説明】このシートは調査結果を全て並べたものです（将来用であり、このシートには台帳取込項目はありません）</t>
    <rPh sb="1" eb="3">
      <t>セツメイ</t>
    </rPh>
    <rPh sb="10" eb="12">
      <t>チョウサ</t>
    </rPh>
    <rPh sb="12" eb="14">
      <t>ケッカ</t>
    </rPh>
    <rPh sb="15" eb="16">
      <t>スベ</t>
    </rPh>
    <rPh sb="17" eb="18">
      <t>ナラ</t>
    </rPh>
    <rPh sb="25" eb="27">
      <t>ショウライ</t>
    </rPh>
    <rPh sb="27" eb="28">
      <t>ヨウ</t>
    </rPh>
    <rPh sb="39" eb="41">
      <t>ダイチョウ</t>
    </rPh>
    <rPh sb="41" eb="43">
      <t>トリコミ</t>
    </rPh>
    <rPh sb="43" eb="45">
      <t>コウモク</t>
    </rPh>
    <phoneticPr fontId="3"/>
  </si>
  <si>
    <t>↓改善年月の入力がある場合に表示</t>
    <rPh sb="1" eb="3">
      <t>カイゼン</t>
    </rPh>
    <rPh sb="3" eb="5">
      <t>ネンゲツ</t>
    </rPh>
    <rPh sb="6" eb="8">
      <t>ニュウリョク</t>
    </rPh>
    <rPh sb="11" eb="13">
      <t>バアイ</t>
    </rPh>
    <rPh sb="14" eb="16">
      <t>ヒョウジ</t>
    </rPh>
    <phoneticPr fontId="3"/>
  </si>
  <si>
    <t>ー対象外項目</t>
    <rPh sb="1" eb="4">
      <t>タイショウガイ</t>
    </rPh>
    <rPh sb="4" eb="6">
      <t>コウモク</t>
    </rPh>
    <phoneticPr fontId="24"/>
  </si>
  <si>
    <t>○指摘なし</t>
    <rPh sb="1" eb="3">
      <t>シテキ</t>
    </rPh>
    <phoneticPr fontId="24"/>
  </si>
  <si>
    <t>×要是正</t>
  </si>
  <si>
    <t>×要是正</t>
    <rPh sb="1" eb="2">
      <t>ヨウ</t>
    </rPh>
    <rPh sb="2" eb="4">
      <t>ゼセイ</t>
    </rPh>
    <phoneticPr fontId="24"/>
  </si>
  <si>
    <t>△既存不適格</t>
    <rPh sb="1" eb="6">
      <t>キゾンフテキカク</t>
    </rPh>
    <phoneticPr fontId="24"/>
  </si>
  <si>
    <t>4(48)</t>
  </si>
  <si>
    <t>4(49)</t>
  </si>
  <si>
    <t>4(50)</t>
  </si>
  <si>
    <t>↓大項目１の調査結果変換（報告書へ転記）</t>
    <rPh sb="1" eb="4">
      <t>ダイコウモク</t>
    </rPh>
    <rPh sb="6" eb="8">
      <t>チョウサ</t>
    </rPh>
    <rPh sb="8" eb="10">
      <t>ケッカ</t>
    </rPh>
    <rPh sb="13" eb="16">
      <t>ホウコクショ</t>
    </rPh>
    <rPh sb="17" eb="19">
      <t>テンキ</t>
    </rPh>
    <phoneticPr fontId="3"/>
  </si>
  <si>
    <t>調査項目番号_小</t>
    <rPh sb="0" eb="2">
      <t>チョウサ</t>
    </rPh>
    <rPh sb="2" eb="4">
      <t>コウモク</t>
    </rPh>
    <rPh sb="4" eb="6">
      <t>バンゴウ</t>
    </rPh>
    <rPh sb="7" eb="8">
      <t>ショウ</t>
    </rPh>
    <phoneticPr fontId="3"/>
  </si>
  <si>
    <t>改善状況</t>
    <rPh sb="0" eb="2">
      <t>カイゼン</t>
    </rPh>
    <rPh sb="2" eb="4">
      <t>ジョウキョウ</t>
    </rPh>
    <phoneticPr fontId="3"/>
  </si>
  <si>
    <t>【基本情報】シートの23欄から転記</t>
    <rPh sb="1" eb="3">
      <t>キホン</t>
    </rPh>
    <rPh sb="3" eb="5">
      <t>ジョウホウ</t>
    </rPh>
    <rPh sb="12" eb="13">
      <t>ラン</t>
    </rPh>
    <rPh sb="15" eb="17">
      <t>テンキ</t>
    </rPh>
    <phoneticPr fontId="3"/>
  </si>
  <si>
    <t>？結果報告なし</t>
    <rPh sb="1" eb="3">
      <t>ケッカ</t>
    </rPh>
    <phoneticPr fontId="1"/>
  </si>
  <si>
    <t>□指摘なしor対象外</t>
    <rPh sb="1" eb="3">
      <t>シテキ</t>
    </rPh>
    <rPh sb="7" eb="10">
      <t>タイショウガイ</t>
    </rPh>
    <phoneticPr fontId="1"/>
  </si>
  <si>
    <t>結果まとめ</t>
    <rPh sb="0" eb="2">
      <t>ケッカ</t>
    </rPh>
    <phoneticPr fontId="3"/>
  </si>
  <si>
    <t>？</t>
  </si>
  <si>
    <t>？</t>
    <phoneticPr fontId="3"/>
  </si>
  <si>
    <t>―</t>
  </si>
  <si>
    <t>―</t>
    <phoneticPr fontId="3"/>
  </si>
  <si>
    <t>○</t>
    <phoneticPr fontId="3"/>
  </si>
  <si>
    <t>△</t>
  </si>
  <si>
    <t>△</t>
    <phoneticPr fontId="3"/>
  </si>
  <si>
    <t>×</t>
  </si>
  <si>
    <t>×</t>
    <phoneticPr fontId="3"/>
  </si>
  <si>
    <t>「結果まとめ」の算出 ※右側優先</t>
    <rPh sb="1" eb="3">
      <t>ケッカ</t>
    </rPh>
    <rPh sb="8" eb="10">
      <t>サンシュツ</t>
    </rPh>
    <rPh sb="12" eb="13">
      <t>ミギ</t>
    </rPh>
    <rPh sb="13" eb="14">
      <t>ガワ</t>
    </rPh>
    <rPh sb="14" eb="16">
      <t>ユウセン</t>
    </rPh>
    <phoneticPr fontId="3"/>
  </si>
  <si>
    <t>改善済</t>
    <phoneticPr fontId="3"/>
  </si>
  <si>
    <t>予定</t>
    <rPh sb="0" eb="2">
      <t>ヨテイ</t>
    </rPh>
    <phoneticPr fontId="1"/>
  </si>
  <si>
    <t>改善予定まとめ（変換用コード）</t>
    <rPh sb="0" eb="2">
      <t>カイゼン</t>
    </rPh>
    <rPh sb="2" eb="4">
      <t>ヨテイ</t>
    </rPh>
    <rPh sb="8" eb="11">
      <t>ヘンカンヨウ</t>
    </rPh>
    <phoneticPr fontId="3"/>
  </si>
  <si>
    <t>「改善予定」算出</t>
    <rPh sb="1" eb="3">
      <t>カイゼン</t>
    </rPh>
    <rPh sb="3" eb="5">
      <t>ヨテイ</t>
    </rPh>
    <rPh sb="6" eb="8">
      <t>サンシュツ</t>
    </rPh>
    <phoneticPr fontId="3"/>
  </si>
  <si>
    <t>調査結果記号へ変換</t>
    <rPh sb="0" eb="2">
      <t>チョウサ</t>
    </rPh>
    <rPh sb="2" eb="4">
      <t>ケッカ</t>
    </rPh>
    <rPh sb="4" eb="6">
      <t>キゴウ</t>
    </rPh>
    <rPh sb="7" eb="9">
      <t>ヘンカン</t>
    </rPh>
    <phoneticPr fontId="3"/>
  </si>
  <si>
    <t>大項目毎まとめ</t>
    <rPh sb="0" eb="3">
      <t>ダイコウモク</t>
    </rPh>
    <rPh sb="3" eb="4">
      <t>ゴト</t>
    </rPh>
    <phoneticPr fontId="3"/>
  </si>
  <si>
    <t>大項目</t>
    <rPh sb="0" eb="3">
      <t>ダイコウモク</t>
    </rPh>
    <phoneticPr fontId="3"/>
  </si>
  <si>
    <t>先頭行</t>
    <rPh sb="0" eb="2">
      <t>セントウ</t>
    </rPh>
    <rPh sb="2" eb="3">
      <t>ギョウ</t>
    </rPh>
    <phoneticPr fontId="3"/>
  </si>
  <si>
    <t>末尾行</t>
    <rPh sb="0" eb="2">
      <t>マツビ</t>
    </rPh>
    <rPh sb="2" eb="3">
      <t>ギョウ</t>
    </rPh>
    <phoneticPr fontId="3"/>
  </si>
  <si>
    <t>調査結果記号</t>
    <rPh sb="0" eb="2">
      <t>チョウサ</t>
    </rPh>
    <rPh sb="2" eb="4">
      <t>ケッカ</t>
    </rPh>
    <rPh sb="4" eb="6">
      <t>キゴウ</t>
    </rPh>
    <phoneticPr fontId="3"/>
  </si>
  <si>
    <t>出力対象（現在有効な調査項目）</t>
    <rPh sb="0" eb="2">
      <t>シュツリョク</t>
    </rPh>
    <rPh sb="2" eb="4">
      <t>タイショウ</t>
    </rPh>
    <rPh sb="5" eb="7">
      <t>ゲンザイ</t>
    </rPh>
    <rPh sb="7" eb="9">
      <t>ユウコウ</t>
    </rPh>
    <rPh sb="10" eb="12">
      <t>チョウサ</t>
    </rPh>
    <rPh sb="12" eb="14">
      <t>コウモク</t>
    </rPh>
    <phoneticPr fontId="3"/>
  </si>
  <si>
    <t>【最終】調査結果記号</t>
    <rPh sb="1" eb="3">
      <t>サイシュウ</t>
    </rPh>
    <rPh sb="4" eb="6">
      <t>チョウサ</t>
    </rPh>
    <rPh sb="6" eb="8">
      <t>ケッカ</t>
    </rPh>
    <rPh sb="8" eb="10">
      <t>キゴウ</t>
    </rPh>
    <phoneticPr fontId="3"/>
  </si>
  <si>
    <t>調査結果まとめ</t>
    <rPh sb="0" eb="2">
      <t>チョウサ</t>
    </rPh>
    <rPh sb="2" eb="4">
      <t>ケッカ</t>
    </rPh>
    <phoneticPr fontId="3"/>
  </si>
  <si>
    <t>全体まとめ</t>
    <rPh sb="0" eb="2">
      <t>ゼンタイ</t>
    </rPh>
    <phoneticPr fontId="3"/>
  </si>
  <si>
    <t>変換用</t>
    <rPh sb="0" eb="3">
      <t>ヘンカンヨウ</t>
    </rPh>
    <phoneticPr fontId="3"/>
  </si>
  <si>
    <t>調査結果→</t>
    <rPh sb="0" eb="2">
      <t>チョウサ</t>
    </rPh>
    <rPh sb="2" eb="4">
      <t>ケッカ</t>
    </rPh>
    <phoneticPr fontId="1"/>
  </si>
  <si>
    <t>↓改善予定</t>
    <rPh sb="1" eb="3">
      <t>カイゼン</t>
    </rPh>
    <rPh sb="3" eb="5">
      <t>ヨテイ</t>
    </rPh>
    <phoneticPr fontId="1"/>
  </si>
  <si>
    <t>（変換用コード）</t>
    <rPh sb="1" eb="4">
      <t>ヘンカンヨウ</t>
    </rPh>
    <phoneticPr fontId="1"/>
  </si>
  <si>
    <t>□</t>
  </si>
  <si>
    <t>？改善予定報告なし</t>
  </si>
  <si>
    <t>△0</t>
  </si>
  <si>
    <t>×0</t>
  </si>
  <si>
    <t>×改善予定無</t>
  </si>
  <si>
    <t>△1</t>
  </si>
  <si>
    <t>×1</t>
  </si>
  <si>
    <t>×改善予定無（一部改善済）</t>
  </si>
  <si>
    <t>△2</t>
  </si>
  <si>
    <t>×2</t>
  </si>
  <si>
    <t>△改善予定一部有</t>
  </si>
  <si>
    <t>△3</t>
  </si>
  <si>
    <t>×3</t>
  </si>
  <si>
    <t>△改善予定一部有（一部改善済）</t>
  </si>
  <si>
    <t>△4</t>
  </si>
  <si>
    <t>×4</t>
  </si>
  <si>
    <t>◇改善予定全部有</t>
  </si>
  <si>
    <t>△5</t>
  </si>
  <si>
    <t>×5</t>
  </si>
  <si>
    <t>◇改善予定全部有（一部改善済）</t>
  </si>
  <si>
    <t>△6</t>
  </si>
  <si>
    <t>×6</t>
  </si>
  <si>
    <t>○改善済</t>
  </si>
  <si>
    <t>△7</t>
  </si>
  <si>
    <t>×7</t>
  </si>
  <si>
    <t>2(19)</t>
  </si>
  <si>
    <t>2(20)</t>
  </si>
  <si>
    <t>2(21)</t>
  </si>
  <si>
    <t>2(22)</t>
  </si>
  <si>
    <t>2(23)</t>
  </si>
  <si>
    <t>23</t>
    <phoneticPr fontId="3"/>
  </si>
  <si>
    <t>指摘の概要</t>
    <rPh sb="0" eb="2">
      <t>シテキ</t>
    </rPh>
    <rPh sb="3" eb="5">
      <t>ガイヨウ</t>
    </rPh>
    <phoneticPr fontId="3"/>
  </si>
  <si>
    <t>CSVフィールド名（数式）【残す】</t>
    <rPh sb="8" eb="9">
      <t>メイ</t>
    </rPh>
    <rPh sb="10" eb="12">
      <t>スウシキ</t>
    </rPh>
    <rPh sb="14" eb="15">
      <t>ノコ</t>
    </rPh>
    <phoneticPr fontId="3"/>
  </si>
  <si>
    <t>念のため</t>
    <rPh sb="0" eb="1">
      <t>ネン</t>
    </rPh>
    <phoneticPr fontId="3"/>
  </si>
  <si>
    <t>（26）から（32）</t>
    <phoneticPr fontId="3"/>
  </si>
  <si>
    <t>（33）</t>
    <phoneticPr fontId="3"/>
  </si>
  <si>
    <t>（38）から（41）</t>
    <phoneticPr fontId="3"/>
  </si>
  <si>
    <t>（42）から（45）</t>
    <phoneticPr fontId="3"/>
  </si>
  <si>
    <t>（11）から（22）</t>
    <phoneticPr fontId="3"/>
  </si>
  <si>
    <t>（27）から（33）</t>
    <phoneticPr fontId="3"/>
  </si>
  <si>
    <t>注）　配置図及び各階平面図を添付し、防火区画、指摘のあった箇所（特記すべき事項を含む）や撮影した写真の位置等を明記すること。</t>
    <rPh sb="0" eb="1">
      <t>チュウ</t>
    </rPh>
    <rPh sb="3" eb="5">
      <t>ハイチ</t>
    </rPh>
    <rPh sb="5" eb="6">
      <t>ズ</t>
    </rPh>
    <rPh sb="6" eb="7">
      <t>オヨ</t>
    </rPh>
    <rPh sb="8" eb="10">
      <t>カクカイ</t>
    </rPh>
    <rPh sb="10" eb="13">
      <t>ヘイメンズ</t>
    </rPh>
    <rPh sb="14" eb="16">
      <t>テンプ</t>
    </rPh>
    <rPh sb="18" eb="20">
      <t>ボウカ</t>
    </rPh>
    <rPh sb="20" eb="22">
      <t>クカク</t>
    </rPh>
    <rPh sb="23" eb="25">
      <t>シテキ</t>
    </rPh>
    <rPh sb="29" eb="31">
      <t>カショ</t>
    </rPh>
    <rPh sb="32" eb="34">
      <t>トッキ</t>
    </rPh>
    <rPh sb="37" eb="39">
      <t>ジコウ</t>
    </rPh>
    <rPh sb="40" eb="41">
      <t>フク</t>
    </rPh>
    <rPh sb="44" eb="46">
      <t>サツエイ</t>
    </rPh>
    <rPh sb="48" eb="50">
      <t>シャシン</t>
    </rPh>
    <rPh sb="51" eb="53">
      <t>イチ</t>
    </rPh>
    <rPh sb="53" eb="54">
      <t>トウ</t>
    </rPh>
    <rPh sb="55" eb="57">
      <t>メイキ</t>
    </rPh>
    <phoneticPr fontId="3"/>
  </si>
  <si>
    <t>３-2　所有者2（複数の場合）</t>
    <rPh sb="4" eb="7">
      <t>ショユウシャ</t>
    </rPh>
    <rPh sb="9" eb="11">
      <t>フクスウ</t>
    </rPh>
    <rPh sb="12" eb="14">
      <t>バアイ</t>
    </rPh>
    <phoneticPr fontId="3"/>
  </si>
  <si>
    <t>←用途が複数ある場合は、左から面積の大きい順で記載してください。</t>
    <rPh sb="1" eb="3">
      <t>ヨウト</t>
    </rPh>
    <rPh sb="4" eb="6">
      <t>フクスウ</t>
    </rPh>
    <rPh sb="8" eb="10">
      <t>バアイ</t>
    </rPh>
    <rPh sb="12" eb="13">
      <t>ヒダリ</t>
    </rPh>
    <rPh sb="15" eb="17">
      <t>メンセキ</t>
    </rPh>
    <rPh sb="18" eb="19">
      <t>オオ</t>
    </rPh>
    <rPh sb="21" eb="22">
      <t>ジュン</t>
    </rPh>
    <rPh sb="23" eb="25">
      <t>キサイ</t>
    </rPh>
    <phoneticPr fontId="3"/>
  </si>
  <si>
    <t>図面判断等で石綿含有吹付け建材使用のおそれがあり、分析調査を行っていない場合についても既存不適格又は要是正とする</t>
    <rPh sb="43" eb="45">
      <t>キゾン</t>
    </rPh>
    <rPh sb="45" eb="48">
      <t>フテキカク</t>
    </rPh>
    <rPh sb="48" eb="49">
      <t>マタ</t>
    </rPh>
    <phoneticPr fontId="3"/>
  </si>
  <si>
    <r>
      <t>「</t>
    </r>
    <r>
      <rPr>
        <b/>
        <sz val="11"/>
        <rFont val="ＭＳ Ｐゴシック"/>
        <family val="3"/>
        <charset val="128"/>
        <scheme val="major"/>
      </rPr>
      <t>随時閉鎖式</t>
    </r>
    <r>
      <rPr>
        <sz val="11"/>
        <rFont val="ＭＳ Ｐゴシック"/>
        <family val="3"/>
        <charset val="128"/>
        <scheme val="major"/>
      </rPr>
      <t>の防火設備</t>
    </r>
    <r>
      <rPr>
        <b/>
        <sz val="11"/>
        <rFont val="ＭＳ Ｐゴシック"/>
        <family val="3"/>
        <charset val="128"/>
        <scheme val="major"/>
      </rPr>
      <t>を有する</t>
    </r>
    <r>
      <rPr>
        <sz val="11"/>
        <rFont val="ＭＳ Ｐゴシック"/>
        <family val="3"/>
        <charset val="128"/>
        <scheme val="major"/>
      </rPr>
      <t xml:space="preserve">」
</t>
    </r>
    <r>
      <rPr>
        <b/>
        <sz val="11"/>
        <rFont val="ＭＳ Ｐゴシック"/>
        <family val="3"/>
        <charset val="128"/>
        <scheme val="major"/>
      </rPr>
      <t xml:space="preserve">　かつ
</t>
    </r>
    <r>
      <rPr>
        <sz val="11"/>
        <rFont val="ＭＳ Ｐゴシック"/>
        <family val="3"/>
        <charset val="128"/>
        <scheme val="major"/>
      </rPr>
      <t>「</t>
    </r>
    <r>
      <rPr>
        <b/>
        <sz val="11"/>
        <rFont val="ＭＳ Ｐゴシック"/>
        <family val="3"/>
        <charset val="128"/>
        <scheme val="major"/>
      </rPr>
      <t>防火設備</t>
    </r>
    <r>
      <rPr>
        <sz val="11"/>
        <rFont val="ＭＳ Ｐゴシック"/>
        <family val="3"/>
        <charset val="128"/>
        <scheme val="major"/>
      </rPr>
      <t>の定期検査報告の</t>
    </r>
    <r>
      <rPr>
        <b/>
        <sz val="11"/>
        <rFont val="ＭＳ Ｐゴシック"/>
        <family val="3"/>
        <charset val="128"/>
        <scheme val="major"/>
      </rPr>
      <t>対象外</t>
    </r>
    <r>
      <rPr>
        <sz val="11"/>
        <rFont val="ＭＳ Ｐゴシック"/>
        <family val="3"/>
        <charset val="128"/>
        <scheme val="major"/>
      </rPr>
      <t>」
　の建築物</t>
    </r>
    <r>
      <rPr>
        <b/>
        <sz val="11"/>
        <rFont val="ＭＳ Ｐゴシック"/>
        <family val="3"/>
        <charset val="128"/>
        <scheme val="major"/>
      </rPr>
      <t>のみ調査対象</t>
    </r>
    <rPh sb="1" eb="3">
      <t>ズイジ</t>
    </rPh>
    <rPh sb="3" eb="5">
      <t>ヘイサ</t>
    </rPh>
    <rPh sb="5" eb="6">
      <t>シキ</t>
    </rPh>
    <rPh sb="29" eb="31">
      <t>ケンサ</t>
    </rPh>
    <phoneticPr fontId="3"/>
  </si>
  <si>
    <t>4(29)～(32)の対象となる「常閉防火設備等」とは、以下のいずれかです。</t>
    <rPh sb="11" eb="13">
      <t>タイショウ</t>
    </rPh>
    <rPh sb="17" eb="19">
      <t>ジョウヘイ</t>
    </rPh>
    <rPh sb="19" eb="21">
      <t>ボウカ</t>
    </rPh>
    <rPh sb="21" eb="23">
      <t>セツビ</t>
    </rPh>
    <rPh sb="23" eb="24">
      <t>トウ</t>
    </rPh>
    <rPh sb="28" eb="30">
      <t>イカ</t>
    </rPh>
    <phoneticPr fontId="3"/>
  </si>
  <si>
    <t>※常時閉鎖式防火扉については、7(6)～7(10)で報告してください。</t>
    <rPh sb="1" eb="3">
      <t>ジョウジ</t>
    </rPh>
    <rPh sb="3" eb="5">
      <t>ヘイサ</t>
    </rPh>
    <rPh sb="5" eb="6">
      <t>シキ</t>
    </rPh>
    <rPh sb="6" eb="8">
      <t>ボウカ</t>
    </rPh>
    <rPh sb="8" eb="9">
      <t>トビラ</t>
    </rPh>
    <rPh sb="26" eb="28">
      <t>ホウコク</t>
    </rPh>
    <phoneticPr fontId="3"/>
  </si>
  <si>
    <r>
      <rPr>
        <b/>
        <sz val="11"/>
        <rFont val="ＭＳ Ｐゴシック"/>
        <family val="3"/>
        <charset val="128"/>
        <scheme val="major"/>
      </rPr>
      <t>常時閉鎖式防火扉</t>
    </r>
    <r>
      <rPr>
        <sz val="11"/>
        <rFont val="ＭＳ Ｐゴシック"/>
        <family val="3"/>
        <charset val="128"/>
        <scheme val="major"/>
      </rPr>
      <t>が対象</t>
    </r>
    <rPh sb="0" eb="2">
      <t>ジョウジ</t>
    </rPh>
    <rPh sb="2" eb="4">
      <t>ヘイサ</t>
    </rPh>
    <rPh sb="4" eb="5">
      <t>シキ</t>
    </rPh>
    <rPh sb="5" eb="7">
      <t>ボウカ</t>
    </rPh>
    <rPh sb="7" eb="8">
      <t>トビラ</t>
    </rPh>
    <rPh sb="9" eb="11">
      <t>タイショウ</t>
    </rPh>
    <phoneticPr fontId="3"/>
  </si>
  <si>
    <t>※可動式防煙壁の作動の状況については、7(13)で報告して下さい。</t>
    <rPh sb="1" eb="4">
      <t>カドウシキ</t>
    </rPh>
    <rPh sb="4" eb="6">
      <t>ボウエン</t>
    </rPh>
    <rPh sb="6" eb="7">
      <t>カベ</t>
    </rPh>
    <phoneticPr fontId="3"/>
  </si>
  <si>
    <t>※機械式排煙設備の作動の状況については、7(15)で報告して下さい。（建築設備の定期報告対象である場合は、建築設備の定期検査報告で報告して下さい。）</t>
    <rPh sb="1" eb="4">
      <t>キカイシキ</t>
    </rPh>
    <rPh sb="4" eb="6">
      <t>ハイエン</t>
    </rPh>
    <rPh sb="69" eb="70">
      <t>クダ</t>
    </rPh>
    <phoneticPr fontId="3"/>
  </si>
  <si>
    <t>※機械式排煙設備の作動の状況については、7(16)で報告して下さい。（建築設備の定期報告対象である場合は、建築設備の定期検査報告で報告して下さい。）</t>
    <rPh sb="1" eb="4">
      <t>キカイシキ</t>
    </rPh>
    <rPh sb="4" eb="6">
      <t>ハイエン</t>
    </rPh>
    <rPh sb="69" eb="70">
      <t>クダ</t>
    </rPh>
    <phoneticPr fontId="3"/>
  </si>
  <si>
    <t>※非常用の照明装置の作動の状況等については、7(17)及び7(18)で報告して下さい。（建築設備の定期報告対象である場合は、建築設備の定期検査報告で報告して下さい。）</t>
    <rPh sb="1" eb="4">
      <t>ヒジョウヨウ</t>
    </rPh>
    <rPh sb="5" eb="7">
      <t>ショウメイ</t>
    </rPh>
    <rPh sb="7" eb="9">
      <t>ソウチ</t>
    </rPh>
    <rPh sb="15" eb="16">
      <t>トウ</t>
    </rPh>
    <rPh sb="27" eb="28">
      <t>オヨ</t>
    </rPh>
    <phoneticPr fontId="3"/>
  </si>
  <si>
    <r>
      <rPr>
        <b/>
        <sz val="11"/>
        <rFont val="ＭＳ Ｐゴシック"/>
        <family val="3"/>
        <charset val="128"/>
        <scheme val="major"/>
      </rPr>
      <t>防火設備（随閉・常閉の両方）又は戸</t>
    </r>
    <r>
      <rPr>
        <sz val="11"/>
        <rFont val="ＭＳ Ｐゴシック"/>
        <family val="3"/>
        <charset val="128"/>
        <scheme val="major"/>
      </rPr>
      <t>（令第112条第19項第2号に掲げるもの）</t>
    </r>
    <r>
      <rPr>
        <b/>
        <sz val="11"/>
        <rFont val="ＭＳ Ｐゴシック"/>
        <family val="3"/>
        <charset val="128"/>
        <scheme val="major"/>
      </rPr>
      <t xml:space="preserve">が対象
</t>
    </r>
    <r>
      <rPr>
        <sz val="11"/>
        <rFont val="ＭＳ Ｐゴシック"/>
        <family val="3"/>
        <charset val="128"/>
        <scheme val="major"/>
      </rPr>
      <t xml:space="preserve">
S49/1/1　竪穴区画の防火設備には温度ヒューズ使用不可</t>
    </r>
    <rPh sb="0" eb="2">
      <t>ボウカ</t>
    </rPh>
    <rPh sb="2" eb="4">
      <t>セツビ</t>
    </rPh>
    <rPh sb="5" eb="6">
      <t>シタガ</t>
    </rPh>
    <rPh sb="6" eb="7">
      <t>ヘイ</t>
    </rPh>
    <rPh sb="11" eb="13">
      <t>リョウホウ</t>
    </rPh>
    <rPh sb="14" eb="15">
      <t>マタ</t>
    </rPh>
    <rPh sb="16" eb="17">
      <t>ト</t>
    </rPh>
    <rPh sb="18" eb="19">
      <t>レイ</t>
    </rPh>
    <rPh sb="19" eb="20">
      <t>ダイ</t>
    </rPh>
    <rPh sb="23" eb="24">
      <t>ジョウ</t>
    </rPh>
    <rPh sb="24" eb="25">
      <t>ダイ</t>
    </rPh>
    <rPh sb="27" eb="28">
      <t>コウ</t>
    </rPh>
    <rPh sb="28" eb="29">
      <t>ダイ</t>
    </rPh>
    <rPh sb="30" eb="31">
      <t>ゴウ</t>
    </rPh>
    <rPh sb="32" eb="33">
      <t>カカ</t>
    </rPh>
    <rPh sb="39" eb="41">
      <t>タイショウ</t>
    </rPh>
    <phoneticPr fontId="3"/>
  </si>
  <si>
    <t>・常時閉鎖又は作動した状態にある防火設備（防火扉を除く。）
・令第112条第19項第2号に掲げる戸</t>
    <rPh sb="7" eb="9">
      <t>サドウ</t>
    </rPh>
    <phoneticPr fontId="3"/>
  </si>
  <si>
    <t>←新築時以降、増築や用途変更等で建築確認を受けていない場合、チェックを入れてください</t>
    <phoneticPr fontId="3"/>
  </si>
  <si>
    <t>半角統一+空欄</t>
    <rPh sb="0" eb="2">
      <t>ハンカク</t>
    </rPh>
    <rPh sb="2" eb="4">
      <t>トウイツ</t>
    </rPh>
    <rPh sb="5" eb="7">
      <t>クウラン</t>
    </rPh>
    <phoneticPr fontId="3"/>
  </si>
  <si>
    <t>ピンク⇒報告書(印刷用）へリンク用、赤枠⇒「リンクシート」へリンク</t>
    <phoneticPr fontId="3"/>
  </si>
  <si>
    <t>↓西暦年月日</t>
    <rPh sb="1" eb="6">
      <t>セイレキネンガッピ</t>
    </rPh>
    <phoneticPr fontId="3"/>
  </si>
  <si>
    <t>区以降</t>
    <rPh sb="0" eb="1">
      <t>ク</t>
    </rPh>
    <rPh sb="1" eb="3">
      <t>イコウ</t>
    </rPh>
    <phoneticPr fontId="3"/>
  </si>
  <si>
    <t>用途2</t>
    <rPh sb="0" eb="2">
      <t>ヨウト</t>
    </rPh>
    <phoneticPr fontId="3"/>
  </si>
  <si>
    <t>状況</t>
    <rPh sb="0" eb="2">
      <t>ジョウキョウ</t>
    </rPh>
    <phoneticPr fontId="3"/>
  </si>
  <si>
    <t>元号</t>
    <rPh sb="0" eb="2">
      <t>ゲンゴウ</t>
    </rPh>
    <phoneticPr fontId="3"/>
  </si>
  <si>
    <t>和暦年</t>
    <rPh sb="0" eb="2">
      <t>ワレキ</t>
    </rPh>
    <rPh sb="2" eb="3">
      <t>ネン</t>
    </rPh>
    <phoneticPr fontId="3"/>
  </si>
  <si>
    <t>月</t>
    <rPh sb="0" eb="1">
      <t>ツキ</t>
    </rPh>
    <phoneticPr fontId="3"/>
  </si>
  <si>
    <t>備考</t>
    <rPh sb="0" eb="2">
      <t>ビコウ</t>
    </rPh>
    <phoneticPr fontId="3"/>
  </si>
  <si>
    <t>（23）から（26）</t>
    <phoneticPr fontId="3"/>
  </si>
  <si>
    <t>未実施</t>
    <rPh sb="0" eb="3">
      <t>ミジッシ</t>
    </rPh>
    <phoneticPr fontId="3"/>
  </si>
  <si>
    <t>直近の報告について記入してください。</t>
    <rPh sb="0" eb="2">
      <t>チョッキン</t>
    </rPh>
    <phoneticPr fontId="3"/>
  </si>
  <si>
    <t>国告示並びに市細則及び告示の改正に伴い、変更しました。</t>
    <rPh sb="0" eb="1">
      <t>クニ</t>
    </rPh>
    <rPh sb="1" eb="3">
      <t>コクジ</t>
    </rPh>
    <rPh sb="3" eb="4">
      <t>ナラ</t>
    </rPh>
    <rPh sb="6" eb="7">
      <t>シ</t>
    </rPh>
    <rPh sb="7" eb="9">
      <t>サイソク</t>
    </rPh>
    <rPh sb="9" eb="10">
      <t>オヨ</t>
    </rPh>
    <rPh sb="11" eb="13">
      <t>コクジ</t>
    </rPh>
    <rPh sb="14" eb="16">
      <t>カイセイ</t>
    </rPh>
    <rPh sb="17" eb="18">
      <t>トモナ</t>
    </rPh>
    <rPh sb="20" eb="22">
      <t>ヘンコウ</t>
    </rPh>
    <phoneticPr fontId="3"/>
  </si>
  <si>
    <t>・</t>
    <phoneticPr fontId="3"/>
  </si>
  <si>
    <t>1_入力シート【基本情報】3</t>
    <phoneticPr fontId="3"/>
  </si>
  <si>
    <t>所有者が複数の場合に、2人目の記入欄（3-2）を追加しました。</t>
    <rPh sb="0" eb="3">
      <t>ショユウシャ</t>
    </rPh>
    <rPh sb="4" eb="6">
      <t>フクスウ</t>
    </rPh>
    <rPh sb="7" eb="9">
      <t>バアイ</t>
    </rPh>
    <rPh sb="12" eb="13">
      <t>ニン</t>
    </rPh>
    <rPh sb="13" eb="14">
      <t>メ</t>
    </rPh>
    <rPh sb="15" eb="17">
      <t>キニュウ</t>
    </rPh>
    <rPh sb="17" eb="18">
      <t>ラン</t>
    </rPh>
    <rPh sb="24" eb="26">
      <t>ツイカ</t>
    </rPh>
    <phoneticPr fontId="3"/>
  </si>
  <si>
    <t>1_入力シート【基本情報】1</t>
    <phoneticPr fontId="3"/>
  </si>
  <si>
    <t>建物所在地の入力について、「京都市」は入力不要、行政区はプルダウン形式に変更しました。</t>
    <rPh sb="0" eb="2">
      <t>タテモノ</t>
    </rPh>
    <rPh sb="2" eb="5">
      <t>ショザイチ</t>
    </rPh>
    <rPh sb="6" eb="8">
      <t>ニュウリョク</t>
    </rPh>
    <rPh sb="14" eb="17">
      <t>キョウトシ</t>
    </rPh>
    <rPh sb="19" eb="21">
      <t>ニュウリョク</t>
    </rPh>
    <rPh sb="21" eb="23">
      <t>フヨウ</t>
    </rPh>
    <rPh sb="24" eb="26">
      <t>ギョウセイ</t>
    </rPh>
    <rPh sb="26" eb="27">
      <t>ク</t>
    </rPh>
    <rPh sb="33" eb="35">
      <t>ケイシキ</t>
    </rPh>
    <rPh sb="36" eb="38">
      <t>ヘンコウ</t>
    </rPh>
    <phoneticPr fontId="3"/>
  </si>
  <si>
    <t>←建物名称フリガナ（半角）</t>
    <rPh sb="1" eb="3">
      <t>タテモノ</t>
    </rPh>
    <rPh sb="3" eb="5">
      <t>メイショウ</t>
    </rPh>
    <rPh sb="10" eb="12">
      <t>ハンカク</t>
    </rPh>
    <phoneticPr fontId="3"/>
  </si>
  <si>
    <t>（所有者が法人の場合）
・法人の名称及び所在地を記入してください。
・代表者の肩書及び個人名まで記入してください。
（所有者が3名以上の場合）
・この欄には2人目を記入のうえ、3人目以降について、報告書第一面の別紙をPDFにて作成し、報告書に添えて提出してください。</t>
    <rPh sb="20" eb="23">
      <t>ショザイチ</t>
    </rPh>
    <rPh sb="24" eb="26">
      <t>キニュウ</t>
    </rPh>
    <rPh sb="41" eb="42">
      <t>オヨ</t>
    </rPh>
    <rPh sb="65" eb="66">
      <t>メイ</t>
    </rPh>
    <rPh sb="66" eb="68">
      <t>イジョウ</t>
    </rPh>
    <rPh sb="80" eb="81">
      <t>ニン</t>
    </rPh>
    <rPh sb="81" eb="82">
      <t>メ</t>
    </rPh>
    <rPh sb="99" eb="102">
      <t>ホウコクショ</t>
    </rPh>
    <phoneticPr fontId="3"/>
  </si>
  <si>
    <t>→所有者１と同一の場合はチェックしてください。その場合、メールアドレス以外記入不要です。様式には「3-1 所有者1」が反映されます。</t>
    <rPh sb="25" eb="27">
      <t>バアイ</t>
    </rPh>
    <phoneticPr fontId="3"/>
  </si>
  <si>
    <t>（調査者が複数の場合）
・この欄には1名のみを記入のうえ、2～3人目については、次項及び次々項の「その他の調査者」へ記入してください。</t>
    <rPh sb="5" eb="7">
      <t>フクスウ</t>
    </rPh>
    <rPh sb="32" eb="33">
      <t>ニン</t>
    </rPh>
    <rPh sb="33" eb="34">
      <t>メ</t>
    </rPh>
    <rPh sb="40" eb="42">
      <t>ジコウ</t>
    </rPh>
    <rPh sb="42" eb="43">
      <t>オヨ</t>
    </rPh>
    <rPh sb="44" eb="45">
      <t>ジ</t>
    </rPh>
    <rPh sb="46" eb="47">
      <t>コウ</t>
    </rPh>
    <rPh sb="51" eb="52">
      <t>タ</t>
    </rPh>
    <rPh sb="53" eb="55">
      <t>チョウサ</t>
    </rPh>
    <rPh sb="55" eb="56">
      <t>シャ</t>
    </rPh>
    <rPh sb="58" eb="60">
      <t>キニュウ</t>
    </rPh>
    <phoneticPr fontId="3"/>
  </si>
  <si>
    <r>
      <rPr>
        <b/>
        <sz val="11"/>
        <rFont val="ＭＳ Ｐゴシック"/>
        <family val="3"/>
        <charset val="128"/>
        <scheme val="major"/>
      </rPr>
      <t>前回調査時以降</t>
    </r>
    <r>
      <rPr>
        <sz val="11"/>
        <rFont val="ＭＳ Ｐゴシック"/>
        <family val="3"/>
        <charset val="128"/>
        <scheme val="major"/>
      </rPr>
      <t>の「増築、改築、用途変更等」について、古いものから順に記入してください。
【建築確認を受けている場合】
　年月日欄には建築確認済証交付年月日を記入し、概要欄には確認番号・検査済番号、検査済証交付年月日を記入してください。
【建築確認を受けていない場合】
工事が完了した年月日を記入し、概要欄に工事概要を記入してください。
　（例）テナント変更による改修工事（１階）</t>
    </r>
    <rPh sb="46" eb="48">
      <t>ケンチク</t>
    </rPh>
    <rPh sb="61" eb="64">
      <t>ネンガッピ</t>
    </rPh>
    <rPh sb="64" eb="65">
      <t>ラン</t>
    </rPh>
    <rPh sb="67" eb="71">
      <t>ケンチクカクニン</t>
    </rPh>
    <rPh sb="71" eb="72">
      <t>ズミ</t>
    </rPh>
    <rPh sb="72" eb="73">
      <t>ショウ</t>
    </rPh>
    <rPh sb="73" eb="75">
      <t>コウフ</t>
    </rPh>
    <rPh sb="75" eb="78">
      <t>ネンガッピ</t>
    </rPh>
    <rPh sb="79" eb="81">
      <t>キニュウ</t>
    </rPh>
    <rPh sb="83" eb="85">
      <t>ガイヨウ</t>
    </rPh>
    <rPh sb="85" eb="86">
      <t>ラン</t>
    </rPh>
    <rPh sb="88" eb="90">
      <t>カクニン</t>
    </rPh>
    <rPh sb="90" eb="92">
      <t>バンゴウ</t>
    </rPh>
    <rPh sb="99" eb="101">
      <t>ケンサ</t>
    </rPh>
    <rPh sb="101" eb="102">
      <t>ズ</t>
    </rPh>
    <rPh sb="102" eb="103">
      <t>ショウ</t>
    </rPh>
    <rPh sb="121" eb="123">
      <t>ケンチク</t>
    </rPh>
    <rPh sb="123" eb="125">
      <t>カクニン</t>
    </rPh>
    <rPh sb="126" eb="127">
      <t>ウ</t>
    </rPh>
    <rPh sb="132" eb="134">
      <t>バアイ</t>
    </rPh>
    <rPh sb="136" eb="138">
      <t>コウジ</t>
    </rPh>
    <rPh sb="139" eb="141">
      <t>カンリョウ</t>
    </rPh>
    <rPh sb="143" eb="146">
      <t>ネンガッピ</t>
    </rPh>
    <rPh sb="147" eb="149">
      <t>キニュウ</t>
    </rPh>
    <rPh sb="151" eb="153">
      <t>ガイヨウ</t>
    </rPh>
    <rPh sb="153" eb="154">
      <t>ラン</t>
    </rPh>
    <rPh sb="155" eb="157">
      <t>コウジ</t>
    </rPh>
    <rPh sb="157" eb="159">
      <t>ガイヨウ</t>
    </rPh>
    <rPh sb="160" eb="162">
      <t>キニュウ</t>
    </rPh>
    <rPh sb="172" eb="173">
      <t>レイ</t>
    </rPh>
    <rPh sb="178" eb="180">
      <t>ヘンコウ</t>
    </rPh>
    <rPh sb="183" eb="185">
      <t>カイシュウ</t>
    </rPh>
    <rPh sb="185" eb="187">
      <t>コウジ</t>
    </rPh>
    <rPh sb="189" eb="190">
      <t>カイ</t>
    </rPh>
    <phoneticPr fontId="3"/>
  </si>
  <si>
    <t>調査結果表
（第四第一号に掲げる建築物）</t>
    <rPh sb="0" eb="2">
      <t>チョウサ</t>
    </rPh>
    <rPh sb="2" eb="5">
      <t>ケッカヒョウ</t>
    </rPh>
    <rPh sb="7" eb="8">
      <t>ダイ</t>
    </rPh>
    <rPh sb="8" eb="9">
      <t>ヨン</t>
    </rPh>
    <rPh sb="9" eb="10">
      <t>ダイ</t>
    </rPh>
    <rPh sb="10" eb="12">
      <t>イチゴウ</t>
    </rPh>
    <rPh sb="13" eb="14">
      <t>カカ</t>
    </rPh>
    <rPh sb="16" eb="19">
      <t>ケンチクブツ</t>
    </rPh>
    <phoneticPr fontId="3"/>
  </si>
  <si>
    <t>常閉防火設備等の本体及び枠の劣化及び損傷の状況</t>
    <rPh sb="0" eb="2">
      <t>ジョウヘイ</t>
    </rPh>
    <rPh sb="2" eb="4">
      <t>ボウカ</t>
    </rPh>
    <rPh sb="4" eb="6">
      <t>セツビ</t>
    </rPh>
    <rPh sb="6" eb="7">
      <t>トウ</t>
    </rPh>
    <rPh sb="8" eb="10">
      <t>ホンタイ</t>
    </rPh>
    <rPh sb="10" eb="11">
      <t>オヨ</t>
    </rPh>
    <rPh sb="12" eb="13">
      <t>ワク</t>
    </rPh>
    <rPh sb="14" eb="16">
      <t>レッカ</t>
    </rPh>
    <rPh sb="16" eb="17">
      <t>オヨ</t>
    </rPh>
    <rPh sb="18" eb="20">
      <t>ソンショウ</t>
    </rPh>
    <rPh sb="21" eb="23">
      <t>ジョウキョウ</t>
    </rPh>
    <phoneticPr fontId="3"/>
  </si>
  <si>
    <t>乗降ロビー等の外気に向かって開くことができる窓の状況</t>
    <rPh sb="0" eb="2">
      <t>ジョウコウ</t>
    </rPh>
    <rPh sb="5" eb="6">
      <t>トウ</t>
    </rPh>
    <rPh sb="24" eb="26">
      <t>ジョウキョウ</t>
    </rPh>
    <phoneticPr fontId="3"/>
  </si>
  <si>
    <t>本体、枠及び金物の劣化及び損傷の状況</t>
    <rPh sb="0" eb="2">
      <t>ホンタイ</t>
    </rPh>
    <rPh sb="3" eb="4">
      <t>ワク</t>
    </rPh>
    <rPh sb="4" eb="5">
      <t>オヨ</t>
    </rPh>
    <rPh sb="6" eb="8">
      <t>カナモノ</t>
    </rPh>
    <rPh sb="9" eb="11">
      <t>レッカ</t>
    </rPh>
    <rPh sb="11" eb="12">
      <t>オヨ</t>
    </rPh>
    <rPh sb="13" eb="15">
      <t>ソンショウ</t>
    </rPh>
    <rPh sb="16" eb="18">
      <t>ジョウキョウ</t>
    </rPh>
    <phoneticPr fontId="3"/>
  </si>
  <si>
    <t>　この書類は、建築物ごとに作成してください。</t>
    <rPh sb="7" eb="10">
      <t>ケンチクブツ</t>
    </rPh>
    <phoneticPr fontId="3"/>
  </si>
  <si>
    <t>　該当しない調査項目がある場合は、その「調査結果」欄及び「担当調査者番号」欄に「―」を記入してください。</t>
    <rPh sb="6" eb="8">
      <t>チョウサ</t>
    </rPh>
    <rPh sb="20" eb="22">
      <t>チョウサ</t>
    </rPh>
    <rPh sb="22" eb="24">
      <t>ケッカ</t>
    </rPh>
    <rPh sb="26" eb="27">
      <t>オヨ</t>
    </rPh>
    <rPh sb="31" eb="33">
      <t>チョウサ</t>
    </rPh>
    <rPh sb="43" eb="45">
      <t>キニュウ</t>
    </rPh>
    <phoneticPr fontId="3"/>
  </si>
  <si>
    <t>ver.120</t>
    <phoneticPr fontId="3"/>
  </si>
  <si>
    <t>【ver120（令和7年７月）】</t>
    <rPh sb="8" eb="10">
      <t>レイワ</t>
    </rPh>
    <rPh sb="11" eb="12">
      <t>ネン</t>
    </rPh>
    <rPh sb="13" eb="14">
      <t>ガツ</t>
    </rPh>
    <phoneticPr fontId="3"/>
  </si>
  <si>
    <r>
      <rPr>
        <b/>
        <sz val="11"/>
        <rFont val="ＭＳ Ｐゴシック"/>
        <family val="3"/>
        <charset val="128"/>
        <scheme val="major"/>
      </rPr>
      <t>建築基準法の設置基準に基づき設置された警報設備</t>
    </r>
    <r>
      <rPr>
        <sz val="11"/>
        <rFont val="ＭＳ Ｐゴシック"/>
        <family val="3"/>
        <charset val="128"/>
        <scheme val="major"/>
      </rPr>
      <t>が対象</t>
    </r>
    <rPh sb="0" eb="2">
      <t>ケンチク</t>
    </rPh>
    <rPh sb="2" eb="5">
      <t>キジュンホウ</t>
    </rPh>
    <rPh sb="6" eb="8">
      <t>セッチ</t>
    </rPh>
    <rPh sb="8" eb="10">
      <t>キジュン</t>
    </rPh>
    <rPh sb="11" eb="12">
      <t>モト</t>
    </rPh>
    <rPh sb="14" eb="16">
      <t>セッチ</t>
    </rPh>
    <rPh sb="19" eb="21">
      <t>ケイホウ</t>
    </rPh>
    <rPh sb="21" eb="23">
      <t>セツビ</t>
    </rPh>
    <rPh sb="24" eb="26">
      <t>タイショウ</t>
    </rPh>
    <phoneticPr fontId="3"/>
  </si>
  <si>
    <t>建築主事等</t>
    <rPh sb="4" eb="5">
      <t>トウ</t>
    </rPh>
    <phoneticPr fontId="3"/>
  </si>
  <si>
    <t>（第三面　別紙）</t>
    <rPh sb="1" eb="2">
      <t>ダイ</t>
    </rPh>
    <rPh sb="2" eb="3">
      <t>サン</t>
    </rPh>
    <rPh sb="3" eb="4">
      <t>メン</t>
    </rPh>
    <rPh sb="5" eb="7">
      <t>ベッシ</t>
    </rPh>
    <phoneticPr fontId="3"/>
  </si>
  <si>
    <t>　特記用途</t>
    <rPh sb="1" eb="3">
      <t>トッキ</t>
    </rPh>
    <rPh sb="3" eb="5">
      <t>ヨウト</t>
    </rPh>
    <phoneticPr fontId="3"/>
  </si>
  <si>
    <t>↓【報告書】要是正の指摘あり（要是正ありの場合）</t>
    <rPh sb="2" eb="5">
      <t>ホウコクショ</t>
    </rPh>
    <rPh sb="6" eb="7">
      <t>ヨウ</t>
    </rPh>
    <rPh sb="7" eb="9">
      <t>ゼセイ</t>
    </rPh>
    <rPh sb="10" eb="12">
      <t>シテキ</t>
    </rPh>
    <rPh sb="15" eb="16">
      <t>ヨウ</t>
    </rPh>
    <rPh sb="16" eb="18">
      <t>ゼセイ</t>
    </rPh>
    <rPh sb="21" eb="23">
      <t>バアイ</t>
    </rPh>
    <phoneticPr fontId="3"/>
  </si>
  <si>
    <t>↓【報告書】指摘なし（要是正なし＋既存不適格なし、指摘なしありの場合）</t>
    <rPh sb="2" eb="5">
      <t>ホウコクショ</t>
    </rPh>
    <rPh sb="6" eb="8">
      <t>シテキ</t>
    </rPh>
    <rPh sb="11" eb="12">
      <t>ヨウ</t>
    </rPh>
    <rPh sb="12" eb="14">
      <t>ゼセイ</t>
    </rPh>
    <rPh sb="17" eb="22">
      <t>キゾンフテキカク</t>
    </rPh>
    <rPh sb="25" eb="27">
      <t>シテキ</t>
    </rPh>
    <rPh sb="32" eb="34">
      <t>バアイ</t>
    </rPh>
    <phoneticPr fontId="3"/>
  </si>
  <si>
    <t>↓【報告書】既存不適格（要是正なし＋既存不適格ありの場合）</t>
    <rPh sb="2" eb="5">
      <t>ホウコクショ</t>
    </rPh>
    <rPh sb="6" eb="11">
      <t>キゾンフテキカク</t>
    </rPh>
    <rPh sb="12" eb="13">
      <t>ヨウ</t>
    </rPh>
    <rPh sb="13" eb="15">
      <t>ゼセイ</t>
    </rPh>
    <rPh sb="18" eb="20">
      <t>キゾン</t>
    </rPh>
    <rPh sb="20" eb="23">
      <t>フテキカク</t>
    </rPh>
    <rPh sb="26" eb="28">
      <t>バアイ</t>
    </rPh>
    <phoneticPr fontId="3"/>
  </si>
  <si>
    <t>↓【報告書】指摘なし（右3項目が全て空欄＋対象外項目ありの場合）</t>
    <rPh sb="2" eb="5">
      <t>ホウコクショ</t>
    </rPh>
    <rPh sb="6" eb="8">
      <t>シテキ</t>
    </rPh>
    <rPh sb="11" eb="12">
      <t>ミギ</t>
    </rPh>
    <rPh sb="13" eb="15">
      <t>コウモク</t>
    </rPh>
    <rPh sb="16" eb="17">
      <t>スベ</t>
    </rPh>
    <rPh sb="18" eb="20">
      <t>クウラン</t>
    </rPh>
    <rPh sb="21" eb="23">
      <t>タイショウ</t>
    </rPh>
    <rPh sb="23" eb="24">
      <t>ガイ</t>
    </rPh>
    <rPh sb="24" eb="26">
      <t>コウモク</t>
    </rPh>
    <rPh sb="29" eb="31">
      <t>バアイ</t>
    </rPh>
    <phoneticPr fontId="3"/>
  </si>
  <si>
    <t>↓調査項目（一番右列を表示）</t>
    <rPh sb="1" eb="3">
      <t>チョウサ</t>
    </rPh>
    <rPh sb="3" eb="5">
      <t>コウモク</t>
    </rPh>
    <rPh sb="6" eb="8">
      <t>イチバン</t>
    </rPh>
    <rPh sb="8" eb="9">
      <t>ミギ</t>
    </rPh>
    <rPh sb="9" eb="10">
      <t>レツ</t>
    </rPh>
    <rPh sb="11" eb="13">
      <t>ヒョウジ</t>
    </rPh>
    <phoneticPr fontId="3"/>
  </si>
  <si>
    <t>↓表示順位</t>
    <rPh sb="1" eb="3">
      <t>ヒョウジ</t>
    </rPh>
    <rPh sb="3" eb="5">
      <t>ジュンイ</t>
    </rPh>
    <phoneticPr fontId="3"/>
  </si>
  <si>
    <t>↓要是正で「予定」で年月入力済→「1」、要是正で「改善済」→2</t>
    <rPh sb="1" eb="2">
      <t>ヨウ</t>
    </rPh>
    <rPh sb="2" eb="4">
      <t>ゼセイ</t>
    </rPh>
    <rPh sb="6" eb="8">
      <t>ヨテイ</t>
    </rPh>
    <rPh sb="10" eb="12">
      <t>ネンゲツ</t>
    </rPh>
    <rPh sb="12" eb="14">
      <t>ニュウリョク</t>
    </rPh>
    <rPh sb="14" eb="15">
      <t>ズ</t>
    </rPh>
    <rPh sb="20" eb="21">
      <t>ヨウ</t>
    </rPh>
    <rPh sb="21" eb="23">
      <t>ゼセイ</t>
    </rPh>
    <rPh sb="25" eb="27">
      <t>カイゼン</t>
    </rPh>
    <rPh sb="27" eb="28">
      <t>ズミ</t>
    </rPh>
    <phoneticPr fontId="3"/>
  </si>
  <si>
    <t>↓【報告書】改善予定あり（未来の年月カウントで「1」（予定で年月入力あり）がある）</t>
    <rPh sb="2" eb="5">
      <t>ホウコクショ</t>
    </rPh>
    <rPh sb="6" eb="8">
      <t>カイゼン</t>
    </rPh>
    <rPh sb="8" eb="10">
      <t>ヨテイ</t>
    </rPh>
    <rPh sb="13" eb="15">
      <t>ミライ</t>
    </rPh>
    <rPh sb="16" eb="18">
      <t>ネンゲツ</t>
    </rPh>
    <rPh sb="27" eb="29">
      <t>ヨテイ</t>
    </rPh>
    <rPh sb="30" eb="32">
      <t>ネンゲツ</t>
    </rPh>
    <rPh sb="32" eb="34">
      <t>ニュウリョク</t>
    </rPh>
    <phoneticPr fontId="3"/>
  </si>
  <si>
    <t>↓要是正なしで未来の年月カウントあり</t>
    <rPh sb="1" eb="2">
      <t>ヨウ</t>
    </rPh>
    <rPh sb="2" eb="4">
      <t>ゼセイ</t>
    </rPh>
    <rPh sb="7" eb="9">
      <t>ミライ</t>
    </rPh>
    <rPh sb="10" eb="12">
      <t>ネンゲツ</t>
    </rPh>
    <phoneticPr fontId="3"/>
  </si>
  <si>
    <t>↓既存不適格で「予定」で年月入力済→「1」、要是正で「改善済」→2</t>
    <rPh sb="1" eb="3">
      <t>キゾン</t>
    </rPh>
    <rPh sb="3" eb="6">
      <t>フテキカク</t>
    </rPh>
    <rPh sb="8" eb="10">
      <t>ヨテイ</t>
    </rPh>
    <rPh sb="12" eb="14">
      <t>ネンゲツ</t>
    </rPh>
    <rPh sb="14" eb="16">
      <t>ニュウリョク</t>
    </rPh>
    <rPh sb="16" eb="17">
      <t>ズ</t>
    </rPh>
    <rPh sb="22" eb="23">
      <t>ヨウ</t>
    </rPh>
    <rPh sb="23" eb="25">
      <t>ゼセイ</t>
    </rPh>
    <rPh sb="27" eb="29">
      <t>カイゼン</t>
    </rPh>
    <rPh sb="29" eb="30">
      <t>ズミ</t>
    </rPh>
    <phoneticPr fontId="3"/>
  </si>
  <si>
    <t>↓【報告書】改善予定なし（改善予定ありではない＋既存不適格＋「未定」の記載あり）</t>
    <rPh sb="2" eb="5">
      <t>ホウコクショ</t>
    </rPh>
    <rPh sb="6" eb="8">
      <t>カイゼン</t>
    </rPh>
    <rPh sb="8" eb="10">
      <t>ヨテイ</t>
    </rPh>
    <rPh sb="13" eb="15">
      <t>カイゼン</t>
    </rPh>
    <rPh sb="15" eb="17">
      <t>ヨテイ</t>
    </rPh>
    <rPh sb="24" eb="26">
      <t>キゾン</t>
    </rPh>
    <rPh sb="26" eb="29">
      <t>フテキカク</t>
    </rPh>
    <rPh sb="31" eb="33">
      <t>ミテイ</t>
    </rPh>
    <rPh sb="35" eb="37">
      <t>キサイ</t>
    </rPh>
    <phoneticPr fontId="3"/>
  </si>
  <si>
    <t>↓【報告書】改善予定なし（改善予定ありではない＋要是正の指摘あり＋「未定」の記載あり）</t>
    <rPh sb="2" eb="5">
      <t>ホウコクショ</t>
    </rPh>
    <rPh sb="6" eb="8">
      <t>カイゼン</t>
    </rPh>
    <rPh sb="8" eb="10">
      <t>ヨテイ</t>
    </rPh>
    <rPh sb="24" eb="25">
      <t>ヨウ</t>
    </rPh>
    <rPh sb="25" eb="27">
      <t>ゼセイ</t>
    </rPh>
    <rPh sb="28" eb="30">
      <t>シテキ</t>
    </rPh>
    <rPh sb="34" eb="36">
      <t>ミテイ</t>
    </rPh>
    <rPh sb="38" eb="40">
      <t>キサイ</t>
    </rPh>
    <phoneticPr fontId="3"/>
  </si>
  <si>
    <t>【報告書】1面5、3面2に指摘事項の「改善済」「一部改善済」を表示（「上記１から７で表現できない項目」記載分含む）（「７(1)～(12) 上記以外の調査項目」は「４　建築物の内部」に統合、「7(13)～(18)上記以外の調査項目」は「５　避難施設等」に統合）</t>
    <rPh sb="0" eb="3">
      <t>ホウコクショ</t>
    </rPh>
    <rPh sb="105" eb="107">
      <t>ジョウキ</t>
    </rPh>
    <rPh sb="107" eb="109">
      <t>イガイ</t>
    </rPh>
    <rPh sb="110" eb="112">
      <t>チョウサ</t>
    </rPh>
    <rPh sb="112" eb="114">
      <t>コウモク</t>
    </rPh>
    <rPh sb="119" eb="121">
      <t>ヒナン</t>
    </rPh>
    <rPh sb="121" eb="123">
      <t>シセツ</t>
    </rPh>
    <rPh sb="123" eb="124">
      <t>トウ</t>
    </rPh>
    <rPh sb="126" eb="128">
      <t>トウゴウ</t>
    </rPh>
    <phoneticPr fontId="3"/>
  </si>
  <si>
    <t>「８．上記１から７で表現できない項目」を大項目１～７に振り分け</t>
    <rPh sb="20" eb="23">
      <t>ダイコウモク</t>
    </rPh>
    <rPh sb="27" eb="28">
      <t>フ</t>
    </rPh>
    <rPh sb="29" eb="30">
      <t>ワ</t>
    </rPh>
    <phoneticPr fontId="3"/>
  </si>
  <si>
    <t>7(1)～(12)</t>
    <phoneticPr fontId="3"/>
  </si>
  <si>
    <t>7(13)～(18)</t>
    <phoneticPr fontId="3"/>
  </si>
  <si>
    <t>大項目１の集計→</t>
    <rPh sb="0" eb="3">
      <t>ダイコウモク</t>
    </rPh>
    <rPh sb="5" eb="7">
      <t>シュウケイ</t>
    </rPh>
    <phoneticPr fontId="3"/>
  </si>
  <si>
    <t>各大項目の集計行から転記→</t>
    <rPh sb="0" eb="1">
      <t>カク</t>
    </rPh>
    <rPh sb="1" eb="4">
      <t>ダイコウモク</t>
    </rPh>
    <rPh sb="5" eb="7">
      <t>シュウケイ</t>
    </rPh>
    <rPh sb="7" eb="8">
      <t>ギョウ</t>
    </rPh>
    <rPh sb="10" eb="12">
      <t>テンキ</t>
    </rPh>
    <phoneticPr fontId="3"/>
  </si>
  <si>
    <t>改善予定:1、改善済:2、その他:空白　（改善予定は是正ありの場合のみ（既存不適格以外）</t>
    <rPh sb="0" eb="2">
      <t>カイゼン</t>
    </rPh>
    <rPh sb="2" eb="4">
      <t>ヨテイ</t>
    </rPh>
    <rPh sb="15" eb="16">
      <t>タ</t>
    </rPh>
    <rPh sb="17" eb="19">
      <t>クウハク</t>
    </rPh>
    <rPh sb="21" eb="23">
      <t>カイゼン</t>
    </rPh>
    <rPh sb="23" eb="25">
      <t>ヨテイ</t>
    </rPh>
    <rPh sb="26" eb="28">
      <t>ゼセイ</t>
    </rPh>
    <rPh sb="31" eb="33">
      <t>バアイ</t>
    </rPh>
    <rPh sb="36" eb="38">
      <t>キゾン</t>
    </rPh>
    <rPh sb="38" eb="41">
      <t>フテキカク</t>
    </rPh>
    <rPh sb="41" eb="43">
      <t>イガイ</t>
    </rPh>
    <phoneticPr fontId="3"/>
  </si>
  <si>
    <r>
      <rPr>
        <b/>
        <sz val="11"/>
        <rFont val="ＭＳ Ｐゴシック"/>
        <family val="3"/>
        <charset val="128"/>
        <scheme val="major"/>
      </rPr>
      <t>自然排煙口のみが設置されている場合でも、調査対象</t>
    </r>
    <r>
      <rPr>
        <sz val="11"/>
        <color rgb="FFFF0000"/>
        <rFont val="ＭＳ Ｐゴシック"/>
        <family val="3"/>
        <charset val="128"/>
        <scheme val="major"/>
      </rPr>
      <t xml:space="preserve">
※機械式排煙設備の作動の状況については、7(14)で報告して下さい。（建築設備の定期報告対象である場合は、建築設備の定期検査報告で報告して下さい。）</t>
    </r>
    <rPh sb="27" eb="34">
      <t>キカイシキハイエンセツビ</t>
    </rPh>
    <rPh sb="35" eb="37">
      <t>サドウ</t>
    </rPh>
    <rPh sb="38" eb="40">
      <t>ジョウキョウ</t>
    </rPh>
    <rPh sb="61" eb="63">
      <t>ケンチク</t>
    </rPh>
    <rPh sb="63" eb="65">
      <t>セツビ</t>
    </rPh>
    <rPh sb="66" eb="68">
      <t>テイキ</t>
    </rPh>
    <rPh sb="68" eb="70">
      <t>ホウコク</t>
    </rPh>
    <rPh sb="70" eb="72">
      <t>タイショウ</t>
    </rPh>
    <rPh sb="75" eb="77">
      <t>バアイ</t>
    </rPh>
    <rPh sb="79" eb="83">
      <t>ケンチクセツビ</t>
    </rPh>
    <rPh sb="84" eb="86">
      <t>テイキ</t>
    </rPh>
    <rPh sb="86" eb="88">
      <t>ケンサ</t>
    </rPh>
    <rPh sb="88" eb="90">
      <t>ホウコク</t>
    </rPh>
    <rPh sb="91" eb="93">
      <t>ホウコク</t>
    </rPh>
    <rPh sb="95" eb="96">
      <t>クダ</t>
    </rPh>
    <phoneticPr fontId="3"/>
  </si>
  <si>
    <r>
      <t>京都市情報館の以下の</t>
    </r>
    <r>
      <rPr>
        <u/>
        <sz val="11"/>
        <color theme="1"/>
        <rFont val="Meiryo UI"/>
        <family val="3"/>
        <charset val="128"/>
      </rPr>
      <t>ダウンロードページから最新の版を入手</t>
    </r>
    <r>
      <rPr>
        <sz val="11"/>
        <color theme="1"/>
        <rFont val="Meiryo UI"/>
        <family val="3"/>
        <charset val="128"/>
      </rPr>
      <t>し、使用してください。他のファイル、改変されたファイルは、電子申請サービスで受付できません。</t>
    </r>
    <rPh sb="7" eb="9">
      <t>イカ</t>
    </rPh>
    <phoneticPr fontId="3"/>
  </si>
  <si>
    <t>電子申請サービスでの
添付方法</t>
    <rPh sb="0" eb="4">
      <t>デンシシンセイ</t>
    </rPh>
    <rPh sb="11" eb="13">
      <t>テンプ</t>
    </rPh>
    <rPh sb="13" eb="15">
      <t>ホウホウ</t>
    </rPh>
    <phoneticPr fontId="3"/>
  </si>
  <si>
    <t>受付管理票
報告書（用途及び面積を除く）
概要書（用途及び面積を除く）
調査結果表
関係写真</t>
    <rPh sb="0" eb="5">
      <t>ウケツケカンリヒョウ</t>
    </rPh>
    <rPh sb="42" eb="44">
      <t>カンケイ</t>
    </rPh>
    <phoneticPr fontId="3"/>
  </si>
  <si>
    <t>（管理者が法人の場合）
・法人の名称及び所在地を記入してください。
・代表者の肩書及び個人名まで記入してください。
（管理者が複数の場合）
・この欄には1名のみを記入のうえ、2人目以降について、報告書第一面の別紙をPDFにて作成し報告書に添えて提出してください。</t>
    <rPh sb="1" eb="3">
      <t>カンリ</t>
    </rPh>
    <rPh sb="98" eb="101">
      <t>ホウコクショ</t>
    </rPh>
    <rPh sb="101" eb="102">
      <t>ダイ</t>
    </rPh>
    <rPh sb="102" eb="104">
      <t>イチメン</t>
    </rPh>
    <phoneticPr fontId="3"/>
  </si>
  <si>
    <t>・新築時以降建築確認を受けていない場合、新築時の建築確認について記入してください。
・増築や用途変更等で建築確認を受けた場合、うち直近のもの
を記入してください。
・建築時期の把握は既存不適格の判断に必要な情報ですので、必ず御確認ください。
・確認年月日等が不明であっても、建築計画概要書等で調べられる場合があります。
建築審査課の窓口で建築計画概要書等を閲覧し、記入してください。</t>
    <rPh sb="32" eb="34">
      <t>キニュウ</t>
    </rPh>
    <phoneticPr fontId="3"/>
  </si>
  <si>
    <t>※「直近の建築確認」欄は第二面6欄に転記されます。
　「新築時の建築確認」欄は第二面7欄、受付管理票に転記されます。
・建築時期の把握は既存不適格の判断に必要な情報ですので、必ず御確認ください。
・確認年月日等が不明であっても、建築計画概要書等で調べられる場合があります。
建築審査課の窓口で建築計画概要書等を閲覧し、記入してください。</t>
    <rPh sb="5" eb="7">
      <t>ケンチク</t>
    </rPh>
    <rPh sb="12" eb="13">
      <t>ダイ</t>
    </rPh>
    <rPh sb="13" eb="15">
      <t>２メン</t>
    </rPh>
    <rPh sb="16" eb="17">
      <t>ラン</t>
    </rPh>
    <rPh sb="32" eb="34">
      <t>ケンチク</t>
    </rPh>
    <rPh sb="39" eb="40">
      <t>ダイ</t>
    </rPh>
    <rPh sb="40" eb="42">
      <t>２メン</t>
    </rPh>
    <rPh sb="43" eb="44">
      <t>ラン</t>
    </rPh>
    <phoneticPr fontId="3"/>
  </si>
  <si>
    <t>「直近の建築確認」に、増築や用途変更等の建築確認を記載した場合は、「新築時の建築確認」についても記入してください。</t>
    <rPh sb="1" eb="3">
      <t>チョッキン</t>
    </rPh>
    <rPh sb="4" eb="6">
      <t>ケンチク</t>
    </rPh>
    <rPh sb="6" eb="8">
      <t>カクニン</t>
    </rPh>
    <rPh sb="11" eb="13">
      <t>ゾウチク</t>
    </rPh>
    <rPh sb="25" eb="27">
      <t>キサイ</t>
    </rPh>
    <rPh sb="29" eb="31">
      <t>バアイ</t>
    </rPh>
    <rPh sb="34" eb="36">
      <t>シンチク</t>
    </rPh>
    <rPh sb="36" eb="37">
      <t>ジ</t>
    </rPh>
    <rPh sb="38" eb="40">
      <t>ケンチク</t>
    </rPh>
    <rPh sb="40" eb="42">
      <t>カクニン</t>
    </rPh>
    <rPh sb="48" eb="50">
      <t>キニュウ</t>
    </rPh>
    <phoneticPr fontId="3"/>
  </si>
  <si>
    <t>※換気設備の作動の状況等については、7(11)及び7(12)で報告して下さい。（建築設備の定期報告対象である場合は、建築設備の定期検査報告で報告してください。）</t>
    <rPh sb="1" eb="3">
      <t>カンキ</t>
    </rPh>
    <rPh sb="3" eb="5">
      <t>セツビ</t>
    </rPh>
    <rPh sb="6" eb="8">
      <t>サドウ</t>
    </rPh>
    <rPh sb="9" eb="11">
      <t>ジョウキョウ</t>
    </rPh>
    <rPh sb="11" eb="12">
      <t>トウ</t>
    </rPh>
    <rPh sb="23" eb="24">
      <t>オヨ</t>
    </rPh>
    <rPh sb="31" eb="33">
      <t>ホウコク</t>
    </rPh>
    <rPh sb="35" eb="36">
      <t>クダ</t>
    </rPh>
    <rPh sb="40" eb="42">
      <t>ケンチク</t>
    </rPh>
    <rPh sb="42" eb="44">
      <t>セツビ</t>
    </rPh>
    <rPh sb="45" eb="47">
      <t>テイキ</t>
    </rPh>
    <rPh sb="47" eb="49">
      <t>ホウコク</t>
    </rPh>
    <rPh sb="49" eb="51">
      <t>タイショウ</t>
    </rPh>
    <rPh sb="54" eb="56">
      <t>バアイ</t>
    </rPh>
    <rPh sb="58" eb="62">
      <t>ケンチクセツビ</t>
    </rPh>
    <rPh sb="63" eb="65">
      <t>テイキ</t>
    </rPh>
    <rPh sb="65" eb="67">
      <t>ケンサ</t>
    </rPh>
    <rPh sb="67" eb="69">
      <t>ホウコク</t>
    </rPh>
    <rPh sb="70" eb="72">
      <t>ホウコク</t>
    </rPh>
    <phoneticPr fontId="3"/>
  </si>
  <si>
    <t>屋上面</t>
    <rPh sb="0" eb="2">
      <t>オクジョウ</t>
    </rPh>
    <rPh sb="2" eb="3">
      <t>メン</t>
    </rPh>
    <phoneticPr fontId="3"/>
  </si>
  <si>
    <t>機器及び工作物（冷却等設備、広告塔等）</t>
    <rPh sb="0" eb="2">
      <t>キキ</t>
    </rPh>
    <rPh sb="2" eb="3">
      <t>オヨ</t>
    </rPh>
    <rPh sb="4" eb="7">
      <t>コウサクブツ</t>
    </rPh>
    <rPh sb="8" eb="10">
      <t>レイキャク</t>
    </rPh>
    <rPh sb="10" eb="11">
      <t>トウ</t>
    </rPh>
    <rPh sb="11" eb="13">
      <t>セツビ</t>
    </rPh>
    <rPh sb="14" eb="17">
      <t>コウコクトウ</t>
    </rPh>
    <rPh sb="17" eb="18">
      <t>トウ</t>
    </rPh>
    <phoneticPr fontId="3"/>
  </si>
  <si>
    <t>■3面2への指摘事項の転記対象に「７ 上記以外の調査項目」「8 上記1から7に記載のない事項」記載分を含める</t>
    <rPh sb="1" eb="2">
      <t>メン</t>
    </rPh>
    <rPh sb="5" eb="7">
      <t>シテキ</t>
    </rPh>
    <rPh sb="7" eb="9">
      <t>ジコウ</t>
    </rPh>
    <rPh sb="10" eb="12">
      <t>テンキ</t>
    </rPh>
    <rPh sb="12" eb="14">
      <t>タイショウ</t>
    </rPh>
    <rPh sb="18" eb="20">
      <t>ジョウキ</t>
    </rPh>
    <rPh sb="20" eb="22">
      <t>イガイ</t>
    </rPh>
    <rPh sb="23" eb="25">
      <t>チョウサ</t>
    </rPh>
    <rPh sb="25" eb="27">
      <t>コウモク</t>
    </rPh>
    <rPh sb="32" eb="34">
      <t>ジョウキ</t>
    </rPh>
    <rPh sb="38" eb="40">
      <t>キサイ</t>
    </rPh>
    <rPh sb="43" eb="45">
      <t>ジコウ</t>
    </rPh>
    <rPh sb="46" eb="48">
      <t>キサイ</t>
    </rPh>
    <rPh sb="48" eb="49">
      <t>ブン</t>
    </rPh>
    <rPh sb="50" eb="51">
      <t>フク</t>
    </rPh>
    <phoneticPr fontId="3"/>
  </si>
  <si>
    <t>7(1)～(12)</t>
  </si>
  <si>
    <t>7(13)～(18)</t>
  </si>
  <si>
    <t>■1面5、3面2への石綿既存不適格の転記対象に、「上記1から7に記載のない事項」記載分を含める</t>
    <rPh sb="1" eb="2">
      <t>メン</t>
    </rPh>
    <rPh sb="5" eb="6">
      <t>メン</t>
    </rPh>
    <rPh sb="9" eb="11">
      <t>セキメン</t>
    </rPh>
    <rPh sb="11" eb="13">
      <t>キゾン</t>
    </rPh>
    <rPh sb="13" eb="16">
      <t>フテキカク</t>
    </rPh>
    <rPh sb="17" eb="19">
      <t>テンキ</t>
    </rPh>
    <rPh sb="19" eb="21">
      <t>タイショウ</t>
    </rPh>
    <rPh sb="24" eb="26">
      <t>ジョウキ</t>
    </rPh>
    <rPh sb="31" eb="33">
      <t>キサイ</t>
    </rPh>
    <rPh sb="36" eb="38">
      <t>ジコウ</t>
    </rPh>
    <rPh sb="39" eb="41">
      <t>キサイ</t>
    </rPh>
    <rPh sb="41" eb="42">
      <t>ブン</t>
    </rPh>
    <rPh sb="43" eb="44">
      <t>フク</t>
    </rPh>
    <phoneticPr fontId="3"/>
  </si>
  <si>
    <t>4,4石綿統合</t>
    <rPh sb="3" eb="5">
      <t>セキメン</t>
    </rPh>
    <rPh sb="5" eb="7">
      <t>トウゴウ</t>
    </rPh>
    <phoneticPr fontId="3"/>
  </si>
  <si>
    <t>↑大項目毎の指摘概要に付けたし（EA列）</t>
    <rPh sb="1" eb="4">
      <t>ダイコウモク</t>
    </rPh>
    <rPh sb="4" eb="5">
      <t>ゴト</t>
    </rPh>
    <rPh sb="6" eb="8">
      <t>シテキ</t>
    </rPh>
    <rPh sb="8" eb="10">
      <t>ガイヨウ</t>
    </rPh>
    <rPh sb="11" eb="12">
      <t>ツ</t>
    </rPh>
    <rPh sb="18" eb="19">
      <t>レツ</t>
    </rPh>
    <phoneticPr fontId="3"/>
  </si>
  <si>
    <t>大項目２の集計→</t>
    <rPh sb="0" eb="3">
      <t>ダイコウモク</t>
    </rPh>
    <rPh sb="5" eb="7">
      <t>シュウケイ</t>
    </rPh>
    <phoneticPr fontId="3"/>
  </si>
  <si>
    <t>大項目２の集計（報告書転記用）→</t>
    <rPh sb="0" eb="3">
      <t>ダイコウモク</t>
    </rPh>
    <rPh sb="5" eb="7">
      <t>シュウケイ</t>
    </rPh>
    <rPh sb="8" eb="11">
      <t>ホウコクショ</t>
    </rPh>
    <rPh sb="11" eb="13">
      <t>テンキ</t>
    </rPh>
    <rPh sb="13" eb="14">
      <t>ヨウ</t>
    </rPh>
    <phoneticPr fontId="3"/>
  </si>
  <si>
    <t>大項目３の集計（報告書転記用）→</t>
    <rPh sb="0" eb="3">
      <t>ダイコウモク</t>
    </rPh>
    <rPh sb="5" eb="7">
      <t>シュウケイ</t>
    </rPh>
    <rPh sb="8" eb="11">
      <t>ホウコクショ</t>
    </rPh>
    <rPh sb="11" eb="13">
      <t>テンキ</t>
    </rPh>
    <rPh sb="13" eb="14">
      <t>ヨウ</t>
    </rPh>
    <phoneticPr fontId="3"/>
  </si>
  <si>
    <t>大項目３の集計→</t>
    <rPh sb="0" eb="3">
      <t>ダイコウモク</t>
    </rPh>
    <rPh sb="5" eb="7">
      <t>シュウケイ</t>
    </rPh>
    <phoneticPr fontId="3"/>
  </si>
  <si>
    <t>大項目４の集計→</t>
    <rPh sb="0" eb="3">
      <t>ダイコウモク</t>
    </rPh>
    <rPh sb="5" eb="7">
      <t>シュウケイ</t>
    </rPh>
    <phoneticPr fontId="3"/>
  </si>
  <si>
    <t>大項目１の集計（報告書転記用）→</t>
    <rPh sb="0" eb="3">
      <t>ダイコウモク</t>
    </rPh>
    <rPh sb="5" eb="7">
      <t>シュウケイ</t>
    </rPh>
    <rPh sb="8" eb="11">
      <t>ホウコクショ</t>
    </rPh>
    <rPh sb="11" eb="13">
      <t>テンキ</t>
    </rPh>
    <rPh sb="13" eb="14">
      <t>ヨウ</t>
    </rPh>
    <phoneticPr fontId="3"/>
  </si>
  <si>
    <t>大項目１（指摘の概要）→</t>
    <rPh sb="0" eb="3">
      <t>ダイコウモク</t>
    </rPh>
    <rPh sb="5" eb="7">
      <t>シテキ</t>
    </rPh>
    <rPh sb="8" eb="10">
      <t>ガイヨウ</t>
    </rPh>
    <phoneticPr fontId="3"/>
  </si>
  <si>
    <t>大項目２（指摘の概要）→</t>
    <rPh sb="0" eb="3">
      <t>ダイコウモク</t>
    </rPh>
    <rPh sb="5" eb="7">
      <t>シテキ</t>
    </rPh>
    <rPh sb="8" eb="10">
      <t>ガイヨウ</t>
    </rPh>
    <phoneticPr fontId="3"/>
  </si>
  <si>
    <t>大項目３（指摘の概要）→</t>
    <rPh sb="0" eb="3">
      <t>ダイコウモク</t>
    </rPh>
    <rPh sb="5" eb="7">
      <t>シテキ</t>
    </rPh>
    <rPh sb="8" eb="10">
      <t>ガイヨウ</t>
    </rPh>
    <phoneticPr fontId="3"/>
  </si>
  <si>
    <t>大項目４（指摘の概要）→</t>
    <rPh sb="0" eb="3">
      <t>ダイコウモク</t>
    </rPh>
    <rPh sb="5" eb="7">
      <t>シテキ</t>
    </rPh>
    <rPh sb="8" eb="10">
      <t>ガイヨウ</t>
    </rPh>
    <phoneticPr fontId="3"/>
  </si>
  <si>
    <t>大項目４の集計（報告書転記用）（最下欄で７①と統合）→</t>
    <rPh sb="0" eb="3">
      <t>ダイコウモク</t>
    </rPh>
    <rPh sb="5" eb="7">
      <t>シュウケイ</t>
    </rPh>
    <rPh sb="8" eb="11">
      <t>ホウコクショ</t>
    </rPh>
    <rPh sb="11" eb="13">
      <t>テンキ</t>
    </rPh>
    <rPh sb="13" eb="14">
      <t>ヨウ</t>
    </rPh>
    <rPh sb="16" eb="17">
      <t>サイ</t>
    </rPh>
    <rPh sb="17" eb="18">
      <t>シタ</t>
    </rPh>
    <rPh sb="18" eb="19">
      <t>ラン</t>
    </rPh>
    <rPh sb="23" eb="25">
      <t>トウゴウ</t>
    </rPh>
    <phoneticPr fontId="3"/>
  </si>
  <si>
    <t>大項目５の集計（報告書転記用）（最下欄で７②と統合）→</t>
    <rPh sb="0" eb="3">
      <t>ダイコウモク</t>
    </rPh>
    <rPh sb="5" eb="7">
      <t>シュウケイ</t>
    </rPh>
    <rPh sb="8" eb="11">
      <t>ホウコクショ</t>
    </rPh>
    <rPh sb="11" eb="13">
      <t>テンキ</t>
    </rPh>
    <rPh sb="13" eb="14">
      <t>ヨウ</t>
    </rPh>
    <rPh sb="16" eb="17">
      <t>サイ</t>
    </rPh>
    <rPh sb="17" eb="18">
      <t>シタ</t>
    </rPh>
    <rPh sb="18" eb="19">
      <t>ラン</t>
    </rPh>
    <rPh sb="23" eb="25">
      <t>トウゴウ</t>
    </rPh>
    <phoneticPr fontId="3"/>
  </si>
  <si>
    <t>大項目５の集計→</t>
    <rPh sb="0" eb="3">
      <t>ダイコウモク</t>
    </rPh>
    <rPh sb="5" eb="7">
      <t>シュウケイ</t>
    </rPh>
    <phoneticPr fontId="3"/>
  </si>
  <si>
    <t>大項目６の集計（報告書転記用）→</t>
    <rPh sb="0" eb="3">
      <t>ダイコウモク</t>
    </rPh>
    <rPh sb="5" eb="7">
      <t>シュウケイ</t>
    </rPh>
    <rPh sb="8" eb="11">
      <t>ホウコクショ</t>
    </rPh>
    <rPh sb="11" eb="13">
      <t>テンキ</t>
    </rPh>
    <rPh sb="13" eb="14">
      <t>ヨウ</t>
    </rPh>
    <phoneticPr fontId="3"/>
  </si>
  <si>
    <t>大項目６の集計→</t>
    <rPh sb="0" eb="3">
      <t>ダイコウモク</t>
    </rPh>
    <rPh sb="5" eb="7">
      <t>シュウケイ</t>
    </rPh>
    <phoneticPr fontId="3"/>
  </si>
  <si>
    <t>大項目７(1)～(12)の集計→</t>
    <rPh sb="0" eb="3">
      <t>ダイコウモク</t>
    </rPh>
    <rPh sb="13" eb="15">
      <t>シュウケイ</t>
    </rPh>
    <phoneticPr fontId="3"/>
  </si>
  <si>
    <t>大項目７(13)～(18)の集計→</t>
    <rPh sb="0" eb="3">
      <t>ダイコウモク</t>
    </rPh>
    <rPh sb="14" eb="16">
      <t>シュウケイ</t>
    </rPh>
    <phoneticPr fontId="3"/>
  </si>
  <si>
    <t>大項目７(1)～(12)の集計（報告書転記用）※最下段で統合→</t>
    <rPh sb="0" eb="3">
      <t>ダイコウモク</t>
    </rPh>
    <rPh sb="13" eb="15">
      <t>シュウケイ</t>
    </rPh>
    <rPh sb="16" eb="19">
      <t>ホウコクショ</t>
    </rPh>
    <rPh sb="19" eb="21">
      <t>テンキ</t>
    </rPh>
    <rPh sb="21" eb="22">
      <t>ヨウ</t>
    </rPh>
    <rPh sb="24" eb="25">
      <t>サイ</t>
    </rPh>
    <rPh sb="25" eb="27">
      <t>ゲダン</t>
    </rPh>
    <rPh sb="28" eb="30">
      <t>トウゴウ</t>
    </rPh>
    <phoneticPr fontId="3"/>
  </si>
  <si>
    <t>大項目７(13)～(18)の集計（報告書転記用）※最下段で統合→</t>
    <rPh sb="0" eb="3">
      <t>ダイコウモク</t>
    </rPh>
    <rPh sb="14" eb="16">
      <t>シュウケイ</t>
    </rPh>
    <rPh sb="17" eb="20">
      <t>ホウコクショ</t>
    </rPh>
    <rPh sb="20" eb="22">
      <t>テンキ</t>
    </rPh>
    <rPh sb="22" eb="23">
      <t>ヨウ</t>
    </rPh>
    <rPh sb="25" eb="26">
      <t>サイ</t>
    </rPh>
    <rPh sb="26" eb="28">
      <t>ゲダン</t>
    </rPh>
    <rPh sb="29" eb="31">
      <t>トウゴウ</t>
    </rPh>
    <phoneticPr fontId="3"/>
  </si>
  <si>
    <t>大項目５（指摘の概要）→</t>
    <rPh sb="0" eb="3">
      <t>ダイコウモク</t>
    </rPh>
    <rPh sb="5" eb="7">
      <t>シテキ</t>
    </rPh>
    <rPh sb="8" eb="10">
      <t>ガイヨウ</t>
    </rPh>
    <phoneticPr fontId="3"/>
  </si>
  <si>
    <t>大項目６（指摘の概要）→</t>
    <rPh sb="0" eb="3">
      <t>ダイコウモク</t>
    </rPh>
    <rPh sb="5" eb="7">
      <t>シテキ</t>
    </rPh>
    <rPh sb="8" eb="10">
      <t>ガイヨウ</t>
    </rPh>
    <phoneticPr fontId="3"/>
  </si>
  <si>
    <t>大項目７(1)～(12)</t>
    <phoneticPr fontId="3"/>
  </si>
  <si>
    <t>大項目７(13)～(18)</t>
    <phoneticPr fontId="3"/>
  </si>
  <si>
    <t>↓4と7①（(1)～(12))を統合</t>
    <rPh sb="16" eb="18">
      <t>トウゴウ</t>
    </rPh>
    <phoneticPr fontId="3"/>
  </si>
  <si>
    <t>↓５と7②（(13)～(18))を統合</t>
    <rPh sb="17" eb="19">
      <t>トウゴウ</t>
    </rPh>
    <phoneticPr fontId="3"/>
  </si>
  <si>
    <t>7を（4と5に）合算</t>
    <rPh sb="8" eb="10">
      <t>ガッサン</t>
    </rPh>
    <phoneticPr fontId="3"/>
  </si>
  <si>
    <t>↓改善済:2の集計</t>
    <rPh sb="1" eb="3">
      <t>カイゼン</t>
    </rPh>
    <rPh sb="7" eb="9">
      <t>シュウケイ</t>
    </rPh>
    <phoneticPr fontId="3"/>
  </si>
  <si>
    <t>←各大項目のEU列へ転記</t>
    <rPh sb="1" eb="2">
      <t>カク</t>
    </rPh>
    <rPh sb="2" eb="3">
      <t>ダイ</t>
    </rPh>
    <rPh sb="3" eb="5">
      <t>コウモク</t>
    </rPh>
    <rPh sb="8" eb="9">
      <t>レツ</t>
    </rPh>
    <rPh sb="10" eb="12">
      <t>テンキ</t>
    </rPh>
    <phoneticPr fontId="3"/>
  </si>
  <si>
    <t>■全体まとめ</t>
    <rPh sb="1" eb="3">
      <t>ゼンタイ</t>
    </rPh>
    <phoneticPr fontId="3"/>
  </si>
  <si>
    <t>↑報告書一面5イ（指摘の内容）へ</t>
    <rPh sb="1" eb="4">
      <t>ホウコクショ</t>
    </rPh>
    <rPh sb="4" eb="6">
      <t>イチメン</t>
    </rPh>
    <rPh sb="9" eb="11">
      <t>シテキ</t>
    </rPh>
    <rPh sb="12" eb="14">
      <t>ナイヨウ</t>
    </rPh>
    <phoneticPr fontId="3"/>
  </si>
  <si>
    <t>大項目８の集計（報告書全体まとめへ転記）→</t>
    <rPh sb="0" eb="3">
      <t>ダイコウモク</t>
    </rPh>
    <rPh sb="5" eb="7">
      <t>シュウケイ</t>
    </rPh>
    <rPh sb="8" eb="11">
      <t>ホウコクショ</t>
    </rPh>
    <rPh sb="11" eb="13">
      <t>ゼンタイ</t>
    </rPh>
    <rPh sb="17" eb="19">
      <t>テンキ</t>
    </rPh>
    <phoneticPr fontId="3"/>
  </si>
  <si>
    <t>7①</t>
    <phoneticPr fontId="3"/>
  </si>
  <si>
    <t>7②</t>
    <phoneticPr fontId="3"/>
  </si>
  <si>
    <t>今回調査日</t>
    <rPh sb="0" eb="2">
      <t>コンカイ</t>
    </rPh>
    <rPh sb="2" eb="4">
      <t>チョウサ</t>
    </rPh>
    <rPh sb="4" eb="5">
      <t>ヒ</t>
    </rPh>
    <phoneticPr fontId="3"/>
  </si>
  <si>
    <t>今回調査日転記（データ取込用）</t>
    <rPh sb="0" eb="2">
      <t>コンカイ</t>
    </rPh>
    <rPh sb="2" eb="4">
      <t>チョウサ</t>
    </rPh>
    <rPh sb="4" eb="5">
      <t>ヒ</t>
    </rPh>
    <rPh sb="5" eb="7">
      <t>テンキ</t>
    </rPh>
    <rPh sb="11" eb="13">
      <t>トリコミ</t>
    </rPh>
    <rPh sb="13" eb="14">
      <t>ヨウ</t>
    </rPh>
    <phoneticPr fontId="3"/>
  </si>
  <si>
    <t>介護老人保健施設</t>
    <rPh sb="0" eb="2">
      <t>カイゴ</t>
    </rPh>
    <rPh sb="2" eb="6">
      <t>ロウジンホケン</t>
    </rPh>
    <rPh sb="6" eb="8">
      <t>シセツ</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</si>
</sst>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lt;=999]000;[&lt;=99999]000\-00;000\-0000"/>
    <numFmt numFmtId="177" formatCode="#,##0_ "/>
    <numFmt numFmtId="178" formatCode="#,##0.00_ "/>
    <numFmt numFmtId="179" formatCode="[$-411]ggge&quot;年&quot;m&quot;月&quot;;@"/>
    <numFmt numFmtId="180" formatCode="[&lt;=999]000;[&lt;=9999]000\-00;000\-0000"/>
    <numFmt numFmtId="181" formatCode="#"/>
    <numFmt numFmtId="182" formatCode="0.00_);[Red]\(0.00\)"/>
    <numFmt numFmtId="183" formatCode="[$-411]ge\.m\.d;@"/>
    <numFmt numFmtId="184" formatCode="&quot;「&quot;[$-411]ge\.m\.d&quot;」&quot;;@"/>
    <numFmt numFmtId="185" formatCode="yyyy/m/d;@"/>
    <numFmt numFmtId="186" formatCode="0.00_ "/>
    <numFmt numFmtId="187" formatCode="0000"/>
    <numFmt numFmtId="188" formatCode="#,##0.00_ ;;&quot;-&quot;;"/>
    <numFmt numFmtId="189" formatCode="0_);[Red]\(0\)"/>
    <numFmt numFmtId="190" formatCode="0_ "/>
  </numFmts>
  <fonts count="208"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9"/>
      <name val="ＭＳ Ｐ明朝"/>
      <family val="1"/>
      <charset val="128"/>
    </font>
    <font>
      <sz val="8"/>
      <name val="ＭＳ Ｐ明朝"/>
      <family val="1"/>
      <charset val="128"/>
    </font>
    <font>
      <sz val="8"/>
      <name val="ＭＳ Ｐゴシック"/>
      <family val="3"/>
      <charset val="128"/>
    </font>
    <font>
      <sz val="11"/>
      <name val="ＭＳ 明朝"/>
      <family val="1"/>
      <charset val="128"/>
    </font>
    <font>
      <sz val="10"/>
      <name val="ＭＳ 明朝"/>
      <family val="1"/>
      <charset val="128"/>
    </font>
    <font>
      <b/>
      <sz val="11"/>
      <name val="ＭＳ Ｐゴシック"/>
      <family val="3"/>
      <charset val="128"/>
    </font>
    <font>
      <sz val="11"/>
      <color theme="1"/>
      <name val="ＭＳ Ｐゴシック"/>
      <family val="3"/>
      <charset val="128"/>
      <scheme val="minor"/>
    </font>
    <font>
      <u/>
      <sz val="11"/>
      <color theme="10"/>
      <name val="ＭＳ Ｐゴシック"/>
      <family val="3"/>
      <charset val="128"/>
    </font>
    <font>
      <b/>
      <sz val="11"/>
      <color rgb="FFFF0000"/>
      <name val="ＭＳ Ｐゴシック"/>
      <family val="3"/>
      <charset val="128"/>
    </font>
    <font>
      <sz val="12"/>
      <name val="ＭＳ Ｐゴシック"/>
      <family val="3"/>
      <charset val="128"/>
    </font>
    <font>
      <sz val="9"/>
      <color rgb="FF000000"/>
      <name val="Meiryo UI"/>
      <family val="3"/>
      <charset val="128"/>
    </font>
    <font>
      <sz val="9"/>
      <color theme="0"/>
      <name val="ＭＳ Ｐ明朝"/>
      <family val="1"/>
      <charset val="128"/>
    </font>
    <font>
      <b/>
      <sz val="9"/>
      <color rgb="FFFF0000"/>
      <name val="ＭＳ Ｐ明朝"/>
      <family val="1"/>
      <charset val="128"/>
    </font>
    <font>
      <b/>
      <sz val="12"/>
      <color rgb="FFFF0000"/>
      <name val="ＭＳ Ｐゴシック"/>
      <family val="3"/>
      <charset val="128"/>
    </font>
    <font>
      <b/>
      <sz val="12"/>
      <color theme="3" tint="0.39997558519241921"/>
      <name val="ＭＳ Ｐゴシック"/>
      <family val="3"/>
      <charset val="128"/>
    </font>
    <font>
      <b/>
      <sz val="12"/>
      <color rgb="FF0070C0"/>
      <name val="ＭＳ Ｐゴシック"/>
      <family val="3"/>
      <charset val="128"/>
    </font>
    <font>
      <b/>
      <sz val="12"/>
      <color rgb="FF00B050"/>
      <name val="ＭＳ Ｐゴシック"/>
      <family val="3"/>
      <charset val="128"/>
    </font>
    <font>
      <b/>
      <sz val="12"/>
      <name val="ＭＳ Ｐゴシック"/>
      <family val="3"/>
      <charset val="128"/>
    </font>
    <font>
      <sz val="16"/>
      <name val="ＭＳ Ｐゴシック"/>
      <family val="3"/>
      <charset val="128"/>
    </font>
    <font>
      <sz val="10"/>
      <name val="ＭＳ Ｐゴシック"/>
      <family val="3"/>
      <charset val="128"/>
    </font>
    <font>
      <sz val="6"/>
      <name val="ＭＳ Ｐゴシック"/>
      <family val="2"/>
      <charset val="128"/>
      <scheme val="minor"/>
    </font>
    <font>
      <b/>
      <u/>
      <sz val="11"/>
      <color rgb="FFFF0000"/>
      <name val="ＭＳ Ｐゴシック"/>
      <family val="3"/>
      <charset val="128"/>
    </font>
    <font>
      <sz val="11"/>
      <name val="ＭＳ Ｐゴシック"/>
      <family val="3"/>
      <charset val="128"/>
      <scheme val="major"/>
    </font>
    <font>
      <b/>
      <sz val="10"/>
      <name val="ＭＳ Ｐゴシック"/>
      <family val="3"/>
      <charset val="128"/>
    </font>
    <font>
      <sz val="12"/>
      <color theme="1"/>
      <name val="ＭＳ Ｐゴシック"/>
      <family val="3"/>
      <charset val="128"/>
    </font>
    <font>
      <sz val="9"/>
      <name val="ＭＳ 明朝"/>
      <family val="1"/>
      <charset val="128"/>
    </font>
    <font>
      <sz val="10.5"/>
      <name val="ＭＳ 明朝"/>
      <family val="1"/>
      <charset val="128"/>
    </font>
    <font>
      <b/>
      <sz val="8"/>
      <name val="ＭＳ Ｐゴシック"/>
      <family val="3"/>
      <charset val="128"/>
    </font>
    <font>
      <b/>
      <sz val="10"/>
      <name val="ＭＳ 明朝"/>
      <family val="1"/>
      <charset val="128"/>
    </font>
    <font>
      <sz val="10"/>
      <color theme="1"/>
      <name val="ＭＳ 明朝"/>
      <family val="1"/>
      <charset val="128"/>
    </font>
    <font>
      <b/>
      <sz val="10"/>
      <color indexed="8"/>
      <name val="ＭＳ 明朝"/>
      <family val="1"/>
      <charset val="128"/>
    </font>
    <font>
      <b/>
      <sz val="10"/>
      <color theme="1"/>
      <name val="ＭＳ 明朝"/>
      <family val="1"/>
      <charset val="128"/>
    </font>
    <font>
      <sz val="11"/>
      <color indexed="12"/>
      <name val="ＭＳ 明朝"/>
      <family val="1"/>
      <charset val="128"/>
    </font>
    <font>
      <b/>
      <sz val="11"/>
      <name val="ＭＳ 明朝"/>
      <family val="1"/>
      <charset val="128"/>
    </font>
    <font>
      <sz val="11"/>
      <color rgb="FFFF0000"/>
      <name val="ＭＳ Ｐゴシック"/>
      <family val="3"/>
      <charset val="128"/>
    </font>
    <font>
      <sz val="6"/>
      <name val="ＭＳ 明朝"/>
      <family val="1"/>
      <charset val="128"/>
    </font>
    <font>
      <sz val="8"/>
      <name val="ＭＳ 明朝"/>
      <family val="1"/>
      <charset val="128"/>
    </font>
    <font>
      <b/>
      <sz val="8"/>
      <name val="ＭＳ 明朝"/>
      <family val="1"/>
      <charset val="128"/>
    </font>
    <font>
      <sz val="9"/>
      <name val="ＭＳ Ｐゴシック"/>
      <family val="3"/>
      <charset val="128"/>
    </font>
    <font>
      <b/>
      <sz val="9"/>
      <name val="ＭＳ Ｐゴシック"/>
      <family val="3"/>
      <charset val="128"/>
    </font>
    <font>
      <u/>
      <sz val="11"/>
      <color theme="10"/>
      <name val="ＭＳ 明朝"/>
      <family val="1"/>
      <charset val="128"/>
    </font>
    <font>
      <vertAlign val="subscript"/>
      <sz val="16"/>
      <name val="ＭＳ Ｐゴシック"/>
      <family val="3"/>
      <charset val="128"/>
    </font>
    <font>
      <sz val="8"/>
      <color theme="0" tint="-0.14999847407452621"/>
      <name val="ＭＳ Ｐゴシック"/>
      <family val="3"/>
      <charset val="128"/>
    </font>
    <font>
      <b/>
      <sz val="16"/>
      <name val="ＭＳ Ｐゴシック"/>
      <family val="3"/>
      <charset val="128"/>
    </font>
    <font>
      <u/>
      <sz val="11"/>
      <color rgb="FF0563C1"/>
      <name val="ＭＳ Ｐゴシック"/>
      <family val="2"/>
      <charset val="128"/>
    </font>
    <font>
      <sz val="8"/>
      <color rgb="FFFF0000"/>
      <name val="ＭＳ Ｐゴシック"/>
      <family val="3"/>
      <charset val="128"/>
    </font>
    <font>
      <sz val="11"/>
      <color theme="1"/>
      <name val="ＭＳ Ｐゴシック"/>
      <family val="2"/>
      <scheme val="minor"/>
    </font>
    <font>
      <sz val="8"/>
      <color theme="1"/>
      <name val="ＭＳ Ｐゴシック"/>
      <family val="2"/>
      <scheme val="minor"/>
    </font>
    <font>
      <b/>
      <sz val="18"/>
      <color theme="1"/>
      <name val="メイリオ"/>
      <family val="3"/>
      <charset val="128"/>
    </font>
    <font>
      <b/>
      <sz val="18"/>
      <name val="メイリオ"/>
      <family val="3"/>
      <charset val="128"/>
    </font>
    <font>
      <b/>
      <sz val="11"/>
      <color theme="1"/>
      <name val="メイリオ"/>
      <family val="3"/>
      <charset val="128"/>
    </font>
    <font>
      <sz val="9"/>
      <color theme="1"/>
      <name val="HG丸ｺﾞｼｯｸM-PRO"/>
      <family val="3"/>
      <charset val="128"/>
    </font>
    <font>
      <sz val="9"/>
      <color indexed="8"/>
      <name val="HG丸ｺﾞｼｯｸM-PRO"/>
      <family val="3"/>
      <charset val="128"/>
    </font>
    <font>
      <sz val="8"/>
      <color indexed="8"/>
      <name val="HG丸ｺﾞｼｯｸM-PRO"/>
      <family val="3"/>
      <charset val="128"/>
    </font>
    <font>
      <sz val="14"/>
      <color theme="1"/>
      <name val="HG丸ｺﾞｼｯｸM-PRO"/>
      <family val="3"/>
      <charset val="128"/>
    </font>
    <font>
      <sz val="8"/>
      <color theme="1"/>
      <name val="HG丸ｺﾞｼｯｸM-PRO"/>
      <family val="3"/>
      <charset val="128"/>
    </font>
    <font>
      <sz val="12"/>
      <color theme="1"/>
      <name val="HG丸ｺﾞｼｯｸM-PRO"/>
      <family val="3"/>
      <charset val="128"/>
    </font>
    <font>
      <sz val="8"/>
      <name val="HG丸ｺﾞｼｯｸM-PRO"/>
      <family val="3"/>
      <charset val="128"/>
    </font>
    <font>
      <b/>
      <sz val="8"/>
      <name val="HG丸ｺﾞｼｯｸM-PRO"/>
      <family val="3"/>
      <charset val="128"/>
    </font>
    <font>
      <sz val="7"/>
      <name val="HG丸ｺﾞｼｯｸM-PRO"/>
      <family val="3"/>
      <charset val="128"/>
    </font>
    <font>
      <sz val="7"/>
      <name val="ＭＳ Ｐゴシック"/>
      <family val="3"/>
      <charset val="128"/>
    </font>
    <font>
      <sz val="8"/>
      <color rgb="FFFF0000"/>
      <name val="HG丸ｺﾞｼｯｸM-PRO"/>
      <family val="3"/>
      <charset val="128"/>
    </font>
    <font>
      <b/>
      <sz val="8"/>
      <color rgb="FFFF0000"/>
      <name val="HG丸ｺﾞｼｯｸM-PRO"/>
      <family val="3"/>
      <charset val="128"/>
    </font>
    <font>
      <sz val="6"/>
      <color theme="1"/>
      <name val="HG丸ｺﾞｼｯｸM-PRO"/>
      <family val="3"/>
      <charset val="128"/>
    </font>
    <font>
      <sz val="11"/>
      <color theme="1"/>
      <name val="HG丸ｺﾞｼｯｸM-PRO"/>
      <family val="3"/>
      <charset val="128"/>
    </font>
    <font>
      <sz val="10"/>
      <color theme="1"/>
      <name val="HG丸ｺﾞｼｯｸM-PRO"/>
      <family val="3"/>
      <charset val="128"/>
    </font>
    <font>
      <sz val="6"/>
      <name val="HG丸ｺﾞｼｯｸM-PRO"/>
      <family val="3"/>
      <charset val="128"/>
    </font>
    <font>
      <sz val="11"/>
      <name val="HG丸ｺﾞｼｯｸM-PRO"/>
      <family val="3"/>
      <charset val="128"/>
    </font>
    <font>
      <sz val="6"/>
      <name val="ＭＳ Ｐゴシック"/>
      <family val="3"/>
      <charset val="128"/>
      <scheme val="minor"/>
    </font>
    <font>
      <sz val="9"/>
      <color theme="1"/>
      <name val="ＭＳ Ｐゴシック"/>
      <family val="2"/>
      <scheme val="minor"/>
    </font>
    <font>
      <b/>
      <sz val="18"/>
      <color indexed="81"/>
      <name val="Meiryo UI"/>
      <family val="3"/>
      <charset val="128"/>
    </font>
    <font>
      <sz val="12"/>
      <color indexed="81"/>
      <name val="Meiryo UI"/>
      <family val="3"/>
      <charset val="128"/>
    </font>
    <font>
      <sz val="36"/>
      <name val="ＭＳ Ｐゴシック"/>
      <family val="3"/>
      <charset val="128"/>
    </font>
    <font>
      <u/>
      <sz val="11"/>
      <color theme="10"/>
      <name val="ＭＳ Ｐゴシック"/>
      <family val="3"/>
      <charset val="128"/>
      <scheme val="major"/>
    </font>
    <font>
      <b/>
      <sz val="11"/>
      <color rgb="FFFF0000"/>
      <name val="ＭＳ Ｐゴシック"/>
      <family val="3"/>
      <charset val="128"/>
      <scheme val="major"/>
    </font>
    <font>
      <sz val="12"/>
      <name val="ＭＳ Ｐゴシック"/>
      <family val="3"/>
      <charset val="128"/>
      <scheme val="major"/>
    </font>
    <font>
      <sz val="16"/>
      <name val="ＭＳ Ｐゴシック"/>
      <family val="3"/>
      <charset val="128"/>
      <scheme val="major"/>
    </font>
    <font>
      <sz val="8"/>
      <name val="ＭＳ Ｐゴシック"/>
      <family val="3"/>
      <charset val="128"/>
      <scheme val="major"/>
    </font>
    <font>
      <b/>
      <sz val="11"/>
      <name val="ＭＳ Ｐゴシック"/>
      <family val="3"/>
      <charset val="128"/>
      <scheme val="major"/>
    </font>
    <font>
      <b/>
      <sz val="12"/>
      <color rgb="FFFF0000"/>
      <name val="ＭＳ Ｐゴシック"/>
      <family val="3"/>
      <charset val="128"/>
      <scheme val="major"/>
    </font>
    <font>
      <sz val="10"/>
      <name val="ＭＳ Ｐゴシック"/>
      <family val="3"/>
      <charset val="128"/>
      <scheme val="major"/>
    </font>
    <font>
      <b/>
      <sz val="10"/>
      <name val="ＭＳ Ｐゴシック"/>
      <family val="3"/>
      <charset val="128"/>
      <scheme val="major"/>
    </font>
    <font>
      <u/>
      <sz val="11"/>
      <name val="ＭＳ Ｐゴシック"/>
      <family val="3"/>
      <charset val="128"/>
      <scheme val="major"/>
    </font>
    <font>
      <b/>
      <sz val="22"/>
      <color theme="1"/>
      <name val="メイリオ"/>
      <family val="3"/>
      <charset val="128"/>
    </font>
    <font>
      <sz val="22"/>
      <color theme="0"/>
      <name val="メイリオ"/>
      <family val="3"/>
      <charset val="128"/>
    </font>
    <font>
      <sz val="10"/>
      <color theme="1"/>
      <name val="メイリオ"/>
      <family val="3"/>
      <charset val="128"/>
    </font>
    <font>
      <sz val="12"/>
      <color theme="1"/>
      <name val="メイリオ"/>
      <family val="3"/>
      <charset val="128"/>
    </font>
    <font>
      <b/>
      <sz val="12"/>
      <color theme="1"/>
      <name val="メイリオ"/>
      <family val="3"/>
      <charset val="128"/>
    </font>
    <font>
      <sz val="10.5"/>
      <color theme="1"/>
      <name val="HG丸ｺﾞｼｯｸM-PRO"/>
      <family val="3"/>
      <charset val="128"/>
    </font>
    <font>
      <b/>
      <u/>
      <sz val="12"/>
      <color theme="1"/>
      <name val="メイリオ"/>
      <family val="3"/>
      <charset val="128"/>
    </font>
    <font>
      <sz val="11"/>
      <color theme="1"/>
      <name val="メイリオ"/>
      <family val="3"/>
      <charset val="128"/>
    </font>
    <font>
      <sz val="12"/>
      <color rgb="FFFF0000"/>
      <name val="メイリオ"/>
      <family val="3"/>
      <charset val="128"/>
    </font>
    <font>
      <sz val="12"/>
      <color rgb="FF99FF33"/>
      <name val="メイリオ"/>
      <family val="3"/>
      <charset val="128"/>
    </font>
    <font>
      <u/>
      <sz val="12"/>
      <color theme="1"/>
      <name val="メイリオ"/>
      <family val="3"/>
      <charset val="128"/>
    </font>
    <font>
      <sz val="8"/>
      <color theme="1"/>
      <name val="ＭＳ Ｐゴシック"/>
      <family val="3"/>
      <charset val="128"/>
      <scheme val="minor"/>
    </font>
    <font>
      <sz val="9"/>
      <name val="メイリオ"/>
      <family val="3"/>
      <charset val="128"/>
    </font>
    <font>
      <sz val="9"/>
      <color theme="1"/>
      <name val="メイリオ"/>
      <family val="3"/>
      <charset val="128"/>
    </font>
    <font>
      <sz val="10"/>
      <name val="Meiryo UI"/>
      <family val="3"/>
      <charset val="128"/>
    </font>
    <font>
      <b/>
      <sz val="18"/>
      <name val="ＭＳ Ｐゴシック"/>
      <family val="3"/>
      <charset val="128"/>
    </font>
    <font>
      <sz val="48"/>
      <name val="ＭＳ Ｐゴシック"/>
      <family val="3"/>
      <charset val="128"/>
    </font>
    <font>
      <b/>
      <sz val="24"/>
      <name val="ＭＳ Ｐゴシック"/>
      <family val="3"/>
      <charset val="128"/>
    </font>
    <font>
      <b/>
      <sz val="48"/>
      <color indexed="81"/>
      <name val="Meiryo UI"/>
      <family val="3"/>
      <charset val="128"/>
    </font>
    <font>
      <b/>
      <sz val="20"/>
      <color theme="1"/>
      <name val="ＭＳ Ｐゴシック"/>
      <family val="3"/>
      <charset val="128"/>
      <scheme val="minor"/>
    </font>
    <font>
      <b/>
      <sz val="16"/>
      <color theme="1"/>
      <name val="ＭＳ Ｐゴシック"/>
      <family val="3"/>
      <charset val="128"/>
      <scheme val="minor"/>
    </font>
    <font>
      <b/>
      <sz val="9"/>
      <color theme="1"/>
      <name val="ＭＳ Ｐゴシック"/>
      <family val="3"/>
      <charset val="128"/>
      <scheme val="minor"/>
    </font>
    <font>
      <b/>
      <sz val="12"/>
      <color theme="1"/>
      <name val="ＭＳ Ｐゴシック"/>
      <family val="3"/>
      <charset val="128"/>
      <scheme val="minor"/>
    </font>
    <font>
      <sz val="11"/>
      <name val="Meiryo UI"/>
      <family val="3"/>
      <charset val="128"/>
    </font>
    <font>
      <u/>
      <sz val="11"/>
      <color theme="10"/>
      <name val="Meiryo UI"/>
      <family val="3"/>
      <charset val="128"/>
    </font>
    <font>
      <b/>
      <sz val="11"/>
      <name val="Meiryo UI"/>
      <family val="3"/>
      <charset val="128"/>
    </font>
    <font>
      <b/>
      <sz val="11"/>
      <color rgb="FFFF0000"/>
      <name val="Meiryo UI"/>
      <family val="3"/>
      <charset val="128"/>
    </font>
    <font>
      <sz val="11"/>
      <color theme="1"/>
      <name val="ＭＳ Ｐゴシック"/>
      <family val="1"/>
      <charset val="128"/>
      <scheme val="minor"/>
    </font>
    <font>
      <b/>
      <sz val="10"/>
      <color theme="1"/>
      <name val="Meiryo UI"/>
      <family val="3"/>
      <charset val="128"/>
    </font>
    <font>
      <sz val="6"/>
      <name val="ＭＳ Ｐゴシック"/>
      <family val="1"/>
      <charset val="128"/>
      <scheme val="minor"/>
    </font>
    <font>
      <sz val="10"/>
      <color theme="1"/>
      <name val="Meiryo UI"/>
      <family val="3"/>
      <charset val="128"/>
    </font>
    <font>
      <b/>
      <sz val="11"/>
      <color theme="1"/>
      <name val="Meiryo UI"/>
      <family val="3"/>
      <charset val="128"/>
    </font>
    <font>
      <sz val="11"/>
      <color theme="1"/>
      <name val="Meiryo UI"/>
      <family val="3"/>
      <charset val="128"/>
    </font>
    <font>
      <u/>
      <sz val="11"/>
      <color theme="1"/>
      <name val="Meiryo UI"/>
      <family val="3"/>
      <charset val="128"/>
    </font>
    <font>
      <b/>
      <sz val="18"/>
      <color rgb="FFFF0000"/>
      <name val="メイリオ"/>
      <family val="3"/>
      <charset val="128"/>
    </font>
    <font>
      <sz val="9"/>
      <name val="ＭＳ Ｐゴシック"/>
      <family val="3"/>
      <charset val="128"/>
      <scheme val="major"/>
    </font>
    <font>
      <b/>
      <sz val="15"/>
      <color theme="3"/>
      <name val="ＭＳ Ｐゴシック"/>
      <family val="2"/>
      <charset val="128"/>
    </font>
    <font>
      <sz val="6"/>
      <name val="ＭＳ Ｐゴシック"/>
      <family val="2"/>
      <charset val="128"/>
    </font>
    <font>
      <u/>
      <sz val="28"/>
      <color theme="10"/>
      <name val="ＭＳ Ｐゴシック"/>
      <family val="3"/>
      <charset val="128"/>
    </font>
    <font>
      <b/>
      <sz val="20"/>
      <color indexed="81"/>
      <name val="Meiryo UI"/>
      <family val="3"/>
      <charset val="128"/>
    </font>
    <font>
      <sz val="20"/>
      <color indexed="81"/>
      <name val="Meiryo UI"/>
      <family val="3"/>
      <charset val="128"/>
    </font>
    <font>
      <sz val="11"/>
      <color rgb="FFFF0000"/>
      <name val="ＭＳ Ｐゴシック"/>
      <family val="3"/>
      <charset val="128"/>
      <scheme val="major"/>
    </font>
    <font>
      <sz val="18"/>
      <color theme="3"/>
      <name val="ＭＳ Ｐゴシック"/>
      <family val="2"/>
      <charset val="128"/>
      <scheme val="major"/>
    </font>
    <font>
      <sz val="11"/>
      <color theme="1"/>
      <name val="ＭＳ Ｐゴシック"/>
      <family val="3"/>
      <charset val="128"/>
    </font>
    <font>
      <b/>
      <sz val="15"/>
      <color theme="3"/>
      <name val="ＭＳ Ｐゴシック"/>
      <family val="2"/>
      <charset val="128"/>
      <scheme val="minor"/>
    </font>
    <font>
      <u/>
      <sz val="16"/>
      <color theme="10"/>
      <name val="ＭＳ Ｐゴシック"/>
      <family val="3"/>
      <charset val="128"/>
    </font>
    <font>
      <sz val="11"/>
      <color theme="0" tint="-0.499984740745262"/>
      <name val="ＭＳ Ｐゴシック"/>
      <family val="3"/>
      <charset val="128"/>
    </font>
    <font>
      <sz val="11"/>
      <color theme="0" tint="-0.499984740745262"/>
      <name val="ＭＳ Ｐゴシック"/>
      <family val="3"/>
      <charset val="128"/>
      <scheme val="major"/>
    </font>
    <font>
      <b/>
      <sz val="10"/>
      <name val="HG丸ｺﾞｼｯｸM-PRO"/>
      <family val="3"/>
      <charset val="128"/>
    </font>
    <font>
      <b/>
      <sz val="14"/>
      <color rgb="FFFF0000"/>
      <name val="HG丸ｺﾞｼｯｸM-PRO"/>
      <family val="3"/>
      <charset val="128"/>
    </font>
    <font>
      <sz val="11"/>
      <name val="BIZ UDPゴシック"/>
      <family val="3"/>
      <charset val="128"/>
    </font>
    <font>
      <sz val="12"/>
      <name val="BIZ UDPゴシック"/>
      <family val="3"/>
      <charset val="128"/>
    </font>
    <font>
      <sz val="16"/>
      <name val="BIZ UDPゴシック"/>
      <family val="3"/>
      <charset val="128"/>
    </font>
    <font>
      <b/>
      <sz val="12"/>
      <color rgb="FFFF0000"/>
      <name val="BIZ UDPゴシック"/>
      <family val="3"/>
      <charset val="128"/>
    </font>
    <font>
      <sz val="11"/>
      <color rgb="FFFF0000"/>
      <name val="BIZ UDPゴシック"/>
      <family val="3"/>
      <charset val="128"/>
    </font>
    <font>
      <sz val="14"/>
      <name val="BIZ UDPゴシック"/>
      <family val="3"/>
      <charset val="128"/>
    </font>
    <font>
      <sz val="11"/>
      <color rgb="FFFF0000"/>
      <name val="ＭＳ Ｐゴシック"/>
      <family val="3"/>
      <charset val="128"/>
      <scheme val="minor"/>
    </font>
    <font>
      <sz val="11"/>
      <name val="メイリオ"/>
      <family val="3"/>
      <charset val="128"/>
    </font>
    <font>
      <b/>
      <sz val="16"/>
      <name val="メイリオ"/>
      <family val="3"/>
      <charset val="128"/>
    </font>
    <font>
      <b/>
      <sz val="11"/>
      <name val="メイリオ"/>
      <family val="3"/>
      <charset val="128"/>
    </font>
    <font>
      <sz val="11"/>
      <name val="游ゴシック"/>
      <family val="3"/>
      <charset val="128"/>
    </font>
    <font>
      <b/>
      <sz val="12"/>
      <color theme="1"/>
      <name val="ＭＳ Ｐゴシック"/>
      <family val="3"/>
      <charset val="128"/>
      <scheme val="major"/>
    </font>
    <font>
      <b/>
      <sz val="8"/>
      <color rgb="FFFF0000"/>
      <name val="ＭＳ Ｐゴシック"/>
      <family val="3"/>
      <charset val="128"/>
      <scheme val="major"/>
    </font>
    <font>
      <b/>
      <sz val="10"/>
      <color rgb="FFFF0000"/>
      <name val="ＭＳ Ｐゴシック"/>
      <family val="3"/>
      <charset val="128"/>
      <scheme val="major"/>
    </font>
    <font>
      <u/>
      <sz val="12"/>
      <color theme="10"/>
      <name val="ＭＳ Ｐゴシック"/>
      <family val="3"/>
      <charset val="128"/>
      <scheme val="major"/>
    </font>
    <font>
      <b/>
      <sz val="12"/>
      <color theme="3" tint="0.39997558519241921"/>
      <name val="ＭＳ Ｐゴシック"/>
      <family val="3"/>
      <charset val="128"/>
      <scheme val="major"/>
    </font>
    <font>
      <sz val="11.5"/>
      <name val="ＭＳ Ｐゴシック"/>
      <family val="3"/>
      <charset val="128"/>
      <scheme val="major"/>
    </font>
    <font>
      <b/>
      <sz val="12"/>
      <color rgb="FF0070C0"/>
      <name val="ＭＳ Ｐゴシック"/>
      <family val="3"/>
      <charset val="128"/>
      <scheme val="major"/>
    </font>
    <font>
      <b/>
      <sz val="12"/>
      <color rgb="FF00B050"/>
      <name val="ＭＳ Ｐゴシック"/>
      <family val="3"/>
      <charset val="128"/>
      <scheme val="major"/>
    </font>
    <font>
      <b/>
      <u/>
      <sz val="11"/>
      <color theme="10"/>
      <name val="ＭＳ Ｐゴシック"/>
      <family val="3"/>
      <charset val="128"/>
      <scheme val="major"/>
    </font>
    <font>
      <b/>
      <u/>
      <sz val="11"/>
      <color rgb="FFFF0000"/>
      <name val="ＭＳ Ｐゴシック"/>
      <family val="3"/>
      <charset val="128"/>
      <scheme val="major"/>
    </font>
    <font>
      <b/>
      <sz val="11"/>
      <color rgb="FFFF0000"/>
      <name val="メイリオ"/>
      <family val="3"/>
      <charset val="128"/>
    </font>
    <font>
      <sz val="12"/>
      <name val="メイリオ"/>
      <family val="3"/>
      <charset val="128"/>
    </font>
    <font>
      <sz val="10"/>
      <name val="BIZ UDPゴシック"/>
      <family val="3"/>
      <charset val="128"/>
    </font>
    <font>
      <b/>
      <sz val="10"/>
      <color rgb="FFFF0000"/>
      <name val="BIZ UDPゴシック"/>
      <family val="3"/>
      <charset val="128"/>
    </font>
    <font>
      <b/>
      <sz val="11"/>
      <color theme="0"/>
      <name val="游ゴシック"/>
      <family val="3"/>
      <charset val="128"/>
    </font>
    <font>
      <b/>
      <sz val="12"/>
      <name val="メイリオ"/>
      <family val="3"/>
      <charset val="128"/>
    </font>
    <font>
      <b/>
      <sz val="14"/>
      <name val="メイリオ"/>
      <family val="3"/>
      <charset val="128"/>
    </font>
    <font>
      <b/>
      <sz val="20"/>
      <name val="メイリオ"/>
      <family val="3"/>
      <charset val="128"/>
    </font>
    <font>
      <b/>
      <sz val="9"/>
      <name val="メイリオ"/>
      <family val="3"/>
      <charset val="128"/>
    </font>
    <font>
      <b/>
      <sz val="8"/>
      <color rgb="FFFF0000"/>
      <name val="メイリオ"/>
      <family val="3"/>
      <charset val="128"/>
    </font>
    <font>
      <sz val="11"/>
      <color rgb="FF0070C0"/>
      <name val="BIZ UDPゴシック"/>
      <family val="3"/>
      <charset val="128"/>
    </font>
    <font>
      <sz val="11"/>
      <color theme="1"/>
      <name val="ＭＳ 明朝"/>
      <family val="1"/>
      <charset val="128"/>
    </font>
    <font>
      <b/>
      <sz val="10"/>
      <color rgb="FFFF0000"/>
      <name val="メイリオ"/>
      <family val="3"/>
      <charset val="128"/>
    </font>
    <font>
      <b/>
      <sz val="16"/>
      <color rgb="FFFF0000"/>
      <name val="BIZ UDPゴシック"/>
      <family val="3"/>
      <charset val="128"/>
    </font>
    <font>
      <sz val="16"/>
      <color rgb="FF0070C0"/>
      <name val="BIZ UDPゴシック"/>
      <family val="3"/>
      <charset val="128"/>
    </font>
    <font>
      <u/>
      <sz val="11"/>
      <color theme="10"/>
      <name val="メイリオ"/>
      <family val="3"/>
      <charset val="128"/>
    </font>
    <font>
      <sz val="11"/>
      <color rgb="FFFF0000"/>
      <name val="メイリオ"/>
      <family val="3"/>
      <charset val="128"/>
    </font>
    <font>
      <sz val="12"/>
      <color theme="0" tint="-0.249977111117893"/>
      <name val="ＭＳ Ｐゴシック"/>
      <family val="3"/>
      <charset val="128"/>
      <scheme val="major"/>
    </font>
    <font>
      <sz val="11"/>
      <color theme="0" tint="-0.249977111117893"/>
      <name val="ＭＳ Ｐゴシック"/>
      <family val="3"/>
      <charset val="128"/>
      <scheme val="major"/>
    </font>
    <font>
      <sz val="9"/>
      <name val="ＭＳ ゴシック"/>
      <family val="3"/>
      <charset val="128"/>
    </font>
    <font>
      <sz val="11"/>
      <color rgb="FFFF0000"/>
      <name val="Yu Gothic UI"/>
      <family val="3"/>
      <charset val="128"/>
    </font>
    <font>
      <sz val="11"/>
      <name val="Yu Gothic UI"/>
      <family val="3"/>
      <charset val="128"/>
    </font>
    <font>
      <sz val="12"/>
      <name val="Yu Gothic UI"/>
      <family val="3"/>
      <charset val="128"/>
    </font>
    <font>
      <b/>
      <sz val="11"/>
      <color rgb="FFFF0000"/>
      <name val="Yu Gothic UI"/>
      <family val="3"/>
      <charset val="128"/>
    </font>
    <font>
      <sz val="16"/>
      <name val="Yu Gothic UI"/>
      <family val="3"/>
      <charset val="128"/>
    </font>
    <font>
      <sz val="10"/>
      <name val="Yu Gothic UI"/>
      <family val="3"/>
      <charset val="128"/>
    </font>
    <font>
      <sz val="11"/>
      <color theme="0" tint="-0.249977111117893"/>
      <name val="Yu Gothic UI"/>
      <family val="3"/>
      <charset val="128"/>
    </font>
    <font>
      <sz val="16"/>
      <name val="メイリオ"/>
      <family val="3"/>
      <charset val="128"/>
    </font>
    <font>
      <sz val="11"/>
      <color rgb="FFFF0000"/>
      <name val="HG丸ｺﾞｼｯｸM-PRO"/>
      <family val="3"/>
      <charset val="128"/>
    </font>
    <font>
      <b/>
      <sz val="11"/>
      <color rgb="FFFF0000"/>
      <name val="BIZ UDPゴシック"/>
      <family val="3"/>
      <charset val="128"/>
    </font>
    <font>
      <b/>
      <sz val="11"/>
      <name val="BIZ UDPゴシック"/>
      <family val="3"/>
      <charset val="128"/>
    </font>
    <font>
      <sz val="10"/>
      <color rgb="FFFF0000"/>
      <name val="BIZ UDPゴシック"/>
      <family val="3"/>
      <charset val="128"/>
    </font>
    <font>
      <sz val="12"/>
      <color rgb="FFFF0000"/>
      <name val="HG丸ｺﾞｼｯｸM-PRO"/>
      <family val="3"/>
      <charset val="128"/>
    </font>
    <font>
      <sz val="10"/>
      <color rgb="FFFF0000"/>
      <name val="HG丸ｺﾞｼｯｸM-PRO"/>
      <family val="3"/>
      <charset val="128"/>
    </font>
    <font>
      <b/>
      <sz val="11"/>
      <color rgb="FFFF0000"/>
      <name val="ＭＳ Ｐゴシック"/>
      <family val="3"/>
      <charset val="128"/>
      <scheme val="minor"/>
    </font>
    <font>
      <b/>
      <sz val="16"/>
      <color theme="1"/>
      <name val="メイリオ"/>
      <family val="3"/>
      <charset val="128"/>
    </font>
    <font>
      <u/>
      <sz val="11"/>
      <color theme="1"/>
      <name val="ＭＳ Ｐゴシック"/>
      <family val="3"/>
      <charset val="128"/>
    </font>
    <font>
      <sz val="8"/>
      <color theme="1"/>
      <name val="ＭＳ 明朝"/>
      <family val="1"/>
      <charset val="128"/>
    </font>
    <font>
      <b/>
      <sz val="11"/>
      <color theme="1"/>
      <name val="ＭＳ 明朝"/>
      <family val="1"/>
      <charset val="128"/>
    </font>
    <font>
      <sz val="9"/>
      <color theme="1"/>
      <name val="ＭＳ 明朝"/>
      <family val="1"/>
      <charset val="128"/>
    </font>
    <font>
      <b/>
      <sz val="11"/>
      <color theme="1"/>
      <name val="ＭＳ Ｐゴシック"/>
      <family val="3"/>
      <charset val="128"/>
    </font>
    <font>
      <b/>
      <sz val="10"/>
      <color theme="1"/>
      <name val="ＭＳ Ｐゴシック"/>
      <family val="3"/>
      <charset val="128"/>
    </font>
    <font>
      <sz val="10.5"/>
      <color theme="1"/>
      <name val="ＭＳ 明朝"/>
      <family val="1"/>
      <charset val="128"/>
    </font>
    <font>
      <sz val="6"/>
      <color theme="1"/>
      <name val="ＭＳ 明朝"/>
      <family val="1"/>
      <charset val="128"/>
    </font>
    <font>
      <b/>
      <sz val="9"/>
      <color theme="1"/>
      <name val="ＭＳ 明朝"/>
      <family val="1"/>
      <charset val="128"/>
    </font>
    <font>
      <sz val="11"/>
      <name val="HGS創英角ｺﾞｼｯｸUB"/>
      <family val="3"/>
      <charset val="128"/>
    </font>
    <font>
      <sz val="14"/>
      <name val="ＭＳ Ｐゴシック"/>
      <family val="3"/>
      <charset val="128"/>
    </font>
    <font>
      <b/>
      <u/>
      <sz val="11"/>
      <color theme="10"/>
      <name val="ＭＳ Ｐゴシック"/>
      <family val="3"/>
      <charset val="128"/>
    </font>
    <font>
      <b/>
      <sz val="9"/>
      <name val="BIZ UDPゴシック"/>
      <family val="3"/>
      <charset val="128"/>
    </font>
    <font>
      <sz val="9"/>
      <name val="BIZ UDPゴシック"/>
      <family val="3"/>
      <charset val="128"/>
    </font>
  </fonts>
  <fills count="4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B5FBFD"/>
        <bgColor indexed="64"/>
      </patternFill>
    </fill>
    <fill>
      <patternFill patternType="solid">
        <fgColor rgb="FFFF0000"/>
        <bgColor indexed="64"/>
      </patternFill>
    </fill>
    <fill>
      <patternFill patternType="solid">
        <fgColor rgb="FF00B0F0"/>
        <bgColor indexed="64"/>
      </patternFill>
    </fill>
    <fill>
      <patternFill patternType="solid">
        <fgColor rgb="FFFFFF66"/>
        <bgColor indexed="64"/>
      </patternFill>
    </fill>
    <fill>
      <patternFill patternType="solid">
        <fgColor rgb="FF99FF33"/>
        <bgColor indexed="64"/>
      </patternFill>
    </fill>
    <fill>
      <patternFill patternType="solid">
        <fgColor rgb="FFFFC000"/>
        <bgColor indexed="64"/>
      </patternFill>
    </fill>
    <fill>
      <patternFill patternType="solid">
        <fgColor theme="0" tint="-0.14996795556505021"/>
        <bgColor indexed="64"/>
      </patternFill>
    </fill>
    <fill>
      <patternFill patternType="solid">
        <fgColor rgb="FF9966FF"/>
        <bgColor indexed="64"/>
      </patternFill>
    </fill>
    <fill>
      <patternFill patternType="solid">
        <fgColor rgb="FFFFCCCC"/>
        <bgColor indexed="64"/>
      </patternFill>
    </fill>
    <fill>
      <patternFill patternType="solid">
        <fgColor theme="2" tint="-0.499984740745262"/>
        <bgColor indexed="64"/>
      </patternFill>
    </fill>
    <fill>
      <patternFill patternType="solid">
        <fgColor theme="7" tint="0.39997558519241921"/>
        <bgColor indexed="64"/>
      </patternFill>
    </fill>
    <fill>
      <patternFill patternType="solid">
        <fgColor rgb="FFD9D9D9"/>
        <bgColor indexed="64"/>
      </patternFill>
    </fill>
    <fill>
      <patternFill patternType="solid">
        <fgColor theme="1"/>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9"/>
        <bgColor theme="9"/>
      </patternFill>
    </fill>
    <fill>
      <patternFill patternType="solid">
        <fgColor theme="4"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0" tint="-0.24994659260841701"/>
        <bgColor indexed="64"/>
      </patternFill>
    </fill>
    <fill>
      <patternFill patternType="solid">
        <fgColor theme="2" tint="-9.9978637043366805E-2"/>
        <bgColor indexed="64"/>
      </patternFill>
    </fill>
    <fill>
      <patternFill patternType="solid">
        <fgColor theme="2" tint="-9.9948118533890809E-2"/>
        <bgColor indexed="64"/>
      </patternFill>
    </fill>
    <fill>
      <patternFill patternType="solid">
        <fgColor theme="9" tint="-0.24994659260841701"/>
        <bgColor indexed="64"/>
      </patternFill>
    </fill>
    <fill>
      <patternFill patternType="solid">
        <fgColor theme="6"/>
        <bgColor indexed="64"/>
      </patternFill>
    </fill>
    <fill>
      <patternFill patternType="solid">
        <fgColor theme="8" tint="0.79998168889431442"/>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79998168889431442"/>
        <bgColor indexed="64"/>
      </patternFill>
    </fill>
  </fills>
  <borders count="205">
    <border>
      <left/>
      <right/>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medium">
        <color indexed="64"/>
      </top>
      <bottom/>
      <diagonal/>
    </border>
    <border>
      <left/>
      <right/>
      <top style="hair">
        <color auto="1"/>
      </top>
      <bottom style="hair">
        <color auto="1"/>
      </bottom>
      <diagonal/>
    </border>
    <border>
      <left/>
      <right/>
      <top/>
      <bottom style="hair">
        <color auto="1"/>
      </bottom>
      <diagonal/>
    </border>
    <border>
      <left/>
      <right/>
      <top style="thin">
        <color indexed="64"/>
      </top>
      <bottom style="hair">
        <color auto="1"/>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hair">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hair">
        <color auto="1"/>
      </top>
      <bottom style="thin">
        <color indexed="64"/>
      </bottom>
      <diagonal/>
    </border>
    <border>
      <left/>
      <right style="medium">
        <color indexed="64"/>
      </right>
      <top/>
      <bottom style="hair">
        <color auto="1"/>
      </bottom>
      <diagonal/>
    </border>
    <border>
      <left/>
      <right style="medium">
        <color indexed="64"/>
      </right>
      <top style="hair">
        <color auto="1"/>
      </top>
      <bottom style="hair">
        <color auto="1"/>
      </bottom>
      <diagonal/>
    </border>
    <border>
      <left/>
      <right style="medium">
        <color indexed="64"/>
      </right>
      <top style="thin">
        <color indexed="64"/>
      </top>
      <bottom style="hair">
        <color indexed="64"/>
      </bottom>
      <diagonal/>
    </border>
    <border>
      <left/>
      <right style="thin">
        <color indexed="64"/>
      </right>
      <top style="thin">
        <color indexed="64"/>
      </top>
      <bottom style="dotted">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rgb="FFFF0000"/>
      </top>
      <bottom/>
      <diagonal/>
    </border>
    <border>
      <left style="medium">
        <color indexed="64"/>
      </left>
      <right/>
      <top style="thin">
        <color indexed="64"/>
      </top>
      <bottom style="thin">
        <color indexed="64"/>
      </bottom>
      <diagonal/>
    </border>
    <border>
      <left/>
      <right/>
      <top style="hair">
        <color auto="1"/>
      </top>
      <bottom/>
      <diagonal/>
    </border>
    <border>
      <left/>
      <right style="medium">
        <color indexed="64"/>
      </right>
      <top style="hair">
        <color indexed="64"/>
      </top>
      <bottom/>
      <diagonal/>
    </border>
    <border>
      <left/>
      <right style="thin">
        <color indexed="64"/>
      </right>
      <top style="hair">
        <color indexed="64"/>
      </top>
      <bottom style="hair">
        <color indexed="64"/>
      </bottom>
      <diagonal/>
    </border>
    <border>
      <left style="medium">
        <color indexed="64"/>
      </left>
      <right/>
      <top style="thin">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top style="thin">
        <color indexed="64"/>
      </top>
      <bottom style="double">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double">
        <color indexed="64"/>
      </top>
      <bottom/>
      <diagonal/>
    </border>
    <border>
      <left/>
      <right/>
      <top style="double">
        <color indexed="64"/>
      </top>
      <bottom/>
      <diagonal/>
    </border>
    <border>
      <left style="thin">
        <color theme="0" tint="-4.9989318521683403E-2"/>
      </left>
      <right style="thin">
        <color theme="0" tint="-4.9989318521683403E-2"/>
      </right>
      <top style="thin">
        <color indexed="64"/>
      </top>
      <bottom style="thin">
        <color indexed="64"/>
      </bottom>
      <diagonal/>
    </border>
    <border>
      <left style="hair">
        <color theme="0" tint="-4.9989318521683403E-2"/>
      </left>
      <right style="hair">
        <color theme="0" tint="-4.9989318521683403E-2"/>
      </right>
      <top style="hair">
        <color indexed="64"/>
      </top>
      <bottom style="medium">
        <color indexed="64"/>
      </bottom>
      <diagonal/>
    </border>
    <border>
      <left style="thin">
        <color theme="0" tint="-4.9989318521683403E-2"/>
      </left>
      <right style="thin">
        <color theme="0" tint="-4.9989318521683403E-2"/>
      </right>
      <top style="hair">
        <color indexed="64"/>
      </top>
      <bottom style="medium">
        <color indexed="64"/>
      </bottom>
      <diagonal/>
    </border>
    <border>
      <left style="thin">
        <color theme="0" tint="-4.9989318521683403E-2"/>
      </left>
      <right style="thin">
        <color theme="0" tint="-4.9989318521683403E-2"/>
      </right>
      <top style="hair">
        <color auto="1"/>
      </top>
      <bottom style="hair">
        <color auto="1"/>
      </bottom>
      <diagonal/>
    </border>
    <border>
      <left style="thin">
        <color theme="0" tint="-4.9989318521683403E-2"/>
      </left>
      <right style="thin">
        <color theme="0" tint="-4.9989318521683403E-2"/>
      </right>
      <top style="thin">
        <color indexed="64"/>
      </top>
      <bottom style="hair">
        <color auto="1"/>
      </bottom>
      <diagonal/>
    </border>
    <border>
      <left style="thin">
        <color theme="0" tint="-4.9989318521683403E-2"/>
      </left>
      <right style="thin">
        <color theme="0" tint="-4.9989318521683403E-2"/>
      </right>
      <top style="hair">
        <color indexed="64"/>
      </top>
      <bottom style="thin">
        <color indexed="64"/>
      </bottom>
      <diagonal/>
    </border>
    <border>
      <left style="hair">
        <color theme="0" tint="-4.9989318521683403E-2"/>
      </left>
      <right style="hair">
        <color theme="0" tint="-4.9989318521683403E-2"/>
      </right>
      <top style="hair">
        <color indexed="64"/>
      </top>
      <bottom style="thin">
        <color indexed="64"/>
      </bottom>
      <diagonal/>
    </border>
    <border>
      <left style="thin">
        <color theme="0" tint="-4.9989318521683403E-2"/>
      </left>
      <right style="thin">
        <color theme="0" tint="-4.9989318521683403E-2"/>
      </right>
      <top/>
      <bottom/>
      <diagonal/>
    </border>
    <border>
      <left style="double">
        <color theme="0" tint="-4.9989318521683403E-2"/>
      </left>
      <right style="double">
        <color theme="0" tint="-4.9989318521683403E-2"/>
      </right>
      <top style="double">
        <color indexed="64"/>
      </top>
      <bottom/>
      <diagonal/>
    </border>
    <border>
      <left style="double">
        <color theme="0" tint="-4.9989318521683403E-2"/>
      </left>
      <right style="thin">
        <color indexed="64"/>
      </right>
      <top style="double">
        <color indexed="64"/>
      </top>
      <bottom/>
      <diagonal/>
    </border>
    <border>
      <left style="double">
        <color theme="0" tint="-4.9989318521683403E-2"/>
      </left>
      <right style="double">
        <color theme="0" tint="-4.9989318521683403E-2"/>
      </right>
      <top/>
      <bottom/>
      <diagonal/>
    </border>
    <border>
      <left style="double">
        <color theme="0" tint="-4.9989318521683403E-2"/>
      </left>
      <right style="thin">
        <color indexed="64"/>
      </right>
      <top/>
      <bottom/>
      <diagonal/>
    </border>
    <border>
      <left style="double">
        <color theme="0" tint="-4.9989318521683403E-2"/>
      </left>
      <right style="double">
        <color theme="0" tint="-4.9989318521683403E-2"/>
      </right>
      <top/>
      <bottom style="double">
        <color indexed="64"/>
      </bottom>
      <diagonal/>
    </border>
    <border>
      <left style="double">
        <color theme="0" tint="-4.9989318521683403E-2"/>
      </left>
      <right style="thin">
        <color indexed="64"/>
      </right>
      <top/>
      <bottom style="double">
        <color indexed="64"/>
      </bottom>
      <diagonal/>
    </border>
    <border>
      <left style="double">
        <color theme="0" tint="-4.9989318521683403E-2"/>
      </left>
      <right style="double">
        <color theme="0" tint="-4.9989318521683403E-2"/>
      </right>
      <top/>
      <bottom style="thin">
        <color indexed="64"/>
      </bottom>
      <diagonal/>
    </border>
    <border>
      <left style="double">
        <color theme="0" tint="-4.9989318521683403E-2"/>
      </left>
      <right style="thin">
        <color indexed="64"/>
      </right>
      <top/>
      <bottom style="thin">
        <color indexed="64"/>
      </bottom>
      <diagonal/>
    </border>
    <border>
      <left style="double">
        <color theme="0" tint="-4.9989318521683403E-2"/>
      </left>
      <right style="double">
        <color theme="0" tint="-4.9989318521683403E-2"/>
      </right>
      <top style="thin">
        <color indexed="64"/>
      </top>
      <bottom/>
      <diagonal/>
    </border>
    <border>
      <left style="double">
        <color theme="0" tint="-4.9989318521683403E-2"/>
      </left>
      <right style="thin">
        <color indexed="64"/>
      </right>
      <top style="thin">
        <color indexed="64"/>
      </top>
      <bottom/>
      <diagonal/>
    </border>
    <border>
      <left style="thin">
        <color theme="0" tint="-4.9989318521683403E-2"/>
      </left>
      <right style="thin">
        <color theme="0" tint="-4.9989318521683403E-2"/>
      </right>
      <top style="thin">
        <color indexed="64"/>
      </top>
      <bottom/>
      <diagonal/>
    </border>
    <border>
      <left style="thin">
        <color theme="0" tint="-4.9989318521683403E-2"/>
      </left>
      <right style="thin">
        <color indexed="64"/>
      </right>
      <top style="thin">
        <color indexed="64"/>
      </top>
      <bottom/>
      <diagonal/>
    </border>
    <border>
      <left style="thin">
        <color theme="0" tint="-4.9989318521683403E-2"/>
      </left>
      <right style="thin">
        <color indexed="64"/>
      </right>
      <top/>
      <bottom/>
      <diagonal/>
    </border>
    <border>
      <left style="thin">
        <color theme="0" tint="-4.9989318521683403E-2"/>
      </left>
      <right style="thin">
        <color theme="0" tint="-4.9989318521683403E-2"/>
      </right>
      <top/>
      <bottom style="thin">
        <color indexed="64"/>
      </bottom>
      <diagonal/>
    </border>
    <border>
      <left style="thin">
        <color theme="0" tint="-4.9989318521683403E-2"/>
      </left>
      <right style="thin">
        <color indexed="64"/>
      </right>
      <top/>
      <bottom style="thin">
        <color indexed="64"/>
      </bottom>
      <diagonal/>
    </border>
    <border>
      <left/>
      <right style="thin">
        <color theme="0" tint="-4.9989318521683403E-2"/>
      </right>
      <top style="thin">
        <color indexed="64"/>
      </top>
      <bottom style="thin">
        <color indexed="64"/>
      </bottom>
      <diagonal/>
    </border>
    <border>
      <left style="thin">
        <color theme="0" tint="-4.9989318521683403E-2"/>
      </left>
      <right/>
      <top style="thin">
        <color indexed="64"/>
      </top>
      <bottom style="hair">
        <color auto="1"/>
      </bottom>
      <diagonal/>
    </border>
    <border>
      <left/>
      <right style="thin">
        <color theme="0" tint="-4.9989318521683403E-2"/>
      </right>
      <top style="thin">
        <color indexed="64"/>
      </top>
      <bottom style="hair">
        <color auto="1"/>
      </bottom>
      <diagonal/>
    </border>
    <border>
      <left style="thin">
        <color theme="0" tint="-4.9989318521683403E-2"/>
      </left>
      <right/>
      <top style="hair">
        <color auto="1"/>
      </top>
      <bottom style="hair">
        <color auto="1"/>
      </bottom>
      <diagonal/>
    </border>
    <border>
      <left/>
      <right style="thin">
        <color theme="0" tint="-4.9989318521683403E-2"/>
      </right>
      <top style="hair">
        <color auto="1"/>
      </top>
      <bottom style="hair">
        <color auto="1"/>
      </bottom>
      <diagonal/>
    </border>
    <border>
      <left style="thin">
        <color theme="0" tint="-4.9989318521683403E-2"/>
      </left>
      <right/>
      <top style="hair">
        <color indexed="64"/>
      </top>
      <bottom style="medium">
        <color indexed="64"/>
      </bottom>
      <diagonal/>
    </border>
    <border>
      <left/>
      <right style="thin">
        <color theme="0" tint="-4.9989318521683403E-2"/>
      </right>
      <top style="hair">
        <color indexed="64"/>
      </top>
      <bottom style="medium">
        <color indexed="64"/>
      </bottom>
      <diagonal/>
    </border>
    <border>
      <left/>
      <right style="hair">
        <color theme="0" tint="-4.9989318521683403E-2"/>
      </right>
      <top style="hair">
        <color indexed="64"/>
      </top>
      <bottom style="thin">
        <color indexed="64"/>
      </bottom>
      <diagonal/>
    </border>
    <border>
      <left style="thin">
        <color theme="0" tint="-4.9989318521683403E-2"/>
      </left>
      <right/>
      <top style="thin">
        <color indexed="64"/>
      </top>
      <bottom style="thin">
        <color indexed="64"/>
      </bottom>
      <diagonal/>
    </border>
    <border>
      <left style="thin">
        <color theme="0" tint="-4.9989318521683403E-2"/>
      </left>
      <right style="thin">
        <color theme="0" tint="-4.9989318521683403E-2"/>
      </right>
      <top/>
      <bottom style="hair">
        <color auto="1"/>
      </bottom>
      <diagonal/>
    </border>
    <border>
      <left/>
      <right style="thin">
        <color theme="0" tint="-4.9989318521683403E-2"/>
      </right>
      <top/>
      <bottom style="hair">
        <color auto="1"/>
      </bottom>
      <diagonal/>
    </border>
    <border>
      <left style="thin">
        <color theme="0" tint="-4.9989318521683403E-2"/>
      </left>
      <right/>
      <top/>
      <bottom/>
      <diagonal/>
    </border>
    <border>
      <left style="thin">
        <color theme="0" tint="-4.9989318521683403E-2"/>
      </left>
      <right/>
      <top/>
      <bottom style="thin">
        <color indexed="64"/>
      </bottom>
      <diagonal/>
    </border>
    <border>
      <left/>
      <right style="thin">
        <color theme="0" tint="-4.9989318521683403E-2"/>
      </right>
      <top/>
      <bottom/>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left style="medium">
        <color indexed="64"/>
      </left>
      <right/>
      <top style="thin">
        <color indexed="64"/>
      </top>
      <bottom style="medium">
        <color indexed="64"/>
      </bottom>
      <diagonal/>
    </border>
    <border>
      <left style="thin">
        <color theme="0" tint="-4.9989318521683403E-2"/>
      </left>
      <right/>
      <top style="hair">
        <color indexed="64"/>
      </top>
      <bottom style="thin">
        <color indexed="64"/>
      </bottom>
      <diagonal/>
    </border>
    <border>
      <left style="thin">
        <color theme="0" tint="-4.9989318521683403E-2"/>
      </left>
      <right style="thin">
        <color theme="0" tint="-4.9989318521683403E-2"/>
      </right>
      <top style="hair">
        <color indexed="64"/>
      </top>
      <bottom/>
      <diagonal/>
    </border>
    <border>
      <left style="medium">
        <color indexed="64"/>
      </left>
      <right/>
      <top/>
      <bottom style="thin">
        <color indexed="64"/>
      </bottom>
      <diagonal/>
    </border>
    <border>
      <left style="thin">
        <color theme="0" tint="-4.9989318521683403E-2"/>
      </left>
      <right/>
      <top style="hair">
        <color indexed="64"/>
      </top>
      <bottom/>
      <diagonal/>
    </border>
    <border>
      <left style="thin">
        <color theme="0" tint="-4.9989318521683403E-2"/>
      </left>
      <right/>
      <top style="thin">
        <color indexed="64"/>
      </top>
      <bottom/>
      <diagonal/>
    </border>
    <border>
      <left style="thin">
        <color theme="0" tint="-4.9989318521683403E-2"/>
      </left>
      <right/>
      <top/>
      <bottom style="hair">
        <color auto="1"/>
      </bottom>
      <diagonal/>
    </border>
    <border>
      <left/>
      <right style="hair">
        <color theme="0" tint="-4.9989318521683403E-2"/>
      </right>
      <top style="hair">
        <color indexed="64"/>
      </top>
      <bottom style="medium">
        <color indexed="64"/>
      </bottom>
      <diagonal/>
    </border>
    <border>
      <left style="medium">
        <color indexed="64"/>
      </left>
      <right style="thin">
        <color indexed="64"/>
      </right>
      <top style="medium">
        <color indexed="64"/>
      </top>
      <bottom/>
      <diagonal/>
    </border>
    <border>
      <left style="hair">
        <color theme="0" tint="-4.9989318521683403E-2"/>
      </left>
      <right/>
      <top style="hair">
        <color indexed="64"/>
      </top>
      <bottom style="medium">
        <color indexed="64"/>
      </bottom>
      <diagonal/>
    </border>
    <border>
      <left style="hair">
        <color theme="0" tint="-4.9989318521683403E-2"/>
      </left>
      <right/>
      <top style="hair">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hair">
        <color theme="0" tint="-4.9989318521683403E-2"/>
      </right>
      <top style="thin">
        <color indexed="64"/>
      </top>
      <bottom style="thin">
        <color indexed="64"/>
      </bottom>
      <diagonal/>
    </border>
    <border>
      <left style="hair">
        <color theme="0" tint="-4.9989318521683403E-2"/>
      </left>
      <right style="hair">
        <color theme="0" tint="-4.9989318521683403E-2"/>
      </right>
      <top style="thin">
        <color indexed="64"/>
      </top>
      <bottom style="thin">
        <color indexed="64"/>
      </bottom>
      <diagonal/>
    </border>
    <border>
      <left style="hair">
        <color theme="0" tint="-4.9989318521683403E-2"/>
      </left>
      <right style="thin">
        <color theme="0" tint="-4.9989318521683403E-2"/>
      </right>
      <top style="thin">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hair">
        <color theme="0" tint="-4.9989318521683403E-2"/>
      </right>
      <top/>
      <bottom style="medium">
        <color indexed="64"/>
      </bottom>
      <diagonal/>
    </border>
    <border>
      <left style="hair">
        <color theme="0" tint="-4.9989318521683403E-2"/>
      </left>
      <right style="hair">
        <color theme="0" tint="-4.9989318521683403E-2"/>
      </right>
      <top/>
      <bottom style="medium">
        <color indexed="64"/>
      </bottom>
      <diagonal/>
    </border>
    <border>
      <left style="hair">
        <color theme="0" tint="-4.9989318521683403E-2"/>
      </left>
      <right style="thin">
        <color theme="0" tint="-4.9989318521683403E-2"/>
      </right>
      <top/>
      <bottom style="medium">
        <color indexed="64"/>
      </bottom>
      <diagonal/>
    </border>
    <border>
      <left style="thin">
        <color theme="0" tint="-4.9989318521683403E-2"/>
      </left>
      <right style="thin">
        <color theme="0" tint="-4.9989318521683403E-2"/>
      </right>
      <top/>
      <bottom style="medium">
        <color indexed="64"/>
      </bottom>
      <diagonal/>
    </border>
    <border>
      <left style="thin">
        <color theme="0" tint="-4.9989318521683403E-2"/>
      </left>
      <right/>
      <top/>
      <bottom style="medium">
        <color indexed="64"/>
      </bottom>
      <diagonal/>
    </border>
    <border>
      <left/>
      <right style="thin">
        <color theme="0" tint="-4.9989318521683403E-2"/>
      </right>
      <top style="thin">
        <color indexed="64"/>
      </top>
      <bottom/>
      <diagonal/>
    </border>
    <border>
      <left/>
      <right style="thin">
        <color theme="0" tint="-4.9989318521683403E-2"/>
      </right>
      <top/>
      <bottom style="thin">
        <color indexed="64"/>
      </bottom>
      <diagonal/>
    </border>
    <border>
      <left/>
      <right style="thin">
        <color theme="0" tint="-4.9989318521683403E-2"/>
      </right>
      <top style="hair">
        <color auto="1"/>
      </top>
      <bottom style="thin">
        <color indexed="64"/>
      </bottom>
      <diagonal/>
    </border>
    <border>
      <left/>
      <right style="hair">
        <color theme="0" tint="-4.9989318521683403E-2"/>
      </right>
      <top style="hair">
        <color auto="1"/>
      </top>
      <bottom/>
      <diagonal/>
    </border>
    <border>
      <left style="hair">
        <color theme="0" tint="-4.9989318521683403E-2"/>
      </left>
      <right style="hair">
        <color theme="0" tint="-4.9989318521683403E-2"/>
      </right>
      <top style="hair">
        <color auto="1"/>
      </top>
      <bottom/>
      <diagonal/>
    </border>
    <border>
      <left style="hair">
        <color theme="0" tint="-4.9989318521683403E-2"/>
      </left>
      <right/>
      <top style="hair">
        <color auto="1"/>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top/>
      <bottom style="thin">
        <color indexed="64"/>
      </bottom>
      <diagonal style="thin">
        <color indexed="64"/>
      </diagonal>
    </border>
    <border>
      <left style="thin">
        <color indexed="64"/>
      </left>
      <right/>
      <top style="hair">
        <color indexed="64"/>
      </top>
      <bottom/>
      <diagonal/>
    </border>
    <border>
      <left/>
      <right style="hair">
        <color theme="0" tint="-4.9989318521683403E-2"/>
      </right>
      <top style="hair">
        <color auto="1"/>
      </top>
      <bottom style="hair">
        <color auto="1"/>
      </bottom>
      <diagonal/>
    </border>
    <border>
      <left style="hair">
        <color theme="0" tint="-4.9989318521683403E-2"/>
      </left>
      <right/>
      <top style="hair">
        <color auto="1"/>
      </top>
      <bottom style="hair">
        <color auto="1"/>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right style="thin">
        <color indexed="64"/>
      </right>
      <top style="hair">
        <color auto="1"/>
      </top>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4.9989318521683403E-2"/>
      </right>
      <top style="hair">
        <color auto="1"/>
      </top>
      <bottom/>
      <diagonal/>
    </border>
    <border>
      <left style="medium">
        <color rgb="FFFF0000"/>
      </left>
      <right style="medium">
        <color rgb="FFFF0000"/>
      </right>
      <top style="medium">
        <color rgb="FFFF0000"/>
      </top>
      <bottom style="medium">
        <color rgb="FFFF0000"/>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medium">
        <color rgb="FFFF0000"/>
      </bottom>
      <diagonal/>
    </border>
    <border>
      <left style="thin">
        <color auto="1"/>
      </left>
      <right style="thin">
        <color auto="1"/>
      </right>
      <top style="medium">
        <color auto="1"/>
      </top>
      <bottom style="medium">
        <color rgb="FFFF0000"/>
      </bottom>
      <diagonal/>
    </border>
    <border>
      <left style="thin">
        <color auto="1"/>
      </left>
      <right style="thin">
        <color auto="1"/>
      </right>
      <top style="thin">
        <color auto="1"/>
      </top>
      <bottom style="medium">
        <color rgb="FFFF0000"/>
      </bottom>
      <diagonal/>
    </border>
    <border>
      <left/>
      <right/>
      <top style="medium">
        <color rgb="FFFF0000"/>
      </top>
      <bottom/>
      <diagonal/>
    </border>
    <border>
      <left/>
      <right style="thin">
        <color theme="0" tint="-4.9989318521683403E-2"/>
      </right>
      <top style="thin">
        <color indexed="64"/>
      </top>
      <bottom style="medium">
        <color indexed="64"/>
      </bottom>
      <diagonal/>
    </border>
  </borders>
  <cellStyleXfs count="9">
    <xf numFmtId="0" fontId="0" fillId="0" borderId="0">
      <alignment vertical="center"/>
    </xf>
    <xf numFmtId="0" fontId="11" fillId="0" borderId="0" applyNumberFormat="0" applyFill="0" applyBorder="0" applyAlignment="0" applyProtection="0">
      <alignment vertical="center"/>
    </xf>
    <xf numFmtId="0" fontId="10" fillId="0" borderId="0">
      <alignment vertical="center"/>
    </xf>
    <xf numFmtId="0" fontId="2" fillId="0" borderId="0"/>
    <xf numFmtId="0" fontId="2" fillId="0" borderId="0"/>
    <xf numFmtId="0" fontId="2" fillId="0" borderId="0">
      <alignment vertical="center"/>
    </xf>
    <xf numFmtId="0" fontId="2" fillId="0" borderId="0">
      <alignment vertical="center"/>
    </xf>
    <xf numFmtId="0" fontId="50" fillId="0" borderId="0"/>
    <xf numFmtId="0" fontId="114" fillId="0" borderId="0">
      <alignment vertical="center"/>
    </xf>
  </cellStyleXfs>
  <cellXfs count="3695">
    <xf numFmtId="0" fontId="0" fillId="0" borderId="0" xfId="0">
      <alignment vertical="center"/>
    </xf>
    <xf numFmtId="0" fontId="0" fillId="0" borderId="0" xfId="0">
      <alignment vertical="center"/>
    </xf>
    <xf numFmtId="0" fontId="4" fillId="0" borderId="5"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0" fontId="0" fillId="0" borderId="0" xfId="0" applyFont="1" applyFill="1" applyBorder="1" applyAlignment="1" applyProtection="1">
      <alignment vertical="center" wrapText="1"/>
    </xf>
    <xf numFmtId="0" fontId="6" fillId="0" borderId="0" xfId="0" applyFont="1" applyProtection="1">
      <alignment vertical="center"/>
    </xf>
    <xf numFmtId="0" fontId="0" fillId="0" borderId="0" xfId="0" applyFill="1" applyBorder="1" applyProtection="1">
      <alignment vertical="center"/>
    </xf>
    <xf numFmtId="0" fontId="0" fillId="0" borderId="0" xfId="0" applyFont="1" applyFill="1" applyBorder="1" applyAlignment="1" applyProtection="1">
      <alignment vertical="center"/>
    </xf>
    <xf numFmtId="0" fontId="0" fillId="0" borderId="0" xfId="0" applyFont="1" applyBorder="1" applyProtection="1">
      <alignment vertical="center"/>
    </xf>
    <xf numFmtId="0" fontId="6" fillId="0" borderId="74" xfId="0" applyFont="1" applyBorder="1" applyAlignment="1" applyProtection="1">
      <alignment horizontal="left" vertical="center" wrapText="1" shrinkToFit="1"/>
    </xf>
    <xf numFmtId="0" fontId="6" fillId="0" borderId="4" xfId="0" applyFont="1" applyBorder="1" applyAlignment="1" applyProtection="1">
      <alignment horizontal="left" vertical="center" wrapText="1" shrinkToFit="1"/>
    </xf>
    <xf numFmtId="0" fontId="0" fillId="0" borderId="0" xfId="0" applyFont="1" applyFill="1" applyAlignment="1" applyProtection="1">
      <alignment horizontal="left" vertical="center"/>
    </xf>
    <xf numFmtId="0" fontId="0" fillId="0" borderId="0" xfId="0" applyFont="1" applyFill="1" applyBorder="1" applyAlignment="1" applyProtection="1">
      <alignment horizontal="left" vertical="center"/>
    </xf>
    <xf numFmtId="0" fontId="0" fillId="0" borderId="0" xfId="0" applyFont="1" applyFill="1" applyAlignment="1" applyProtection="1">
      <alignment vertical="center"/>
    </xf>
    <xf numFmtId="0" fontId="22" fillId="0" borderId="0" xfId="0" applyFont="1" applyFill="1" applyAlignment="1" applyProtection="1">
      <alignment vertical="center" wrapText="1"/>
    </xf>
    <xf numFmtId="0" fontId="17" fillId="0" borderId="0" xfId="0" applyFont="1" applyFill="1" applyBorder="1" applyAlignment="1" applyProtection="1">
      <alignment vertical="center"/>
    </xf>
    <xf numFmtId="0" fontId="0" fillId="0" borderId="0" xfId="0" applyFont="1" applyAlignment="1" applyProtection="1">
      <alignment horizontal="left" vertical="center"/>
    </xf>
    <xf numFmtId="0" fontId="0" fillId="0" borderId="0" xfId="0" applyFont="1" applyFill="1" applyAlignment="1" applyProtection="1">
      <alignment horizontal="left" vertical="center" wrapText="1"/>
    </xf>
    <xf numFmtId="0" fontId="6" fillId="0" borderId="0" xfId="0" applyFont="1" applyAlignment="1" applyProtection="1">
      <alignment horizontal="left" vertical="center"/>
    </xf>
    <xf numFmtId="0" fontId="6" fillId="0" borderId="4" xfId="2" applyFont="1" applyBorder="1" applyAlignment="1" applyProtection="1">
      <alignment horizontal="left" vertical="center"/>
    </xf>
    <xf numFmtId="0" fontId="6" fillId="0" borderId="4" xfId="0" applyFont="1" applyBorder="1" applyAlignment="1" applyProtection="1">
      <alignment horizontal="left" vertical="center"/>
    </xf>
    <xf numFmtId="0" fontId="6" fillId="3" borderId="0" xfId="0" applyFont="1" applyFill="1" applyAlignment="1" applyProtection="1">
      <alignment horizontal="left" vertical="center"/>
    </xf>
    <xf numFmtId="0" fontId="0" fillId="3" borderId="0" xfId="0" applyFont="1" applyFill="1" applyAlignment="1" applyProtection="1">
      <alignment horizontal="left" vertical="center"/>
    </xf>
    <xf numFmtId="0" fontId="0" fillId="0" borderId="0" xfId="0" quotePrefix="1" applyFont="1" applyFill="1" applyBorder="1" applyAlignment="1" applyProtection="1">
      <alignment horizontal="left" vertical="center"/>
    </xf>
    <xf numFmtId="0" fontId="0" fillId="0" borderId="0" xfId="0" quotePrefix="1" applyFont="1" applyBorder="1" applyAlignment="1" applyProtection="1">
      <alignment horizontal="left" vertical="center"/>
    </xf>
    <xf numFmtId="49" fontId="0" fillId="0" borderId="0" xfId="0" quotePrefix="1" applyNumberFormat="1" applyFont="1" applyBorder="1" applyAlignment="1" applyProtection="1">
      <alignment horizontal="left" vertical="center"/>
    </xf>
    <xf numFmtId="0" fontId="6" fillId="0" borderId="36" xfId="0" applyFont="1" applyBorder="1" applyAlignment="1" applyProtection="1">
      <alignment horizontal="left" vertical="center" wrapText="1" shrinkToFit="1"/>
    </xf>
    <xf numFmtId="0" fontId="6" fillId="0" borderId="81" xfId="0" applyFont="1" applyBorder="1" applyAlignment="1" applyProtection="1">
      <alignment horizontal="left" vertical="center" wrapText="1" shrinkToFit="1"/>
    </xf>
    <xf numFmtId="0" fontId="0" fillId="0" borderId="0" xfId="0" applyFont="1" applyFill="1" applyBorder="1" applyAlignment="1" applyProtection="1">
      <alignment horizontal="left" vertical="center" wrapText="1"/>
    </xf>
    <xf numFmtId="0" fontId="0" fillId="0" borderId="0" xfId="0" applyFont="1" applyBorder="1" applyAlignment="1" applyProtection="1">
      <alignment horizontal="left" vertical="center"/>
    </xf>
    <xf numFmtId="0" fontId="0" fillId="0" borderId="0" xfId="0" quotePrefix="1" applyFont="1" applyBorder="1" applyAlignment="1" applyProtection="1">
      <alignment horizontal="left" vertical="center" wrapText="1"/>
    </xf>
    <xf numFmtId="0" fontId="9" fillId="0" borderId="0" xfId="0" applyFont="1" applyFill="1" applyBorder="1" applyProtection="1">
      <alignment vertical="center"/>
    </xf>
    <xf numFmtId="0" fontId="0" fillId="0" borderId="0" xfId="0" applyAlignment="1" applyProtection="1">
      <alignment vertical="center" wrapText="1"/>
    </xf>
    <xf numFmtId="0" fontId="6" fillId="5" borderId="4" xfId="2" applyFont="1" applyFill="1" applyBorder="1" applyAlignment="1" applyProtection="1">
      <alignment horizontal="left" vertical="center"/>
    </xf>
    <xf numFmtId="0" fontId="6" fillId="0" borderId="4" xfId="0" applyNumberFormat="1" applyFont="1" applyBorder="1" applyAlignment="1" applyProtection="1">
      <alignment horizontal="left" vertical="center" wrapText="1" shrinkToFit="1"/>
    </xf>
    <xf numFmtId="0" fontId="6" fillId="5" borderId="81" xfId="0" applyFont="1" applyFill="1" applyBorder="1" applyAlignment="1" applyProtection="1">
      <alignment horizontal="left" vertical="center" wrapText="1" shrinkToFit="1"/>
    </xf>
    <xf numFmtId="0" fontId="6" fillId="5" borderId="4" xfId="0" applyNumberFormat="1" applyFont="1" applyFill="1" applyBorder="1" applyAlignment="1" applyProtection="1">
      <alignment horizontal="left" vertical="center" wrapText="1" shrinkToFit="1"/>
    </xf>
    <xf numFmtId="0" fontId="6" fillId="12" borderId="1" xfId="0" applyFont="1" applyFill="1" applyBorder="1" applyAlignment="1" applyProtection="1">
      <alignment horizontal="left" vertical="center"/>
    </xf>
    <xf numFmtId="14" fontId="6" fillId="0" borderId="4" xfId="0" applyNumberFormat="1" applyFont="1" applyBorder="1" applyAlignment="1" applyProtection="1">
      <alignment horizontal="left" vertical="center" wrapText="1" shrinkToFit="1"/>
    </xf>
    <xf numFmtId="0" fontId="6" fillId="12" borderId="0" xfId="0" applyFont="1" applyFill="1" applyBorder="1" applyAlignment="1" applyProtection="1">
      <alignment horizontal="left" vertical="center"/>
    </xf>
    <xf numFmtId="0" fontId="21" fillId="3" borderId="0" xfId="0" applyFont="1" applyFill="1" applyProtection="1">
      <alignment vertical="center"/>
    </xf>
    <xf numFmtId="0" fontId="6" fillId="5" borderId="4" xfId="0" applyFont="1" applyFill="1" applyBorder="1" applyAlignment="1" applyProtection="1">
      <alignment horizontal="left" vertical="center" wrapText="1"/>
    </xf>
    <xf numFmtId="0" fontId="12" fillId="0" borderId="0" xfId="0" applyFont="1" applyFill="1" applyBorder="1" applyAlignment="1" applyProtection="1">
      <alignment vertical="center" wrapText="1"/>
    </xf>
    <xf numFmtId="0" fontId="6" fillId="0" borderId="4" xfId="0" applyNumberFormat="1" applyFont="1" applyFill="1" applyBorder="1" applyAlignment="1" applyProtection="1">
      <alignment horizontal="left" vertical="center" wrapText="1" shrinkToFit="1"/>
    </xf>
    <xf numFmtId="0" fontId="4" fillId="3" borderId="76" xfId="0" applyFont="1" applyFill="1" applyBorder="1" applyAlignment="1" applyProtection="1">
      <alignment horizontal="center" vertical="center"/>
    </xf>
    <xf numFmtId="0" fontId="4" fillId="3" borderId="77"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66" xfId="0" applyFont="1" applyFill="1" applyBorder="1" applyAlignment="1" applyProtection="1">
      <alignment horizontal="center" vertical="center"/>
    </xf>
    <xf numFmtId="0" fontId="12" fillId="3" borderId="87" xfId="0" applyFont="1" applyFill="1" applyBorder="1" applyAlignment="1" applyProtection="1">
      <alignment horizontal="center" vertical="center"/>
    </xf>
    <xf numFmtId="0" fontId="12" fillId="3" borderId="88" xfId="0" applyFont="1" applyFill="1" applyBorder="1" applyAlignment="1" applyProtection="1">
      <alignment horizontal="center" vertical="center"/>
    </xf>
    <xf numFmtId="14" fontId="6" fillId="0" borderId="0" xfId="0" applyNumberFormat="1" applyFont="1" applyBorder="1" applyAlignment="1" applyProtection="1">
      <alignment horizontal="left" vertical="center" wrapText="1" shrinkToFit="1"/>
    </xf>
    <xf numFmtId="0" fontId="6" fillId="3" borderId="4" xfId="0" applyNumberFormat="1" applyFont="1" applyFill="1" applyBorder="1" applyAlignment="1" applyProtection="1">
      <alignment horizontal="left" vertical="center" wrapText="1" shrinkToFit="1"/>
    </xf>
    <xf numFmtId="14" fontId="6" fillId="5" borderId="4" xfId="0" applyNumberFormat="1" applyFont="1" applyFill="1" applyBorder="1" applyAlignment="1" applyProtection="1">
      <alignment horizontal="left" vertical="center" wrapText="1" shrinkToFit="1"/>
    </xf>
    <xf numFmtId="0" fontId="13" fillId="3" borderId="4" xfId="0" applyFont="1" applyFill="1" applyBorder="1" applyAlignment="1" applyProtection="1">
      <alignment horizontal="left" vertical="center"/>
    </xf>
    <xf numFmtId="0" fontId="6" fillId="0" borderId="4" xfId="0" applyFont="1" applyBorder="1" applyAlignment="1" applyProtection="1">
      <alignment horizontal="left" vertical="center" wrapText="1"/>
    </xf>
    <xf numFmtId="0" fontId="0" fillId="3" borderId="1" xfId="0" applyFill="1" applyBorder="1" applyProtection="1">
      <alignment vertical="center"/>
    </xf>
    <xf numFmtId="0" fontId="0" fillId="3" borderId="0" xfId="0" applyFill="1" applyBorder="1" applyProtection="1">
      <alignment vertical="center"/>
    </xf>
    <xf numFmtId="0" fontId="0" fillId="3" borderId="2" xfId="0" applyFill="1" applyBorder="1" applyProtection="1">
      <alignment vertical="center"/>
    </xf>
    <xf numFmtId="0" fontId="0" fillId="0" borderId="0" xfId="0" applyFill="1" applyProtection="1">
      <alignment vertical="center"/>
    </xf>
    <xf numFmtId="0" fontId="0" fillId="3" borderId="91" xfId="0" applyFill="1" applyBorder="1" applyProtection="1">
      <alignment vertical="center"/>
    </xf>
    <xf numFmtId="0" fontId="0" fillId="3" borderId="93" xfId="0" applyFill="1" applyBorder="1" applyProtection="1">
      <alignment vertical="center"/>
    </xf>
    <xf numFmtId="0" fontId="26" fillId="3" borderId="5" xfId="0" applyFont="1" applyFill="1" applyBorder="1" applyAlignment="1" applyProtection="1">
      <alignment horizontal="center" vertical="center"/>
    </xf>
    <xf numFmtId="0" fontId="0" fillId="3" borderId="3" xfId="0" applyFont="1" applyFill="1" applyBorder="1" applyProtection="1">
      <alignment vertical="center"/>
    </xf>
    <xf numFmtId="0" fontId="0" fillId="3" borderId="5" xfId="0" applyFill="1" applyBorder="1" applyProtection="1">
      <alignment vertical="center"/>
    </xf>
    <xf numFmtId="0" fontId="0" fillId="3" borderId="28" xfId="0" applyFill="1" applyBorder="1" applyProtection="1">
      <alignment vertical="center"/>
    </xf>
    <xf numFmtId="0" fontId="0" fillId="3" borderId="3" xfId="0" applyFill="1" applyBorder="1" applyProtection="1">
      <alignment vertical="center"/>
    </xf>
    <xf numFmtId="0" fontId="0" fillId="3" borderId="92" xfId="0" applyFill="1" applyBorder="1" applyAlignment="1" applyProtection="1">
      <alignment horizontal="center" vertical="center"/>
    </xf>
    <xf numFmtId="0" fontId="0" fillId="3" borderId="5" xfId="0" applyFont="1" applyFill="1" applyBorder="1" applyProtection="1">
      <alignment vertical="center"/>
    </xf>
    <xf numFmtId="0" fontId="26" fillId="3" borderId="92" xfId="0" applyFont="1" applyFill="1" applyBorder="1" applyAlignment="1" applyProtection="1">
      <alignment horizontal="center" vertical="center"/>
    </xf>
    <xf numFmtId="0" fontId="0" fillId="0" borderId="0" xfId="0" applyFont="1" applyFill="1" applyProtection="1">
      <alignment vertical="center"/>
    </xf>
    <xf numFmtId="0" fontId="0" fillId="0" borderId="0" xfId="0" applyFont="1" applyProtection="1">
      <alignment vertical="center"/>
    </xf>
    <xf numFmtId="0" fontId="21" fillId="7" borderId="0" xfId="0" applyFont="1" applyFill="1" applyProtection="1">
      <alignment vertical="center"/>
    </xf>
    <xf numFmtId="0" fontId="0" fillId="7" borderId="0" xfId="0" applyFont="1" applyFill="1" applyProtection="1">
      <alignment vertical="center"/>
    </xf>
    <xf numFmtId="0" fontId="0" fillId="3" borderId="0" xfId="0" applyFont="1" applyFill="1" applyProtection="1">
      <alignment vertical="center"/>
    </xf>
    <xf numFmtId="0" fontId="13" fillId="0" borderId="0" xfId="0" applyFont="1" applyFill="1" applyProtection="1">
      <alignment vertical="center"/>
    </xf>
    <xf numFmtId="0" fontId="13" fillId="0" borderId="0" xfId="0" applyFont="1" applyProtection="1">
      <alignment vertical="center"/>
    </xf>
    <xf numFmtId="0" fontId="22" fillId="0" borderId="0" xfId="0" applyFont="1" applyFill="1" applyProtection="1">
      <alignment vertical="center"/>
    </xf>
    <xf numFmtId="0" fontId="22" fillId="0" borderId="0" xfId="0" applyFont="1" applyProtection="1">
      <alignment vertical="center"/>
    </xf>
    <xf numFmtId="0" fontId="23" fillId="0" borderId="0" xfId="0" applyFont="1" applyFill="1" applyProtection="1">
      <alignment vertical="center"/>
    </xf>
    <xf numFmtId="0" fontId="23" fillId="0" borderId="0" xfId="0" applyFont="1" applyProtection="1">
      <alignment vertical="center"/>
    </xf>
    <xf numFmtId="0" fontId="13" fillId="0" borderId="58" xfId="0" applyFont="1" applyFill="1" applyBorder="1" applyProtection="1">
      <alignment vertical="center"/>
    </xf>
    <xf numFmtId="0" fontId="0" fillId="0" borderId="0" xfId="0" applyFont="1" applyAlignment="1" applyProtection="1">
      <alignment vertical="center"/>
    </xf>
    <xf numFmtId="0" fontId="0" fillId="3" borderId="4" xfId="0" applyFill="1" applyBorder="1" applyProtection="1">
      <alignment vertical="center"/>
    </xf>
    <xf numFmtId="0" fontId="13" fillId="0" borderId="4" xfId="0" applyFont="1" applyFill="1" applyBorder="1" applyProtection="1">
      <alignment vertical="center"/>
    </xf>
    <xf numFmtId="0" fontId="13" fillId="2" borderId="0" xfId="0" applyFont="1" applyFill="1" applyBorder="1" applyProtection="1">
      <alignment vertical="center"/>
    </xf>
    <xf numFmtId="0" fontId="13" fillId="2" borderId="58" xfId="0" applyFont="1" applyFill="1" applyBorder="1" applyProtection="1">
      <alignment vertical="center"/>
    </xf>
    <xf numFmtId="0" fontId="13" fillId="0" borderId="56" xfId="0" applyFont="1" applyFill="1" applyBorder="1" applyProtection="1">
      <alignment vertical="center"/>
    </xf>
    <xf numFmtId="0" fontId="28" fillId="0" borderId="22" xfId="0" applyFont="1" applyFill="1" applyBorder="1" applyProtection="1">
      <alignment vertical="center"/>
    </xf>
    <xf numFmtId="0" fontId="13" fillId="0" borderId="35" xfId="0" applyFont="1" applyFill="1" applyBorder="1" applyProtection="1">
      <alignment vertical="center"/>
    </xf>
    <xf numFmtId="0" fontId="13" fillId="3" borderId="4" xfId="0" applyFont="1" applyFill="1" applyBorder="1" applyProtection="1">
      <alignment vertical="center"/>
    </xf>
    <xf numFmtId="0" fontId="0" fillId="3" borderId="4" xfId="0" applyFont="1" applyFill="1" applyBorder="1" applyAlignment="1" applyProtection="1">
      <alignment vertical="center"/>
    </xf>
    <xf numFmtId="0" fontId="0" fillId="0" borderId="4" xfId="0" applyFont="1" applyFill="1" applyBorder="1" applyProtection="1">
      <alignment vertical="center"/>
    </xf>
    <xf numFmtId="0" fontId="13" fillId="5" borderId="4" xfId="0" applyFont="1" applyFill="1" applyBorder="1" applyProtection="1">
      <alignment vertical="center"/>
    </xf>
    <xf numFmtId="0" fontId="0" fillId="0" borderId="4" xfId="0" applyFont="1" applyBorder="1" applyProtection="1">
      <alignment vertical="center"/>
    </xf>
    <xf numFmtId="0" fontId="13" fillId="2" borderId="34" xfId="0" applyFont="1" applyFill="1" applyBorder="1" applyProtection="1">
      <alignment vertical="center"/>
    </xf>
    <xf numFmtId="0" fontId="6" fillId="4" borderId="0" xfId="0" applyFont="1" applyFill="1" applyAlignment="1" applyProtection="1">
      <alignment horizontal="left" vertical="center" wrapText="1"/>
    </xf>
    <xf numFmtId="0" fontId="0" fillId="8" borderId="0" xfId="0" applyFont="1" applyFill="1" applyProtection="1">
      <alignment vertical="center"/>
    </xf>
    <xf numFmtId="0" fontId="0" fillId="0" borderId="0" xfId="0" applyBorder="1" applyProtection="1">
      <alignment vertical="center"/>
    </xf>
    <xf numFmtId="0" fontId="4" fillId="3" borderId="0" xfId="0" applyFont="1" applyFill="1" applyBorder="1" applyAlignment="1" applyProtection="1">
      <alignment horizontal="center" vertical="center"/>
    </xf>
    <xf numFmtId="0" fontId="4" fillId="3" borderId="2" xfId="0" applyFont="1" applyFill="1" applyBorder="1" applyAlignment="1" applyProtection="1">
      <alignment horizontal="center" vertical="center"/>
    </xf>
    <xf numFmtId="0" fontId="4" fillId="0" borderId="0" xfId="0" applyFont="1" applyAlignment="1" applyProtection="1">
      <alignment horizontal="center" vertical="center"/>
    </xf>
    <xf numFmtId="0" fontId="12" fillId="3" borderId="48" xfId="0" applyFont="1" applyFill="1" applyBorder="1" applyAlignment="1" applyProtection="1">
      <alignment horizontal="center" vertical="center"/>
    </xf>
    <xf numFmtId="0" fontId="12" fillId="3" borderId="49"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0" fontId="6" fillId="0" borderId="13" xfId="0" applyNumberFormat="1" applyFont="1" applyBorder="1" applyAlignment="1" applyProtection="1">
      <alignment horizontal="left" vertical="center" wrapText="1" shrinkToFit="1"/>
    </xf>
    <xf numFmtId="0" fontId="6" fillId="0" borderId="25" xfId="0" applyFont="1" applyBorder="1" applyAlignment="1" applyProtection="1">
      <alignment horizontal="left" vertical="center" wrapText="1"/>
    </xf>
    <xf numFmtId="14" fontId="6" fillId="7" borderId="95" xfId="0" applyNumberFormat="1" applyFont="1" applyFill="1" applyBorder="1" applyAlignment="1" applyProtection="1">
      <alignment horizontal="left" vertical="center" wrapText="1" shrinkToFit="1"/>
    </xf>
    <xf numFmtId="0" fontId="6" fillId="8" borderId="95" xfId="0" applyNumberFormat="1" applyFont="1" applyFill="1" applyBorder="1" applyAlignment="1" applyProtection="1">
      <alignment horizontal="left" vertical="center" wrapText="1" shrinkToFit="1"/>
    </xf>
    <xf numFmtId="0" fontId="13" fillId="3" borderId="4" xfId="0" applyFont="1" applyFill="1" applyBorder="1" applyAlignment="1" applyProtection="1">
      <alignment vertical="center" wrapText="1"/>
    </xf>
    <xf numFmtId="0" fontId="13" fillId="0" borderId="9" xfId="0" applyFont="1" applyFill="1" applyBorder="1" applyProtection="1">
      <alignment vertical="center"/>
    </xf>
    <xf numFmtId="0" fontId="13" fillId="0" borderId="14" xfId="0" applyFont="1" applyFill="1" applyBorder="1" applyProtection="1">
      <alignment vertical="center"/>
    </xf>
    <xf numFmtId="0" fontId="13" fillId="0" borderId="32" xfId="0" applyFont="1" applyFill="1" applyBorder="1" applyProtection="1">
      <alignment vertical="center"/>
    </xf>
    <xf numFmtId="14" fontId="6" fillId="7" borderId="4" xfId="0" applyNumberFormat="1" applyFont="1" applyFill="1" applyBorder="1" applyAlignment="1" applyProtection="1">
      <alignment horizontal="left" vertical="center" wrapText="1" shrinkToFit="1"/>
    </xf>
    <xf numFmtId="0" fontId="13" fillId="3" borderId="9" xfId="0" applyFont="1" applyFill="1" applyBorder="1" applyAlignment="1" applyProtection="1">
      <alignment vertical="center" wrapText="1"/>
    </xf>
    <xf numFmtId="0" fontId="6" fillId="5" borderId="19" xfId="0" applyFont="1" applyFill="1" applyBorder="1" applyAlignment="1" applyProtection="1">
      <alignment horizontal="left" vertical="center"/>
    </xf>
    <xf numFmtId="0" fontId="6" fillId="5" borderId="17" xfId="0" applyFont="1" applyFill="1" applyBorder="1" applyAlignment="1" applyProtection="1">
      <alignment horizontal="left" vertical="center"/>
    </xf>
    <xf numFmtId="0" fontId="6" fillId="5" borderId="17" xfId="0" applyFont="1" applyFill="1" applyBorder="1" applyAlignment="1" applyProtection="1">
      <alignment horizontal="left" vertical="center" shrinkToFit="1"/>
    </xf>
    <xf numFmtId="0" fontId="6" fillId="0" borderId="7" xfId="0" applyNumberFormat="1" applyFont="1" applyFill="1" applyBorder="1" applyAlignment="1" applyProtection="1">
      <alignment horizontal="left" vertical="center" wrapText="1" shrinkToFit="1"/>
    </xf>
    <xf numFmtId="0" fontId="6" fillId="0" borderId="96" xfId="0" applyNumberFormat="1" applyFont="1" applyFill="1" applyBorder="1" applyAlignment="1" applyProtection="1">
      <alignment horizontal="left" vertical="center" wrapText="1" shrinkToFit="1"/>
    </xf>
    <xf numFmtId="0" fontId="6" fillId="5" borderId="13" xfId="0" applyNumberFormat="1" applyFont="1" applyFill="1" applyBorder="1" applyAlignment="1" applyProtection="1">
      <alignment horizontal="left" vertical="center" wrapText="1" shrinkToFit="1"/>
    </xf>
    <xf numFmtId="0" fontId="6" fillId="0" borderId="14" xfId="0" applyFont="1" applyBorder="1" applyAlignment="1" applyProtection="1">
      <alignment horizontal="left" vertical="center"/>
    </xf>
    <xf numFmtId="0" fontId="6" fillId="0" borderId="17" xfId="0" applyFont="1" applyBorder="1" applyAlignment="1" applyProtection="1">
      <alignment horizontal="left" vertical="center"/>
    </xf>
    <xf numFmtId="0" fontId="6" fillId="0" borderId="32" xfId="0" applyFont="1" applyBorder="1" applyAlignment="1" applyProtection="1">
      <alignment horizontal="left" vertical="center"/>
    </xf>
    <xf numFmtId="0" fontId="6" fillId="0" borderId="13" xfId="0" applyFont="1" applyBorder="1" applyAlignment="1" applyProtection="1">
      <alignment horizontal="left" vertical="center"/>
    </xf>
    <xf numFmtId="0" fontId="6" fillId="0" borderId="13" xfId="0" applyFont="1" applyFill="1" applyBorder="1" applyAlignment="1" applyProtection="1">
      <alignment horizontal="left" vertical="center"/>
    </xf>
    <xf numFmtId="0" fontId="6" fillId="0" borderId="19" xfId="0" applyFont="1" applyFill="1" applyBorder="1" applyAlignment="1" applyProtection="1">
      <alignment horizontal="left" vertical="center"/>
    </xf>
    <xf numFmtId="0" fontId="6" fillId="0" borderId="23" xfId="2" applyFont="1" applyBorder="1" applyAlignment="1" applyProtection="1">
      <alignment horizontal="left" vertical="center"/>
    </xf>
    <xf numFmtId="14" fontId="6" fillId="0" borderId="4" xfId="0" applyNumberFormat="1" applyFont="1" applyFill="1" applyBorder="1" applyAlignment="1" applyProtection="1">
      <alignment horizontal="left" vertical="center" wrapText="1" shrinkToFit="1"/>
    </xf>
    <xf numFmtId="0" fontId="6" fillId="5" borderId="17" xfId="0" applyFont="1" applyFill="1" applyBorder="1" applyAlignment="1" applyProtection="1">
      <alignment horizontal="left" vertical="center" wrapText="1"/>
    </xf>
    <xf numFmtId="14" fontId="6" fillId="0" borderId="95" xfId="0" applyNumberFormat="1" applyFont="1" applyFill="1" applyBorder="1" applyAlignment="1" applyProtection="1">
      <alignment horizontal="left" vertical="center" wrapText="1" shrinkToFit="1"/>
    </xf>
    <xf numFmtId="0" fontId="6" fillId="12" borderId="21" xfId="0" applyFont="1" applyFill="1" applyBorder="1" applyAlignment="1" applyProtection="1">
      <alignment horizontal="left" vertical="center"/>
    </xf>
    <xf numFmtId="0" fontId="6" fillId="12" borderId="68" xfId="0" applyFont="1" applyFill="1" applyBorder="1" applyAlignment="1" applyProtection="1">
      <alignment horizontal="left" vertical="center"/>
    </xf>
    <xf numFmtId="0" fontId="6" fillId="0" borderId="19" xfId="0" applyFont="1" applyBorder="1" applyAlignment="1" applyProtection="1">
      <alignment horizontal="left" vertical="center" wrapText="1"/>
    </xf>
    <xf numFmtId="0" fontId="6" fillId="0" borderId="17" xfId="0" applyFont="1" applyBorder="1" applyAlignment="1" applyProtection="1">
      <alignment horizontal="left" vertical="center" wrapText="1"/>
    </xf>
    <xf numFmtId="0" fontId="6" fillId="0" borderId="13" xfId="0" applyNumberFormat="1" applyFont="1" applyFill="1" applyBorder="1" applyAlignment="1" applyProtection="1">
      <alignment horizontal="left" vertical="center" wrapText="1" shrinkToFit="1"/>
    </xf>
    <xf numFmtId="0" fontId="6" fillId="5" borderId="19" xfId="0" applyFont="1" applyFill="1" applyBorder="1" applyAlignment="1" applyProtection="1">
      <alignment horizontal="left" vertical="center" wrapText="1"/>
    </xf>
    <xf numFmtId="14" fontId="6" fillId="3" borderId="4" xfId="0" applyNumberFormat="1" applyFont="1" applyFill="1" applyBorder="1" applyAlignment="1" applyProtection="1">
      <alignment horizontal="left" vertical="center" wrapText="1"/>
    </xf>
    <xf numFmtId="14" fontId="6" fillId="0" borderId="13" xfId="0" applyNumberFormat="1" applyFont="1" applyFill="1" applyBorder="1" applyAlignment="1" applyProtection="1">
      <alignment horizontal="left" vertical="center" wrapText="1"/>
    </xf>
    <xf numFmtId="14" fontId="6" fillId="7" borderId="19" xfId="0" applyNumberFormat="1" applyFont="1" applyFill="1" applyBorder="1" applyAlignment="1" applyProtection="1">
      <alignment horizontal="left" vertical="center" wrapText="1" shrinkToFit="1"/>
    </xf>
    <xf numFmtId="0" fontId="6" fillId="3" borderId="4" xfId="0" applyFont="1" applyFill="1" applyBorder="1" applyAlignment="1" applyProtection="1">
      <alignment horizontal="left" vertical="center" wrapText="1"/>
    </xf>
    <xf numFmtId="0" fontId="0" fillId="0" borderId="0" xfId="0" applyBorder="1" applyAlignment="1" applyProtection="1">
      <alignment vertical="center" wrapText="1"/>
    </xf>
    <xf numFmtId="0" fontId="0" fillId="0" borderId="4" xfId="0" applyBorder="1" applyAlignment="1" applyProtection="1">
      <alignment vertical="center" wrapText="1"/>
    </xf>
    <xf numFmtId="0" fontId="0" fillId="0" borderId="4" xfId="0" applyBorder="1" applyProtection="1">
      <alignment vertical="center"/>
    </xf>
    <xf numFmtId="0" fontId="0" fillId="3" borderId="0" xfId="0" applyFill="1" applyProtection="1">
      <alignment vertical="center"/>
    </xf>
    <xf numFmtId="0" fontId="0" fillId="0" borderId="58" xfId="0" applyFont="1" applyFill="1" applyBorder="1" applyAlignment="1" applyProtection="1">
      <alignment vertical="center"/>
    </xf>
    <xf numFmtId="0" fontId="9" fillId="0" borderId="0" xfId="0" applyFont="1" applyFill="1" applyBorder="1" applyAlignment="1" applyProtection="1">
      <alignment vertical="center" shrinkToFit="1"/>
    </xf>
    <xf numFmtId="0" fontId="0" fillId="0" borderId="0" xfId="0" applyFill="1" applyBorder="1" applyAlignment="1" applyProtection="1">
      <alignment vertical="center" shrinkToFit="1"/>
    </xf>
    <xf numFmtId="0" fontId="13" fillId="3" borderId="9" xfId="0" applyFont="1" applyFill="1" applyBorder="1" applyAlignment="1" applyProtection="1">
      <alignment horizontal="left" vertical="center"/>
    </xf>
    <xf numFmtId="0" fontId="13" fillId="0" borderId="2" xfId="0" applyFont="1" applyFill="1" applyBorder="1" applyProtection="1">
      <alignment vertical="center"/>
    </xf>
    <xf numFmtId="0" fontId="6" fillId="3" borderId="0" xfId="0" applyFont="1" applyFill="1" applyProtection="1">
      <alignment vertical="center"/>
    </xf>
    <xf numFmtId="0" fontId="13" fillId="0" borderId="7" xfId="0" applyFont="1" applyFill="1" applyBorder="1" applyProtection="1">
      <alignment vertical="center"/>
    </xf>
    <xf numFmtId="0" fontId="13" fillId="0" borderId="4" xfId="0" applyFont="1" applyBorder="1" applyProtection="1">
      <alignment vertical="center"/>
    </xf>
    <xf numFmtId="0" fontId="42" fillId="0" borderId="0" xfId="0" applyFont="1" applyFill="1" applyProtection="1">
      <alignment vertical="center"/>
    </xf>
    <xf numFmtId="0" fontId="13" fillId="0" borderId="0" xfId="0" applyFont="1" applyFill="1" applyAlignment="1" applyProtection="1">
      <alignment vertical="center" shrinkToFit="1"/>
    </xf>
    <xf numFmtId="0" fontId="13" fillId="3" borderId="13" xfId="0" applyFont="1" applyFill="1" applyBorder="1" applyProtection="1">
      <alignment vertical="center"/>
    </xf>
    <xf numFmtId="49" fontId="13" fillId="0" borderId="4" xfId="0" applyNumberFormat="1" applyFont="1" applyFill="1" applyBorder="1" applyAlignment="1" applyProtection="1">
      <alignment vertical="center" shrinkToFit="1"/>
    </xf>
    <xf numFmtId="0" fontId="13" fillId="0" borderId="4" xfId="0" applyNumberFormat="1" applyFont="1" applyFill="1" applyBorder="1" applyAlignment="1" applyProtection="1">
      <alignment vertical="center" shrinkToFit="1"/>
    </xf>
    <xf numFmtId="0" fontId="0" fillId="0" borderId="0" xfId="0" applyNumberFormat="1" applyFont="1" applyFill="1" applyProtection="1">
      <alignment vertical="center"/>
    </xf>
    <xf numFmtId="0" fontId="0" fillId="3" borderId="102" xfId="0" applyFill="1" applyBorder="1" applyAlignment="1" applyProtection="1">
      <alignment horizontal="center" vertical="center"/>
    </xf>
    <xf numFmtId="0" fontId="0" fillId="3" borderId="103" xfId="0" applyFill="1" applyBorder="1" applyProtection="1">
      <alignment vertical="center"/>
    </xf>
    <xf numFmtId="0" fontId="0" fillId="3" borderId="112" xfId="0" applyFill="1" applyBorder="1" applyProtection="1">
      <alignment vertical="center"/>
    </xf>
    <xf numFmtId="0" fontId="0" fillId="3" borderId="113" xfId="0" applyFill="1" applyBorder="1" applyProtection="1">
      <alignment vertical="center"/>
    </xf>
    <xf numFmtId="0" fontId="0" fillId="3" borderId="114" xfId="0" applyFill="1" applyBorder="1" applyProtection="1">
      <alignment vertical="center"/>
    </xf>
    <xf numFmtId="0" fontId="0" fillId="3" borderId="115" xfId="0" applyFill="1" applyBorder="1" applyProtection="1">
      <alignment vertical="center"/>
    </xf>
    <xf numFmtId="0" fontId="0" fillId="3" borderId="116" xfId="0" applyFill="1" applyBorder="1" applyProtection="1">
      <alignment vertical="center"/>
    </xf>
    <xf numFmtId="0" fontId="0" fillId="3" borderId="117" xfId="0" applyFill="1" applyBorder="1" applyProtection="1">
      <alignment vertical="center"/>
    </xf>
    <xf numFmtId="0" fontId="0" fillId="3" borderId="118" xfId="0" applyFill="1" applyBorder="1" applyProtection="1">
      <alignment vertical="center"/>
    </xf>
    <xf numFmtId="0" fontId="0" fillId="3" borderId="119" xfId="0" applyFill="1" applyBorder="1" applyProtection="1">
      <alignment vertical="center"/>
    </xf>
    <xf numFmtId="0" fontId="0" fillId="3" borderId="120" xfId="0" applyFill="1" applyBorder="1" applyProtection="1">
      <alignment vertical="center"/>
    </xf>
    <xf numFmtId="0" fontId="0" fillId="3" borderId="121" xfId="0" applyFill="1" applyBorder="1" applyProtection="1">
      <alignment vertical="center"/>
    </xf>
    <xf numFmtId="0" fontId="0" fillId="0" borderId="4" xfId="0" applyFont="1" applyFill="1" applyBorder="1" applyAlignment="1" applyProtection="1">
      <alignment horizontal="left" vertical="center" wrapText="1"/>
    </xf>
    <xf numFmtId="0" fontId="6" fillId="0" borderId="0" xfId="0" applyFont="1" applyFill="1" applyAlignment="1" applyProtection="1">
      <alignment vertical="center"/>
    </xf>
    <xf numFmtId="0" fontId="6" fillId="0" borderId="0" xfId="0" applyFont="1" applyFill="1" applyAlignment="1" applyProtection="1"/>
    <xf numFmtId="0" fontId="13" fillId="0" borderId="4" xfId="0" applyFont="1" applyFill="1" applyBorder="1" applyAlignment="1" applyProtection="1">
      <alignment horizontal="center" vertical="center" shrinkToFit="1"/>
    </xf>
    <xf numFmtId="0" fontId="0" fillId="0" borderId="4" xfId="0" applyFont="1" applyFill="1" applyBorder="1" applyAlignment="1" applyProtection="1">
      <alignment horizontal="center" vertical="center" wrapText="1" shrinkToFit="1"/>
    </xf>
    <xf numFmtId="0" fontId="0" fillId="0" borderId="99" xfId="0" applyFont="1" applyFill="1" applyBorder="1" applyAlignment="1" applyProtection="1">
      <alignment horizontal="center" vertical="center" shrinkToFit="1"/>
    </xf>
    <xf numFmtId="0" fontId="13" fillId="0" borderId="99" xfId="0" applyFont="1" applyFill="1" applyBorder="1" applyAlignment="1" applyProtection="1">
      <alignment horizontal="center" vertical="center" shrinkToFit="1"/>
    </xf>
    <xf numFmtId="0" fontId="6" fillId="0" borderId="0" xfId="2" applyFont="1" applyFill="1" applyBorder="1" applyAlignment="1" applyProtection="1">
      <alignment horizontal="left" vertical="center"/>
    </xf>
    <xf numFmtId="0" fontId="6" fillId="0" borderId="0" xfId="0" applyFont="1" applyFill="1" applyBorder="1" applyAlignment="1" applyProtection="1">
      <alignment horizontal="left" vertical="center" wrapText="1"/>
    </xf>
    <xf numFmtId="0" fontId="0" fillId="0" borderId="10" xfId="0" applyFont="1" applyFill="1" applyBorder="1" applyAlignment="1" applyProtection="1">
      <alignment horizontal="left" vertical="center" wrapText="1"/>
    </xf>
    <xf numFmtId="0" fontId="0" fillId="0" borderId="10" xfId="0" applyFont="1" applyFill="1" applyBorder="1" applyAlignment="1" applyProtection="1">
      <alignment horizontal="center" vertical="center" wrapText="1"/>
    </xf>
    <xf numFmtId="0" fontId="6" fillId="0" borderId="0" xfId="0" applyFont="1" applyFill="1" applyBorder="1" applyAlignment="1" applyProtection="1">
      <alignment horizontal="left" vertical="center"/>
    </xf>
    <xf numFmtId="0" fontId="0" fillId="0" borderId="4" xfId="0" applyFont="1" applyFill="1" applyBorder="1" applyAlignment="1" applyProtection="1">
      <alignment horizontal="center" vertical="center"/>
    </xf>
    <xf numFmtId="0" fontId="0" fillId="0" borderId="10" xfId="0" applyFont="1" applyFill="1" applyBorder="1" applyAlignment="1" applyProtection="1">
      <alignment horizontal="center" vertical="center"/>
    </xf>
    <xf numFmtId="0" fontId="13" fillId="0" borderId="10" xfId="0" applyFont="1" applyFill="1" applyBorder="1" applyProtection="1">
      <alignment vertical="center"/>
    </xf>
    <xf numFmtId="0" fontId="13" fillId="0" borderId="4" xfId="0" applyFont="1" applyBorder="1" applyAlignment="1" applyProtection="1">
      <alignment horizontal="center" vertical="center"/>
    </xf>
    <xf numFmtId="0" fontId="0" fillId="0" borderId="4" xfId="0" applyFont="1" applyBorder="1" applyAlignment="1" applyProtection="1">
      <alignment horizontal="center" vertical="center"/>
    </xf>
    <xf numFmtId="14" fontId="6" fillId="7" borderId="0" xfId="0" applyNumberFormat="1" applyFont="1" applyFill="1" applyBorder="1" applyAlignment="1" applyProtection="1">
      <alignment horizontal="left" vertical="center" wrapText="1" shrinkToFit="1"/>
    </xf>
    <xf numFmtId="0" fontId="23" fillId="0" borderId="58" xfId="0" applyFont="1" applyBorder="1" applyProtection="1">
      <alignment vertical="center"/>
      <protection locked="0"/>
    </xf>
    <xf numFmtId="0" fontId="0" fillId="0" borderId="58" xfId="0" applyFont="1" applyFill="1" applyBorder="1" applyProtection="1">
      <alignment vertical="center"/>
      <protection locked="0"/>
    </xf>
    <xf numFmtId="49" fontId="13" fillId="0" borderId="4" xfId="0" applyNumberFormat="1" applyFont="1" applyBorder="1" applyAlignment="1" applyProtection="1">
      <alignment vertical="center"/>
    </xf>
    <xf numFmtId="0" fontId="13" fillId="0" borderId="0" xfId="0" applyFont="1" applyFill="1" applyBorder="1" applyAlignment="1" applyProtection="1">
      <alignment horizontal="left" vertical="center"/>
    </xf>
    <xf numFmtId="0" fontId="13" fillId="0" borderId="0" xfId="0" applyFont="1" applyBorder="1" applyProtection="1">
      <alignment vertical="center"/>
    </xf>
    <xf numFmtId="0" fontId="0" fillId="0" borderId="0" xfId="0" applyProtection="1">
      <alignment vertical="center"/>
    </xf>
    <xf numFmtId="0" fontId="0" fillId="0" borderId="0" xfId="0" applyBorder="1" applyAlignment="1" applyProtection="1">
      <alignment vertical="center"/>
    </xf>
    <xf numFmtId="0" fontId="0" fillId="3" borderId="0" xfId="0" applyFont="1" applyFill="1" applyAlignment="1" applyProtection="1">
      <alignment horizontal="right" vertical="center"/>
    </xf>
    <xf numFmtId="0" fontId="6" fillId="12" borderId="75" xfId="0" applyFont="1" applyFill="1" applyBorder="1" applyAlignment="1" applyProtection="1">
      <alignment horizontal="left" vertical="center"/>
    </xf>
    <xf numFmtId="0" fontId="6" fillId="12" borderId="18" xfId="0" applyFont="1" applyFill="1" applyBorder="1" applyAlignment="1" applyProtection="1">
      <alignment horizontal="left" vertical="center"/>
    </xf>
    <xf numFmtId="14" fontId="6" fillId="0" borderId="68" xfId="0" applyNumberFormat="1" applyFont="1" applyBorder="1" applyAlignment="1" applyProtection="1">
      <alignment horizontal="left" vertical="center" wrapText="1" shrinkToFit="1"/>
    </xf>
    <xf numFmtId="183" fontId="0" fillId="0" borderId="0" xfId="0" applyNumberFormat="1" applyFont="1" applyProtection="1">
      <alignment vertical="center"/>
    </xf>
    <xf numFmtId="184" fontId="0" fillId="0" borderId="0" xfId="0" applyNumberFormat="1" applyFont="1" applyProtection="1">
      <alignment vertical="center"/>
    </xf>
    <xf numFmtId="0" fontId="6" fillId="0" borderId="8" xfId="0" applyNumberFormat="1" applyFont="1" applyFill="1" applyBorder="1" applyAlignment="1" applyProtection="1">
      <alignment horizontal="left" vertical="center" wrapText="1" shrinkToFit="1"/>
    </xf>
    <xf numFmtId="14" fontId="6" fillId="0" borderId="8" xfId="0" applyNumberFormat="1" applyFont="1" applyFill="1" applyBorder="1" applyAlignment="1" applyProtection="1">
      <alignment horizontal="left" vertical="center" wrapText="1" shrinkToFit="1"/>
    </xf>
    <xf numFmtId="0" fontId="0" fillId="0" borderId="0" xfId="0" applyFont="1" applyFill="1" applyAlignment="1" applyProtection="1">
      <alignment vertical="center" wrapText="1"/>
    </xf>
    <xf numFmtId="0" fontId="0" fillId="0" borderId="33" xfId="0" applyFont="1" applyFill="1" applyBorder="1" applyAlignment="1" applyProtection="1">
      <alignment horizontal="center" vertical="center"/>
    </xf>
    <xf numFmtId="0" fontId="0" fillId="0" borderId="58" xfId="0" applyFont="1" applyFill="1" applyBorder="1" applyAlignment="1" applyProtection="1">
      <alignment horizontal="center" vertical="center"/>
    </xf>
    <xf numFmtId="0" fontId="0" fillId="0" borderId="0" xfId="0" applyNumberFormat="1" applyFont="1" applyProtection="1">
      <alignment vertical="center"/>
    </xf>
    <xf numFmtId="0" fontId="23" fillId="0" borderId="0" xfId="0" applyFont="1" applyFill="1" applyBorder="1" applyProtection="1">
      <alignment vertical="center"/>
    </xf>
    <xf numFmtId="49" fontId="13" fillId="0" borderId="2" xfId="0" applyNumberFormat="1" applyFont="1" applyFill="1" applyBorder="1" applyAlignment="1" applyProtection="1">
      <alignment vertical="center" shrinkToFit="1"/>
    </xf>
    <xf numFmtId="49" fontId="13" fillId="0" borderId="0" xfId="0" applyNumberFormat="1" applyFont="1" applyBorder="1" applyProtection="1">
      <alignment vertical="center"/>
    </xf>
    <xf numFmtId="49" fontId="0" fillId="0" borderId="0" xfId="0" applyNumberFormat="1" applyFont="1" applyBorder="1" applyProtection="1">
      <alignment vertical="center"/>
    </xf>
    <xf numFmtId="0" fontId="0" fillId="0" borderId="0" xfId="0" applyFont="1" applyFill="1" applyBorder="1" applyProtection="1">
      <alignment vertical="center"/>
    </xf>
    <xf numFmtId="0" fontId="6" fillId="5" borderId="32" xfId="0" applyFont="1" applyFill="1" applyBorder="1" applyAlignment="1" applyProtection="1">
      <alignment horizontal="left" vertical="center" shrinkToFit="1"/>
    </xf>
    <xf numFmtId="0" fontId="6" fillId="0" borderId="14" xfId="0" applyNumberFormat="1" applyFont="1" applyBorder="1" applyAlignment="1" applyProtection="1">
      <alignment horizontal="left" vertical="center" wrapText="1" shrinkToFit="1"/>
    </xf>
    <xf numFmtId="0" fontId="6" fillId="8" borderId="101" xfId="0" applyNumberFormat="1" applyFont="1" applyFill="1" applyBorder="1" applyAlignment="1" applyProtection="1">
      <alignment horizontal="left" vertical="center" wrapText="1" shrinkToFit="1"/>
    </xf>
    <xf numFmtId="0" fontId="6" fillId="5" borderId="14" xfId="0" applyNumberFormat="1" applyFont="1" applyFill="1" applyBorder="1" applyAlignment="1" applyProtection="1">
      <alignment horizontal="left" vertical="center" wrapText="1" shrinkToFit="1"/>
    </xf>
    <xf numFmtId="0" fontId="13" fillId="0" borderId="8" xfId="0" applyFont="1" applyFill="1" applyBorder="1" applyProtection="1">
      <alignment vertical="center"/>
    </xf>
    <xf numFmtId="0" fontId="13" fillId="0" borderId="0" xfId="0" applyFont="1" applyFill="1" applyBorder="1" applyProtection="1">
      <alignment vertical="center"/>
    </xf>
    <xf numFmtId="0" fontId="0" fillId="0" borderId="38" xfId="0" applyFont="1" applyFill="1" applyBorder="1" applyProtection="1">
      <alignment vertical="center"/>
    </xf>
    <xf numFmtId="0" fontId="13" fillId="0" borderId="20" xfId="0" applyFont="1" applyFill="1" applyBorder="1" applyProtection="1">
      <alignment vertical="center"/>
    </xf>
    <xf numFmtId="0" fontId="13" fillId="0" borderId="4" xfId="0" applyFont="1" applyBorder="1" applyAlignment="1" applyProtection="1">
      <alignment horizontal="left" vertical="center"/>
    </xf>
    <xf numFmtId="0" fontId="13" fillId="0" borderId="7" xfId="0" applyFont="1" applyBorder="1" applyProtection="1">
      <alignment vertical="center"/>
    </xf>
    <xf numFmtId="0" fontId="13" fillId="3" borderId="4" xfId="0" applyFont="1" applyFill="1" applyBorder="1" applyAlignment="1" applyProtection="1">
      <alignment vertical="center" shrinkToFit="1"/>
    </xf>
    <xf numFmtId="0" fontId="13" fillId="3" borderId="155" xfId="0" applyFont="1" applyFill="1" applyBorder="1" applyProtection="1">
      <alignment vertical="center"/>
    </xf>
    <xf numFmtId="0" fontId="13" fillId="0" borderId="156" xfId="0" applyFont="1" applyFill="1" applyBorder="1" applyProtection="1">
      <alignment vertical="center"/>
    </xf>
    <xf numFmtId="0" fontId="13" fillId="0" borderId="4" xfId="0" applyFont="1" applyFill="1" applyBorder="1" applyAlignment="1" applyProtection="1">
      <alignment vertical="center" shrinkToFit="1"/>
    </xf>
    <xf numFmtId="0" fontId="6" fillId="0" borderId="0" xfId="0" applyFont="1" applyFill="1" applyAlignment="1" applyProtection="1">
      <alignment horizontal="left" vertical="center"/>
    </xf>
    <xf numFmtId="0" fontId="0" fillId="12" borderId="4" xfId="0" applyFont="1" applyFill="1" applyBorder="1" applyAlignment="1" applyProtection="1">
      <alignment horizontal="left" vertical="center"/>
    </xf>
    <xf numFmtId="0" fontId="0" fillId="0" borderId="4" xfId="0" applyFont="1" applyFill="1" applyBorder="1" applyAlignment="1" applyProtection="1">
      <alignment horizontal="left" vertical="center"/>
    </xf>
    <xf numFmtId="0" fontId="6" fillId="0" borderId="33" xfId="0" applyFont="1" applyBorder="1" applyAlignment="1" applyProtection="1">
      <alignment horizontal="left" vertical="center" wrapText="1"/>
    </xf>
    <xf numFmtId="0" fontId="6" fillId="0" borderId="35" xfId="0" applyFont="1" applyBorder="1" applyAlignment="1" applyProtection="1">
      <alignment horizontal="left" vertical="center" wrapText="1"/>
    </xf>
    <xf numFmtId="0" fontId="0" fillId="3" borderId="4" xfId="0" applyFont="1" applyFill="1" applyBorder="1" applyAlignment="1" applyProtection="1">
      <alignment horizontal="left" vertical="center"/>
    </xf>
    <xf numFmtId="0" fontId="6" fillId="3" borderId="4" xfId="0" applyFont="1" applyFill="1" applyBorder="1" applyAlignment="1" applyProtection="1">
      <alignment horizontal="left" vertical="center"/>
    </xf>
    <xf numFmtId="0" fontId="6" fillId="0" borderId="20" xfId="0" applyFont="1" applyBorder="1" applyAlignment="1" applyProtection="1">
      <alignment horizontal="left" vertical="center" wrapText="1"/>
    </xf>
    <xf numFmtId="0" fontId="6" fillId="0" borderId="20" xfId="0" applyFont="1" applyFill="1" applyBorder="1" applyAlignment="1" applyProtection="1">
      <alignment horizontal="left" vertical="center"/>
    </xf>
    <xf numFmtId="0" fontId="6" fillId="0" borderId="20" xfId="0" applyFont="1" applyBorder="1" applyAlignment="1" applyProtection="1">
      <alignment horizontal="left" vertical="center"/>
    </xf>
    <xf numFmtId="0" fontId="6" fillId="5" borderId="30" xfId="0" applyFont="1" applyFill="1" applyBorder="1" applyAlignment="1" applyProtection="1">
      <alignment horizontal="left" vertical="center" shrinkToFit="1"/>
    </xf>
    <xf numFmtId="0" fontId="6" fillId="0" borderId="7" xfId="0" applyNumberFormat="1" applyFont="1" applyBorder="1" applyAlignment="1" applyProtection="1">
      <alignment horizontal="left" vertical="center" wrapText="1" shrinkToFit="1"/>
    </xf>
    <xf numFmtId="0" fontId="6" fillId="0" borderId="13" xfId="0" applyFont="1" applyBorder="1" applyAlignment="1" applyProtection="1">
      <alignment horizontal="left" vertical="center" wrapText="1"/>
    </xf>
    <xf numFmtId="0" fontId="6" fillId="0" borderId="14" xfId="0" applyFont="1" applyBorder="1" applyAlignment="1" applyProtection="1">
      <alignment horizontal="left" vertical="center" wrapText="1"/>
    </xf>
    <xf numFmtId="0" fontId="6" fillId="0" borderId="32" xfId="0" applyFont="1" applyBorder="1" applyAlignment="1" applyProtection="1">
      <alignment horizontal="left" vertical="center" wrapText="1"/>
    </xf>
    <xf numFmtId="0" fontId="6" fillId="0" borderId="96" xfId="0" applyFont="1" applyBorder="1" applyAlignment="1" applyProtection="1">
      <alignment horizontal="left" vertical="center" wrapText="1"/>
    </xf>
    <xf numFmtId="0" fontId="6" fillId="0" borderId="95" xfId="0" applyFont="1" applyBorder="1" applyAlignment="1" applyProtection="1">
      <alignment horizontal="left" vertical="center" wrapText="1"/>
    </xf>
    <xf numFmtId="0" fontId="6" fillId="0" borderId="19" xfId="0" applyNumberFormat="1" applyFont="1" applyBorder="1" applyAlignment="1" applyProtection="1">
      <alignment horizontal="left" vertical="center" wrapText="1" shrinkToFit="1"/>
    </xf>
    <xf numFmtId="14" fontId="6" fillId="0" borderId="17" xfId="0" applyNumberFormat="1" applyFont="1" applyBorder="1" applyAlignment="1" applyProtection="1">
      <alignment horizontal="left" vertical="center" wrapText="1" shrinkToFit="1"/>
    </xf>
    <xf numFmtId="0" fontId="6" fillId="3" borderId="17" xfId="0" applyNumberFormat="1" applyFont="1" applyFill="1" applyBorder="1" applyAlignment="1" applyProtection="1">
      <alignment horizontal="left" vertical="center" wrapText="1" shrinkToFit="1"/>
    </xf>
    <xf numFmtId="14" fontId="6" fillId="0" borderId="17" xfId="0" applyNumberFormat="1" applyFont="1" applyFill="1" applyBorder="1" applyAlignment="1" applyProtection="1">
      <alignment horizontal="left" vertical="center" wrapText="1" shrinkToFit="1"/>
    </xf>
    <xf numFmtId="0" fontId="6" fillId="0" borderId="32" xfId="0" applyNumberFormat="1" applyFont="1" applyBorder="1" applyAlignment="1" applyProtection="1">
      <alignment horizontal="left" vertical="center" wrapText="1" shrinkToFit="1"/>
    </xf>
    <xf numFmtId="0" fontId="6" fillId="0" borderId="9" xfId="0" applyFont="1" applyBorder="1" applyAlignment="1" applyProtection="1">
      <alignment horizontal="left" vertical="center"/>
    </xf>
    <xf numFmtId="0" fontId="6" fillId="0" borderId="9" xfId="0" applyFont="1" applyBorder="1" applyAlignment="1" applyProtection="1">
      <alignment horizontal="left" vertical="center" wrapText="1"/>
    </xf>
    <xf numFmtId="0" fontId="6" fillId="0" borderId="31" xfId="0" applyFont="1" applyBorder="1" applyAlignment="1" applyProtection="1">
      <alignment horizontal="left" vertical="center" wrapText="1"/>
    </xf>
    <xf numFmtId="0" fontId="6" fillId="0" borderId="19" xfId="0" applyNumberFormat="1" applyFont="1" applyFill="1" applyBorder="1" applyAlignment="1" applyProtection="1">
      <alignment horizontal="left" vertical="center" wrapText="1" shrinkToFit="1"/>
    </xf>
    <xf numFmtId="0" fontId="6" fillId="0" borderId="36" xfId="0" applyNumberFormat="1" applyFont="1" applyFill="1" applyBorder="1" applyAlignment="1" applyProtection="1">
      <alignment horizontal="left" vertical="center" wrapText="1" shrinkToFit="1"/>
    </xf>
    <xf numFmtId="0" fontId="6" fillId="0" borderId="144" xfId="0" applyFont="1" applyBorder="1" applyAlignment="1" applyProtection="1">
      <alignment horizontal="left" vertical="center" wrapText="1" shrinkToFit="1"/>
    </xf>
    <xf numFmtId="0" fontId="6" fillId="0" borderId="17" xfId="0" applyFont="1" applyBorder="1" applyAlignment="1" applyProtection="1">
      <alignment horizontal="left" vertical="center" wrapText="1" shrinkToFit="1"/>
    </xf>
    <xf numFmtId="0" fontId="6" fillId="0" borderId="30" xfId="0" applyNumberFormat="1" applyFont="1" applyFill="1" applyBorder="1" applyAlignment="1" applyProtection="1">
      <alignment horizontal="left" vertical="center" wrapText="1" shrinkToFit="1"/>
    </xf>
    <xf numFmtId="0" fontId="6" fillId="0" borderId="18" xfId="2" applyFont="1" applyBorder="1" applyAlignment="1" applyProtection="1">
      <alignment horizontal="left" vertical="center"/>
    </xf>
    <xf numFmtId="0" fontId="6" fillId="0" borderId="68" xfId="2" applyFont="1" applyBorder="1" applyAlignment="1" applyProtection="1">
      <alignment horizontal="left" vertical="center"/>
    </xf>
    <xf numFmtId="0" fontId="6" fillId="0" borderId="75" xfId="2" applyFont="1" applyBorder="1" applyAlignment="1" applyProtection="1">
      <alignment horizontal="left" vertical="center"/>
    </xf>
    <xf numFmtId="0" fontId="6" fillId="0" borderId="13" xfId="2" applyFont="1" applyBorder="1" applyAlignment="1" applyProtection="1">
      <alignment horizontal="left" vertical="center"/>
    </xf>
    <xf numFmtId="0" fontId="6" fillId="0" borderId="14" xfId="2" applyFont="1" applyBorder="1" applyAlignment="1" applyProtection="1">
      <alignment horizontal="left" vertical="center"/>
    </xf>
    <xf numFmtId="0" fontId="6" fillId="0" borderId="19" xfId="2" applyFont="1" applyBorder="1" applyAlignment="1" applyProtection="1">
      <alignment horizontal="left" vertical="center"/>
    </xf>
    <xf numFmtId="0" fontId="6" fillId="0" borderId="17" xfId="2" applyFont="1" applyBorder="1" applyAlignment="1" applyProtection="1">
      <alignment horizontal="left" vertical="center"/>
    </xf>
    <xf numFmtId="0" fontId="6" fillId="0" borderId="32" xfId="2" applyFont="1" applyBorder="1" applyAlignment="1" applyProtection="1">
      <alignment horizontal="left" vertical="center"/>
    </xf>
    <xf numFmtId="0" fontId="31" fillId="0" borderId="68" xfId="2" applyFont="1" applyFill="1" applyBorder="1" applyAlignment="1" applyProtection="1">
      <alignment horizontal="left" vertical="center" shrinkToFit="1"/>
    </xf>
    <xf numFmtId="0" fontId="6" fillId="0" borderId="75" xfId="0" applyFont="1" applyFill="1" applyBorder="1" applyAlignment="1" applyProtection="1">
      <alignment horizontal="left" vertical="center"/>
    </xf>
    <xf numFmtId="0" fontId="6" fillId="0" borderId="39" xfId="0" applyFont="1" applyBorder="1" applyAlignment="1" applyProtection="1">
      <alignment horizontal="left" vertical="center" wrapText="1" shrinkToFit="1"/>
    </xf>
    <xf numFmtId="0" fontId="6" fillId="0" borderId="18" xfId="0" applyFont="1" applyFill="1" applyBorder="1" applyAlignment="1" applyProtection="1">
      <alignment horizontal="left" vertical="center" wrapText="1"/>
    </xf>
    <xf numFmtId="0" fontId="6" fillId="0" borderId="79" xfId="0" applyFont="1" applyBorder="1" applyAlignment="1" applyProtection="1">
      <alignment horizontal="left" vertical="center" wrapText="1" shrinkToFit="1"/>
    </xf>
    <xf numFmtId="0" fontId="6" fillId="0" borderId="14" xfId="0" applyFont="1" applyBorder="1" applyAlignment="1" applyProtection="1">
      <alignment horizontal="left" vertical="center" wrapText="1" shrinkToFit="1"/>
    </xf>
    <xf numFmtId="0" fontId="6" fillId="0" borderId="32" xfId="0" applyFont="1" applyBorder="1" applyAlignment="1" applyProtection="1">
      <alignment horizontal="left" vertical="center" wrapText="1" shrinkToFit="1"/>
    </xf>
    <xf numFmtId="14" fontId="6" fillId="0" borderId="68" xfId="0" applyNumberFormat="1" applyFont="1" applyFill="1" applyBorder="1" applyAlignment="1" applyProtection="1">
      <alignment horizontal="left" vertical="center" wrapText="1" shrinkToFit="1"/>
    </xf>
    <xf numFmtId="14" fontId="6" fillId="3" borderId="17" xfId="0" applyNumberFormat="1" applyFont="1" applyFill="1" applyBorder="1" applyAlignment="1" applyProtection="1">
      <alignment horizontal="left" vertical="center" wrapText="1" shrinkToFit="1"/>
    </xf>
    <xf numFmtId="0" fontId="6" fillId="0" borderId="89" xfId="0" applyFont="1" applyBorder="1" applyAlignment="1" applyProtection="1">
      <alignment horizontal="left" vertical="center" wrapText="1"/>
    </xf>
    <xf numFmtId="0" fontId="6" fillId="0" borderId="157" xfId="0" applyFont="1" applyBorder="1" applyAlignment="1" applyProtection="1">
      <alignment horizontal="left" vertical="center" wrapText="1" shrinkToFit="1"/>
    </xf>
    <xf numFmtId="0" fontId="6" fillId="5" borderId="34" xfId="0" applyFont="1" applyFill="1" applyBorder="1" applyAlignment="1" applyProtection="1">
      <alignment horizontal="left" vertical="center" wrapText="1"/>
    </xf>
    <xf numFmtId="0" fontId="6" fillId="0" borderId="35" xfId="0" applyFont="1" applyBorder="1" applyAlignment="1" applyProtection="1">
      <alignment horizontal="left" vertical="center"/>
    </xf>
    <xf numFmtId="0" fontId="6" fillId="0" borderId="46" xfId="2" applyFont="1" applyBorder="1" applyAlignment="1" applyProtection="1">
      <alignment horizontal="left" vertical="center"/>
    </xf>
    <xf numFmtId="0" fontId="6" fillId="4" borderId="8" xfId="0" applyFont="1" applyFill="1" applyBorder="1" applyAlignment="1" applyProtection="1">
      <alignment horizontal="left" vertical="center" wrapText="1"/>
    </xf>
    <xf numFmtId="0" fontId="31" fillId="0" borderId="68" xfId="2" applyFont="1" applyFill="1" applyBorder="1" applyAlignment="1" applyProtection="1">
      <alignment horizontal="left" vertical="center"/>
    </xf>
    <xf numFmtId="0" fontId="6" fillId="0" borderId="68" xfId="0" applyFont="1" applyBorder="1" applyAlignment="1" applyProtection="1">
      <alignment horizontal="left" vertical="center" wrapText="1"/>
    </xf>
    <xf numFmtId="0" fontId="6" fillId="0" borderId="75" xfId="0" applyFont="1" applyBorder="1" applyAlignment="1" applyProtection="1">
      <alignment horizontal="left" vertical="center" wrapText="1" shrinkToFit="1"/>
    </xf>
    <xf numFmtId="0" fontId="6" fillId="0" borderId="99" xfId="0" applyFont="1" applyFill="1" applyBorder="1" applyAlignment="1" applyProtection="1">
      <alignment horizontal="left" vertical="center" wrapText="1"/>
    </xf>
    <xf numFmtId="0" fontId="6" fillId="0" borderId="0" xfId="2" applyFont="1" applyBorder="1" applyAlignment="1" applyProtection="1">
      <alignment horizontal="left" vertical="center"/>
    </xf>
    <xf numFmtId="0" fontId="6" fillId="8" borderId="42" xfId="0" applyNumberFormat="1" applyFont="1" applyFill="1" applyBorder="1" applyAlignment="1" applyProtection="1">
      <alignment horizontal="left" vertical="center" wrapText="1" shrinkToFit="1"/>
    </xf>
    <xf numFmtId="0" fontId="6" fillId="0" borderId="9" xfId="0" applyFont="1" applyFill="1" applyBorder="1" applyAlignment="1" applyProtection="1">
      <alignment horizontal="left" vertical="center"/>
    </xf>
    <xf numFmtId="0" fontId="6" fillId="0" borderId="31" xfId="0" applyFont="1" applyFill="1" applyBorder="1" applyAlignment="1" applyProtection="1">
      <alignment horizontal="left" vertical="center"/>
    </xf>
    <xf numFmtId="0" fontId="6" fillId="5" borderId="57" xfId="0" applyFont="1" applyFill="1" applyBorder="1" applyAlignment="1" applyProtection="1">
      <alignment horizontal="left" vertical="center" wrapText="1"/>
    </xf>
    <xf numFmtId="0" fontId="6" fillId="5" borderId="152" xfId="0" applyFont="1" applyFill="1" applyBorder="1" applyAlignment="1" applyProtection="1">
      <alignment horizontal="left" vertical="center" wrapText="1"/>
    </xf>
    <xf numFmtId="0" fontId="6" fillId="5" borderId="97" xfId="0" applyFont="1" applyFill="1" applyBorder="1" applyAlignment="1" applyProtection="1">
      <alignment horizontal="left" vertical="center" wrapText="1"/>
    </xf>
    <xf numFmtId="0" fontId="6" fillId="0" borderId="44" xfId="0" applyFont="1" applyBorder="1" applyAlignment="1" applyProtection="1">
      <alignment horizontal="left" vertical="center"/>
    </xf>
    <xf numFmtId="0" fontId="6" fillId="5" borderId="14" xfId="2" applyFont="1" applyFill="1" applyBorder="1" applyAlignment="1" applyProtection="1">
      <alignment horizontal="left" vertical="center"/>
    </xf>
    <xf numFmtId="0" fontId="6" fillId="5" borderId="17" xfId="2" applyFont="1" applyFill="1" applyBorder="1" applyAlignment="1" applyProtection="1">
      <alignment horizontal="left" vertical="center"/>
    </xf>
    <xf numFmtId="0" fontId="6" fillId="5" borderId="32" xfId="2" applyFont="1" applyFill="1" applyBorder="1" applyAlignment="1" applyProtection="1">
      <alignment horizontal="left" vertical="center"/>
    </xf>
    <xf numFmtId="0" fontId="6" fillId="0" borderId="38" xfId="0" applyFont="1" applyBorder="1" applyAlignment="1" applyProtection="1">
      <alignment horizontal="left" vertical="center"/>
    </xf>
    <xf numFmtId="0" fontId="6" fillId="5" borderId="144" xfId="0" applyFont="1" applyFill="1" applyBorder="1" applyAlignment="1" applyProtection="1">
      <alignment horizontal="left" vertical="center" wrapText="1" shrinkToFit="1"/>
    </xf>
    <xf numFmtId="0" fontId="6" fillId="0" borderId="85" xfId="0" applyFont="1" applyBorder="1" applyAlignment="1" applyProtection="1">
      <alignment horizontal="left" vertical="center" wrapText="1" shrinkToFit="1"/>
    </xf>
    <xf numFmtId="0" fontId="6" fillId="0" borderId="33" xfId="0" applyFont="1" applyBorder="1" applyAlignment="1" applyProtection="1">
      <alignment horizontal="left" vertical="center" wrapText="1" shrinkToFit="1"/>
    </xf>
    <xf numFmtId="0" fontId="6" fillId="0" borderId="3" xfId="0" applyNumberFormat="1" applyFont="1" applyFill="1" applyBorder="1" applyAlignment="1" applyProtection="1">
      <alignment horizontal="left" vertical="center" wrapText="1" shrinkToFit="1"/>
    </xf>
    <xf numFmtId="0" fontId="0" fillId="0" borderId="50" xfId="0" applyFont="1" applyFill="1" applyBorder="1" applyProtection="1">
      <alignment vertical="center"/>
    </xf>
    <xf numFmtId="0" fontId="6" fillId="0" borderId="1" xfId="0" applyFont="1" applyFill="1" applyBorder="1" applyAlignment="1" applyProtection="1">
      <alignment horizontal="left" vertical="center" wrapText="1"/>
    </xf>
    <xf numFmtId="0" fontId="6" fillId="3" borderId="5" xfId="0" applyFont="1" applyFill="1" applyBorder="1" applyAlignment="1" applyProtection="1">
      <alignment horizontal="left" vertical="center"/>
    </xf>
    <xf numFmtId="14" fontId="6" fillId="0" borderId="97" xfId="0" applyNumberFormat="1" applyFont="1" applyBorder="1" applyAlignment="1" applyProtection="1">
      <alignment horizontal="left" vertical="center" wrapText="1" shrinkToFit="1"/>
    </xf>
    <xf numFmtId="14" fontId="6" fillId="0" borderId="0" xfId="0" applyNumberFormat="1" applyFont="1" applyFill="1" applyBorder="1" applyAlignment="1" applyProtection="1">
      <alignment horizontal="left" vertical="center" wrapText="1" shrinkToFit="1"/>
    </xf>
    <xf numFmtId="0" fontId="6" fillId="8" borderId="0" xfId="0" applyNumberFormat="1" applyFont="1" applyFill="1" applyBorder="1" applyAlignment="1" applyProtection="1">
      <alignment horizontal="left" vertical="center" wrapText="1" shrinkToFit="1"/>
    </xf>
    <xf numFmtId="0" fontId="6" fillId="0" borderId="0" xfId="0" applyFont="1" applyBorder="1" applyAlignment="1" applyProtection="1">
      <alignment horizontal="left" vertical="center" wrapText="1"/>
    </xf>
    <xf numFmtId="0" fontId="0" fillId="0" borderId="24" xfId="0" applyFont="1" applyFill="1" applyBorder="1" applyAlignment="1" applyProtection="1">
      <alignment horizontal="left" vertical="center"/>
    </xf>
    <xf numFmtId="0" fontId="6" fillId="0" borderId="58" xfId="0" applyFont="1" applyBorder="1" applyAlignment="1" applyProtection="1">
      <alignment horizontal="left" vertical="center"/>
    </xf>
    <xf numFmtId="0" fontId="6" fillId="5" borderId="31" xfId="0" applyFont="1" applyFill="1" applyBorder="1" applyAlignment="1" applyProtection="1">
      <alignment horizontal="left" vertical="center" wrapText="1"/>
    </xf>
    <xf numFmtId="0" fontId="6" fillId="0" borderId="9" xfId="0" applyNumberFormat="1" applyFont="1" applyFill="1" applyBorder="1" applyAlignment="1" applyProtection="1">
      <alignment horizontal="left" vertical="center" wrapText="1" shrinkToFit="1"/>
    </xf>
    <xf numFmtId="0" fontId="6" fillId="0" borderId="31" xfId="0" applyNumberFormat="1" applyFont="1" applyFill="1" applyBorder="1" applyAlignment="1" applyProtection="1">
      <alignment horizontal="left" vertical="center" wrapText="1" shrinkToFit="1"/>
    </xf>
    <xf numFmtId="0" fontId="6" fillId="0" borderId="33" xfId="0" applyNumberFormat="1" applyFont="1" applyFill="1" applyBorder="1" applyAlignment="1" applyProtection="1">
      <alignment horizontal="left" vertical="center" wrapText="1" shrinkToFit="1"/>
    </xf>
    <xf numFmtId="0" fontId="0" fillId="0" borderId="38" xfId="0" applyFont="1" applyBorder="1" applyProtection="1">
      <alignment vertical="center"/>
    </xf>
    <xf numFmtId="0" fontId="0" fillId="0" borderId="50" xfId="0" applyFont="1" applyBorder="1" applyProtection="1">
      <alignment vertical="center"/>
    </xf>
    <xf numFmtId="0" fontId="6" fillId="0" borderId="17" xfId="0" applyNumberFormat="1" applyFont="1" applyFill="1" applyBorder="1" applyAlignment="1" applyProtection="1">
      <alignment horizontal="left" vertical="center" wrapText="1" shrinkToFit="1"/>
    </xf>
    <xf numFmtId="0" fontId="0" fillId="0" borderId="89" xfId="0" applyFont="1" applyFill="1" applyBorder="1" applyProtection="1">
      <alignment vertical="center"/>
    </xf>
    <xf numFmtId="0" fontId="0" fillId="4" borderId="164" xfId="0" applyFont="1" applyFill="1" applyBorder="1" applyProtection="1">
      <alignment vertical="center"/>
    </xf>
    <xf numFmtId="0" fontId="0" fillId="4" borderId="165" xfId="0" applyFont="1" applyFill="1" applyBorder="1" applyProtection="1">
      <alignment vertical="center"/>
    </xf>
    <xf numFmtId="0" fontId="0" fillId="0" borderId="0" xfId="0" applyFont="1" applyFill="1" applyAlignment="1" applyProtection="1">
      <alignment horizontal="right" vertical="center"/>
    </xf>
    <xf numFmtId="14" fontId="13" fillId="0" borderId="4" xfId="0" applyNumberFormat="1" applyFont="1" applyFill="1" applyBorder="1" applyAlignment="1" applyProtection="1">
      <alignment vertical="center" shrinkToFit="1"/>
    </xf>
    <xf numFmtId="0" fontId="22" fillId="0" borderId="0" xfId="0" applyFont="1" applyFill="1" applyAlignment="1" applyProtection="1">
      <alignment vertical="center"/>
    </xf>
    <xf numFmtId="14" fontId="6" fillId="0" borderId="0" xfId="0" applyNumberFormat="1" applyFont="1" applyFill="1" applyBorder="1" applyAlignment="1" applyProtection="1">
      <alignment horizontal="left" vertical="center" wrapText="1"/>
    </xf>
    <xf numFmtId="0" fontId="0" fillId="0" borderId="4" xfId="0" applyFont="1" applyFill="1" applyBorder="1" applyAlignment="1" applyProtection="1">
      <alignment horizontal="center" vertical="center" wrapText="1"/>
    </xf>
    <xf numFmtId="0" fontId="46" fillId="0" borderId="4" xfId="0" applyNumberFormat="1" applyFont="1" applyBorder="1" applyAlignment="1" applyProtection="1">
      <alignment horizontal="left" vertical="center" wrapText="1" shrinkToFit="1"/>
    </xf>
    <xf numFmtId="0" fontId="22" fillId="0" borderId="0" xfId="0" applyFont="1" applyFill="1" applyBorder="1" applyAlignment="1" applyProtection="1">
      <alignment horizontal="left" vertical="center"/>
    </xf>
    <xf numFmtId="0" fontId="25" fillId="0" borderId="0" xfId="1" applyFont="1" applyBorder="1" applyAlignment="1" applyProtection="1">
      <alignment horizontal="left" vertical="center"/>
    </xf>
    <xf numFmtId="0" fontId="12" fillId="0" borderId="0" xfId="1" applyFont="1" applyBorder="1" applyAlignment="1" applyProtection="1">
      <alignment horizontal="left" vertical="center"/>
    </xf>
    <xf numFmtId="0" fontId="0" fillId="0" borderId="99" xfId="0" applyFont="1" applyFill="1" applyBorder="1" applyAlignment="1" applyProtection="1">
      <alignment vertical="center" shrinkToFit="1"/>
    </xf>
    <xf numFmtId="181" fontId="6" fillId="0" borderId="4" xfId="0" applyNumberFormat="1" applyFont="1" applyFill="1" applyBorder="1" applyAlignment="1" applyProtection="1">
      <alignment vertical="center"/>
    </xf>
    <xf numFmtId="181" fontId="0" fillId="0" borderId="4" xfId="0" applyNumberFormat="1" applyFont="1" applyFill="1" applyBorder="1" applyProtection="1">
      <alignment vertical="center"/>
    </xf>
    <xf numFmtId="0" fontId="4" fillId="3" borderId="6" xfId="0" applyFont="1" applyFill="1" applyBorder="1" applyAlignment="1" applyProtection="1">
      <alignment horizontal="center" vertical="center"/>
    </xf>
    <xf numFmtId="0" fontId="4" fillId="0" borderId="0" xfId="0" applyFont="1" applyBorder="1" applyAlignment="1" applyProtection="1">
      <alignment horizontal="center" vertical="center"/>
      <protection locked="0"/>
    </xf>
    <xf numFmtId="0" fontId="5" fillId="0" borderId="0" xfId="0" applyFont="1" applyAlignment="1" applyProtection="1">
      <alignment horizontal="center" vertical="center"/>
    </xf>
    <xf numFmtId="0" fontId="4" fillId="0" borderId="0" xfId="0" applyFont="1" applyAlignment="1" applyProtection="1">
      <alignment vertical="center"/>
    </xf>
    <xf numFmtId="0" fontId="4" fillId="0" borderId="0" xfId="0" applyFont="1" applyAlignment="1" applyProtection="1">
      <alignment horizontal="left" vertical="center"/>
    </xf>
    <xf numFmtId="0" fontId="4" fillId="0" borderId="0" xfId="0" applyFont="1" applyFill="1" applyAlignment="1" applyProtection="1">
      <alignment horizontal="left" vertical="center"/>
    </xf>
    <xf numFmtId="0" fontId="15" fillId="3" borderId="7" xfId="0"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vertical="center"/>
    </xf>
    <xf numFmtId="0" fontId="4" fillId="3" borderId="9"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0" borderId="5"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0" xfId="0" applyFont="1" applyFill="1" applyAlignment="1" applyProtection="1">
      <alignment horizontal="center" vertical="center"/>
    </xf>
    <xf numFmtId="0" fontId="38" fillId="0" borderId="0" xfId="0" applyFont="1" applyFill="1" applyProtection="1">
      <alignment vertical="center"/>
    </xf>
    <xf numFmtId="0" fontId="4" fillId="0" borderId="0" xfId="0" applyFont="1" applyBorder="1" applyAlignment="1" applyProtection="1">
      <alignment horizontal="left" vertical="top"/>
    </xf>
    <xf numFmtId="0" fontId="0" fillId="3" borderId="4" xfId="0" applyFont="1" applyFill="1" applyBorder="1" applyAlignment="1" applyProtection="1">
      <alignment horizontal="center" vertical="center" wrapText="1"/>
    </xf>
    <xf numFmtId="14" fontId="6" fillId="3" borderId="17" xfId="0" applyNumberFormat="1" applyFont="1" applyFill="1" applyBorder="1" applyAlignment="1" applyProtection="1">
      <alignment horizontal="left" vertical="center" wrapText="1"/>
    </xf>
    <xf numFmtId="0" fontId="6" fillId="0" borderId="4" xfId="0" applyFont="1" applyFill="1" applyBorder="1" applyAlignment="1" applyProtection="1">
      <alignment horizontal="left" vertical="center"/>
    </xf>
    <xf numFmtId="0" fontId="0" fillId="7" borderId="17" xfId="0" applyFont="1" applyFill="1" applyBorder="1" applyAlignment="1" applyProtection="1">
      <alignment horizontal="left" vertical="center" wrapText="1"/>
    </xf>
    <xf numFmtId="178" fontId="0" fillId="0" borderId="112" xfId="0" applyNumberFormat="1" applyBorder="1" applyAlignment="1" applyProtection="1">
      <alignment horizontal="right" vertical="center"/>
      <protection locked="0"/>
    </xf>
    <xf numFmtId="178" fontId="0" fillId="0" borderId="114" xfId="0" applyNumberFormat="1" applyBorder="1" applyAlignment="1" applyProtection="1">
      <alignment horizontal="right" vertical="center"/>
      <protection locked="0"/>
    </xf>
    <xf numFmtId="178" fontId="0" fillId="0" borderId="116" xfId="0" applyNumberFormat="1" applyBorder="1" applyAlignment="1" applyProtection="1">
      <alignment horizontal="right" vertical="center"/>
      <protection locked="0"/>
    </xf>
    <xf numFmtId="178" fontId="0" fillId="0" borderId="118" xfId="0" applyNumberFormat="1" applyBorder="1" applyAlignment="1" applyProtection="1">
      <alignment horizontal="right" vertical="center"/>
      <protection locked="0"/>
    </xf>
    <xf numFmtId="178" fontId="0" fillId="0" borderId="120" xfId="0" applyNumberFormat="1" applyBorder="1" applyAlignment="1" applyProtection="1">
      <alignment horizontal="right" vertical="center"/>
      <protection locked="0"/>
    </xf>
    <xf numFmtId="178" fontId="0" fillId="3" borderId="94" xfId="0" applyNumberFormat="1" applyFill="1" applyBorder="1" applyAlignment="1" applyProtection="1">
      <alignment horizontal="right" vertical="center"/>
    </xf>
    <xf numFmtId="178" fontId="0" fillId="3" borderId="90" xfId="0" applyNumberFormat="1" applyFill="1" applyBorder="1" applyProtection="1">
      <alignment vertical="center"/>
    </xf>
    <xf numFmtId="188" fontId="0" fillId="3" borderId="103" xfId="0" applyNumberFormat="1" applyFill="1" applyBorder="1" applyAlignment="1" applyProtection="1">
      <alignment horizontal="right" vertical="center"/>
    </xf>
    <xf numFmtId="188" fontId="0" fillId="3" borderId="0" xfId="0" applyNumberFormat="1" applyFill="1" applyBorder="1" applyAlignment="1" applyProtection="1">
      <alignment horizontal="right" vertical="center"/>
    </xf>
    <xf numFmtId="188" fontId="0" fillId="3" borderId="93" xfId="0" applyNumberFormat="1" applyFill="1" applyBorder="1" applyAlignment="1" applyProtection="1">
      <alignment horizontal="right" vertical="center"/>
    </xf>
    <xf numFmtId="188" fontId="0" fillId="3" borderId="2" xfId="0" applyNumberFormat="1" applyFill="1" applyBorder="1" applyAlignment="1" applyProtection="1">
      <alignment horizontal="right" vertical="center"/>
    </xf>
    <xf numFmtId="188" fontId="0" fillId="3" borderId="1" xfId="0" applyNumberFormat="1" applyFill="1" applyBorder="1" applyAlignment="1" applyProtection="1">
      <alignment horizontal="right" vertical="center"/>
    </xf>
    <xf numFmtId="0" fontId="4" fillId="3" borderId="0"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2" xfId="0"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0" fontId="4" fillId="0" borderId="0" xfId="0" applyFont="1" applyBorder="1" applyAlignment="1" applyProtection="1">
      <alignment horizontal="center" vertical="center"/>
      <protection locked="0"/>
    </xf>
    <xf numFmtId="0" fontId="16"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2" fillId="13" borderId="0" xfId="0" applyFont="1" applyFill="1" applyAlignment="1" applyProtection="1">
      <alignment horizontal="left" vertical="center"/>
    </xf>
    <xf numFmtId="0" fontId="47" fillId="0" borderId="0" xfId="0" applyFont="1" applyFill="1" applyBorder="1" applyAlignment="1" applyProtection="1">
      <alignment vertical="center" wrapText="1"/>
    </xf>
    <xf numFmtId="0" fontId="49" fillId="0" borderId="0" xfId="0" applyFont="1" applyFill="1" applyAlignment="1" applyProtection="1">
      <alignment horizontal="right" vertical="center"/>
    </xf>
    <xf numFmtId="0" fontId="43" fillId="13" borderId="0" xfId="0" applyFont="1" applyFill="1" applyAlignment="1" applyProtection="1">
      <alignment horizontal="left" vertical="center"/>
    </xf>
    <xf numFmtId="0" fontId="12" fillId="0" borderId="0" xfId="0" applyFont="1" applyProtection="1">
      <alignment vertical="center"/>
    </xf>
    <xf numFmtId="0" fontId="13" fillId="3" borderId="3" xfId="0" applyFont="1" applyFill="1" applyBorder="1" applyProtection="1">
      <alignment vertical="center"/>
    </xf>
    <xf numFmtId="0" fontId="13" fillId="3" borderId="1" xfId="0" applyFont="1" applyFill="1" applyBorder="1" applyProtection="1">
      <alignment vertical="center"/>
    </xf>
    <xf numFmtId="0" fontId="13" fillId="0" borderId="5" xfId="0" applyFont="1" applyFill="1" applyBorder="1" applyProtection="1">
      <alignment vertical="center"/>
    </xf>
    <xf numFmtId="0" fontId="0" fillId="3" borderId="0" xfId="0" applyFont="1" applyFill="1" applyBorder="1" applyProtection="1">
      <alignment vertical="center"/>
    </xf>
    <xf numFmtId="0" fontId="13" fillId="0" borderId="33" xfId="0" applyFont="1" applyBorder="1" applyProtection="1">
      <alignment vertical="center"/>
    </xf>
    <xf numFmtId="0" fontId="13" fillId="0" borderId="89" xfId="0" applyFont="1" applyBorder="1" applyProtection="1">
      <alignment vertical="center"/>
    </xf>
    <xf numFmtId="0" fontId="0" fillId="0" borderId="58" xfId="0" applyFont="1" applyFill="1" applyBorder="1" applyProtection="1">
      <alignment vertical="center"/>
    </xf>
    <xf numFmtId="0" fontId="8" fillId="0" borderId="8" xfId="5" applyFont="1" applyBorder="1" applyAlignment="1">
      <alignment horizontal="left" vertical="center"/>
    </xf>
    <xf numFmtId="0" fontId="8" fillId="0" borderId="7" xfId="5" applyNumberFormat="1" applyFont="1" applyBorder="1" applyAlignment="1">
      <alignment horizontal="right" vertical="center"/>
    </xf>
    <xf numFmtId="0" fontId="26" fillId="0" borderId="0" xfId="0" applyFont="1" applyFill="1" applyAlignment="1" applyProtection="1">
      <alignment vertical="center" wrapText="1"/>
    </xf>
    <xf numFmtId="0" fontId="26" fillId="3" borderId="38" xfId="0" applyFont="1" applyFill="1" applyBorder="1" applyAlignment="1" applyProtection="1">
      <alignment vertical="center"/>
    </xf>
    <xf numFmtId="0" fontId="26" fillId="3" borderId="50" xfId="0" applyFont="1" applyFill="1" applyBorder="1" applyAlignment="1" applyProtection="1">
      <alignment vertical="center" wrapText="1"/>
    </xf>
    <xf numFmtId="0" fontId="80" fillId="3" borderId="0" xfId="0" applyFont="1" applyFill="1" applyBorder="1" applyAlignment="1" applyProtection="1">
      <alignment vertical="center" wrapText="1"/>
    </xf>
    <xf numFmtId="0" fontId="80" fillId="3" borderId="22" xfId="0" applyFont="1" applyFill="1" applyBorder="1" applyAlignment="1" applyProtection="1">
      <alignment vertical="center" wrapText="1"/>
    </xf>
    <xf numFmtId="0" fontId="26" fillId="3" borderId="20" xfId="0" applyFont="1" applyFill="1" applyBorder="1" applyAlignment="1" applyProtection="1">
      <alignment vertical="center"/>
    </xf>
    <xf numFmtId="0" fontId="79" fillId="3" borderId="0" xfId="0" applyFont="1" applyFill="1" applyBorder="1" applyAlignment="1" applyProtection="1">
      <alignment vertical="center" textRotation="255"/>
    </xf>
    <xf numFmtId="0" fontId="79" fillId="3" borderId="0" xfId="0" applyFont="1" applyFill="1" applyBorder="1" applyProtection="1">
      <alignment vertical="center"/>
    </xf>
    <xf numFmtId="0" fontId="26" fillId="0" borderId="38" xfId="0" applyFont="1" applyFill="1" applyBorder="1" applyAlignment="1" applyProtection="1">
      <alignment vertical="center" wrapText="1"/>
    </xf>
    <xf numFmtId="0" fontId="26" fillId="11" borderId="22" xfId="0" applyFont="1" applyFill="1" applyBorder="1" applyAlignment="1" applyProtection="1">
      <alignment vertical="center" wrapText="1"/>
    </xf>
    <xf numFmtId="0" fontId="26" fillId="11" borderId="20" xfId="0" applyFont="1" applyFill="1" applyBorder="1" applyAlignment="1" applyProtection="1">
      <alignment vertical="center" wrapText="1"/>
    </xf>
    <xf numFmtId="0" fontId="26" fillId="11" borderId="24" xfId="0" applyFont="1" applyFill="1" applyBorder="1" applyAlignment="1" applyProtection="1">
      <alignment vertical="center" wrapText="1"/>
    </xf>
    <xf numFmtId="0" fontId="78" fillId="3" borderId="38" xfId="0" applyFont="1" applyFill="1" applyBorder="1" applyAlignment="1" applyProtection="1">
      <alignment vertical="center" wrapText="1"/>
    </xf>
    <xf numFmtId="0" fontId="26" fillId="0" borderId="0" xfId="0" applyFont="1" applyFill="1" applyBorder="1" applyAlignment="1" applyProtection="1">
      <alignment vertical="center" wrapText="1"/>
    </xf>
    <xf numFmtId="0" fontId="26" fillId="11" borderId="38" xfId="0" applyFont="1" applyFill="1" applyBorder="1" applyAlignment="1" applyProtection="1">
      <alignment vertical="center" wrapText="1"/>
    </xf>
    <xf numFmtId="0" fontId="26" fillId="11" borderId="50" xfId="0" applyFont="1" applyFill="1" applyBorder="1" applyAlignment="1" applyProtection="1">
      <alignment vertical="center" wrapText="1"/>
    </xf>
    <xf numFmtId="0" fontId="78" fillId="3" borderId="38" xfId="0" applyFont="1" applyFill="1" applyBorder="1" applyAlignment="1" applyProtection="1">
      <alignment vertical="top" wrapText="1"/>
    </xf>
    <xf numFmtId="0" fontId="26" fillId="3" borderId="0" xfId="0" applyFont="1" applyFill="1" applyBorder="1" applyAlignment="1" applyProtection="1">
      <alignment vertical="top"/>
    </xf>
    <xf numFmtId="0" fontId="78" fillId="11" borderId="0" xfId="0" applyFont="1" applyFill="1" applyBorder="1" applyAlignment="1" applyProtection="1">
      <alignment vertical="top" wrapText="1"/>
    </xf>
    <xf numFmtId="0" fontId="78" fillId="11" borderId="22" xfId="0" applyFont="1" applyFill="1" applyBorder="1" applyAlignment="1" applyProtection="1">
      <alignment vertical="top" wrapText="1"/>
    </xf>
    <xf numFmtId="0" fontId="78" fillId="11" borderId="0" xfId="0" applyFont="1" applyFill="1" applyBorder="1" applyAlignment="1" applyProtection="1">
      <alignment vertical="center" wrapText="1"/>
    </xf>
    <xf numFmtId="0" fontId="78" fillId="3" borderId="22" xfId="0" applyFont="1" applyFill="1" applyBorder="1" applyAlignment="1" applyProtection="1">
      <alignment vertical="top" wrapText="1"/>
    </xf>
    <xf numFmtId="0" fontId="83" fillId="3" borderId="0" xfId="0" applyFont="1" applyFill="1" applyBorder="1" applyAlignment="1" applyProtection="1">
      <alignment vertical="center"/>
    </xf>
    <xf numFmtId="0" fontId="78" fillId="3" borderId="0" xfId="0" applyFont="1" applyFill="1" applyBorder="1" applyAlignment="1" applyProtection="1">
      <alignment vertical="top" wrapText="1"/>
    </xf>
    <xf numFmtId="0" fontId="78" fillId="3" borderId="20" xfId="0" applyFont="1" applyFill="1" applyBorder="1" applyAlignment="1" applyProtection="1">
      <alignment vertical="top" wrapText="1"/>
    </xf>
    <xf numFmtId="0" fontId="78" fillId="3" borderId="24" xfId="0" applyFont="1" applyFill="1" applyBorder="1" applyAlignment="1" applyProtection="1">
      <alignment vertical="top" wrapText="1"/>
    </xf>
    <xf numFmtId="0" fontId="26" fillId="0" borderId="0" xfId="0" applyFont="1" applyFill="1" applyAlignment="1" applyProtection="1">
      <alignment horizontal="left" vertical="center"/>
    </xf>
    <xf numFmtId="0" fontId="80" fillId="3" borderId="38" xfId="0" applyFont="1" applyFill="1" applyBorder="1" applyAlignment="1" applyProtection="1">
      <alignment vertical="center" wrapText="1"/>
    </xf>
    <xf numFmtId="0" fontId="80" fillId="3" borderId="50" xfId="0" applyFont="1" applyFill="1" applyBorder="1" applyAlignment="1" applyProtection="1">
      <alignment vertical="center" wrapText="1"/>
    </xf>
    <xf numFmtId="181" fontId="78" fillId="3" borderId="0" xfId="0" applyNumberFormat="1" applyFont="1" applyFill="1" applyBorder="1" applyAlignment="1" applyProtection="1">
      <alignment horizontal="left" vertical="top" wrapText="1"/>
    </xf>
    <xf numFmtId="181" fontId="78" fillId="3" borderId="22" xfId="0" applyNumberFormat="1" applyFont="1" applyFill="1" applyBorder="1" applyAlignment="1" applyProtection="1">
      <alignment horizontal="left" vertical="top" wrapText="1"/>
    </xf>
    <xf numFmtId="0" fontId="26" fillId="3" borderId="1" xfId="0" applyFont="1" applyFill="1" applyBorder="1" applyAlignment="1" applyProtection="1">
      <alignment horizontal="center" vertical="center" wrapText="1"/>
    </xf>
    <xf numFmtId="0" fontId="26" fillId="0" borderId="0" xfId="0" applyFont="1" applyFill="1" applyBorder="1" applyAlignment="1" applyProtection="1">
      <alignment horizontal="left" vertical="center" wrapText="1"/>
    </xf>
    <xf numFmtId="0" fontId="26" fillId="0" borderId="0" xfId="0" applyFont="1" applyFill="1" applyAlignment="1" applyProtection="1">
      <alignment horizontal="left" vertical="center" wrapText="1"/>
    </xf>
    <xf numFmtId="0" fontId="26" fillId="0" borderId="0" xfId="0" applyFont="1" applyFill="1" applyBorder="1" applyAlignment="1" applyProtection="1">
      <alignment horizontal="left" vertical="center"/>
    </xf>
    <xf numFmtId="0" fontId="5" fillId="0" borderId="0" xfId="0" applyFont="1" applyAlignment="1" applyProtection="1">
      <alignment horizontal="right" vertical="center"/>
    </xf>
    <xf numFmtId="0" fontId="26" fillId="11" borderId="0" xfId="0" applyFont="1" applyFill="1" applyBorder="1" applyAlignment="1" applyProtection="1">
      <alignment vertical="top" wrapText="1"/>
    </xf>
    <xf numFmtId="0" fontId="26" fillId="11" borderId="0" xfId="0" applyFont="1" applyFill="1" applyBorder="1" applyAlignment="1" applyProtection="1">
      <alignment vertical="top"/>
    </xf>
    <xf numFmtId="0" fontId="4" fillId="3" borderId="0" xfId="0" applyFont="1" applyFill="1" applyBorder="1" applyAlignment="1" applyProtection="1">
      <alignment horizontal="center" vertical="center"/>
      <protection locked="0"/>
    </xf>
    <xf numFmtId="0" fontId="0" fillId="13" borderId="0" xfId="0" applyFill="1" applyProtection="1">
      <alignment vertical="center"/>
    </xf>
    <xf numFmtId="0" fontId="23" fillId="13" borderId="0" xfId="0" applyFont="1" applyFill="1" applyBorder="1" applyAlignment="1" applyProtection="1">
      <alignment vertical="center"/>
    </xf>
    <xf numFmtId="0" fontId="23" fillId="13" borderId="0" xfId="0" applyFont="1" applyFill="1" applyProtection="1">
      <alignment vertical="center"/>
    </xf>
    <xf numFmtId="0" fontId="0" fillId="0" borderId="58" xfId="0" applyBorder="1" applyProtection="1">
      <alignment vertical="center"/>
    </xf>
    <xf numFmtId="0" fontId="23" fillId="0" borderId="4" xfId="0" applyFont="1" applyBorder="1" applyProtection="1">
      <alignment vertical="center"/>
    </xf>
    <xf numFmtId="14" fontId="0" fillId="0" borderId="4" xfId="0" applyNumberFormat="1" applyFont="1" applyFill="1" applyBorder="1" applyProtection="1">
      <alignment vertical="center"/>
    </xf>
    <xf numFmtId="0" fontId="23" fillId="0" borderId="0" xfId="0" applyFont="1" applyBorder="1" applyProtection="1">
      <alignment vertical="center"/>
    </xf>
    <xf numFmtId="14" fontId="13" fillId="0" borderId="0" xfId="0" applyNumberFormat="1" applyFont="1" applyProtection="1">
      <alignment vertical="center"/>
    </xf>
    <xf numFmtId="0" fontId="0" fillId="0" borderId="32" xfId="0" applyFont="1" applyFill="1" applyBorder="1" applyAlignment="1" applyProtection="1">
      <alignment horizontal="left" vertical="center"/>
    </xf>
    <xf numFmtId="0" fontId="0" fillId="0" borderId="13" xfId="0" applyFont="1" applyFill="1" applyBorder="1" applyAlignment="1" applyProtection="1">
      <alignment horizontal="left" vertical="center"/>
    </xf>
    <xf numFmtId="0" fontId="0" fillId="0" borderId="14" xfId="0" applyFont="1" applyFill="1" applyBorder="1" applyAlignment="1" applyProtection="1">
      <alignment horizontal="left" vertical="center"/>
    </xf>
    <xf numFmtId="0" fontId="11" fillId="0" borderId="4" xfId="1" applyBorder="1" applyProtection="1">
      <alignment vertical="center"/>
    </xf>
    <xf numFmtId="0" fontId="0" fillId="0" borderId="0" xfId="0" applyAlignment="1" applyProtection="1"/>
    <xf numFmtId="0" fontId="132" fillId="0" borderId="0" xfId="1" applyFont="1" applyAlignment="1" applyProtection="1">
      <alignment vertical="top"/>
    </xf>
    <xf numFmtId="0" fontId="0" fillId="24" borderId="0" xfId="0" applyFill="1" applyProtection="1">
      <alignment vertical="center"/>
    </xf>
    <xf numFmtId="49" fontId="0" fillId="24" borderId="0" xfId="0" applyNumberFormat="1" applyFill="1" applyProtection="1">
      <alignment vertical="center"/>
    </xf>
    <xf numFmtId="0" fontId="0" fillId="25" borderId="7" xfId="0" applyFill="1" applyBorder="1" applyProtection="1">
      <alignment vertical="center"/>
    </xf>
    <xf numFmtId="0" fontId="0" fillId="25" borderId="9" xfId="0" applyFill="1" applyBorder="1" applyProtection="1">
      <alignment vertical="center"/>
    </xf>
    <xf numFmtId="0" fontId="0" fillId="25" borderId="0" xfId="0" applyFill="1" applyProtection="1">
      <alignment vertical="center"/>
    </xf>
    <xf numFmtId="0" fontId="0" fillId="25" borderId="3" xfId="0" applyFill="1" applyBorder="1" applyProtection="1">
      <alignment vertical="center"/>
    </xf>
    <xf numFmtId="0" fontId="0" fillId="25" borderId="5" xfId="0" applyFill="1" applyBorder="1" applyProtection="1">
      <alignment vertical="center"/>
    </xf>
    <xf numFmtId="0" fontId="0" fillId="25" borderId="28" xfId="0" applyFill="1" applyBorder="1" applyProtection="1">
      <alignment vertical="center"/>
    </xf>
    <xf numFmtId="0" fontId="0" fillId="25" borderId="6" xfId="0" applyFill="1" applyBorder="1" applyAlignment="1" applyProtection="1">
      <alignment horizontal="left" vertical="center"/>
    </xf>
    <xf numFmtId="0" fontId="0" fillId="25" borderId="10" xfId="0" applyFill="1" applyBorder="1" applyAlignment="1" applyProtection="1">
      <alignment horizontal="left" vertical="center"/>
    </xf>
    <xf numFmtId="0" fontId="0" fillId="25" borderId="11" xfId="0" applyFill="1" applyBorder="1" applyAlignment="1" applyProtection="1">
      <alignment horizontal="left" vertical="center"/>
    </xf>
    <xf numFmtId="49" fontId="0" fillId="25" borderId="0" xfId="0" applyNumberFormat="1" applyFill="1" applyProtection="1">
      <alignment vertical="center"/>
    </xf>
    <xf numFmtId="0" fontId="0" fillId="25" borderId="0" xfId="0" applyFill="1" applyBorder="1" applyProtection="1">
      <alignment vertical="center"/>
    </xf>
    <xf numFmtId="0" fontId="0" fillId="28" borderId="0" xfId="0" applyFill="1" applyBorder="1" applyAlignment="1" applyProtection="1">
      <alignment vertical="center"/>
    </xf>
    <xf numFmtId="0" fontId="0" fillId="28" borderId="0" xfId="0" applyFill="1" applyAlignment="1" applyProtection="1">
      <alignment vertical="center"/>
    </xf>
    <xf numFmtId="0" fontId="0" fillId="28" borderId="33" xfId="0" applyFill="1" applyBorder="1" applyAlignment="1" applyProtection="1">
      <alignment vertical="center"/>
    </xf>
    <xf numFmtId="0" fontId="0" fillId="28" borderId="99" xfId="0" applyFill="1" applyBorder="1" applyProtection="1">
      <alignment vertical="center"/>
    </xf>
    <xf numFmtId="0" fontId="0" fillId="28" borderId="89" xfId="0" applyFill="1" applyBorder="1" applyProtection="1">
      <alignment vertical="center"/>
    </xf>
    <xf numFmtId="0" fontId="0" fillId="28" borderId="4" xfId="0" applyFill="1" applyBorder="1" applyProtection="1">
      <alignment vertical="center"/>
    </xf>
    <xf numFmtId="0" fontId="0" fillId="28" borderId="0" xfId="0" applyFill="1" applyProtection="1">
      <alignment vertical="center"/>
    </xf>
    <xf numFmtId="0" fontId="31" fillId="5" borderId="57" xfId="0" applyFont="1" applyFill="1" applyBorder="1" applyAlignment="1" applyProtection="1">
      <alignment horizontal="center" vertical="center" wrapText="1" shrinkToFit="1"/>
    </xf>
    <xf numFmtId="0" fontId="0" fillId="0" borderId="2" xfId="0" applyFont="1" applyFill="1" applyBorder="1" applyAlignment="1" applyProtection="1">
      <alignment horizontal="center" vertical="center"/>
    </xf>
    <xf numFmtId="0" fontId="0" fillId="0" borderId="38" xfId="0" applyFont="1" applyBorder="1" applyAlignment="1" applyProtection="1">
      <alignment horizontal="left" vertical="center"/>
    </xf>
    <xf numFmtId="0" fontId="0" fillId="0" borderId="2" xfId="0" applyFont="1" applyFill="1" applyBorder="1" applyAlignment="1" applyProtection="1">
      <alignment horizontal="left" vertical="center"/>
    </xf>
    <xf numFmtId="0" fontId="13" fillId="0" borderId="0" xfId="0" applyFont="1" applyBorder="1" applyAlignment="1" applyProtection="1">
      <alignment horizontal="left" vertical="center"/>
    </xf>
    <xf numFmtId="0" fontId="31" fillId="5" borderId="50" xfId="0" applyFont="1" applyFill="1" applyBorder="1" applyAlignment="1" applyProtection="1">
      <alignment horizontal="center" vertical="center" wrapText="1" shrinkToFit="1"/>
    </xf>
    <xf numFmtId="0" fontId="0" fillId="0" borderId="0" xfId="0" applyAlignment="1" applyProtection="1">
      <alignment vertical="center"/>
    </xf>
    <xf numFmtId="0" fontId="0" fillId="3" borderId="5" xfId="0" applyFill="1" applyBorder="1" applyAlignment="1" applyProtection="1">
      <alignment horizontal="center" vertical="center"/>
    </xf>
    <xf numFmtId="0" fontId="102" fillId="0" borderId="0" xfId="0" applyFont="1" applyProtection="1">
      <alignment vertical="center"/>
      <protection hidden="1"/>
    </xf>
    <xf numFmtId="0" fontId="0" fillId="0" borderId="0" xfId="0" applyProtection="1">
      <alignment vertical="center"/>
      <protection hidden="1"/>
    </xf>
    <xf numFmtId="0" fontId="0" fillId="4" borderId="0" xfId="0" applyFill="1" applyProtection="1">
      <alignment vertical="center"/>
      <protection hidden="1"/>
    </xf>
    <xf numFmtId="0" fontId="0" fillId="0" borderId="0" xfId="0" applyFont="1" applyProtection="1">
      <alignment vertical="center"/>
      <protection hidden="1"/>
    </xf>
    <xf numFmtId="0" fontId="118" fillId="22" borderId="0" xfId="8" applyFont="1" applyFill="1" applyProtection="1">
      <alignment vertical="center"/>
      <protection hidden="1"/>
    </xf>
    <xf numFmtId="0" fontId="110" fillId="22" borderId="0" xfId="0" applyFont="1" applyFill="1" applyProtection="1">
      <alignment vertical="center"/>
      <protection hidden="1"/>
    </xf>
    <xf numFmtId="0" fontId="119" fillId="22" borderId="0" xfId="8" applyFont="1" applyFill="1" applyProtection="1">
      <alignment vertical="center"/>
      <protection hidden="1"/>
    </xf>
    <xf numFmtId="0" fontId="110" fillId="22" borderId="0" xfId="8" applyFont="1" applyFill="1" applyAlignment="1" applyProtection="1">
      <alignment horizontal="right" vertical="center"/>
      <protection hidden="1"/>
    </xf>
    <xf numFmtId="0" fontId="119" fillId="22" borderId="0" xfId="8" applyFont="1" applyFill="1" applyAlignment="1" applyProtection="1">
      <alignment horizontal="right" vertical="center"/>
      <protection hidden="1"/>
    </xf>
    <xf numFmtId="0" fontId="119" fillId="0" borderId="7" xfId="8" applyFont="1" applyBorder="1" applyProtection="1">
      <alignment vertical="center"/>
      <protection hidden="1"/>
    </xf>
    <xf numFmtId="0" fontId="110" fillId="0" borderId="8" xfId="0" applyFont="1" applyBorder="1" applyProtection="1">
      <alignment vertical="center"/>
      <protection hidden="1"/>
    </xf>
    <xf numFmtId="0" fontId="110" fillId="22" borderId="5" xfId="0" applyFont="1" applyFill="1" applyBorder="1" applyProtection="1">
      <alignment vertical="center"/>
      <protection hidden="1"/>
    </xf>
    <xf numFmtId="0" fontId="110" fillId="22" borderId="0" xfId="8" applyFont="1" applyFill="1" applyProtection="1">
      <alignment vertical="center"/>
      <protection hidden="1"/>
    </xf>
    <xf numFmtId="0" fontId="120" fillId="22" borderId="0" xfId="8" applyFont="1" applyFill="1" applyProtection="1">
      <alignment vertical="center"/>
      <protection hidden="1"/>
    </xf>
    <xf numFmtId="0" fontId="110" fillId="0" borderId="0" xfId="0" applyFont="1" applyProtection="1">
      <alignment vertical="center"/>
      <protection hidden="1"/>
    </xf>
    <xf numFmtId="0" fontId="110" fillId="13" borderId="33" xfId="0" applyFont="1" applyFill="1" applyBorder="1" applyAlignment="1" applyProtection="1">
      <alignment horizontal="left" vertical="center" indent="1"/>
      <protection hidden="1"/>
    </xf>
    <xf numFmtId="0" fontId="110" fillId="13" borderId="89" xfId="0" applyFont="1" applyFill="1" applyBorder="1" applyProtection="1">
      <alignment vertical="center"/>
      <protection hidden="1"/>
    </xf>
    <xf numFmtId="0" fontId="110" fillId="13" borderId="4" xfId="0" applyFont="1" applyFill="1" applyBorder="1" applyAlignment="1" applyProtection="1">
      <alignment horizontal="left" vertical="center" wrapText="1" indent="1"/>
      <protection hidden="1"/>
    </xf>
    <xf numFmtId="0" fontId="110" fillId="13" borderId="4" xfId="0" applyFont="1" applyFill="1" applyBorder="1" applyAlignment="1" applyProtection="1">
      <alignment horizontal="center" vertical="center" wrapText="1"/>
      <protection hidden="1"/>
    </xf>
    <xf numFmtId="0" fontId="110" fillId="21" borderId="4" xfId="0" applyFont="1" applyFill="1" applyBorder="1" applyAlignment="1" applyProtection="1">
      <alignment horizontal="center" vertical="center" wrapText="1"/>
      <protection hidden="1"/>
    </xf>
    <xf numFmtId="0" fontId="110" fillId="13" borderId="89" xfId="0" applyFont="1" applyFill="1" applyBorder="1" applyAlignment="1" applyProtection="1">
      <alignment horizontal="left" vertical="center" indent="1"/>
      <protection hidden="1"/>
    </xf>
    <xf numFmtId="0" fontId="110" fillId="13" borderId="89" xfId="0" applyFont="1" applyFill="1" applyBorder="1" applyAlignment="1" applyProtection="1">
      <alignment horizontal="left" vertical="center" wrapText="1" indent="1"/>
      <protection hidden="1"/>
    </xf>
    <xf numFmtId="0" fontId="0" fillId="0" borderId="4" xfId="0" applyBorder="1" applyProtection="1">
      <alignment vertical="center"/>
      <protection hidden="1"/>
    </xf>
    <xf numFmtId="0" fontId="111" fillId="9" borderId="4" xfId="1" applyFont="1" applyFill="1" applyBorder="1" applyAlignment="1" applyProtection="1">
      <alignment horizontal="left" vertical="center" indent="1"/>
      <protection hidden="1"/>
    </xf>
    <xf numFmtId="0" fontId="110" fillId="9" borderId="4" xfId="0" applyFont="1" applyFill="1" applyBorder="1" applyAlignment="1" applyProtection="1">
      <alignment horizontal="center" vertical="center"/>
      <protection hidden="1"/>
    </xf>
    <xf numFmtId="0" fontId="110" fillId="21" borderId="9" xfId="0" applyFont="1" applyFill="1" applyBorder="1" applyAlignment="1" applyProtection="1">
      <alignment horizontal="center" vertical="center"/>
      <protection hidden="1"/>
    </xf>
    <xf numFmtId="0" fontId="110" fillId="21" borderId="4" xfId="0" applyFont="1" applyFill="1" applyBorder="1" applyAlignment="1" applyProtection="1">
      <alignment horizontal="center" vertical="center"/>
      <protection hidden="1"/>
    </xf>
    <xf numFmtId="0" fontId="113" fillId="0" borderId="4" xfId="0" applyFont="1" applyBorder="1" applyAlignment="1" applyProtection="1">
      <alignment horizontal="left" vertical="center" wrapText="1" indent="1"/>
      <protection hidden="1"/>
    </xf>
    <xf numFmtId="0" fontId="110" fillId="0" borderId="4" xfId="0" applyFont="1" applyBorder="1" applyAlignment="1" applyProtection="1">
      <alignment horizontal="left" vertical="center" indent="1"/>
      <protection hidden="1"/>
    </xf>
    <xf numFmtId="0" fontId="110" fillId="0" borderId="4" xfId="0" applyFont="1" applyBorder="1" applyAlignment="1" applyProtection="1">
      <alignment horizontal="left" vertical="center" wrapText="1" indent="1"/>
      <protection hidden="1"/>
    </xf>
    <xf numFmtId="0" fontId="110" fillId="21" borderId="9" xfId="0" applyFont="1" applyFill="1" applyBorder="1" applyAlignment="1" applyProtection="1">
      <alignment horizontal="center" vertical="center" wrapText="1"/>
      <protection hidden="1"/>
    </xf>
    <xf numFmtId="0" fontId="111" fillId="8" borderId="4" xfId="1" applyFont="1" applyFill="1" applyBorder="1" applyAlignment="1" applyProtection="1">
      <alignment horizontal="left" vertical="center" indent="1"/>
      <protection hidden="1"/>
    </xf>
    <xf numFmtId="0" fontId="110" fillId="8" borderId="4" xfId="0" applyFont="1" applyFill="1" applyBorder="1" applyAlignment="1" applyProtection="1">
      <alignment horizontal="center" vertical="center" wrapText="1"/>
      <protection hidden="1"/>
    </xf>
    <xf numFmtId="0" fontId="111" fillId="0" borderId="4" xfId="1" applyFont="1" applyBorder="1" applyAlignment="1" applyProtection="1">
      <alignment horizontal="left" vertical="center" indent="1"/>
      <protection hidden="1"/>
    </xf>
    <xf numFmtId="0" fontId="110" fillId="0" borderId="4" xfId="0" applyFont="1" applyBorder="1" applyAlignment="1" applyProtection="1">
      <alignment horizontal="center" vertical="center"/>
      <protection hidden="1"/>
    </xf>
    <xf numFmtId="0" fontId="110" fillId="0" borderId="4" xfId="0" applyFont="1" applyFill="1" applyBorder="1" applyAlignment="1" applyProtection="1">
      <alignment horizontal="center" vertical="center" wrapText="1"/>
      <protection hidden="1"/>
    </xf>
    <xf numFmtId="0" fontId="110" fillId="0" borderId="7" xfId="0" applyFont="1" applyBorder="1" applyAlignment="1" applyProtection="1">
      <alignment horizontal="left" vertical="center" indent="1"/>
      <protection hidden="1"/>
    </xf>
    <xf numFmtId="0" fontId="110" fillId="0" borderId="8" xfId="0" applyFont="1" applyBorder="1" applyAlignment="1" applyProtection="1">
      <alignment horizontal="left" vertical="center" indent="1"/>
      <protection hidden="1"/>
    </xf>
    <xf numFmtId="0" fontId="110" fillId="0" borderId="9" xfId="0" applyFont="1" applyBorder="1" applyAlignment="1" applyProtection="1">
      <alignment horizontal="left" vertical="center" indent="1"/>
      <protection hidden="1"/>
    </xf>
    <xf numFmtId="0" fontId="110" fillId="0" borderId="4" xfId="0" applyFont="1" applyFill="1" applyBorder="1" applyProtection="1">
      <alignment vertical="center"/>
      <protection hidden="1"/>
    </xf>
    <xf numFmtId="0" fontId="110" fillId="8" borderId="4" xfId="0" applyFont="1" applyFill="1" applyBorder="1" applyAlignment="1" applyProtection="1">
      <alignment horizontal="center" vertical="center"/>
      <protection hidden="1"/>
    </xf>
    <xf numFmtId="0" fontId="115" fillId="22" borderId="0" xfId="8" applyFont="1" applyFill="1" applyProtection="1">
      <alignment vertical="center"/>
      <protection hidden="1"/>
    </xf>
    <xf numFmtId="0" fontId="101" fillId="22" borderId="0" xfId="8" applyFont="1" applyFill="1" applyProtection="1">
      <alignment vertical="center"/>
      <protection hidden="1"/>
    </xf>
    <xf numFmtId="0" fontId="117" fillId="22" borderId="0" xfId="8" applyFont="1" applyFill="1" applyAlignment="1" applyProtection="1">
      <alignment horizontal="right" vertical="center"/>
      <protection hidden="1"/>
    </xf>
    <xf numFmtId="0" fontId="117" fillId="22" borderId="0" xfId="8" applyFont="1" applyFill="1" applyProtection="1">
      <alignment vertical="center"/>
      <protection hidden="1"/>
    </xf>
    <xf numFmtId="0" fontId="112" fillId="22" borderId="0" xfId="0" applyFont="1" applyFill="1" applyProtection="1">
      <alignment vertical="center"/>
      <protection hidden="1"/>
    </xf>
    <xf numFmtId="0" fontId="106" fillId="0" borderId="0" xfId="2" applyFont="1" applyProtection="1">
      <alignment vertical="center"/>
      <protection hidden="1"/>
    </xf>
    <xf numFmtId="0" fontId="10" fillId="0" borderId="0" xfId="2" applyProtection="1">
      <alignment vertical="center"/>
      <protection hidden="1"/>
    </xf>
    <xf numFmtId="0" fontId="10" fillId="0" borderId="37" xfId="2" applyBorder="1" applyProtection="1">
      <alignment vertical="center"/>
      <protection hidden="1"/>
    </xf>
    <xf numFmtId="0" fontId="10" fillId="0" borderId="38" xfId="2" applyBorder="1" applyProtection="1">
      <alignment vertical="center"/>
      <protection hidden="1"/>
    </xf>
    <xf numFmtId="0" fontId="59" fillId="0" borderId="50" xfId="2" applyFont="1" applyBorder="1" applyAlignment="1" applyProtection="1">
      <alignment horizontal="right" vertical="center"/>
      <protection hidden="1"/>
    </xf>
    <xf numFmtId="0" fontId="10" fillId="0" borderId="23" xfId="2" applyBorder="1" applyProtection="1">
      <alignment vertical="center"/>
      <protection hidden="1"/>
    </xf>
    <xf numFmtId="0" fontId="87" fillId="0" borderId="0" xfId="2" applyFont="1" applyAlignment="1" applyProtection="1">
      <alignment horizontal="center"/>
      <protection hidden="1"/>
    </xf>
    <xf numFmtId="0" fontId="89" fillId="0" borderId="23" xfId="2" applyFont="1" applyBorder="1" applyAlignment="1" applyProtection="1">
      <alignment vertical="center" wrapText="1"/>
      <protection hidden="1"/>
    </xf>
    <xf numFmtId="0" fontId="89" fillId="0" borderId="0" xfId="2" applyFont="1" applyAlignment="1" applyProtection="1">
      <alignment vertical="center" wrapText="1"/>
      <protection hidden="1"/>
    </xf>
    <xf numFmtId="0" fontId="90" fillId="0" borderId="0" xfId="2" applyFont="1" applyAlignment="1" applyProtection="1">
      <alignment vertical="center" wrapText="1"/>
      <protection hidden="1"/>
    </xf>
    <xf numFmtId="0" fontId="100" fillId="0" borderId="7" xfId="2" applyFont="1" applyBorder="1" applyAlignment="1" applyProtection="1">
      <alignment horizontal="right" vertical="center" wrapText="1"/>
      <protection hidden="1"/>
    </xf>
    <xf numFmtId="0" fontId="100" fillId="0" borderId="9" xfId="2" applyFont="1" applyBorder="1" applyAlignment="1" applyProtection="1">
      <alignment horizontal="center" vertical="center" wrapText="1"/>
      <protection hidden="1"/>
    </xf>
    <xf numFmtId="0" fontId="99" fillId="0" borderId="4" xfId="2" applyFont="1" applyBorder="1" applyAlignment="1" applyProtection="1">
      <alignment horizontal="center" vertical="center"/>
      <protection hidden="1"/>
    </xf>
    <xf numFmtId="0" fontId="10" fillId="0" borderId="0" xfId="2" applyBorder="1" applyProtection="1">
      <alignment vertical="center"/>
      <protection hidden="1"/>
    </xf>
    <xf numFmtId="0" fontId="90" fillId="0" borderId="0" xfId="2" applyFont="1" applyAlignment="1" applyProtection="1">
      <alignment vertical="center"/>
      <protection hidden="1"/>
    </xf>
    <xf numFmtId="0" fontId="90" fillId="0" borderId="22" xfId="2" applyFont="1" applyBorder="1" applyAlignment="1" applyProtection="1">
      <alignment vertical="center" wrapText="1"/>
      <protection hidden="1"/>
    </xf>
    <xf numFmtId="0" fontId="10" fillId="0" borderId="89" xfId="2" applyBorder="1" applyProtection="1">
      <alignment vertical="center"/>
      <protection hidden="1"/>
    </xf>
    <xf numFmtId="0" fontId="10" fillId="0" borderId="0" xfId="2" applyBorder="1" applyAlignment="1" applyProtection="1">
      <alignment horizontal="center" vertical="center"/>
      <protection hidden="1"/>
    </xf>
    <xf numFmtId="0" fontId="121" fillId="0" borderId="0" xfId="2" applyFont="1" applyAlignment="1" applyProtection="1">
      <alignment horizontal="center" vertical="center"/>
      <protection hidden="1"/>
    </xf>
    <xf numFmtId="0" fontId="10" fillId="0" borderId="25" xfId="2" applyBorder="1" applyProtection="1">
      <alignment vertical="center"/>
      <protection hidden="1"/>
    </xf>
    <xf numFmtId="0" fontId="10" fillId="0" borderId="20" xfId="2" applyBorder="1" applyProtection="1">
      <alignment vertical="center"/>
      <protection hidden="1"/>
    </xf>
    <xf numFmtId="0" fontId="10" fillId="0" borderId="24" xfId="2" applyBorder="1" applyProtection="1">
      <alignment vertical="center"/>
      <protection hidden="1"/>
    </xf>
    <xf numFmtId="0" fontId="10" fillId="19" borderId="23" xfId="2" applyFill="1" applyBorder="1" applyProtection="1">
      <alignment vertical="center"/>
      <protection hidden="1"/>
    </xf>
    <xf numFmtId="189" fontId="91" fillId="19" borderId="0" xfId="2" applyNumberFormat="1" applyFont="1" applyFill="1" applyProtection="1">
      <alignment vertical="center"/>
      <protection hidden="1"/>
    </xf>
    <xf numFmtId="189" fontId="90" fillId="19" borderId="0" xfId="2" applyNumberFormat="1" applyFont="1" applyFill="1" applyProtection="1">
      <alignment vertical="center"/>
      <protection hidden="1"/>
    </xf>
    <xf numFmtId="0" fontId="92" fillId="19" borderId="22" xfId="2" applyFont="1" applyFill="1" applyBorder="1" applyAlignment="1" applyProtection="1">
      <alignment vertical="top" wrapText="1"/>
      <protection hidden="1"/>
    </xf>
    <xf numFmtId="0" fontId="10" fillId="0" borderId="0" xfId="2" applyBorder="1" applyAlignment="1" applyProtection="1">
      <alignment horizontal="left" vertical="top"/>
      <protection hidden="1"/>
    </xf>
    <xf numFmtId="189" fontId="90" fillId="19" borderId="0" xfId="2" applyNumberFormat="1" applyFont="1" applyFill="1" applyAlignment="1" applyProtection="1">
      <alignment vertical="top"/>
      <protection hidden="1"/>
    </xf>
    <xf numFmtId="189" fontId="90" fillId="19" borderId="0" xfId="2" applyNumberFormat="1" applyFont="1" applyFill="1" applyAlignment="1" applyProtection="1">
      <alignment vertical="top" wrapText="1"/>
      <protection hidden="1"/>
    </xf>
    <xf numFmtId="189" fontId="90" fillId="19" borderId="22" xfId="2" applyNumberFormat="1" applyFont="1" applyFill="1" applyBorder="1" applyAlignment="1" applyProtection="1">
      <alignment vertical="top" wrapText="1"/>
      <protection hidden="1"/>
    </xf>
    <xf numFmtId="0" fontId="10" fillId="18" borderId="23" xfId="2" applyFill="1" applyBorder="1" applyProtection="1">
      <alignment vertical="center"/>
      <protection hidden="1"/>
    </xf>
    <xf numFmtId="189" fontId="91" fillId="18" borderId="0" xfId="2" applyNumberFormat="1" applyFont="1" applyFill="1" applyProtection="1">
      <alignment vertical="center"/>
      <protection hidden="1"/>
    </xf>
    <xf numFmtId="189" fontId="90" fillId="18" borderId="0" xfId="2" applyNumberFormat="1" applyFont="1" applyFill="1" applyProtection="1">
      <alignment vertical="center"/>
      <protection hidden="1"/>
    </xf>
    <xf numFmtId="0" fontId="92" fillId="18" borderId="22" xfId="2" applyFont="1" applyFill="1" applyBorder="1" applyAlignment="1" applyProtection="1">
      <alignment vertical="top" wrapText="1"/>
      <protection hidden="1"/>
    </xf>
    <xf numFmtId="0" fontId="10" fillId="20" borderId="23" xfId="2" applyFill="1" applyBorder="1" applyProtection="1">
      <alignment vertical="center"/>
      <protection hidden="1"/>
    </xf>
    <xf numFmtId="0" fontId="92" fillId="20" borderId="0" xfId="2" applyFont="1" applyFill="1" applyAlignment="1" applyProtection="1">
      <alignment vertical="top" wrapText="1"/>
      <protection hidden="1"/>
    </xf>
    <xf numFmtId="0" fontId="92" fillId="20" borderId="22" xfId="2" applyFont="1" applyFill="1" applyBorder="1" applyAlignment="1" applyProtection="1">
      <alignment vertical="top" wrapText="1"/>
      <protection hidden="1"/>
    </xf>
    <xf numFmtId="0" fontId="10" fillId="0" borderId="23" xfId="2" applyFill="1" applyBorder="1" applyProtection="1">
      <alignment vertical="center"/>
      <protection hidden="1"/>
    </xf>
    <xf numFmtId="0" fontId="90" fillId="20" borderId="0" xfId="2" applyFont="1" applyFill="1" applyAlignment="1" applyProtection="1">
      <alignment horizontal="center" vertical="center"/>
      <protection hidden="1"/>
    </xf>
    <xf numFmtId="189" fontId="91" fillId="20" borderId="0" xfId="2" applyNumberFormat="1" applyFont="1" applyFill="1" applyProtection="1">
      <alignment vertical="center"/>
      <protection hidden="1"/>
    </xf>
    <xf numFmtId="189" fontId="90" fillId="20" borderId="0" xfId="2" applyNumberFormat="1" applyFont="1" applyFill="1" applyProtection="1">
      <alignment vertical="center"/>
      <protection hidden="1"/>
    </xf>
    <xf numFmtId="0" fontId="10" fillId="2" borderId="4" xfId="2" applyFill="1" applyBorder="1" applyAlignment="1" applyProtection="1">
      <alignment horizontal="left" vertical="top"/>
      <protection locked="0" hidden="1"/>
    </xf>
    <xf numFmtId="0" fontId="10" fillId="2" borderId="4" xfId="2" applyFill="1" applyBorder="1" applyAlignment="1" applyProtection="1">
      <alignment horizontal="left" vertical="top"/>
      <protection hidden="1"/>
    </xf>
    <xf numFmtId="0" fontId="10" fillId="0" borderId="4" xfId="2" applyBorder="1" applyAlignment="1" applyProtection="1">
      <alignment horizontal="left" vertical="top"/>
      <protection hidden="1"/>
    </xf>
    <xf numFmtId="0" fontId="94" fillId="20" borderId="23" xfId="2" applyFont="1" applyFill="1" applyBorder="1" applyAlignment="1" applyProtection="1">
      <alignment horizontal="center" vertical="center"/>
      <protection hidden="1"/>
    </xf>
    <xf numFmtId="0" fontId="10" fillId="6" borderId="4" xfId="2" applyFill="1" applyBorder="1" applyProtection="1">
      <alignment vertical="center"/>
      <protection hidden="1"/>
    </xf>
    <xf numFmtId="189" fontId="94" fillId="20" borderId="0" xfId="2" applyNumberFormat="1" applyFont="1" applyFill="1" applyProtection="1">
      <alignment vertical="center"/>
      <protection hidden="1"/>
    </xf>
    <xf numFmtId="0" fontId="10" fillId="9" borderId="4" xfId="2" applyFill="1" applyBorder="1" applyProtection="1">
      <alignment vertical="center"/>
      <protection hidden="1"/>
    </xf>
    <xf numFmtId="189" fontId="94" fillId="20" borderId="22" xfId="2" applyNumberFormat="1" applyFont="1" applyFill="1" applyBorder="1" applyProtection="1">
      <alignment vertical="center"/>
      <protection hidden="1"/>
    </xf>
    <xf numFmtId="0" fontId="10" fillId="0" borderId="4" xfId="2" applyBorder="1" applyAlignment="1" applyProtection="1">
      <alignment horizontal="left" vertical="top"/>
      <protection locked="0" hidden="1"/>
    </xf>
    <xf numFmtId="189" fontId="90" fillId="20" borderId="0" xfId="2" applyNumberFormat="1" applyFont="1" applyFill="1" applyAlignment="1" applyProtection="1">
      <alignment vertical="center"/>
      <protection hidden="1"/>
    </xf>
    <xf numFmtId="189" fontId="90" fillId="20" borderId="22" xfId="2" applyNumberFormat="1" applyFont="1" applyFill="1" applyBorder="1" applyAlignment="1" applyProtection="1">
      <alignment vertical="center"/>
      <protection hidden="1"/>
    </xf>
    <xf numFmtId="189" fontId="90" fillId="20" borderId="22" xfId="2" applyNumberFormat="1" applyFont="1" applyFill="1" applyBorder="1" applyProtection="1">
      <alignment vertical="center"/>
      <protection hidden="1"/>
    </xf>
    <xf numFmtId="0" fontId="10" fillId="0" borderId="0" xfId="2" applyFill="1" applyProtection="1">
      <alignment vertical="center"/>
      <protection hidden="1"/>
    </xf>
    <xf numFmtId="0" fontId="68" fillId="0" borderId="38" xfId="2" applyFont="1" applyBorder="1" applyProtection="1">
      <alignment vertical="center"/>
      <protection hidden="1"/>
    </xf>
    <xf numFmtId="0" fontId="98" fillId="0" borderId="38" xfId="2" applyFont="1" applyBorder="1" applyAlignment="1" applyProtection="1">
      <alignment horizontal="right" vertical="top"/>
      <protection hidden="1"/>
    </xf>
    <xf numFmtId="0" fontId="10" fillId="0" borderId="0" xfId="2" applyBorder="1" applyAlignment="1" applyProtection="1">
      <alignment horizontal="left" vertical="top"/>
      <protection locked="0" hidden="1"/>
    </xf>
    <xf numFmtId="0" fontId="10" fillId="0" borderId="4" xfId="2" applyBorder="1" applyProtection="1">
      <alignment vertical="center"/>
      <protection hidden="1"/>
    </xf>
    <xf numFmtId="0" fontId="0" fillId="0" borderId="0" xfId="0" applyBorder="1" applyProtection="1">
      <alignment vertical="center"/>
      <protection hidden="1"/>
    </xf>
    <xf numFmtId="0" fontId="6" fillId="0" borderId="0" xfId="0" applyFont="1" applyProtection="1">
      <alignment vertical="center"/>
      <protection hidden="1"/>
    </xf>
    <xf numFmtId="0" fontId="0" fillId="12" borderId="0" xfId="0" applyFont="1" applyFill="1" applyProtection="1">
      <alignment vertical="center"/>
    </xf>
    <xf numFmtId="0" fontId="0" fillId="3" borderId="0" xfId="0" applyFont="1" applyFill="1" applyAlignment="1" applyProtection="1">
      <alignment vertical="center" shrinkToFit="1"/>
    </xf>
    <xf numFmtId="0" fontId="26" fillId="0" borderId="0" xfId="0" applyFont="1" applyFill="1" applyProtection="1">
      <alignment vertical="center"/>
    </xf>
    <xf numFmtId="0" fontId="79" fillId="0" borderId="0" xfId="0" applyFont="1" applyFill="1" applyProtection="1">
      <alignment vertical="center"/>
    </xf>
    <xf numFmtId="0" fontId="13" fillId="3" borderId="0" xfId="0" applyFont="1" applyFill="1" applyProtection="1">
      <alignment vertical="center"/>
    </xf>
    <xf numFmtId="185" fontId="0" fillId="0" borderId="4" xfId="0" applyNumberFormat="1" applyBorder="1" applyAlignment="1" applyProtection="1">
      <alignment vertical="center" shrinkToFit="1"/>
    </xf>
    <xf numFmtId="0" fontId="80" fillId="3" borderId="38" xfId="0" applyFont="1" applyFill="1" applyBorder="1" applyProtection="1">
      <alignment vertical="center"/>
    </xf>
    <xf numFmtId="0" fontId="22" fillId="3" borderId="0" xfId="0" applyFont="1" applyFill="1" applyProtection="1">
      <alignment vertical="center"/>
    </xf>
    <xf numFmtId="0" fontId="80" fillId="3" borderId="0" xfId="0" applyFont="1" applyFill="1" applyBorder="1" applyProtection="1">
      <alignment vertical="center"/>
    </xf>
    <xf numFmtId="0" fontId="26" fillId="3" borderId="0" xfId="0" applyFont="1" applyFill="1" applyBorder="1" applyProtection="1">
      <alignment vertical="center"/>
    </xf>
    <xf numFmtId="0" fontId="79" fillId="3" borderId="20" xfId="0" applyFont="1" applyFill="1" applyBorder="1" applyProtection="1">
      <alignment vertical="center"/>
    </xf>
    <xf numFmtId="0" fontId="79" fillId="3" borderId="38" xfId="0" applyFont="1" applyFill="1" applyBorder="1" applyAlignment="1" applyProtection="1">
      <alignment vertical="center" textRotation="255"/>
    </xf>
    <xf numFmtId="0" fontId="79" fillId="3" borderId="20" xfId="0" applyFont="1" applyFill="1" applyBorder="1" applyAlignment="1" applyProtection="1">
      <alignment vertical="center" textRotation="255"/>
    </xf>
    <xf numFmtId="0" fontId="79" fillId="0" borderId="38" xfId="0" applyFont="1" applyFill="1" applyBorder="1" applyProtection="1">
      <alignment vertical="center"/>
    </xf>
    <xf numFmtId="0" fontId="80" fillId="11" borderId="38" xfId="0" applyFont="1" applyFill="1" applyBorder="1" applyProtection="1">
      <alignment vertical="center"/>
    </xf>
    <xf numFmtId="0" fontId="78" fillId="11" borderId="38" xfId="0" applyFont="1" applyFill="1" applyBorder="1" applyAlignment="1" applyProtection="1">
      <alignment vertical="center" wrapText="1"/>
    </xf>
    <xf numFmtId="0" fontId="22" fillId="0" borderId="0" xfId="0" applyFont="1" applyAlignment="1" applyProtection="1">
      <alignment vertical="center"/>
    </xf>
    <xf numFmtId="0" fontId="26" fillId="11" borderId="0" xfId="0" applyFont="1" applyFill="1" applyBorder="1" applyProtection="1">
      <alignment vertical="center"/>
    </xf>
    <xf numFmtId="49" fontId="0" fillId="0" borderId="0" xfId="0" applyNumberFormat="1" applyFont="1" applyProtection="1">
      <alignment vertical="center"/>
    </xf>
    <xf numFmtId="0" fontId="26" fillId="11" borderId="20" xfId="0" applyFont="1" applyFill="1" applyBorder="1" applyProtection="1">
      <alignment vertical="center"/>
    </xf>
    <xf numFmtId="0" fontId="82" fillId="11" borderId="0" xfId="0" applyFont="1" applyFill="1" applyBorder="1" applyProtection="1">
      <alignment vertical="center"/>
    </xf>
    <xf numFmtId="0" fontId="23" fillId="3" borderId="0" xfId="0" applyFont="1" applyFill="1" applyProtection="1">
      <alignment vertical="center"/>
    </xf>
    <xf numFmtId="0" fontId="26" fillId="11" borderId="0" xfId="0" applyFont="1" applyFill="1" applyBorder="1" applyAlignment="1" applyProtection="1">
      <alignment vertical="center"/>
    </xf>
    <xf numFmtId="0" fontId="26" fillId="11" borderId="22" xfId="0" applyFont="1" applyFill="1" applyBorder="1" applyAlignment="1" applyProtection="1">
      <alignment vertical="center"/>
    </xf>
    <xf numFmtId="0" fontId="13" fillId="0" borderId="0" xfId="0" applyFont="1" applyFill="1" applyAlignment="1" applyProtection="1">
      <alignment vertical="center"/>
    </xf>
    <xf numFmtId="0" fontId="13" fillId="0" borderId="0" xfId="0" applyFont="1" applyAlignment="1" applyProtection="1">
      <alignment vertical="center"/>
    </xf>
    <xf numFmtId="0" fontId="0" fillId="3" borderId="0" xfId="0" applyFont="1" applyFill="1" applyAlignment="1" applyProtection="1">
      <alignment vertical="center"/>
    </xf>
    <xf numFmtId="0" fontId="26" fillId="3" borderId="22" xfId="0" applyFont="1" applyFill="1" applyBorder="1" applyProtection="1">
      <alignment vertical="center"/>
    </xf>
    <xf numFmtId="0" fontId="26" fillId="11" borderId="38" xfId="0" applyFont="1" applyFill="1" applyBorder="1" applyProtection="1">
      <alignment vertical="center"/>
    </xf>
    <xf numFmtId="0" fontId="79" fillId="11" borderId="0" xfId="0" applyFont="1" applyFill="1" applyBorder="1" applyProtection="1">
      <alignment vertical="center"/>
    </xf>
    <xf numFmtId="0" fontId="13" fillId="0" borderId="58" xfId="0" applyFont="1" applyBorder="1" applyProtection="1">
      <alignment vertical="center"/>
    </xf>
    <xf numFmtId="0" fontId="78" fillId="3" borderId="38" xfId="0" applyFont="1" applyFill="1" applyBorder="1" applyAlignment="1" applyProtection="1">
      <alignment vertical="top"/>
    </xf>
    <xf numFmtId="0" fontId="78" fillId="3" borderId="50" xfId="0" applyFont="1" applyFill="1" applyBorder="1" applyAlignment="1" applyProtection="1">
      <alignment vertical="top"/>
    </xf>
    <xf numFmtId="0" fontId="26" fillId="3" borderId="20" xfId="0" applyFont="1" applyFill="1" applyBorder="1" applyProtection="1">
      <alignment vertical="center"/>
    </xf>
    <xf numFmtId="0" fontId="26" fillId="3" borderId="38" xfId="0" applyFont="1" applyFill="1" applyBorder="1" applyProtection="1">
      <alignment vertical="center"/>
    </xf>
    <xf numFmtId="0" fontId="79" fillId="11" borderId="0" xfId="0" applyFont="1" applyFill="1" applyBorder="1" applyAlignment="1" applyProtection="1">
      <alignment vertical="center"/>
    </xf>
    <xf numFmtId="0" fontId="79" fillId="11" borderId="22" xfId="0" applyFont="1" applyFill="1" applyBorder="1" applyAlignment="1" applyProtection="1">
      <alignment vertical="center"/>
    </xf>
    <xf numFmtId="0" fontId="79" fillId="11" borderId="20" xfId="0" applyFont="1" applyFill="1" applyBorder="1" applyProtection="1">
      <alignment vertical="center"/>
    </xf>
    <xf numFmtId="0" fontId="26" fillId="3" borderId="0" xfId="0" applyFont="1" applyFill="1" applyBorder="1" applyAlignment="1" applyProtection="1">
      <alignment vertical="center" textRotation="255"/>
    </xf>
    <xf numFmtId="0" fontId="82" fillId="3" borderId="0" xfId="0" applyFont="1" applyFill="1" applyProtection="1">
      <alignment vertical="center"/>
    </xf>
    <xf numFmtId="0" fontId="26" fillId="3" borderId="0" xfId="0" applyFont="1" applyFill="1" applyAlignment="1" applyProtection="1">
      <alignment vertical="center" textRotation="255"/>
    </xf>
    <xf numFmtId="0" fontId="79" fillId="3" borderId="0" xfId="0" applyFont="1" applyFill="1" applyBorder="1" applyAlignment="1" applyProtection="1">
      <alignment vertical="center"/>
    </xf>
    <xf numFmtId="0" fontId="26" fillId="3" borderId="0" xfId="0" applyFont="1" applyFill="1" applyAlignment="1" applyProtection="1">
      <alignment vertical="top"/>
    </xf>
    <xf numFmtId="0" fontId="82" fillId="3" borderId="0" xfId="0" applyFont="1" applyFill="1" applyAlignment="1" applyProtection="1"/>
    <xf numFmtId="0" fontId="82" fillId="3" borderId="0" xfId="0" applyFont="1" applyFill="1" applyAlignment="1" applyProtection="1">
      <alignment vertical="top" wrapText="1"/>
    </xf>
    <xf numFmtId="0" fontId="0" fillId="3" borderId="0" xfId="0" applyFont="1" applyFill="1" applyBorder="1" applyAlignment="1" applyProtection="1">
      <alignment vertical="center"/>
    </xf>
    <xf numFmtId="0" fontId="79" fillId="3" borderId="22" xfId="0" applyFont="1" applyFill="1" applyBorder="1" applyProtection="1">
      <alignment vertical="center"/>
    </xf>
    <xf numFmtId="0" fontId="79" fillId="3" borderId="0" xfId="0" applyFont="1" applyFill="1" applyProtection="1">
      <alignment vertical="center"/>
    </xf>
    <xf numFmtId="0" fontId="13" fillId="0" borderId="0" xfId="0" applyNumberFormat="1" applyFont="1" applyProtection="1">
      <alignment vertical="center"/>
    </xf>
    <xf numFmtId="0" fontId="26" fillId="3" borderId="20" xfId="0" applyFont="1" applyFill="1" applyBorder="1" applyAlignment="1" applyProtection="1">
      <alignment horizontal="left" vertical="center" wrapText="1"/>
    </xf>
    <xf numFmtId="0" fontId="26" fillId="3" borderId="20" xfId="0" applyFont="1" applyFill="1" applyBorder="1" applyAlignment="1" applyProtection="1">
      <alignment horizontal="left" vertical="center"/>
    </xf>
    <xf numFmtId="0" fontId="84" fillId="3" borderId="20" xfId="0" applyFont="1" applyFill="1" applyBorder="1" applyAlignment="1" applyProtection="1">
      <alignment horizontal="left" vertical="center"/>
    </xf>
    <xf numFmtId="0" fontId="26" fillId="3" borderId="0" xfId="0" applyFont="1" applyFill="1" applyBorder="1" applyAlignment="1" applyProtection="1"/>
    <xf numFmtId="0" fontId="26" fillId="3" borderId="22" xfId="0" applyFont="1" applyFill="1" applyBorder="1" applyAlignment="1" applyProtection="1">
      <alignment horizontal="left" vertical="top" wrapText="1"/>
    </xf>
    <xf numFmtId="0" fontId="26" fillId="3" borderId="0" xfId="0" applyFont="1" applyFill="1" applyAlignment="1" applyProtection="1"/>
    <xf numFmtId="0" fontId="85" fillId="3" borderId="0" xfId="0" applyFont="1" applyFill="1" applyAlignment="1" applyProtection="1">
      <alignment horizontal="left" vertical="top" wrapText="1"/>
    </xf>
    <xf numFmtId="0" fontId="85" fillId="3" borderId="22" xfId="0" applyFont="1" applyFill="1" applyBorder="1" applyAlignment="1" applyProtection="1">
      <alignment horizontal="left" vertical="top" wrapText="1"/>
    </xf>
    <xf numFmtId="0" fontId="82" fillId="3" borderId="20" xfId="0" applyFont="1" applyFill="1" applyBorder="1" applyAlignment="1" applyProtection="1">
      <alignment horizontal="left" vertical="top" wrapText="1"/>
    </xf>
    <xf numFmtId="0" fontId="85" fillId="3" borderId="20" xfId="0" applyFont="1" applyFill="1" applyBorder="1" applyAlignment="1" applyProtection="1">
      <alignment horizontal="left" vertical="top" wrapText="1"/>
    </xf>
    <xf numFmtId="0" fontId="85" fillId="3" borderId="24" xfId="0" applyFont="1" applyFill="1" applyBorder="1" applyAlignment="1" applyProtection="1">
      <alignment horizontal="left" vertical="top" wrapText="1"/>
    </xf>
    <xf numFmtId="0" fontId="82" fillId="3" borderId="38" xfId="0" applyFont="1" applyFill="1" applyBorder="1" applyAlignment="1" applyProtection="1"/>
    <xf numFmtId="0" fontId="82" fillId="3" borderId="38" xfId="0" applyFont="1" applyFill="1" applyBorder="1" applyAlignment="1" applyProtection="1">
      <alignment vertical="top" wrapText="1"/>
    </xf>
    <xf numFmtId="0" fontId="82" fillId="3" borderId="50" xfId="0" applyFont="1" applyFill="1" applyBorder="1" applyAlignment="1" applyProtection="1">
      <alignment vertical="top" wrapText="1"/>
    </xf>
    <xf numFmtId="0" fontId="82" fillId="3" borderId="22" xfId="0" applyFont="1" applyFill="1" applyBorder="1" applyAlignment="1" applyProtection="1">
      <alignment vertical="top" wrapText="1"/>
    </xf>
    <xf numFmtId="0" fontId="82" fillId="3" borderId="20" xfId="0" applyFont="1" applyFill="1" applyBorder="1" applyAlignment="1" applyProtection="1">
      <alignment vertical="top"/>
    </xf>
    <xf numFmtId="0" fontId="82" fillId="3" borderId="20" xfId="0" applyFont="1" applyFill="1" applyBorder="1" applyAlignment="1" applyProtection="1">
      <alignment vertical="top" wrapText="1"/>
    </xf>
    <xf numFmtId="0" fontId="82" fillId="3" borderId="24" xfId="0" applyFont="1" applyFill="1" applyBorder="1" applyAlignment="1" applyProtection="1">
      <alignment vertical="top" wrapText="1"/>
    </xf>
    <xf numFmtId="49" fontId="6" fillId="0" borderId="147" xfId="0" applyNumberFormat="1" applyFont="1" applyFill="1" applyBorder="1" applyAlignment="1" applyProtection="1">
      <alignment vertical="center" wrapText="1"/>
    </xf>
    <xf numFmtId="49" fontId="6" fillId="0" borderId="81" xfId="0" applyNumberFormat="1" applyFont="1" applyFill="1" applyBorder="1" applyAlignment="1" applyProtection="1">
      <alignment vertical="center" wrapText="1"/>
    </xf>
    <xf numFmtId="0" fontId="26" fillId="0" borderId="0" xfId="0" applyFont="1" applyBorder="1" applyAlignment="1" applyProtection="1">
      <alignment vertical="center" textRotation="255"/>
    </xf>
    <xf numFmtId="0" fontId="26" fillId="0" borderId="0" xfId="0" applyFont="1" applyBorder="1" applyAlignment="1" applyProtection="1">
      <alignment vertical="center"/>
    </xf>
    <xf numFmtId="0" fontId="26" fillId="0" borderId="0" xfId="0" applyFont="1" applyAlignment="1" applyProtection="1">
      <alignment vertical="center"/>
    </xf>
    <xf numFmtId="49" fontId="0" fillId="0" borderId="144" xfId="0" applyNumberFormat="1" applyFont="1" applyFill="1" applyBorder="1" applyAlignment="1" applyProtection="1">
      <alignment vertical="center" wrapText="1"/>
    </xf>
    <xf numFmtId="0" fontId="26" fillId="3" borderId="20" xfId="0" applyFont="1" applyFill="1" applyBorder="1" applyAlignment="1" applyProtection="1">
      <alignment vertical="center" textRotation="255"/>
    </xf>
    <xf numFmtId="0" fontId="26" fillId="3" borderId="20" xfId="0" applyFont="1" applyFill="1" applyBorder="1" applyAlignment="1" applyProtection="1">
      <alignment vertical="top"/>
    </xf>
    <xf numFmtId="0" fontId="26" fillId="3" borderId="0" xfId="0" applyFont="1" applyFill="1" applyAlignment="1" applyProtection="1">
      <alignment vertical="center"/>
    </xf>
    <xf numFmtId="0" fontId="26" fillId="0" borderId="38" xfId="0" applyFont="1" applyFill="1" applyBorder="1" applyProtection="1">
      <alignment vertical="center"/>
    </xf>
    <xf numFmtId="0" fontId="26" fillId="0" borderId="0" xfId="0" applyFont="1" applyProtection="1">
      <alignment vertical="center"/>
    </xf>
    <xf numFmtId="0" fontId="0" fillId="0" borderId="0" xfId="0" applyBorder="1" applyAlignment="1" applyProtection="1">
      <alignment horizontal="left" vertical="center"/>
    </xf>
    <xf numFmtId="0" fontId="0" fillId="2" borderId="4" xfId="0" applyFont="1" applyFill="1" applyBorder="1" applyProtection="1">
      <alignment vertical="center"/>
    </xf>
    <xf numFmtId="0" fontId="0" fillId="0" borderId="7" xfId="0" applyFont="1" applyBorder="1" applyAlignment="1" applyProtection="1">
      <alignment horizontal="left" vertical="center"/>
    </xf>
    <xf numFmtId="0" fontId="0" fillId="0" borderId="8" xfId="0" applyFont="1" applyBorder="1" applyAlignment="1" applyProtection="1">
      <alignment horizontal="left" vertical="center"/>
    </xf>
    <xf numFmtId="0" fontId="0" fillId="0" borderId="9"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3" xfId="0" applyFont="1" applyBorder="1" applyAlignment="1" applyProtection="1">
      <alignment horizontal="left" vertical="center"/>
    </xf>
    <xf numFmtId="0" fontId="0" fillId="0" borderId="1" xfId="0" applyFont="1" applyBorder="1" applyAlignment="1" applyProtection="1">
      <alignment horizontal="left" vertical="center"/>
    </xf>
    <xf numFmtId="0" fontId="0" fillId="0" borderId="6"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0" borderId="23" xfId="0" applyFont="1" applyBorder="1" applyAlignment="1" applyProtection="1">
      <alignment horizontal="left" vertical="center"/>
    </xf>
    <xf numFmtId="0" fontId="0" fillId="0" borderId="33" xfId="0" applyFont="1" applyBorder="1" applyAlignment="1" applyProtection="1">
      <alignment horizontal="left" vertical="center"/>
    </xf>
    <xf numFmtId="0" fontId="6" fillId="0" borderId="7" xfId="0" applyFont="1" applyBorder="1" applyAlignment="1" applyProtection="1">
      <alignment horizontal="left" vertical="center"/>
    </xf>
    <xf numFmtId="14" fontId="6" fillId="0" borderId="13" xfId="0" applyNumberFormat="1" applyFont="1" applyBorder="1" applyAlignment="1" applyProtection="1">
      <alignment horizontal="left" vertical="center"/>
    </xf>
    <xf numFmtId="0" fontId="0" fillId="0" borderId="5" xfId="0" applyFont="1" applyBorder="1" applyAlignment="1" applyProtection="1">
      <alignment horizontal="left" vertical="center"/>
    </xf>
    <xf numFmtId="0" fontId="0" fillId="0" borderId="10" xfId="0" applyFont="1" applyBorder="1" applyAlignment="1" applyProtection="1">
      <alignment horizontal="left" vertical="center"/>
    </xf>
    <xf numFmtId="0" fontId="0" fillId="3" borderId="144" xfId="0" applyFont="1" applyFill="1" applyBorder="1" applyAlignment="1" applyProtection="1">
      <alignment horizontal="left" vertical="center"/>
    </xf>
    <xf numFmtId="0" fontId="0" fillId="3" borderId="4" xfId="0" applyFont="1" applyFill="1" applyBorder="1" applyAlignment="1" applyProtection="1">
      <alignment horizontal="center" vertical="center"/>
    </xf>
    <xf numFmtId="0" fontId="0" fillId="0" borderId="10" xfId="0" applyFont="1" applyBorder="1" applyProtection="1">
      <alignment vertical="center"/>
    </xf>
    <xf numFmtId="0" fontId="0" fillId="0" borderId="2" xfId="0" applyFont="1" applyBorder="1" applyAlignment="1" applyProtection="1">
      <alignment horizontal="left" vertical="center"/>
    </xf>
    <xf numFmtId="0" fontId="0" fillId="0" borderId="25" xfId="0" applyFont="1" applyBorder="1" applyProtection="1">
      <alignment vertical="center"/>
    </xf>
    <xf numFmtId="0" fontId="0" fillId="0" borderId="23" xfId="0" applyFont="1" applyBorder="1" applyProtection="1">
      <alignment vertical="center"/>
    </xf>
    <xf numFmtId="0" fontId="0" fillId="0" borderId="22" xfId="0" applyFont="1" applyBorder="1" applyProtection="1">
      <alignment vertical="center"/>
    </xf>
    <xf numFmtId="0" fontId="0" fillId="0" borderId="0" xfId="0" quotePrefix="1" applyFont="1" applyAlignment="1" applyProtection="1">
      <alignment horizontal="left" vertical="center"/>
    </xf>
    <xf numFmtId="0" fontId="0" fillId="0" borderId="0" xfId="0" applyAlignment="1" applyProtection="1">
      <alignment horizontal="left" vertical="center"/>
    </xf>
    <xf numFmtId="0" fontId="6" fillId="0" borderId="37" xfId="0" applyFont="1" applyBorder="1" applyAlignment="1" applyProtection="1">
      <alignment horizontal="left" vertical="center"/>
    </xf>
    <xf numFmtId="0" fontId="0" fillId="0" borderId="50" xfId="0" applyFont="1" applyBorder="1" applyAlignment="1" applyProtection="1">
      <alignment horizontal="left" vertical="center"/>
    </xf>
    <xf numFmtId="0" fontId="0" fillId="0" borderId="38" xfId="0" applyFont="1" applyBorder="1" applyAlignment="1" applyProtection="1">
      <alignment vertical="center"/>
    </xf>
    <xf numFmtId="0" fontId="0" fillId="0" borderId="50" xfId="0" applyFont="1" applyBorder="1" applyAlignment="1" applyProtection="1">
      <alignment vertical="center"/>
    </xf>
    <xf numFmtId="0" fontId="0" fillId="0" borderId="152" xfId="0" applyFont="1" applyBorder="1" applyAlignment="1" applyProtection="1">
      <alignment horizontal="left" vertical="center"/>
    </xf>
    <xf numFmtId="0" fontId="0" fillId="0" borderId="0" xfId="0" applyFont="1" applyBorder="1" applyAlignment="1" applyProtection="1">
      <alignment vertical="center"/>
    </xf>
    <xf numFmtId="0" fontId="6" fillId="0" borderId="13" xfId="0" applyFont="1" applyBorder="1" applyAlignment="1" applyProtection="1">
      <alignment vertical="center"/>
    </xf>
    <xf numFmtId="0" fontId="6" fillId="0" borderId="0" xfId="0" applyFont="1" applyBorder="1" applyAlignment="1" applyProtection="1">
      <alignment horizontal="left" vertical="center"/>
    </xf>
    <xf numFmtId="0" fontId="6" fillId="0" borderId="0" xfId="0" applyFont="1" applyBorder="1" applyAlignment="1" applyProtection="1">
      <alignment vertical="center"/>
    </xf>
    <xf numFmtId="0" fontId="6" fillId="0" borderId="14" xfId="0" applyFont="1" applyBorder="1" applyAlignment="1" applyProtection="1">
      <alignment vertical="center"/>
    </xf>
    <xf numFmtId="0" fontId="0" fillId="0" borderId="96" xfId="0" applyFont="1" applyBorder="1" applyAlignment="1" applyProtection="1">
      <alignment horizontal="left" vertical="center"/>
    </xf>
    <xf numFmtId="0" fontId="0" fillId="0" borderId="155" xfId="0" applyBorder="1" applyAlignment="1" applyProtection="1">
      <alignment horizontal="left" vertical="center"/>
    </xf>
    <xf numFmtId="0" fontId="0" fillId="0" borderId="89" xfId="0" applyBorder="1" applyAlignment="1" applyProtection="1">
      <alignment horizontal="left" vertical="center"/>
    </xf>
    <xf numFmtId="0" fontId="0" fillId="0" borderId="23" xfId="0" applyBorder="1" applyAlignment="1" applyProtection="1">
      <alignment horizontal="left" vertical="center"/>
    </xf>
    <xf numFmtId="0" fontId="0" fillId="0" borderId="28" xfId="0" applyBorder="1" applyAlignment="1" applyProtection="1">
      <alignment horizontal="left" vertical="center"/>
    </xf>
    <xf numFmtId="0" fontId="0" fillId="0" borderId="98" xfId="0" applyFont="1" applyBorder="1" applyAlignment="1" applyProtection="1">
      <alignment horizontal="left" vertical="center"/>
    </xf>
    <xf numFmtId="0" fontId="0" fillId="0" borderId="81" xfId="0" applyFont="1" applyBorder="1" applyAlignment="1" applyProtection="1">
      <alignment vertical="center"/>
    </xf>
    <xf numFmtId="0" fontId="0" fillId="0" borderId="18" xfId="0" applyFont="1" applyBorder="1" applyAlignment="1" applyProtection="1">
      <alignment vertical="center" wrapText="1"/>
    </xf>
    <xf numFmtId="0" fontId="0" fillId="0" borderId="75" xfId="0" applyFont="1" applyBorder="1" applyAlignment="1" applyProtection="1">
      <alignment vertical="center"/>
    </xf>
    <xf numFmtId="0" fontId="0" fillId="0" borderId="36" xfId="0" applyFont="1" applyBorder="1" applyAlignment="1" applyProtection="1">
      <alignment vertical="center"/>
    </xf>
    <xf numFmtId="0" fontId="0" fillId="0" borderId="190" xfId="0" applyFont="1" applyBorder="1" applyAlignment="1" applyProtection="1">
      <alignment horizontal="left" vertical="center"/>
    </xf>
    <xf numFmtId="0" fontId="0" fillId="0" borderId="68" xfId="0" applyFont="1" applyBorder="1" applyAlignment="1" applyProtection="1">
      <alignment vertical="center"/>
    </xf>
    <xf numFmtId="0" fontId="0" fillId="0" borderId="13" xfId="0" applyBorder="1" applyAlignment="1" applyProtection="1">
      <alignment horizontal="left" vertical="center"/>
    </xf>
    <xf numFmtId="0" fontId="0" fillId="0" borderId="4" xfId="0" applyBorder="1" applyAlignment="1" applyProtection="1">
      <alignment horizontal="left" vertical="center"/>
    </xf>
    <xf numFmtId="0" fontId="0" fillId="0" borderId="7" xfId="0" applyBorder="1" applyAlignment="1" applyProtection="1">
      <alignment horizontal="left" vertical="center"/>
    </xf>
    <xf numFmtId="0" fontId="0" fillId="0" borderId="100" xfId="0" applyFont="1" applyBorder="1" applyAlignment="1" applyProtection="1">
      <alignment horizontal="left" vertical="center"/>
    </xf>
    <xf numFmtId="0" fontId="0" fillId="0" borderId="13" xfId="0" applyFont="1" applyBorder="1" applyAlignment="1" applyProtection="1">
      <alignment vertical="center" wrapText="1"/>
    </xf>
    <xf numFmtId="0" fontId="0" fillId="0" borderId="14" xfId="0" applyFont="1" applyBorder="1" applyAlignment="1" applyProtection="1">
      <alignment vertical="center"/>
    </xf>
    <xf numFmtId="0" fontId="0" fillId="0" borderId="4" xfId="0" applyFont="1" applyBorder="1" applyAlignment="1" applyProtection="1">
      <alignment vertical="center"/>
    </xf>
    <xf numFmtId="0" fontId="0" fillId="0" borderId="19" xfId="0" applyFont="1" applyBorder="1" applyAlignment="1" applyProtection="1">
      <alignment vertical="center" wrapText="1"/>
    </xf>
    <xf numFmtId="0" fontId="0" fillId="0" borderId="32" xfId="0" applyFont="1" applyBorder="1" applyAlignment="1" applyProtection="1">
      <alignment vertical="center"/>
    </xf>
    <xf numFmtId="0" fontId="0" fillId="0" borderId="13" xfId="0" applyFont="1" applyBorder="1" applyAlignment="1" applyProtection="1">
      <alignment vertical="center"/>
    </xf>
    <xf numFmtId="0" fontId="0" fillId="0" borderId="23" xfId="0" applyBorder="1" applyProtection="1">
      <alignment vertical="center"/>
    </xf>
    <xf numFmtId="0" fontId="0" fillId="0" borderId="19" xfId="0" applyBorder="1" applyAlignment="1" applyProtection="1">
      <alignment horizontal="left" vertical="center"/>
    </xf>
    <xf numFmtId="0" fontId="0" fillId="0" borderId="17" xfId="0" applyBorder="1" applyAlignment="1" applyProtection="1">
      <alignment horizontal="left" vertical="center"/>
    </xf>
    <xf numFmtId="0" fontId="0" fillId="0" borderId="33" xfId="0" applyBorder="1" applyAlignment="1" applyProtection="1">
      <alignment horizontal="left" vertical="center"/>
    </xf>
    <xf numFmtId="0" fontId="0" fillId="0" borderId="3" xfId="0" applyBorder="1" applyAlignment="1" applyProtection="1">
      <alignment horizontal="left" vertical="center"/>
    </xf>
    <xf numFmtId="0" fontId="0" fillId="0" borderId="100" xfId="0" applyBorder="1" applyAlignment="1" applyProtection="1">
      <alignment horizontal="left" vertical="center"/>
    </xf>
    <xf numFmtId="0" fontId="0" fillId="0" borderId="178" xfId="0" applyBorder="1" applyAlignment="1" applyProtection="1">
      <alignment horizontal="left" vertical="center"/>
    </xf>
    <xf numFmtId="0" fontId="0" fillId="0" borderId="179" xfId="0" applyFont="1" applyBorder="1" applyAlignment="1" applyProtection="1">
      <alignment vertical="center"/>
    </xf>
    <xf numFmtId="0" fontId="0" fillId="0" borderId="33" xfId="0" applyFont="1" applyBorder="1" applyAlignment="1" applyProtection="1">
      <alignment vertical="center"/>
    </xf>
    <xf numFmtId="0" fontId="0" fillId="2" borderId="0" xfId="0" applyFont="1" applyFill="1" applyAlignment="1" applyProtection="1">
      <alignment horizontal="left" vertical="center"/>
    </xf>
    <xf numFmtId="0" fontId="0" fillId="0" borderId="19" xfId="0" applyFont="1" applyBorder="1" applyProtection="1">
      <alignment vertical="center"/>
    </xf>
    <xf numFmtId="0" fontId="0" fillId="0" borderId="28" xfId="0" applyFont="1" applyBorder="1" applyAlignment="1" applyProtection="1">
      <alignment horizontal="left" vertical="center"/>
    </xf>
    <xf numFmtId="0" fontId="0" fillId="0" borderId="11" xfId="0" applyFont="1" applyBorder="1" applyAlignment="1" applyProtection="1">
      <alignment horizontal="left" vertical="center"/>
    </xf>
    <xf numFmtId="0" fontId="0" fillId="0" borderId="18" xfId="0" applyBorder="1" applyAlignment="1" applyProtection="1">
      <alignment horizontal="left" vertical="center"/>
    </xf>
    <xf numFmtId="0" fontId="0" fillId="0" borderId="25" xfId="0" applyFont="1" applyBorder="1" applyAlignment="1" applyProtection="1">
      <alignment vertical="center"/>
    </xf>
    <xf numFmtId="0" fontId="0" fillId="0" borderId="20" xfId="0" applyFont="1" applyBorder="1" applyAlignment="1" applyProtection="1">
      <alignment horizontal="left" vertical="center"/>
    </xf>
    <xf numFmtId="0" fontId="0" fillId="0" borderId="20" xfId="0" applyFont="1" applyBorder="1" applyAlignment="1" applyProtection="1">
      <alignment vertical="center"/>
    </xf>
    <xf numFmtId="0" fontId="0" fillId="0" borderId="58" xfId="0" applyFont="1" applyBorder="1" applyAlignment="1" applyProtection="1">
      <alignment vertical="center"/>
    </xf>
    <xf numFmtId="0" fontId="0" fillId="0" borderId="18" xfId="0" applyFont="1" applyBorder="1" applyAlignment="1" applyProtection="1">
      <alignment horizontal="left" vertical="center"/>
    </xf>
    <xf numFmtId="0" fontId="0" fillId="0" borderId="68" xfId="0" applyFont="1" applyFill="1" applyBorder="1" applyAlignment="1" applyProtection="1">
      <alignment vertical="center"/>
    </xf>
    <xf numFmtId="0" fontId="0" fillId="0" borderId="97" xfId="0" applyFont="1" applyFill="1" applyBorder="1" applyAlignment="1" applyProtection="1">
      <alignment vertical="center"/>
    </xf>
    <xf numFmtId="0" fontId="0" fillId="0" borderId="9" xfId="0" applyBorder="1" applyAlignment="1" applyProtection="1">
      <alignment horizontal="left" vertical="center"/>
    </xf>
    <xf numFmtId="0" fontId="0" fillId="0" borderId="19" xfId="0" applyFont="1" applyBorder="1" applyAlignment="1" applyProtection="1">
      <alignment horizontal="left" vertical="center"/>
    </xf>
    <xf numFmtId="0" fontId="0" fillId="0" borderId="6" xfId="0" applyBorder="1" applyAlignment="1" applyProtection="1">
      <alignment horizontal="left" vertical="center"/>
    </xf>
    <xf numFmtId="0" fontId="0" fillId="15" borderId="179" xfId="0" applyFill="1" applyBorder="1" applyAlignment="1" applyProtection="1">
      <alignment horizontal="left" vertical="center"/>
    </xf>
    <xf numFmtId="0" fontId="0" fillId="0" borderId="164" xfId="0" applyBorder="1" applyAlignment="1" applyProtection="1">
      <alignment horizontal="left" vertical="center"/>
    </xf>
    <xf numFmtId="0" fontId="0" fillId="0" borderId="189" xfId="0" applyBorder="1" applyAlignment="1" applyProtection="1">
      <alignment horizontal="left" vertical="center"/>
    </xf>
    <xf numFmtId="0" fontId="0" fillId="0" borderId="56" xfId="0" applyBorder="1" applyAlignment="1" applyProtection="1">
      <alignment horizontal="left" vertical="center"/>
    </xf>
    <xf numFmtId="0" fontId="0" fillId="0" borderId="56" xfId="0" applyFont="1" applyBorder="1" applyAlignment="1" applyProtection="1">
      <alignment horizontal="left" vertical="center"/>
    </xf>
    <xf numFmtId="0" fontId="0" fillId="0" borderId="35" xfId="0" applyBorder="1" applyAlignment="1" applyProtection="1">
      <alignment horizontal="left" vertical="center"/>
    </xf>
    <xf numFmtId="0" fontId="0" fillId="15" borderId="188" xfId="0" applyFill="1" applyBorder="1" applyAlignment="1" applyProtection="1">
      <alignment horizontal="left" vertical="center"/>
    </xf>
    <xf numFmtId="0" fontId="0" fillId="0" borderId="164" xfId="0" applyFont="1" applyBorder="1" applyAlignment="1" applyProtection="1">
      <alignment horizontal="left" vertical="center"/>
    </xf>
    <xf numFmtId="0" fontId="0" fillId="0" borderId="57" xfId="0" applyFont="1" applyBorder="1" applyAlignment="1" applyProtection="1">
      <alignment horizontal="left" vertical="center"/>
    </xf>
    <xf numFmtId="0" fontId="0" fillId="15" borderId="35" xfId="0" applyFill="1" applyBorder="1" applyAlignment="1" applyProtection="1">
      <alignment horizontal="left" vertical="center"/>
    </xf>
    <xf numFmtId="0" fontId="0" fillId="0" borderId="35" xfId="0" applyFont="1" applyBorder="1" applyAlignment="1" applyProtection="1">
      <alignment horizontal="left" vertical="center"/>
    </xf>
    <xf numFmtId="0" fontId="26" fillId="0" borderId="0" xfId="0" applyFont="1" applyFill="1" applyBorder="1" applyProtection="1">
      <alignment vertical="center"/>
    </xf>
    <xf numFmtId="0" fontId="130" fillId="0" borderId="0" xfId="0" applyFont="1" applyProtection="1">
      <alignment vertical="center"/>
    </xf>
    <xf numFmtId="0" fontId="130" fillId="0" borderId="0" xfId="0" applyFont="1" applyAlignment="1" applyProtection="1"/>
    <xf numFmtId="0" fontId="130" fillId="21" borderId="0" xfId="0" applyFont="1" applyFill="1" applyProtection="1">
      <alignment vertical="center"/>
    </xf>
    <xf numFmtId="0" fontId="130" fillId="0" borderId="0" xfId="0" applyFont="1" applyFill="1" applyProtection="1">
      <alignment vertical="center"/>
    </xf>
    <xf numFmtId="0" fontId="130" fillId="21" borderId="7" xfId="0" applyFont="1" applyFill="1" applyBorder="1" applyProtection="1">
      <alignment vertical="center"/>
    </xf>
    <xf numFmtId="0" fontId="130" fillId="21" borderId="9" xfId="0" applyFont="1" applyFill="1" applyBorder="1" applyProtection="1">
      <alignment vertical="center"/>
    </xf>
    <xf numFmtId="0" fontId="130" fillId="0" borderId="4" xfId="0" applyFont="1" applyBorder="1" applyProtection="1">
      <alignment vertical="center"/>
    </xf>
    <xf numFmtId="0" fontId="130" fillId="26" borderId="7" xfId="0" applyFont="1" applyFill="1" applyBorder="1" applyProtection="1">
      <alignment vertical="center"/>
    </xf>
    <xf numFmtId="0" fontId="130" fillId="26" borderId="9" xfId="0" applyFont="1" applyFill="1" applyBorder="1" applyProtection="1">
      <alignment vertical="center"/>
    </xf>
    <xf numFmtId="0" fontId="0" fillId="11" borderId="1" xfId="0" applyFill="1" applyBorder="1" applyAlignment="1" applyProtection="1">
      <alignment vertical="center"/>
    </xf>
    <xf numFmtId="0" fontId="130" fillId="25" borderId="4" xfId="0" applyFont="1" applyFill="1" applyBorder="1" applyProtection="1">
      <alignment vertical="center"/>
    </xf>
    <xf numFmtId="0" fontId="130" fillId="20" borderId="4" xfId="0" applyFont="1" applyFill="1" applyBorder="1" applyProtection="1">
      <alignment vertical="center"/>
    </xf>
    <xf numFmtId="0" fontId="130" fillId="27" borderId="7" xfId="0" applyFont="1" applyFill="1" applyBorder="1" applyProtection="1">
      <alignment vertical="center"/>
    </xf>
    <xf numFmtId="0" fontId="130" fillId="27" borderId="9" xfId="0" applyFont="1" applyFill="1" applyBorder="1" applyProtection="1">
      <alignment vertical="center"/>
    </xf>
    <xf numFmtId="0" fontId="130" fillId="24" borderId="7" xfId="0" applyFont="1" applyFill="1" applyBorder="1" applyProtection="1">
      <alignment vertical="center"/>
    </xf>
    <xf numFmtId="0" fontId="130" fillId="24" borderId="9" xfId="0" applyFont="1" applyFill="1" applyBorder="1" applyProtection="1">
      <alignment vertical="center"/>
    </xf>
    <xf numFmtId="0" fontId="130" fillId="4" borderId="7" xfId="0" applyFont="1" applyFill="1" applyBorder="1" applyProtection="1">
      <alignment vertical="center"/>
    </xf>
    <xf numFmtId="0" fontId="130" fillId="4" borderId="9" xfId="0" applyFont="1" applyFill="1" applyBorder="1" applyProtection="1">
      <alignment vertical="center"/>
    </xf>
    <xf numFmtId="0" fontId="130" fillId="20" borderId="0" xfId="0" applyFont="1" applyFill="1" applyProtection="1">
      <alignment vertical="center"/>
    </xf>
    <xf numFmtId="0" fontId="130" fillId="26" borderId="0" xfId="0" applyFont="1" applyFill="1" applyProtection="1">
      <alignment vertical="center"/>
    </xf>
    <xf numFmtId="0" fontId="130" fillId="25" borderId="0" xfId="0" applyFont="1" applyFill="1" applyProtection="1">
      <alignment vertical="center"/>
    </xf>
    <xf numFmtId="0" fontId="130" fillId="24" borderId="0" xfId="0" applyFont="1" applyFill="1" applyProtection="1">
      <alignment vertical="center"/>
    </xf>
    <xf numFmtId="0" fontId="130" fillId="3" borderId="0" xfId="0" applyFont="1" applyFill="1" applyProtection="1">
      <alignment vertical="center"/>
    </xf>
    <xf numFmtId="0" fontId="130" fillId="25" borderId="0" xfId="0" applyNumberFormat="1" applyFont="1" applyFill="1" applyProtection="1">
      <alignment vertical="center"/>
    </xf>
    <xf numFmtId="0" fontId="130" fillId="0" borderId="0" xfId="0" applyFont="1" applyAlignment="1" applyProtection="1">
      <alignment horizontal="center" vertical="center"/>
    </xf>
    <xf numFmtId="0" fontId="130" fillId="26" borderId="0" xfId="0" applyFont="1" applyFill="1" applyAlignment="1" applyProtection="1">
      <alignment horizontal="center" vertical="center"/>
    </xf>
    <xf numFmtId="49" fontId="130" fillId="25" borderId="0" xfId="0" applyNumberFormat="1" applyFont="1" applyFill="1" applyProtection="1">
      <alignment vertical="center"/>
    </xf>
    <xf numFmtId="0" fontId="133" fillId="21" borderId="0" xfId="0" applyFont="1" applyFill="1" applyBorder="1" applyProtection="1">
      <alignment vertical="center"/>
    </xf>
    <xf numFmtId="0" fontId="0" fillId="21" borderId="0" xfId="0" applyFont="1" applyFill="1" applyBorder="1" applyProtection="1">
      <alignment vertical="center"/>
    </xf>
    <xf numFmtId="0" fontId="130" fillId="21" borderId="0" xfId="0" applyFont="1" applyFill="1" applyBorder="1" applyProtection="1">
      <alignment vertical="center"/>
    </xf>
    <xf numFmtId="0" fontId="130" fillId="21" borderId="4" xfId="0" applyFont="1" applyFill="1" applyBorder="1" applyProtection="1">
      <alignment vertical="center"/>
    </xf>
    <xf numFmtId="0" fontId="130" fillId="24" borderId="33" xfId="0" applyFont="1" applyFill="1" applyBorder="1" applyProtection="1">
      <alignment vertical="center"/>
    </xf>
    <xf numFmtId="0" fontId="130" fillId="24" borderId="99" xfId="0" applyFont="1" applyFill="1" applyBorder="1" applyProtection="1">
      <alignment vertical="center"/>
    </xf>
    <xf numFmtId="0" fontId="130" fillId="24" borderId="4" xfId="0" applyFont="1" applyFill="1" applyBorder="1" applyProtection="1">
      <alignment vertical="center"/>
    </xf>
    <xf numFmtId="0" fontId="130" fillId="24" borderId="89" xfId="0" applyFont="1" applyFill="1" applyBorder="1" applyProtection="1">
      <alignment vertical="center"/>
    </xf>
    <xf numFmtId="0" fontId="10" fillId="24" borderId="0" xfId="0" applyFont="1" applyFill="1" applyProtection="1">
      <alignment vertical="center"/>
    </xf>
    <xf numFmtId="0" fontId="130" fillId="0" borderId="0" xfId="0" applyFont="1" applyBorder="1" applyProtection="1">
      <alignment vertical="center"/>
    </xf>
    <xf numFmtId="14" fontId="130" fillId="18" borderId="0" xfId="0" applyNumberFormat="1" applyFont="1" applyFill="1" applyProtection="1">
      <alignment vertical="center"/>
    </xf>
    <xf numFmtId="0" fontId="130" fillId="24" borderId="0" xfId="0" applyFont="1" applyFill="1" applyBorder="1" applyProtection="1">
      <alignment vertical="center"/>
    </xf>
    <xf numFmtId="0" fontId="130" fillId="0" borderId="4" xfId="0" applyFont="1" applyFill="1" applyBorder="1" applyProtection="1">
      <alignment vertical="center"/>
    </xf>
    <xf numFmtId="0" fontId="103" fillId="0" borderId="0" xfId="0" applyFont="1" applyProtection="1">
      <alignment vertical="center"/>
      <protection hidden="1"/>
    </xf>
    <xf numFmtId="0" fontId="47" fillId="0" borderId="0" xfId="0" applyFont="1" applyProtection="1">
      <alignment vertical="center"/>
      <protection hidden="1"/>
    </xf>
    <xf numFmtId="0" fontId="42" fillId="0" borderId="0" xfId="0" applyFont="1" applyProtection="1">
      <alignment vertical="center"/>
      <protection hidden="1"/>
    </xf>
    <xf numFmtId="0" fontId="42" fillId="0" borderId="7" xfId="0" applyFont="1" applyBorder="1" applyProtection="1">
      <alignment vertical="center"/>
      <protection hidden="1"/>
    </xf>
    <xf numFmtId="0" fontId="42" fillId="0" borderId="1" xfId="0" applyFont="1" applyBorder="1" applyProtection="1">
      <alignment vertical="center"/>
      <protection hidden="1"/>
    </xf>
    <xf numFmtId="0" fontId="42" fillId="0" borderId="1" xfId="0" applyFont="1" applyBorder="1" applyAlignment="1" applyProtection="1">
      <alignment horizontal="center" vertical="center"/>
      <protection hidden="1"/>
    </xf>
    <xf numFmtId="0" fontId="42" fillId="0" borderId="4" xfId="0" applyFont="1" applyBorder="1" applyAlignment="1" applyProtection="1">
      <alignment horizontal="center" vertical="center"/>
      <protection hidden="1"/>
    </xf>
    <xf numFmtId="0" fontId="43" fillId="0" borderId="4" xfId="0" applyFont="1" applyBorder="1" applyAlignment="1" applyProtection="1">
      <alignment horizontal="center" vertical="center"/>
      <protection hidden="1"/>
    </xf>
    <xf numFmtId="49" fontId="4" fillId="0" borderId="4" xfId="0" applyNumberFormat="1"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4" fillId="0" borderId="8" xfId="0" applyFont="1" applyBorder="1" applyAlignment="1" applyProtection="1">
      <alignment horizontal="left" vertical="center"/>
      <protection hidden="1"/>
    </xf>
    <xf numFmtId="0" fontId="4" fillId="0" borderId="9" xfId="0" applyFont="1" applyBorder="1" applyAlignment="1" applyProtection="1">
      <alignment horizontal="left" vertical="center"/>
      <protection hidden="1"/>
    </xf>
    <xf numFmtId="0" fontId="43" fillId="0" borderId="7" xfId="0" applyFont="1" applyBorder="1" applyAlignment="1" applyProtection="1">
      <alignment horizontal="center" vertical="center"/>
      <protection hidden="1"/>
    </xf>
    <xf numFmtId="0" fontId="43" fillId="0" borderId="7" xfId="0" applyFont="1" applyBorder="1" applyAlignment="1" applyProtection="1">
      <alignment vertical="center"/>
      <protection hidden="1"/>
    </xf>
    <xf numFmtId="0" fontId="43" fillId="0" borderId="8" xfId="0" applyFont="1" applyBorder="1" applyAlignment="1" applyProtection="1">
      <alignment vertical="center"/>
      <protection hidden="1"/>
    </xf>
    <xf numFmtId="0" fontId="43" fillId="0" borderId="9" xfId="0" applyFont="1" applyBorder="1" applyAlignment="1" applyProtection="1">
      <alignment vertical="center"/>
      <protection hidden="1"/>
    </xf>
    <xf numFmtId="49" fontId="4" fillId="0" borderId="7" xfId="0" applyNumberFormat="1" applyFont="1" applyBorder="1" applyAlignment="1" applyProtection="1">
      <alignment horizontal="center" vertical="center"/>
      <protection hidden="1"/>
    </xf>
    <xf numFmtId="0" fontId="4" fillId="0" borderId="7" xfId="0" applyFont="1" applyBorder="1" applyAlignment="1" applyProtection="1">
      <alignment vertical="center"/>
      <protection hidden="1"/>
    </xf>
    <xf numFmtId="0" fontId="4" fillId="0" borderId="8" xfId="0" applyFont="1" applyBorder="1" applyAlignment="1" applyProtection="1">
      <alignment vertical="center"/>
      <protection hidden="1"/>
    </xf>
    <xf numFmtId="0" fontId="4" fillId="0" borderId="9" xfId="0" applyFont="1" applyBorder="1" applyAlignment="1" applyProtection="1">
      <alignment vertical="center"/>
      <protection hidden="1"/>
    </xf>
    <xf numFmtId="0" fontId="4" fillId="0" borderId="7" xfId="0" applyFont="1" applyBorder="1" applyAlignment="1" applyProtection="1">
      <alignment horizontal="center" vertical="center"/>
      <protection hidden="1"/>
    </xf>
    <xf numFmtId="0" fontId="4" fillId="0" borderId="7" xfId="0" applyFont="1" applyBorder="1" applyAlignment="1" applyProtection="1">
      <alignment horizontal="left" vertical="center"/>
      <protection hidden="1"/>
    </xf>
    <xf numFmtId="0" fontId="43" fillId="0" borderId="7" xfId="0" applyFont="1" applyBorder="1" applyAlignment="1" applyProtection="1">
      <alignment horizontal="left" vertical="center"/>
      <protection hidden="1"/>
    </xf>
    <xf numFmtId="0" fontId="43" fillId="0" borderId="8" xfId="0" applyFont="1" applyBorder="1" applyAlignment="1" applyProtection="1">
      <alignment horizontal="left" vertical="center"/>
      <protection hidden="1"/>
    </xf>
    <xf numFmtId="0" fontId="43" fillId="0" borderId="9" xfId="0" applyFont="1" applyBorder="1" applyAlignment="1" applyProtection="1">
      <alignment horizontal="left" vertical="center"/>
      <protection hidden="1"/>
    </xf>
    <xf numFmtId="0" fontId="42" fillId="0" borderId="2" xfId="0" applyFont="1" applyBorder="1" applyProtection="1">
      <alignment vertical="center"/>
      <protection hidden="1"/>
    </xf>
    <xf numFmtId="0" fontId="0" fillId="0" borderId="1" xfId="0" applyBorder="1" applyProtection="1">
      <alignment vertical="center"/>
      <protection hidden="1"/>
    </xf>
    <xf numFmtId="0" fontId="42" fillId="0" borderId="0" xfId="0" applyFont="1" applyBorder="1" applyProtection="1">
      <alignment vertical="center"/>
      <protection hidden="1"/>
    </xf>
    <xf numFmtId="0" fontId="42" fillId="0" borderId="0" xfId="0" applyFont="1" applyAlignment="1" applyProtection="1">
      <alignment horizontal="center" vertical="center"/>
      <protection hidden="1"/>
    </xf>
    <xf numFmtId="0" fontId="107" fillId="0" borderId="0" xfId="2" applyFont="1" applyProtection="1">
      <alignment vertical="center"/>
      <protection hidden="1"/>
    </xf>
    <xf numFmtId="0" fontId="50" fillId="0" borderId="0" xfId="7" applyProtection="1">
      <protection hidden="1"/>
    </xf>
    <xf numFmtId="0" fontId="51" fillId="0" borderId="3" xfId="7" applyFont="1" applyBorder="1" applyProtection="1">
      <protection hidden="1"/>
    </xf>
    <xf numFmtId="0" fontId="51" fillId="0" borderId="1" xfId="7" applyFont="1" applyBorder="1" applyProtection="1">
      <protection hidden="1"/>
    </xf>
    <xf numFmtId="0" fontId="51" fillId="0" borderId="1" xfId="7" applyFont="1" applyBorder="1" applyAlignment="1" applyProtection="1">
      <alignment horizontal="right"/>
      <protection hidden="1"/>
    </xf>
    <xf numFmtId="0" fontId="51" fillId="0" borderId="6" xfId="7" applyFont="1" applyBorder="1" applyProtection="1">
      <protection hidden="1"/>
    </xf>
    <xf numFmtId="0" fontId="51" fillId="0" borderId="0" xfId="7" applyFont="1" applyProtection="1">
      <protection hidden="1"/>
    </xf>
    <xf numFmtId="0" fontId="50" fillId="0" borderId="5" xfId="7" applyBorder="1" applyProtection="1">
      <protection hidden="1"/>
    </xf>
    <xf numFmtId="0" fontId="50" fillId="0" borderId="0" xfId="7" applyBorder="1" applyProtection="1">
      <protection hidden="1"/>
    </xf>
    <xf numFmtId="0" fontId="50" fillId="0" borderId="10" xfId="7" applyBorder="1" applyProtection="1">
      <protection hidden="1"/>
    </xf>
    <xf numFmtId="0" fontId="54" fillId="0" borderId="0" xfId="2" applyFont="1" applyBorder="1" applyAlignment="1" applyProtection="1">
      <alignment horizontal="center" vertical="center"/>
      <protection hidden="1"/>
    </xf>
    <xf numFmtId="0" fontId="50" fillId="20" borderId="3" xfId="7" applyFill="1" applyBorder="1" applyProtection="1">
      <protection hidden="1"/>
    </xf>
    <xf numFmtId="0" fontId="50" fillId="20" borderId="1" xfId="7" applyFill="1" applyBorder="1" applyProtection="1">
      <protection hidden="1"/>
    </xf>
    <xf numFmtId="0" fontId="54" fillId="20" borderId="1" xfId="2" applyFont="1" applyFill="1" applyBorder="1" applyAlignment="1" applyProtection="1">
      <alignment horizontal="center" vertical="center"/>
      <protection hidden="1"/>
    </xf>
    <xf numFmtId="0" fontId="50" fillId="20" borderId="6" xfId="7" applyFill="1" applyBorder="1" applyProtection="1">
      <protection hidden="1"/>
    </xf>
    <xf numFmtId="0" fontId="50" fillId="20" borderId="0" xfId="7" applyFill="1" applyBorder="1" applyProtection="1">
      <protection hidden="1"/>
    </xf>
    <xf numFmtId="0" fontId="50" fillId="20" borderId="10" xfId="7" applyFill="1" applyBorder="1" applyProtection="1">
      <protection hidden="1"/>
    </xf>
    <xf numFmtId="0" fontId="55" fillId="20" borderId="5" xfId="2" applyFont="1" applyFill="1" applyBorder="1" applyAlignment="1" applyProtection="1">
      <alignment horizontal="center" vertical="center"/>
      <protection hidden="1"/>
    </xf>
    <xf numFmtId="0" fontId="55" fillId="20" borderId="0" xfId="2" applyFont="1" applyFill="1" applyBorder="1" applyAlignment="1" applyProtection="1">
      <alignment horizontal="center" vertical="center"/>
      <protection hidden="1"/>
    </xf>
    <xf numFmtId="0" fontId="58" fillId="20" borderId="0" xfId="2" applyFont="1" applyFill="1" applyBorder="1" applyAlignment="1" applyProtection="1">
      <alignment horizontal="left" vertical="center"/>
      <protection hidden="1"/>
    </xf>
    <xf numFmtId="0" fontId="59" fillId="20" borderId="0" xfId="2" applyFont="1" applyFill="1" applyBorder="1" applyAlignment="1" applyProtection="1">
      <alignment horizontal="left" vertical="center"/>
      <protection hidden="1"/>
    </xf>
    <xf numFmtId="0" fontId="55" fillId="20" borderId="0" xfId="2" applyFont="1" applyFill="1" applyBorder="1" applyAlignment="1" applyProtection="1">
      <alignment vertical="center"/>
      <protection hidden="1"/>
    </xf>
    <xf numFmtId="0" fontId="55" fillId="20" borderId="28" xfId="2" applyFont="1" applyFill="1" applyBorder="1" applyAlignment="1" applyProtection="1">
      <alignment horizontal="center" vertical="center"/>
      <protection hidden="1"/>
    </xf>
    <xf numFmtId="0" fontId="55" fillId="20" borderId="2" xfId="2" applyFont="1" applyFill="1" applyBorder="1" applyAlignment="1" applyProtection="1">
      <alignment horizontal="center" vertical="center"/>
      <protection hidden="1"/>
    </xf>
    <xf numFmtId="0" fontId="58" fillId="20" borderId="2" xfId="2" applyFont="1" applyFill="1" applyBorder="1" applyAlignment="1" applyProtection="1">
      <alignment horizontal="left" vertical="center"/>
      <protection hidden="1"/>
    </xf>
    <xf numFmtId="0" fontId="50" fillId="20" borderId="2" xfId="7" applyFill="1" applyBorder="1" applyProtection="1">
      <protection hidden="1"/>
    </xf>
    <xf numFmtId="0" fontId="50" fillId="20" borderId="11" xfId="7" applyFill="1" applyBorder="1" applyProtection="1">
      <protection hidden="1"/>
    </xf>
    <xf numFmtId="0" fontId="0" fillId="0" borderId="10" xfId="0" applyBorder="1" applyProtection="1">
      <alignment vertical="center"/>
      <protection hidden="1"/>
    </xf>
    <xf numFmtId="0" fontId="59" fillId="20" borderId="3" xfId="7" applyFont="1" applyFill="1" applyBorder="1" applyProtection="1">
      <protection hidden="1"/>
    </xf>
    <xf numFmtId="0" fontId="61" fillId="20" borderId="1" xfId="0" applyFont="1" applyFill="1" applyBorder="1" applyAlignment="1" applyProtection="1">
      <alignment horizontal="left" vertical="center"/>
      <protection hidden="1"/>
    </xf>
    <xf numFmtId="0" fontId="62" fillId="20" borderId="1" xfId="0" applyFont="1" applyFill="1" applyBorder="1" applyAlignment="1" applyProtection="1">
      <alignment horizontal="left" vertical="center"/>
      <protection hidden="1"/>
    </xf>
    <xf numFmtId="0" fontId="0" fillId="20" borderId="1" xfId="0" applyFill="1" applyBorder="1" applyProtection="1">
      <alignment vertical="center"/>
      <protection hidden="1"/>
    </xf>
    <xf numFmtId="0" fontId="0" fillId="20" borderId="6" xfId="0" applyFill="1" applyBorder="1" applyProtection="1">
      <alignment vertical="center"/>
      <protection hidden="1"/>
    </xf>
    <xf numFmtId="0" fontId="50" fillId="20" borderId="5" xfId="7" applyFill="1" applyBorder="1" applyProtection="1">
      <protection hidden="1"/>
    </xf>
    <xf numFmtId="0" fontId="61" fillId="20" borderId="0" xfId="0" applyFont="1" applyFill="1" applyBorder="1" applyAlignment="1" applyProtection="1">
      <alignment horizontal="left" vertical="center"/>
      <protection hidden="1"/>
    </xf>
    <xf numFmtId="0" fontId="61" fillId="20" borderId="51" xfId="0" applyFont="1" applyFill="1" applyBorder="1" applyProtection="1">
      <alignment vertical="center"/>
      <protection hidden="1"/>
    </xf>
    <xf numFmtId="0" fontId="0" fillId="20" borderId="51" xfId="0" applyFill="1" applyBorder="1" applyProtection="1">
      <alignment vertical="center"/>
      <protection hidden="1"/>
    </xf>
    <xf numFmtId="0" fontId="0" fillId="20" borderId="0" xfId="0" applyFill="1" applyBorder="1" applyProtection="1">
      <alignment vertical="center"/>
      <protection hidden="1"/>
    </xf>
    <xf numFmtId="0" fontId="0" fillId="20" borderId="10" xfId="0" applyFill="1" applyBorder="1" applyProtection="1">
      <alignment vertical="center"/>
      <protection hidden="1"/>
    </xf>
    <xf numFmtId="0" fontId="63" fillId="20" borderId="0" xfId="0" applyFont="1" applyFill="1" applyBorder="1" applyAlignment="1" applyProtection="1">
      <alignment vertical="center" wrapText="1"/>
      <protection hidden="1"/>
    </xf>
    <xf numFmtId="0" fontId="64" fillId="20" borderId="0" xfId="0" applyFont="1" applyFill="1" applyBorder="1" applyAlignment="1" applyProtection="1">
      <alignment horizontal="center" vertical="center"/>
      <protection hidden="1"/>
    </xf>
    <xf numFmtId="0" fontId="61" fillId="20" borderId="0" xfId="0" applyFont="1" applyFill="1" applyBorder="1" applyProtection="1">
      <alignment vertical="center"/>
      <protection hidden="1"/>
    </xf>
    <xf numFmtId="0" fontId="63" fillId="20" borderId="0" xfId="0" applyFont="1" applyFill="1" applyBorder="1" applyAlignment="1" applyProtection="1">
      <alignment horizontal="left" vertical="center" wrapText="1"/>
      <protection hidden="1"/>
    </xf>
    <xf numFmtId="0" fontId="61" fillId="20" borderId="51" xfId="0" applyFont="1" applyFill="1" applyBorder="1" applyAlignment="1" applyProtection="1">
      <alignment horizontal="left" vertical="center" wrapText="1"/>
      <protection hidden="1"/>
    </xf>
    <xf numFmtId="0" fontId="61" fillId="20" borderId="51" xfId="0" applyFont="1" applyFill="1" applyBorder="1" applyAlignment="1" applyProtection="1">
      <alignment horizontal="left" vertical="center"/>
      <protection hidden="1"/>
    </xf>
    <xf numFmtId="0" fontId="61" fillId="20" borderId="131" xfId="0" applyFont="1" applyFill="1" applyBorder="1" applyAlignment="1" applyProtection="1">
      <alignment horizontal="left" vertical="center"/>
      <protection hidden="1"/>
    </xf>
    <xf numFmtId="0" fontId="61" fillId="20" borderId="130" xfId="0" applyFont="1" applyFill="1" applyBorder="1" applyAlignment="1" applyProtection="1">
      <alignment horizontal="left" vertical="center"/>
      <protection hidden="1"/>
    </xf>
    <xf numFmtId="0" fontId="50" fillId="20" borderId="161" xfId="7" applyFill="1" applyBorder="1" applyProtection="1">
      <protection hidden="1"/>
    </xf>
    <xf numFmtId="0" fontId="61" fillId="20" borderId="52" xfId="0" applyFont="1" applyFill="1" applyBorder="1" applyAlignment="1" applyProtection="1">
      <alignment horizontal="left" vertical="center"/>
      <protection hidden="1"/>
    </xf>
    <xf numFmtId="0" fontId="63" fillId="20" borderId="52" xfId="0" applyFont="1" applyFill="1" applyBorder="1" applyAlignment="1" applyProtection="1">
      <alignment horizontal="left" vertical="center" wrapText="1"/>
      <protection hidden="1"/>
    </xf>
    <xf numFmtId="0" fontId="61" fillId="20" borderId="52" xfId="0" applyFont="1" applyFill="1" applyBorder="1" applyAlignment="1" applyProtection="1">
      <alignment horizontal="right" vertical="center"/>
      <protection hidden="1"/>
    </xf>
    <xf numFmtId="0" fontId="61" fillId="20" borderId="52" xfId="0" applyFont="1" applyFill="1" applyBorder="1" applyProtection="1">
      <alignment vertical="center"/>
      <protection hidden="1"/>
    </xf>
    <xf numFmtId="0" fontId="0" fillId="20" borderId="162" xfId="0" applyFill="1" applyBorder="1" applyProtection="1">
      <alignment vertical="center"/>
      <protection hidden="1"/>
    </xf>
    <xf numFmtId="0" fontId="59" fillId="20" borderId="5" xfId="7" applyFont="1" applyFill="1" applyBorder="1" applyAlignment="1" applyProtection="1">
      <protection hidden="1"/>
    </xf>
    <xf numFmtId="0" fontId="63" fillId="20" borderId="51" xfId="0" applyFont="1" applyFill="1" applyBorder="1" applyAlignment="1" applyProtection="1">
      <alignment horizontal="left" vertical="center" wrapText="1"/>
      <protection hidden="1"/>
    </xf>
    <xf numFmtId="0" fontId="61" fillId="20" borderId="51" xfId="0" applyFont="1" applyFill="1" applyBorder="1" applyAlignment="1" applyProtection="1">
      <alignment horizontal="right" vertical="center"/>
      <protection hidden="1"/>
    </xf>
    <xf numFmtId="0" fontId="61" fillId="20" borderId="52" xfId="0" applyFont="1" applyFill="1" applyBorder="1" applyAlignment="1" applyProtection="1">
      <alignment vertical="center" shrinkToFit="1"/>
      <protection hidden="1"/>
    </xf>
    <xf numFmtId="0" fontId="61" fillId="20" borderId="51" xfId="0" applyFont="1" applyFill="1" applyBorder="1" applyAlignment="1" applyProtection="1">
      <alignment vertical="center" shrinkToFit="1"/>
      <protection hidden="1"/>
    </xf>
    <xf numFmtId="0" fontId="61" fillId="20" borderId="82" xfId="0" applyFont="1" applyFill="1" applyBorder="1" applyAlignment="1" applyProtection="1">
      <alignment vertical="center" shrinkToFit="1"/>
      <protection hidden="1"/>
    </xf>
    <xf numFmtId="0" fontId="61" fillId="20" borderId="82" xfId="0" applyFont="1" applyFill="1" applyBorder="1" applyAlignment="1" applyProtection="1">
      <alignment horizontal="left" vertical="center"/>
      <protection hidden="1"/>
    </xf>
    <xf numFmtId="0" fontId="61" fillId="20" borderId="82" xfId="0" applyFont="1" applyFill="1" applyBorder="1" applyProtection="1">
      <alignment vertical="center"/>
      <protection hidden="1"/>
    </xf>
    <xf numFmtId="0" fontId="0" fillId="20" borderId="191" xfId="0" applyFill="1" applyBorder="1" applyProtection="1">
      <alignment vertical="center"/>
      <protection hidden="1"/>
    </xf>
    <xf numFmtId="0" fontId="61" fillId="20" borderId="162" xfId="0" applyFont="1" applyFill="1" applyBorder="1" applyAlignment="1" applyProtection="1">
      <alignment horizontal="right" vertical="center"/>
      <protection hidden="1"/>
    </xf>
    <xf numFmtId="0" fontId="63" fillId="20" borderId="51" xfId="0" applyFont="1" applyFill="1" applyBorder="1" applyAlignment="1" applyProtection="1">
      <alignment vertical="center" wrapText="1"/>
      <protection hidden="1"/>
    </xf>
    <xf numFmtId="0" fontId="63" fillId="20" borderId="82" xfId="0" applyFont="1" applyFill="1" applyBorder="1" applyAlignment="1" applyProtection="1">
      <alignment vertical="center" wrapText="1"/>
      <protection hidden="1"/>
    </xf>
    <xf numFmtId="0" fontId="61" fillId="20" borderId="0" xfId="0" applyFont="1" applyFill="1" applyBorder="1" applyAlignment="1" applyProtection="1">
      <alignment vertical="center" shrinkToFit="1"/>
      <protection hidden="1"/>
    </xf>
    <xf numFmtId="0" fontId="61" fillId="20" borderId="191" xfId="0" applyFont="1" applyFill="1" applyBorder="1" applyAlignment="1" applyProtection="1">
      <alignment horizontal="right" vertical="center"/>
      <protection hidden="1"/>
    </xf>
    <xf numFmtId="0" fontId="61" fillId="20" borderId="185" xfId="0" applyFont="1" applyFill="1" applyBorder="1" applyAlignment="1" applyProtection="1">
      <alignment horizontal="left"/>
      <protection hidden="1"/>
    </xf>
    <xf numFmtId="0" fontId="61" fillId="20" borderId="5" xfId="0" applyFont="1" applyFill="1" applyBorder="1" applyProtection="1">
      <alignment vertical="center"/>
      <protection hidden="1"/>
    </xf>
    <xf numFmtId="0" fontId="61" fillId="20" borderId="5" xfId="0" applyFont="1" applyFill="1" applyBorder="1" applyAlignment="1" applyProtection="1">
      <alignment horizontal="left" vertical="center"/>
      <protection hidden="1"/>
    </xf>
    <xf numFmtId="0" fontId="65" fillId="20" borderId="51" xfId="0" applyFont="1" applyFill="1" applyBorder="1" applyAlignment="1" applyProtection="1">
      <alignment horizontal="left" vertical="center"/>
      <protection hidden="1"/>
    </xf>
    <xf numFmtId="0" fontId="66" fillId="20" borderId="82" xfId="0" applyFont="1" applyFill="1" applyBorder="1" applyAlignment="1" applyProtection="1">
      <alignment horizontal="left" vertical="center"/>
      <protection hidden="1"/>
    </xf>
    <xf numFmtId="0" fontId="66" fillId="20" borderId="0" xfId="0" applyFont="1" applyFill="1" applyBorder="1" applyAlignment="1" applyProtection="1">
      <alignment horizontal="left" vertical="center"/>
      <protection hidden="1"/>
    </xf>
    <xf numFmtId="0" fontId="61" fillId="20" borderId="5" xfId="0" applyFont="1" applyFill="1" applyBorder="1" applyAlignment="1" applyProtection="1">
      <alignment horizontal="left" vertical="center" wrapText="1"/>
      <protection hidden="1"/>
    </xf>
    <xf numFmtId="0" fontId="61" fillId="20" borderId="0" xfId="0" applyFont="1" applyFill="1" applyBorder="1" applyAlignment="1" applyProtection="1">
      <alignment horizontal="left" vertical="center" wrapText="1"/>
      <protection hidden="1"/>
    </xf>
    <xf numFmtId="0" fontId="66" fillId="20" borderId="52" xfId="0" applyFont="1" applyFill="1" applyBorder="1" applyAlignment="1" applyProtection="1">
      <alignment horizontal="left" vertical="center"/>
      <protection hidden="1"/>
    </xf>
    <xf numFmtId="0" fontId="65" fillId="20" borderId="82" xfId="0" applyFont="1" applyFill="1" applyBorder="1" applyAlignment="1" applyProtection="1">
      <alignment horizontal="left" vertical="center"/>
      <protection hidden="1"/>
    </xf>
    <xf numFmtId="0" fontId="61" fillId="20" borderId="161" xfId="0" applyFont="1" applyFill="1" applyBorder="1" applyAlignment="1" applyProtection="1">
      <alignment horizontal="left" vertical="center"/>
      <protection hidden="1"/>
    </xf>
    <xf numFmtId="0" fontId="65" fillId="20" borderId="52" xfId="0" applyFont="1" applyFill="1" applyBorder="1" applyAlignment="1" applyProtection="1">
      <alignment horizontal="left" vertical="center"/>
      <protection hidden="1"/>
    </xf>
    <xf numFmtId="0" fontId="0" fillId="20" borderId="52" xfId="0" applyFill="1" applyBorder="1" applyProtection="1">
      <alignment vertical="center"/>
      <protection hidden="1"/>
    </xf>
    <xf numFmtId="0" fontId="61" fillId="20" borderId="5" xfId="0" applyFont="1" applyFill="1" applyBorder="1" applyAlignment="1" applyProtection="1">
      <alignment horizontal="left"/>
      <protection hidden="1"/>
    </xf>
    <xf numFmtId="0" fontId="61" fillId="20" borderId="5" xfId="0" applyFont="1" applyFill="1" applyBorder="1" applyAlignment="1" applyProtection="1">
      <alignment horizontal="center" vertical="top" wrapText="1"/>
      <protection hidden="1"/>
    </xf>
    <xf numFmtId="0" fontId="61" fillId="20" borderId="0" xfId="0" applyFont="1" applyFill="1" applyBorder="1" applyAlignment="1" applyProtection="1">
      <alignment horizontal="center" vertical="top" wrapText="1"/>
      <protection hidden="1"/>
    </xf>
    <xf numFmtId="0" fontId="61" fillId="20" borderId="186" xfId="0" applyFont="1" applyFill="1" applyBorder="1" applyAlignment="1" applyProtection="1">
      <alignment horizontal="left" vertical="center"/>
      <protection hidden="1"/>
    </xf>
    <xf numFmtId="0" fontId="61" fillId="20" borderId="187" xfId="0" applyFont="1" applyFill="1" applyBorder="1" applyAlignment="1" applyProtection="1">
      <alignment horizontal="left" vertical="center"/>
      <protection hidden="1"/>
    </xf>
    <xf numFmtId="0" fontId="61" fillId="20" borderId="51" xfId="0" applyFont="1" applyFill="1" applyBorder="1" applyAlignment="1" applyProtection="1">
      <alignment horizontal="center" vertical="center"/>
      <protection hidden="1"/>
    </xf>
    <xf numFmtId="0" fontId="65" fillId="20" borderId="0" xfId="0" applyFont="1" applyFill="1" applyBorder="1" applyAlignment="1" applyProtection="1">
      <alignment horizontal="left" vertical="center"/>
      <protection hidden="1"/>
    </xf>
    <xf numFmtId="0" fontId="0" fillId="20" borderId="5" xfId="0" applyFill="1" applyBorder="1" applyProtection="1">
      <alignment vertical="center"/>
      <protection hidden="1"/>
    </xf>
    <xf numFmtId="0" fontId="67" fillId="20" borderId="28" xfId="2" applyFont="1" applyFill="1" applyBorder="1" applyAlignment="1" applyProtection="1">
      <protection hidden="1"/>
    </xf>
    <xf numFmtId="0" fontId="10" fillId="20" borderId="2" xfId="2" applyFill="1" applyBorder="1" applyProtection="1">
      <alignment vertical="center"/>
      <protection hidden="1"/>
    </xf>
    <xf numFmtId="0" fontId="68" fillId="20" borderId="2" xfId="2" applyFont="1" applyFill="1" applyBorder="1" applyProtection="1">
      <alignment vertical="center"/>
      <protection hidden="1"/>
    </xf>
    <xf numFmtId="0" fontId="0" fillId="20" borderId="2" xfId="0" applyFill="1" applyBorder="1" applyProtection="1">
      <alignment vertical="center"/>
      <protection hidden="1"/>
    </xf>
    <xf numFmtId="0" fontId="0" fillId="20" borderId="11" xfId="0" applyFill="1" applyBorder="1" applyProtection="1">
      <alignment vertical="center"/>
      <protection hidden="1"/>
    </xf>
    <xf numFmtId="0" fontId="61" fillId="0" borderId="0" xfId="0" applyFont="1" applyBorder="1" applyProtection="1">
      <alignment vertical="center"/>
      <protection hidden="1"/>
    </xf>
    <xf numFmtId="0" fontId="69" fillId="0" borderId="3" xfId="2" applyFont="1" applyBorder="1" applyProtection="1">
      <alignment vertical="center"/>
      <protection hidden="1"/>
    </xf>
    <xf numFmtId="0" fontId="69" fillId="0" borderId="1" xfId="2" applyFont="1" applyBorder="1" applyProtection="1">
      <alignment vertical="center"/>
      <protection hidden="1"/>
    </xf>
    <xf numFmtId="0" fontId="55" fillId="0" borderId="1" xfId="2" applyFont="1" applyBorder="1" applyAlignment="1" applyProtection="1">
      <alignment vertical="top"/>
      <protection hidden="1"/>
    </xf>
    <xf numFmtId="0" fontId="70" fillId="0" borderId="3" xfId="2" applyFont="1" applyBorder="1" applyAlignment="1" applyProtection="1">
      <alignment horizontal="left" vertical="center" wrapText="1"/>
      <protection hidden="1"/>
    </xf>
    <xf numFmtId="0" fontId="70" fillId="0" borderId="1" xfId="2" applyFont="1" applyBorder="1" applyAlignment="1" applyProtection="1">
      <alignment horizontal="left" vertical="center"/>
      <protection hidden="1"/>
    </xf>
    <xf numFmtId="0" fontId="50" fillId="0" borderId="1" xfId="7" applyBorder="1" applyProtection="1">
      <protection hidden="1"/>
    </xf>
    <xf numFmtId="0" fontId="69" fillId="0" borderId="5" xfId="2" applyFont="1" applyBorder="1" applyProtection="1">
      <alignment vertical="center"/>
      <protection hidden="1"/>
    </xf>
    <xf numFmtId="0" fontId="69" fillId="0" borderId="0" xfId="2" applyFont="1" applyBorder="1" applyProtection="1">
      <alignment vertical="center"/>
      <protection hidden="1"/>
    </xf>
    <xf numFmtId="0" fontId="55" fillId="0" borderId="0" xfId="2" applyFont="1" applyBorder="1" applyAlignment="1" applyProtection="1">
      <alignment vertical="top"/>
      <protection hidden="1"/>
    </xf>
    <xf numFmtId="0" fontId="70" fillId="0" borderId="5" xfId="2" applyFont="1" applyBorder="1" applyAlignment="1" applyProtection="1">
      <alignment horizontal="left" vertical="center"/>
      <protection hidden="1"/>
    </xf>
    <xf numFmtId="0" fontId="70" fillId="0" borderId="0" xfId="2" applyFont="1" applyBorder="1" applyAlignment="1" applyProtection="1">
      <alignment horizontal="left" vertical="center"/>
      <protection hidden="1"/>
    </xf>
    <xf numFmtId="0" fontId="70" fillId="0" borderId="28" xfId="2" applyFont="1" applyBorder="1" applyAlignment="1" applyProtection="1">
      <alignment horizontal="left" vertical="center"/>
      <protection hidden="1"/>
    </xf>
    <xf numFmtId="0" fontId="70" fillId="0" borderId="2" xfId="2" applyFont="1" applyBorder="1" applyAlignment="1" applyProtection="1">
      <alignment horizontal="left" vertical="center"/>
      <protection hidden="1"/>
    </xf>
    <xf numFmtId="0" fontId="63" fillId="0" borderId="2" xfId="2" applyFont="1" applyBorder="1" applyAlignment="1" applyProtection="1">
      <alignment horizontal="left" vertical="center" wrapText="1"/>
      <protection hidden="1"/>
    </xf>
    <xf numFmtId="0" fontId="50" fillId="0" borderId="2" xfId="7" applyBorder="1" applyProtection="1">
      <protection hidden="1"/>
    </xf>
    <xf numFmtId="0" fontId="50" fillId="0" borderId="11" xfId="7" applyBorder="1" applyProtection="1">
      <protection hidden="1"/>
    </xf>
    <xf numFmtId="0" fontId="67" fillId="0" borderId="54" xfId="7" applyFont="1" applyBorder="1" applyProtection="1">
      <protection hidden="1"/>
    </xf>
    <xf numFmtId="0" fontId="50" fillId="0" borderId="53" xfId="7" applyBorder="1" applyProtection="1">
      <protection hidden="1"/>
    </xf>
    <xf numFmtId="0" fontId="63" fillId="0" borderId="53" xfId="2" applyFont="1" applyBorder="1" applyAlignment="1" applyProtection="1">
      <alignment horizontal="left" vertical="center" wrapText="1"/>
      <protection hidden="1"/>
    </xf>
    <xf numFmtId="0" fontId="50" fillId="0" borderId="69" xfId="7" applyBorder="1" applyProtection="1">
      <protection hidden="1"/>
    </xf>
    <xf numFmtId="0" fontId="67" fillId="0" borderId="0" xfId="2" applyFont="1" applyBorder="1" applyProtection="1">
      <alignment vertical="center"/>
      <protection hidden="1"/>
    </xf>
    <xf numFmtId="0" fontId="63" fillId="0" borderId="0" xfId="2" applyFont="1" applyBorder="1" applyAlignment="1" applyProtection="1">
      <alignment horizontal="left" vertical="center" wrapText="1"/>
      <protection hidden="1"/>
    </xf>
    <xf numFmtId="0" fontId="71" fillId="0" borderId="0" xfId="0" applyFont="1" applyBorder="1" applyAlignment="1" applyProtection="1">
      <alignment horizontal="center" vertical="center"/>
      <protection hidden="1"/>
    </xf>
    <xf numFmtId="0" fontId="50" fillId="0" borderId="28" xfId="7" applyBorder="1" applyProtection="1">
      <protection hidden="1"/>
    </xf>
    <xf numFmtId="0" fontId="71" fillId="0" borderId="2" xfId="0" applyFont="1" applyBorder="1" applyAlignment="1" applyProtection="1">
      <alignment horizontal="center" vertical="center"/>
      <protection hidden="1"/>
    </xf>
    <xf numFmtId="0" fontId="72" fillId="0" borderId="0" xfId="2" applyFont="1" applyBorder="1" applyAlignment="1" applyProtection="1">
      <alignment horizontal="right" vertical="center"/>
      <protection hidden="1"/>
    </xf>
    <xf numFmtId="0" fontId="67" fillId="0" borderId="0" xfId="7" applyFont="1" applyBorder="1" applyAlignment="1" applyProtection="1">
      <alignment horizontal="right" vertical="top"/>
      <protection hidden="1"/>
    </xf>
    <xf numFmtId="0" fontId="73" fillId="0" borderId="0" xfId="7" applyFont="1" applyBorder="1" applyAlignment="1" applyProtection="1">
      <alignment horizontal="right"/>
      <protection hidden="1"/>
    </xf>
    <xf numFmtId="0" fontId="63" fillId="0" borderId="0" xfId="2" applyFont="1" applyAlignment="1" applyProtection="1">
      <alignment horizontal="left" vertical="center" wrapText="1"/>
      <protection hidden="1"/>
    </xf>
    <xf numFmtId="0" fontId="47" fillId="0" borderId="0" xfId="5" applyFont="1" applyFill="1" applyProtection="1">
      <alignment vertical="center"/>
      <protection hidden="1"/>
    </xf>
    <xf numFmtId="0" fontId="7" fillId="0" borderId="0" xfId="5" applyFont="1" applyFill="1" applyProtection="1">
      <alignment vertical="center"/>
      <protection hidden="1"/>
    </xf>
    <xf numFmtId="0" fontId="7" fillId="0" borderId="0" xfId="5" applyFont="1" applyProtection="1">
      <alignment vertical="center"/>
      <protection hidden="1"/>
    </xf>
    <xf numFmtId="0" fontId="8" fillId="0" borderId="10" xfId="5" applyFont="1" applyBorder="1" applyProtection="1">
      <alignment vertical="center"/>
      <protection hidden="1"/>
    </xf>
    <xf numFmtId="0" fontId="8" fillId="0" borderId="8" xfId="5" applyFont="1" applyBorder="1" applyAlignment="1" applyProtection="1">
      <alignment horizontal="left" vertical="center"/>
      <protection hidden="1"/>
    </xf>
    <xf numFmtId="0" fontId="40" fillId="0" borderId="0" xfId="5" applyFont="1" applyFill="1" applyAlignment="1" applyProtection="1">
      <alignment horizontal="right" vertical="center"/>
      <protection hidden="1"/>
    </xf>
    <xf numFmtId="0" fontId="7" fillId="0" borderId="0" xfId="5" applyFont="1" applyFill="1" applyAlignment="1" applyProtection="1">
      <alignment vertical="center"/>
      <protection hidden="1"/>
    </xf>
    <xf numFmtId="0" fontId="7" fillId="0" borderId="0" xfId="5" applyFont="1" applyFill="1" applyAlignment="1" applyProtection="1">
      <alignment horizontal="center" vertical="center"/>
      <protection hidden="1"/>
    </xf>
    <xf numFmtId="0" fontId="7" fillId="0" borderId="0" xfId="5" applyFont="1" applyFill="1" applyBorder="1" applyAlignment="1" applyProtection="1">
      <alignment vertical="center"/>
      <protection hidden="1"/>
    </xf>
    <xf numFmtId="0" fontId="8" fillId="0" borderId="0" xfId="3" applyFont="1" applyFill="1" applyAlignment="1" applyProtection="1">
      <protection hidden="1"/>
    </xf>
    <xf numFmtId="0" fontId="8" fillId="0" borderId="0" xfId="3" applyFont="1" applyFill="1" applyBorder="1" applyAlignment="1" applyProtection="1">
      <protection hidden="1"/>
    </xf>
    <xf numFmtId="0" fontId="32" fillId="0" borderId="0" xfId="3" applyFont="1" applyFill="1" applyBorder="1" applyAlignment="1" applyProtection="1">
      <alignment vertical="center"/>
      <protection hidden="1"/>
    </xf>
    <xf numFmtId="0" fontId="36" fillId="0" borderId="0" xfId="3" applyFont="1" applyFill="1" applyBorder="1" applyAlignment="1" applyProtection="1">
      <alignment vertical="center"/>
      <protection hidden="1"/>
    </xf>
    <xf numFmtId="0" fontId="7" fillId="0" borderId="0" xfId="3" applyFont="1" applyFill="1" applyBorder="1" applyAlignment="1" applyProtection="1">
      <alignment vertical="center"/>
      <protection hidden="1"/>
    </xf>
    <xf numFmtId="0" fontId="7" fillId="0" borderId="0" xfId="3" applyFont="1" applyFill="1" applyAlignment="1" applyProtection="1">
      <protection hidden="1"/>
    </xf>
    <xf numFmtId="0" fontId="7" fillId="0" borderId="0" xfId="3" applyFont="1" applyFill="1" applyAlignment="1" applyProtection="1">
      <alignment horizontal="right"/>
      <protection hidden="1"/>
    </xf>
    <xf numFmtId="0" fontId="7" fillId="0" borderId="0" xfId="3" applyFont="1" applyFill="1" applyAlignment="1" applyProtection="1">
      <alignment shrinkToFit="1"/>
      <protection hidden="1"/>
    </xf>
    <xf numFmtId="0" fontId="7" fillId="0" borderId="0" xfId="3" applyFont="1" applyFill="1" applyAlignment="1" applyProtection="1">
      <alignment horizontal="left"/>
      <protection hidden="1"/>
    </xf>
    <xf numFmtId="0" fontId="7" fillId="0" borderId="0" xfId="3" applyFont="1" applyFill="1" applyAlignment="1" applyProtection="1">
      <alignment horizontal="center"/>
      <protection hidden="1"/>
    </xf>
    <xf numFmtId="0" fontId="37" fillId="0" borderId="0" xfId="3" applyFont="1" applyFill="1" applyBorder="1" applyAlignment="1" applyProtection="1">
      <alignment vertical="center"/>
      <protection hidden="1"/>
    </xf>
    <xf numFmtId="0" fontId="32" fillId="0" borderId="0" xfId="3" applyFont="1" applyFill="1" applyBorder="1" applyAlignment="1" applyProtection="1">
      <alignment vertical="center" shrinkToFit="1"/>
      <protection hidden="1"/>
    </xf>
    <xf numFmtId="0" fontId="7" fillId="0" borderId="0" xfId="5" applyFont="1" applyFill="1" applyBorder="1" applyProtection="1">
      <alignment vertical="center"/>
      <protection hidden="1"/>
    </xf>
    <xf numFmtId="0" fontId="7" fillId="0" borderId="0" xfId="5" applyFont="1" applyFill="1" applyAlignment="1" applyProtection="1">
      <alignment horizontal="right" vertical="center"/>
      <protection hidden="1"/>
    </xf>
    <xf numFmtId="0" fontId="7" fillId="0" borderId="0" xfId="5" applyFont="1" applyFill="1" applyAlignment="1" applyProtection="1">
      <alignment horizontal="left" vertical="center"/>
      <protection hidden="1"/>
    </xf>
    <xf numFmtId="0" fontId="35" fillId="0" borderId="4" xfId="0" applyFont="1" applyFill="1" applyBorder="1" applyAlignment="1" applyProtection="1">
      <alignment horizontal="center" vertical="center"/>
      <protection hidden="1"/>
    </xf>
    <xf numFmtId="0" fontId="7" fillId="0" borderId="0" xfId="5" applyFont="1" applyFill="1" applyBorder="1" applyAlignment="1" applyProtection="1">
      <alignment horizontal="center" vertical="center"/>
      <protection hidden="1"/>
    </xf>
    <xf numFmtId="0" fontId="33" fillId="0" borderId="0" xfId="0" applyFont="1" applyFill="1" applyBorder="1" applyProtection="1">
      <alignment vertical="center"/>
      <protection hidden="1"/>
    </xf>
    <xf numFmtId="0" fontId="36" fillId="0" borderId="0" xfId="3" applyFont="1" applyFill="1" applyAlignment="1" applyProtection="1">
      <alignment vertical="top" wrapText="1"/>
      <protection hidden="1"/>
    </xf>
    <xf numFmtId="0" fontId="8" fillId="0" borderId="0" xfId="3" applyFont="1" applyFill="1" applyBorder="1" applyAlignment="1" applyProtection="1">
      <alignment vertical="center" shrinkToFit="1"/>
      <protection hidden="1"/>
    </xf>
    <xf numFmtId="0" fontId="7" fillId="0" borderId="80" xfId="5" applyFont="1" applyFill="1" applyBorder="1" applyProtection="1">
      <alignment vertical="center"/>
      <protection hidden="1"/>
    </xf>
    <xf numFmtId="0" fontId="8" fillId="0" borderId="0" xfId="5" applyFont="1" applyFill="1" applyProtection="1">
      <alignment vertical="center"/>
      <protection hidden="1"/>
    </xf>
    <xf numFmtId="0" fontId="8" fillId="0" borderId="0" xfId="3" applyFont="1" applyFill="1" applyProtection="1">
      <protection hidden="1"/>
    </xf>
    <xf numFmtId="0" fontId="8" fillId="0" borderId="0" xfId="5" applyFont="1" applyFill="1" applyBorder="1" applyAlignment="1" applyProtection="1">
      <alignment vertical="center"/>
      <protection hidden="1"/>
    </xf>
    <xf numFmtId="0" fontId="33" fillId="0" borderId="37" xfId="0" applyFont="1" applyFill="1" applyBorder="1" applyAlignment="1" applyProtection="1">
      <alignment horizontal="left" vertical="center"/>
      <protection hidden="1"/>
    </xf>
    <xf numFmtId="0" fontId="33" fillId="0" borderId="38" xfId="0" applyFont="1" applyFill="1" applyBorder="1" applyAlignment="1" applyProtection="1">
      <alignment horizontal="left" vertical="center"/>
      <protection hidden="1"/>
    </xf>
    <xf numFmtId="0" fontId="8" fillId="0" borderId="45" xfId="5" applyFont="1" applyFill="1" applyBorder="1" applyProtection="1">
      <alignment vertical="center"/>
      <protection hidden="1"/>
    </xf>
    <xf numFmtId="0" fontId="33" fillId="0" borderId="44" xfId="0" applyFont="1" applyFill="1" applyBorder="1" applyProtection="1">
      <alignment vertical="center"/>
      <protection hidden="1"/>
    </xf>
    <xf numFmtId="0" fontId="33" fillId="0" borderId="38" xfId="0" applyFont="1" applyFill="1" applyBorder="1" applyProtection="1">
      <alignment vertical="center"/>
      <protection hidden="1"/>
    </xf>
    <xf numFmtId="0" fontId="8" fillId="0" borderId="38" xfId="5" applyFont="1" applyFill="1" applyBorder="1" applyProtection="1">
      <alignment vertical="center"/>
      <protection hidden="1"/>
    </xf>
    <xf numFmtId="0" fontId="35" fillId="0" borderId="68" xfId="0" applyFont="1" applyFill="1" applyBorder="1" applyAlignment="1" applyProtection="1">
      <alignment horizontal="center" vertical="center"/>
      <protection hidden="1"/>
    </xf>
    <xf numFmtId="0" fontId="33" fillId="0" borderId="50" xfId="0" applyFont="1" applyFill="1" applyBorder="1" applyProtection="1">
      <alignment vertical="center"/>
      <protection hidden="1"/>
    </xf>
    <xf numFmtId="0" fontId="32" fillId="0" borderId="0" xfId="3" applyFont="1" applyFill="1" applyBorder="1" applyAlignment="1" applyProtection="1">
      <alignment horizontal="center" vertical="center" wrapText="1" shrinkToFit="1"/>
      <protection hidden="1"/>
    </xf>
    <xf numFmtId="0" fontId="33" fillId="0" borderId="23" xfId="0" applyFont="1" applyFill="1" applyBorder="1" applyAlignment="1" applyProtection="1">
      <alignment horizontal="left" vertical="center"/>
      <protection hidden="1"/>
    </xf>
    <xf numFmtId="0" fontId="33" fillId="0" borderId="0" xfId="0" applyFont="1" applyFill="1" applyBorder="1" applyAlignment="1" applyProtection="1">
      <alignment horizontal="left" vertical="center"/>
      <protection hidden="1"/>
    </xf>
    <xf numFmtId="0" fontId="8" fillId="0" borderId="10" xfId="5" applyFont="1" applyFill="1" applyBorder="1" applyProtection="1">
      <alignment vertical="center"/>
      <protection hidden="1"/>
    </xf>
    <xf numFmtId="0" fontId="33" fillId="0" borderId="5" xfId="0" applyFont="1" applyFill="1" applyBorder="1" applyProtection="1">
      <alignment vertical="center"/>
      <protection hidden="1"/>
    </xf>
    <xf numFmtId="0" fontId="35" fillId="0" borderId="33" xfId="0" applyFont="1" applyFill="1" applyBorder="1" applyAlignment="1" applyProtection="1">
      <alignment horizontal="center" vertical="center"/>
      <protection hidden="1"/>
    </xf>
    <xf numFmtId="0" fontId="33" fillId="0" borderId="22" xfId="0" applyFont="1" applyFill="1" applyBorder="1" applyProtection="1">
      <alignment vertical="center"/>
      <protection hidden="1"/>
    </xf>
    <xf numFmtId="0" fontId="8" fillId="0" borderId="0" xfId="3" applyFont="1" applyFill="1" applyBorder="1" applyProtection="1">
      <protection hidden="1"/>
    </xf>
    <xf numFmtId="0" fontId="8" fillId="0" borderId="0" xfId="5" applyFont="1" applyFill="1" applyAlignment="1" applyProtection="1">
      <alignment horizontal="left" vertical="center"/>
      <protection hidden="1"/>
    </xf>
    <xf numFmtId="0" fontId="33" fillId="0" borderId="5" xfId="0" applyFont="1" applyFill="1" applyBorder="1" applyAlignment="1" applyProtection="1">
      <alignment vertical="center" shrinkToFit="1"/>
      <protection hidden="1"/>
    </xf>
    <xf numFmtId="0" fontId="33" fillId="0" borderId="28" xfId="0" applyFont="1" applyFill="1" applyBorder="1" applyProtection="1">
      <alignment vertical="center"/>
      <protection hidden="1"/>
    </xf>
    <xf numFmtId="0" fontId="33" fillId="0" borderId="2" xfId="0" applyFont="1" applyFill="1" applyBorder="1" applyProtection="1">
      <alignment vertical="center"/>
      <protection hidden="1"/>
    </xf>
    <xf numFmtId="0" fontId="8" fillId="0" borderId="11" xfId="5" applyFont="1" applyFill="1" applyBorder="1" applyProtection="1">
      <alignment vertical="center"/>
      <protection hidden="1"/>
    </xf>
    <xf numFmtId="0" fontId="33" fillId="0" borderId="1" xfId="0" applyFont="1" applyFill="1" applyBorder="1" applyProtection="1">
      <alignment vertical="center"/>
      <protection hidden="1"/>
    </xf>
    <xf numFmtId="0" fontId="8" fillId="0" borderId="1" xfId="5" applyFont="1" applyFill="1" applyBorder="1" applyProtection="1">
      <alignment vertical="center"/>
      <protection hidden="1"/>
    </xf>
    <xf numFmtId="0" fontId="8" fillId="0" borderId="0" xfId="5" applyFont="1" applyFill="1" applyBorder="1" applyProtection="1">
      <alignment vertical="center"/>
      <protection hidden="1"/>
    </xf>
    <xf numFmtId="0" fontId="0" fillId="0" borderId="0" xfId="0" applyBorder="1" applyAlignment="1" applyProtection="1">
      <alignment vertical="top"/>
      <protection hidden="1"/>
    </xf>
    <xf numFmtId="0" fontId="33" fillId="0" borderId="0" xfId="0" applyFont="1" applyFill="1" applyBorder="1" applyAlignment="1" applyProtection="1">
      <alignment vertical="center"/>
      <protection hidden="1"/>
    </xf>
    <xf numFmtId="0" fontId="30" fillId="0" borderId="0" xfId="3" applyFont="1" applyFill="1" applyProtection="1">
      <protection hidden="1"/>
    </xf>
    <xf numFmtId="0" fontId="30" fillId="0" borderId="0" xfId="5" applyFont="1" applyFill="1" applyProtection="1">
      <alignment vertical="center"/>
      <protection hidden="1"/>
    </xf>
    <xf numFmtId="0" fontId="32" fillId="0" borderId="0" xfId="3" applyFont="1" applyFill="1" applyBorder="1" applyAlignment="1" applyProtection="1">
      <alignment horizontal="center" vertical="center"/>
      <protection hidden="1"/>
    </xf>
    <xf numFmtId="0" fontId="7" fillId="0" borderId="0" xfId="3" applyFont="1" applyFill="1" applyProtection="1">
      <protection hidden="1"/>
    </xf>
    <xf numFmtId="0" fontId="36" fillId="0" borderId="0" xfId="3" applyFont="1" applyFill="1" applyBorder="1" applyAlignment="1" applyProtection="1">
      <alignment horizontal="left" vertical="center"/>
      <protection hidden="1"/>
    </xf>
    <xf numFmtId="0" fontId="7" fillId="0" borderId="0" xfId="3" applyFont="1" applyFill="1" applyBorder="1" applyAlignment="1" applyProtection="1">
      <alignment horizontal="left" vertical="center"/>
      <protection hidden="1"/>
    </xf>
    <xf numFmtId="0" fontId="30" fillId="0" borderId="0" xfId="5" applyFont="1" applyFill="1" applyAlignment="1" applyProtection="1">
      <alignment horizontal="right" vertical="center"/>
      <protection hidden="1"/>
    </xf>
    <xf numFmtId="0" fontId="7" fillId="0" borderId="0" xfId="3" applyFont="1" applyFill="1" applyBorder="1" applyAlignment="1" applyProtection="1">
      <protection hidden="1"/>
    </xf>
    <xf numFmtId="0" fontId="29" fillId="0" borderId="91" xfId="0" applyFont="1" applyFill="1" applyBorder="1" applyAlignment="1" applyProtection="1">
      <alignment vertical="center" shrinkToFit="1"/>
      <protection hidden="1"/>
    </xf>
    <xf numFmtId="0" fontId="29" fillId="0" borderId="0" xfId="0" applyFont="1" applyFill="1" applyBorder="1" applyAlignment="1" applyProtection="1">
      <alignment horizontal="left" vertical="center"/>
      <protection hidden="1"/>
    </xf>
    <xf numFmtId="0" fontId="29" fillId="0" borderId="10" xfId="0" applyFont="1" applyFill="1" applyBorder="1" applyAlignment="1" applyProtection="1">
      <alignment vertical="center" shrinkToFit="1"/>
      <protection hidden="1"/>
    </xf>
    <xf numFmtId="0" fontId="29" fillId="0" borderId="11" xfId="0" applyFont="1" applyFill="1" applyBorder="1" applyAlignment="1" applyProtection="1">
      <alignment vertical="center" shrinkToFit="1"/>
      <protection hidden="1"/>
    </xf>
    <xf numFmtId="0" fontId="29" fillId="0" borderId="1" xfId="0" applyFont="1" applyFill="1" applyBorder="1" applyAlignment="1" applyProtection="1">
      <alignment horizontal="left" vertical="center"/>
      <protection hidden="1"/>
    </xf>
    <xf numFmtId="0" fontId="29" fillId="0" borderId="6" xfId="0" applyFont="1" applyFill="1" applyBorder="1" applyAlignment="1" applyProtection="1">
      <alignment vertical="center" shrinkToFit="1"/>
      <protection hidden="1"/>
    </xf>
    <xf numFmtId="0" fontId="29" fillId="0" borderId="2" xfId="0" applyFont="1" applyFill="1" applyBorder="1" applyAlignment="1" applyProtection="1">
      <alignment horizontal="left" vertical="center"/>
      <protection hidden="1"/>
    </xf>
    <xf numFmtId="0" fontId="29" fillId="0" borderId="3" xfId="0" applyFont="1" applyFill="1" applyBorder="1" applyAlignment="1" applyProtection="1">
      <alignment horizontal="left" vertical="center"/>
      <protection hidden="1"/>
    </xf>
    <xf numFmtId="0" fontId="29" fillId="0" borderId="5" xfId="0" applyFont="1" applyFill="1" applyBorder="1" applyAlignment="1" applyProtection="1">
      <alignment horizontal="left" vertical="center"/>
      <protection hidden="1"/>
    </xf>
    <xf numFmtId="0" fontId="0" fillId="0" borderId="0" xfId="0" applyAlignment="1" applyProtection="1">
      <alignment horizontal="right" vertical="center"/>
      <protection hidden="1"/>
    </xf>
    <xf numFmtId="0" fontId="32" fillId="0" borderId="0" xfId="3" applyFont="1" applyFill="1" applyBorder="1" applyAlignment="1" applyProtection="1">
      <alignment horizontal="left" vertical="center"/>
      <protection hidden="1"/>
    </xf>
    <xf numFmtId="0" fontId="29" fillId="0" borderId="28" xfId="0" applyFont="1" applyFill="1" applyBorder="1" applyAlignment="1" applyProtection="1">
      <alignment horizontal="left" vertical="center"/>
      <protection hidden="1"/>
    </xf>
    <xf numFmtId="0" fontId="7" fillId="0" borderId="0" xfId="5" applyNumberFormat="1" applyFont="1" applyFill="1" applyBorder="1" applyAlignment="1" applyProtection="1">
      <alignment vertical="center"/>
      <protection hidden="1"/>
    </xf>
    <xf numFmtId="0" fontId="33" fillId="0" borderId="0" xfId="0" applyFont="1" applyFill="1" applyBorder="1" applyAlignment="1" applyProtection="1">
      <alignment vertical="center" shrinkToFit="1"/>
      <protection hidden="1"/>
    </xf>
    <xf numFmtId="0" fontId="33" fillId="0" borderId="10" xfId="0" applyFont="1" applyFill="1" applyBorder="1" applyAlignment="1" applyProtection="1">
      <alignment vertical="center" shrinkToFit="1"/>
      <protection hidden="1"/>
    </xf>
    <xf numFmtId="0" fontId="33" fillId="0" borderId="28" xfId="0" applyFont="1" applyFill="1" applyBorder="1" applyAlignment="1" applyProtection="1">
      <alignment vertical="center" shrinkToFit="1"/>
      <protection hidden="1"/>
    </xf>
    <xf numFmtId="0" fontId="33" fillId="0" borderId="2" xfId="0" applyFont="1" applyFill="1" applyBorder="1" applyAlignment="1" applyProtection="1">
      <alignment vertical="center" shrinkToFit="1"/>
      <protection hidden="1"/>
    </xf>
    <xf numFmtId="0" fontId="33" fillId="0" borderId="11" xfId="0" applyFont="1" applyFill="1" applyBorder="1" applyAlignment="1" applyProtection="1">
      <alignment vertical="center" shrinkToFit="1"/>
      <protection hidden="1"/>
    </xf>
    <xf numFmtId="0" fontId="33" fillId="0" borderId="42" xfId="0" applyFont="1" applyFill="1" applyBorder="1" applyProtection="1">
      <alignment vertical="center"/>
      <protection hidden="1"/>
    </xf>
    <xf numFmtId="0" fontId="33" fillId="0" borderId="20" xfId="0" applyFont="1" applyFill="1" applyBorder="1" applyProtection="1">
      <alignment vertical="center"/>
      <protection hidden="1"/>
    </xf>
    <xf numFmtId="0" fontId="33" fillId="0" borderId="42" xfId="0" applyFont="1" applyFill="1" applyBorder="1" applyAlignment="1" applyProtection="1">
      <alignment vertical="center" shrinkToFit="1"/>
      <protection hidden="1"/>
    </xf>
    <xf numFmtId="0" fontId="33" fillId="0" borderId="20" xfId="0" applyFont="1" applyFill="1" applyBorder="1" applyAlignment="1" applyProtection="1">
      <alignment vertical="center" shrinkToFit="1"/>
      <protection hidden="1"/>
    </xf>
    <xf numFmtId="0" fontId="33" fillId="0" borderId="43" xfId="0" applyFont="1" applyFill="1" applyBorder="1" applyAlignment="1" applyProtection="1">
      <alignment vertical="center" shrinkToFit="1"/>
      <protection hidden="1"/>
    </xf>
    <xf numFmtId="0" fontId="35" fillId="0" borderId="43" xfId="0" applyFont="1" applyFill="1" applyBorder="1" applyAlignment="1" applyProtection="1">
      <alignment horizontal="center" vertical="center"/>
      <protection hidden="1"/>
    </xf>
    <xf numFmtId="0" fontId="33" fillId="0" borderId="20" xfId="0" applyFont="1" applyFill="1" applyBorder="1" applyAlignment="1" applyProtection="1">
      <alignment horizontal="left" vertical="center"/>
      <protection hidden="1"/>
    </xf>
    <xf numFmtId="0" fontId="33" fillId="0" borderId="20" xfId="0" applyFont="1" applyFill="1" applyBorder="1" applyAlignment="1" applyProtection="1">
      <alignment horizontal="right" vertical="center"/>
      <protection hidden="1"/>
    </xf>
    <xf numFmtId="0" fontId="35" fillId="0" borderId="95" xfId="0" applyFont="1" applyFill="1" applyBorder="1" applyAlignment="1" applyProtection="1">
      <alignment horizontal="center" vertical="center"/>
      <protection hidden="1"/>
    </xf>
    <xf numFmtId="0" fontId="33" fillId="0" borderId="43" xfId="0" applyFont="1" applyFill="1" applyBorder="1" applyProtection="1">
      <alignment vertical="center"/>
      <protection hidden="1"/>
    </xf>
    <xf numFmtId="0" fontId="33" fillId="0" borderId="44" xfId="0" applyFont="1" applyFill="1" applyBorder="1" applyAlignment="1" applyProtection="1">
      <alignment horizontal="left" vertical="center"/>
      <protection hidden="1"/>
    </xf>
    <xf numFmtId="0" fontId="33" fillId="0" borderId="44" xfId="0" applyFont="1" applyFill="1" applyBorder="1" applyAlignment="1" applyProtection="1">
      <alignment vertical="center" shrinkToFit="1"/>
      <protection hidden="1"/>
    </xf>
    <xf numFmtId="0" fontId="33" fillId="0" borderId="38" xfId="0" applyFont="1" applyFill="1" applyBorder="1" applyAlignment="1" applyProtection="1">
      <alignment vertical="center" shrinkToFit="1"/>
      <protection hidden="1"/>
    </xf>
    <xf numFmtId="0" fontId="33" fillId="0" borderId="45" xfId="0" applyFont="1" applyFill="1" applyBorder="1" applyAlignment="1" applyProtection="1">
      <alignment vertical="center" shrinkToFit="1"/>
      <protection hidden="1"/>
    </xf>
    <xf numFmtId="0" fontId="35" fillId="0" borderId="46" xfId="0" applyFont="1" applyFill="1" applyBorder="1" applyAlignment="1" applyProtection="1">
      <alignment horizontal="center" vertical="center"/>
      <protection hidden="1"/>
    </xf>
    <xf numFmtId="0" fontId="33" fillId="0" borderId="45" xfId="0" applyFont="1" applyFill="1" applyBorder="1" applyProtection="1">
      <alignment vertical="center"/>
      <protection hidden="1"/>
    </xf>
    <xf numFmtId="0" fontId="33" fillId="0" borderId="5" xfId="0" applyFont="1" applyFill="1" applyBorder="1" applyAlignment="1" applyProtection="1">
      <alignment horizontal="left" vertical="center"/>
      <protection hidden="1"/>
    </xf>
    <xf numFmtId="0" fontId="35" fillId="0" borderId="9" xfId="0" applyFont="1" applyFill="1" applyBorder="1" applyAlignment="1" applyProtection="1">
      <alignment horizontal="center" vertical="center"/>
      <protection hidden="1"/>
    </xf>
    <xf numFmtId="0" fontId="33" fillId="0" borderId="11" xfId="0" applyFont="1" applyFill="1" applyBorder="1" applyProtection="1">
      <alignment vertical="center"/>
      <protection hidden="1"/>
    </xf>
    <xf numFmtId="0" fontId="33" fillId="0" borderId="25" xfId="0" applyFont="1" applyFill="1" applyBorder="1" applyProtection="1">
      <alignment vertical="center"/>
      <protection hidden="1"/>
    </xf>
    <xf numFmtId="0" fontId="33" fillId="0" borderId="24" xfId="0" applyFont="1" applyFill="1" applyBorder="1" applyProtection="1">
      <alignment vertical="center"/>
      <protection hidden="1"/>
    </xf>
    <xf numFmtId="0" fontId="35" fillId="0" borderId="11" xfId="0" applyFont="1" applyFill="1" applyBorder="1" applyAlignment="1" applyProtection="1">
      <alignment horizontal="center" vertical="center"/>
      <protection hidden="1"/>
    </xf>
    <xf numFmtId="0" fontId="35" fillId="0" borderId="89" xfId="0" applyFont="1" applyFill="1" applyBorder="1" applyAlignment="1" applyProtection="1">
      <alignment horizontal="center" vertical="center"/>
      <protection hidden="1"/>
    </xf>
    <xf numFmtId="0" fontId="33" fillId="0" borderId="10" xfId="0" applyFont="1" applyFill="1" applyBorder="1" applyProtection="1">
      <alignment vertical="center"/>
      <protection hidden="1"/>
    </xf>
    <xf numFmtId="0" fontId="33" fillId="0" borderId="5" xfId="0" applyFont="1" applyFill="1" applyBorder="1" applyAlignment="1" applyProtection="1">
      <alignment vertical="center"/>
      <protection hidden="1"/>
    </xf>
    <xf numFmtId="0" fontId="7" fillId="0" borderId="0" xfId="5" applyNumberFormat="1" applyFont="1" applyFill="1" applyProtection="1">
      <alignment vertical="center"/>
      <protection hidden="1"/>
    </xf>
    <xf numFmtId="0" fontId="8" fillId="0" borderId="8" xfId="5" applyNumberFormat="1" applyFont="1" applyBorder="1" applyAlignment="1" applyProtection="1">
      <alignment horizontal="right" vertical="center"/>
      <protection hidden="1"/>
    </xf>
    <xf numFmtId="0" fontId="7" fillId="0" borderId="0" xfId="5" applyNumberFormat="1" applyFont="1" applyFill="1" applyAlignment="1" applyProtection="1">
      <alignment vertical="center"/>
      <protection hidden="1"/>
    </xf>
    <xf numFmtId="0" fontId="8" fillId="0" borderId="0" xfId="3" applyFont="1" applyBorder="1" applyAlignment="1" applyProtection="1">
      <alignment horizontal="left" vertical="center"/>
      <protection hidden="1"/>
    </xf>
    <xf numFmtId="0" fontId="32" fillId="0" borderId="4" xfId="3" applyNumberFormat="1" applyFont="1" applyFill="1" applyBorder="1" applyAlignment="1" applyProtection="1">
      <alignment horizontal="center" vertical="center"/>
      <protection hidden="1"/>
    </xf>
    <xf numFmtId="0" fontId="32" fillId="0" borderId="0" xfId="3" applyFont="1" applyFill="1" applyBorder="1" applyAlignment="1" applyProtection="1">
      <alignment horizontal="left" vertical="center" shrinkToFit="1"/>
      <protection hidden="1"/>
    </xf>
    <xf numFmtId="0" fontId="36" fillId="0" borderId="0" xfId="3" applyFont="1" applyAlignment="1" applyProtection="1">
      <alignment vertical="top" wrapText="1"/>
      <protection hidden="1"/>
    </xf>
    <xf numFmtId="0" fontId="32" fillId="0" borderId="0" xfId="3" applyNumberFormat="1" applyFont="1" applyFill="1" applyBorder="1" applyAlignment="1" applyProtection="1">
      <alignment horizontal="left" vertical="center" shrinkToFit="1"/>
      <protection hidden="1"/>
    </xf>
    <xf numFmtId="0" fontId="7" fillId="0" borderId="0" xfId="5" applyNumberFormat="1" applyFont="1" applyFill="1" applyBorder="1" applyAlignment="1" applyProtection="1">
      <alignment horizontal="center" vertical="center"/>
      <protection hidden="1"/>
    </xf>
    <xf numFmtId="0" fontId="8" fillId="0" borderId="0" xfId="3" applyNumberFormat="1" applyFont="1" applyFill="1" applyBorder="1" applyProtection="1">
      <protection hidden="1"/>
    </xf>
    <xf numFmtId="0" fontId="7" fillId="0" borderId="0" xfId="5" applyNumberFormat="1" applyFont="1" applyFill="1" applyAlignment="1" applyProtection="1">
      <alignment horizontal="right" vertical="center"/>
      <protection hidden="1"/>
    </xf>
    <xf numFmtId="0" fontId="8" fillId="0" borderId="0" xfId="3" applyNumberFormat="1" applyFont="1" applyFill="1" applyBorder="1" applyAlignment="1" applyProtection="1">
      <alignment vertical="center" shrinkToFit="1"/>
      <protection hidden="1"/>
    </xf>
    <xf numFmtId="0" fontId="7" fillId="2" borderId="0" xfId="5" applyFont="1" applyFill="1" applyProtection="1">
      <alignment vertical="center"/>
      <protection hidden="1"/>
    </xf>
    <xf numFmtId="0" fontId="8" fillId="0" borderId="0" xfId="5" applyFont="1" applyProtection="1">
      <alignment vertical="center"/>
      <protection hidden="1"/>
    </xf>
    <xf numFmtId="0" fontId="7" fillId="0" borderId="0" xfId="0" applyFont="1" applyBorder="1" applyAlignment="1" applyProtection="1">
      <alignment vertical="center" shrinkToFit="1"/>
      <protection hidden="1"/>
    </xf>
    <xf numFmtId="0" fontId="7" fillId="0" borderId="10" xfId="0" applyFont="1" applyBorder="1" applyAlignment="1" applyProtection="1">
      <alignment vertical="center" shrinkToFit="1"/>
      <protection hidden="1"/>
    </xf>
    <xf numFmtId="0" fontId="7" fillId="0" borderId="1" xfId="0" applyFont="1" applyBorder="1" applyAlignment="1" applyProtection="1">
      <alignment vertical="top"/>
      <protection hidden="1"/>
    </xf>
    <xf numFmtId="0" fontId="7" fillId="0" borderId="0" xfId="0" applyFont="1" applyBorder="1" applyAlignment="1" applyProtection="1">
      <alignment vertical="top"/>
      <protection hidden="1"/>
    </xf>
    <xf numFmtId="0" fontId="7" fillId="0" borderId="0" xfId="0" applyFont="1" applyBorder="1" applyAlignment="1" applyProtection="1">
      <alignment vertical="center"/>
      <protection hidden="1"/>
    </xf>
    <xf numFmtId="0" fontId="7" fillId="0" borderId="80" xfId="5" applyFont="1" applyFill="1" applyBorder="1" applyAlignment="1" applyProtection="1">
      <alignment vertical="center"/>
      <protection hidden="1"/>
    </xf>
    <xf numFmtId="0" fontId="7" fillId="0" borderId="0" xfId="3" applyNumberFormat="1" applyFont="1" applyFill="1" applyProtection="1">
      <protection hidden="1"/>
    </xf>
    <xf numFmtId="0" fontId="7" fillId="0" borderId="0" xfId="0" applyFont="1" applyFill="1" applyAlignment="1" applyProtection="1">
      <alignment vertical="center"/>
      <protection hidden="1"/>
    </xf>
    <xf numFmtId="0" fontId="40" fillId="0" borderId="0" xfId="0" applyFont="1" applyFill="1" applyBorder="1" applyProtection="1">
      <alignment vertical="center"/>
      <protection hidden="1"/>
    </xf>
    <xf numFmtId="0" fontId="40" fillId="0" borderId="0" xfId="0" applyFont="1" applyProtection="1">
      <alignment vertical="center"/>
      <protection hidden="1"/>
    </xf>
    <xf numFmtId="0" fontId="7" fillId="0" borderId="0" xfId="0" applyFont="1" applyFill="1" applyAlignment="1" applyProtection="1">
      <alignment vertical="center" wrapText="1"/>
      <protection hidden="1"/>
    </xf>
    <xf numFmtId="0" fontId="40" fillId="0" borderId="0" xfId="0" applyFont="1" applyFill="1" applyAlignment="1" applyProtection="1">
      <alignment horizontal="right" vertical="center"/>
      <protection hidden="1"/>
    </xf>
    <xf numFmtId="0" fontId="7" fillId="0" borderId="4" xfId="0" applyFont="1" applyFill="1" applyBorder="1" applyAlignment="1" applyProtection="1">
      <alignment horizontal="center" vertical="center" wrapText="1"/>
      <protection hidden="1"/>
    </xf>
    <xf numFmtId="0" fontId="40" fillId="0" borderId="23" xfId="0" applyFont="1" applyFill="1" applyBorder="1" applyProtection="1">
      <alignment vertical="center"/>
      <protection hidden="1"/>
    </xf>
    <xf numFmtId="0" fontId="40" fillId="0" borderId="22" xfId="0" applyFont="1" applyFill="1" applyBorder="1" applyProtection="1">
      <alignment vertical="center"/>
      <protection hidden="1"/>
    </xf>
    <xf numFmtId="0" fontId="40" fillId="0" borderId="5" xfId="0" applyFont="1" applyBorder="1" applyAlignment="1" applyProtection="1">
      <alignment horizontal="center" vertical="center" wrapText="1"/>
      <protection hidden="1"/>
    </xf>
    <xf numFmtId="0" fontId="40" fillId="0" borderId="10" xfId="0" applyFont="1" applyBorder="1" applyAlignment="1" applyProtection="1">
      <alignment horizontal="center" vertical="center" wrapText="1"/>
      <protection hidden="1"/>
    </xf>
    <xf numFmtId="0" fontId="7" fillId="0" borderId="95" xfId="0" applyFont="1" applyBorder="1" applyAlignment="1" applyProtection="1">
      <alignment horizontal="center" vertical="center" wrapText="1"/>
      <protection hidden="1"/>
    </xf>
    <xf numFmtId="0" fontId="40" fillId="0" borderId="95" xfId="0" applyFont="1" applyBorder="1" applyAlignment="1" applyProtection="1">
      <alignment horizontal="center" vertical="center" wrapText="1"/>
      <protection hidden="1"/>
    </xf>
    <xf numFmtId="0" fontId="40" fillId="0" borderId="17" xfId="0" applyFont="1" applyBorder="1" applyAlignment="1" applyProtection="1">
      <alignment horizontal="center" vertical="center" wrapText="1"/>
      <protection hidden="1"/>
    </xf>
    <xf numFmtId="0" fontId="40" fillId="0" borderId="4" xfId="0" applyFont="1" applyBorder="1" applyAlignment="1" applyProtection="1">
      <alignment vertical="center"/>
      <protection hidden="1"/>
    </xf>
    <xf numFmtId="0" fontId="41" fillId="0" borderId="4" xfId="0" applyFont="1" applyBorder="1" applyAlignment="1" applyProtection="1">
      <alignment horizontal="center" vertical="center"/>
      <protection hidden="1"/>
    </xf>
    <xf numFmtId="181" fontId="41" fillId="0" borderId="14" xfId="0" applyNumberFormat="1" applyFont="1" applyBorder="1" applyAlignment="1" applyProtection="1">
      <alignment horizontal="center" vertical="center"/>
      <protection hidden="1"/>
    </xf>
    <xf numFmtId="0" fontId="40" fillId="0" borderId="17" xfId="0" applyFont="1" applyBorder="1" applyAlignment="1" applyProtection="1">
      <alignment vertical="center"/>
      <protection hidden="1"/>
    </xf>
    <xf numFmtId="0" fontId="41" fillId="0" borderId="17" xfId="0" applyFont="1" applyBorder="1" applyAlignment="1" applyProtection="1">
      <alignment horizontal="center" vertical="center"/>
      <protection hidden="1"/>
    </xf>
    <xf numFmtId="181" fontId="41" fillId="0" borderId="32" xfId="0" applyNumberFormat="1" applyFont="1" applyBorder="1" applyAlignment="1" applyProtection="1">
      <alignment horizontal="center" vertical="center"/>
      <protection hidden="1"/>
    </xf>
    <xf numFmtId="181" fontId="41" fillId="0" borderId="4" xfId="0" applyNumberFormat="1" applyFont="1" applyBorder="1" applyAlignment="1" applyProtection="1">
      <alignment horizontal="center" vertical="center"/>
      <protection hidden="1"/>
    </xf>
    <xf numFmtId="181" fontId="41" fillId="0" borderId="17" xfId="0" applyNumberFormat="1" applyFont="1" applyBorder="1" applyAlignment="1" applyProtection="1">
      <alignment horizontal="center" vertical="center"/>
      <protection hidden="1"/>
    </xf>
    <xf numFmtId="0" fontId="40" fillId="0" borderId="4" xfId="0" applyFont="1" applyBorder="1" applyAlignment="1" applyProtection="1">
      <alignment horizontal="left" vertical="top" wrapText="1"/>
      <protection hidden="1"/>
    </xf>
    <xf numFmtId="0" fontId="41" fillId="0" borderId="4" xfId="0" applyFont="1" applyBorder="1" applyAlignment="1" applyProtection="1">
      <alignment horizontal="center"/>
      <protection hidden="1"/>
    </xf>
    <xf numFmtId="0" fontId="40" fillId="0" borderId="0" xfId="0" applyFont="1" applyBorder="1" applyProtection="1">
      <alignment vertical="center"/>
      <protection hidden="1"/>
    </xf>
    <xf numFmtId="0" fontId="41" fillId="0" borderId="8" xfId="0" applyFont="1" applyBorder="1" applyAlignment="1" applyProtection="1">
      <alignment horizontal="center"/>
      <protection hidden="1"/>
    </xf>
    <xf numFmtId="0" fontId="40" fillId="0" borderId="23" xfId="0" quotePrefix="1" applyFont="1" applyBorder="1" applyAlignment="1" applyProtection="1">
      <alignment vertical="top"/>
      <protection hidden="1"/>
    </xf>
    <xf numFmtId="0" fontId="40" fillId="0" borderId="85" xfId="0" quotePrefix="1" applyFont="1" applyFill="1" applyBorder="1" applyAlignment="1" applyProtection="1">
      <alignment horizontal="left" vertical="top"/>
      <protection hidden="1"/>
    </xf>
    <xf numFmtId="0" fontId="40" fillId="0" borderId="1" xfId="0" quotePrefix="1" applyFont="1" applyFill="1" applyBorder="1" applyAlignment="1" applyProtection="1">
      <alignment horizontal="left" vertical="top"/>
      <protection hidden="1"/>
    </xf>
    <xf numFmtId="0" fontId="40" fillId="0" borderId="40" xfId="0" quotePrefix="1" applyFont="1" applyFill="1" applyBorder="1" applyAlignment="1" applyProtection="1">
      <alignment horizontal="left" vertical="top"/>
      <protection hidden="1"/>
    </xf>
    <xf numFmtId="0" fontId="40" fillId="0" borderId="23" xfId="0" quotePrefix="1" applyFont="1" applyFill="1" applyBorder="1" applyAlignment="1" applyProtection="1">
      <alignment horizontal="left" vertical="top"/>
      <protection hidden="1"/>
    </xf>
    <xf numFmtId="0" fontId="40" fillId="0" borderId="0" xfId="0" quotePrefix="1" applyFont="1" applyFill="1" applyBorder="1" applyAlignment="1" applyProtection="1">
      <alignment horizontal="left" vertical="top"/>
      <protection hidden="1"/>
    </xf>
    <xf numFmtId="0" fontId="41" fillId="0" borderId="4" xfId="0" quotePrefix="1" applyFont="1" applyFill="1" applyBorder="1" applyAlignment="1" applyProtection="1">
      <alignment horizontal="left" vertical="top"/>
      <protection hidden="1"/>
    </xf>
    <xf numFmtId="181" fontId="41" fillId="0" borderId="4" xfId="0" quotePrefix="1" applyNumberFormat="1" applyFont="1" applyFill="1" applyBorder="1" applyAlignment="1" applyProtection="1">
      <alignment horizontal="left" vertical="top"/>
      <protection hidden="1"/>
    </xf>
    <xf numFmtId="0" fontId="40" fillId="0" borderId="22" xfId="0" quotePrefix="1" applyFont="1" applyFill="1" applyBorder="1" applyAlignment="1" applyProtection="1">
      <alignment horizontal="left" vertical="top"/>
      <protection hidden="1"/>
    </xf>
    <xf numFmtId="0" fontId="40" fillId="0" borderId="21" xfId="0" applyFont="1" applyBorder="1" applyAlignment="1" applyProtection="1">
      <alignment vertical="center"/>
      <protection hidden="1"/>
    </xf>
    <xf numFmtId="0" fontId="40" fillId="0" borderId="14" xfId="0" applyFont="1" applyBorder="1" applyAlignment="1" applyProtection="1">
      <alignment horizontal="center" vertical="center" wrapText="1"/>
      <protection hidden="1"/>
    </xf>
    <xf numFmtId="181" fontId="40" fillId="0" borderId="14" xfId="0" applyNumberFormat="1" applyFont="1" applyBorder="1" applyAlignment="1" applyProtection="1">
      <alignment horizontal="center" vertical="center" shrinkToFit="1"/>
      <protection hidden="1"/>
    </xf>
    <xf numFmtId="0" fontId="40" fillId="0" borderId="0" xfId="0" applyFont="1" applyFill="1" applyAlignment="1" applyProtection="1">
      <alignment vertical="top" wrapText="1"/>
      <protection hidden="1"/>
    </xf>
    <xf numFmtId="0" fontId="40" fillId="0" borderId="0" xfId="0" applyFont="1" applyFill="1" applyAlignment="1" applyProtection="1">
      <alignment horizontal="right" vertical="top"/>
      <protection hidden="1"/>
    </xf>
    <xf numFmtId="0" fontId="40" fillId="0" borderId="0" xfId="0" applyFont="1" applyAlignment="1" applyProtection="1">
      <alignment vertical="center" wrapText="1"/>
      <protection hidden="1"/>
    </xf>
    <xf numFmtId="0" fontId="40" fillId="0" borderId="0" xfId="0" applyFont="1" applyAlignment="1" applyProtection="1">
      <alignment horizontal="right" vertical="top"/>
      <protection hidden="1"/>
    </xf>
    <xf numFmtId="0" fontId="40" fillId="0" borderId="0" xfId="0" applyFont="1" applyFill="1" applyProtection="1">
      <alignment vertical="center"/>
      <protection hidden="1"/>
    </xf>
    <xf numFmtId="0" fontId="133" fillId="0" borderId="0" xfId="0" applyFont="1" applyAlignment="1" applyProtection="1">
      <alignment horizontal="right" vertical="center"/>
    </xf>
    <xf numFmtId="0" fontId="134" fillId="0" borderId="0" xfId="0" applyFont="1" applyFill="1" applyAlignment="1" applyProtection="1">
      <alignment horizontal="right" vertical="center"/>
    </xf>
    <xf numFmtId="0" fontId="42" fillId="0" borderId="1" xfId="0" applyFont="1" applyBorder="1" applyAlignment="1" applyProtection="1">
      <alignment horizontal="right" vertical="center"/>
      <protection hidden="1"/>
    </xf>
    <xf numFmtId="0" fontId="7" fillId="0" borderId="0" xfId="5" applyFont="1" applyFill="1" applyAlignment="1" applyProtection="1">
      <alignment vertical="center"/>
      <protection hidden="1"/>
    </xf>
    <xf numFmtId="0" fontId="7" fillId="0" borderId="0" xfId="5" applyNumberFormat="1" applyFont="1" applyFill="1" applyAlignment="1" applyProtection="1">
      <alignment vertical="top"/>
      <protection hidden="1"/>
    </xf>
    <xf numFmtId="0" fontId="70" fillId="0" borderId="5" xfId="2" applyFont="1" applyBorder="1" applyAlignment="1" applyProtection="1">
      <alignment vertical="center" shrinkToFit="1"/>
      <protection hidden="1"/>
    </xf>
    <xf numFmtId="0" fontId="0" fillId="11" borderId="127" xfId="0" applyFill="1" applyBorder="1" applyAlignment="1" applyProtection="1">
      <alignment vertical="center" textRotation="255"/>
    </xf>
    <xf numFmtId="0" fontId="135" fillId="0" borderId="58" xfId="2" applyFont="1" applyFill="1" applyBorder="1" applyAlignment="1" applyProtection="1">
      <alignment horizontal="center" vertical="center" wrapText="1"/>
      <protection locked="0" hidden="1"/>
    </xf>
    <xf numFmtId="0" fontId="10" fillId="0" borderId="23" xfId="2" applyFill="1" applyBorder="1" applyAlignment="1" applyProtection="1">
      <alignment vertical="center"/>
      <protection hidden="1"/>
    </xf>
    <xf numFmtId="0" fontId="10" fillId="0" borderId="0" xfId="2" applyFill="1" applyAlignment="1" applyProtection="1">
      <alignment vertical="center"/>
      <protection hidden="1"/>
    </xf>
    <xf numFmtId="0" fontId="92" fillId="0" borderId="23" xfId="2" applyFont="1" applyFill="1" applyBorder="1" applyAlignment="1" applyProtection="1">
      <alignment vertical="center"/>
      <protection hidden="1"/>
    </xf>
    <xf numFmtId="0" fontId="92" fillId="0" borderId="0" xfId="2" applyFont="1" applyFill="1" applyAlignment="1" applyProtection="1">
      <alignment vertical="center"/>
      <protection hidden="1"/>
    </xf>
    <xf numFmtId="0" fontId="136" fillId="0" borderId="23" xfId="2" applyFont="1" applyFill="1" applyBorder="1" applyAlignment="1" applyProtection="1">
      <alignment vertical="center"/>
      <protection hidden="1"/>
    </xf>
    <xf numFmtId="0" fontId="110" fillId="22" borderId="8" xfId="0" applyFont="1" applyFill="1" applyBorder="1" applyProtection="1">
      <alignment vertical="center"/>
      <protection hidden="1"/>
    </xf>
    <xf numFmtId="14" fontId="13" fillId="0" borderId="4" xfId="0" applyNumberFormat="1" applyFont="1" applyBorder="1" applyProtection="1">
      <alignment vertical="center"/>
    </xf>
    <xf numFmtId="0" fontId="22" fillId="0" borderId="0" xfId="0" applyFont="1" applyFill="1" applyBorder="1" applyProtection="1">
      <alignment vertical="center"/>
    </xf>
    <xf numFmtId="0" fontId="22" fillId="0" borderId="0" xfId="0" applyFont="1" applyBorder="1" applyProtection="1">
      <alignment vertical="center"/>
    </xf>
    <xf numFmtId="0" fontId="6" fillId="0" borderId="9" xfId="2" applyFont="1" applyBorder="1" applyAlignment="1" applyProtection="1">
      <alignment horizontal="left" vertical="center"/>
    </xf>
    <xf numFmtId="0" fontId="6" fillId="0" borderId="31" xfId="2" applyFont="1" applyBorder="1" applyAlignment="1" applyProtection="1">
      <alignment horizontal="left" vertical="center"/>
    </xf>
    <xf numFmtId="0" fontId="6" fillId="5" borderId="9" xfId="2" applyFont="1" applyFill="1" applyBorder="1" applyAlignment="1" applyProtection="1">
      <alignment horizontal="left" vertical="center"/>
    </xf>
    <xf numFmtId="0" fontId="6" fillId="5" borderId="31" xfId="2" applyFont="1" applyFill="1" applyBorder="1" applyAlignment="1" applyProtection="1">
      <alignment horizontal="left" vertical="center"/>
    </xf>
    <xf numFmtId="0" fontId="0" fillId="0" borderId="0" xfId="0" applyFont="1" applyBorder="1" applyAlignment="1" applyProtection="1">
      <alignment horizontal="left" vertical="center"/>
    </xf>
    <xf numFmtId="0" fontId="0" fillId="0" borderId="1" xfId="0" applyFont="1" applyBorder="1" applyAlignment="1" applyProtection="1">
      <alignment horizontal="left" vertical="center"/>
    </xf>
    <xf numFmtId="0" fontId="0" fillId="0" borderId="0" xfId="0" applyFont="1" applyBorder="1" applyAlignment="1" applyProtection="1">
      <alignment horizontal="left" vertical="center"/>
    </xf>
    <xf numFmtId="0" fontId="0" fillId="0" borderId="2" xfId="0" applyFont="1" applyBorder="1" applyAlignment="1" applyProtection="1">
      <alignment horizontal="left" vertical="center"/>
    </xf>
    <xf numFmtId="0" fontId="61" fillId="0" borderId="0" xfId="0" applyFont="1" applyBorder="1" applyAlignment="1" applyProtection="1">
      <alignment vertical="center"/>
      <protection hidden="1"/>
    </xf>
    <xf numFmtId="0" fontId="61" fillId="0" borderId="2" xfId="0" applyFont="1" applyBorder="1" applyAlignment="1" applyProtection="1">
      <alignment vertical="center"/>
      <protection hidden="1"/>
    </xf>
    <xf numFmtId="0" fontId="67" fillId="0" borderId="82" xfId="2" applyFont="1" applyBorder="1" applyAlignment="1" applyProtection="1">
      <alignment vertical="center"/>
      <protection hidden="1"/>
    </xf>
    <xf numFmtId="0" fontId="50" fillId="0" borderId="2" xfId="7" applyFill="1" applyBorder="1" applyProtection="1">
      <protection hidden="1"/>
    </xf>
    <xf numFmtId="0" fontId="67" fillId="0" borderId="28" xfId="7" applyFont="1" applyBorder="1" applyAlignment="1" applyProtection="1">
      <alignment vertical="center"/>
      <protection hidden="1"/>
    </xf>
    <xf numFmtId="0" fontId="67" fillId="0" borderId="5" xfId="2" applyFont="1" applyBorder="1" applyProtection="1">
      <alignment vertical="center"/>
      <protection hidden="1"/>
    </xf>
    <xf numFmtId="0" fontId="71" fillId="0" borderId="5" xfId="0" applyFont="1" applyBorder="1" applyAlignment="1" applyProtection="1">
      <alignment horizontal="center" vertical="center"/>
      <protection hidden="1"/>
    </xf>
    <xf numFmtId="0" fontId="71" fillId="0" borderId="28" xfId="0" applyFont="1" applyBorder="1" applyAlignment="1" applyProtection="1">
      <alignment horizontal="center" vertical="center"/>
      <protection hidden="1"/>
    </xf>
    <xf numFmtId="0" fontId="67" fillId="0" borderId="3" xfId="7" applyFont="1" applyBorder="1" applyAlignment="1" applyProtection="1">
      <protection hidden="1"/>
    </xf>
    <xf numFmtId="0" fontId="55" fillId="0" borderId="161" xfId="2" applyFont="1" applyBorder="1" applyAlignment="1" applyProtection="1">
      <alignment vertical="center"/>
      <protection hidden="1"/>
    </xf>
    <xf numFmtId="0" fontId="55" fillId="0" borderId="52" xfId="2" applyFont="1" applyBorder="1" applyAlignment="1" applyProtection="1">
      <alignment horizontal="center" vertical="center"/>
      <protection hidden="1"/>
    </xf>
    <xf numFmtId="0" fontId="68" fillId="0" borderId="1" xfId="7" applyFont="1" applyBorder="1" applyAlignment="1" applyProtection="1">
      <alignment vertical="center"/>
      <protection hidden="1"/>
    </xf>
    <xf numFmtId="0" fontId="68" fillId="0" borderId="6" xfId="7" applyFont="1" applyBorder="1" applyAlignment="1" applyProtection="1">
      <alignment vertical="center"/>
      <protection hidden="1"/>
    </xf>
    <xf numFmtId="0" fontId="68" fillId="0" borderId="52" xfId="7" applyFont="1" applyBorder="1" applyAlignment="1" applyProtection="1">
      <alignment vertical="center"/>
      <protection hidden="1"/>
    </xf>
    <xf numFmtId="0" fontId="68" fillId="0" borderId="162" xfId="7" applyFont="1" applyBorder="1" applyAlignment="1" applyProtection="1">
      <alignment vertical="center"/>
      <protection hidden="1"/>
    </xf>
    <xf numFmtId="0" fontId="67" fillId="0" borderId="185" xfId="2" applyFont="1" applyBorder="1" applyAlignment="1" applyProtection="1">
      <alignment vertical="center"/>
      <protection hidden="1"/>
    </xf>
    <xf numFmtId="0" fontId="55" fillId="0" borderId="82" xfId="2" applyFont="1" applyBorder="1" applyAlignment="1" applyProtection="1">
      <alignment horizontal="center" vertical="center"/>
      <protection hidden="1"/>
    </xf>
    <xf numFmtId="0" fontId="110" fillId="22" borderId="0" xfId="0" applyFont="1" applyFill="1" applyBorder="1" applyProtection="1">
      <alignment vertical="center"/>
      <protection hidden="1"/>
    </xf>
    <xf numFmtId="0" fontId="140" fillId="0" borderId="0" xfId="0" applyFont="1" applyFill="1" applyBorder="1" applyAlignment="1" applyProtection="1">
      <alignment vertical="center"/>
    </xf>
    <xf numFmtId="0" fontId="137" fillId="0" borderId="0" xfId="0" applyFont="1" applyFill="1" applyAlignment="1" applyProtection="1">
      <alignment vertical="center" wrapText="1"/>
    </xf>
    <xf numFmtId="0" fontId="137" fillId="0" borderId="0" xfId="0" applyFont="1" applyFill="1" applyAlignment="1" applyProtection="1">
      <alignment horizontal="left" vertical="center" wrapText="1"/>
    </xf>
    <xf numFmtId="0" fontId="137" fillId="0" borderId="0" xfId="0" applyFont="1" applyFill="1" applyAlignment="1" applyProtection="1">
      <alignment horizontal="left" vertical="center"/>
    </xf>
    <xf numFmtId="0" fontId="142" fillId="0" borderId="0" xfId="0" applyFont="1" applyFill="1" applyAlignment="1" applyProtection="1">
      <alignment horizontal="center" vertical="center"/>
    </xf>
    <xf numFmtId="0" fontId="142" fillId="0" borderId="0" xfId="0" applyFont="1" applyFill="1" applyAlignment="1" applyProtection="1">
      <alignment horizontal="left" vertical="center"/>
    </xf>
    <xf numFmtId="0" fontId="141" fillId="0" borderId="0" xfId="0" applyFont="1" applyProtection="1">
      <alignment vertical="center"/>
    </xf>
    <xf numFmtId="0" fontId="141" fillId="0" borderId="0" xfId="0" applyFont="1" applyFill="1" applyAlignment="1" applyProtection="1">
      <alignment horizontal="left" vertical="center"/>
    </xf>
    <xf numFmtId="0" fontId="142" fillId="13" borderId="0" xfId="0" applyFont="1" applyFill="1" applyAlignment="1" applyProtection="1">
      <alignment horizontal="center" vertical="center"/>
    </xf>
    <xf numFmtId="0" fontId="137" fillId="0" borderId="0" xfId="0" applyFont="1" applyFill="1" applyAlignment="1" applyProtection="1">
      <alignment vertical="center"/>
    </xf>
    <xf numFmtId="0" fontId="139" fillId="0" borderId="0" xfId="0" applyFont="1" applyFill="1" applyAlignment="1" applyProtection="1">
      <alignment vertical="center"/>
    </xf>
    <xf numFmtId="0" fontId="139" fillId="0" borderId="0" xfId="0" applyFont="1" applyAlignment="1" applyProtection="1">
      <alignment vertical="center"/>
    </xf>
    <xf numFmtId="0" fontId="137" fillId="0" borderId="0" xfId="0" applyFont="1" applyAlignment="1" applyProtection="1">
      <alignment vertical="center"/>
    </xf>
    <xf numFmtId="0" fontId="138" fillId="0" borderId="0" xfId="0" applyFont="1" applyAlignment="1" applyProtection="1">
      <alignment vertical="center"/>
    </xf>
    <xf numFmtId="0" fontId="137" fillId="0" borderId="4" xfId="0" applyFont="1" applyFill="1" applyBorder="1" applyAlignment="1" applyProtection="1">
      <alignment vertical="center"/>
    </xf>
    <xf numFmtId="0" fontId="137" fillId="0" borderId="18" xfId="0" applyFont="1" applyBorder="1" applyAlignment="1" applyProtection="1">
      <alignment vertical="center"/>
    </xf>
    <xf numFmtId="0" fontId="137" fillId="0" borderId="13" xfId="0" applyFont="1" applyFill="1" applyBorder="1" applyAlignment="1" applyProtection="1">
      <alignment horizontal="left" vertical="center"/>
    </xf>
    <xf numFmtId="0" fontId="137" fillId="0" borderId="178" xfId="0" applyFont="1" applyFill="1" applyBorder="1" applyAlignment="1" applyProtection="1">
      <alignment horizontal="left" vertical="center"/>
    </xf>
    <xf numFmtId="0" fontId="137" fillId="0" borderId="38" xfId="0" applyFont="1" applyFill="1" applyBorder="1" applyAlignment="1" applyProtection="1">
      <alignment horizontal="left" vertical="center"/>
    </xf>
    <xf numFmtId="0" fontId="137" fillId="0" borderId="0" xfId="0" applyFont="1" applyAlignment="1" applyProtection="1">
      <alignment horizontal="left" vertical="center"/>
    </xf>
    <xf numFmtId="0" fontId="137" fillId="0" borderId="19" xfId="0" applyFont="1" applyFill="1" applyBorder="1" applyAlignment="1" applyProtection="1">
      <alignment horizontal="left" vertical="center"/>
    </xf>
    <xf numFmtId="0" fontId="26" fillId="3" borderId="20" xfId="0" applyFont="1" applyFill="1" applyBorder="1" applyAlignment="1" applyProtection="1">
      <alignment vertical="center" wrapText="1"/>
    </xf>
    <xf numFmtId="0" fontId="26" fillId="3" borderId="24" xfId="0" applyFont="1" applyFill="1" applyBorder="1" applyAlignment="1" applyProtection="1">
      <alignment vertical="center" wrapText="1"/>
    </xf>
    <xf numFmtId="0" fontId="26" fillId="3" borderId="0" xfId="0" applyFont="1" applyFill="1" applyBorder="1" applyAlignment="1" applyProtection="1">
      <alignment vertical="center" wrapText="1"/>
    </xf>
    <xf numFmtId="0" fontId="26" fillId="3" borderId="22" xfId="0" applyFont="1" applyFill="1" applyBorder="1" applyAlignment="1" applyProtection="1">
      <alignment vertical="center" wrapText="1"/>
    </xf>
    <xf numFmtId="0" fontId="26" fillId="3" borderId="0" xfId="0" applyFont="1" applyFill="1" applyBorder="1" applyAlignment="1" applyProtection="1">
      <alignment horizontal="center" vertical="center" wrapText="1"/>
    </xf>
    <xf numFmtId="0" fontId="26" fillId="3" borderId="0" xfId="0" applyFont="1" applyFill="1" applyAlignment="1" applyProtection="1">
      <alignment vertical="top" wrapText="1"/>
    </xf>
    <xf numFmtId="0" fontId="26" fillId="3" borderId="0" xfId="0" applyFont="1" applyFill="1" applyBorder="1" applyAlignment="1" applyProtection="1">
      <alignment vertical="center"/>
    </xf>
    <xf numFmtId="0" fontId="26" fillId="3" borderId="1" xfId="0" applyFont="1" applyFill="1" applyBorder="1" applyAlignment="1" applyProtection="1">
      <alignment vertical="center" wrapText="1"/>
    </xf>
    <xf numFmtId="0" fontId="26" fillId="3" borderId="40" xfId="0" applyFont="1" applyFill="1" applyBorder="1" applyAlignment="1" applyProtection="1">
      <alignment vertical="center" wrapText="1"/>
    </xf>
    <xf numFmtId="0" fontId="26" fillId="3" borderId="138" xfId="0" applyFont="1" applyFill="1" applyBorder="1" applyAlignment="1" applyProtection="1">
      <alignment vertical="center"/>
    </xf>
    <xf numFmtId="0" fontId="26" fillId="3" borderId="22" xfId="0" applyFont="1" applyFill="1" applyBorder="1" applyAlignment="1" applyProtection="1">
      <alignment vertical="center"/>
    </xf>
    <xf numFmtId="0" fontId="26" fillId="3" borderId="1" xfId="0" applyFont="1" applyFill="1" applyBorder="1" applyAlignment="1" applyProtection="1">
      <alignment horizontal="center" vertical="center"/>
    </xf>
    <xf numFmtId="0" fontId="78" fillId="3" borderId="0" xfId="0" applyFont="1" applyFill="1" applyBorder="1" applyAlignment="1" applyProtection="1">
      <alignment vertical="center" wrapText="1"/>
    </xf>
    <xf numFmtId="0" fontId="26" fillId="3" borderId="0" xfId="0" applyFont="1" applyFill="1" applyAlignment="1" applyProtection="1">
      <alignment vertical="center" wrapText="1"/>
    </xf>
    <xf numFmtId="0" fontId="26" fillId="11" borderId="0" xfId="0" applyFont="1" applyFill="1" applyBorder="1" applyAlignment="1" applyProtection="1">
      <alignment vertical="center" wrapText="1"/>
    </xf>
    <xf numFmtId="0" fontId="26" fillId="3" borderId="0" xfId="0" applyFont="1" applyFill="1" applyAlignment="1" applyProtection="1">
      <alignment horizontal="left" vertical="top" wrapText="1"/>
    </xf>
    <xf numFmtId="0" fontId="26" fillId="3" borderId="38" xfId="0" applyFont="1" applyFill="1" applyBorder="1" applyAlignment="1" applyProtection="1">
      <alignment vertical="center" wrapText="1"/>
    </xf>
    <xf numFmtId="0" fontId="143" fillId="0" borderId="0" xfId="2" applyFont="1" applyProtection="1">
      <alignment vertical="center"/>
      <protection hidden="1"/>
    </xf>
    <xf numFmtId="0" fontId="128" fillId="0" borderId="0" xfId="0" applyFont="1" applyBorder="1" applyAlignment="1" applyProtection="1">
      <alignment horizontal="centerContinuous" vertical="center"/>
      <protection locked="0"/>
    </xf>
    <xf numFmtId="0" fontId="26" fillId="0" borderId="0" xfId="0" applyFont="1" applyBorder="1" applyAlignment="1" applyProtection="1">
      <alignment horizontal="centerContinuous" vertical="center"/>
      <protection locked="0"/>
    </xf>
    <xf numFmtId="0" fontId="26" fillId="0" borderId="10" xfId="0" applyFont="1" applyBorder="1" applyAlignment="1" applyProtection="1">
      <alignment horizontal="centerContinuous" vertical="center"/>
      <protection locked="0"/>
    </xf>
    <xf numFmtId="0" fontId="26" fillId="0" borderId="0" xfId="0" applyFont="1" applyAlignment="1" applyProtection="1">
      <alignment horizontal="centerContinuous" vertical="center"/>
    </xf>
    <xf numFmtId="0" fontId="26" fillId="0" borderId="0" xfId="0" applyFont="1" applyFill="1" applyBorder="1" applyAlignment="1" applyProtection="1">
      <alignment horizontal="centerContinuous" vertical="center" wrapText="1"/>
    </xf>
    <xf numFmtId="0" fontId="26" fillId="0" borderId="0" xfId="0" applyFont="1" applyFill="1" applyAlignment="1" applyProtection="1">
      <alignment horizontal="centerContinuous" vertical="center"/>
    </xf>
    <xf numFmtId="0" fontId="26" fillId="0" borderId="0" xfId="0" applyFont="1" applyFill="1" applyAlignment="1" applyProtection="1">
      <alignment vertical="center"/>
    </xf>
    <xf numFmtId="0" fontId="128" fillId="0" borderId="0" xfId="0" applyFont="1" applyBorder="1" applyProtection="1">
      <alignment vertical="center"/>
      <protection locked="0"/>
    </xf>
    <xf numFmtId="0" fontId="26" fillId="0" borderId="0" xfId="0" applyFont="1" applyBorder="1" applyProtection="1">
      <alignment vertical="center"/>
      <protection locked="0"/>
    </xf>
    <xf numFmtId="0" fontId="26" fillId="0" borderId="10" xfId="0" applyFont="1" applyBorder="1" applyProtection="1">
      <alignment vertical="center"/>
      <protection locked="0"/>
    </xf>
    <xf numFmtId="0" fontId="26" fillId="0" borderId="0" xfId="0" applyFont="1" applyFill="1" applyBorder="1" applyAlignment="1" applyProtection="1">
      <alignment horizontal="center" vertical="center" wrapText="1"/>
    </xf>
    <xf numFmtId="0" fontId="26" fillId="2" borderId="0" xfId="0" applyFont="1" applyFill="1" applyBorder="1" applyAlignment="1" applyProtection="1">
      <alignment vertical="center"/>
    </xf>
    <xf numFmtId="0" fontId="26" fillId="0" borderId="0" xfId="0" applyFont="1" applyFill="1" applyBorder="1" applyAlignment="1" applyProtection="1">
      <alignment vertical="center"/>
    </xf>
    <xf numFmtId="0" fontId="79" fillId="0" borderId="0" xfId="0" applyFont="1" applyFill="1" applyBorder="1" applyAlignment="1" applyProtection="1">
      <alignment horizontal="center" vertical="center" wrapText="1"/>
    </xf>
    <xf numFmtId="0" fontId="79" fillId="0" borderId="0" xfId="0" applyFont="1" applyFill="1" applyBorder="1" applyAlignment="1" applyProtection="1">
      <alignment vertical="center" wrapText="1"/>
    </xf>
    <xf numFmtId="0" fontId="78" fillId="0" borderId="0" xfId="0" applyFont="1" applyFill="1" applyBorder="1" applyAlignment="1" applyProtection="1">
      <alignment horizontal="left" vertical="center"/>
    </xf>
    <xf numFmtId="0" fontId="79"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xf>
    <xf numFmtId="0" fontId="79" fillId="0" borderId="0" xfId="0" applyFont="1" applyAlignment="1" applyProtection="1">
      <alignment horizontal="left" vertical="center"/>
    </xf>
    <xf numFmtId="0" fontId="79" fillId="3" borderId="8" xfId="0" applyFont="1" applyFill="1" applyBorder="1" applyAlignment="1" applyProtection="1">
      <alignment horizontal="left" vertical="center"/>
    </xf>
    <xf numFmtId="0" fontId="79" fillId="3" borderId="9" xfId="0" applyFont="1" applyFill="1" applyBorder="1" applyAlignment="1" applyProtection="1">
      <alignment horizontal="left" vertical="center"/>
    </xf>
    <xf numFmtId="0" fontId="80" fillId="0" borderId="0" xfId="0" applyFont="1" applyFill="1" applyBorder="1" applyAlignment="1" applyProtection="1">
      <alignment horizontal="center" vertical="center" wrapText="1"/>
    </xf>
    <xf numFmtId="0" fontId="79" fillId="3" borderId="23" xfId="0" applyFont="1" applyFill="1" applyBorder="1" applyAlignment="1" applyProtection="1">
      <alignment horizontal="left" vertical="center"/>
    </xf>
    <xf numFmtId="0" fontId="79" fillId="3" borderId="0" xfId="0" applyFont="1" applyFill="1" applyBorder="1" applyAlignment="1" applyProtection="1">
      <alignment horizontal="left" vertical="center"/>
    </xf>
    <xf numFmtId="0" fontId="79" fillId="3" borderId="8" xfId="0" applyFont="1" applyFill="1" applyBorder="1" applyAlignment="1" applyProtection="1">
      <alignment vertical="center"/>
    </xf>
    <xf numFmtId="0" fontId="80" fillId="3" borderId="23" xfId="0" applyFont="1" applyFill="1" applyBorder="1" applyAlignment="1" applyProtection="1">
      <alignment horizontal="left" vertical="center"/>
    </xf>
    <xf numFmtId="0" fontId="80" fillId="3" borderId="0" xfId="0" applyFont="1" applyFill="1" applyBorder="1" applyAlignment="1" applyProtection="1">
      <alignment horizontal="left" vertical="center"/>
    </xf>
    <xf numFmtId="0" fontId="80" fillId="0" borderId="0" xfId="0" applyFont="1" applyFill="1" applyAlignment="1" applyProtection="1">
      <alignment vertical="center" wrapText="1"/>
    </xf>
    <xf numFmtId="0" fontId="79" fillId="3" borderId="25" xfId="0" applyFont="1" applyFill="1" applyBorder="1" applyAlignment="1" applyProtection="1">
      <alignment horizontal="left" vertical="center"/>
    </xf>
    <xf numFmtId="0" fontId="79" fillId="3" borderId="20" xfId="0" applyFont="1" applyFill="1" applyBorder="1" applyAlignment="1" applyProtection="1">
      <alignment horizontal="left" vertical="center"/>
    </xf>
    <xf numFmtId="0" fontId="80" fillId="3" borderId="38" xfId="0" applyFont="1" applyFill="1" applyBorder="1" applyAlignment="1" applyProtection="1">
      <alignment vertical="center"/>
    </xf>
    <xf numFmtId="0" fontId="80" fillId="3" borderId="16" xfId="0" applyFont="1" applyFill="1" applyBorder="1" applyAlignment="1" applyProtection="1">
      <alignment vertical="center"/>
    </xf>
    <xf numFmtId="0" fontId="79" fillId="3" borderId="1" xfId="0" applyFont="1" applyFill="1" applyBorder="1" applyAlignment="1" applyProtection="1">
      <alignment vertical="center"/>
    </xf>
    <xf numFmtId="0" fontId="26" fillId="11" borderId="23" xfId="0" applyFont="1" applyFill="1" applyBorder="1" applyAlignment="1" applyProtection="1">
      <alignment horizontal="left" vertical="center"/>
    </xf>
    <xf numFmtId="0" fontId="26" fillId="11" borderId="0" xfId="0" applyFont="1" applyFill="1" applyBorder="1" applyAlignment="1" applyProtection="1">
      <alignment horizontal="left" vertical="center"/>
    </xf>
    <xf numFmtId="0" fontId="79" fillId="3" borderId="2" xfId="0" applyFont="1" applyFill="1" applyBorder="1" applyAlignment="1" applyProtection="1">
      <alignment vertical="center"/>
    </xf>
    <xf numFmtId="0" fontId="26" fillId="11" borderId="25" xfId="0" applyFont="1" applyFill="1" applyBorder="1" applyAlignment="1" applyProtection="1">
      <alignment horizontal="left" vertical="center"/>
    </xf>
    <xf numFmtId="0" fontId="26" fillId="11" borderId="20" xfId="0" applyFont="1" applyFill="1" applyBorder="1" applyAlignment="1" applyProtection="1">
      <alignment horizontal="left" vertical="center"/>
    </xf>
    <xf numFmtId="0" fontId="26" fillId="0" borderId="38" xfId="0" applyFont="1" applyFill="1" applyBorder="1" applyAlignment="1" applyProtection="1">
      <alignment horizontal="left" vertical="center" wrapText="1"/>
    </xf>
    <xf numFmtId="0" fontId="26" fillId="0" borderId="38" xfId="0" applyFont="1" applyFill="1" applyBorder="1" applyAlignment="1" applyProtection="1">
      <alignment horizontal="left" vertical="center"/>
    </xf>
    <xf numFmtId="0" fontId="26" fillId="0" borderId="0" xfId="0" applyFont="1" applyFill="1" applyBorder="1" applyAlignment="1" applyProtection="1">
      <alignment horizontal="center" vertical="center"/>
    </xf>
    <xf numFmtId="0" fontId="26" fillId="3" borderId="23" xfId="0" applyFont="1" applyFill="1" applyBorder="1" applyAlignment="1" applyProtection="1">
      <alignment horizontal="left" vertical="center"/>
    </xf>
    <xf numFmtId="0" fontId="26" fillId="3" borderId="0" xfId="0" applyFont="1" applyFill="1" applyBorder="1" applyAlignment="1" applyProtection="1">
      <alignment horizontal="left" vertical="center"/>
    </xf>
    <xf numFmtId="0" fontId="26" fillId="3" borderId="8" xfId="0" applyFont="1" applyFill="1" applyBorder="1" applyProtection="1">
      <alignment vertical="center"/>
    </xf>
    <xf numFmtId="0" fontId="26" fillId="3" borderId="25" xfId="0" applyFont="1" applyFill="1" applyBorder="1" applyAlignment="1" applyProtection="1">
      <alignment horizontal="left" vertical="center"/>
    </xf>
    <xf numFmtId="0" fontId="26" fillId="3" borderId="29" xfId="0" applyFont="1" applyFill="1" applyBorder="1" applyProtection="1">
      <alignment vertical="center"/>
    </xf>
    <xf numFmtId="0" fontId="84" fillId="0" borderId="0" xfId="0" applyFont="1" applyFill="1" applyBorder="1" applyAlignment="1" applyProtection="1">
      <alignment horizontal="center" vertical="center" wrapText="1"/>
    </xf>
    <xf numFmtId="0" fontId="84" fillId="3" borderId="23" xfId="0" applyFont="1" applyFill="1" applyBorder="1" applyAlignment="1" applyProtection="1">
      <alignment horizontal="left" wrapText="1"/>
    </xf>
    <xf numFmtId="0" fontId="84" fillId="3" borderId="0" xfId="0" applyFont="1" applyFill="1" applyBorder="1" applyAlignment="1" applyProtection="1">
      <alignment horizontal="left" wrapText="1"/>
    </xf>
    <xf numFmtId="0" fontId="84" fillId="3" borderId="23" xfId="0" applyFont="1" applyFill="1" applyBorder="1" applyAlignment="1" applyProtection="1">
      <alignment horizontal="left" vertical="center" wrapText="1"/>
    </xf>
    <xf numFmtId="0" fontId="84" fillId="3" borderId="0" xfId="0" applyFont="1" applyFill="1" applyBorder="1" applyAlignment="1" applyProtection="1">
      <alignment horizontal="left" vertical="center" wrapText="1"/>
    </xf>
    <xf numFmtId="0" fontId="150" fillId="0" borderId="0" xfId="0" applyFont="1" applyFill="1" applyBorder="1" applyAlignment="1" applyProtection="1">
      <alignment horizontal="center" vertical="center"/>
    </xf>
    <xf numFmtId="0" fontId="150" fillId="3" borderId="23" xfId="0" applyFont="1" applyFill="1" applyBorder="1" applyAlignment="1" applyProtection="1">
      <alignment horizontal="left" vertical="center"/>
    </xf>
    <xf numFmtId="0" fontId="150" fillId="3" borderId="0" xfId="0" applyFont="1" applyFill="1" applyBorder="1" applyAlignment="1" applyProtection="1">
      <alignment horizontal="left" vertical="center"/>
    </xf>
    <xf numFmtId="0" fontId="26" fillId="3" borderId="25" xfId="0" applyFont="1" applyFill="1" applyBorder="1" applyAlignment="1" applyProtection="1">
      <alignment horizontal="left" vertical="center" wrapText="1"/>
    </xf>
    <xf numFmtId="0" fontId="80" fillId="0" borderId="0" xfId="0" applyFont="1" applyFill="1" applyAlignment="1" applyProtection="1">
      <alignment vertical="center"/>
    </xf>
    <xf numFmtId="0" fontId="79" fillId="0" borderId="0" xfId="0" applyFont="1" applyFill="1" applyBorder="1" applyAlignment="1" applyProtection="1">
      <alignment horizontal="center" vertical="center"/>
    </xf>
    <xf numFmtId="0" fontId="79" fillId="3" borderId="1" xfId="0" applyFont="1" applyFill="1" applyBorder="1" applyAlignment="1" applyProtection="1">
      <alignment horizontal="left" vertical="center"/>
    </xf>
    <xf numFmtId="0" fontId="26" fillId="3" borderId="1" xfId="0" applyFont="1" applyFill="1" applyBorder="1" applyAlignment="1" applyProtection="1">
      <alignment horizontal="left" vertical="center"/>
    </xf>
    <xf numFmtId="0" fontId="79" fillId="0" borderId="0" xfId="0" applyFont="1" applyFill="1" applyAlignment="1" applyProtection="1">
      <alignment vertical="center"/>
    </xf>
    <xf numFmtId="0" fontId="79" fillId="3" borderId="82" xfId="0" applyFont="1" applyFill="1" applyBorder="1" applyAlignment="1" applyProtection="1">
      <alignment horizontal="left" vertical="center"/>
    </xf>
    <xf numFmtId="0" fontId="79" fillId="3" borderId="52" xfId="0" applyFont="1" applyFill="1" applyBorder="1" applyAlignment="1" applyProtection="1">
      <alignment horizontal="left" vertical="center"/>
    </xf>
    <xf numFmtId="0" fontId="79" fillId="3" borderId="2"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78" fillId="0" borderId="0" xfId="0" applyFont="1" applyFill="1" applyBorder="1" applyAlignment="1" applyProtection="1">
      <alignment vertical="center" wrapText="1"/>
    </xf>
    <xf numFmtId="0" fontId="79" fillId="11" borderId="1" xfId="0" applyFont="1" applyFill="1" applyBorder="1" applyAlignment="1" applyProtection="1">
      <alignment horizontal="left" vertical="center"/>
    </xf>
    <xf numFmtId="0" fontId="26" fillId="11" borderId="1" xfId="0" applyFont="1" applyFill="1" applyBorder="1" applyAlignment="1" applyProtection="1">
      <alignment horizontal="left" vertical="center"/>
    </xf>
    <xf numFmtId="0" fontId="26" fillId="3" borderId="23" xfId="0" applyFont="1" applyFill="1" applyBorder="1" applyAlignment="1" applyProtection="1">
      <alignment horizontal="left" vertical="center" wrapText="1"/>
    </xf>
    <xf numFmtId="0" fontId="26" fillId="3" borderId="0" xfId="0" applyFont="1" applyFill="1" applyBorder="1" applyAlignment="1" applyProtection="1">
      <alignment horizontal="left" vertical="center" wrapText="1"/>
    </xf>
    <xf numFmtId="0" fontId="79" fillId="11" borderId="0" xfId="0" applyFont="1" applyFill="1" applyBorder="1" applyAlignment="1" applyProtection="1">
      <alignment horizontal="left" vertical="center"/>
    </xf>
    <xf numFmtId="0" fontId="79" fillId="11" borderId="2" xfId="0" applyFont="1" applyFill="1" applyBorder="1" applyAlignment="1" applyProtection="1">
      <alignment horizontal="left" vertical="center"/>
    </xf>
    <xf numFmtId="0" fontId="26" fillId="11" borderId="82" xfId="0" applyFont="1" applyFill="1" applyBorder="1" applyAlignment="1" applyProtection="1">
      <alignment horizontal="left" vertical="center"/>
    </xf>
    <xf numFmtId="0" fontId="78" fillId="3" borderId="1" xfId="0" applyFont="1" applyFill="1" applyBorder="1" applyAlignment="1" applyProtection="1">
      <alignment horizontal="left" vertical="center"/>
    </xf>
    <xf numFmtId="0" fontId="78" fillId="3" borderId="2" xfId="0" applyFont="1" applyFill="1" applyBorder="1" applyAlignment="1" applyProtection="1">
      <alignment horizontal="left" vertical="center"/>
    </xf>
    <xf numFmtId="0" fontId="83" fillId="3" borderId="2" xfId="0" applyFont="1" applyFill="1" applyBorder="1" applyAlignment="1" applyProtection="1">
      <alignment horizontal="left" vertical="center"/>
    </xf>
    <xf numFmtId="0" fontId="83" fillId="11" borderId="0" xfId="0" applyFont="1" applyFill="1" applyBorder="1" applyAlignment="1" applyProtection="1">
      <alignment horizontal="left" vertical="center"/>
    </xf>
    <xf numFmtId="0" fontId="26" fillId="11" borderId="2" xfId="0" applyFont="1" applyFill="1" applyBorder="1" applyAlignment="1" applyProtection="1">
      <alignment horizontal="left" vertical="center"/>
    </xf>
    <xf numFmtId="0" fontId="83" fillId="3" borderId="8" xfId="0" applyFont="1" applyFill="1" applyBorder="1" applyAlignment="1" applyProtection="1">
      <alignment horizontal="left" vertical="center"/>
    </xf>
    <xf numFmtId="0" fontId="79" fillId="3" borderId="29" xfId="0" applyFont="1" applyFill="1" applyBorder="1" applyAlignment="1" applyProtection="1">
      <alignment horizontal="left" vertical="center"/>
    </xf>
    <xf numFmtId="0" fontId="83" fillId="3" borderId="29" xfId="0" applyFont="1" applyFill="1" applyBorder="1" applyAlignment="1" applyProtection="1">
      <alignment horizontal="right" vertical="center"/>
    </xf>
    <xf numFmtId="0" fontId="79" fillId="3" borderId="53" xfId="0" applyFont="1" applyFill="1" applyBorder="1" applyAlignment="1" applyProtection="1">
      <alignment horizontal="left" vertical="center"/>
    </xf>
    <xf numFmtId="0" fontId="79" fillId="3" borderId="51" xfId="0" applyFont="1" applyFill="1" applyBorder="1" applyAlignment="1" applyProtection="1">
      <alignment horizontal="left" vertical="center"/>
    </xf>
    <xf numFmtId="0" fontId="78" fillId="3" borderId="0" xfId="0" applyFont="1" applyFill="1" applyBorder="1" applyAlignment="1" applyProtection="1">
      <alignment horizontal="left" vertical="center"/>
    </xf>
    <xf numFmtId="0" fontId="79" fillId="3" borderId="59" xfId="0" applyFont="1" applyFill="1" applyBorder="1" applyAlignment="1" applyProtection="1">
      <alignment horizontal="left" vertical="center"/>
    </xf>
    <xf numFmtId="0" fontId="79" fillId="11" borderId="23" xfId="0" applyFont="1" applyFill="1" applyBorder="1" applyAlignment="1" applyProtection="1">
      <alignment horizontal="left" vertical="center" wrapText="1"/>
    </xf>
    <xf numFmtId="0" fontId="79" fillId="11" borderId="0" xfId="0" applyFont="1" applyFill="1" applyBorder="1" applyAlignment="1" applyProtection="1">
      <alignment horizontal="left" vertical="center" wrapText="1"/>
    </xf>
    <xf numFmtId="0" fontId="79" fillId="3" borderId="129" xfId="0" applyFont="1" applyFill="1" applyBorder="1" applyAlignment="1" applyProtection="1">
      <alignment horizontal="left" vertical="center"/>
    </xf>
    <xf numFmtId="0" fontId="79" fillId="3" borderId="128" xfId="0" applyFont="1" applyFill="1" applyBorder="1" applyAlignment="1" applyProtection="1">
      <alignment horizontal="left" vertical="center"/>
    </xf>
    <xf numFmtId="0" fontId="80" fillId="11" borderId="23" xfId="0" applyFont="1" applyFill="1" applyBorder="1" applyAlignment="1" applyProtection="1">
      <alignment horizontal="left" vertical="center"/>
    </xf>
    <xf numFmtId="0" fontId="78" fillId="11" borderId="52" xfId="0" applyFont="1" applyFill="1" applyBorder="1" applyAlignment="1" applyProtection="1">
      <alignment horizontal="left" vertical="center"/>
    </xf>
    <xf numFmtId="0" fontId="79" fillId="11" borderId="52" xfId="0" applyFont="1" applyFill="1" applyBorder="1" applyAlignment="1" applyProtection="1">
      <alignment horizontal="left" vertical="center"/>
    </xf>
    <xf numFmtId="0" fontId="78" fillId="3" borderId="52" xfId="0" applyFont="1" applyFill="1" applyBorder="1" applyAlignment="1" applyProtection="1">
      <alignment vertical="center"/>
    </xf>
    <xf numFmtId="0" fontId="80" fillId="11" borderId="52" xfId="0" applyFont="1" applyFill="1" applyBorder="1" applyAlignment="1" applyProtection="1">
      <alignment horizontal="right" vertical="center"/>
    </xf>
    <xf numFmtId="0" fontId="26" fillId="11" borderId="52" xfId="0" applyFont="1" applyFill="1" applyBorder="1" applyAlignment="1" applyProtection="1">
      <alignment horizontal="right" vertical="center"/>
    </xf>
    <xf numFmtId="0" fontId="80" fillId="3" borderId="52" xfId="0" applyFont="1" applyFill="1" applyBorder="1" applyAlignment="1" applyProtection="1">
      <alignment horizontal="right" vertical="center"/>
    </xf>
    <xf numFmtId="0" fontId="79" fillId="11" borderId="25" xfId="0" applyFont="1" applyFill="1" applyBorder="1" applyAlignment="1" applyProtection="1">
      <alignment horizontal="left" vertical="center" wrapText="1"/>
    </xf>
    <xf numFmtId="0" fontId="79" fillId="11" borderId="20" xfId="0" applyFont="1" applyFill="1" applyBorder="1" applyAlignment="1" applyProtection="1">
      <alignment horizontal="left" vertical="center" wrapText="1"/>
    </xf>
    <xf numFmtId="0" fontId="83" fillId="3" borderId="52" xfId="0" applyFont="1" applyFill="1" applyBorder="1" applyAlignment="1" applyProtection="1">
      <alignment horizontal="left" vertical="center"/>
    </xf>
    <xf numFmtId="0" fontId="78" fillId="11" borderId="53" xfId="0" applyFont="1" applyFill="1" applyBorder="1" applyAlignment="1" applyProtection="1">
      <alignment horizontal="left" vertical="center"/>
    </xf>
    <xf numFmtId="0" fontId="79" fillId="3" borderId="53" xfId="0" applyFont="1" applyFill="1" applyBorder="1" applyAlignment="1" applyProtection="1">
      <alignment horizontal="left" vertical="center" shrinkToFit="1"/>
    </xf>
    <xf numFmtId="0" fontId="79" fillId="3" borderId="1" xfId="0" applyFont="1" applyFill="1" applyBorder="1" applyAlignment="1" applyProtection="1">
      <alignment horizontal="left" vertical="center" shrinkToFit="1"/>
    </xf>
    <xf numFmtId="0" fontId="26" fillId="3" borderId="0" xfId="0" applyFont="1" applyFill="1" applyBorder="1" applyAlignment="1" applyProtection="1">
      <alignment horizontal="left" vertical="center" wrapText="1"/>
    </xf>
    <xf numFmtId="0" fontId="78" fillId="11" borderId="0" xfId="0" applyFont="1" applyFill="1" applyBorder="1" applyAlignment="1" applyProtection="1">
      <alignment horizontal="left" vertical="center"/>
    </xf>
    <xf numFmtId="0" fontId="79" fillId="3" borderId="175" xfId="0" applyFont="1" applyFill="1" applyBorder="1" applyAlignment="1" applyProtection="1">
      <alignment horizontal="left" vertical="center"/>
    </xf>
    <xf numFmtId="0" fontId="79" fillId="3" borderId="177" xfId="0" applyFont="1" applyFill="1" applyBorder="1" applyAlignment="1" applyProtection="1">
      <alignment horizontal="left" vertical="center"/>
    </xf>
    <xf numFmtId="0" fontId="83" fillId="3" borderId="0" xfId="0" applyFont="1" applyFill="1" applyBorder="1" applyAlignment="1" applyProtection="1">
      <alignment horizontal="left" vertical="center" shrinkToFit="1"/>
    </xf>
    <xf numFmtId="0" fontId="83" fillId="3" borderId="2" xfId="0" applyFont="1" applyFill="1" applyBorder="1" applyAlignment="1" applyProtection="1">
      <alignment horizontal="left" vertical="center" shrinkToFit="1"/>
    </xf>
    <xf numFmtId="0" fontId="78" fillId="11" borderId="8" xfId="0" applyFont="1" applyFill="1" applyBorder="1" applyAlignment="1" applyProtection="1">
      <alignment horizontal="left" vertical="center"/>
    </xf>
    <xf numFmtId="0" fontId="83" fillId="3" borderId="0" xfId="0" applyFont="1" applyFill="1" applyBorder="1" applyAlignment="1" applyProtection="1">
      <alignment horizontal="left" vertical="center"/>
    </xf>
    <xf numFmtId="0" fontId="78" fillId="3" borderId="8" xfId="0" applyFont="1" applyFill="1" applyBorder="1" applyAlignment="1" applyProtection="1">
      <alignment vertical="center"/>
    </xf>
    <xf numFmtId="0" fontId="79" fillId="11" borderId="53" xfId="0" applyFont="1" applyFill="1" applyBorder="1" applyAlignment="1" applyProtection="1">
      <alignment horizontal="left" vertical="center"/>
    </xf>
    <xf numFmtId="0" fontId="26" fillId="11" borderId="53" xfId="0" applyFont="1" applyFill="1" applyBorder="1" applyAlignment="1" applyProtection="1">
      <alignment horizontal="left" vertical="center"/>
    </xf>
    <xf numFmtId="0" fontId="83" fillId="11" borderId="1" xfId="0" applyFont="1" applyFill="1" applyBorder="1" applyAlignment="1" applyProtection="1">
      <alignment horizontal="left" vertical="center"/>
    </xf>
    <xf numFmtId="0" fontId="78" fillId="11" borderId="2" xfId="0" applyFont="1" applyFill="1" applyBorder="1" applyAlignment="1" applyProtection="1">
      <alignment horizontal="left" vertical="center"/>
    </xf>
    <xf numFmtId="0" fontId="78" fillId="11" borderId="29" xfId="0" applyFont="1" applyFill="1" applyBorder="1" applyAlignment="1" applyProtection="1">
      <alignment horizontal="left" vertical="center"/>
    </xf>
    <xf numFmtId="0" fontId="83" fillId="3" borderId="29" xfId="0" applyFont="1" applyFill="1" applyBorder="1" applyAlignment="1" applyProtection="1">
      <alignment horizontal="left" vertical="center"/>
    </xf>
    <xf numFmtId="0" fontId="26" fillId="11" borderId="38" xfId="0" applyFont="1" applyFill="1" applyBorder="1" applyAlignment="1" applyProtection="1">
      <alignment horizontal="left" vertical="center"/>
    </xf>
    <xf numFmtId="0" fontId="79" fillId="11" borderId="23" xfId="0" applyFont="1" applyFill="1" applyBorder="1" applyAlignment="1" applyProtection="1">
      <alignment horizontal="left" vertical="center"/>
    </xf>
    <xf numFmtId="0" fontId="78" fillId="3" borderId="53" xfId="0" applyFont="1" applyFill="1" applyBorder="1" applyAlignment="1" applyProtection="1">
      <alignment horizontal="left" vertical="center"/>
    </xf>
    <xf numFmtId="0" fontId="26" fillId="11" borderId="23" xfId="0" applyFont="1" applyFill="1" applyBorder="1" applyAlignment="1" applyProtection="1">
      <alignment horizontal="left" vertical="center" wrapText="1"/>
    </xf>
    <xf numFmtId="0" fontId="26" fillId="11" borderId="0" xfId="0" applyFont="1" applyFill="1" applyBorder="1" applyAlignment="1" applyProtection="1">
      <alignment horizontal="left" vertical="center" wrapText="1"/>
    </xf>
    <xf numFmtId="0" fontId="79" fillId="3" borderId="174" xfId="0" applyFont="1" applyFill="1" applyBorder="1" applyAlignment="1" applyProtection="1">
      <alignment horizontal="left" vertical="center"/>
    </xf>
    <xf numFmtId="0" fontId="79" fillId="3" borderId="145" xfId="0" applyFont="1" applyFill="1" applyBorder="1" applyAlignment="1" applyProtection="1">
      <alignment horizontal="left" vertical="center"/>
    </xf>
    <xf numFmtId="0" fontId="79" fillId="3" borderId="27" xfId="0" applyFont="1" applyFill="1" applyBorder="1" applyAlignment="1" applyProtection="1">
      <alignment horizontal="left" vertical="center"/>
    </xf>
    <xf numFmtId="0" fontId="79" fillId="3" borderId="134" xfId="0" applyFont="1" applyFill="1" applyBorder="1" applyAlignment="1" applyProtection="1">
      <alignment horizontal="left" vertical="center"/>
    </xf>
    <xf numFmtId="0" fontId="79" fillId="3" borderId="154" xfId="0" applyFont="1" applyFill="1" applyBorder="1" applyAlignment="1" applyProtection="1">
      <alignment horizontal="left" vertical="center"/>
    </xf>
    <xf numFmtId="0" fontId="26" fillId="11" borderId="25" xfId="0" applyFont="1" applyFill="1" applyBorder="1" applyAlignment="1" applyProtection="1">
      <alignment horizontal="left" vertical="center" wrapText="1"/>
    </xf>
    <xf numFmtId="0" fontId="26" fillId="11" borderId="20" xfId="0" applyFont="1" applyFill="1" applyBorder="1" applyAlignment="1" applyProtection="1">
      <alignment horizontal="left" vertical="center" wrapText="1"/>
    </xf>
    <xf numFmtId="0" fontId="79" fillId="3" borderId="151" xfId="0" applyFont="1" applyFill="1" applyBorder="1" applyAlignment="1" applyProtection="1">
      <alignment horizontal="left" vertical="center"/>
    </xf>
    <xf numFmtId="0" fontId="79" fillId="3" borderId="153" xfId="0" applyFont="1" applyFill="1" applyBorder="1" applyAlignment="1" applyProtection="1">
      <alignment horizontal="left" vertical="center"/>
    </xf>
    <xf numFmtId="0" fontId="78" fillId="3" borderId="20" xfId="0" applyFont="1" applyFill="1" applyBorder="1" applyAlignment="1" applyProtection="1">
      <alignment horizontal="left" vertical="center"/>
    </xf>
    <xf numFmtId="0" fontId="83" fillId="3" borderId="1" xfId="0" applyFont="1" applyFill="1" applyBorder="1" applyAlignment="1" applyProtection="1">
      <alignment horizontal="left" vertical="center"/>
    </xf>
    <xf numFmtId="0" fontId="78" fillId="11" borderId="20" xfId="0" applyFont="1" applyFill="1" applyBorder="1" applyAlignment="1" applyProtection="1">
      <alignment horizontal="left" vertical="center"/>
    </xf>
    <xf numFmtId="0" fontId="26" fillId="0" borderId="23" xfId="0" applyFont="1" applyFill="1" applyBorder="1" applyAlignment="1" applyProtection="1">
      <alignment vertical="center" wrapText="1"/>
    </xf>
    <xf numFmtId="0" fontId="154" fillId="3" borderId="1" xfId="0" applyFont="1" applyFill="1" applyBorder="1" applyAlignment="1" applyProtection="1">
      <alignment horizontal="left" vertical="center"/>
    </xf>
    <xf numFmtId="0" fontId="79" fillId="0" borderId="23" xfId="0" applyFont="1" applyFill="1" applyBorder="1" applyProtection="1">
      <alignment vertical="center"/>
    </xf>
    <xf numFmtId="0" fontId="79" fillId="0" borderId="0" xfId="0" applyFont="1" applyProtection="1">
      <alignment vertical="center"/>
    </xf>
    <xf numFmtId="0" fontId="78" fillId="11" borderId="1" xfId="0" applyFont="1" applyFill="1" applyBorder="1" applyAlignment="1" applyProtection="1">
      <alignment horizontal="left" vertical="center"/>
    </xf>
    <xf numFmtId="0" fontId="155" fillId="3" borderId="1" xfId="0" applyFont="1" applyFill="1" applyBorder="1" applyAlignment="1" applyProtection="1">
      <alignment horizontal="left" vertical="center"/>
    </xf>
    <xf numFmtId="0" fontId="78" fillId="3" borderId="8" xfId="0" applyFont="1" applyFill="1" applyBorder="1" applyAlignment="1" applyProtection="1">
      <alignment horizontal="left" vertical="center"/>
    </xf>
    <xf numFmtId="0" fontId="79" fillId="3" borderId="1" xfId="0" applyFont="1" applyFill="1" applyBorder="1" applyAlignment="1" applyProtection="1">
      <alignment vertical="center" wrapText="1"/>
    </xf>
    <xf numFmtId="0" fontId="79" fillId="3" borderId="140" xfId="0" applyFont="1" applyFill="1" applyBorder="1" applyAlignment="1" applyProtection="1">
      <alignment horizontal="left" vertical="center"/>
    </xf>
    <xf numFmtId="0" fontId="79" fillId="3" borderId="138" xfId="0" applyFont="1" applyFill="1" applyBorder="1" applyAlignment="1" applyProtection="1">
      <alignment horizontal="left" vertical="center"/>
    </xf>
    <xf numFmtId="0" fontId="79" fillId="3" borderId="20" xfId="0" applyFont="1" applyFill="1" applyBorder="1" applyAlignment="1" applyProtection="1">
      <alignment vertical="center" wrapText="1"/>
    </xf>
    <xf numFmtId="0" fontId="79" fillId="3" borderId="20" xfId="0" applyFont="1" applyFill="1" applyBorder="1" applyAlignment="1" applyProtection="1">
      <alignment vertical="center"/>
    </xf>
    <xf numFmtId="0" fontId="79" fillId="3" borderId="20" xfId="0" applyFont="1" applyFill="1" applyBorder="1" applyAlignment="1" applyProtection="1">
      <alignment horizontal="right" vertical="center"/>
    </xf>
    <xf numFmtId="0" fontId="78" fillId="3" borderId="20" xfId="0" applyFont="1" applyFill="1" applyBorder="1" applyAlignment="1" applyProtection="1">
      <alignment vertical="center"/>
    </xf>
    <xf numFmtId="0" fontId="78" fillId="3" borderId="24" xfId="0" applyFont="1" applyFill="1" applyBorder="1" applyAlignment="1" applyProtection="1">
      <alignment vertical="center"/>
    </xf>
    <xf numFmtId="0" fontId="26" fillId="3" borderId="29" xfId="0" applyFont="1" applyFill="1" applyBorder="1" applyAlignment="1" applyProtection="1">
      <alignment horizontal="left" vertical="center"/>
    </xf>
    <xf numFmtId="0" fontId="26" fillId="0" borderId="0" xfId="0" applyFont="1" applyBorder="1" applyAlignment="1" applyProtection="1">
      <alignment horizontal="center" vertical="center"/>
    </xf>
    <xf numFmtId="0" fontId="26" fillId="3" borderId="23" xfId="0" applyFont="1" applyFill="1" applyBorder="1" applyAlignment="1" applyProtection="1">
      <alignment vertical="center"/>
    </xf>
    <xf numFmtId="0" fontId="26" fillId="3" borderId="23" xfId="0" applyFont="1" applyFill="1" applyBorder="1" applyProtection="1">
      <alignment vertical="center"/>
    </xf>
    <xf numFmtId="181" fontId="78" fillId="22" borderId="193" xfId="0" applyNumberFormat="1" applyFont="1" applyFill="1" applyBorder="1" applyAlignment="1" applyProtection="1">
      <alignment vertical="center"/>
    </xf>
    <xf numFmtId="181" fontId="78" fillId="22" borderId="194" xfId="0" applyNumberFormat="1" applyFont="1" applyFill="1" applyBorder="1" applyAlignment="1" applyProtection="1">
      <alignment vertical="center"/>
    </xf>
    <xf numFmtId="181" fontId="77" fillId="22" borderId="194" xfId="1" applyNumberFormat="1" applyFont="1" applyFill="1" applyBorder="1" applyAlignment="1" applyProtection="1">
      <alignment vertical="center"/>
    </xf>
    <xf numFmtId="181" fontId="78" fillId="22" borderId="194" xfId="0" applyNumberFormat="1" applyFont="1" applyFill="1" applyBorder="1" applyAlignment="1" applyProtection="1">
      <alignment horizontal="right" vertical="center"/>
    </xf>
    <xf numFmtId="181" fontId="77" fillId="3" borderId="0" xfId="1" applyNumberFormat="1" applyFont="1" applyFill="1" applyBorder="1" applyAlignment="1" applyProtection="1"/>
    <xf numFmtId="181" fontId="77" fillId="3" borderId="22" xfId="1" applyNumberFormat="1" applyFont="1" applyFill="1" applyBorder="1" applyAlignment="1" applyProtection="1"/>
    <xf numFmtId="0" fontId="26" fillId="0" borderId="0" xfId="0" applyFont="1" applyBorder="1" applyAlignment="1" applyProtection="1">
      <alignment horizontal="left" vertical="center"/>
    </xf>
    <xf numFmtId="0" fontId="26" fillId="3" borderId="2" xfId="0" applyFont="1" applyFill="1" applyBorder="1" applyAlignment="1" applyProtection="1"/>
    <xf numFmtId="0" fontId="82" fillId="3" borderId="2" xfId="0" applyFont="1" applyFill="1" applyBorder="1" applyAlignment="1" applyProtection="1">
      <alignment wrapText="1"/>
    </xf>
    <xf numFmtId="0" fontId="26" fillId="0" borderId="0" xfId="0" applyFont="1" applyAlignment="1" applyProtection="1">
      <alignment horizontal="left" vertical="center"/>
    </xf>
    <xf numFmtId="0" fontId="26" fillId="3" borderId="23" xfId="0" applyFont="1" applyFill="1" applyBorder="1" applyAlignment="1" applyProtection="1">
      <alignment vertical="center" wrapText="1"/>
    </xf>
    <xf numFmtId="0" fontId="26" fillId="3" borderId="1" xfId="0" applyFont="1" applyFill="1" applyBorder="1" applyAlignment="1" applyProtection="1">
      <alignment horizontal="left" vertical="center" wrapText="1"/>
    </xf>
    <xf numFmtId="0" fontId="26" fillId="0" borderId="0" xfId="0" applyFont="1" applyAlignment="1" applyProtection="1">
      <alignment horizontal="center" vertical="center"/>
    </xf>
    <xf numFmtId="0" fontId="26" fillId="0" borderId="0" xfId="0" applyFont="1" applyProtection="1">
      <alignment vertical="center"/>
      <protection locked="0"/>
    </xf>
    <xf numFmtId="0" fontId="26" fillId="0" borderId="0" xfId="0" applyFont="1" applyBorder="1" applyAlignment="1" applyProtection="1">
      <alignment horizontal="left" vertical="center" wrapText="1"/>
    </xf>
    <xf numFmtId="0" fontId="77" fillId="0" borderId="0" xfId="1" applyFont="1" applyFill="1" applyBorder="1" applyAlignment="1" applyProtection="1">
      <alignment horizontal="left" vertical="center"/>
    </xf>
    <xf numFmtId="0" fontId="157" fillId="0" borderId="0" xfId="1" applyFont="1" applyFill="1" applyBorder="1" applyAlignment="1" applyProtection="1">
      <alignment horizontal="left" vertical="center" wrapText="1"/>
    </xf>
    <xf numFmtId="0" fontId="146" fillId="3" borderId="38" xfId="0" applyFont="1" applyFill="1" applyBorder="1" applyAlignment="1" applyProtection="1"/>
    <xf numFmtId="0" fontId="145" fillId="3" borderId="37" xfId="0" applyFont="1" applyFill="1" applyBorder="1" applyAlignment="1" applyProtection="1"/>
    <xf numFmtId="0" fontId="160" fillId="0" borderId="0" xfId="0" applyFont="1" applyFill="1" applyAlignment="1" applyProtection="1">
      <alignment vertical="center" wrapText="1"/>
    </xf>
    <xf numFmtId="0" fontId="147" fillId="3" borderId="0" xfId="0" applyFont="1" applyFill="1">
      <alignment vertical="center"/>
    </xf>
    <xf numFmtId="0" fontId="147" fillId="3" borderId="0" xfId="0" applyFont="1" applyFill="1" applyBorder="1">
      <alignment vertical="center"/>
    </xf>
    <xf numFmtId="0" fontId="147" fillId="3" borderId="0" xfId="0" applyFont="1" applyFill="1" applyBorder="1" applyAlignment="1">
      <alignment vertical="center" wrapText="1"/>
    </xf>
    <xf numFmtId="0" fontId="147" fillId="3" borderId="0" xfId="0" applyFont="1" applyFill="1" applyAlignment="1">
      <alignment vertical="center" wrapText="1"/>
    </xf>
    <xf numFmtId="0" fontId="147" fillId="0" borderId="0" xfId="0" applyFont="1" applyAlignment="1">
      <alignment vertical="center" wrapText="1"/>
    </xf>
    <xf numFmtId="0" fontId="147" fillId="3" borderId="0" xfId="0" applyFont="1" applyFill="1" applyAlignment="1">
      <alignment horizontal="right" vertical="center" wrapText="1"/>
    </xf>
    <xf numFmtId="0" fontId="162" fillId="23" borderId="192" xfId="0" applyFont="1" applyFill="1" applyBorder="1" applyAlignment="1">
      <alignment vertical="center" wrapText="1"/>
    </xf>
    <xf numFmtId="0" fontId="147" fillId="0" borderId="78" xfId="0" applyFont="1" applyBorder="1">
      <alignment vertical="center"/>
    </xf>
    <xf numFmtId="0" fontId="147" fillId="0" borderId="0" xfId="0" applyFont="1" applyBorder="1">
      <alignment vertical="center"/>
    </xf>
    <xf numFmtId="0" fontId="147" fillId="0" borderId="0" xfId="0" applyFont="1">
      <alignment vertical="center"/>
    </xf>
    <xf numFmtId="49" fontId="147" fillId="0" borderId="58" xfId="0" applyNumberFormat="1" applyFont="1" applyBorder="1">
      <alignment vertical="center"/>
    </xf>
    <xf numFmtId="0" fontId="147" fillId="4" borderId="4" xfId="0" applyFont="1" applyFill="1" applyBorder="1">
      <alignment vertical="center"/>
    </xf>
    <xf numFmtId="0" fontId="147" fillId="0" borderId="0" xfId="0" applyFont="1" applyAlignment="1">
      <alignment horizontal="right" vertical="center"/>
    </xf>
    <xf numFmtId="0" fontId="147" fillId="10" borderId="4" xfId="0" applyFont="1" applyFill="1" applyBorder="1">
      <alignment vertical="center"/>
    </xf>
    <xf numFmtId="0" fontId="147" fillId="0" borderId="74" xfId="0" applyFont="1" applyBorder="1">
      <alignment vertical="center"/>
    </xf>
    <xf numFmtId="0" fontId="147" fillId="0" borderId="4" xfId="0" applyFont="1" applyBorder="1">
      <alignment vertical="center"/>
    </xf>
    <xf numFmtId="0" fontId="147" fillId="0" borderId="33" xfId="0" applyFont="1" applyBorder="1">
      <alignment vertical="center"/>
    </xf>
    <xf numFmtId="0" fontId="147" fillId="0" borderId="79" xfId="0" applyFont="1" applyBorder="1" applyAlignment="1">
      <alignment vertical="center" shrinkToFit="1"/>
    </xf>
    <xf numFmtId="0" fontId="147" fillId="0" borderId="79" xfId="0" applyFont="1" applyBorder="1">
      <alignment vertical="center"/>
    </xf>
    <xf numFmtId="0" fontId="147" fillId="0" borderId="0" xfId="0" applyFont="1" applyFill="1" applyBorder="1">
      <alignment vertical="center"/>
    </xf>
    <xf numFmtId="0" fontId="147" fillId="0" borderId="78" xfId="0" applyFont="1" applyFill="1" applyBorder="1">
      <alignment vertical="center"/>
    </xf>
    <xf numFmtId="0" fontId="147" fillId="0" borderId="20" xfId="0" applyFont="1" applyBorder="1">
      <alignment vertical="center"/>
    </xf>
    <xf numFmtId="0" fontId="147" fillId="0" borderId="79" xfId="0" applyFont="1" applyFill="1" applyBorder="1">
      <alignment vertical="center"/>
    </xf>
    <xf numFmtId="0" fontId="147" fillId="0" borderId="38" xfId="0" applyFont="1" applyFill="1" applyBorder="1">
      <alignment vertical="center"/>
    </xf>
    <xf numFmtId="0" fontId="147" fillId="4" borderId="4" xfId="0" applyNumberFormat="1" applyFont="1" applyFill="1" applyBorder="1">
      <alignment vertical="center"/>
    </xf>
    <xf numFmtId="0" fontId="147" fillId="0" borderId="0" xfId="0" applyFont="1" applyFill="1">
      <alignment vertical="center"/>
    </xf>
    <xf numFmtId="0" fontId="147" fillId="14" borderId="74" xfId="0" applyFont="1" applyFill="1" applyBorder="1">
      <alignment vertical="center"/>
    </xf>
    <xf numFmtId="0" fontId="147" fillId="3" borderId="79" xfId="0" applyFont="1" applyFill="1" applyBorder="1">
      <alignment vertical="center"/>
    </xf>
    <xf numFmtId="0" fontId="147" fillId="0" borderId="74" xfId="0" applyFont="1" applyFill="1" applyBorder="1">
      <alignment vertical="center"/>
    </xf>
    <xf numFmtId="0" fontId="147" fillId="14" borderId="166" xfId="0" applyFont="1" applyFill="1" applyBorder="1">
      <alignment vertical="center"/>
    </xf>
    <xf numFmtId="0" fontId="147" fillId="14" borderId="0" xfId="0" applyFont="1" applyFill="1">
      <alignment vertical="center"/>
    </xf>
    <xf numFmtId="0" fontId="147" fillId="14" borderId="78" xfId="0" applyFont="1" applyFill="1" applyBorder="1">
      <alignment vertical="center"/>
    </xf>
    <xf numFmtId="0" fontId="147" fillId="14" borderId="79" xfId="0" applyFont="1" applyFill="1" applyBorder="1">
      <alignment vertical="center"/>
    </xf>
    <xf numFmtId="0" fontId="147" fillId="14" borderId="0" xfId="0" applyFont="1" applyFill="1" applyBorder="1">
      <alignment vertical="center"/>
    </xf>
    <xf numFmtId="0" fontId="147" fillId="14" borderId="78" xfId="0" quotePrefix="1" applyFont="1" applyFill="1" applyBorder="1">
      <alignment vertical="center"/>
    </xf>
    <xf numFmtId="0" fontId="147" fillId="14" borderId="74" xfId="0" applyFont="1" applyFill="1" applyBorder="1" applyAlignment="1">
      <alignment vertical="center" wrapText="1"/>
    </xf>
    <xf numFmtId="0" fontId="79" fillId="0" borderId="0" xfId="0" applyFont="1" applyFill="1" applyBorder="1" applyAlignment="1" applyProtection="1">
      <alignment horizontal="left" vertical="center"/>
    </xf>
    <xf numFmtId="0" fontId="145" fillId="3" borderId="23" xfId="0" applyFont="1" applyFill="1" applyBorder="1" applyAlignment="1" applyProtection="1">
      <alignment horizontal="left"/>
    </xf>
    <xf numFmtId="0" fontId="80" fillId="11" borderId="0" xfId="0" applyFont="1" applyFill="1" applyBorder="1" applyProtection="1">
      <alignment vertical="center"/>
    </xf>
    <xf numFmtId="0" fontId="146" fillId="16" borderId="0" xfId="0" applyFont="1" applyFill="1" applyBorder="1" applyAlignment="1" applyProtection="1">
      <alignment horizontal="left"/>
    </xf>
    <xf numFmtId="0" fontId="26" fillId="0" borderId="0" xfId="0" applyFont="1" applyFill="1" applyBorder="1" applyAlignment="1" applyProtection="1">
      <alignment vertical="center"/>
      <protection locked="0"/>
    </xf>
    <xf numFmtId="0" fontId="145" fillId="3" borderId="38" xfId="0" applyFont="1" applyFill="1" applyBorder="1" applyAlignment="1" applyProtection="1"/>
    <xf numFmtId="0" fontId="149" fillId="3" borderId="16" xfId="0" applyFont="1" applyFill="1" applyBorder="1" applyAlignment="1" applyProtection="1">
      <alignment vertical="center" wrapText="1"/>
    </xf>
    <xf numFmtId="180" fontId="163" fillId="11" borderId="16" xfId="0" applyNumberFormat="1" applyFont="1" applyFill="1" applyBorder="1" applyAlignment="1" applyProtection="1">
      <alignment horizontal="left"/>
    </xf>
    <xf numFmtId="180" fontId="159" fillId="11" borderId="16" xfId="0" applyNumberFormat="1" applyFont="1" applyFill="1" applyBorder="1" applyAlignment="1" applyProtection="1">
      <alignment horizontal="left"/>
    </xf>
    <xf numFmtId="0" fontId="145" fillId="3" borderId="37" xfId="0" applyFont="1" applyFill="1" applyBorder="1" applyAlignment="1" applyProtection="1">
      <alignment vertical="center"/>
    </xf>
    <xf numFmtId="0" fontId="79" fillId="0" borderId="0" xfId="0" applyFont="1" applyFill="1" applyBorder="1" applyProtection="1">
      <alignment vertical="center"/>
    </xf>
    <xf numFmtId="0" fontId="122" fillId="0" borderId="0" xfId="0" applyFont="1" applyFill="1" applyBorder="1" applyAlignment="1" applyProtection="1">
      <alignment vertical="center" wrapText="1"/>
    </xf>
    <xf numFmtId="0" fontId="158" fillId="11" borderId="38" xfId="0" applyFont="1" applyFill="1" applyBorder="1" applyAlignment="1" applyProtection="1">
      <alignment horizontal="left"/>
    </xf>
    <xf numFmtId="0" fontId="79" fillId="3" borderId="0" xfId="0" applyFont="1" applyFill="1" applyBorder="1" applyAlignment="1" applyProtection="1">
      <alignment vertical="center" wrapText="1"/>
    </xf>
    <xf numFmtId="0" fontId="146" fillId="16" borderId="38" xfId="0" applyFont="1" applyFill="1" applyBorder="1" applyAlignment="1" applyProtection="1"/>
    <xf numFmtId="0" fontId="146" fillId="16" borderId="16" xfId="0" applyFont="1" applyFill="1" applyBorder="1" applyAlignment="1" applyProtection="1"/>
    <xf numFmtId="0" fontId="145" fillId="3" borderId="38" xfId="0" applyFont="1" applyFill="1" applyBorder="1" applyAlignment="1" applyProtection="1">
      <alignment vertical="center" wrapText="1"/>
    </xf>
    <xf numFmtId="0" fontId="146" fillId="3" borderId="38" xfId="0" applyFont="1" applyFill="1" applyBorder="1" applyAlignment="1" applyProtection="1">
      <alignment horizontal="right"/>
    </xf>
    <xf numFmtId="0" fontId="146" fillId="0" borderId="0" xfId="0" applyFont="1" applyFill="1" applyBorder="1" applyAlignment="1" applyProtection="1">
      <alignment horizontal="left" wrapText="1"/>
    </xf>
    <xf numFmtId="0" fontId="146" fillId="0" borderId="0" xfId="0" applyFont="1" applyFill="1" applyAlignment="1" applyProtection="1">
      <alignment horizontal="left"/>
    </xf>
    <xf numFmtId="0" fontId="166" fillId="0" borderId="0" xfId="0" applyFont="1" applyFill="1" applyBorder="1" applyAlignment="1" applyProtection="1">
      <alignment vertical="center" shrinkToFit="1"/>
    </xf>
    <xf numFmtId="0" fontId="99" fillId="0" borderId="0" xfId="0" applyFont="1" applyFill="1" applyBorder="1" applyAlignment="1" applyProtection="1">
      <alignment vertical="center" shrinkToFit="1"/>
    </xf>
    <xf numFmtId="0" fontId="99" fillId="0" borderId="0" xfId="0" applyFont="1" applyBorder="1" applyAlignment="1" applyProtection="1">
      <alignment vertical="center" shrinkToFit="1"/>
    </xf>
    <xf numFmtId="0" fontId="166" fillId="0" borderId="0" xfId="0" applyFont="1" applyAlignment="1" applyProtection="1">
      <alignment vertical="center" shrinkToFit="1"/>
    </xf>
    <xf numFmtId="0" fontId="99" fillId="0" borderId="0" xfId="0" applyFont="1" applyAlignment="1" applyProtection="1">
      <alignment vertical="center" shrinkToFit="1"/>
    </xf>
    <xf numFmtId="0" fontId="144" fillId="0" borderId="0" xfId="0" applyFont="1" applyProtection="1">
      <alignment vertical="center"/>
    </xf>
    <xf numFmtId="0" fontId="99" fillId="0" borderId="0" xfId="0" applyFont="1" applyFill="1" applyBorder="1" applyAlignment="1" applyProtection="1">
      <alignment vertical="top" shrinkToFit="1"/>
    </xf>
    <xf numFmtId="0" fontId="158" fillId="0" borderId="0" xfId="0" applyFont="1" applyFill="1" applyBorder="1" applyAlignment="1" applyProtection="1">
      <alignment horizontal="left" vertical="center"/>
    </xf>
    <xf numFmtId="0" fontId="145" fillId="16" borderId="0" xfId="0" applyFont="1" applyFill="1" applyBorder="1" applyAlignment="1" applyProtection="1">
      <alignment horizontal="left"/>
    </xf>
    <xf numFmtId="0" fontId="168" fillId="0" borderId="0" xfId="0" applyFont="1" applyFill="1" applyAlignment="1" applyProtection="1">
      <alignment horizontal="left" vertical="center"/>
    </xf>
    <xf numFmtId="0" fontId="145" fillId="0" borderId="0" xfId="5" applyFont="1" applyFill="1" applyProtection="1">
      <alignment vertical="center"/>
      <protection hidden="1"/>
    </xf>
    <xf numFmtId="0" fontId="26" fillId="11" borderId="20" xfId="0" applyFont="1" applyFill="1" applyBorder="1" applyAlignment="1" applyProtection="1">
      <alignment vertical="center"/>
    </xf>
    <xf numFmtId="0" fontId="158" fillId="0" borderId="0" xfId="0" applyFont="1" applyFill="1" applyAlignment="1" applyProtection="1">
      <alignment vertical="center"/>
    </xf>
    <xf numFmtId="0" fontId="158" fillId="16" borderId="0" xfId="0" applyFont="1" applyFill="1" applyBorder="1" applyAlignment="1" applyProtection="1">
      <alignment horizontal="left"/>
    </xf>
    <xf numFmtId="0" fontId="168" fillId="0" borderId="5" xfId="0" applyFont="1" applyFill="1" applyBorder="1" applyAlignment="1" applyProtection="1">
      <alignment horizontal="left" vertical="center"/>
    </xf>
    <xf numFmtId="0" fontId="171" fillId="0" borderId="0" xfId="0" applyFont="1" applyFill="1" applyProtection="1">
      <alignment vertical="center"/>
    </xf>
    <xf numFmtId="0" fontId="0" fillId="0" borderId="0" xfId="0" applyNumberFormat="1" applyFont="1" applyBorder="1" applyProtection="1">
      <alignment vertical="center"/>
    </xf>
    <xf numFmtId="0" fontId="79" fillId="3" borderId="1" xfId="0" applyFont="1" applyFill="1" applyBorder="1" applyAlignment="1" applyProtection="1">
      <alignment horizontal="left" vertical="center"/>
    </xf>
    <xf numFmtId="0" fontId="146" fillId="3" borderId="16" xfId="0" applyFont="1" applyFill="1" applyBorder="1" applyAlignment="1" applyProtection="1">
      <alignment horizontal="right"/>
    </xf>
    <xf numFmtId="0" fontId="146" fillId="3" borderId="38" xfId="0" applyFont="1" applyFill="1" applyBorder="1" applyAlignment="1" applyProtection="1">
      <alignment horizontal="right"/>
    </xf>
    <xf numFmtId="0" fontId="165" fillId="0" borderId="0" xfId="0" applyFont="1" applyFill="1" applyBorder="1" applyAlignment="1" applyProtection="1">
      <alignment horizontal="centerContinuous" vertical="center"/>
    </xf>
    <xf numFmtId="0" fontId="144" fillId="0" borderId="0" xfId="0" applyFont="1" applyFill="1" applyAlignment="1" applyProtection="1">
      <alignment horizontal="left" vertical="center"/>
    </xf>
    <xf numFmtId="0" fontId="144" fillId="0" borderId="0" xfId="0" applyFont="1" applyFill="1" applyAlignment="1" applyProtection="1">
      <alignment vertical="center" shrinkToFit="1"/>
    </xf>
    <xf numFmtId="0" fontId="174" fillId="0" borderId="0" xfId="0" applyFont="1" applyFill="1" applyAlignment="1" applyProtection="1">
      <alignment horizontal="right" vertical="center"/>
    </xf>
    <xf numFmtId="0" fontId="144" fillId="0" borderId="0" xfId="0" applyFont="1" applyFill="1" applyAlignment="1" applyProtection="1">
      <alignment vertical="center" wrapText="1"/>
    </xf>
    <xf numFmtId="0" fontId="144" fillId="0" borderId="0" xfId="0" applyFont="1" applyFill="1" applyBorder="1" applyAlignment="1" applyProtection="1">
      <alignment horizontal="left" vertical="center"/>
    </xf>
    <xf numFmtId="0" fontId="13" fillId="13" borderId="4" xfId="0" applyFont="1" applyFill="1" applyBorder="1" applyProtection="1">
      <alignment vertical="center"/>
    </xf>
    <xf numFmtId="0" fontId="178" fillId="0" borderId="0" xfId="0" applyFont="1">
      <alignment vertical="center"/>
    </xf>
    <xf numFmtId="0" fontId="179" fillId="0" borderId="0" xfId="0" applyFont="1" applyFill="1">
      <alignment vertical="center"/>
    </xf>
    <xf numFmtId="0" fontId="179" fillId="0" borderId="0" xfId="0" applyFont="1" applyFill="1" applyAlignment="1">
      <alignment horizontal="left" vertical="center"/>
    </xf>
    <xf numFmtId="0" fontId="179" fillId="0" borderId="0" xfId="0" applyFont="1">
      <alignment vertical="center"/>
    </xf>
    <xf numFmtId="0" fontId="180" fillId="0" borderId="0" xfId="0" applyNumberFormat="1" applyFont="1" applyFill="1" applyAlignment="1">
      <alignment vertical="center" shrinkToFit="1"/>
    </xf>
    <xf numFmtId="49" fontId="180" fillId="0" borderId="0" xfId="0" applyNumberFormat="1" applyFont="1" applyFill="1" applyAlignment="1">
      <alignment horizontal="center" vertical="center" shrinkToFit="1"/>
    </xf>
    <xf numFmtId="49" fontId="180" fillId="0" borderId="0" xfId="0" applyNumberFormat="1" applyFont="1" applyFill="1" applyAlignment="1">
      <alignment vertical="center" shrinkToFit="1"/>
    </xf>
    <xf numFmtId="49" fontId="180" fillId="0" borderId="0" xfId="0" applyNumberFormat="1" applyFont="1" applyFill="1" applyAlignment="1">
      <alignment horizontal="center" vertical="center"/>
    </xf>
    <xf numFmtId="0" fontId="180" fillId="0" borderId="0" xfId="0" applyNumberFormat="1" applyFont="1" applyFill="1" applyAlignment="1">
      <alignment vertical="center"/>
    </xf>
    <xf numFmtId="0" fontId="180" fillId="0" borderId="0" xfId="0" applyFont="1">
      <alignment vertical="center"/>
    </xf>
    <xf numFmtId="0" fontId="180" fillId="0" borderId="0" xfId="0" applyFont="1" applyAlignment="1">
      <alignment vertical="center" shrinkToFit="1"/>
    </xf>
    <xf numFmtId="0" fontId="180" fillId="0" borderId="0" xfId="0" applyFont="1" applyBorder="1">
      <alignment vertical="center"/>
    </xf>
    <xf numFmtId="0" fontId="179" fillId="0" borderId="0" xfId="0" applyNumberFormat="1" applyFont="1" applyFill="1" applyAlignment="1">
      <alignment horizontal="left" vertical="center"/>
    </xf>
    <xf numFmtId="49" fontId="180" fillId="0" borderId="0" xfId="0" applyNumberFormat="1" applyFont="1" applyFill="1" applyAlignment="1">
      <alignment vertical="center"/>
    </xf>
    <xf numFmtId="0" fontId="179" fillId="0" borderId="0" xfId="0" applyFont="1" applyProtection="1">
      <alignment vertical="center"/>
      <protection locked="0"/>
    </xf>
    <xf numFmtId="0" fontId="179" fillId="0" borderId="0" xfId="0" applyNumberFormat="1" applyFont="1" applyFill="1" applyAlignment="1" applyProtection="1">
      <alignment horizontal="left" vertical="center" wrapText="1"/>
    </xf>
    <xf numFmtId="0" fontId="179" fillId="0" borderId="0" xfId="0" applyFont="1" applyAlignment="1" applyProtection="1">
      <alignment vertical="center" wrapText="1"/>
      <protection locked="0"/>
    </xf>
    <xf numFmtId="49" fontId="180" fillId="0" borderId="0" xfId="0" applyNumberFormat="1" applyFont="1" applyFill="1" applyAlignment="1" applyProtection="1">
      <alignment vertical="center"/>
      <protection locked="0"/>
    </xf>
    <xf numFmtId="0" fontId="180" fillId="0" borderId="0" xfId="0" applyFont="1" applyFill="1">
      <alignment vertical="center"/>
    </xf>
    <xf numFmtId="0" fontId="179" fillId="0" borderId="0" xfId="0" applyFont="1" applyFill="1" applyAlignment="1" applyProtection="1">
      <alignment horizontal="left" vertical="center"/>
      <protection locked="0"/>
    </xf>
    <xf numFmtId="0" fontId="181" fillId="0" borderId="0" xfId="0" applyFont="1" applyProtection="1">
      <alignment vertical="center"/>
      <protection locked="0"/>
    </xf>
    <xf numFmtId="49" fontId="180" fillId="0" borderId="4" xfId="0" applyNumberFormat="1" applyFont="1" applyFill="1" applyBorder="1" applyAlignment="1" applyProtection="1">
      <alignment vertical="center"/>
      <protection locked="0"/>
    </xf>
    <xf numFmtId="0" fontId="180" fillId="0" borderId="4" xfId="0" applyNumberFormat="1" applyFont="1" applyFill="1" applyBorder="1" applyAlignment="1">
      <alignment vertical="center" shrinkToFit="1"/>
    </xf>
    <xf numFmtId="49" fontId="180" fillId="0" borderId="4" xfId="0" applyNumberFormat="1" applyFont="1" applyFill="1" applyBorder="1" applyAlignment="1">
      <alignment horizontal="center" vertical="center" shrinkToFit="1"/>
    </xf>
    <xf numFmtId="49" fontId="180" fillId="0" borderId="4" xfId="0" applyNumberFormat="1" applyFont="1" applyFill="1" applyBorder="1" applyAlignment="1">
      <alignment vertical="center" shrinkToFit="1"/>
    </xf>
    <xf numFmtId="49" fontId="180" fillId="0" borderId="4" xfId="0" applyNumberFormat="1" applyFont="1" applyFill="1" applyBorder="1" applyAlignment="1">
      <alignment horizontal="center" vertical="center"/>
    </xf>
    <xf numFmtId="0" fontId="180" fillId="0" borderId="4" xfId="0" applyNumberFormat="1" applyFont="1" applyFill="1" applyBorder="1" applyAlignment="1">
      <alignment vertical="center"/>
    </xf>
    <xf numFmtId="0" fontId="180" fillId="0" borderId="4" xfId="0" applyFont="1" applyFill="1" applyBorder="1">
      <alignment vertical="center"/>
    </xf>
    <xf numFmtId="0" fontId="180" fillId="0" borderId="4" xfId="0" applyFont="1" applyFill="1" applyBorder="1" applyAlignment="1">
      <alignment vertical="center" shrinkToFit="1"/>
    </xf>
    <xf numFmtId="0" fontId="180" fillId="0" borderId="0" xfId="0" applyFont="1" applyFill="1" applyBorder="1">
      <alignment vertical="center"/>
    </xf>
    <xf numFmtId="0" fontId="179" fillId="0" borderId="0" xfId="0" applyFont="1" applyFill="1" applyProtection="1">
      <alignment vertical="center"/>
      <protection locked="0"/>
    </xf>
    <xf numFmtId="0" fontId="182" fillId="0" borderId="0" xfId="0" applyFont="1" applyProtection="1">
      <alignment vertical="center"/>
      <protection locked="0"/>
    </xf>
    <xf numFmtId="0" fontId="180" fillId="0" borderId="0" xfId="0" applyFont="1" applyProtection="1">
      <alignment vertical="center"/>
      <protection locked="0"/>
    </xf>
    <xf numFmtId="0" fontId="180" fillId="0" borderId="4" xfId="0" applyFont="1" applyFill="1" applyBorder="1" applyAlignment="1" applyProtection="1">
      <alignment horizontal="left" vertical="center" shrinkToFit="1"/>
    </xf>
    <xf numFmtId="49" fontId="179" fillId="0" borderId="0" xfId="0" applyNumberFormat="1" applyFont="1" applyFill="1" applyAlignment="1" applyProtection="1">
      <alignment horizontal="left" vertical="center"/>
      <protection locked="0"/>
    </xf>
    <xf numFmtId="0" fontId="179" fillId="0" borderId="0" xfId="0" applyNumberFormat="1" applyFont="1" applyFill="1" applyAlignment="1" applyProtection="1">
      <alignment horizontal="left" vertical="center"/>
      <protection locked="0"/>
    </xf>
    <xf numFmtId="0" fontId="180" fillId="0" borderId="4" xfId="0" applyNumberFormat="1" applyFont="1" applyFill="1" applyBorder="1" applyAlignment="1" applyProtection="1">
      <alignment horizontal="left" vertical="center"/>
    </xf>
    <xf numFmtId="0" fontId="180" fillId="0" borderId="4" xfId="0" applyFont="1" applyFill="1" applyBorder="1" applyAlignment="1" applyProtection="1">
      <alignment horizontal="center" vertical="center"/>
    </xf>
    <xf numFmtId="0" fontId="180" fillId="0" borderId="4" xfId="0" applyNumberFormat="1" applyFont="1" applyFill="1" applyBorder="1" applyAlignment="1">
      <alignment horizontal="left" vertical="center" shrinkToFit="1"/>
    </xf>
    <xf numFmtId="0" fontId="180" fillId="0" borderId="4" xfId="0" applyNumberFormat="1" applyFont="1" applyFill="1" applyBorder="1" applyAlignment="1" applyProtection="1">
      <alignment horizontal="left" vertical="center" shrinkToFit="1"/>
    </xf>
    <xf numFmtId="0" fontId="179" fillId="0" borderId="0" xfId="0" applyFont="1" applyAlignment="1" applyProtection="1">
      <alignment vertical="center" shrinkToFit="1"/>
      <protection locked="0"/>
    </xf>
    <xf numFmtId="0" fontId="180" fillId="0" borderId="4" xfId="0" applyNumberFormat="1" applyFont="1" applyFill="1" applyBorder="1" applyAlignment="1">
      <alignment horizontal="left" vertical="center"/>
    </xf>
    <xf numFmtId="0" fontId="180" fillId="0" borderId="4" xfId="0" applyFont="1" applyFill="1" applyBorder="1" applyAlignment="1">
      <alignment horizontal="center" vertical="center"/>
    </xf>
    <xf numFmtId="0" fontId="183" fillId="0" borderId="0" xfId="0" applyFont="1" applyProtection="1">
      <alignment vertical="center"/>
      <protection locked="0"/>
    </xf>
    <xf numFmtId="0" fontId="183" fillId="0" borderId="0" xfId="0" applyFont="1" applyFill="1" applyProtection="1">
      <alignment vertical="center"/>
      <protection locked="0"/>
    </xf>
    <xf numFmtId="0" fontId="179" fillId="0" borderId="0" xfId="0" applyFont="1" applyAlignment="1" applyProtection="1">
      <alignment vertical="center"/>
      <protection locked="0"/>
    </xf>
    <xf numFmtId="0" fontId="180" fillId="0" borderId="0" xfId="0" applyFont="1" applyBorder="1" applyAlignment="1">
      <alignment vertical="center"/>
    </xf>
    <xf numFmtId="0" fontId="180" fillId="0" borderId="0" xfId="0" applyFont="1" applyAlignment="1">
      <alignment vertical="center"/>
    </xf>
    <xf numFmtId="0" fontId="180" fillId="0" borderId="0" xfId="0" applyFont="1" applyFill="1" applyBorder="1" applyAlignment="1">
      <alignment vertical="center"/>
    </xf>
    <xf numFmtId="0" fontId="180" fillId="0" borderId="4" xfId="0" applyFont="1" applyFill="1" applyBorder="1" applyAlignment="1">
      <alignment vertical="center"/>
    </xf>
    <xf numFmtId="0" fontId="180" fillId="0" borderId="4" xfId="0" applyFont="1" applyFill="1" applyBorder="1" applyAlignment="1" applyProtection="1">
      <alignment horizontal="center" vertical="center" shrinkToFit="1"/>
    </xf>
    <xf numFmtId="0" fontId="180" fillId="0" borderId="4" xfId="0" applyFont="1" applyFill="1" applyBorder="1" applyAlignment="1">
      <alignment horizontal="left" vertical="center"/>
    </xf>
    <xf numFmtId="0" fontId="180" fillId="0" borderId="4" xfId="0" applyFont="1" applyFill="1" applyBorder="1" applyAlignment="1">
      <alignment horizontal="left" vertical="center" shrinkToFit="1"/>
    </xf>
    <xf numFmtId="0" fontId="180" fillId="0" borderId="0" xfId="0" applyFont="1" applyFill="1" applyBorder="1" applyAlignment="1">
      <alignment horizontal="left" vertical="center"/>
    </xf>
    <xf numFmtId="0" fontId="180" fillId="0" borderId="0" xfId="0" applyFont="1" applyBorder="1" applyAlignment="1">
      <alignment horizontal="left" vertical="center"/>
    </xf>
    <xf numFmtId="0" fontId="180" fillId="0" borderId="0" xfId="0" applyFont="1" applyFill="1" applyBorder="1" applyAlignment="1">
      <alignment horizontal="left" vertical="center" shrinkToFit="1"/>
    </xf>
    <xf numFmtId="0" fontId="180" fillId="0" borderId="4" xfId="0" applyNumberFormat="1" applyFont="1" applyFill="1" applyBorder="1" applyAlignment="1" applyProtection="1">
      <alignment horizontal="left" vertical="center" wrapText="1"/>
    </xf>
    <xf numFmtId="0" fontId="180" fillId="0" borderId="4" xfId="0" applyFont="1" applyFill="1" applyBorder="1" applyAlignment="1" applyProtection="1">
      <alignment horizontal="center" vertical="center" wrapText="1"/>
    </xf>
    <xf numFmtId="0" fontId="180" fillId="0" borderId="4" xfId="0" applyNumberFormat="1" applyFont="1" applyFill="1" applyBorder="1" applyAlignment="1">
      <alignment horizontal="left" vertical="center" wrapText="1"/>
    </xf>
    <xf numFmtId="0" fontId="179" fillId="0" borderId="0" xfId="0" applyFont="1" applyFill="1" applyBorder="1" applyAlignment="1" applyProtection="1">
      <alignment vertical="center"/>
      <protection locked="0"/>
    </xf>
    <xf numFmtId="0" fontId="180" fillId="0" borderId="0" xfId="0" applyFont="1" applyAlignment="1">
      <alignment horizontal="left" vertical="center"/>
    </xf>
    <xf numFmtId="0" fontId="179" fillId="0" borderId="0" xfId="0" applyFont="1" applyAlignment="1" applyProtection="1">
      <alignment horizontal="left" vertical="center"/>
      <protection locked="0"/>
    </xf>
    <xf numFmtId="49" fontId="180" fillId="0" borderId="4" xfId="0" applyNumberFormat="1" applyFont="1" applyFill="1" applyBorder="1" applyAlignment="1">
      <alignment vertical="center"/>
    </xf>
    <xf numFmtId="49" fontId="180" fillId="0" borderId="7" xfId="0" applyNumberFormat="1" applyFont="1" applyFill="1" applyBorder="1" applyAlignment="1">
      <alignment horizontal="center" vertical="center" shrinkToFit="1"/>
    </xf>
    <xf numFmtId="49" fontId="180" fillId="0" borderId="0" xfId="0" applyNumberFormat="1" applyFont="1" applyFill="1" applyBorder="1" applyAlignment="1" applyProtection="1">
      <alignment vertical="center"/>
      <protection locked="0"/>
    </xf>
    <xf numFmtId="49" fontId="180" fillId="0" borderId="0" xfId="0" applyNumberFormat="1" applyFont="1" applyFill="1" applyBorder="1" applyAlignment="1">
      <alignment horizontal="center" vertical="center"/>
    </xf>
    <xf numFmtId="0" fontId="180" fillId="0" borderId="0" xfId="0" applyNumberFormat="1" applyFont="1" applyFill="1" applyBorder="1" applyAlignment="1">
      <alignment horizontal="left" vertical="center" shrinkToFit="1"/>
    </xf>
    <xf numFmtId="0" fontId="180" fillId="0" borderId="0" xfId="0" applyNumberFormat="1" applyFont="1" applyFill="1" applyBorder="1" applyAlignment="1">
      <alignment vertical="center" shrinkToFit="1"/>
    </xf>
    <xf numFmtId="0" fontId="180" fillId="0" borderId="0" xfId="0" applyFont="1" applyFill="1" applyBorder="1" applyAlignment="1">
      <alignment vertical="center" shrinkToFit="1"/>
    </xf>
    <xf numFmtId="49" fontId="179" fillId="0" borderId="4" xfId="0" applyNumberFormat="1" applyFont="1" applyFill="1" applyBorder="1" applyAlignment="1" applyProtection="1">
      <alignment vertical="center"/>
      <protection locked="0"/>
    </xf>
    <xf numFmtId="49" fontId="179" fillId="0" borderId="4" xfId="0" applyNumberFormat="1" applyFont="1" applyFill="1" applyBorder="1" applyAlignment="1">
      <alignment horizontal="center" vertical="center" shrinkToFit="1"/>
    </xf>
    <xf numFmtId="49" fontId="179" fillId="0" borderId="4" xfId="0" applyNumberFormat="1" applyFont="1" applyFill="1" applyBorder="1" applyAlignment="1">
      <alignment horizontal="center" vertical="center"/>
    </xf>
    <xf numFmtId="0" fontId="179" fillId="0" borderId="4" xfId="0" applyNumberFormat="1" applyFont="1" applyFill="1" applyBorder="1" applyAlignment="1">
      <alignment vertical="center"/>
    </xf>
    <xf numFmtId="49" fontId="179" fillId="0" borderId="0" xfId="0" applyNumberFormat="1" applyFont="1" applyFill="1" applyAlignment="1">
      <alignment horizontal="center" vertical="center"/>
    </xf>
    <xf numFmtId="0" fontId="179" fillId="0" borderId="0" xfId="0" applyNumberFormat="1" applyFont="1" applyFill="1" applyAlignment="1">
      <alignment vertical="center" shrinkToFit="1"/>
    </xf>
    <xf numFmtId="49" fontId="180" fillId="0" borderId="0" xfId="0" applyNumberFormat="1" applyFont="1">
      <alignment vertical="center"/>
    </xf>
    <xf numFmtId="0" fontId="180" fillId="0" borderId="0" xfId="0" applyFont="1" applyAlignment="1">
      <alignment horizontal="center" vertical="center"/>
    </xf>
    <xf numFmtId="0" fontId="152" fillId="3" borderId="1" xfId="0" applyFont="1" applyFill="1" applyBorder="1" applyAlignment="1" applyProtection="1">
      <alignment horizontal="left" vertical="center"/>
    </xf>
    <xf numFmtId="0" fontId="144" fillId="3" borderId="38" xfId="0" applyFont="1" applyFill="1" applyBorder="1" applyAlignment="1" applyProtection="1"/>
    <xf numFmtId="0" fontId="185" fillId="3" borderId="16" xfId="0" applyFont="1" applyFill="1" applyBorder="1" applyAlignment="1" applyProtection="1"/>
    <xf numFmtId="0" fontId="179" fillId="30" borderId="0" xfId="0" applyFont="1" applyFill="1">
      <alignment vertical="center"/>
    </xf>
    <xf numFmtId="0" fontId="179" fillId="30" borderId="0" xfId="0" applyFont="1" applyFill="1" applyAlignment="1" applyProtection="1">
      <alignment vertical="center" wrapText="1"/>
      <protection locked="0"/>
    </xf>
    <xf numFmtId="0" fontId="181" fillId="30" borderId="0" xfId="0" applyFont="1" applyFill="1" applyProtection="1">
      <alignment vertical="center"/>
      <protection locked="0"/>
    </xf>
    <xf numFmtId="0" fontId="179" fillId="30" borderId="0" xfId="0" applyFont="1" applyFill="1" applyProtection="1">
      <alignment vertical="center"/>
      <protection locked="0"/>
    </xf>
    <xf numFmtId="0" fontId="178" fillId="30" borderId="0" xfId="0" applyFont="1" applyFill="1">
      <alignment vertical="center"/>
    </xf>
    <xf numFmtId="0" fontId="179" fillId="30" borderId="0" xfId="0" applyFont="1" applyFill="1" applyAlignment="1" applyProtection="1">
      <alignment vertical="center" shrinkToFit="1"/>
      <protection locked="0"/>
    </xf>
    <xf numFmtId="0" fontId="179" fillId="30" borderId="0" xfId="0" applyFont="1" applyFill="1" applyBorder="1" applyAlignment="1" applyProtection="1">
      <alignment vertical="center"/>
      <protection locked="0"/>
    </xf>
    <xf numFmtId="0" fontId="179" fillId="30" borderId="0" xfId="0" applyFont="1" applyFill="1" applyAlignment="1" applyProtection="1">
      <alignment horizontal="left" vertical="center"/>
      <protection locked="0"/>
    </xf>
    <xf numFmtId="0" fontId="179" fillId="4" borderId="0" xfId="0" applyFont="1" applyFill="1" applyProtection="1">
      <alignment vertical="center"/>
      <protection locked="0"/>
    </xf>
    <xf numFmtId="0" fontId="13" fillId="0" borderId="197" xfId="0" applyFont="1" applyBorder="1" applyProtection="1">
      <alignment vertical="center"/>
    </xf>
    <xf numFmtId="0" fontId="181" fillId="0" borderId="0" xfId="0" applyFont="1">
      <alignment vertical="center"/>
    </xf>
    <xf numFmtId="0" fontId="181" fillId="0" borderId="0" xfId="0" applyFont="1" applyAlignment="1" applyProtection="1">
      <alignment vertical="center" wrapText="1"/>
      <protection locked="0"/>
    </xf>
    <xf numFmtId="0" fontId="181" fillId="0" borderId="0" xfId="0" applyFont="1" applyAlignment="1" applyProtection="1">
      <alignment vertical="center" shrinkToFit="1"/>
      <protection locked="0"/>
    </xf>
    <xf numFmtId="0" fontId="181" fillId="0" borderId="0" xfId="0" applyFont="1" applyFill="1" applyBorder="1" applyAlignment="1" applyProtection="1">
      <alignment vertical="center"/>
      <protection locked="0"/>
    </xf>
    <xf numFmtId="0" fontId="181" fillId="0" borderId="0" xfId="0" applyFont="1" applyAlignment="1" applyProtection="1">
      <alignment horizontal="left" vertical="center"/>
      <protection locked="0"/>
    </xf>
    <xf numFmtId="0" fontId="13" fillId="13" borderId="197" xfId="0" applyFont="1" applyFill="1" applyBorder="1" applyProtection="1">
      <alignment vertical="center"/>
    </xf>
    <xf numFmtId="0" fontId="0" fillId="0" borderId="2" xfId="0" applyBorder="1" applyProtection="1">
      <alignment vertical="center"/>
    </xf>
    <xf numFmtId="0" fontId="22" fillId="0" borderId="2" xfId="0" applyFont="1" applyBorder="1" applyProtection="1">
      <alignment vertical="center"/>
    </xf>
    <xf numFmtId="0" fontId="13" fillId="0" borderId="10" xfId="0" applyFont="1" applyBorder="1" applyProtection="1">
      <alignment vertical="center"/>
    </xf>
    <xf numFmtId="0" fontId="172" fillId="0" borderId="0" xfId="0" applyFont="1" applyBorder="1" applyProtection="1">
      <alignment vertical="center"/>
    </xf>
    <xf numFmtId="0" fontId="179" fillId="0" borderId="0" xfId="0" applyFont="1" applyAlignment="1">
      <alignment vertical="center"/>
    </xf>
    <xf numFmtId="0" fontId="179" fillId="0" borderId="0" xfId="0" applyFont="1" applyFill="1" applyAlignment="1" applyProtection="1">
      <alignment vertical="center"/>
      <protection locked="0"/>
    </xf>
    <xf numFmtId="0" fontId="179" fillId="0" borderId="0" xfId="0" applyNumberFormat="1" applyFont="1" applyProtection="1">
      <alignment vertical="center"/>
      <protection locked="0"/>
    </xf>
    <xf numFmtId="0" fontId="181" fillId="0" borderId="0" xfId="0" applyNumberFormat="1" applyFont="1" applyProtection="1">
      <alignment vertical="center"/>
      <protection locked="0"/>
    </xf>
    <xf numFmtId="0" fontId="0" fillId="0" borderId="89" xfId="0" applyBorder="1" applyProtection="1">
      <alignment vertical="center"/>
    </xf>
    <xf numFmtId="0" fontId="0" fillId="0" borderId="33" xfId="0" applyBorder="1" applyProtection="1">
      <alignment vertical="center"/>
    </xf>
    <xf numFmtId="0" fontId="0" fillId="13" borderId="197" xfId="0" applyFill="1" applyBorder="1" applyProtection="1">
      <alignment vertical="center"/>
    </xf>
    <xf numFmtId="0" fontId="0" fillId="13" borderId="4" xfId="0" applyFont="1" applyFill="1" applyBorder="1" applyProtection="1">
      <alignment vertical="center"/>
    </xf>
    <xf numFmtId="0" fontId="0" fillId="0" borderId="33" xfId="0" applyNumberFormat="1" applyFont="1" applyBorder="1" applyProtection="1">
      <alignment vertical="center"/>
    </xf>
    <xf numFmtId="0" fontId="0" fillId="0" borderId="99" xfId="0" applyNumberFormat="1" applyFont="1" applyBorder="1" applyProtection="1">
      <alignment vertical="center"/>
    </xf>
    <xf numFmtId="0" fontId="0" fillId="0" borderId="197" xfId="0" applyNumberFormat="1" applyFont="1" applyBorder="1" applyProtection="1">
      <alignment vertical="center"/>
    </xf>
    <xf numFmtId="49" fontId="13" fillId="0" borderId="7" xfId="0" applyNumberFormat="1" applyFont="1" applyFill="1" applyBorder="1" applyAlignment="1" applyProtection="1">
      <alignment vertical="center" shrinkToFit="1"/>
    </xf>
    <xf numFmtId="0" fontId="13" fillId="0" borderId="7" xfId="0" applyNumberFormat="1" applyFont="1" applyFill="1" applyBorder="1" applyAlignment="1" applyProtection="1">
      <alignment vertical="center" shrinkToFit="1"/>
    </xf>
    <xf numFmtId="49" fontId="13" fillId="0" borderId="33" xfId="0" applyNumberFormat="1" applyFont="1" applyFill="1" applyBorder="1" applyAlignment="1" applyProtection="1">
      <alignment vertical="center" shrinkToFit="1"/>
    </xf>
    <xf numFmtId="0" fontId="13" fillId="13" borderId="197" xfId="0" applyNumberFormat="1" applyFont="1" applyFill="1" applyBorder="1" applyAlignment="1" applyProtection="1">
      <alignment vertical="center" shrinkToFit="1"/>
    </xf>
    <xf numFmtId="0" fontId="141" fillId="0" borderId="0" xfId="0" applyFont="1" applyFill="1" applyBorder="1" applyAlignment="1" applyProtection="1">
      <alignment horizontal="left" vertical="center"/>
    </xf>
    <xf numFmtId="0" fontId="23" fillId="13" borderId="4" xfId="0" applyFont="1" applyFill="1" applyBorder="1" applyProtection="1">
      <alignment vertical="center"/>
    </xf>
    <xf numFmtId="0" fontId="23" fillId="0" borderId="33" xfId="0" applyFont="1" applyFill="1" applyBorder="1" applyProtection="1">
      <alignment vertical="center"/>
    </xf>
    <xf numFmtId="0" fontId="23" fillId="0" borderId="99" xfId="0" applyFont="1" applyFill="1" applyBorder="1" applyProtection="1">
      <alignment vertical="center"/>
    </xf>
    <xf numFmtId="0" fontId="23" fillId="0" borderId="197" xfId="0" applyFont="1" applyFill="1" applyBorder="1" applyProtection="1">
      <alignment vertical="center"/>
    </xf>
    <xf numFmtId="0" fontId="23" fillId="0" borderId="198" xfId="0" applyFont="1" applyFill="1" applyBorder="1" applyProtection="1">
      <alignment vertical="center"/>
    </xf>
    <xf numFmtId="0" fontId="0" fillId="13" borderId="199" xfId="0" applyFont="1" applyFill="1" applyBorder="1" applyProtection="1">
      <alignment vertical="center"/>
    </xf>
    <xf numFmtId="0" fontId="0" fillId="13" borderId="200" xfId="0" applyFont="1" applyFill="1" applyBorder="1" applyProtection="1">
      <alignment vertical="center"/>
    </xf>
    <xf numFmtId="181" fontId="23" fillId="0" borderId="5" xfId="0" applyNumberFormat="1" applyFont="1" applyFill="1" applyBorder="1" applyProtection="1">
      <alignment vertical="center"/>
    </xf>
    <xf numFmtId="181" fontId="23" fillId="0" borderId="0" xfId="0" applyNumberFormat="1" applyFont="1" applyFill="1" applyBorder="1" applyProtection="1">
      <alignment vertical="center"/>
    </xf>
    <xf numFmtId="0" fontId="0" fillId="0" borderId="197" xfId="0" applyFont="1" applyBorder="1" applyProtection="1">
      <alignment vertical="center"/>
    </xf>
    <xf numFmtId="0" fontId="26" fillId="3" borderId="0" xfId="0" applyFont="1" applyFill="1" applyBorder="1" applyAlignment="1" applyProtection="1">
      <alignment horizontal="left" vertical="center" wrapText="1"/>
    </xf>
    <xf numFmtId="0" fontId="40" fillId="0" borderId="4" xfId="0" applyFont="1" applyBorder="1" applyAlignment="1" applyProtection="1">
      <alignment vertical="center"/>
      <protection hidden="1"/>
    </xf>
    <xf numFmtId="0" fontId="184" fillId="13" borderId="0" xfId="0" applyFont="1" applyFill="1">
      <alignment vertical="center"/>
    </xf>
    <xf numFmtId="0" fontId="179" fillId="13" borderId="0" xfId="0" applyFont="1" applyFill="1">
      <alignment vertical="center"/>
    </xf>
    <xf numFmtId="0" fontId="179" fillId="13" borderId="0" xfId="0" applyFont="1" applyFill="1" applyProtection="1">
      <alignment vertical="center"/>
      <protection locked="0"/>
    </xf>
    <xf numFmtId="0" fontId="181" fillId="13" borderId="0" xfId="0" applyFont="1" applyFill="1" applyProtection="1">
      <alignment vertical="center"/>
      <protection locked="0"/>
    </xf>
    <xf numFmtId="0" fontId="182" fillId="13" borderId="0" xfId="0" applyFont="1" applyFill="1" applyProtection="1">
      <alignment vertical="center"/>
      <protection locked="0"/>
    </xf>
    <xf numFmtId="0" fontId="180" fillId="13" borderId="0" xfId="0" applyFont="1" applyFill="1" applyProtection="1">
      <alignment vertical="center"/>
      <protection locked="0"/>
    </xf>
    <xf numFmtId="0" fontId="178" fillId="13" borderId="0" xfId="0" applyFont="1" applyFill="1">
      <alignment vertical="center"/>
    </xf>
    <xf numFmtId="0" fontId="179" fillId="13" borderId="0" xfId="0" applyFont="1" applyFill="1" applyAlignment="1" applyProtection="1">
      <alignment vertical="center" shrinkToFit="1"/>
      <protection locked="0"/>
    </xf>
    <xf numFmtId="0" fontId="183" fillId="13" borderId="0" xfId="0" applyFont="1" applyFill="1" applyProtection="1">
      <alignment vertical="center"/>
      <protection locked="0"/>
    </xf>
    <xf numFmtId="0" fontId="179" fillId="13" borderId="0" xfId="0" applyFont="1" applyFill="1" applyBorder="1" applyAlignment="1" applyProtection="1">
      <alignment vertical="center"/>
      <protection locked="0"/>
    </xf>
    <xf numFmtId="0" fontId="179" fillId="13" borderId="0" xfId="0" applyFont="1" applyFill="1" applyAlignment="1" applyProtection="1">
      <alignment horizontal="left" vertical="center"/>
      <protection locked="0"/>
    </xf>
    <xf numFmtId="0" fontId="65" fillId="0" borderId="0" xfId="0" applyFont="1" applyProtection="1">
      <alignment vertical="center"/>
      <protection hidden="1"/>
    </xf>
    <xf numFmtId="0" fontId="65" fillId="0" borderId="0" xfId="0" applyFont="1" applyBorder="1" applyProtection="1">
      <alignment vertical="center"/>
      <protection hidden="1"/>
    </xf>
    <xf numFmtId="0" fontId="186" fillId="0" borderId="0" xfId="0" applyFont="1" applyProtection="1">
      <alignment vertical="center"/>
      <protection hidden="1"/>
    </xf>
    <xf numFmtId="0" fontId="40" fillId="0" borderId="0" xfId="0" applyFont="1" applyAlignment="1" applyProtection="1">
      <alignment horizontal="center" vertical="top" wrapText="1"/>
      <protection hidden="1"/>
    </xf>
    <xf numFmtId="0" fontId="160" fillId="34" borderId="0" xfId="0" applyFont="1" applyFill="1" applyAlignment="1" applyProtection="1">
      <alignment vertical="center" wrapText="1"/>
    </xf>
    <xf numFmtId="0" fontId="142" fillId="34" borderId="0" xfId="0" applyFont="1" applyFill="1" applyAlignment="1" applyProtection="1">
      <alignment vertical="center" wrapText="1"/>
    </xf>
    <xf numFmtId="0" fontId="160" fillId="34" borderId="0" xfId="0" applyFont="1" applyFill="1" applyAlignment="1" applyProtection="1">
      <alignment vertical="center"/>
    </xf>
    <xf numFmtId="0" fontId="161" fillId="34" borderId="0" xfId="0" applyFont="1" applyFill="1" applyBorder="1" applyAlignment="1" applyProtection="1">
      <alignment vertical="center"/>
    </xf>
    <xf numFmtId="0" fontId="142" fillId="34" borderId="0" xfId="0" applyFont="1" applyFill="1" applyAlignment="1" applyProtection="1">
      <alignment horizontal="center" vertical="center"/>
    </xf>
    <xf numFmtId="0" fontId="160" fillId="34" borderId="0" xfId="0" applyFont="1" applyFill="1" applyAlignment="1" applyProtection="1">
      <alignment horizontal="left" vertical="center"/>
    </xf>
    <xf numFmtId="0" fontId="160" fillId="34" borderId="0" xfId="0" applyFont="1" applyFill="1" applyAlignment="1" applyProtection="1">
      <alignment horizontal="left" vertical="center" wrapText="1"/>
    </xf>
    <xf numFmtId="0" fontId="0" fillId="0" borderId="179" xfId="0" applyFont="1" applyFill="1" applyBorder="1" applyAlignment="1" applyProtection="1">
      <alignment horizontal="left" vertical="center"/>
    </xf>
    <xf numFmtId="14" fontId="137" fillId="0" borderId="68" xfId="0" applyNumberFormat="1" applyFont="1" applyFill="1" applyBorder="1" applyAlignment="1" applyProtection="1">
      <alignment vertical="center" wrapText="1"/>
    </xf>
    <xf numFmtId="0" fontId="187" fillId="0" borderId="0" xfId="0" applyFont="1" applyFill="1" applyBorder="1" applyAlignment="1" applyProtection="1">
      <alignment vertical="center"/>
    </xf>
    <xf numFmtId="0" fontId="188" fillId="0" borderId="0" xfId="0" applyFont="1" applyFill="1" applyAlignment="1" applyProtection="1">
      <alignment vertical="center"/>
    </xf>
    <xf numFmtId="0" fontId="188" fillId="0" borderId="4" xfId="0" applyFont="1" applyFill="1" applyBorder="1" applyAlignment="1" applyProtection="1">
      <alignment vertical="center"/>
    </xf>
    <xf numFmtId="0" fontId="141" fillId="0" borderId="0" xfId="0" applyFont="1" applyFill="1" applyAlignment="1" applyProtection="1">
      <alignment vertical="center" wrapText="1"/>
    </xf>
    <xf numFmtId="14" fontId="137" fillId="0" borderId="4" xfId="0" applyNumberFormat="1" applyFont="1" applyFill="1" applyBorder="1" applyAlignment="1" applyProtection="1">
      <alignment vertical="center" wrapText="1"/>
    </xf>
    <xf numFmtId="14" fontId="137" fillId="0" borderId="33" xfId="0" applyNumberFormat="1" applyFont="1" applyFill="1" applyBorder="1" applyAlignment="1" applyProtection="1">
      <alignment vertical="center" wrapText="1"/>
    </xf>
    <xf numFmtId="14" fontId="137" fillId="0" borderId="38" xfId="0" applyNumberFormat="1" applyFont="1" applyFill="1" applyBorder="1" applyAlignment="1" applyProtection="1">
      <alignment vertical="center" wrapText="1"/>
    </xf>
    <xf numFmtId="14" fontId="137" fillId="0" borderId="0" xfId="0" applyNumberFormat="1" applyFont="1" applyAlignment="1" applyProtection="1">
      <alignment vertical="center"/>
    </xf>
    <xf numFmtId="14" fontId="137" fillId="0" borderId="0" xfId="0" applyNumberFormat="1" applyFont="1" applyFill="1" applyAlignment="1" applyProtection="1">
      <alignment vertical="center" wrapText="1"/>
    </xf>
    <xf numFmtId="14" fontId="137" fillId="0" borderId="17" xfId="0" applyNumberFormat="1" applyFont="1" applyFill="1" applyBorder="1" applyAlignment="1" applyProtection="1">
      <alignment vertical="center" wrapText="1"/>
    </xf>
    <xf numFmtId="0" fontId="137" fillId="0" borderId="75" xfId="0" applyFont="1" applyFill="1" applyBorder="1" applyAlignment="1" applyProtection="1">
      <alignment horizontal="left" vertical="center"/>
    </xf>
    <xf numFmtId="0" fontId="137" fillId="0" borderId="46" xfId="2" applyFont="1" applyBorder="1" applyAlignment="1" applyProtection="1">
      <alignment horizontal="left" vertical="center"/>
    </xf>
    <xf numFmtId="0" fontId="137" fillId="0" borderId="68" xfId="2" applyFont="1" applyBorder="1" applyAlignment="1" applyProtection="1">
      <alignment horizontal="left" vertical="center"/>
    </xf>
    <xf numFmtId="0" fontId="137" fillId="0" borderId="41" xfId="2" applyFont="1" applyBorder="1" applyAlignment="1" applyProtection="1">
      <alignment horizontal="left" vertical="center"/>
    </xf>
    <xf numFmtId="0" fontId="137" fillId="4" borderId="4" xfId="0" applyFont="1" applyFill="1" applyBorder="1" applyAlignment="1" applyProtection="1">
      <alignment horizontal="left" vertical="center" wrapText="1"/>
    </xf>
    <xf numFmtId="0" fontId="188" fillId="0" borderId="68" xfId="2" applyFont="1" applyFill="1" applyBorder="1" applyAlignment="1" applyProtection="1">
      <alignment horizontal="left" vertical="center" shrinkToFit="1"/>
    </xf>
    <xf numFmtId="0" fontId="137" fillId="0" borderId="18" xfId="0" applyFont="1" applyFill="1" applyBorder="1" applyAlignment="1" applyProtection="1">
      <alignment horizontal="left" vertical="center" wrapText="1"/>
    </xf>
    <xf numFmtId="0" fontId="137" fillId="0" borderId="97" xfId="0" applyFont="1" applyFill="1" applyBorder="1" applyAlignment="1" applyProtection="1">
      <alignment horizontal="left" vertical="center" wrapText="1"/>
    </xf>
    <xf numFmtId="0" fontId="137" fillId="0" borderId="75" xfId="0" applyFont="1" applyBorder="1" applyAlignment="1" applyProtection="1">
      <alignment horizontal="left" vertical="center"/>
    </xf>
    <xf numFmtId="0" fontId="141" fillId="0" borderId="0" xfId="0" applyFont="1" applyAlignment="1" applyProtection="1">
      <alignment vertical="center"/>
    </xf>
    <xf numFmtId="0" fontId="141" fillId="0" borderId="0" xfId="0" applyFont="1" applyAlignment="1" applyProtection="1">
      <alignment horizontal="left" vertical="center"/>
    </xf>
    <xf numFmtId="0" fontId="137" fillId="0" borderId="0" xfId="0" applyFont="1" applyProtection="1">
      <alignment vertical="center"/>
    </xf>
    <xf numFmtId="0" fontId="26" fillId="3" borderId="0" xfId="0" applyFont="1" applyFill="1" applyBorder="1" applyAlignment="1" applyProtection="1">
      <alignment vertical="center" wrapText="1"/>
    </xf>
    <xf numFmtId="0" fontId="0" fillId="13" borderId="4" xfId="0" applyFont="1" applyFill="1" applyBorder="1" applyAlignment="1" applyProtection="1">
      <alignment horizontal="left" vertical="center"/>
    </xf>
    <xf numFmtId="0" fontId="179" fillId="35" borderId="0" xfId="0" applyFont="1" applyFill="1">
      <alignment vertical="center"/>
    </xf>
    <xf numFmtId="0" fontId="179" fillId="35" borderId="0" xfId="0" applyFont="1" applyFill="1" applyAlignment="1">
      <alignment horizontal="left" vertical="center"/>
    </xf>
    <xf numFmtId="0" fontId="179" fillId="35" borderId="0" xfId="0" applyFont="1" applyFill="1" applyAlignment="1" applyProtection="1">
      <alignment horizontal="left" vertical="center"/>
      <protection locked="0"/>
    </xf>
    <xf numFmtId="0" fontId="179" fillId="35" borderId="0" xfId="0" applyFont="1" applyFill="1" applyProtection="1">
      <alignment vertical="center"/>
      <protection locked="0"/>
    </xf>
    <xf numFmtId="0" fontId="181" fillId="35" borderId="0" xfId="0" applyFont="1" applyFill="1" applyProtection="1">
      <alignment vertical="center"/>
      <protection locked="0"/>
    </xf>
    <xf numFmtId="0" fontId="179" fillId="35" borderId="0" xfId="0" applyFont="1" applyFill="1" applyAlignment="1" applyProtection="1">
      <alignment vertical="center"/>
      <protection locked="0"/>
    </xf>
    <xf numFmtId="49" fontId="180" fillId="35" borderId="4" xfId="0" applyNumberFormat="1" applyFont="1" applyFill="1" applyBorder="1" applyAlignment="1" applyProtection="1">
      <alignment vertical="center"/>
      <protection locked="0"/>
    </xf>
    <xf numFmtId="0" fontId="180" fillId="35" borderId="4" xfId="0" applyNumberFormat="1" applyFont="1" applyFill="1" applyBorder="1" applyAlignment="1">
      <alignment vertical="center" shrinkToFit="1"/>
    </xf>
    <xf numFmtId="49" fontId="180" fillId="35" borderId="4" xfId="0" applyNumberFormat="1" applyFont="1" applyFill="1" applyBorder="1" applyAlignment="1">
      <alignment horizontal="center" vertical="center" shrinkToFit="1"/>
    </xf>
    <xf numFmtId="49" fontId="180" fillId="35" borderId="4" xfId="0" applyNumberFormat="1" applyFont="1" applyFill="1" applyBorder="1" applyAlignment="1">
      <alignment horizontal="center" vertical="center"/>
    </xf>
    <xf numFmtId="0" fontId="180" fillId="35" borderId="4" xfId="0" applyFont="1" applyFill="1" applyBorder="1">
      <alignment vertical="center"/>
    </xf>
    <xf numFmtId="0" fontId="180" fillId="35" borderId="4" xfId="0" applyFont="1" applyFill="1" applyBorder="1" applyAlignment="1">
      <alignment vertical="center" shrinkToFit="1"/>
    </xf>
    <xf numFmtId="0" fontId="180" fillId="35" borderId="0" xfId="0" applyFont="1" applyFill="1" applyBorder="1">
      <alignment vertical="center"/>
    </xf>
    <xf numFmtId="0" fontId="180" fillId="35" borderId="0" xfId="0" applyFont="1" applyFill="1">
      <alignment vertical="center"/>
    </xf>
    <xf numFmtId="0" fontId="182" fillId="35" borderId="0" xfId="0" applyFont="1" applyFill="1" applyProtection="1">
      <alignment vertical="center"/>
      <protection locked="0"/>
    </xf>
    <xf numFmtId="49" fontId="180" fillId="35" borderId="4" xfId="0" applyNumberFormat="1" applyFont="1" applyFill="1" applyBorder="1" applyAlignment="1">
      <alignment vertical="center" shrinkToFit="1"/>
    </xf>
    <xf numFmtId="0" fontId="180" fillId="35" borderId="4" xfId="0" applyNumberFormat="1" applyFont="1" applyFill="1" applyBorder="1" applyAlignment="1">
      <alignment vertical="center"/>
    </xf>
    <xf numFmtId="0" fontId="180" fillId="35" borderId="0" xfId="0" applyFont="1" applyFill="1" applyAlignment="1">
      <alignment horizontal="left" vertical="center"/>
    </xf>
    <xf numFmtId="0" fontId="180" fillId="35" borderId="0" xfId="0" applyFont="1" applyFill="1" applyProtection="1">
      <alignment vertical="center"/>
      <protection locked="0"/>
    </xf>
    <xf numFmtId="0" fontId="180" fillId="35" borderId="4" xfId="0" applyFont="1" applyFill="1" applyBorder="1" applyAlignment="1" applyProtection="1">
      <alignment horizontal="left" vertical="center" shrinkToFit="1"/>
    </xf>
    <xf numFmtId="0" fontId="179" fillId="20" borderId="0" xfId="0" applyFont="1" applyFill="1" applyProtection="1">
      <alignment vertical="center"/>
      <protection locked="0"/>
    </xf>
    <xf numFmtId="0" fontId="180" fillId="35" borderId="7" xfId="0" applyFont="1" applyFill="1" applyBorder="1" applyAlignment="1" applyProtection="1">
      <alignment vertical="center"/>
    </xf>
    <xf numFmtId="0" fontId="180" fillId="35" borderId="8" xfId="0" applyFont="1" applyFill="1" applyBorder="1" applyAlignment="1" applyProtection="1">
      <alignment vertical="center"/>
    </xf>
    <xf numFmtId="0" fontId="180" fillId="35" borderId="9" xfId="0" applyFont="1" applyFill="1" applyBorder="1" applyAlignment="1" applyProtection="1">
      <alignment vertical="center"/>
    </xf>
    <xf numFmtId="0" fontId="13" fillId="13" borderId="33" xfId="0" applyFont="1" applyFill="1" applyBorder="1" applyProtection="1">
      <alignment vertical="center"/>
    </xf>
    <xf numFmtId="0" fontId="13" fillId="0" borderId="197" xfId="0" applyFont="1" applyFill="1" applyBorder="1" applyProtection="1">
      <alignment vertical="center"/>
    </xf>
    <xf numFmtId="0" fontId="179" fillId="0" borderId="0" xfId="0" applyNumberFormat="1" applyFont="1" applyAlignment="1" applyProtection="1">
      <alignment vertical="center"/>
      <protection locked="0"/>
    </xf>
    <xf numFmtId="0" fontId="180" fillId="35" borderId="0" xfId="0" applyFont="1" applyFill="1" applyAlignment="1" applyProtection="1">
      <alignment vertical="center" shrinkToFit="1"/>
      <protection locked="0"/>
    </xf>
    <xf numFmtId="0" fontId="179" fillId="35" borderId="0" xfId="0" applyFont="1" applyFill="1" applyAlignment="1" applyProtection="1">
      <alignment vertical="center" shrinkToFit="1"/>
      <protection locked="0"/>
    </xf>
    <xf numFmtId="0" fontId="181" fillId="35" borderId="0" xfId="0" applyFont="1" applyFill="1" applyAlignment="1" applyProtection="1">
      <alignment vertical="center" shrinkToFit="1"/>
      <protection locked="0"/>
    </xf>
    <xf numFmtId="0" fontId="180" fillId="35" borderId="4" xfId="0" applyNumberFormat="1" applyFont="1" applyFill="1" applyBorder="1" applyAlignment="1" applyProtection="1">
      <alignment horizontal="left" vertical="center"/>
    </xf>
    <xf numFmtId="0" fontId="180" fillId="35" borderId="4" xfId="0" applyFont="1" applyFill="1" applyBorder="1" applyAlignment="1" applyProtection="1">
      <alignment horizontal="center" vertical="center"/>
    </xf>
    <xf numFmtId="0" fontId="180" fillId="35" borderId="4" xfId="0" applyNumberFormat="1" applyFont="1" applyFill="1" applyBorder="1" applyAlignment="1" applyProtection="1">
      <alignment horizontal="left" vertical="center" shrinkToFit="1"/>
    </xf>
    <xf numFmtId="0" fontId="179" fillId="20" borderId="0" xfId="0" applyFont="1" applyFill="1" applyAlignment="1" applyProtection="1">
      <alignment vertical="center" shrinkToFit="1"/>
      <protection locked="0"/>
    </xf>
    <xf numFmtId="0" fontId="81" fillId="0" borderId="0" xfId="0" applyFont="1" applyFill="1" applyBorder="1" applyAlignment="1" applyProtection="1">
      <alignment vertical="center" wrapText="1"/>
    </xf>
    <xf numFmtId="0" fontId="146" fillId="3" borderId="16" xfId="0" applyFont="1" applyFill="1" applyBorder="1" applyAlignment="1" applyProtection="1">
      <alignment horizontal="right"/>
    </xf>
    <xf numFmtId="0" fontId="179" fillId="33" borderId="0" xfId="0" applyFont="1" applyFill="1" applyProtection="1">
      <alignment vertical="center"/>
      <protection locked="0"/>
    </xf>
    <xf numFmtId="0" fontId="179" fillId="33" borderId="0" xfId="0" applyFont="1" applyFill="1">
      <alignment vertical="center"/>
    </xf>
    <xf numFmtId="0" fontId="179" fillId="33" borderId="0" xfId="0" applyNumberFormat="1" applyFont="1" applyFill="1" applyProtection="1">
      <alignment vertical="center"/>
      <protection locked="0"/>
    </xf>
    <xf numFmtId="0" fontId="183" fillId="35" borderId="0" xfId="0" applyFont="1" applyFill="1" applyProtection="1">
      <alignment vertical="center"/>
      <protection locked="0"/>
    </xf>
    <xf numFmtId="0" fontId="184" fillId="35" borderId="0" xfId="0" applyFont="1" applyFill="1" applyProtection="1">
      <alignment vertical="center"/>
      <protection locked="0"/>
    </xf>
    <xf numFmtId="0" fontId="180" fillId="0" borderId="0" xfId="0" applyFont="1" applyFill="1" applyProtection="1">
      <alignment vertical="center"/>
      <protection locked="0"/>
    </xf>
    <xf numFmtId="0" fontId="168" fillId="0" borderId="0" xfId="0" applyFont="1" applyFill="1" applyBorder="1" applyAlignment="1" applyProtection="1">
      <alignment horizontal="left" vertical="center"/>
    </xf>
    <xf numFmtId="0" fontId="0" fillId="13" borderId="197" xfId="0" applyNumberFormat="1" applyFont="1" applyFill="1" applyBorder="1" applyProtection="1">
      <alignment vertical="center"/>
    </xf>
    <xf numFmtId="0" fontId="183" fillId="35" borderId="0" xfId="0" applyNumberFormat="1" applyFont="1" applyFill="1" applyAlignment="1">
      <alignment horizontal="left" vertical="center"/>
    </xf>
    <xf numFmtId="0" fontId="179" fillId="0" borderId="0" xfId="0" applyNumberFormat="1" applyFont="1" applyAlignment="1">
      <alignment vertical="center"/>
    </xf>
    <xf numFmtId="0" fontId="179" fillId="4" borderId="0" xfId="0" applyNumberFormat="1" applyFont="1" applyFill="1" applyAlignment="1">
      <alignment horizontal="left" vertical="center"/>
    </xf>
    <xf numFmtId="0" fontId="178" fillId="0" borderId="0" xfId="0" applyNumberFormat="1" applyFont="1" applyAlignment="1" applyProtection="1">
      <alignment vertical="center"/>
      <protection locked="0"/>
    </xf>
    <xf numFmtId="0" fontId="179" fillId="35" borderId="0" xfId="0" applyNumberFormat="1" applyFont="1" applyFill="1" applyAlignment="1" applyProtection="1">
      <alignment vertical="center"/>
      <protection locked="0"/>
    </xf>
    <xf numFmtId="0" fontId="183" fillId="0" borderId="0" xfId="0" applyNumberFormat="1" applyFont="1" applyFill="1" applyAlignment="1">
      <alignment horizontal="left" vertical="center"/>
    </xf>
    <xf numFmtId="0" fontId="179" fillId="0" borderId="0" xfId="0" applyNumberFormat="1" applyFont="1" applyAlignment="1" applyProtection="1">
      <alignment horizontal="left" vertical="center"/>
      <protection locked="0"/>
    </xf>
    <xf numFmtId="0" fontId="179" fillId="35" borderId="0" xfId="0" applyFont="1" applyFill="1" applyAlignment="1">
      <alignment vertical="center"/>
    </xf>
    <xf numFmtId="0" fontId="181" fillId="35" borderId="0" xfId="0" applyFont="1" applyFill="1" applyAlignment="1" applyProtection="1">
      <alignment vertical="center"/>
      <protection locked="0"/>
    </xf>
    <xf numFmtId="0" fontId="180" fillId="35" borderId="4" xfId="0" applyFont="1" applyFill="1" applyBorder="1" applyAlignment="1">
      <alignment horizontal="center" vertical="center"/>
    </xf>
    <xf numFmtId="0" fontId="180" fillId="35" borderId="0" xfId="0" applyFont="1" applyFill="1" applyBorder="1" applyAlignment="1">
      <alignment vertical="center"/>
    </xf>
    <xf numFmtId="0" fontId="180" fillId="35" borderId="0" xfId="0" applyFont="1" applyFill="1" applyAlignment="1">
      <alignment vertical="center"/>
    </xf>
    <xf numFmtId="0" fontId="179" fillId="33" borderId="0" xfId="0" applyFont="1" applyFill="1" applyAlignment="1" applyProtection="1">
      <alignment vertical="center"/>
      <protection locked="0"/>
    </xf>
    <xf numFmtId="0" fontId="13" fillId="13" borderId="99" xfId="0" applyFont="1" applyFill="1" applyBorder="1" applyProtection="1">
      <alignment vertical="center"/>
    </xf>
    <xf numFmtId="0" fontId="179" fillId="20" borderId="0" xfId="0" applyFont="1" applyFill="1" applyAlignment="1" applyProtection="1">
      <alignment vertical="center"/>
      <protection locked="0"/>
    </xf>
    <xf numFmtId="0" fontId="13" fillId="0" borderId="57" xfId="0" applyFont="1" applyBorder="1" applyProtection="1">
      <alignment vertical="center"/>
      <protection locked="0"/>
    </xf>
    <xf numFmtId="0" fontId="0" fillId="13" borderId="197" xfId="0" applyFont="1" applyFill="1" applyBorder="1" applyProtection="1">
      <alignment vertical="center"/>
    </xf>
    <xf numFmtId="0" fontId="180" fillId="35" borderId="4" xfId="0" applyFont="1" applyFill="1" applyBorder="1" applyAlignment="1">
      <alignment vertical="center"/>
    </xf>
    <xf numFmtId="0" fontId="180" fillId="35" borderId="4" xfId="0" applyNumberFormat="1" applyFont="1" applyFill="1" applyBorder="1" applyAlignment="1">
      <alignment horizontal="left" vertical="center" shrinkToFit="1"/>
    </xf>
    <xf numFmtId="0" fontId="179" fillId="35" borderId="0" xfId="0" applyNumberFormat="1" applyFont="1" applyFill="1" applyAlignment="1">
      <alignment horizontal="left" vertical="center"/>
    </xf>
    <xf numFmtId="0" fontId="180" fillId="35" borderId="4" xfId="0" applyFont="1" applyFill="1" applyBorder="1" applyAlignment="1" applyProtection="1">
      <alignment horizontal="center" vertical="center" shrinkToFit="1"/>
    </xf>
    <xf numFmtId="0" fontId="13" fillId="0" borderId="33" xfId="0" applyFont="1" applyBorder="1" applyProtection="1">
      <alignment vertical="center"/>
      <protection locked="0"/>
    </xf>
    <xf numFmtId="0" fontId="13" fillId="13" borderId="33" xfId="0" applyNumberFormat="1" applyFont="1" applyFill="1" applyBorder="1" applyProtection="1">
      <alignment vertical="center"/>
    </xf>
    <xf numFmtId="0" fontId="13" fillId="13" borderId="201" xfId="0" applyNumberFormat="1" applyFont="1" applyFill="1" applyBorder="1" applyProtection="1">
      <alignment vertical="center"/>
    </xf>
    <xf numFmtId="0" fontId="13" fillId="13" borderId="202" xfId="0" applyNumberFormat="1" applyFont="1" applyFill="1" applyBorder="1" applyProtection="1">
      <alignment vertical="center"/>
    </xf>
    <xf numFmtId="0" fontId="13" fillId="0" borderId="203" xfId="0" applyFont="1" applyBorder="1" applyProtection="1">
      <alignment vertical="center"/>
    </xf>
    <xf numFmtId="186" fontId="179" fillId="0" borderId="0" xfId="0" applyNumberFormat="1" applyFont="1" applyAlignment="1" applyProtection="1">
      <alignment vertical="center"/>
      <protection locked="0"/>
    </xf>
    <xf numFmtId="0" fontId="180" fillId="35" borderId="4" xfId="0" applyFont="1" applyFill="1" applyBorder="1" applyAlignment="1">
      <alignment horizontal="center" vertical="center" shrinkToFit="1"/>
    </xf>
    <xf numFmtId="0" fontId="180" fillId="35" borderId="4" xfId="0" applyFont="1" applyFill="1" applyBorder="1" applyAlignment="1">
      <alignment horizontal="left" vertical="center"/>
    </xf>
    <xf numFmtId="0" fontId="180" fillId="35" borderId="4" xfId="0" applyFont="1" applyFill="1" applyBorder="1" applyAlignment="1">
      <alignment horizontal="left" vertical="center" shrinkToFit="1"/>
    </xf>
    <xf numFmtId="0" fontId="180" fillId="35" borderId="0" xfId="0" applyFont="1" applyFill="1" applyBorder="1" applyAlignment="1">
      <alignment horizontal="left" vertical="center"/>
    </xf>
    <xf numFmtId="0" fontId="180" fillId="35" borderId="0" xfId="0" applyFont="1" applyFill="1" applyBorder="1" applyAlignment="1">
      <alignment horizontal="left" vertical="center" shrinkToFit="1"/>
    </xf>
    <xf numFmtId="189" fontId="179" fillId="0" borderId="0" xfId="0" applyNumberFormat="1" applyFont="1" applyAlignment="1" applyProtection="1">
      <alignment vertical="center"/>
      <protection locked="0"/>
    </xf>
    <xf numFmtId="0" fontId="190" fillId="0" borderId="0" xfId="0" applyFont="1" applyFill="1" applyProtection="1">
      <alignment vertical="center"/>
    </xf>
    <xf numFmtId="0" fontId="180" fillId="35" borderId="4" xfId="0" applyNumberFormat="1" applyFont="1" applyFill="1" applyBorder="1" applyAlignment="1" applyProtection="1">
      <alignment horizontal="left" vertical="center" wrapText="1"/>
    </xf>
    <xf numFmtId="0" fontId="180" fillId="35" borderId="4" xfId="0" applyFont="1" applyFill="1" applyBorder="1" applyAlignment="1" applyProtection="1">
      <alignment horizontal="center" vertical="center" wrapText="1"/>
    </xf>
    <xf numFmtId="0" fontId="180" fillId="35" borderId="0" xfId="0" applyNumberFormat="1" applyFont="1" applyFill="1" applyAlignment="1">
      <alignment horizontal="left" vertical="center"/>
    </xf>
    <xf numFmtId="0" fontId="179" fillId="35" borderId="0" xfId="0" applyNumberFormat="1" applyFont="1" applyFill="1" applyAlignment="1" applyProtection="1">
      <alignment horizontal="left" vertical="center"/>
      <protection locked="0"/>
    </xf>
    <xf numFmtId="0" fontId="179" fillId="30" borderId="0" xfId="0" applyFont="1" applyFill="1" applyAlignment="1" applyProtection="1">
      <alignment vertical="center"/>
      <protection locked="0"/>
    </xf>
    <xf numFmtId="0" fontId="190" fillId="0" borderId="0" xfId="0" applyFont="1" applyProtection="1">
      <alignment vertical="center"/>
    </xf>
    <xf numFmtId="0" fontId="146" fillId="3" borderId="16" xfId="0" applyFont="1" applyFill="1" applyBorder="1" applyAlignment="1" applyProtection="1">
      <alignment horizontal="right"/>
    </xf>
    <xf numFmtId="0" fontId="79" fillId="3" borderId="0" xfId="0" applyFont="1" applyFill="1" applyBorder="1" applyAlignment="1" applyProtection="1">
      <alignment horizontal="left" vertical="center"/>
    </xf>
    <xf numFmtId="0" fontId="26" fillId="3" borderId="2" xfId="0" applyFont="1" applyFill="1" applyBorder="1" applyAlignment="1" applyProtection="1">
      <alignment vertical="center"/>
    </xf>
    <xf numFmtId="0" fontId="79" fillId="3" borderId="53" xfId="0" applyFont="1" applyFill="1" applyBorder="1" applyAlignment="1" applyProtection="1">
      <alignment horizontal="left" vertical="center"/>
    </xf>
    <xf numFmtId="0" fontId="26" fillId="3" borderId="0" xfId="0" applyFont="1" applyFill="1" applyBorder="1" applyAlignment="1" applyProtection="1">
      <alignment horizontal="left" vertical="center" wrapText="1"/>
    </xf>
    <xf numFmtId="0" fontId="145" fillId="3" borderId="38" xfId="0" applyFont="1" applyFill="1" applyBorder="1" applyAlignment="1" applyProtection="1"/>
    <xf numFmtId="0" fontId="99" fillId="0" borderId="0" xfId="0" applyFont="1" applyFill="1" applyBorder="1" applyAlignment="1" applyProtection="1">
      <alignment vertical="center" wrapText="1"/>
    </xf>
    <xf numFmtId="0" fontId="190" fillId="0" borderId="0" xfId="0" applyFont="1" applyAlignment="1" applyProtection="1">
      <alignment horizontal="right" vertical="center"/>
    </xf>
    <xf numFmtId="0" fontId="13" fillId="0" borderId="9" xfId="0" applyFont="1" applyBorder="1" applyProtection="1">
      <alignment vertical="center"/>
    </xf>
    <xf numFmtId="0" fontId="179" fillId="36" borderId="0" xfId="0" applyFont="1" applyFill="1" applyAlignment="1">
      <alignment horizontal="left" vertical="center"/>
    </xf>
    <xf numFmtId="0" fontId="179" fillId="36" borderId="0" xfId="0" applyFont="1" applyFill="1" applyProtection="1">
      <alignment vertical="center"/>
      <protection locked="0"/>
    </xf>
    <xf numFmtId="0" fontId="179" fillId="36" borderId="0" xfId="0" applyNumberFormat="1" applyFont="1" applyFill="1" applyAlignment="1" applyProtection="1">
      <alignment vertical="center"/>
      <protection locked="0"/>
    </xf>
    <xf numFmtId="0" fontId="181" fillId="36" borderId="0" xfId="0" applyFont="1" applyFill="1" applyProtection="1">
      <alignment vertical="center"/>
      <protection locked="0"/>
    </xf>
    <xf numFmtId="0" fontId="179" fillId="36" borderId="0" xfId="0" applyFont="1" applyFill="1" applyAlignment="1" applyProtection="1">
      <alignment vertical="center"/>
      <protection locked="0"/>
    </xf>
    <xf numFmtId="49" fontId="180" fillId="36" borderId="4" xfId="0" applyNumberFormat="1" applyFont="1" applyFill="1" applyBorder="1" applyAlignment="1" applyProtection="1">
      <alignment vertical="center"/>
      <protection locked="0"/>
    </xf>
    <xf numFmtId="0" fontId="180" fillId="36" borderId="4" xfId="0" applyNumberFormat="1" applyFont="1" applyFill="1" applyBorder="1" applyAlignment="1">
      <alignment horizontal="left" vertical="center" shrinkToFit="1"/>
    </xf>
    <xf numFmtId="49" fontId="180" fillId="36" borderId="4" xfId="0" applyNumberFormat="1" applyFont="1" applyFill="1" applyBorder="1" applyAlignment="1">
      <alignment horizontal="center" vertical="center" shrinkToFit="1"/>
    </xf>
    <xf numFmtId="49" fontId="180" fillId="36" borderId="4" xfId="0" applyNumberFormat="1" applyFont="1" applyFill="1" applyBorder="1" applyAlignment="1">
      <alignment vertical="center" shrinkToFit="1"/>
    </xf>
    <xf numFmtId="49" fontId="180" fillId="36" borderId="4" xfId="0" applyNumberFormat="1" applyFont="1" applyFill="1" applyBorder="1" applyAlignment="1">
      <alignment horizontal="center" vertical="center"/>
    </xf>
    <xf numFmtId="0" fontId="180" fillId="36" borderId="4" xfId="0" applyNumberFormat="1" applyFont="1" applyFill="1" applyBorder="1" applyAlignment="1">
      <alignment vertical="center"/>
    </xf>
    <xf numFmtId="0" fontId="180" fillId="36" borderId="4" xfId="0" applyNumberFormat="1" applyFont="1" applyFill="1" applyBorder="1" applyAlignment="1">
      <alignment vertical="center" shrinkToFit="1"/>
    </xf>
    <xf numFmtId="0" fontId="180" fillId="36" borderId="4" xfId="0" applyFont="1" applyFill="1" applyBorder="1">
      <alignment vertical="center"/>
    </xf>
    <xf numFmtId="0" fontId="180" fillId="36" borderId="4" xfId="0" applyFont="1" applyFill="1" applyBorder="1" applyAlignment="1">
      <alignment vertical="center" shrinkToFit="1"/>
    </xf>
    <xf numFmtId="0" fontId="180" fillId="36" borderId="0" xfId="0" applyFont="1" applyFill="1" applyBorder="1">
      <alignment vertical="center"/>
    </xf>
    <xf numFmtId="0" fontId="180" fillId="36" borderId="0" xfId="0" applyFont="1" applyFill="1">
      <alignment vertical="center"/>
    </xf>
    <xf numFmtId="0" fontId="180" fillId="36" borderId="0" xfId="0" applyFont="1" applyFill="1" applyProtection="1">
      <alignment vertical="center"/>
      <protection locked="0"/>
    </xf>
    <xf numFmtId="0" fontId="180" fillId="36" borderId="4" xfId="0" applyFont="1" applyFill="1" applyBorder="1" applyAlignment="1">
      <alignment horizontal="center" vertical="center"/>
    </xf>
    <xf numFmtId="14" fontId="179" fillId="36" borderId="0" xfId="0" applyNumberFormat="1" applyFont="1" applyFill="1" applyAlignment="1">
      <alignment horizontal="left" vertical="center"/>
    </xf>
    <xf numFmtId="0" fontId="180" fillId="36" borderId="4" xfId="0" applyNumberFormat="1" applyFont="1" applyFill="1" applyBorder="1" applyAlignment="1">
      <alignment horizontal="left" vertical="center" wrapText="1"/>
    </xf>
    <xf numFmtId="0" fontId="180" fillId="36" borderId="0" xfId="0" applyFont="1" applyFill="1" applyBorder="1" applyAlignment="1">
      <alignment vertical="center"/>
    </xf>
    <xf numFmtId="0" fontId="180" fillId="36" borderId="0" xfId="0" applyFont="1" applyFill="1" applyAlignment="1">
      <alignment vertical="center"/>
    </xf>
    <xf numFmtId="0" fontId="180" fillId="36" borderId="0" xfId="0" applyFont="1" applyFill="1" applyBorder="1" applyAlignment="1">
      <alignment horizontal="left" vertical="center" wrapText="1"/>
    </xf>
    <xf numFmtId="0" fontId="180" fillId="36" borderId="53" xfId="0" applyFont="1" applyFill="1" applyBorder="1" applyAlignment="1">
      <alignment horizontal="left" vertical="center" wrapText="1"/>
    </xf>
    <xf numFmtId="0" fontId="180" fillId="35" borderId="4" xfId="0" applyNumberFormat="1" applyFont="1" applyFill="1" applyBorder="1" applyAlignment="1">
      <alignment horizontal="left" vertical="center" wrapText="1"/>
    </xf>
    <xf numFmtId="0" fontId="180" fillId="35" borderId="4" xfId="0" applyFont="1" applyFill="1" applyBorder="1" applyAlignment="1">
      <alignment horizontal="left" vertical="center" wrapText="1"/>
    </xf>
    <xf numFmtId="0" fontId="180" fillId="35" borderId="0" xfId="0" applyFont="1" applyFill="1" applyBorder="1" applyAlignment="1">
      <alignment horizontal="left" vertical="center" wrapText="1"/>
    </xf>
    <xf numFmtId="0" fontId="180" fillId="35" borderId="53" xfId="0" applyFont="1" applyFill="1" applyBorder="1" applyAlignment="1">
      <alignment horizontal="left" vertical="center" wrapText="1"/>
    </xf>
    <xf numFmtId="0" fontId="179" fillId="35" borderId="0" xfId="0" applyFont="1" applyFill="1" applyBorder="1" applyAlignment="1" applyProtection="1">
      <alignment vertical="center"/>
      <protection locked="0"/>
    </xf>
    <xf numFmtId="0" fontId="181" fillId="35" borderId="0" xfId="0" applyFont="1" applyFill="1" applyBorder="1" applyAlignment="1" applyProtection="1">
      <alignment vertical="center"/>
      <protection locked="0"/>
    </xf>
    <xf numFmtId="0" fontId="179" fillId="20" borderId="0" xfId="0" applyFont="1" applyFill="1" applyBorder="1" applyAlignment="1" applyProtection="1">
      <alignment vertical="center"/>
      <protection locked="0"/>
    </xf>
    <xf numFmtId="0" fontId="0" fillId="0" borderId="197" xfId="0" applyFont="1" applyFill="1" applyBorder="1" applyProtection="1">
      <alignment vertical="center"/>
    </xf>
    <xf numFmtId="0" fontId="13" fillId="3" borderId="7" xfId="0" applyFont="1" applyFill="1" applyBorder="1" applyAlignment="1" applyProtection="1">
      <alignment vertical="center" wrapText="1"/>
    </xf>
    <xf numFmtId="0" fontId="0" fillId="0" borderId="6" xfId="0" applyFont="1" applyBorder="1" applyProtection="1">
      <alignment vertical="center"/>
    </xf>
    <xf numFmtId="0" fontId="146" fillId="3" borderId="16" xfId="0" applyFont="1" applyFill="1" applyBorder="1" applyAlignment="1" applyProtection="1"/>
    <xf numFmtId="0" fontId="186" fillId="0" borderId="0" xfId="0" applyFont="1" applyProtection="1">
      <alignment vertical="center"/>
    </xf>
    <xf numFmtId="0" fontId="180" fillId="35" borderId="0" xfId="0" applyFont="1" applyFill="1" applyBorder="1" applyAlignment="1" applyProtection="1">
      <alignment horizontal="left" vertical="center"/>
    </xf>
    <xf numFmtId="0" fontId="145" fillId="3" borderId="16" xfId="0" applyFont="1" applyFill="1" applyBorder="1" applyAlignment="1" applyProtection="1"/>
    <xf numFmtId="0" fontId="145" fillId="11" borderId="16" xfId="0" applyFont="1" applyFill="1" applyBorder="1" applyAlignment="1" applyProtection="1"/>
    <xf numFmtId="0" fontId="146" fillId="11" borderId="16" xfId="0" applyFont="1" applyFill="1" applyBorder="1" applyAlignment="1" applyProtection="1">
      <alignment horizontal="right"/>
    </xf>
    <xf numFmtId="0" fontId="186" fillId="0" borderId="0" xfId="0" applyFont="1" applyFill="1" applyProtection="1">
      <alignment vertical="center"/>
    </xf>
    <xf numFmtId="0" fontId="13" fillId="13" borderId="9" xfId="0" applyFont="1" applyFill="1" applyBorder="1" applyProtection="1">
      <alignment vertical="center"/>
    </xf>
    <xf numFmtId="0" fontId="13" fillId="13" borderId="7" xfId="0" applyFont="1" applyFill="1" applyBorder="1" applyProtection="1">
      <alignment vertical="center"/>
    </xf>
    <xf numFmtId="0" fontId="13" fillId="13" borderId="9" xfId="0" applyFont="1" applyFill="1" applyBorder="1" applyAlignment="1" applyProtection="1">
      <alignment horizontal="right" vertical="center"/>
    </xf>
    <xf numFmtId="0" fontId="13" fillId="13" borderId="4" xfId="0" applyFont="1" applyFill="1" applyBorder="1" applyAlignment="1" applyProtection="1">
      <alignment horizontal="right" vertical="center"/>
    </xf>
    <xf numFmtId="0" fontId="180" fillId="35" borderId="4" xfId="0" applyNumberFormat="1" applyFont="1" applyFill="1" applyBorder="1" applyAlignment="1">
      <alignment horizontal="left" vertical="center"/>
    </xf>
    <xf numFmtId="0" fontId="180" fillId="13" borderId="0" xfId="0" applyFont="1" applyFill="1" applyAlignment="1" applyProtection="1">
      <alignment vertical="center" shrinkToFit="1"/>
      <protection locked="0"/>
    </xf>
    <xf numFmtId="0" fontId="179" fillId="13" borderId="0" xfId="0" applyFont="1" applyFill="1" applyAlignment="1" applyProtection="1">
      <alignment vertical="center"/>
      <protection locked="0"/>
    </xf>
    <xf numFmtId="0" fontId="179" fillId="0" borderId="0" xfId="0" applyNumberFormat="1" applyFont="1" applyFill="1" applyAlignment="1" applyProtection="1">
      <alignment vertical="center"/>
      <protection locked="0"/>
    </xf>
    <xf numFmtId="0" fontId="181" fillId="0" borderId="0" xfId="0" applyFont="1" applyFill="1" applyProtection="1">
      <alignment vertical="center"/>
      <protection locked="0"/>
    </xf>
    <xf numFmtId="0" fontId="163" fillId="3" borderId="16" xfId="0" applyFont="1" applyFill="1" applyBorder="1" applyAlignment="1" applyProtection="1">
      <alignment wrapText="1"/>
    </xf>
    <xf numFmtId="0" fontId="179" fillId="0" borderId="0" xfId="0" applyFont="1" applyFill="1" applyBorder="1" applyAlignment="1" applyProtection="1">
      <alignment vertical="center"/>
    </xf>
    <xf numFmtId="49" fontId="179" fillId="0" borderId="0" xfId="0" applyNumberFormat="1" applyFont="1" applyFill="1" applyAlignment="1" applyProtection="1">
      <alignment vertical="center"/>
      <protection locked="0"/>
    </xf>
    <xf numFmtId="49" fontId="179" fillId="0" borderId="0" xfId="0" applyNumberFormat="1" applyFont="1" applyFill="1" applyBorder="1" applyAlignment="1">
      <alignment horizontal="center" vertical="center" shrinkToFit="1"/>
    </xf>
    <xf numFmtId="49" fontId="179" fillId="0" borderId="0" xfId="0" applyNumberFormat="1" applyFont="1" applyFill="1" applyBorder="1" applyAlignment="1">
      <alignment horizontal="center" vertical="center"/>
    </xf>
    <xf numFmtId="0" fontId="179" fillId="0" borderId="0" xfId="0" applyNumberFormat="1" applyFont="1" applyFill="1" applyBorder="1" applyAlignment="1">
      <alignment vertical="center"/>
    </xf>
    <xf numFmtId="0" fontId="179" fillId="0" borderId="0" xfId="0" applyFont="1" applyFill="1" applyAlignment="1">
      <alignment vertical="center" shrinkToFit="1"/>
    </xf>
    <xf numFmtId="0" fontId="0" fillId="30" borderId="0" xfId="0" applyFill="1" applyProtection="1">
      <alignment vertical="center"/>
    </xf>
    <xf numFmtId="0" fontId="0" fillId="30" borderId="0" xfId="0" applyFill="1" applyAlignment="1" applyProtection="1">
      <alignment vertical="center" wrapText="1"/>
    </xf>
    <xf numFmtId="0" fontId="0" fillId="24" borderId="197" xfId="0" applyFill="1" applyBorder="1" applyProtection="1">
      <alignment vertical="center"/>
    </xf>
    <xf numFmtId="0" fontId="0" fillId="0" borderId="7" xfId="0" applyBorder="1" applyProtection="1">
      <alignment vertical="center"/>
    </xf>
    <xf numFmtId="0" fontId="0" fillId="0" borderId="197" xfId="0" applyBorder="1" applyProtection="1">
      <alignment vertical="center"/>
    </xf>
    <xf numFmtId="0" fontId="130" fillId="24" borderId="197" xfId="0" applyFont="1" applyFill="1" applyBorder="1" applyProtection="1">
      <alignment vertical="center"/>
    </xf>
    <xf numFmtId="49" fontId="180" fillId="35" borderId="0" xfId="0" applyNumberFormat="1" applyFont="1" applyFill="1" applyBorder="1" applyAlignment="1" applyProtection="1">
      <alignment vertical="center"/>
      <protection locked="0"/>
    </xf>
    <xf numFmtId="0" fontId="179" fillId="35" borderId="0" xfId="0" applyFont="1" applyFill="1" applyBorder="1" applyAlignment="1" applyProtection="1">
      <alignment vertical="center"/>
    </xf>
    <xf numFmtId="49" fontId="180" fillId="35" borderId="7" xfId="0" applyNumberFormat="1" applyFont="1" applyFill="1" applyBorder="1" applyAlignment="1">
      <alignment horizontal="center" vertical="center" shrinkToFit="1"/>
    </xf>
    <xf numFmtId="49" fontId="180" fillId="35" borderId="0" xfId="0" applyNumberFormat="1" applyFont="1" applyFill="1" applyBorder="1" applyAlignment="1">
      <alignment horizontal="center" vertical="center"/>
    </xf>
    <xf numFmtId="0" fontId="180" fillId="35" borderId="0" xfId="0" applyNumberFormat="1" applyFont="1" applyFill="1" applyBorder="1" applyAlignment="1">
      <alignment vertical="center" shrinkToFit="1"/>
    </xf>
    <xf numFmtId="0" fontId="180" fillId="35" borderId="0" xfId="0" applyFont="1" applyFill="1" applyBorder="1" applyAlignment="1">
      <alignment vertical="center" shrinkToFit="1"/>
    </xf>
    <xf numFmtId="0" fontId="179" fillId="37" borderId="0" xfId="0" applyFont="1" applyFill="1" applyProtection="1">
      <alignment vertical="center"/>
      <protection locked="0"/>
    </xf>
    <xf numFmtId="0" fontId="180" fillId="35" borderId="0" xfId="0" applyNumberFormat="1" applyFont="1" applyFill="1" applyBorder="1" applyAlignment="1">
      <alignment horizontal="left" vertical="center" shrinkToFit="1"/>
    </xf>
    <xf numFmtId="0" fontId="179" fillId="35" borderId="4" xfId="0" applyFont="1" applyFill="1" applyBorder="1" applyProtection="1">
      <alignment vertical="center"/>
    </xf>
    <xf numFmtId="49" fontId="180" fillId="35" borderId="0" xfId="0" applyNumberFormat="1" applyFont="1" applyFill="1" applyAlignment="1" applyProtection="1">
      <alignment vertical="center"/>
      <protection locked="0"/>
    </xf>
    <xf numFmtId="49" fontId="180" fillId="35" borderId="0" xfId="0" applyNumberFormat="1" applyFont="1" applyFill="1" applyAlignment="1">
      <alignment horizontal="center" vertical="center"/>
    </xf>
    <xf numFmtId="0" fontId="180" fillId="35" borderId="0" xfId="0" applyNumberFormat="1" applyFont="1" applyFill="1" applyAlignment="1">
      <alignment vertical="center" shrinkToFit="1"/>
    </xf>
    <xf numFmtId="0" fontId="180" fillId="35" borderId="0" xfId="0" applyFont="1" applyFill="1" applyAlignment="1">
      <alignment vertical="center" shrinkToFit="1"/>
    </xf>
    <xf numFmtId="0" fontId="179" fillId="35" borderId="0" xfId="0" applyNumberFormat="1" applyFont="1" applyFill="1" applyAlignment="1">
      <alignment vertical="center"/>
    </xf>
    <xf numFmtId="0" fontId="181" fillId="35" borderId="0" xfId="0" applyFont="1" applyFill="1">
      <alignment vertical="center"/>
    </xf>
    <xf numFmtId="49" fontId="180" fillId="35" borderId="0" xfId="0" applyNumberFormat="1" applyFont="1" applyFill="1" applyAlignment="1">
      <alignment vertical="center"/>
    </xf>
    <xf numFmtId="0" fontId="0" fillId="35" borderId="4" xfId="0" applyFill="1" applyBorder="1">
      <alignment vertical="center"/>
    </xf>
    <xf numFmtId="49" fontId="179" fillId="35" borderId="0" xfId="0" applyNumberFormat="1" applyFont="1" applyFill="1" applyBorder="1" applyAlignment="1">
      <alignment horizontal="center" vertical="center" shrinkToFit="1"/>
    </xf>
    <xf numFmtId="0" fontId="180" fillId="35" borderId="0" xfId="0" applyNumberFormat="1" applyFont="1" applyFill="1" applyAlignment="1">
      <alignment vertical="center"/>
    </xf>
    <xf numFmtId="0" fontId="0" fillId="35" borderId="4" xfId="0" applyFont="1" applyFill="1" applyBorder="1">
      <alignment vertical="center"/>
    </xf>
    <xf numFmtId="49" fontId="179" fillId="0" borderId="0" xfId="0" applyNumberFormat="1" applyFont="1" applyFill="1" applyAlignment="1">
      <alignment horizontal="left" vertical="center"/>
    </xf>
    <xf numFmtId="0" fontId="32" fillId="0" borderId="0" xfId="3" applyFont="1" applyFill="1" applyBorder="1" applyAlignment="1" applyProtection="1">
      <alignment horizontal="center" vertical="center" wrapText="1" shrinkToFit="1"/>
      <protection hidden="1"/>
    </xf>
    <xf numFmtId="0" fontId="7" fillId="0" borderId="0" xfId="0" applyFont="1" applyBorder="1" applyAlignment="1" applyProtection="1">
      <alignment vertical="top"/>
      <protection hidden="1"/>
    </xf>
    <xf numFmtId="0" fontId="141" fillId="0" borderId="0" xfId="0" applyFont="1" applyFill="1" applyProtection="1">
      <alignment vertical="center"/>
    </xf>
    <xf numFmtId="0" fontId="23" fillId="0" borderId="13" xfId="2" applyFont="1" applyBorder="1" applyAlignment="1" applyProtection="1">
      <alignment horizontal="left" vertical="center"/>
    </xf>
    <xf numFmtId="0" fontId="23" fillId="0" borderId="19" xfId="2" applyFont="1" applyBorder="1" applyAlignment="1" applyProtection="1">
      <alignment horizontal="left" vertical="center"/>
    </xf>
    <xf numFmtId="0" fontId="0" fillId="30" borderId="0" xfId="0" applyFont="1" applyFill="1" applyBorder="1" applyAlignment="1" applyProtection="1">
      <alignment horizontal="left" vertical="center"/>
    </xf>
    <xf numFmtId="0" fontId="186" fillId="0" borderId="0" xfId="0" applyFont="1" applyFill="1" applyAlignment="1" applyProtection="1">
      <alignment horizontal="left" vertical="center"/>
    </xf>
    <xf numFmtId="0" fontId="184" fillId="0" borderId="0" xfId="0" applyFont="1" applyFill="1">
      <alignment vertical="center"/>
    </xf>
    <xf numFmtId="0" fontId="0" fillId="13" borderId="4" xfId="0" applyFont="1" applyFill="1" applyBorder="1" applyAlignment="1" applyProtection="1">
      <alignment horizontal="left" vertical="center" wrapText="1"/>
    </xf>
    <xf numFmtId="0" fontId="179" fillId="29" borderId="0" xfId="0" applyFont="1" applyFill="1" applyAlignment="1" applyProtection="1">
      <alignment vertical="center" wrapText="1"/>
      <protection locked="0"/>
    </xf>
    <xf numFmtId="0" fontId="147" fillId="38" borderId="0" xfId="0" applyFont="1" applyFill="1">
      <alignment vertical="center"/>
    </xf>
    <xf numFmtId="0" fontId="147" fillId="0" borderId="4" xfId="0" applyFont="1" applyBorder="1" applyAlignment="1">
      <alignment vertical="center" wrapText="1"/>
    </xf>
    <xf numFmtId="0" fontId="147" fillId="32" borderId="4" xfId="0" applyFont="1" applyFill="1" applyBorder="1" applyAlignment="1">
      <alignment vertical="center" wrapText="1"/>
    </xf>
    <xf numFmtId="0" fontId="147" fillId="32" borderId="0" xfId="0" applyFont="1" applyFill="1">
      <alignment vertical="center"/>
    </xf>
    <xf numFmtId="0" fontId="179" fillId="9" borderId="0" xfId="0" applyFont="1" applyFill="1">
      <alignment vertical="center"/>
    </xf>
    <xf numFmtId="0" fontId="147" fillId="0" borderId="4" xfId="0" applyFont="1" applyBorder="1" applyAlignment="1">
      <alignment horizontal="right" vertical="center"/>
    </xf>
    <xf numFmtId="0" fontId="147" fillId="0" borderId="7" xfId="0" applyFont="1" applyBorder="1">
      <alignment vertical="center"/>
    </xf>
    <xf numFmtId="0" fontId="147" fillId="0" borderId="8" xfId="0" applyFont="1" applyBorder="1">
      <alignment vertical="center"/>
    </xf>
    <xf numFmtId="0" fontId="147" fillId="0" borderId="9" xfId="0" applyFont="1" applyBorder="1">
      <alignment vertical="center"/>
    </xf>
    <xf numFmtId="0" fontId="147" fillId="0" borderId="7" xfId="0" applyFont="1" applyBorder="1" applyAlignment="1">
      <alignment vertical="center"/>
    </xf>
    <xf numFmtId="0" fontId="147" fillId="0" borderId="9" xfId="0" applyFont="1" applyBorder="1" applyAlignment="1">
      <alignment vertical="center"/>
    </xf>
    <xf numFmtId="0" fontId="147" fillId="32" borderId="4" xfId="0" applyFont="1" applyFill="1" applyBorder="1">
      <alignment vertical="center"/>
    </xf>
    <xf numFmtId="0" fontId="147" fillId="39" borderId="4" xfId="0" applyFont="1" applyFill="1" applyBorder="1">
      <alignment vertical="center"/>
    </xf>
    <xf numFmtId="0" fontId="147" fillId="28" borderId="4" xfId="0" applyFont="1" applyFill="1" applyBorder="1" applyAlignment="1">
      <alignment vertical="center" wrapText="1"/>
    </xf>
    <xf numFmtId="0" fontId="147" fillId="11" borderId="4" xfId="0" applyFont="1" applyFill="1" applyBorder="1" applyAlignment="1">
      <alignment vertical="center" wrapText="1"/>
    </xf>
    <xf numFmtId="0" fontId="147" fillId="4" borderId="4" xfId="0" applyFont="1" applyFill="1" applyBorder="1" applyAlignment="1">
      <alignment vertical="center" wrapText="1"/>
    </xf>
    <xf numFmtId="0" fontId="147" fillId="11" borderId="4" xfId="0" applyFont="1" applyFill="1" applyBorder="1">
      <alignment vertical="center"/>
    </xf>
    <xf numFmtId="0" fontId="179" fillId="0" borderId="4" xfId="0" applyFont="1" applyFill="1" applyBorder="1" applyAlignment="1" applyProtection="1">
      <alignment vertical="center"/>
    </xf>
    <xf numFmtId="0" fontId="179" fillId="0" borderId="4" xfId="0" applyNumberFormat="1" applyFont="1" applyFill="1" applyBorder="1" applyAlignment="1">
      <alignment vertical="center" shrinkToFit="1"/>
    </xf>
    <xf numFmtId="0" fontId="179" fillId="0" borderId="4" xfId="0" applyFont="1" applyFill="1" applyBorder="1">
      <alignment vertical="center"/>
    </xf>
    <xf numFmtId="0" fontId="179" fillId="0" borderId="4" xfId="0" applyFont="1" applyFill="1" applyBorder="1" applyAlignment="1">
      <alignment vertical="center" shrinkToFit="1"/>
    </xf>
    <xf numFmtId="0" fontId="180" fillId="0" borderId="4" xfId="0" applyFont="1" applyBorder="1">
      <alignment vertical="center"/>
    </xf>
    <xf numFmtId="0" fontId="180" fillId="0" borderId="4" xfId="0" applyFont="1" applyBorder="1" applyAlignment="1">
      <alignment vertical="center" shrinkToFit="1"/>
    </xf>
    <xf numFmtId="0" fontId="179" fillId="0" borderId="4" xfId="0" applyFont="1" applyBorder="1">
      <alignment vertical="center"/>
    </xf>
    <xf numFmtId="0" fontId="180" fillId="0" borderId="4" xfId="0" applyFont="1" applyBorder="1" applyAlignment="1">
      <alignment horizontal="center" vertical="center"/>
    </xf>
    <xf numFmtId="0" fontId="179" fillId="40" borderId="0" xfId="0" applyFont="1" applyFill="1">
      <alignment vertical="center"/>
    </xf>
    <xf numFmtId="0" fontId="179" fillId="40" borderId="0" xfId="0" applyFont="1" applyFill="1" applyProtection="1">
      <alignment vertical="center"/>
      <protection locked="0"/>
    </xf>
    <xf numFmtId="0" fontId="179" fillId="29" borderId="0" xfId="0" applyNumberFormat="1" applyFont="1" applyFill="1" applyAlignment="1" applyProtection="1">
      <alignment horizontal="left" vertical="center" wrapText="1"/>
    </xf>
    <xf numFmtId="0" fontId="179" fillId="4" borderId="0" xfId="0" applyFont="1" applyFill="1">
      <alignment vertical="center"/>
    </xf>
    <xf numFmtId="0" fontId="180" fillId="29" borderId="0" xfId="0" applyFont="1" applyFill="1">
      <alignment vertical="center"/>
    </xf>
    <xf numFmtId="0" fontId="26" fillId="3" borderId="139" xfId="0" applyFont="1" applyFill="1" applyBorder="1" applyAlignment="1" applyProtection="1">
      <alignment vertical="center" wrapText="1"/>
    </xf>
    <xf numFmtId="0" fontId="26" fillId="3" borderId="2" xfId="0" applyFont="1" applyFill="1" applyBorder="1" applyAlignment="1" applyProtection="1">
      <alignment vertical="center" wrapText="1"/>
    </xf>
    <xf numFmtId="0" fontId="26" fillId="3" borderId="61" xfId="0" applyFont="1" applyFill="1" applyBorder="1" applyAlignment="1" applyProtection="1">
      <alignment vertical="center" wrapText="1"/>
    </xf>
    <xf numFmtId="0" fontId="78" fillId="3" borderId="138" xfId="0" applyFont="1" applyFill="1" applyBorder="1" applyAlignment="1" applyProtection="1">
      <alignment vertical="center"/>
    </xf>
    <xf numFmtId="0" fontId="78" fillId="3" borderId="0" xfId="0" applyFont="1" applyFill="1" applyBorder="1" applyAlignment="1" applyProtection="1">
      <alignment vertical="center"/>
    </xf>
    <xf numFmtId="0" fontId="78" fillId="3" borderId="22" xfId="0" applyFont="1" applyFill="1" applyBorder="1" applyAlignment="1" applyProtection="1">
      <alignment vertical="center"/>
    </xf>
    <xf numFmtId="0" fontId="35" fillId="0" borderId="0" xfId="3" applyFont="1" applyFill="1" applyBorder="1" applyAlignment="1" applyProtection="1">
      <alignment horizontal="center" vertical="center"/>
      <protection hidden="1"/>
    </xf>
    <xf numFmtId="0" fontId="193" fillId="0" borderId="0" xfId="5" applyFont="1" applyFill="1" applyProtection="1">
      <alignment vertical="center"/>
      <protection hidden="1"/>
    </xf>
    <xf numFmtId="0" fontId="169" fillId="0" borderId="0" xfId="5" applyFont="1" applyFill="1" applyProtection="1">
      <alignment vertical="center"/>
      <protection hidden="1"/>
    </xf>
    <xf numFmtId="0" fontId="33" fillId="0" borderId="0" xfId="3" applyFont="1" applyFill="1" applyBorder="1" applyAlignment="1" applyProtection="1">
      <alignment horizontal="left" vertical="center"/>
      <protection hidden="1"/>
    </xf>
    <xf numFmtId="0" fontId="169" fillId="0" borderId="0" xfId="5" applyFont="1" applyProtection="1">
      <alignment vertical="center"/>
      <protection hidden="1"/>
    </xf>
    <xf numFmtId="0" fontId="33" fillId="0" borderId="10" xfId="5" applyFont="1" applyBorder="1" applyProtection="1">
      <alignment vertical="center"/>
      <protection hidden="1"/>
    </xf>
    <xf numFmtId="0" fontId="33" fillId="0" borderId="7" xfId="5" applyNumberFormat="1" applyFont="1" applyBorder="1" applyAlignment="1" applyProtection="1">
      <alignment horizontal="right" vertical="center"/>
      <protection hidden="1"/>
    </xf>
    <xf numFmtId="0" fontId="33" fillId="0" borderId="8" xfId="5" applyFont="1" applyBorder="1" applyAlignment="1" applyProtection="1">
      <alignment horizontal="left" vertical="center"/>
      <protection hidden="1"/>
    </xf>
    <xf numFmtId="0" fontId="195" fillId="0" borderId="0" xfId="5" applyFont="1" applyFill="1" applyAlignment="1" applyProtection="1">
      <alignment horizontal="right" vertical="center"/>
      <protection hidden="1"/>
    </xf>
    <xf numFmtId="0" fontId="169" fillId="0" borderId="0" xfId="5" applyFont="1" applyFill="1" applyAlignment="1" applyProtection="1">
      <alignment vertical="center"/>
      <protection hidden="1"/>
    </xf>
    <xf numFmtId="0" fontId="169" fillId="0" borderId="0" xfId="5" applyFont="1" applyFill="1" applyAlignment="1" applyProtection="1">
      <alignment horizontal="center" vertical="center"/>
      <protection hidden="1"/>
    </xf>
    <xf numFmtId="0" fontId="169" fillId="0" borderId="0" xfId="5" applyFont="1" applyFill="1" applyBorder="1" applyAlignment="1" applyProtection="1">
      <alignment vertical="center"/>
      <protection hidden="1"/>
    </xf>
    <xf numFmtId="0" fontId="33" fillId="0" borderId="0" xfId="3" applyFont="1" applyFill="1" applyAlignment="1" applyProtection="1">
      <protection hidden="1"/>
    </xf>
    <xf numFmtId="0" fontId="33" fillId="0" borderId="0" xfId="3" applyFont="1" applyFill="1" applyBorder="1" applyAlignment="1" applyProtection="1">
      <protection hidden="1"/>
    </xf>
    <xf numFmtId="0" fontId="33" fillId="0" borderId="0" xfId="3" applyFont="1" applyFill="1" applyBorder="1" applyAlignment="1" applyProtection="1">
      <alignment horizontal="left"/>
      <protection hidden="1"/>
    </xf>
    <xf numFmtId="0" fontId="33" fillId="0" borderId="0" xfId="3" applyFont="1" applyFill="1" applyAlignment="1" applyProtection="1">
      <alignment horizontal="left"/>
      <protection hidden="1"/>
    </xf>
    <xf numFmtId="0" fontId="35" fillId="0" borderId="0" xfId="3" applyFont="1" applyFill="1" applyBorder="1" applyAlignment="1" applyProtection="1">
      <alignment vertical="center"/>
      <protection hidden="1"/>
    </xf>
    <xf numFmtId="0" fontId="169" fillId="0" borderId="0" xfId="3" applyFont="1" applyFill="1" applyBorder="1" applyAlignment="1" applyProtection="1">
      <alignment vertical="center"/>
      <protection hidden="1"/>
    </xf>
    <xf numFmtId="0" fontId="169" fillId="0" borderId="0" xfId="3" applyFont="1" applyFill="1" applyAlignment="1" applyProtection="1">
      <protection hidden="1"/>
    </xf>
    <xf numFmtId="0" fontId="169" fillId="0" borderId="0" xfId="3" applyFont="1" applyFill="1" applyAlignment="1" applyProtection="1">
      <alignment horizontal="right"/>
      <protection hidden="1"/>
    </xf>
    <xf numFmtId="0" fontId="169" fillId="0" borderId="0" xfId="3" applyFont="1" applyFill="1" applyAlignment="1" applyProtection="1">
      <alignment shrinkToFit="1"/>
      <protection hidden="1"/>
    </xf>
    <xf numFmtId="0" fontId="169" fillId="0" borderId="0" xfId="3" applyFont="1" applyFill="1" applyAlignment="1" applyProtection="1">
      <alignment horizontal="left"/>
      <protection hidden="1"/>
    </xf>
    <xf numFmtId="0" fontId="169" fillId="0" borderId="0" xfId="3" applyFont="1" applyFill="1" applyAlignment="1" applyProtection="1">
      <alignment horizontal="center"/>
      <protection hidden="1"/>
    </xf>
    <xf numFmtId="0" fontId="196" fillId="0" borderId="0" xfId="3" applyFont="1" applyFill="1" applyBorder="1" applyAlignment="1" applyProtection="1">
      <alignment vertical="center"/>
      <protection hidden="1"/>
    </xf>
    <xf numFmtId="0" fontId="35" fillId="0" borderId="0" xfId="3" applyFont="1" applyFill="1" applyBorder="1" applyAlignment="1" applyProtection="1">
      <alignment vertical="center" shrinkToFit="1"/>
      <protection hidden="1"/>
    </xf>
    <xf numFmtId="0" fontId="169" fillId="0" borderId="0" xfId="5" applyFont="1" applyFill="1" applyBorder="1" applyProtection="1">
      <alignment vertical="center"/>
      <protection hidden="1"/>
    </xf>
    <xf numFmtId="0" fontId="35" fillId="0" borderId="4" xfId="3" applyFont="1" applyFill="1" applyBorder="1" applyAlignment="1" applyProtection="1">
      <alignment horizontal="center" vertical="center"/>
      <protection hidden="1"/>
    </xf>
    <xf numFmtId="0" fontId="169" fillId="0" borderId="0" xfId="5" applyFont="1" applyFill="1" applyAlignment="1" applyProtection="1">
      <alignment horizontal="right" vertical="center"/>
      <protection hidden="1"/>
    </xf>
    <xf numFmtId="0" fontId="169" fillId="0" borderId="0" xfId="5" applyFont="1" applyFill="1" applyAlignment="1" applyProtection="1">
      <alignment horizontal="left" vertical="center"/>
      <protection hidden="1"/>
    </xf>
    <xf numFmtId="0" fontId="169" fillId="0" borderId="0" xfId="5" applyFont="1" applyFill="1" applyBorder="1" applyAlignment="1" applyProtection="1">
      <alignment horizontal="center" vertical="center"/>
      <protection hidden="1"/>
    </xf>
    <xf numFmtId="0" fontId="169" fillId="0" borderId="0" xfId="3" applyFont="1" applyFill="1" applyAlignment="1" applyProtection="1">
      <alignment vertical="top" wrapText="1"/>
      <protection hidden="1"/>
    </xf>
    <xf numFmtId="0" fontId="169" fillId="0" borderId="0" xfId="3" applyFont="1" applyFill="1" applyAlignment="1" applyProtection="1">
      <alignment horizontal="center" vertical="top" wrapText="1"/>
      <protection hidden="1"/>
    </xf>
    <xf numFmtId="0" fontId="196" fillId="0" borderId="0" xfId="5" applyFont="1" applyFill="1" applyAlignment="1" applyProtection="1">
      <alignment vertical="center" shrinkToFit="1"/>
      <protection hidden="1"/>
    </xf>
    <xf numFmtId="0" fontId="196" fillId="0" borderId="0" xfId="5" applyFont="1" applyFill="1" applyAlignment="1" applyProtection="1">
      <alignment vertical="center"/>
      <protection hidden="1"/>
    </xf>
    <xf numFmtId="0" fontId="33" fillId="0" borderId="0" xfId="3" applyFont="1" applyFill="1" applyBorder="1" applyAlignment="1" applyProtection="1">
      <alignment vertical="center" shrinkToFit="1"/>
      <protection hidden="1"/>
    </xf>
    <xf numFmtId="0" fontId="169" fillId="0" borderId="80" xfId="5" applyFont="1" applyFill="1" applyBorder="1" applyProtection="1">
      <alignment vertical="center"/>
      <protection hidden="1"/>
    </xf>
    <xf numFmtId="0" fontId="33" fillId="0" borderId="0" xfId="5" applyFont="1" applyFill="1" applyProtection="1">
      <alignment vertical="center"/>
      <protection hidden="1"/>
    </xf>
    <xf numFmtId="0" fontId="33" fillId="0" borderId="0" xfId="3" applyFont="1" applyFill="1" applyProtection="1">
      <protection hidden="1"/>
    </xf>
    <xf numFmtId="0" fontId="33" fillId="0" borderId="0" xfId="5" applyFont="1" applyFill="1" applyBorder="1" applyAlignment="1" applyProtection="1">
      <alignment vertical="center"/>
      <protection hidden="1"/>
    </xf>
    <xf numFmtId="0" fontId="33" fillId="0" borderId="45" xfId="5" applyFont="1" applyFill="1" applyBorder="1" applyProtection="1">
      <alignment vertical="center"/>
      <protection hidden="1"/>
    </xf>
    <xf numFmtId="0" fontId="33" fillId="0" borderId="38" xfId="5" applyFont="1" applyFill="1" applyBorder="1" applyProtection="1">
      <alignment vertical="center"/>
      <protection hidden="1"/>
    </xf>
    <xf numFmtId="0" fontId="35" fillId="0" borderId="0" xfId="3" applyFont="1" applyFill="1" applyBorder="1" applyAlignment="1" applyProtection="1">
      <alignment horizontal="center" vertical="center" wrapText="1" shrinkToFit="1"/>
      <protection hidden="1"/>
    </xf>
    <xf numFmtId="0" fontId="33" fillId="0" borderId="10" xfId="5" applyFont="1" applyFill="1" applyBorder="1" applyProtection="1">
      <alignment vertical="center"/>
      <protection hidden="1"/>
    </xf>
    <xf numFmtId="0" fontId="33" fillId="0" borderId="0" xfId="3" applyFont="1" applyFill="1" applyBorder="1" applyProtection="1">
      <protection hidden="1"/>
    </xf>
    <xf numFmtId="0" fontId="33" fillId="0" borderId="0" xfId="5" applyFont="1" applyFill="1" applyAlignment="1" applyProtection="1">
      <alignment horizontal="left" vertical="center"/>
      <protection hidden="1"/>
    </xf>
    <xf numFmtId="0" fontId="130" fillId="0" borderId="0" xfId="0" applyFont="1" applyProtection="1">
      <alignment vertical="center"/>
      <protection hidden="1"/>
    </xf>
    <xf numFmtId="0" fontId="130" fillId="0" borderId="0" xfId="0" applyFont="1" applyFill="1" applyProtection="1">
      <alignment vertical="center"/>
      <protection hidden="1"/>
    </xf>
    <xf numFmtId="0" fontId="130" fillId="0" borderId="0" xfId="0" applyFont="1" applyBorder="1" applyAlignment="1" applyProtection="1">
      <alignment vertical="center" shrinkToFit="1"/>
      <protection hidden="1"/>
    </xf>
    <xf numFmtId="0" fontId="130" fillId="0" borderId="10" xfId="0" applyFont="1" applyBorder="1" applyAlignment="1" applyProtection="1">
      <alignment vertical="center" shrinkToFit="1"/>
      <protection hidden="1"/>
    </xf>
    <xf numFmtId="0" fontId="33" fillId="0" borderId="11" xfId="5" applyFont="1" applyFill="1" applyBorder="1" applyProtection="1">
      <alignment vertical="center"/>
      <protection hidden="1"/>
    </xf>
    <xf numFmtId="0" fontId="33" fillId="0" borderId="1" xfId="5" applyFont="1" applyFill="1" applyBorder="1" applyProtection="1">
      <alignment vertical="center"/>
      <protection hidden="1"/>
    </xf>
    <xf numFmtId="0" fontId="130" fillId="0" borderId="1" xfId="0" applyFont="1" applyBorder="1" applyAlignment="1" applyProtection="1">
      <alignment vertical="top"/>
      <protection hidden="1"/>
    </xf>
    <xf numFmtId="0" fontId="33" fillId="0" borderId="0" xfId="5" applyFont="1" applyFill="1" applyBorder="1" applyProtection="1">
      <alignment vertical="center"/>
      <protection hidden="1"/>
    </xf>
    <xf numFmtId="0" fontId="130" fillId="0" borderId="0" xfId="0" applyFont="1" applyBorder="1" applyAlignment="1" applyProtection="1">
      <alignment vertical="top"/>
      <protection hidden="1"/>
    </xf>
    <xf numFmtId="0" fontId="198" fillId="0" borderId="0" xfId="3" applyFont="1" applyFill="1" applyBorder="1" applyAlignment="1" applyProtection="1">
      <alignment vertical="center"/>
      <protection hidden="1"/>
    </xf>
    <xf numFmtId="0" fontId="199" fillId="0" borderId="0" xfId="3" applyFont="1" applyFill="1" applyBorder="1" applyAlignment="1" applyProtection="1">
      <alignment vertical="center"/>
      <protection hidden="1"/>
    </xf>
    <xf numFmtId="0" fontId="130" fillId="0" borderId="0" xfId="0" applyFont="1" applyBorder="1" applyAlignment="1" applyProtection="1">
      <alignment vertical="center"/>
      <protection hidden="1"/>
    </xf>
    <xf numFmtId="0" fontId="200" fillId="0" borderId="0" xfId="3" applyFont="1" applyFill="1" applyProtection="1">
      <protection hidden="1"/>
    </xf>
    <xf numFmtId="0" fontId="200" fillId="0" borderId="0" xfId="5" applyFont="1" applyFill="1" applyProtection="1">
      <alignment vertical="center"/>
      <protection hidden="1"/>
    </xf>
    <xf numFmtId="0" fontId="169" fillId="0" borderId="0" xfId="3" applyFont="1" applyFill="1" applyProtection="1">
      <protection hidden="1"/>
    </xf>
    <xf numFmtId="0" fontId="169" fillId="0" borderId="0" xfId="3" applyFont="1" applyFill="1" applyBorder="1" applyAlignment="1" applyProtection="1">
      <alignment horizontal="left" vertical="center"/>
      <protection hidden="1"/>
    </xf>
    <xf numFmtId="0" fontId="200" fillId="0" borderId="0" xfId="5" applyFont="1" applyFill="1" applyAlignment="1" applyProtection="1">
      <alignment horizontal="right" vertical="center"/>
      <protection hidden="1"/>
    </xf>
    <xf numFmtId="0" fontId="169" fillId="0" borderId="0" xfId="3" applyFont="1" applyFill="1" applyBorder="1" applyAlignment="1" applyProtection="1">
      <protection hidden="1"/>
    </xf>
    <xf numFmtId="0" fontId="197" fillId="0" borderId="91" xfId="0" applyFont="1" applyFill="1" applyBorder="1" applyAlignment="1" applyProtection="1">
      <alignment vertical="center" shrinkToFit="1"/>
      <protection hidden="1"/>
    </xf>
    <xf numFmtId="0" fontId="197" fillId="0" borderId="0" xfId="0" applyFont="1" applyFill="1" applyBorder="1" applyAlignment="1" applyProtection="1">
      <alignment horizontal="left" vertical="center"/>
      <protection hidden="1"/>
    </xf>
    <xf numFmtId="0" fontId="197" fillId="0" borderId="10" xfId="0" applyFont="1" applyFill="1" applyBorder="1" applyAlignment="1" applyProtection="1">
      <alignment vertical="center" shrinkToFit="1"/>
      <protection hidden="1"/>
    </xf>
    <xf numFmtId="0" fontId="197" fillId="0" borderId="11" xfId="0" applyFont="1" applyFill="1" applyBorder="1" applyAlignment="1" applyProtection="1">
      <alignment vertical="center" shrinkToFit="1"/>
      <protection hidden="1"/>
    </xf>
    <xf numFmtId="0" fontId="197" fillId="0" borderId="1" xfId="0" applyFont="1" applyFill="1" applyBorder="1" applyAlignment="1" applyProtection="1">
      <alignment horizontal="left" vertical="center"/>
      <protection hidden="1"/>
    </xf>
    <xf numFmtId="0" fontId="197" fillId="0" borderId="6" xfId="0" applyFont="1" applyFill="1" applyBorder="1" applyAlignment="1" applyProtection="1">
      <alignment vertical="center" shrinkToFit="1"/>
      <protection hidden="1"/>
    </xf>
    <xf numFmtId="0" fontId="197" fillId="0" borderId="2" xfId="0" applyFont="1" applyFill="1" applyBorder="1" applyAlignment="1" applyProtection="1">
      <alignment horizontal="left" vertical="center"/>
      <protection hidden="1"/>
    </xf>
    <xf numFmtId="0" fontId="197" fillId="0" borderId="3" xfId="0" applyFont="1" applyFill="1" applyBorder="1" applyAlignment="1" applyProtection="1">
      <alignment horizontal="left" vertical="center"/>
      <protection hidden="1"/>
    </xf>
    <xf numFmtId="0" fontId="197" fillId="0" borderId="5" xfId="0"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197" fillId="0" borderId="28" xfId="0" applyFont="1" applyFill="1" applyBorder="1" applyAlignment="1" applyProtection="1">
      <alignment horizontal="left" vertical="center"/>
      <protection hidden="1"/>
    </xf>
    <xf numFmtId="0" fontId="194" fillId="0" borderId="0" xfId="1" applyFont="1" applyFill="1" applyAlignment="1" applyProtection="1">
      <alignment horizontal="center" vertical="center"/>
      <protection hidden="1"/>
    </xf>
    <xf numFmtId="0" fontId="169" fillId="0" borderId="0" xfId="5" applyNumberFormat="1" applyFont="1" applyFill="1" applyBorder="1" applyAlignment="1" applyProtection="1">
      <alignment vertical="center"/>
      <protection hidden="1"/>
    </xf>
    <xf numFmtId="0" fontId="33" fillId="0" borderId="43" xfId="5" applyFont="1" applyFill="1" applyBorder="1" applyProtection="1">
      <alignment vertical="center"/>
      <protection hidden="1"/>
    </xf>
    <xf numFmtId="0" fontId="33" fillId="0" borderId="45" xfId="5" applyFont="1" applyFill="1" applyBorder="1" applyAlignment="1" applyProtection="1">
      <alignment vertical="center"/>
      <protection hidden="1"/>
    </xf>
    <xf numFmtId="0" fontId="33" fillId="0" borderId="10" xfId="5" applyFont="1" applyFill="1" applyBorder="1" applyAlignment="1" applyProtection="1">
      <alignment vertical="center"/>
      <protection hidden="1"/>
    </xf>
    <xf numFmtId="0" fontId="33" fillId="0" borderId="0" xfId="5" applyFont="1" applyFill="1" applyBorder="1" applyAlignment="1" applyProtection="1">
      <alignment horizontal="center" vertical="center"/>
      <protection hidden="1"/>
    </xf>
    <xf numFmtId="0" fontId="35" fillId="0" borderId="0" xfId="3" applyFont="1" applyFill="1" applyBorder="1" applyAlignment="1" applyProtection="1">
      <alignment vertical="center" wrapText="1" shrinkToFit="1"/>
      <protection hidden="1"/>
    </xf>
    <xf numFmtId="0" fontId="33" fillId="0" borderId="0" xfId="5" applyFont="1" applyFill="1" applyAlignment="1" applyProtection="1">
      <alignment vertical="center"/>
      <protection hidden="1"/>
    </xf>
    <xf numFmtId="0" fontId="33" fillId="0" borderId="11" xfId="5" applyFont="1" applyFill="1" applyBorder="1" applyAlignment="1" applyProtection="1">
      <alignment vertical="center"/>
      <protection hidden="1"/>
    </xf>
    <xf numFmtId="0" fontId="33" fillId="0" borderId="43" xfId="5" applyFont="1" applyFill="1" applyBorder="1" applyAlignment="1" applyProtection="1">
      <alignment vertical="center"/>
      <protection hidden="1"/>
    </xf>
    <xf numFmtId="179" fontId="35" fillId="0" borderId="0" xfId="3" applyNumberFormat="1" applyFont="1" applyFill="1" applyBorder="1" applyAlignment="1" applyProtection="1">
      <alignment horizontal="center" vertical="center" shrinkToFit="1"/>
      <protection hidden="1"/>
    </xf>
    <xf numFmtId="179" fontId="35" fillId="0" borderId="0" xfId="3" applyNumberFormat="1" applyFont="1" applyFill="1" applyBorder="1" applyAlignment="1" applyProtection="1">
      <alignment horizontal="center" vertical="center" wrapText="1"/>
      <protection hidden="1"/>
    </xf>
    <xf numFmtId="0" fontId="169" fillId="0" borderId="5" xfId="3" applyFont="1" applyFill="1" applyBorder="1" applyProtection="1">
      <protection hidden="1"/>
    </xf>
    <xf numFmtId="0" fontId="169" fillId="0" borderId="0" xfId="5" applyFont="1" applyFill="1" applyAlignment="1" applyProtection="1">
      <alignment vertical="top"/>
      <protection hidden="1"/>
    </xf>
    <xf numFmtId="0" fontId="169" fillId="0" borderId="0" xfId="3" applyFont="1" applyFill="1" applyAlignment="1" applyProtection="1">
      <alignment vertical="top"/>
      <protection hidden="1"/>
    </xf>
    <xf numFmtId="0" fontId="169" fillId="0" borderId="0" xfId="6" applyFont="1" applyFill="1" applyAlignment="1" applyProtection="1">
      <alignment vertical="top"/>
      <protection hidden="1"/>
    </xf>
    <xf numFmtId="0" fontId="169" fillId="0" borderId="0" xfId="6" applyFont="1" applyFill="1" applyAlignment="1" applyProtection="1">
      <alignment vertical="top" wrapText="1"/>
      <protection hidden="1"/>
    </xf>
    <xf numFmtId="0" fontId="169" fillId="0" borderId="0" xfId="3" applyFont="1" applyFill="1" applyAlignment="1" applyProtection="1">
      <alignment horizontal="justify" vertical="top"/>
      <protection hidden="1"/>
    </xf>
    <xf numFmtId="0" fontId="169" fillId="0" borderId="0" xfId="3" applyFont="1" applyFill="1" applyAlignment="1" applyProtection="1">
      <alignment vertical="center"/>
      <protection hidden="1"/>
    </xf>
    <xf numFmtId="0" fontId="202" fillId="0" borderId="0" xfId="3" applyFont="1" applyFill="1" applyProtection="1">
      <protection hidden="1"/>
    </xf>
    <xf numFmtId="0" fontId="197" fillId="0" borderId="0" xfId="3" applyFont="1" applyFill="1" applyProtection="1">
      <protection hidden="1"/>
    </xf>
    <xf numFmtId="0" fontId="141" fillId="0" borderId="0" xfId="0" applyNumberFormat="1" applyFont="1" applyFill="1" applyAlignment="1" applyProtection="1">
      <alignment horizontal="left" vertical="center"/>
    </xf>
    <xf numFmtId="0" fontId="203" fillId="0" borderId="0" xfId="0" applyFont="1" applyFill="1" applyAlignment="1" applyProtection="1">
      <alignment vertical="center"/>
    </xf>
    <xf numFmtId="14" fontId="13" fillId="0" borderId="202" xfId="0" applyNumberFormat="1" applyFont="1" applyBorder="1" applyProtection="1">
      <alignment vertical="center"/>
    </xf>
    <xf numFmtId="14" fontId="13" fillId="0" borderId="33" xfId="0" applyNumberFormat="1" applyFont="1" applyBorder="1" applyProtection="1">
      <alignment vertical="center"/>
    </xf>
    <xf numFmtId="0" fontId="101" fillId="22" borderId="0" xfId="0" applyFont="1" applyFill="1" applyProtection="1">
      <alignment vertical="center"/>
      <protection hidden="1"/>
    </xf>
    <xf numFmtId="0" fontId="101" fillId="0" borderId="0" xfId="0" applyFont="1" applyProtection="1">
      <alignment vertical="center"/>
      <protection hidden="1"/>
    </xf>
    <xf numFmtId="0" fontId="101" fillId="22" borderId="8" xfId="0" applyFont="1" applyFill="1" applyBorder="1" applyProtection="1">
      <alignment vertical="center"/>
      <protection hidden="1"/>
    </xf>
    <xf numFmtId="0" fontId="110" fillId="21" borderId="4" xfId="0" applyFont="1" applyFill="1" applyBorder="1" applyAlignment="1" applyProtection="1">
      <alignment horizontal="center" vertical="center"/>
      <protection hidden="1"/>
    </xf>
    <xf numFmtId="0" fontId="26" fillId="3" borderId="0" xfId="0" applyFont="1" applyFill="1" applyBorder="1" applyAlignment="1" applyProtection="1">
      <alignment vertical="center" wrapText="1"/>
    </xf>
    <xf numFmtId="0" fontId="145" fillId="3" borderId="38" xfId="0" applyFont="1" applyFill="1" applyBorder="1" applyAlignment="1" applyProtection="1"/>
    <xf numFmtId="0" fontId="26" fillId="3" borderId="0" xfId="0" applyFont="1" applyFill="1" applyBorder="1" applyAlignment="1" applyProtection="1">
      <alignment horizontal="left" vertical="center"/>
    </xf>
    <xf numFmtId="0" fontId="11" fillId="0" borderId="0" xfId="1" applyFont="1" applyAlignment="1" applyProtection="1">
      <alignment horizontal="left" vertical="center"/>
    </xf>
    <xf numFmtId="0" fontId="26" fillId="3"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26" fillId="3" borderId="0" xfId="0" applyFont="1" applyFill="1" applyBorder="1" applyAlignment="1" applyProtection="1">
      <alignment horizontal="center" vertical="center"/>
    </xf>
    <xf numFmtId="0" fontId="26" fillId="3" borderId="0" xfId="0" applyFont="1" applyFill="1" applyBorder="1" applyAlignment="1" applyProtection="1">
      <alignment horizontal="left" vertical="center" wrapText="1"/>
    </xf>
    <xf numFmtId="0" fontId="26" fillId="3" borderId="22" xfId="0" applyFont="1" applyFill="1" applyBorder="1" applyAlignment="1" applyProtection="1">
      <alignment vertical="center" wrapText="1"/>
    </xf>
    <xf numFmtId="0" fontId="26" fillId="3" borderId="0" xfId="0" applyFont="1" applyFill="1" applyBorder="1" applyAlignment="1" applyProtection="1">
      <alignment vertical="center" wrapText="1"/>
    </xf>
    <xf numFmtId="0" fontId="26" fillId="3" borderId="0" xfId="0" applyFont="1" applyFill="1" applyBorder="1" applyAlignment="1" applyProtection="1">
      <alignment horizontal="center" vertical="center" wrapText="1"/>
    </xf>
    <xf numFmtId="0" fontId="26" fillId="3" borderId="0" xfId="0" applyFont="1" applyFill="1" applyBorder="1" applyAlignment="1" applyProtection="1">
      <alignment horizontal="center" vertical="center"/>
    </xf>
    <xf numFmtId="0" fontId="26" fillId="0" borderId="0" xfId="0" applyFont="1" applyFill="1" applyBorder="1" applyAlignment="1" applyProtection="1">
      <alignment horizontal="center" vertical="center" wrapText="1"/>
    </xf>
    <xf numFmtId="0" fontId="26" fillId="3" borderId="22" xfId="0" applyFont="1" applyFill="1" applyBorder="1" applyAlignment="1" applyProtection="1">
      <alignment vertical="center" wrapText="1"/>
    </xf>
    <xf numFmtId="0" fontId="11" fillId="0" borderId="0" xfId="1" applyFont="1" applyAlignment="1" applyProtection="1">
      <alignment horizontal="left" vertical="center"/>
    </xf>
    <xf numFmtId="0" fontId="26" fillId="3" borderId="0" xfId="0" applyFont="1" applyFill="1" applyBorder="1" applyAlignment="1" applyProtection="1">
      <alignment horizontal="left" vertical="center" wrapText="1"/>
    </xf>
    <xf numFmtId="0" fontId="0" fillId="0" borderId="7" xfId="0" applyFont="1" applyBorder="1" applyAlignment="1" applyProtection="1">
      <alignment vertical="center"/>
    </xf>
    <xf numFmtId="0" fontId="26" fillId="3" borderId="0" xfId="0" applyFont="1" applyFill="1" applyBorder="1" applyAlignment="1" applyProtection="1">
      <alignment horizontal="left" vertical="center"/>
    </xf>
    <xf numFmtId="0" fontId="160" fillId="5" borderId="19" xfId="0" applyFont="1" applyFill="1" applyBorder="1" applyAlignment="1" applyProtection="1">
      <alignment horizontal="left" vertical="center" wrapText="1"/>
    </xf>
    <xf numFmtId="0" fontId="160" fillId="5" borderId="17" xfId="0" applyFont="1" applyFill="1" applyBorder="1" applyAlignment="1" applyProtection="1">
      <alignment horizontal="left" vertical="center" wrapText="1"/>
    </xf>
    <xf numFmtId="0" fontId="160" fillId="5" borderId="32" xfId="0" applyFont="1" applyFill="1" applyBorder="1" applyAlignment="1" applyProtection="1">
      <alignment horizontal="left" vertical="center" shrinkToFit="1"/>
    </xf>
    <xf numFmtId="0" fontId="160" fillId="5" borderId="19" xfId="0" applyFont="1" applyFill="1" applyBorder="1" applyAlignment="1" applyProtection="1">
      <alignment horizontal="left" vertical="center"/>
    </xf>
    <xf numFmtId="0" fontId="160" fillId="5" borderId="17" xfId="0" applyFont="1" applyFill="1" applyBorder="1" applyAlignment="1" applyProtection="1">
      <alignment horizontal="left" vertical="center"/>
    </xf>
    <xf numFmtId="0" fontId="0" fillId="13" borderId="0" xfId="0" applyFont="1" applyFill="1" applyAlignment="1" applyProtection="1">
      <alignment horizontal="left" vertical="center"/>
    </xf>
    <xf numFmtId="0" fontId="0" fillId="13" borderId="164" xfId="0" applyFill="1" applyBorder="1" applyAlignment="1" applyProtection="1">
      <alignment horizontal="left" vertical="center"/>
    </xf>
    <xf numFmtId="0" fontId="141" fillId="0" borderId="0" xfId="0" quotePrefix="1" applyFont="1" applyAlignment="1" applyProtection="1">
      <alignment horizontal="left" vertical="center"/>
    </xf>
    <xf numFmtId="0" fontId="160" fillId="0" borderId="19" xfId="2" applyFont="1" applyBorder="1" applyAlignment="1" applyProtection="1">
      <alignment horizontal="left" vertical="center"/>
    </xf>
    <xf numFmtId="0" fontId="160" fillId="0" borderId="17" xfId="2" applyFont="1" applyBorder="1" applyAlignment="1" applyProtection="1">
      <alignment horizontal="left" vertical="center"/>
    </xf>
    <xf numFmtId="0" fontId="160" fillId="0" borderId="179" xfId="0" applyFont="1" applyBorder="1" applyAlignment="1" applyProtection="1">
      <alignment horizontal="left" vertical="center"/>
    </xf>
    <xf numFmtId="0" fontId="137" fillId="41" borderId="38" xfId="0" applyFont="1" applyFill="1" applyBorder="1" applyProtection="1">
      <alignment vertical="center"/>
    </xf>
    <xf numFmtId="0" fontId="137" fillId="41" borderId="38" xfId="0" applyFont="1" applyFill="1" applyBorder="1" applyAlignment="1" applyProtection="1">
      <alignment vertical="center" wrapText="1"/>
    </xf>
    <xf numFmtId="0" fontId="137" fillId="41" borderId="50" xfId="0" applyFont="1" applyFill="1" applyBorder="1" applyAlignment="1" applyProtection="1">
      <alignment horizontal="left" vertical="center"/>
    </xf>
    <xf numFmtId="0" fontId="160" fillId="0" borderId="38" xfId="0" applyFont="1" applyBorder="1" applyAlignment="1" applyProtection="1">
      <alignment horizontal="left" vertical="center"/>
    </xf>
    <xf numFmtId="0" fontId="160" fillId="0" borderId="38" xfId="0" applyFont="1" applyBorder="1" applyAlignment="1" applyProtection="1">
      <alignment horizontal="left" vertical="center" wrapText="1"/>
    </xf>
    <xf numFmtId="0" fontId="160" fillId="0" borderId="50" xfId="0" applyFont="1" applyBorder="1" applyAlignment="1" applyProtection="1">
      <alignment horizontal="left" vertical="center"/>
    </xf>
    <xf numFmtId="0" fontId="137" fillId="0" borderId="13" xfId="0" applyFont="1" applyBorder="1" applyAlignment="1" applyProtection="1">
      <alignment horizontal="left" vertical="center"/>
    </xf>
    <xf numFmtId="0" fontId="137" fillId="0" borderId="178" xfId="0" applyFont="1" applyBorder="1" applyAlignment="1" applyProtection="1">
      <alignment horizontal="left" vertical="center"/>
    </xf>
    <xf numFmtId="0" fontId="160" fillId="0" borderId="17" xfId="2" applyFont="1" applyBorder="1" applyAlignment="1" applyProtection="1">
      <alignment horizontal="left" vertical="center" wrapText="1"/>
    </xf>
    <xf numFmtId="0" fontId="160" fillId="0" borderId="30" xfId="2" applyFont="1" applyBorder="1" applyAlignment="1" applyProtection="1">
      <alignment horizontal="left" vertical="center" wrapText="1"/>
    </xf>
    <xf numFmtId="0" fontId="0" fillId="0" borderId="14" xfId="0" applyFill="1" applyBorder="1" applyAlignment="1" applyProtection="1">
      <alignment horizontal="left" vertical="center"/>
    </xf>
    <xf numFmtId="0" fontId="0" fillId="0" borderId="32" xfId="0" applyFill="1" applyBorder="1" applyAlignment="1" applyProtection="1">
      <alignment horizontal="left" vertical="center"/>
    </xf>
    <xf numFmtId="0" fontId="141" fillId="0" borderId="38" xfId="0" applyFont="1" applyFill="1" applyBorder="1" applyAlignment="1" applyProtection="1">
      <alignment horizontal="right" vertical="center"/>
    </xf>
    <xf numFmtId="0" fontId="141" fillId="0" borderId="0" xfId="0" applyFont="1" applyAlignment="1" applyProtection="1">
      <alignment horizontal="right" vertical="center"/>
    </xf>
    <xf numFmtId="0" fontId="137" fillId="39" borderId="37" xfId="0" applyFont="1" applyFill="1" applyBorder="1" applyProtection="1">
      <alignment vertical="center"/>
    </xf>
    <xf numFmtId="0" fontId="137" fillId="39" borderId="38" xfId="0" applyFont="1" applyFill="1" applyBorder="1" applyAlignment="1" applyProtection="1">
      <alignment vertical="center" wrapText="1"/>
    </xf>
    <xf numFmtId="0" fontId="137" fillId="39" borderId="16" xfId="0" applyFont="1" applyFill="1" applyBorder="1" applyAlignment="1" applyProtection="1">
      <alignment horizontal="left" vertical="center" wrapText="1"/>
    </xf>
    <xf numFmtId="0" fontId="137" fillId="39" borderId="15" xfId="0" applyFont="1" applyFill="1" applyBorder="1" applyAlignment="1" applyProtection="1">
      <alignment horizontal="left" vertical="center"/>
    </xf>
    <xf numFmtId="0" fontId="137" fillId="0" borderId="0" xfId="0" applyFont="1" applyFill="1" applyBorder="1" applyAlignment="1" applyProtection="1">
      <alignment horizontal="left" vertical="center"/>
    </xf>
    <xf numFmtId="14" fontId="137" fillId="0" borderId="0" xfId="0" applyNumberFormat="1" applyFont="1" applyFill="1" applyBorder="1" applyAlignment="1" applyProtection="1">
      <alignment vertical="center" wrapText="1"/>
    </xf>
    <xf numFmtId="0" fontId="31" fillId="5" borderId="0" xfId="0" applyFont="1" applyFill="1" applyBorder="1" applyAlignment="1" applyProtection="1">
      <alignment horizontal="center" vertical="center" wrapText="1" shrinkToFit="1"/>
    </xf>
    <xf numFmtId="14" fontId="6" fillId="0" borderId="99" xfId="0" applyNumberFormat="1" applyFont="1" applyFill="1" applyBorder="1" applyAlignment="1" applyProtection="1">
      <alignment horizontal="left" vertical="center" wrapText="1" shrinkToFit="1"/>
    </xf>
    <xf numFmtId="0" fontId="6" fillId="8" borderId="99" xfId="0" applyNumberFormat="1" applyFont="1" applyFill="1" applyBorder="1" applyAlignment="1" applyProtection="1">
      <alignment horizontal="left" vertical="center" wrapText="1" shrinkToFit="1"/>
    </xf>
    <xf numFmtId="14" fontId="6" fillId="7" borderId="99" xfId="0" applyNumberFormat="1" applyFont="1" applyFill="1" applyBorder="1" applyAlignment="1" applyProtection="1">
      <alignment horizontal="left" vertical="center" wrapText="1" shrinkToFit="1"/>
    </xf>
    <xf numFmtId="0" fontId="6" fillId="8" borderId="5" xfId="0" applyNumberFormat="1" applyFont="1" applyFill="1" applyBorder="1" applyAlignment="1" applyProtection="1">
      <alignment horizontal="left" vertical="center" wrapText="1" shrinkToFit="1"/>
    </xf>
    <xf numFmtId="0" fontId="6" fillId="0" borderId="23" xfId="0" applyFont="1" applyBorder="1" applyAlignment="1" applyProtection="1">
      <alignment horizontal="left" vertical="center" wrapText="1"/>
    </xf>
    <xf numFmtId="0" fontId="6" fillId="8" borderId="100" xfId="0" applyNumberFormat="1" applyFont="1" applyFill="1" applyBorder="1" applyAlignment="1" applyProtection="1">
      <alignment horizontal="left" vertical="center" wrapText="1" shrinkToFit="1"/>
    </xf>
    <xf numFmtId="0" fontId="160" fillId="8" borderId="37" xfId="0" applyFont="1" applyFill="1" applyBorder="1" applyAlignment="1" applyProtection="1">
      <alignment horizontal="left" vertical="center"/>
    </xf>
    <xf numFmtId="0" fontId="160" fillId="8" borderId="38" xfId="0" applyFont="1" applyFill="1" applyBorder="1" applyProtection="1">
      <alignment vertical="center"/>
    </xf>
    <xf numFmtId="0" fontId="160" fillId="8" borderId="38" xfId="0" applyFont="1" applyFill="1" applyBorder="1" applyAlignment="1" applyProtection="1">
      <alignment vertical="center" wrapText="1"/>
    </xf>
    <xf numFmtId="0" fontId="160" fillId="8" borderId="16" xfId="0" applyFont="1" applyFill="1" applyBorder="1" applyAlignment="1" applyProtection="1">
      <alignment horizontal="right" vertical="center"/>
    </xf>
    <xf numFmtId="0" fontId="0" fillId="0" borderId="45" xfId="0" applyBorder="1" applyAlignment="1" applyProtection="1">
      <alignment horizontal="left" vertical="center"/>
    </xf>
    <xf numFmtId="0" fontId="0" fillId="0" borderId="20" xfId="0" applyBorder="1" applyAlignment="1" applyProtection="1">
      <alignment horizontal="left" vertical="center"/>
    </xf>
    <xf numFmtId="0" fontId="0" fillId="0" borderId="67" xfId="0" applyFont="1" applyFill="1" applyBorder="1" applyAlignment="1" applyProtection="1">
      <alignment horizontal="left" vertical="center"/>
    </xf>
    <xf numFmtId="0" fontId="160" fillId="0" borderId="67" xfId="2" applyFont="1" applyFill="1" applyBorder="1" applyAlignment="1" applyProtection="1">
      <alignment horizontal="left" vertical="center" wrapText="1"/>
    </xf>
    <xf numFmtId="0" fontId="204" fillId="13" borderId="18" xfId="0" applyFont="1" applyFill="1" applyBorder="1" applyAlignment="1" applyProtection="1">
      <alignment horizontal="left" vertical="center"/>
    </xf>
    <xf numFmtId="0" fontId="204" fillId="13" borderId="68" xfId="0" applyFont="1" applyFill="1" applyBorder="1" applyAlignment="1" applyProtection="1">
      <alignment horizontal="left" vertical="center"/>
    </xf>
    <xf numFmtId="0" fontId="204" fillId="13" borderId="75" xfId="0" applyFont="1" applyFill="1" applyBorder="1" applyAlignment="1" applyProtection="1">
      <alignment horizontal="left" vertical="center"/>
    </xf>
    <xf numFmtId="0" fontId="137" fillId="3" borderId="13" xfId="0" applyFont="1" applyFill="1" applyBorder="1" applyAlignment="1" applyProtection="1">
      <alignment horizontal="left" vertical="center"/>
    </xf>
    <xf numFmtId="0" fontId="137" fillId="3" borderId="4" xfId="2" applyFont="1" applyFill="1" applyBorder="1" applyAlignment="1" applyProtection="1">
      <alignment horizontal="left" vertical="center"/>
    </xf>
    <xf numFmtId="0" fontId="137" fillId="3" borderId="7" xfId="2" applyFont="1" applyFill="1" applyBorder="1" applyAlignment="1" applyProtection="1">
      <alignment horizontal="left" vertical="center"/>
    </xf>
    <xf numFmtId="0" fontId="137" fillId="3" borderId="13" xfId="0" applyFont="1" applyFill="1" applyBorder="1" applyAlignment="1" applyProtection="1">
      <alignment horizontal="left" vertical="center" wrapText="1"/>
    </xf>
    <xf numFmtId="0" fontId="137" fillId="3" borderId="4" xfId="0" applyFont="1" applyFill="1" applyBorder="1" applyAlignment="1" applyProtection="1">
      <alignment horizontal="left" vertical="center" wrapText="1"/>
    </xf>
    <xf numFmtId="14" fontId="137" fillId="3" borderId="4" xfId="0" applyNumberFormat="1" applyFont="1" applyFill="1" applyBorder="1" applyAlignment="1" applyProtection="1">
      <alignment horizontal="left" vertical="center" wrapText="1"/>
    </xf>
    <xf numFmtId="0" fontId="137" fillId="3" borderId="7" xfId="0" applyFont="1" applyFill="1" applyBorder="1" applyAlignment="1" applyProtection="1">
      <alignment horizontal="left" vertical="center" wrapText="1"/>
    </xf>
    <xf numFmtId="0" fontId="137" fillId="3" borderId="14" xfId="0" applyFont="1" applyFill="1" applyBorder="1" applyAlignment="1" applyProtection="1">
      <alignment horizontal="left" vertical="center" wrapText="1"/>
    </xf>
    <xf numFmtId="0" fontId="0" fillId="13" borderId="17" xfId="0" applyFont="1" applyFill="1" applyBorder="1" applyAlignment="1" applyProtection="1">
      <alignment horizontal="left" vertical="center" wrapText="1"/>
    </xf>
    <xf numFmtId="0" fontId="0" fillId="13" borderId="30" xfId="0" applyFont="1" applyFill="1" applyBorder="1" applyAlignment="1" applyProtection="1">
      <alignment horizontal="left" vertical="center" wrapText="1"/>
    </xf>
    <xf numFmtId="0" fontId="0" fillId="13" borderId="9" xfId="0" applyFont="1" applyFill="1" applyBorder="1" applyAlignment="1" applyProtection="1">
      <alignment horizontal="left" vertical="center"/>
    </xf>
    <xf numFmtId="14" fontId="204" fillId="3" borderId="68" xfId="0" applyNumberFormat="1" applyFont="1" applyFill="1" applyBorder="1" applyAlignment="1" applyProtection="1">
      <alignment horizontal="left" vertical="center" wrapText="1" shrinkToFit="1"/>
    </xf>
    <xf numFmtId="0" fontId="42" fillId="13" borderId="58" xfId="0" applyFont="1" applyFill="1" applyBorder="1" applyAlignment="1" applyProtection="1">
      <alignment horizontal="left" vertical="center" shrinkToFit="1"/>
    </xf>
    <xf numFmtId="0" fontId="141" fillId="0" borderId="0" xfId="0" applyFont="1" applyFill="1" applyAlignment="1" applyProtection="1">
      <alignment horizontal="right" vertical="center"/>
    </xf>
    <xf numFmtId="0" fontId="141" fillId="0" borderId="0" xfId="0" applyFont="1" applyBorder="1" applyAlignment="1" applyProtection="1">
      <alignment horizontal="left" vertical="center"/>
    </xf>
    <xf numFmtId="0" fontId="137" fillId="0" borderId="33" xfId="0" applyFont="1" applyBorder="1" applyAlignment="1" applyProtection="1">
      <alignment vertical="center"/>
    </xf>
    <xf numFmtId="0" fontId="0" fillId="13" borderId="17" xfId="0" applyFont="1" applyFill="1" applyBorder="1" applyAlignment="1" applyProtection="1">
      <alignment vertical="center"/>
    </xf>
    <xf numFmtId="0" fontId="0" fillId="13" borderId="30" xfId="0" applyFont="1" applyFill="1" applyBorder="1" applyAlignment="1" applyProtection="1">
      <alignment vertical="center"/>
    </xf>
    <xf numFmtId="0" fontId="0" fillId="13" borderId="58" xfId="0" applyFont="1" applyFill="1" applyBorder="1" applyAlignment="1" applyProtection="1">
      <alignment vertical="center"/>
    </xf>
    <xf numFmtId="0" fontId="0" fillId="13" borderId="31" xfId="0" applyFont="1" applyFill="1" applyBorder="1" applyAlignment="1" applyProtection="1">
      <alignment vertical="center"/>
    </xf>
    <xf numFmtId="0" fontId="137" fillId="41" borderId="44" xfId="0" applyFont="1" applyFill="1" applyBorder="1" applyAlignment="1" applyProtection="1">
      <alignment vertical="center"/>
    </xf>
    <xf numFmtId="0" fontId="0" fillId="41" borderId="38" xfId="0" applyFont="1" applyFill="1" applyBorder="1" applyAlignment="1" applyProtection="1">
      <alignment vertical="center"/>
    </xf>
    <xf numFmtId="0" fontId="0" fillId="41" borderId="50" xfId="0" applyFont="1" applyFill="1" applyBorder="1" applyAlignment="1" applyProtection="1">
      <alignment vertical="center"/>
    </xf>
    <xf numFmtId="0" fontId="0" fillId="0" borderId="41" xfId="0" applyFont="1" applyBorder="1" applyAlignment="1" applyProtection="1">
      <alignment vertical="center"/>
    </xf>
    <xf numFmtId="0" fontId="0" fillId="0" borderId="3" xfId="0" applyFont="1" applyBorder="1" applyAlignment="1" applyProtection="1">
      <alignment vertical="center"/>
    </xf>
    <xf numFmtId="0" fontId="160" fillId="0" borderId="32" xfId="2" applyFont="1" applyBorder="1" applyAlignment="1" applyProtection="1">
      <alignment horizontal="left" vertical="center" wrapText="1"/>
    </xf>
    <xf numFmtId="0" fontId="0" fillId="0" borderId="44" xfId="0" applyFont="1" applyFill="1" applyBorder="1" applyAlignment="1" applyProtection="1">
      <alignment vertical="center"/>
    </xf>
    <xf numFmtId="0" fontId="0" fillId="0" borderId="75" xfId="0" applyFont="1" applyFill="1" applyBorder="1" applyAlignment="1" applyProtection="1">
      <alignment vertical="center"/>
    </xf>
    <xf numFmtId="0" fontId="137" fillId="0" borderId="0" xfId="0" applyFont="1" applyBorder="1" applyAlignment="1" applyProtection="1">
      <alignment horizontal="left" vertical="center" wrapText="1"/>
    </xf>
    <xf numFmtId="0" fontId="6" fillId="13" borderId="58" xfId="0" applyFont="1" applyFill="1" applyBorder="1" applyAlignment="1" applyProtection="1">
      <alignment horizontal="left" vertical="center"/>
    </xf>
    <xf numFmtId="0" fontId="189" fillId="3" borderId="0" xfId="0" applyFont="1" applyFill="1" applyAlignment="1" applyProtection="1">
      <alignment horizontal="right" vertical="center"/>
    </xf>
    <xf numFmtId="0" fontId="6" fillId="13" borderId="0" xfId="0" applyFont="1" applyFill="1" applyBorder="1" applyAlignment="1" applyProtection="1">
      <alignment horizontal="left" vertical="center"/>
    </xf>
    <xf numFmtId="0" fontId="6" fillId="13" borderId="38" xfId="0" applyFont="1" applyFill="1" applyBorder="1" applyAlignment="1" applyProtection="1">
      <alignment horizontal="left" vertical="center"/>
    </xf>
    <xf numFmtId="0" fontId="206" fillId="5" borderId="22" xfId="0" applyFont="1" applyFill="1" applyBorder="1" applyAlignment="1" applyProtection="1">
      <alignment horizontal="center" vertical="center" wrapText="1" shrinkToFit="1"/>
    </xf>
    <xf numFmtId="0" fontId="207" fillId="13" borderId="0" xfId="0" applyFont="1" applyFill="1" applyBorder="1" applyAlignment="1" applyProtection="1">
      <alignment horizontal="left" vertical="center"/>
    </xf>
    <xf numFmtId="0" fontId="207" fillId="0" borderId="0" xfId="0" applyFont="1" applyProtection="1">
      <alignment vertical="center"/>
    </xf>
    <xf numFmtId="0" fontId="207" fillId="0" borderId="58" xfId="0" applyFont="1" applyBorder="1" applyAlignment="1" applyProtection="1">
      <alignment horizontal="left" vertical="center"/>
    </xf>
    <xf numFmtId="0" fontId="6" fillId="32" borderId="4" xfId="0" applyFont="1" applyFill="1" applyBorder="1" applyAlignment="1" applyProtection="1">
      <alignment horizontal="left" vertical="center" wrapText="1" shrinkToFit="1"/>
    </xf>
    <xf numFmtId="0" fontId="6" fillId="42" borderId="33" xfId="0" applyFont="1" applyFill="1" applyBorder="1" applyAlignment="1" applyProtection="1">
      <alignment horizontal="left" vertical="center" wrapText="1" shrinkToFit="1"/>
    </xf>
    <xf numFmtId="0" fontId="0" fillId="13" borderId="30" xfId="0" applyFont="1" applyFill="1" applyBorder="1" applyAlignment="1" applyProtection="1">
      <alignment horizontal="left" vertical="center"/>
    </xf>
    <xf numFmtId="0" fontId="0" fillId="13" borderId="32" xfId="0" applyFont="1" applyFill="1" applyBorder="1" applyAlignment="1" applyProtection="1">
      <alignment horizontal="left" vertical="center"/>
    </xf>
    <xf numFmtId="0" fontId="141" fillId="0" borderId="0" xfId="0" applyFont="1" applyFill="1" applyBorder="1" applyAlignment="1" applyProtection="1">
      <alignment horizontal="right" vertical="center"/>
    </xf>
    <xf numFmtId="0" fontId="141" fillId="0" borderId="10" xfId="0" applyFont="1" applyFill="1" applyBorder="1" applyAlignment="1" applyProtection="1">
      <alignment horizontal="right" vertical="center"/>
    </xf>
    <xf numFmtId="0" fontId="6" fillId="13" borderId="21" xfId="0" applyFont="1" applyFill="1" applyBorder="1" applyAlignment="1" applyProtection="1">
      <alignment horizontal="left" vertical="center"/>
    </xf>
    <xf numFmtId="0" fontId="6" fillId="13" borderId="68" xfId="0" applyFont="1" applyFill="1" applyBorder="1" applyAlignment="1" applyProtection="1">
      <alignment horizontal="left" vertical="center"/>
    </xf>
    <xf numFmtId="0" fontId="6" fillId="13" borderId="75" xfId="0" applyFont="1" applyFill="1" applyBorder="1" applyAlignment="1" applyProtection="1">
      <alignment horizontal="left" vertical="center"/>
    </xf>
    <xf numFmtId="0" fontId="6" fillId="13" borderId="41" xfId="0" applyFont="1" applyFill="1" applyBorder="1" applyAlignment="1" applyProtection="1">
      <alignment horizontal="left" vertical="center"/>
    </xf>
    <xf numFmtId="0" fontId="160" fillId="0" borderId="18" xfId="2" applyFont="1" applyBorder="1" applyAlignment="1" applyProtection="1">
      <alignment horizontal="left" vertical="center"/>
    </xf>
    <xf numFmtId="0" fontId="160" fillId="0" borderId="68" xfId="2" applyFont="1" applyBorder="1" applyAlignment="1" applyProtection="1">
      <alignment horizontal="left" vertical="center"/>
    </xf>
    <xf numFmtId="0" fontId="160" fillId="0" borderId="75" xfId="2" applyFont="1" applyBorder="1" applyAlignment="1" applyProtection="1">
      <alignment horizontal="left" vertical="center"/>
    </xf>
    <xf numFmtId="0" fontId="0" fillId="13" borderId="17" xfId="0" applyFont="1" applyFill="1" applyBorder="1" applyAlignment="1" applyProtection="1">
      <alignment horizontal="left" vertical="center"/>
    </xf>
    <xf numFmtId="0" fontId="0" fillId="0" borderId="29" xfId="0" applyFont="1" applyFill="1" applyBorder="1" applyProtection="1">
      <alignment vertical="center"/>
    </xf>
    <xf numFmtId="0" fontId="0" fillId="0" borderId="29" xfId="0" applyFont="1" applyFill="1" applyBorder="1" applyAlignment="1" applyProtection="1">
      <alignment horizontal="left" vertical="center"/>
    </xf>
    <xf numFmtId="0" fontId="206" fillId="0" borderId="22" xfId="0" applyFont="1" applyFill="1" applyBorder="1" applyAlignment="1" applyProtection="1">
      <alignment horizontal="center" vertical="center" wrapText="1" shrinkToFit="1"/>
    </xf>
    <xf numFmtId="0" fontId="206" fillId="5" borderId="50" xfId="0" applyFont="1" applyFill="1" applyBorder="1" applyAlignment="1" applyProtection="1">
      <alignment horizontal="center" vertical="center" wrapText="1" shrinkToFit="1"/>
    </xf>
    <xf numFmtId="0" fontId="207" fillId="13" borderId="0" xfId="0" applyFont="1" applyFill="1" applyBorder="1" applyAlignment="1" applyProtection="1">
      <alignment vertical="center"/>
    </xf>
    <xf numFmtId="0" fontId="6" fillId="0" borderId="22" xfId="0" applyNumberFormat="1" applyFont="1" applyFill="1" applyBorder="1" applyAlignment="1" applyProtection="1">
      <alignment horizontal="left" vertical="center" wrapText="1" shrinkToFit="1"/>
    </xf>
    <xf numFmtId="0" fontId="6" fillId="42" borderId="4" xfId="0" applyFont="1" applyFill="1" applyBorder="1" applyAlignment="1" applyProtection="1">
      <alignment horizontal="left" vertical="center" wrapText="1" shrinkToFit="1"/>
    </xf>
    <xf numFmtId="0" fontId="0" fillId="41" borderId="0" xfId="0" applyFont="1" applyFill="1" applyAlignment="1" applyProtection="1">
      <alignment horizontal="left" vertical="center"/>
    </xf>
    <xf numFmtId="0" fontId="0" fillId="13" borderId="19" xfId="0" applyFont="1" applyFill="1" applyBorder="1" applyAlignment="1" applyProtection="1">
      <alignment horizontal="left" vertical="center"/>
    </xf>
    <xf numFmtId="0" fontId="137" fillId="0" borderId="0" xfId="0" applyFont="1" applyAlignment="1" applyProtection="1">
      <alignment horizontal="left" vertical="center" wrapText="1"/>
    </xf>
    <xf numFmtId="0" fontId="0" fillId="13" borderId="188" xfId="0" applyFill="1" applyBorder="1" applyAlignment="1" applyProtection="1">
      <alignment horizontal="left" vertical="center"/>
    </xf>
    <xf numFmtId="0" fontId="0" fillId="13" borderId="58" xfId="0" applyFill="1" applyBorder="1" applyAlignment="1" applyProtection="1">
      <alignment horizontal="left" vertical="center"/>
    </xf>
    <xf numFmtId="0" fontId="0" fillId="13" borderId="0" xfId="0" applyFont="1" applyFill="1" applyBorder="1" applyAlignment="1" applyProtection="1">
      <alignment horizontal="left" vertical="center"/>
    </xf>
    <xf numFmtId="0" fontId="137" fillId="41" borderId="13" xfId="0" applyFont="1" applyFill="1" applyBorder="1" applyAlignment="1" applyProtection="1">
      <alignment horizontal="left" vertical="center"/>
    </xf>
    <xf numFmtId="0" fontId="6" fillId="41" borderId="38" xfId="0" applyFont="1" applyFill="1" applyBorder="1" applyAlignment="1" applyProtection="1">
      <alignment horizontal="left" vertical="center"/>
    </xf>
    <xf numFmtId="0" fontId="6" fillId="41" borderId="97" xfId="0" applyFont="1" applyFill="1" applyBorder="1" applyAlignment="1" applyProtection="1">
      <alignment horizontal="left" vertical="center"/>
    </xf>
    <xf numFmtId="0" fontId="6" fillId="41" borderId="98" xfId="0" applyFont="1" applyFill="1" applyBorder="1" applyAlignment="1" applyProtection="1">
      <alignment horizontal="left" vertical="center"/>
    </xf>
    <xf numFmtId="0" fontId="0" fillId="41" borderId="23" xfId="0" applyFont="1" applyFill="1" applyBorder="1" applyProtection="1">
      <alignment vertical="center"/>
    </xf>
    <xf numFmtId="0" fontId="6" fillId="41" borderId="21" xfId="0" applyFont="1" applyFill="1" applyBorder="1" applyAlignment="1" applyProtection="1">
      <alignment horizontal="left" vertical="center"/>
    </xf>
    <xf numFmtId="0" fontId="6" fillId="41" borderId="99" xfId="0" applyNumberFormat="1" applyFont="1" applyFill="1" applyBorder="1" applyAlignment="1" applyProtection="1">
      <alignment horizontal="left" vertical="center" wrapText="1" shrinkToFit="1"/>
    </xf>
    <xf numFmtId="0" fontId="6" fillId="41" borderId="5" xfId="0" applyNumberFormat="1" applyFont="1" applyFill="1" applyBorder="1" applyAlignment="1" applyProtection="1">
      <alignment horizontal="left" vertical="center" wrapText="1" shrinkToFit="1"/>
    </xf>
    <xf numFmtId="0" fontId="6" fillId="41" borderId="68" xfId="0" applyFont="1" applyFill="1" applyBorder="1" applyAlignment="1" applyProtection="1">
      <alignment horizontal="left" vertical="center"/>
    </xf>
    <xf numFmtId="0" fontId="6" fillId="41" borderId="75" xfId="0" applyFont="1" applyFill="1" applyBorder="1" applyAlignment="1" applyProtection="1">
      <alignment horizontal="left" vertical="center"/>
    </xf>
    <xf numFmtId="0" fontId="6" fillId="41" borderId="23" xfId="0" applyFont="1" applyFill="1" applyBorder="1" applyAlignment="1" applyProtection="1">
      <alignment horizontal="left" vertical="center" wrapText="1"/>
    </xf>
    <xf numFmtId="0" fontId="6" fillId="41" borderId="37" xfId="0" applyFont="1" applyFill="1" applyBorder="1" applyAlignment="1" applyProtection="1">
      <alignment horizontal="left" vertical="center"/>
    </xf>
    <xf numFmtId="14" fontId="6" fillId="41" borderId="99" xfId="0" applyNumberFormat="1" applyFont="1" applyFill="1" applyBorder="1" applyAlignment="1" applyProtection="1">
      <alignment horizontal="left" vertical="center" wrapText="1" shrinkToFit="1"/>
    </xf>
    <xf numFmtId="0" fontId="6" fillId="41" borderId="44" xfId="0" applyFont="1" applyFill="1" applyBorder="1" applyAlignment="1" applyProtection="1">
      <alignment horizontal="left" vertical="center"/>
    </xf>
    <xf numFmtId="0" fontId="6" fillId="0" borderId="7" xfId="0" applyFont="1" applyFill="1" applyBorder="1" applyAlignment="1" applyProtection="1">
      <alignment horizontal="left" vertical="center"/>
    </xf>
    <xf numFmtId="0" fontId="0" fillId="13" borderId="165" xfId="0" applyFill="1" applyBorder="1" applyAlignment="1" applyProtection="1">
      <alignment horizontal="left" vertical="center"/>
    </xf>
    <xf numFmtId="0" fontId="0" fillId="15" borderId="188" xfId="0" applyFont="1" applyFill="1" applyBorder="1" applyAlignment="1" applyProtection="1">
      <alignment horizontal="left" vertical="center"/>
    </xf>
    <xf numFmtId="0" fontId="0" fillId="15" borderId="0" xfId="0" applyFont="1" applyFill="1" applyBorder="1" applyAlignment="1" applyProtection="1">
      <alignment horizontal="left" vertical="center"/>
    </xf>
    <xf numFmtId="14" fontId="10" fillId="0" borderId="0" xfId="2" applyNumberFormat="1" applyProtection="1">
      <alignment vertical="center"/>
      <protection hidden="1"/>
    </xf>
    <xf numFmtId="0" fontId="174" fillId="0" borderId="0" xfId="0" applyFont="1" applyFill="1" applyAlignment="1" applyProtection="1">
      <alignment vertical="center"/>
    </xf>
    <xf numFmtId="0" fontId="110" fillId="0" borderId="4" xfId="0" applyFont="1" applyBorder="1" applyAlignment="1" applyProtection="1">
      <alignment horizontal="left" vertical="center" wrapText="1" indent="1"/>
      <protection hidden="1"/>
    </xf>
    <xf numFmtId="0" fontId="110" fillId="0" borderId="4" xfId="0" applyFont="1" applyBorder="1" applyAlignment="1" applyProtection="1">
      <alignment horizontal="left" vertical="center" indent="1"/>
      <protection hidden="1"/>
    </xf>
    <xf numFmtId="0" fontId="111" fillId="22" borderId="0" xfId="1" applyFont="1" applyFill="1" applyAlignment="1" applyProtection="1">
      <alignment vertical="center" shrinkToFit="1"/>
      <protection hidden="1"/>
    </xf>
    <xf numFmtId="0" fontId="110" fillId="0" borderId="4" xfId="1" applyFont="1" applyBorder="1" applyAlignment="1" applyProtection="1">
      <alignment horizontal="center" vertical="center" wrapText="1"/>
      <protection hidden="1"/>
    </xf>
    <xf numFmtId="0" fontId="110" fillId="0" borderId="4" xfId="0" applyFont="1" applyBorder="1" applyAlignment="1" applyProtection="1">
      <alignment horizontal="center" vertical="center" wrapText="1"/>
      <protection hidden="1"/>
    </xf>
    <xf numFmtId="0" fontId="110" fillId="13" borderId="33" xfId="0" applyFont="1" applyFill="1" applyBorder="1" applyAlignment="1" applyProtection="1">
      <alignment horizontal="center" vertical="center"/>
      <protection hidden="1"/>
    </xf>
    <xf numFmtId="0" fontId="110" fillId="13" borderId="4" xfId="0" applyFont="1" applyFill="1" applyBorder="1" applyAlignment="1" applyProtection="1">
      <alignment horizontal="center" vertical="center"/>
      <protection hidden="1"/>
    </xf>
    <xf numFmtId="0" fontId="110" fillId="21" borderId="4" xfId="0" applyFont="1" applyFill="1" applyBorder="1" applyAlignment="1" applyProtection="1">
      <alignment horizontal="center" vertical="center"/>
      <protection hidden="1"/>
    </xf>
    <xf numFmtId="0" fontId="119" fillId="9" borderId="4" xfId="8" applyFont="1" applyFill="1" applyBorder="1" applyAlignment="1" applyProtection="1">
      <alignment horizontal="center" vertical="center"/>
      <protection hidden="1"/>
    </xf>
    <xf numFmtId="0" fontId="119" fillId="8" borderId="4" xfId="8" applyFont="1" applyFill="1" applyBorder="1" applyAlignment="1" applyProtection="1">
      <alignment horizontal="center" vertical="center"/>
      <protection hidden="1"/>
    </xf>
    <xf numFmtId="0" fontId="110" fillId="0" borderId="4" xfId="8" applyFont="1" applyBorder="1" applyAlignment="1" applyProtection="1">
      <alignment horizontal="center" vertical="center"/>
      <protection hidden="1"/>
    </xf>
    <xf numFmtId="0" fontId="119" fillId="6" borderId="4" xfId="8" applyFont="1" applyFill="1" applyBorder="1" applyAlignment="1" applyProtection="1">
      <alignment horizontal="center" vertical="center"/>
      <protection hidden="1"/>
    </xf>
    <xf numFmtId="0" fontId="132" fillId="0" borderId="0" xfId="1" applyFont="1" applyAlignment="1" applyProtection="1">
      <alignment horizontal="right" vertical="center"/>
      <protection locked="0" hidden="1"/>
    </xf>
    <xf numFmtId="0" fontId="10" fillId="0" borderId="28" xfId="2" applyBorder="1" applyAlignment="1" applyProtection="1">
      <alignment horizontal="center" vertical="center"/>
      <protection hidden="1"/>
    </xf>
    <xf numFmtId="0" fontId="10" fillId="0" borderId="2" xfId="2" applyBorder="1" applyAlignment="1" applyProtection="1">
      <alignment horizontal="center" vertical="center"/>
      <protection hidden="1"/>
    </xf>
    <xf numFmtId="0" fontId="10" fillId="0" borderId="11" xfId="2" applyBorder="1" applyAlignment="1" applyProtection="1">
      <alignment horizontal="center" vertical="center"/>
      <protection hidden="1"/>
    </xf>
    <xf numFmtId="189" fontId="90" fillId="19" borderId="0" xfId="2" applyNumberFormat="1" applyFont="1" applyFill="1" applyAlignment="1" applyProtection="1">
      <alignment vertical="top" wrapText="1"/>
      <protection hidden="1"/>
    </xf>
    <xf numFmtId="189" fontId="90" fillId="19" borderId="22" xfId="2" applyNumberFormat="1" applyFont="1" applyFill="1" applyBorder="1" applyAlignment="1" applyProtection="1">
      <alignment vertical="top" wrapText="1"/>
      <protection hidden="1"/>
    </xf>
    <xf numFmtId="189" fontId="91" fillId="20" borderId="0" xfId="2" applyNumberFormat="1" applyFont="1" applyFill="1" applyAlignment="1" applyProtection="1">
      <alignment vertical="center" wrapText="1"/>
      <protection hidden="1"/>
    </xf>
    <xf numFmtId="189" fontId="91" fillId="20" borderId="22" xfId="2" applyNumberFormat="1" applyFont="1" applyFill="1" applyBorder="1" applyAlignment="1" applyProtection="1">
      <alignment vertical="center" wrapText="1"/>
      <protection hidden="1"/>
    </xf>
    <xf numFmtId="0" fontId="10" fillId="0" borderId="7" xfId="2" applyBorder="1" applyAlignment="1" applyProtection="1">
      <alignment horizontal="center" vertical="center"/>
      <protection hidden="1"/>
    </xf>
    <xf numFmtId="0" fontId="10" fillId="0" borderId="8" xfId="2" applyBorder="1" applyAlignment="1" applyProtection="1">
      <alignment horizontal="center" vertical="center"/>
      <protection hidden="1"/>
    </xf>
    <xf numFmtId="0" fontId="10" fillId="0" borderId="9" xfId="2" applyBorder="1" applyAlignment="1" applyProtection="1">
      <alignment horizontal="center" vertical="center"/>
      <protection hidden="1"/>
    </xf>
    <xf numFmtId="0" fontId="109" fillId="13" borderId="20" xfId="2" applyFont="1" applyFill="1" applyBorder="1" applyAlignment="1" applyProtection="1">
      <alignment vertical="center" wrapText="1"/>
      <protection hidden="1"/>
    </xf>
    <xf numFmtId="0" fontId="88" fillId="17" borderId="0" xfId="2" applyFont="1" applyFill="1" applyAlignment="1" applyProtection="1">
      <alignment horizontal="center"/>
      <protection hidden="1"/>
    </xf>
    <xf numFmtId="0" fontId="88" fillId="17" borderId="22" xfId="2" applyFont="1" applyFill="1" applyBorder="1" applyAlignment="1" applyProtection="1">
      <alignment horizontal="center"/>
      <protection hidden="1"/>
    </xf>
    <xf numFmtId="0" fontId="90" fillId="2" borderId="21" xfId="2" applyFont="1" applyFill="1" applyBorder="1" applyAlignment="1" applyProtection="1">
      <alignment horizontal="left" vertical="center"/>
      <protection hidden="1"/>
    </xf>
    <xf numFmtId="0" fontId="90" fillId="2" borderId="16" xfId="2" applyFont="1" applyFill="1" applyBorder="1" applyAlignment="1" applyProtection="1">
      <alignment horizontal="left" vertical="center"/>
      <protection hidden="1"/>
    </xf>
    <xf numFmtId="0" fontId="90" fillId="2" borderId="15" xfId="2" applyFont="1" applyFill="1" applyBorder="1" applyAlignment="1" applyProtection="1">
      <alignment horizontal="left" vertical="center"/>
      <protection hidden="1"/>
    </xf>
    <xf numFmtId="189" fontId="90" fillId="20" borderId="0" xfId="2" applyNumberFormat="1" applyFont="1" applyFill="1" applyAlignment="1" applyProtection="1">
      <alignment vertical="center" wrapText="1"/>
      <protection hidden="1"/>
    </xf>
    <xf numFmtId="189" fontId="90" fillId="20" borderId="10" xfId="2" applyNumberFormat="1" applyFont="1" applyFill="1" applyBorder="1" applyAlignment="1" applyProtection="1">
      <alignment vertical="center" wrapText="1"/>
      <protection hidden="1"/>
    </xf>
    <xf numFmtId="0" fontId="145" fillId="3" borderId="37" xfId="0" applyFont="1" applyFill="1" applyBorder="1" applyAlignment="1" applyProtection="1"/>
    <xf numFmtId="0" fontId="145" fillId="3" borderId="38" xfId="0" applyFont="1" applyFill="1" applyBorder="1" applyAlignment="1" applyProtection="1"/>
    <xf numFmtId="0" fontId="158" fillId="3" borderId="16" xfId="0" applyFont="1" applyFill="1" applyBorder="1" applyAlignment="1" applyProtection="1">
      <alignment horizontal="center"/>
    </xf>
    <xf numFmtId="49" fontId="26" fillId="0" borderId="109" xfId="0" applyNumberFormat="1" applyFont="1" applyBorder="1" applyAlignment="1" applyProtection="1">
      <alignment horizontal="left" vertical="center" wrapText="1"/>
      <protection locked="0"/>
    </xf>
    <xf numFmtId="0" fontId="79" fillId="0" borderId="27" xfId="0" applyFont="1" applyFill="1" applyBorder="1" applyAlignment="1" applyProtection="1">
      <alignment vertical="center"/>
      <protection locked="0"/>
    </xf>
    <xf numFmtId="0" fontId="79" fillId="0" borderId="53" xfId="0" applyFont="1" applyFill="1" applyBorder="1" applyAlignment="1" applyProtection="1">
      <alignment horizontal="center" vertical="center"/>
      <protection locked="0"/>
    </xf>
    <xf numFmtId="0" fontId="26" fillId="0" borderId="53" xfId="0" applyFont="1" applyBorder="1" applyAlignment="1" applyProtection="1">
      <alignment horizontal="center" vertical="center"/>
      <protection locked="0"/>
    </xf>
    <xf numFmtId="0" fontId="79" fillId="3" borderId="82" xfId="0" applyFont="1" applyFill="1" applyBorder="1" applyAlignment="1" applyProtection="1">
      <alignment horizontal="center" vertical="center"/>
    </xf>
    <xf numFmtId="0" fontId="79" fillId="0" borderId="82" xfId="0" applyFont="1" applyFill="1" applyBorder="1" applyAlignment="1" applyProtection="1">
      <alignment horizontal="center" vertical="center"/>
      <protection locked="0"/>
    </xf>
    <xf numFmtId="0" fontId="26" fillId="3" borderId="0" xfId="0" applyFont="1" applyFill="1" applyBorder="1" applyAlignment="1" applyProtection="1">
      <alignment vertical="top" wrapText="1"/>
    </xf>
    <xf numFmtId="0" fontId="26" fillId="0" borderId="9" xfId="0" quotePrefix="1" applyFont="1" applyFill="1" applyBorder="1" applyAlignment="1" applyProtection="1">
      <alignment horizontal="center" vertical="center"/>
    </xf>
    <xf numFmtId="0" fontId="26" fillId="0" borderId="8" xfId="0" quotePrefix="1" applyFont="1" applyFill="1" applyBorder="1" applyAlignment="1" applyProtection="1">
      <alignment horizontal="center" vertical="center"/>
    </xf>
    <xf numFmtId="0" fontId="26" fillId="3" borderId="0" xfId="0" applyFont="1" applyFill="1" applyBorder="1" applyAlignment="1" applyProtection="1">
      <alignment vertical="center" wrapText="1"/>
    </xf>
    <xf numFmtId="0" fontId="26" fillId="3" borderId="20" xfId="0" applyFont="1" applyFill="1" applyBorder="1" applyAlignment="1" applyProtection="1">
      <alignment vertical="center" wrapText="1"/>
    </xf>
    <xf numFmtId="0" fontId="79" fillId="3" borderId="53" xfId="0" applyFont="1" applyFill="1" applyBorder="1" applyAlignment="1" applyProtection="1">
      <alignment horizontal="left" vertical="center" wrapText="1"/>
    </xf>
    <xf numFmtId="0" fontId="79" fillId="0" borderId="53" xfId="0" applyFont="1" applyBorder="1" applyAlignment="1" applyProtection="1">
      <alignment horizontal="left" vertical="center" wrapText="1"/>
    </xf>
    <xf numFmtId="0" fontId="122" fillId="0" borderId="8" xfId="0" applyFont="1" applyFill="1" applyBorder="1" applyAlignment="1" applyProtection="1">
      <alignment horizontal="left" vertical="top" wrapText="1"/>
    </xf>
    <xf numFmtId="0" fontId="26" fillId="30" borderId="1" xfId="0" quotePrefix="1" applyFont="1" applyFill="1" applyBorder="1" applyAlignment="1" applyProtection="1">
      <alignment horizontal="center" vertical="center"/>
    </xf>
    <xf numFmtId="0" fontId="26" fillId="0" borderId="1" xfId="0" quotePrefix="1" applyFont="1" applyFill="1" applyBorder="1" applyAlignment="1" applyProtection="1">
      <alignment horizontal="center" vertical="center" wrapText="1"/>
    </xf>
    <xf numFmtId="0" fontId="26" fillId="0" borderId="107" xfId="0" applyFont="1" applyBorder="1" applyAlignment="1" applyProtection="1">
      <alignment horizontal="center" vertical="center"/>
      <protection locked="0"/>
    </xf>
    <xf numFmtId="0" fontId="26" fillId="0" borderId="125" xfId="0" applyFont="1" applyBorder="1" applyAlignment="1" applyProtection="1">
      <alignment horizontal="center" vertical="center"/>
      <protection locked="0"/>
    </xf>
    <xf numFmtId="0" fontId="151" fillId="3" borderId="29" xfId="1" applyFont="1" applyFill="1" applyBorder="1" applyAlignment="1" applyProtection="1">
      <alignment vertical="center"/>
    </xf>
    <xf numFmtId="0" fontId="26" fillId="3" borderId="0" xfId="0" applyFont="1" applyFill="1" applyAlignment="1" applyProtection="1">
      <alignment vertical="center" wrapText="1"/>
    </xf>
    <xf numFmtId="0" fontId="146" fillId="3" borderId="16" xfId="0" applyFont="1" applyFill="1" applyBorder="1" applyAlignment="1" applyProtection="1">
      <alignment horizontal="right"/>
    </xf>
    <xf numFmtId="0" fontId="145" fillId="3" borderId="37" xfId="0" applyFont="1" applyFill="1" applyBorder="1" applyAlignment="1" applyProtection="1">
      <alignment horizontal="left"/>
    </xf>
    <xf numFmtId="0" fontId="145" fillId="3" borderId="38" xfId="0" applyFont="1" applyFill="1" applyBorder="1" applyAlignment="1" applyProtection="1">
      <alignment horizontal="left"/>
    </xf>
    <xf numFmtId="0" fontId="77" fillId="3" borderId="0" xfId="1" applyFont="1" applyFill="1" applyBorder="1" applyAlignment="1" applyProtection="1">
      <alignment vertical="center" wrapText="1"/>
    </xf>
    <xf numFmtId="0" fontId="77" fillId="3" borderId="20" xfId="1" applyFont="1" applyFill="1" applyBorder="1" applyAlignment="1" applyProtection="1">
      <alignment vertical="center" wrapText="1"/>
    </xf>
    <xf numFmtId="0" fontId="26" fillId="3" borderId="0" xfId="0" applyFont="1" applyFill="1" applyAlignment="1" applyProtection="1">
      <alignment vertical="top" wrapText="1"/>
    </xf>
    <xf numFmtId="49" fontId="26" fillId="0" borderId="59" xfId="0" applyNumberFormat="1" applyFont="1" applyBorder="1" applyAlignment="1" applyProtection="1">
      <alignment horizontal="center" vertical="center"/>
      <protection locked="0"/>
    </xf>
    <xf numFmtId="49" fontId="79" fillId="0" borderId="51" xfId="0" applyNumberFormat="1" applyFont="1" applyFill="1" applyBorder="1" applyAlignment="1" applyProtection="1">
      <alignment horizontal="center" vertical="center"/>
      <protection locked="0"/>
    </xf>
    <xf numFmtId="0" fontId="26" fillId="0" borderId="51" xfId="0" applyFont="1" applyBorder="1" applyAlignment="1" applyProtection="1">
      <alignment horizontal="center" vertical="center"/>
      <protection locked="0"/>
    </xf>
    <xf numFmtId="0" fontId="26" fillId="3" borderId="38" xfId="0" applyFont="1" applyFill="1" applyBorder="1" applyAlignment="1" applyProtection="1">
      <alignment wrapText="1"/>
    </xf>
    <xf numFmtId="0" fontId="26" fillId="3" borderId="0" xfId="0" applyFont="1" applyFill="1" applyBorder="1" applyAlignment="1" applyProtection="1">
      <alignment wrapText="1"/>
    </xf>
    <xf numFmtId="0" fontId="79" fillId="0" borderId="53" xfId="0" applyFont="1" applyBorder="1" applyAlignment="1" applyProtection="1">
      <alignment horizontal="left" vertical="center"/>
      <protection locked="0"/>
    </xf>
    <xf numFmtId="0" fontId="79" fillId="0" borderId="51" xfId="0" applyFont="1" applyFill="1" applyBorder="1" applyAlignment="1" applyProtection="1">
      <alignment vertical="center"/>
      <protection locked="0"/>
    </xf>
    <xf numFmtId="0" fontId="79" fillId="0" borderId="51" xfId="0" applyFont="1" applyBorder="1" applyAlignment="1" applyProtection="1">
      <alignment vertical="center"/>
      <protection locked="0"/>
    </xf>
    <xf numFmtId="0" fontId="79" fillId="0" borderId="53" xfId="0" applyFont="1" applyFill="1" applyBorder="1" applyAlignment="1" applyProtection="1">
      <alignment horizontal="left" vertical="center"/>
      <protection locked="0"/>
    </xf>
    <xf numFmtId="0" fontId="79" fillId="0" borderId="84" xfId="0" applyFont="1" applyFill="1" applyBorder="1" applyAlignment="1" applyProtection="1">
      <alignment horizontal="left" vertical="center" wrapText="1"/>
      <protection locked="0"/>
    </xf>
    <xf numFmtId="0" fontId="79" fillId="0" borderId="73" xfId="0" applyFont="1" applyFill="1" applyBorder="1" applyAlignment="1" applyProtection="1">
      <alignment horizontal="left" vertical="center" wrapText="1"/>
      <protection locked="0"/>
    </xf>
    <xf numFmtId="0" fontId="79" fillId="0" borderId="73" xfId="0" applyFont="1" applyFill="1" applyBorder="1" applyAlignment="1" applyProtection="1">
      <alignment horizontal="left" vertical="center"/>
      <protection locked="0"/>
    </xf>
    <xf numFmtId="0" fontId="79" fillId="0" borderId="55" xfId="0" applyFont="1" applyFill="1" applyBorder="1" applyAlignment="1" applyProtection="1">
      <alignment horizontal="left" vertical="center"/>
      <protection locked="0"/>
    </xf>
    <xf numFmtId="0" fontId="26" fillId="3" borderId="51" xfId="0" applyFont="1" applyFill="1" applyBorder="1" applyAlignment="1" applyProtection="1">
      <alignment horizontal="center" vertical="center"/>
    </xf>
    <xf numFmtId="49" fontId="26" fillId="0" borderId="51" xfId="0" applyNumberFormat="1" applyFont="1" applyBorder="1" applyAlignment="1" applyProtection="1">
      <alignment horizontal="center" vertical="center"/>
      <protection locked="0"/>
    </xf>
    <xf numFmtId="0" fontId="26" fillId="3" borderId="59" xfId="0" applyFont="1" applyFill="1" applyBorder="1" applyAlignment="1" applyProtection="1">
      <alignment horizontal="center" vertical="center"/>
    </xf>
    <xf numFmtId="0" fontId="79" fillId="3" borderId="59" xfId="0" applyFont="1" applyFill="1" applyBorder="1" applyAlignment="1" applyProtection="1">
      <alignment horizontal="left" vertical="center" shrinkToFit="1"/>
    </xf>
    <xf numFmtId="0" fontId="26" fillId="0" borderId="59" xfId="0" applyFont="1" applyBorder="1" applyAlignment="1" applyProtection="1">
      <alignment horizontal="left" vertical="center" shrinkToFit="1"/>
    </xf>
    <xf numFmtId="0" fontId="79" fillId="3" borderId="51" xfId="0" applyFont="1" applyFill="1" applyBorder="1" applyAlignment="1" applyProtection="1">
      <alignment horizontal="left" vertical="center"/>
    </xf>
    <xf numFmtId="0" fontId="26" fillId="0" borderId="51" xfId="0" applyFont="1" applyBorder="1" applyAlignment="1" applyProtection="1">
      <alignment horizontal="left" vertical="center"/>
    </xf>
    <xf numFmtId="0" fontId="79" fillId="3" borderId="82" xfId="0" applyFont="1" applyFill="1" applyBorder="1" applyAlignment="1" applyProtection="1">
      <alignment horizontal="left" vertical="center"/>
    </xf>
    <xf numFmtId="0" fontId="79" fillId="3" borderId="0" xfId="0" applyFont="1" applyFill="1" applyBorder="1" applyAlignment="1" applyProtection="1">
      <alignment horizontal="left" vertical="center"/>
    </xf>
    <xf numFmtId="0" fontId="79" fillId="3" borderId="52" xfId="0" applyFont="1" applyFill="1" applyBorder="1" applyAlignment="1" applyProtection="1">
      <alignment horizontal="left" vertical="center"/>
    </xf>
    <xf numFmtId="0" fontId="79" fillId="3" borderId="52" xfId="0" applyFont="1" applyFill="1" applyBorder="1" applyAlignment="1" applyProtection="1">
      <alignment horizontal="center" vertical="center"/>
    </xf>
    <xf numFmtId="0" fontId="79" fillId="0" borderId="8" xfId="0" applyFont="1" applyFill="1" applyBorder="1" applyAlignment="1" applyProtection="1">
      <alignment horizontal="center" vertical="center"/>
      <protection locked="0"/>
    </xf>
    <xf numFmtId="0" fontId="26" fillId="3" borderId="0" xfId="0" applyFont="1" applyFill="1" applyAlignment="1" applyProtection="1">
      <alignment wrapText="1"/>
    </xf>
    <xf numFmtId="0" fontId="79" fillId="0" borderId="53" xfId="0" applyFont="1" applyFill="1" applyBorder="1" applyAlignment="1" applyProtection="1">
      <alignment vertical="center"/>
      <protection locked="0"/>
    </xf>
    <xf numFmtId="0" fontId="79" fillId="0" borderId="53" xfId="0" applyFont="1" applyBorder="1" applyAlignment="1" applyProtection="1">
      <alignment vertical="center"/>
      <protection locked="0"/>
    </xf>
    <xf numFmtId="0" fontId="79" fillId="0" borderId="2" xfId="0" applyFont="1" applyFill="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79" fillId="3" borderId="2" xfId="0" applyFont="1" applyFill="1" applyBorder="1" applyAlignment="1" applyProtection="1">
      <alignment horizontal="left" vertical="center" wrapText="1"/>
    </xf>
    <xf numFmtId="0" fontId="79" fillId="3" borderId="51" xfId="0" applyFont="1" applyFill="1" applyBorder="1" applyAlignment="1" applyProtection="1">
      <alignment horizontal="left" vertical="center" wrapText="1"/>
    </xf>
    <xf numFmtId="0" fontId="26" fillId="3" borderId="51" xfId="0" applyFont="1" applyFill="1" applyBorder="1" applyAlignment="1" applyProtection="1">
      <alignment horizontal="left" vertical="center" wrapText="1"/>
    </xf>
    <xf numFmtId="0" fontId="82" fillId="3" borderId="0" xfId="0" applyFont="1" applyFill="1" applyAlignment="1" applyProtection="1">
      <alignment vertical="center" wrapText="1"/>
    </xf>
    <xf numFmtId="0" fontId="26" fillId="3" borderId="20" xfId="0" applyFont="1" applyFill="1" applyBorder="1" applyAlignment="1" applyProtection="1">
      <alignment vertical="top" wrapText="1"/>
    </xf>
    <xf numFmtId="0" fontId="79" fillId="0" borderId="27" xfId="0" applyFont="1" applyFill="1" applyBorder="1" applyAlignment="1" applyProtection="1">
      <alignment horizontal="left" vertical="center" wrapText="1"/>
      <protection locked="0"/>
    </xf>
    <xf numFmtId="0" fontId="79" fillId="0" borderId="27" xfId="0" applyFont="1" applyBorder="1" applyAlignment="1" applyProtection="1">
      <alignment horizontal="left" vertical="center" wrapText="1"/>
      <protection locked="0"/>
    </xf>
    <xf numFmtId="0" fontId="79" fillId="0" borderId="27" xfId="0" applyFont="1" applyBorder="1" applyAlignment="1" applyProtection="1">
      <alignment horizontal="left" vertical="center"/>
      <protection locked="0"/>
    </xf>
    <xf numFmtId="49" fontId="79" fillId="0" borderId="82" xfId="0" applyNumberFormat="1" applyFont="1" applyFill="1" applyBorder="1" applyAlignment="1" applyProtection="1">
      <alignment horizontal="center" vertical="center"/>
      <protection locked="0"/>
    </xf>
    <xf numFmtId="0" fontId="26" fillId="0" borderId="82" xfId="0" applyFont="1" applyBorder="1" applyAlignment="1" applyProtection="1">
      <alignment horizontal="center" vertical="center"/>
      <protection locked="0"/>
    </xf>
    <xf numFmtId="0" fontId="79" fillId="0" borderId="51" xfId="0" applyFont="1" applyFill="1" applyBorder="1" applyAlignment="1" applyProtection="1">
      <alignment horizontal="center" vertical="center"/>
      <protection locked="0"/>
    </xf>
    <xf numFmtId="49" fontId="175" fillId="0" borderId="51" xfId="0" applyNumberFormat="1" applyFont="1" applyFill="1" applyBorder="1" applyAlignment="1" applyProtection="1">
      <alignment horizontal="left" vertical="center"/>
    </xf>
    <xf numFmtId="49" fontId="175" fillId="0" borderId="51" xfId="0" applyNumberFormat="1" applyFont="1" applyBorder="1" applyAlignment="1" applyProtection="1">
      <alignment horizontal="left" vertical="center"/>
    </xf>
    <xf numFmtId="49" fontId="176" fillId="0" borderId="51" xfId="0" applyNumberFormat="1" applyFont="1" applyBorder="1" applyAlignment="1" applyProtection="1">
      <alignment horizontal="left" vertical="center"/>
    </xf>
    <xf numFmtId="49" fontId="79" fillId="0" borderId="51" xfId="0" applyNumberFormat="1" applyFont="1" applyFill="1" applyBorder="1" applyAlignment="1" applyProtection="1">
      <alignment horizontal="left" vertical="center"/>
      <protection locked="0"/>
    </xf>
    <xf numFmtId="49" fontId="79" fillId="0" borderId="51" xfId="0" applyNumberFormat="1" applyFont="1" applyBorder="1" applyAlignment="1" applyProtection="1">
      <alignment horizontal="left" vertical="center"/>
      <protection locked="0"/>
    </xf>
    <xf numFmtId="49" fontId="26" fillId="0" borderId="51" xfId="0" applyNumberFormat="1" applyFont="1" applyBorder="1" applyAlignment="1" applyProtection="1">
      <alignment horizontal="left" vertical="center"/>
      <protection locked="0"/>
    </xf>
    <xf numFmtId="0" fontId="80" fillId="0" borderId="27" xfId="0" applyFont="1" applyFill="1" applyBorder="1" applyAlignment="1" applyProtection="1">
      <alignment horizontal="left" vertical="center"/>
      <protection locked="0"/>
    </xf>
    <xf numFmtId="0" fontId="80" fillId="0" borderId="27" xfId="0" applyFont="1" applyBorder="1" applyAlignment="1" applyProtection="1">
      <alignment horizontal="left" vertical="center"/>
      <protection locked="0"/>
    </xf>
    <xf numFmtId="0" fontId="79" fillId="30" borderId="53" xfId="0" applyFont="1" applyFill="1" applyBorder="1" applyAlignment="1" applyProtection="1">
      <alignment horizontal="left" vertical="center"/>
      <protection locked="0"/>
    </xf>
    <xf numFmtId="0" fontId="26" fillId="3" borderId="8" xfId="0" applyFont="1" applyFill="1" applyBorder="1" applyAlignment="1" applyProtection="1">
      <alignment horizontal="center" vertical="center"/>
    </xf>
    <xf numFmtId="49" fontId="26" fillId="0" borderId="8" xfId="0" applyNumberFormat="1" applyFont="1" applyBorder="1" applyAlignment="1" applyProtection="1">
      <alignment horizontal="center" vertical="center"/>
      <protection locked="0"/>
    </xf>
    <xf numFmtId="0" fontId="26" fillId="0" borderId="29" xfId="0" applyFont="1" applyBorder="1" applyProtection="1">
      <alignment vertical="center"/>
      <protection locked="0"/>
    </xf>
    <xf numFmtId="0" fontId="26" fillId="13" borderId="0" xfId="0" applyFont="1" applyFill="1" applyAlignment="1" applyProtection="1">
      <alignment vertical="center" wrapText="1"/>
    </xf>
    <xf numFmtId="0" fontId="173" fillId="0" borderId="0" xfId="1" applyFont="1" applyFill="1" applyAlignment="1" applyProtection="1">
      <alignment horizontal="right" vertical="center" wrapText="1"/>
    </xf>
    <xf numFmtId="56" fontId="173" fillId="0" borderId="0" xfId="1" quotePrefix="1" applyNumberFormat="1" applyFont="1" applyBorder="1" applyAlignment="1" applyProtection="1">
      <alignment horizontal="center" vertical="center" shrinkToFit="1"/>
    </xf>
    <xf numFmtId="0" fontId="173" fillId="0" borderId="0" xfId="1" applyFont="1" applyAlignment="1" applyProtection="1">
      <alignment horizontal="center" vertical="center" shrinkToFit="1"/>
    </xf>
    <xf numFmtId="0" fontId="173" fillId="0" borderId="0" xfId="1" quotePrefix="1" applyFont="1" applyBorder="1" applyAlignment="1" applyProtection="1">
      <alignment horizontal="center" vertical="center" shrinkToFit="1"/>
    </xf>
    <xf numFmtId="0" fontId="173" fillId="0" borderId="0" xfId="1" applyFont="1" applyFill="1" applyAlignment="1" applyProtection="1">
      <alignment horizontal="center" vertical="center" shrinkToFit="1"/>
    </xf>
    <xf numFmtId="0" fontId="79" fillId="0" borderId="69" xfId="0" applyFont="1" applyFill="1" applyBorder="1" applyAlignment="1" applyProtection="1">
      <alignment horizontal="left" vertical="center"/>
      <protection locked="0"/>
    </xf>
    <xf numFmtId="0" fontId="79" fillId="0" borderId="70" xfId="0" applyFont="1" applyBorder="1" applyAlignment="1" applyProtection="1">
      <alignment horizontal="left" vertical="center"/>
      <protection locked="0"/>
    </xf>
    <xf numFmtId="0" fontId="79" fillId="0" borderId="54" xfId="0" applyFont="1" applyBorder="1" applyAlignment="1" applyProtection="1">
      <alignment horizontal="left" vertical="center"/>
      <protection locked="0"/>
    </xf>
    <xf numFmtId="0" fontId="79" fillId="0" borderId="51" xfId="0" applyFont="1" applyBorder="1" applyAlignment="1" applyProtection="1">
      <alignment horizontal="center" vertical="center"/>
      <protection locked="0"/>
    </xf>
    <xf numFmtId="0" fontId="79" fillId="0" borderId="27" xfId="0" applyFont="1" applyFill="1" applyBorder="1" applyAlignment="1" applyProtection="1">
      <alignment horizontal="left" vertical="center"/>
      <protection locked="0"/>
    </xf>
    <xf numFmtId="0" fontId="173" fillId="0" borderId="0" xfId="1" applyFont="1" applyFill="1" applyAlignment="1" applyProtection="1">
      <alignment horizontal="center" vertical="center"/>
    </xf>
    <xf numFmtId="0" fontId="26" fillId="11" borderId="0" xfId="0" applyFont="1" applyFill="1" applyBorder="1" applyAlignment="1" applyProtection="1">
      <alignment vertical="center" wrapText="1"/>
    </xf>
    <xf numFmtId="0" fontId="167" fillId="16" borderId="2" xfId="0" applyFont="1" applyFill="1" applyBorder="1" applyAlignment="1" applyProtection="1">
      <alignment horizontal="left"/>
    </xf>
    <xf numFmtId="0" fontId="79" fillId="0" borderId="8" xfId="0" applyFont="1" applyFill="1" applyBorder="1" applyAlignment="1" applyProtection="1">
      <alignment horizontal="left" vertical="center"/>
      <protection locked="0"/>
    </xf>
    <xf numFmtId="0" fontId="173" fillId="0" borderId="0" xfId="1" applyFont="1" applyBorder="1" applyAlignment="1" applyProtection="1">
      <alignment horizontal="center" vertical="center" shrinkToFit="1"/>
    </xf>
    <xf numFmtId="0" fontId="26" fillId="3" borderId="0" xfId="0" applyFont="1" applyFill="1" applyBorder="1" applyAlignment="1" applyProtection="1">
      <alignment horizontal="left" vertical="center"/>
    </xf>
    <xf numFmtId="0" fontId="79" fillId="3" borderId="53" xfId="0" applyFont="1" applyFill="1" applyBorder="1" applyAlignment="1" applyProtection="1">
      <alignment horizontal="left" vertical="center"/>
    </xf>
    <xf numFmtId="0" fontId="26" fillId="3" borderId="53" xfId="0" applyFont="1" applyFill="1" applyBorder="1" applyAlignment="1" applyProtection="1">
      <alignment horizontal="left" vertical="center"/>
    </xf>
    <xf numFmtId="0" fontId="79" fillId="3" borderId="8" xfId="0" applyFont="1" applyFill="1" applyBorder="1" applyAlignment="1" applyProtection="1">
      <alignment horizontal="left" vertical="center"/>
    </xf>
    <xf numFmtId="0" fontId="79" fillId="0" borderId="2" xfId="0" applyFont="1" applyFill="1" applyBorder="1" applyAlignment="1" applyProtection="1">
      <alignment horizontal="left" vertical="center" wrapText="1"/>
      <protection locked="0"/>
    </xf>
    <xf numFmtId="0" fontId="79" fillId="0" borderId="2" xfId="0" applyFont="1" applyBorder="1" applyAlignment="1" applyProtection="1">
      <alignment horizontal="left" vertical="center" wrapText="1"/>
      <protection locked="0"/>
    </xf>
    <xf numFmtId="0" fontId="79" fillId="0" borderId="2" xfId="0" applyFont="1" applyBorder="1" applyAlignment="1" applyProtection="1">
      <alignment horizontal="left" vertical="center"/>
      <protection locked="0"/>
    </xf>
    <xf numFmtId="0" fontId="79" fillId="3" borderId="1" xfId="0" applyFont="1" applyFill="1" applyBorder="1" applyAlignment="1" applyProtection="1">
      <alignment horizontal="left" vertical="center"/>
    </xf>
    <xf numFmtId="0" fontId="26" fillId="0" borderId="1" xfId="0" applyFont="1" applyBorder="1" applyAlignment="1" applyProtection="1">
      <alignment horizontal="left" vertical="center"/>
    </xf>
    <xf numFmtId="0" fontId="26" fillId="0" borderId="2" xfId="0" applyFont="1" applyBorder="1" applyAlignment="1" applyProtection="1">
      <alignment horizontal="left" vertical="center"/>
    </xf>
    <xf numFmtId="0" fontId="26" fillId="0" borderId="0" xfId="0" applyFont="1" applyBorder="1" applyAlignment="1" applyProtection="1">
      <alignment horizontal="left" vertical="center"/>
    </xf>
    <xf numFmtId="0" fontId="26" fillId="0" borderId="20" xfId="0" applyFont="1" applyBorder="1" applyAlignment="1" applyProtection="1">
      <alignment horizontal="left" vertical="center"/>
    </xf>
    <xf numFmtId="0" fontId="79" fillId="3" borderId="7" xfId="0" applyFont="1" applyFill="1" applyBorder="1" applyAlignment="1" applyProtection="1">
      <alignment horizontal="left" vertical="center" wrapText="1"/>
    </xf>
    <xf numFmtId="0" fontId="79" fillId="3" borderId="8" xfId="0" applyFont="1" applyFill="1" applyBorder="1" applyAlignment="1" applyProtection="1">
      <alignment horizontal="left" vertical="center" wrapText="1"/>
    </xf>
    <xf numFmtId="0" fontId="79" fillId="3" borderId="1" xfId="0" applyFont="1" applyFill="1" applyBorder="1" applyAlignment="1" applyProtection="1">
      <alignment horizontal="left" vertical="center" shrinkToFit="1"/>
    </xf>
    <xf numFmtId="0" fontId="26" fillId="0" borderId="1" xfId="0" applyFont="1" applyBorder="1" applyAlignment="1" applyProtection="1">
      <alignment horizontal="left" vertical="center" shrinkToFit="1"/>
    </xf>
    <xf numFmtId="0" fontId="26" fillId="0" borderId="0" xfId="0" applyFont="1" applyBorder="1" applyAlignment="1" applyProtection="1">
      <alignment horizontal="left" vertical="center" shrinkToFit="1"/>
    </xf>
    <xf numFmtId="0" fontId="26" fillId="0" borderId="20" xfId="0" applyFont="1" applyBorder="1" applyAlignment="1" applyProtection="1">
      <alignment horizontal="left" vertical="center" shrinkToFit="1"/>
    </xf>
    <xf numFmtId="0" fontId="79" fillId="3" borderId="59" xfId="0" applyFont="1" applyFill="1" applyBorder="1" applyAlignment="1" applyProtection="1">
      <alignment horizontal="left" vertical="center"/>
    </xf>
    <xf numFmtId="0" fontId="26" fillId="0" borderId="59" xfId="0" applyFont="1" applyBorder="1" applyAlignment="1" applyProtection="1">
      <alignment horizontal="left" vertical="center"/>
    </xf>
    <xf numFmtId="0" fontId="148" fillId="0" borderId="8" xfId="0" applyNumberFormat="1" applyFont="1" applyFill="1" applyBorder="1" applyAlignment="1" applyProtection="1">
      <alignment horizontal="center" vertical="center"/>
      <protection locked="0"/>
    </xf>
    <xf numFmtId="0" fontId="79" fillId="0" borderId="8" xfId="0" applyNumberFormat="1" applyFont="1" applyBorder="1" applyAlignment="1" applyProtection="1">
      <alignment horizontal="center" vertical="center"/>
      <protection locked="0"/>
    </xf>
    <xf numFmtId="0" fontId="26" fillId="0" borderId="8" xfId="0" applyNumberFormat="1" applyFont="1" applyBorder="1" applyAlignment="1" applyProtection="1">
      <alignment horizontal="center" vertical="center"/>
      <protection locked="0"/>
    </xf>
    <xf numFmtId="0" fontId="79" fillId="3" borderId="8" xfId="0" applyFont="1" applyFill="1" applyBorder="1" applyAlignment="1" applyProtection="1">
      <alignment horizontal="center" vertical="center" wrapText="1"/>
    </xf>
    <xf numFmtId="0" fontId="79" fillId="3" borderId="9" xfId="0" applyFont="1" applyFill="1" applyBorder="1" applyAlignment="1" applyProtection="1">
      <alignment horizontal="center" vertical="center" wrapText="1"/>
    </xf>
    <xf numFmtId="0" fontId="26" fillId="0" borderId="8" xfId="0" applyFont="1" applyBorder="1" applyAlignment="1" applyProtection="1">
      <alignment horizontal="left" vertical="center"/>
    </xf>
    <xf numFmtId="0" fontId="79" fillId="0" borderId="8" xfId="0" applyFont="1" applyFill="1" applyBorder="1" applyAlignment="1" applyProtection="1">
      <alignment horizontal="center" vertical="center" wrapText="1"/>
      <protection locked="0"/>
    </xf>
    <xf numFmtId="0" fontId="79" fillId="0" borderId="51" xfId="0" applyFont="1" applyBorder="1" applyAlignment="1" applyProtection="1">
      <alignment horizontal="left" vertical="center"/>
    </xf>
    <xf numFmtId="0" fontId="79" fillId="30" borderId="27" xfId="0" applyFont="1" applyFill="1" applyBorder="1" applyAlignment="1" applyProtection="1">
      <alignment horizontal="left" vertical="center"/>
    </xf>
    <xf numFmtId="0" fontId="26" fillId="30" borderId="27" xfId="0" applyFont="1" applyFill="1" applyBorder="1" applyAlignment="1" applyProtection="1">
      <alignment horizontal="left" vertical="center"/>
    </xf>
    <xf numFmtId="0" fontId="79" fillId="3" borderId="27" xfId="0" applyFont="1" applyFill="1" applyBorder="1" applyAlignment="1" applyProtection="1">
      <alignment horizontal="left" vertical="center"/>
    </xf>
    <xf numFmtId="0" fontId="26" fillId="0" borderId="27" xfId="0" applyFont="1" applyBorder="1" applyAlignment="1" applyProtection="1">
      <alignment horizontal="left" vertical="center"/>
    </xf>
    <xf numFmtId="0" fontId="6" fillId="0" borderId="81" xfId="0" applyFont="1" applyBorder="1" applyAlignment="1" applyProtection="1">
      <alignment horizontal="center" vertical="center" wrapText="1"/>
    </xf>
    <xf numFmtId="0" fontId="6" fillId="0" borderId="8" xfId="0" applyFont="1" applyBorder="1" applyAlignment="1" applyProtection="1">
      <alignment horizontal="center" vertical="center" wrapText="1"/>
    </xf>
    <xf numFmtId="0" fontId="6" fillId="0" borderId="36" xfId="0" applyFont="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26" fillId="3" borderId="128" xfId="0" applyFont="1" applyFill="1" applyBorder="1" applyAlignment="1" applyProtection="1">
      <alignment vertical="center" wrapText="1"/>
    </xf>
    <xf numFmtId="0" fontId="26" fillId="3" borderId="53" xfId="0" applyFont="1" applyFill="1" applyBorder="1" applyAlignment="1" applyProtection="1">
      <alignment vertical="center" wrapText="1"/>
    </xf>
    <xf numFmtId="0" fontId="26" fillId="3" borderId="65" xfId="0" applyFont="1" applyFill="1" applyBorder="1" applyAlignment="1" applyProtection="1">
      <alignment vertical="center" wrapText="1"/>
    </xf>
    <xf numFmtId="0" fontId="26" fillId="0" borderId="107" xfId="0" applyFont="1" applyBorder="1" applyAlignment="1" applyProtection="1">
      <alignment horizontal="center" vertical="center" wrapText="1"/>
      <protection locked="0"/>
    </xf>
    <xf numFmtId="0" fontId="26" fillId="0" borderId="125" xfId="0" applyFont="1" applyBorder="1" applyAlignment="1" applyProtection="1">
      <alignment horizontal="center" vertical="center" wrapText="1"/>
      <protection locked="0"/>
    </xf>
    <xf numFmtId="0" fontId="26" fillId="0" borderId="108" xfId="0" applyFont="1" applyBorder="1" applyAlignment="1" applyProtection="1">
      <alignment horizontal="center" vertical="center" wrapText="1"/>
      <protection locked="0"/>
    </xf>
    <xf numFmtId="0" fontId="26" fillId="0" borderId="108" xfId="0" applyFont="1" applyBorder="1" applyAlignment="1" applyProtection="1">
      <alignment horizontal="center" vertical="center"/>
      <protection locked="0"/>
    </xf>
    <xf numFmtId="0" fontId="158" fillId="3" borderId="16" xfId="0" applyFont="1" applyFill="1" applyBorder="1" applyAlignment="1" applyProtection="1">
      <alignment horizontal="left"/>
    </xf>
    <xf numFmtId="0" fontId="146" fillId="0" borderId="16" xfId="0" applyFont="1" applyBorder="1" applyAlignment="1" applyProtection="1">
      <alignment horizontal="left"/>
    </xf>
    <xf numFmtId="0" fontId="79" fillId="3" borderId="0" xfId="0" applyFont="1" applyFill="1" applyBorder="1" applyAlignment="1" applyProtection="1">
      <alignment horizontal="center" vertical="center"/>
    </xf>
    <xf numFmtId="0" fontId="26" fillId="0" borderId="53" xfId="0" applyFont="1" applyBorder="1" applyAlignment="1" applyProtection="1">
      <alignment horizontal="left" vertical="center"/>
    </xf>
    <xf numFmtId="0" fontId="79" fillId="3" borderId="51" xfId="0" applyFont="1" applyFill="1" applyBorder="1" applyAlignment="1" applyProtection="1">
      <alignment horizontal="left" vertical="center" shrinkToFit="1"/>
    </xf>
    <xf numFmtId="0" fontId="79" fillId="0" borderId="51" xfId="0" applyFont="1" applyBorder="1" applyAlignment="1" applyProtection="1">
      <alignment horizontal="left" vertical="center" shrinkToFit="1"/>
    </xf>
    <xf numFmtId="0" fontId="26" fillId="3" borderId="8" xfId="0" applyFont="1" applyFill="1" applyBorder="1" applyAlignment="1" applyProtection="1">
      <alignment horizontal="left" vertical="center"/>
    </xf>
    <xf numFmtId="0" fontId="26" fillId="11" borderId="38" xfId="0" applyFont="1" applyFill="1" applyBorder="1" applyAlignment="1" applyProtection="1">
      <alignment wrapText="1"/>
    </xf>
    <xf numFmtId="0" fontId="6" fillId="0" borderId="0" xfId="0" applyFont="1" applyFill="1" applyBorder="1" applyAlignment="1" applyProtection="1">
      <alignment horizontal="center" vertical="center"/>
    </xf>
    <xf numFmtId="0" fontId="26" fillId="0" borderId="107" xfId="0" applyFont="1" applyBorder="1" applyAlignment="1" applyProtection="1">
      <alignment horizontal="left" vertical="center"/>
      <protection locked="0"/>
    </xf>
    <xf numFmtId="0" fontId="0" fillId="0" borderId="3" xfId="0" applyFont="1" applyFill="1"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6" xfId="0" applyBorder="1" applyAlignment="1" applyProtection="1">
      <alignment horizontal="center" vertical="center" wrapText="1"/>
    </xf>
    <xf numFmtId="0" fontId="0" fillId="0" borderId="28" xfId="0" applyBorder="1" applyAlignment="1" applyProtection="1">
      <alignment horizontal="center" vertical="center" wrapText="1"/>
    </xf>
    <xf numFmtId="0" fontId="0" fillId="0" borderId="2" xfId="0" applyBorder="1" applyAlignment="1" applyProtection="1">
      <alignment horizontal="center" vertical="center" wrapText="1"/>
    </xf>
    <xf numFmtId="0" fontId="0" fillId="0" borderId="11" xfId="0" applyBorder="1" applyAlignment="1" applyProtection="1">
      <alignment horizontal="center" vertical="center" wrapText="1"/>
    </xf>
    <xf numFmtId="0" fontId="26" fillId="0" borderId="2" xfId="0" applyFont="1" applyFill="1" applyBorder="1" applyAlignment="1" applyProtection="1">
      <alignment horizontal="center" vertical="center" wrapText="1"/>
    </xf>
    <xf numFmtId="0" fontId="6" fillId="0" borderId="21" xfId="0" applyFont="1" applyFill="1" applyBorder="1" applyAlignment="1" applyProtection="1">
      <alignment horizontal="left" vertical="center" wrapText="1"/>
    </xf>
    <xf numFmtId="0" fontId="6" fillId="0" borderId="144" xfId="0" applyFont="1" applyFill="1" applyBorder="1" applyAlignment="1" applyProtection="1">
      <alignment horizontal="left" vertical="center"/>
    </xf>
    <xf numFmtId="49" fontId="26" fillId="0" borderId="107" xfId="0" applyNumberFormat="1" applyFont="1" applyBorder="1" applyAlignment="1" applyProtection="1">
      <alignment horizontal="left" vertical="center" wrapText="1"/>
      <protection locked="0"/>
    </xf>
    <xf numFmtId="0" fontId="26" fillId="0" borderId="104" xfId="0" applyFont="1" applyBorder="1" applyAlignment="1" applyProtection="1">
      <alignment horizontal="left" vertical="center"/>
      <protection locked="0"/>
    </xf>
    <xf numFmtId="0" fontId="206" fillId="5" borderId="57" xfId="0" applyFont="1" applyFill="1" applyBorder="1" applyAlignment="1" applyProtection="1">
      <alignment horizontal="center" vertical="center" wrapText="1" shrinkToFit="1"/>
    </xf>
    <xf numFmtId="0" fontId="207" fillId="0" borderId="60" xfId="0" applyFont="1" applyBorder="1" applyAlignment="1" applyProtection="1">
      <alignment horizontal="center" vertical="center" shrinkToFit="1"/>
    </xf>
    <xf numFmtId="0" fontId="26" fillId="0" borderId="107" xfId="0" applyFont="1" applyBorder="1" applyAlignment="1" applyProtection="1">
      <alignment horizontal="center" vertical="center" wrapText="1"/>
    </xf>
    <xf numFmtId="0" fontId="26" fillId="0" borderId="109" xfId="0" applyFont="1" applyBorder="1" applyAlignment="1" applyProtection="1">
      <alignment horizontal="center" vertical="center"/>
      <protection locked="0"/>
    </xf>
    <xf numFmtId="0" fontId="26" fillId="0" borderId="111" xfId="0" applyFont="1" applyBorder="1" applyAlignment="1" applyProtection="1">
      <alignment horizontal="center" vertical="center" wrapText="1"/>
    </xf>
    <xf numFmtId="0" fontId="26" fillId="0" borderId="111" xfId="0" applyFont="1" applyBorder="1" applyAlignment="1" applyProtection="1">
      <alignment horizontal="center" vertical="center"/>
    </xf>
    <xf numFmtId="0" fontId="11" fillId="0" borderId="0" xfId="1" applyFont="1" applyAlignment="1" applyProtection="1">
      <alignment horizontal="left" vertical="center"/>
    </xf>
    <xf numFmtId="49" fontId="26" fillId="0" borderId="104" xfId="0" applyNumberFormat="1" applyFont="1" applyBorder="1" applyAlignment="1" applyProtection="1">
      <alignment horizontal="left" vertical="center" wrapText="1"/>
      <protection locked="0"/>
    </xf>
    <xf numFmtId="0" fontId="26" fillId="0" borderId="108" xfId="0" applyFont="1" applyBorder="1" applyAlignment="1" applyProtection="1">
      <alignment horizontal="left" vertical="center"/>
      <protection locked="0"/>
    </xf>
    <xf numFmtId="0" fontId="26" fillId="0" borderId="109" xfId="0" applyFont="1" applyBorder="1" applyAlignment="1" applyProtection="1">
      <alignment horizontal="left" vertical="center"/>
      <protection locked="0"/>
    </xf>
    <xf numFmtId="0" fontId="6" fillId="0" borderId="21" xfId="0" applyFont="1" applyBorder="1" applyAlignment="1" applyProtection="1">
      <alignment horizontal="center" vertical="center"/>
    </xf>
    <xf numFmtId="0" fontId="6" fillId="0" borderId="16" xfId="0" applyFont="1" applyBorder="1" applyAlignment="1" applyProtection="1">
      <alignment horizontal="center" vertical="center"/>
    </xf>
    <xf numFmtId="0" fontId="6" fillId="0" borderId="15" xfId="0" applyFont="1" applyBorder="1" applyAlignment="1" applyProtection="1">
      <alignment horizontal="center" vertical="center"/>
    </xf>
    <xf numFmtId="0" fontId="26" fillId="0" borderId="107" xfId="0" applyFont="1" applyBorder="1" applyAlignment="1" applyProtection="1">
      <alignment horizontal="center" vertical="center"/>
    </xf>
    <xf numFmtId="0" fontId="79" fillId="30" borderId="53" xfId="0" applyFont="1" applyFill="1" applyBorder="1" applyAlignment="1" applyProtection="1">
      <alignment horizontal="left" vertical="center"/>
    </xf>
    <xf numFmtId="0" fontId="26" fillId="30" borderId="53" xfId="0" applyFont="1" applyFill="1" applyBorder="1" applyAlignment="1" applyProtection="1">
      <alignment horizontal="left" vertical="center"/>
    </xf>
    <xf numFmtId="0" fontId="26" fillId="2" borderId="4" xfId="0" applyFont="1" applyFill="1" applyBorder="1" applyAlignment="1" applyProtection="1">
      <alignment horizontal="left" vertical="center"/>
    </xf>
    <xf numFmtId="0" fontId="26" fillId="6" borderId="4" xfId="0" applyFont="1" applyFill="1" applyBorder="1" applyAlignment="1" applyProtection="1">
      <alignment horizontal="left" vertical="center"/>
    </xf>
    <xf numFmtId="0" fontId="6" fillId="0" borderId="16" xfId="0" applyFont="1" applyBorder="1" applyAlignment="1" applyProtection="1">
      <alignment horizontal="center" vertical="center" wrapText="1"/>
    </xf>
    <xf numFmtId="0" fontId="6" fillId="0" borderId="15" xfId="0" applyFont="1" applyBorder="1" applyAlignment="1" applyProtection="1">
      <alignment horizontal="center" vertical="center" wrapText="1"/>
    </xf>
    <xf numFmtId="0" fontId="6" fillId="0" borderId="18" xfId="0" applyFont="1" applyBorder="1" applyAlignment="1" applyProtection="1">
      <alignment horizontal="center" vertical="center" wrapText="1" shrinkToFit="1"/>
    </xf>
    <xf numFmtId="0" fontId="6" fillId="0" borderId="68" xfId="0" applyFont="1" applyBorder="1" applyAlignment="1" applyProtection="1">
      <alignment horizontal="center" vertical="center" wrapText="1" shrinkToFit="1"/>
    </xf>
    <xf numFmtId="0" fontId="6" fillId="0" borderId="75" xfId="0" applyFont="1" applyBorder="1" applyAlignment="1" applyProtection="1">
      <alignment horizontal="center" vertical="center" wrapText="1" shrinkToFit="1"/>
    </xf>
    <xf numFmtId="0" fontId="26" fillId="3" borderId="130" xfId="0" applyFont="1" applyFill="1" applyBorder="1" applyAlignment="1" applyProtection="1">
      <alignment horizontal="center" vertical="center"/>
    </xf>
    <xf numFmtId="0" fontId="26" fillId="3" borderId="64" xfId="0" applyFont="1" applyFill="1" applyBorder="1" applyAlignment="1" applyProtection="1">
      <alignment horizontal="center" vertical="center"/>
    </xf>
    <xf numFmtId="0" fontId="26" fillId="3" borderId="145" xfId="0" applyFont="1" applyFill="1" applyBorder="1" applyAlignment="1" applyProtection="1">
      <alignment vertical="center"/>
    </xf>
    <xf numFmtId="0" fontId="26" fillId="3" borderId="27" xfId="0" applyFont="1" applyFill="1" applyBorder="1" applyAlignment="1" applyProtection="1">
      <alignment vertical="center"/>
    </xf>
    <xf numFmtId="0" fontId="26" fillId="3" borderId="62" xfId="0" applyFont="1" applyFill="1" applyBorder="1" applyAlignment="1" applyProtection="1">
      <alignment vertical="center"/>
    </xf>
    <xf numFmtId="0" fontId="26" fillId="3" borderId="52" xfId="0" applyFont="1" applyFill="1" applyBorder="1" applyAlignment="1" applyProtection="1">
      <alignment vertical="center"/>
    </xf>
    <xf numFmtId="0" fontId="79" fillId="30" borderId="8" xfId="0" applyFont="1" applyFill="1" applyBorder="1" applyAlignment="1" applyProtection="1">
      <alignment horizontal="left" vertical="center"/>
    </xf>
    <xf numFmtId="0" fontId="26" fillId="30" borderId="8" xfId="0" applyFont="1" applyFill="1" applyBorder="1" applyAlignment="1" applyProtection="1">
      <alignment horizontal="left" vertical="center"/>
    </xf>
    <xf numFmtId="0" fontId="80" fillId="3" borderId="27" xfId="0" applyFont="1" applyFill="1" applyBorder="1" applyAlignment="1" applyProtection="1">
      <alignment horizontal="left" vertical="center"/>
    </xf>
    <xf numFmtId="0" fontId="80" fillId="0" borderId="27" xfId="0" applyFont="1" applyBorder="1" applyAlignment="1" applyProtection="1">
      <alignment horizontal="left" vertical="center"/>
    </xf>
    <xf numFmtId="49" fontId="79" fillId="0" borderId="53" xfId="0" applyNumberFormat="1" applyFont="1" applyFill="1" applyBorder="1" applyAlignment="1" applyProtection="1">
      <alignment horizontal="left" vertical="center"/>
      <protection locked="0"/>
    </xf>
    <xf numFmtId="49" fontId="79" fillId="0" borderId="53" xfId="0" applyNumberFormat="1" applyFont="1" applyBorder="1" applyAlignment="1" applyProtection="1">
      <alignment horizontal="left" vertical="center"/>
      <protection locked="0"/>
    </xf>
    <xf numFmtId="49" fontId="26" fillId="0" borderId="53" xfId="0" applyNumberFormat="1" applyFont="1" applyBorder="1" applyAlignment="1" applyProtection="1">
      <alignment horizontal="left" vertical="center"/>
      <protection locked="0"/>
    </xf>
    <xf numFmtId="0" fontId="79" fillId="3" borderId="8" xfId="0" applyFont="1" applyFill="1" applyBorder="1" applyAlignment="1" applyProtection="1">
      <alignment horizontal="center" vertical="center"/>
    </xf>
    <xf numFmtId="0" fontId="79" fillId="0" borderId="8" xfId="0" applyFont="1" applyBorder="1" applyAlignment="1" applyProtection="1">
      <alignment horizontal="center" vertical="center"/>
    </xf>
    <xf numFmtId="187" fontId="148" fillId="0" borderId="8" xfId="0" applyNumberFormat="1" applyFont="1" applyFill="1" applyBorder="1" applyAlignment="1" applyProtection="1">
      <alignment horizontal="center" vertical="center"/>
      <protection locked="0"/>
    </xf>
    <xf numFmtId="187" fontId="79" fillId="0" borderId="8" xfId="0" applyNumberFormat="1" applyFont="1" applyBorder="1" applyAlignment="1" applyProtection="1">
      <alignment horizontal="center" vertical="center"/>
      <protection locked="0"/>
    </xf>
    <xf numFmtId="187" fontId="26" fillId="0" borderId="8" xfId="0" applyNumberFormat="1" applyFont="1" applyBorder="1" applyAlignment="1" applyProtection="1">
      <alignment horizontal="center" vertical="center"/>
      <protection locked="0"/>
    </xf>
    <xf numFmtId="0" fontId="26" fillId="0" borderId="51" xfId="0" applyFont="1" applyBorder="1" applyAlignment="1" applyProtection="1">
      <alignment horizontal="left" vertical="center" shrinkToFit="1"/>
    </xf>
    <xf numFmtId="0" fontId="79" fillId="0" borderId="27" xfId="0" applyFont="1" applyBorder="1" applyAlignment="1" applyProtection="1">
      <alignment vertical="center"/>
      <protection locked="0"/>
    </xf>
    <xf numFmtId="0" fontId="26" fillId="0" borderId="27" xfId="0" applyFont="1" applyBorder="1" applyAlignment="1" applyProtection="1">
      <alignment vertical="center"/>
      <protection locked="0"/>
    </xf>
    <xf numFmtId="0" fontId="79" fillId="3" borderId="27" xfId="0" applyFont="1" applyFill="1" applyBorder="1" applyAlignment="1" applyProtection="1">
      <alignment horizontal="left" vertical="center" shrinkToFit="1"/>
    </xf>
    <xf numFmtId="0" fontId="79" fillId="3" borderId="27" xfId="0" applyFont="1" applyFill="1" applyBorder="1" applyAlignment="1" applyProtection="1">
      <alignment horizontal="center" vertical="center"/>
    </xf>
    <xf numFmtId="0" fontId="26" fillId="0" borderId="51" xfId="0" applyFont="1" applyBorder="1" applyAlignment="1" applyProtection="1">
      <alignment horizontal="left" vertical="center" wrapText="1"/>
    </xf>
    <xf numFmtId="0" fontId="79" fillId="3" borderId="29" xfId="0" applyFont="1" applyFill="1" applyBorder="1" applyAlignment="1" applyProtection="1">
      <alignment horizontal="left" vertical="center"/>
    </xf>
    <xf numFmtId="49" fontId="26" fillId="0" borderId="29" xfId="0" applyNumberFormat="1" applyFont="1" applyBorder="1" applyAlignment="1" applyProtection="1">
      <alignment horizontal="center" vertical="center"/>
      <protection locked="0"/>
    </xf>
    <xf numFmtId="0" fontId="26" fillId="3" borderId="59" xfId="0" applyFont="1" applyFill="1" applyBorder="1" applyAlignment="1" applyProtection="1">
      <alignment vertical="center"/>
    </xf>
    <xf numFmtId="0" fontId="26" fillId="0" borderId="8" xfId="0" applyFont="1" applyBorder="1" applyAlignment="1" applyProtection="1">
      <alignment horizontal="left" vertical="center" wrapText="1"/>
    </xf>
    <xf numFmtId="0" fontId="79" fillId="0" borderId="59" xfId="0" applyFont="1" applyBorder="1" applyAlignment="1" applyProtection="1">
      <alignment horizontal="left" vertical="center" shrinkToFit="1"/>
    </xf>
    <xf numFmtId="49" fontId="79" fillId="0" borderId="27" xfId="0" applyNumberFormat="1" applyFont="1" applyFill="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0" fontId="26" fillId="9" borderId="7" xfId="0" applyFont="1" applyFill="1" applyBorder="1" applyAlignment="1" applyProtection="1">
      <alignment horizontal="left" vertical="center"/>
    </xf>
    <xf numFmtId="0" fontId="26" fillId="9" borderId="8" xfId="0" applyFont="1" applyFill="1" applyBorder="1" applyAlignment="1" applyProtection="1">
      <alignment horizontal="left" vertical="center"/>
    </xf>
    <xf numFmtId="0" fontId="26" fillId="9" borderId="9" xfId="0" applyFont="1" applyFill="1" applyBorder="1" applyAlignment="1" applyProtection="1">
      <alignment horizontal="left" vertical="center"/>
    </xf>
    <xf numFmtId="0" fontId="26" fillId="8" borderId="4" xfId="0" applyFont="1" applyFill="1" applyBorder="1" applyAlignment="1" applyProtection="1">
      <alignment horizontal="left" vertical="center"/>
    </xf>
    <xf numFmtId="49" fontId="79" fillId="0" borderId="51" xfId="0" applyNumberFormat="1" applyFont="1" applyBorder="1" applyAlignment="1" applyProtection="1">
      <alignment horizontal="center" vertical="center"/>
      <protection locked="0"/>
    </xf>
    <xf numFmtId="49" fontId="79" fillId="0" borderId="2" xfId="0" applyNumberFormat="1" applyFont="1" applyFill="1" applyBorder="1" applyAlignment="1" applyProtection="1">
      <alignment horizontal="center" vertical="center"/>
      <protection locked="0"/>
    </xf>
    <xf numFmtId="0" fontId="26" fillId="0" borderId="109" xfId="0" applyFont="1" applyBorder="1" applyAlignment="1" applyProtection="1">
      <alignment horizontal="center" vertical="center" wrapText="1"/>
      <protection locked="0"/>
    </xf>
    <xf numFmtId="0" fontId="26" fillId="3" borderId="130" xfId="0" applyFont="1" applyFill="1" applyBorder="1" applyAlignment="1" applyProtection="1">
      <alignment vertical="center" wrapText="1"/>
    </xf>
    <xf numFmtId="0" fontId="26" fillId="3" borderId="51" xfId="0" applyFont="1" applyFill="1" applyBorder="1" applyAlignment="1" applyProtection="1">
      <alignment vertical="center" wrapText="1"/>
    </xf>
    <xf numFmtId="0" fontId="26" fillId="3" borderId="64" xfId="0" applyFont="1" applyFill="1" applyBorder="1" applyAlignment="1" applyProtection="1">
      <alignment vertical="center" wrapText="1"/>
    </xf>
    <xf numFmtId="0" fontId="26" fillId="0" borderId="104" xfId="0" applyFont="1" applyBorder="1" applyAlignment="1" applyProtection="1">
      <alignment horizontal="center" vertical="center" wrapText="1"/>
      <protection locked="0"/>
    </xf>
    <xf numFmtId="0" fontId="26" fillId="0" borderId="104" xfId="0" applyFont="1" applyBorder="1" applyAlignment="1" applyProtection="1">
      <alignment horizontal="center" vertical="center"/>
      <protection locked="0"/>
    </xf>
    <xf numFmtId="0" fontId="26" fillId="3" borderId="135" xfId="0" applyFont="1" applyFill="1" applyBorder="1" applyAlignment="1" applyProtection="1">
      <alignment vertical="center" wrapText="1"/>
    </xf>
    <xf numFmtId="0" fontId="26" fillId="3" borderId="8" xfId="0" applyFont="1" applyFill="1" applyBorder="1" applyAlignment="1" applyProtection="1">
      <alignment vertical="center" wrapText="1"/>
    </xf>
    <xf numFmtId="0" fontId="26" fillId="3" borderId="36" xfId="0" applyFont="1" applyFill="1" applyBorder="1" applyAlignment="1" applyProtection="1">
      <alignment vertical="center" wrapText="1"/>
    </xf>
    <xf numFmtId="0" fontId="26" fillId="3" borderId="0" xfId="0" applyFont="1" applyFill="1" applyBorder="1" applyAlignment="1" applyProtection="1">
      <alignment horizontal="center" vertical="center" wrapText="1"/>
    </xf>
    <xf numFmtId="0" fontId="26" fillId="3" borderId="22" xfId="0" applyFont="1" applyFill="1" applyBorder="1" applyAlignment="1" applyProtection="1">
      <alignment horizontal="center" vertical="center" wrapText="1"/>
    </xf>
    <xf numFmtId="0" fontId="26" fillId="3" borderId="2" xfId="0" applyFont="1" applyFill="1" applyBorder="1" applyAlignment="1" applyProtection="1">
      <alignment horizontal="center" vertical="center" wrapText="1"/>
    </xf>
    <xf numFmtId="0" fontId="26" fillId="3" borderId="61" xfId="0" applyFont="1" applyFill="1" applyBorder="1" applyAlignment="1" applyProtection="1">
      <alignment horizontal="center" vertical="center" wrapText="1"/>
    </xf>
    <xf numFmtId="0" fontId="6" fillId="0" borderId="13" xfId="0" applyFont="1" applyBorder="1" applyAlignment="1" applyProtection="1">
      <alignment horizontal="center" vertical="center" wrapText="1" shrinkToFit="1"/>
    </xf>
    <xf numFmtId="0" fontId="6" fillId="0" borderId="4" xfId="0" applyFont="1" applyBorder="1" applyAlignment="1" applyProtection="1">
      <alignment horizontal="center" vertical="center" wrapText="1" shrinkToFit="1"/>
    </xf>
    <xf numFmtId="0" fontId="6" fillId="0" borderId="7" xfId="0" applyFont="1" applyBorder="1" applyAlignment="1" applyProtection="1">
      <alignment horizontal="center" vertical="center" wrapText="1" shrinkToFit="1"/>
    </xf>
    <xf numFmtId="0" fontId="6" fillId="0" borderId="34" xfId="0" applyFont="1" applyFill="1" applyBorder="1" applyAlignment="1" applyProtection="1">
      <alignment horizontal="center" vertical="center"/>
    </xf>
    <xf numFmtId="0" fontId="0" fillId="0" borderId="35" xfId="0" applyFill="1" applyBorder="1" applyAlignment="1" applyProtection="1">
      <alignment horizontal="center" vertical="center"/>
    </xf>
    <xf numFmtId="0" fontId="6" fillId="0" borderId="50" xfId="0" applyFont="1" applyFill="1" applyBorder="1" applyAlignment="1" applyProtection="1">
      <alignment horizontal="left" vertical="center" wrapText="1"/>
    </xf>
    <xf numFmtId="0" fontId="0" fillId="0" borderId="24" xfId="0" applyBorder="1" applyAlignment="1" applyProtection="1">
      <alignment horizontal="left" vertical="center"/>
    </xf>
    <xf numFmtId="0" fontId="0" fillId="0" borderId="7" xfId="0" applyFont="1" applyBorder="1" applyAlignment="1" applyProtection="1">
      <alignment horizontal="center" vertical="center"/>
    </xf>
    <xf numFmtId="0" fontId="0" fillId="0" borderId="8" xfId="0" applyFont="1" applyBorder="1" applyAlignment="1" applyProtection="1">
      <alignment horizontal="center" vertical="center"/>
    </xf>
    <xf numFmtId="0" fontId="0" fillId="0" borderId="9" xfId="0" applyFont="1" applyBorder="1" applyAlignment="1" applyProtection="1">
      <alignment horizontal="center" vertical="center"/>
    </xf>
    <xf numFmtId="0" fontId="26" fillId="3" borderId="128" xfId="0" applyFont="1" applyFill="1" applyBorder="1" applyAlignment="1" applyProtection="1">
      <alignment vertical="center"/>
    </xf>
    <xf numFmtId="0" fontId="26" fillId="3" borderId="53" xfId="0" applyFont="1" applyFill="1" applyBorder="1" applyAlignment="1" applyProtection="1">
      <alignment vertical="center"/>
    </xf>
    <xf numFmtId="0" fontId="26" fillId="3" borderId="65" xfId="0" applyFont="1" applyFill="1" applyBorder="1" applyAlignment="1" applyProtection="1">
      <alignment vertical="center"/>
    </xf>
    <xf numFmtId="0" fontId="26" fillId="0" borderId="130" xfId="0" applyFont="1" applyBorder="1" applyAlignment="1" applyProtection="1">
      <alignment horizontal="center" vertical="center" wrapText="1"/>
      <protection locked="0"/>
    </xf>
    <xf numFmtId="0" fontId="26" fillId="0" borderId="51" xfId="0" applyFont="1" applyBorder="1" applyAlignment="1" applyProtection="1">
      <alignment horizontal="center" vertical="center" wrapText="1"/>
      <protection locked="0"/>
    </xf>
    <xf numFmtId="0" fontId="26" fillId="0" borderId="131" xfId="0" applyFont="1" applyBorder="1" applyAlignment="1" applyProtection="1">
      <alignment horizontal="center" vertical="center" wrapText="1"/>
      <protection locked="0"/>
    </xf>
    <xf numFmtId="0" fontId="83" fillId="3" borderId="148" xfId="0" applyFont="1" applyFill="1" applyBorder="1" applyAlignment="1" applyProtection="1">
      <alignment horizontal="center" vertical="center" shrinkToFit="1"/>
    </xf>
    <xf numFmtId="0" fontId="83" fillId="3" borderId="82" xfId="0" applyFont="1" applyFill="1" applyBorder="1" applyAlignment="1" applyProtection="1">
      <alignment horizontal="center" vertical="center" shrinkToFit="1"/>
    </xf>
    <xf numFmtId="0" fontId="83" fillId="3" borderId="83" xfId="0" applyFont="1" applyFill="1" applyBorder="1" applyAlignment="1" applyProtection="1">
      <alignment horizontal="center" vertical="center" shrinkToFit="1"/>
    </xf>
    <xf numFmtId="0" fontId="26" fillId="0" borderId="2" xfId="0" applyFont="1" applyFill="1" applyBorder="1" applyAlignment="1" applyProtection="1">
      <alignment horizontal="center" vertical="center"/>
    </xf>
    <xf numFmtId="0" fontId="26"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xf>
    <xf numFmtId="0" fontId="26" fillId="3" borderId="135" xfId="0" applyFont="1" applyFill="1" applyBorder="1" applyAlignment="1" applyProtection="1">
      <alignment vertical="center"/>
    </xf>
    <xf numFmtId="0" fontId="26" fillId="3" borderId="8" xfId="0" applyFont="1" applyFill="1" applyBorder="1" applyAlignment="1" applyProtection="1">
      <alignment vertical="center"/>
    </xf>
    <xf numFmtId="0" fontId="26" fillId="3" borderId="36" xfId="0" applyFont="1" applyFill="1" applyBorder="1" applyAlignment="1" applyProtection="1">
      <alignment vertical="center"/>
    </xf>
    <xf numFmtId="0" fontId="26" fillId="3" borderId="139" xfId="0" applyFont="1" applyFill="1" applyBorder="1" applyAlignment="1" applyProtection="1">
      <alignment vertical="center"/>
    </xf>
    <xf numFmtId="0" fontId="26" fillId="3" borderId="2" xfId="0" applyFont="1" applyFill="1" applyBorder="1" applyAlignment="1" applyProtection="1">
      <alignment vertical="center"/>
    </xf>
    <xf numFmtId="0" fontId="26" fillId="3" borderId="61" xfId="0" applyFont="1" applyFill="1" applyBorder="1" applyAlignment="1" applyProtection="1">
      <alignment vertical="center"/>
    </xf>
    <xf numFmtId="0" fontId="26" fillId="3" borderId="145" xfId="0" applyFont="1" applyFill="1" applyBorder="1" applyAlignment="1" applyProtection="1">
      <alignment vertical="center" wrapText="1"/>
    </xf>
    <xf numFmtId="0" fontId="26" fillId="3" borderId="27" xfId="0" applyFont="1" applyFill="1" applyBorder="1" applyAlignment="1" applyProtection="1">
      <alignment vertical="center" wrapText="1"/>
    </xf>
    <xf numFmtId="0" fontId="26" fillId="3" borderId="62" xfId="0" applyFont="1" applyFill="1" applyBorder="1" applyAlignment="1" applyProtection="1">
      <alignment vertical="center" wrapText="1"/>
    </xf>
    <xf numFmtId="0" fontId="26" fillId="3" borderId="138" xfId="0" applyFont="1" applyFill="1" applyBorder="1" applyAlignment="1" applyProtection="1">
      <alignment horizontal="center" vertical="center"/>
    </xf>
    <xf numFmtId="0" fontId="26" fillId="3" borderId="0" xfId="0" applyFont="1" applyFill="1" applyBorder="1" applyAlignment="1" applyProtection="1">
      <alignment horizontal="center" vertical="center"/>
    </xf>
    <xf numFmtId="0" fontId="26" fillId="3" borderId="22" xfId="0" applyFont="1" applyFill="1" applyBorder="1" applyAlignment="1" applyProtection="1">
      <alignment horizontal="center" vertical="center"/>
    </xf>
    <xf numFmtId="0" fontId="26" fillId="3" borderId="148" xfId="0" applyFont="1" applyFill="1" applyBorder="1" applyAlignment="1" applyProtection="1">
      <alignment vertical="center"/>
    </xf>
    <xf numFmtId="0" fontId="26" fillId="3" borderId="82" xfId="0" applyFont="1" applyFill="1" applyBorder="1" applyAlignment="1" applyProtection="1">
      <alignment vertical="center"/>
    </xf>
    <xf numFmtId="0" fontId="26" fillId="3" borderId="83" xfId="0" applyFont="1" applyFill="1" applyBorder="1" applyAlignment="1" applyProtection="1">
      <alignment vertical="center"/>
    </xf>
    <xf numFmtId="0" fontId="207" fillId="0" borderId="67" xfId="0" applyFont="1" applyBorder="1" applyAlignment="1" applyProtection="1">
      <alignment vertical="center"/>
    </xf>
    <xf numFmtId="0" fontId="207" fillId="0" borderId="60" xfId="0" applyFont="1" applyBorder="1" applyAlignment="1" applyProtection="1">
      <alignment vertical="center"/>
    </xf>
    <xf numFmtId="49" fontId="26" fillId="0" borderId="108" xfId="0" applyNumberFormat="1" applyFont="1" applyBorder="1" applyAlignment="1" applyProtection="1">
      <alignment horizontal="left" vertical="center" wrapText="1"/>
      <protection locked="0"/>
    </xf>
    <xf numFmtId="0" fontId="26" fillId="3" borderId="128" xfId="0" applyFont="1" applyFill="1" applyBorder="1" applyAlignment="1" applyProtection="1">
      <alignment horizontal="center" vertical="center"/>
    </xf>
    <xf numFmtId="0" fontId="26" fillId="3" borderId="53" xfId="0" applyFont="1" applyFill="1" applyBorder="1" applyAlignment="1" applyProtection="1">
      <alignment horizontal="center" vertical="center"/>
    </xf>
    <xf numFmtId="0" fontId="26" fillId="3" borderId="65" xfId="0" applyFont="1" applyFill="1" applyBorder="1" applyAlignment="1" applyProtection="1">
      <alignment horizontal="center" vertical="center"/>
    </xf>
    <xf numFmtId="49" fontId="26" fillId="0" borderId="107" xfId="0" applyNumberFormat="1" applyFont="1" applyBorder="1" applyAlignment="1" applyProtection="1">
      <alignment horizontal="left" vertical="center" wrapText="1"/>
    </xf>
    <xf numFmtId="0" fontId="82" fillId="3" borderId="138" xfId="0" applyFont="1" applyFill="1" applyBorder="1" applyAlignment="1" applyProtection="1">
      <alignment vertical="center"/>
    </xf>
    <xf numFmtId="0" fontId="82" fillId="3" borderId="0" xfId="0" applyFont="1" applyFill="1" applyBorder="1" applyAlignment="1" applyProtection="1">
      <alignment vertical="center"/>
    </xf>
    <xf numFmtId="0" fontId="82" fillId="3" borderId="22" xfId="0" applyFont="1" applyFill="1" applyBorder="1" applyAlignment="1" applyProtection="1">
      <alignment vertical="center"/>
    </xf>
    <xf numFmtId="0" fontId="45" fillId="0" borderId="3" xfId="0" applyFont="1" applyFill="1" applyBorder="1" applyAlignment="1" applyProtection="1">
      <alignment horizontal="center" vertical="center" wrapText="1"/>
    </xf>
    <xf numFmtId="0" fontId="45" fillId="0" borderId="1" xfId="0" applyFont="1" applyBorder="1" applyAlignment="1" applyProtection="1">
      <alignment horizontal="center" vertical="center" wrapText="1"/>
    </xf>
    <xf numFmtId="0" fontId="45" fillId="0" borderId="6" xfId="0" applyFont="1" applyBorder="1" applyAlignment="1" applyProtection="1">
      <alignment horizontal="center" vertical="center" wrapText="1"/>
    </xf>
    <xf numFmtId="0" fontId="22" fillId="0" borderId="28" xfId="0" applyFont="1" applyBorder="1" applyAlignment="1" applyProtection="1">
      <alignment horizontal="center" vertical="center" wrapText="1"/>
    </xf>
    <xf numFmtId="0" fontId="22" fillId="0" borderId="2" xfId="0" applyFont="1" applyBorder="1" applyAlignment="1" applyProtection="1">
      <alignment horizontal="center" vertical="center" wrapText="1"/>
    </xf>
    <xf numFmtId="0" fontId="22" fillId="0" borderId="11" xfId="0" applyFont="1" applyBorder="1" applyAlignment="1" applyProtection="1">
      <alignment horizontal="center" vertical="center" wrapText="1"/>
    </xf>
    <xf numFmtId="0" fontId="26" fillId="0" borderId="130" xfId="0" applyFont="1" applyBorder="1" applyAlignment="1" applyProtection="1">
      <alignment horizontal="center" vertical="center" wrapText="1"/>
    </xf>
    <xf numFmtId="0" fontId="26" fillId="0" borderId="51" xfId="0" applyFont="1" applyBorder="1" applyAlignment="1" applyProtection="1">
      <alignment horizontal="center" vertical="center" wrapText="1"/>
    </xf>
    <xf numFmtId="0" fontId="26" fillId="0" borderId="131" xfId="0" applyFont="1" applyBorder="1" applyAlignment="1" applyProtection="1">
      <alignment horizontal="center" vertical="center" wrapText="1"/>
    </xf>
    <xf numFmtId="0" fontId="26" fillId="0" borderId="9" xfId="0" quotePrefix="1" applyFont="1" applyFill="1" applyBorder="1" applyAlignment="1" applyProtection="1">
      <alignment horizontal="center" vertical="center" wrapText="1"/>
    </xf>
    <xf numFmtId="0" fontId="26" fillId="0" borderId="8" xfId="0" quotePrefix="1" applyFont="1" applyFill="1" applyBorder="1" applyAlignment="1" applyProtection="1">
      <alignment horizontal="center" vertical="center" wrapText="1"/>
    </xf>
    <xf numFmtId="0" fontId="26" fillId="31" borderId="1" xfId="0" quotePrefix="1" applyFont="1" applyFill="1" applyBorder="1" applyAlignment="1" applyProtection="1">
      <alignment horizontal="center" vertical="center" wrapText="1"/>
    </xf>
    <xf numFmtId="0" fontId="26" fillId="0" borderId="130" xfId="0" applyFont="1" applyBorder="1" applyAlignment="1" applyProtection="1">
      <alignment horizontal="left" vertical="center"/>
      <protection locked="0"/>
    </xf>
    <xf numFmtId="0" fontId="26" fillId="0" borderId="51" xfId="0" applyFont="1" applyBorder="1" applyAlignment="1" applyProtection="1">
      <alignment horizontal="left" vertical="center"/>
      <protection locked="0"/>
    </xf>
    <xf numFmtId="0" fontId="26" fillId="0" borderId="131" xfId="0" applyFont="1" applyBorder="1" applyAlignment="1" applyProtection="1">
      <alignment horizontal="left" vertical="center"/>
      <protection locked="0"/>
    </xf>
    <xf numFmtId="0" fontId="26" fillId="0" borderId="8"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26" fillId="0" borderId="27" xfId="0" applyFont="1" applyFill="1" applyBorder="1" applyAlignment="1" applyProtection="1">
      <alignment horizontal="left" vertical="top" wrapText="1"/>
    </xf>
    <xf numFmtId="49" fontId="26" fillId="0" borderId="125" xfId="0" applyNumberFormat="1" applyFont="1" applyBorder="1" applyAlignment="1" applyProtection="1">
      <alignment horizontal="left" vertical="center" wrapText="1"/>
      <protection locked="0"/>
    </xf>
    <xf numFmtId="0" fontId="26" fillId="0" borderId="8" xfId="0" applyFont="1" applyFill="1" applyBorder="1" applyAlignment="1" applyProtection="1">
      <alignment horizontal="left" vertical="top" textRotation="255" wrapText="1"/>
    </xf>
    <xf numFmtId="0" fontId="26" fillId="0" borderId="107" xfId="0" applyFont="1" applyBorder="1" applyAlignment="1" applyProtection="1">
      <alignment horizontal="left" vertical="center"/>
    </xf>
    <xf numFmtId="0" fontId="26" fillId="0" borderId="51" xfId="0" applyFont="1" applyFill="1" applyBorder="1" applyAlignment="1" applyProtection="1">
      <alignment horizontal="left" vertical="top" wrapText="1"/>
    </xf>
    <xf numFmtId="0" fontId="0" fillId="0" borderId="53" xfId="0" applyFont="1" applyFill="1" applyBorder="1" applyAlignment="1" applyProtection="1">
      <alignment horizontal="left" vertical="top" wrapText="1"/>
    </xf>
    <xf numFmtId="0" fontId="0" fillId="0" borderId="2" xfId="0" applyFont="1" applyFill="1" applyBorder="1" applyAlignment="1" applyProtection="1">
      <alignment horizontal="left" vertical="top" wrapText="1"/>
    </xf>
    <xf numFmtId="0" fontId="26" fillId="0" borderId="53" xfId="0" applyFont="1" applyFill="1" applyBorder="1" applyAlignment="1" applyProtection="1">
      <alignment horizontal="left" vertical="top" wrapText="1"/>
    </xf>
    <xf numFmtId="0" fontId="26" fillId="0" borderId="8" xfId="0" applyFont="1" applyFill="1" applyBorder="1" applyAlignment="1" applyProtection="1">
      <alignment horizontal="left" vertical="center"/>
    </xf>
    <xf numFmtId="0" fontId="26" fillId="0" borderId="135" xfId="0" applyFont="1" applyBorder="1" applyAlignment="1" applyProtection="1">
      <alignment horizontal="left" vertical="center"/>
      <protection locked="0"/>
    </xf>
    <xf numFmtId="0" fontId="26" fillId="0" borderId="8" xfId="0" applyFont="1" applyBorder="1" applyAlignment="1" applyProtection="1">
      <alignment horizontal="left" vertical="center"/>
      <protection locked="0"/>
    </xf>
    <xf numFmtId="0" fontId="26" fillId="0" borderId="127" xfId="0" applyFont="1" applyBorder="1" applyAlignment="1" applyProtection="1">
      <alignment horizontal="left" vertical="center"/>
      <protection locked="0"/>
    </xf>
    <xf numFmtId="0" fontId="26" fillId="0" borderId="136" xfId="0" applyFont="1" applyBorder="1" applyAlignment="1" applyProtection="1">
      <alignment horizontal="left" vertical="center"/>
      <protection locked="0"/>
    </xf>
    <xf numFmtId="0" fontId="26" fillId="0" borderId="1" xfId="0" applyFont="1" applyFill="1" applyBorder="1" applyAlignment="1" applyProtection="1">
      <alignment horizontal="left" vertical="top" wrapText="1"/>
    </xf>
    <xf numFmtId="0" fontId="26" fillId="0" borderId="2" xfId="0" applyFont="1" applyFill="1" applyBorder="1" applyAlignment="1" applyProtection="1">
      <alignment horizontal="left" vertical="top" wrapText="1"/>
    </xf>
    <xf numFmtId="0" fontId="26" fillId="0" borderId="131" xfId="0" applyFont="1" applyFill="1" applyBorder="1" applyAlignment="1" applyProtection="1">
      <alignment horizontal="left" vertical="top" wrapText="1"/>
    </xf>
    <xf numFmtId="0" fontId="78" fillId="3" borderId="148" xfId="0" applyFont="1" applyFill="1" applyBorder="1" applyAlignment="1" applyProtection="1">
      <alignment wrapText="1"/>
    </xf>
    <xf numFmtId="0" fontId="78" fillId="3" borderId="82" xfId="0" applyFont="1" applyFill="1" applyBorder="1" applyAlignment="1" applyProtection="1">
      <alignment wrapText="1"/>
    </xf>
    <xf numFmtId="0" fontId="78" fillId="3" borderId="83" xfId="0" applyFont="1" applyFill="1" applyBorder="1" applyAlignment="1" applyProtection="1">
      <alignment wrapText="1"/>
    </xf>
    <xf numFmtId="0" fontId="164" fillId="3" borderId="2" xfId="0" applyFont="1" applyFill="1" applyBorder="1" applyAlignment="1" applyProtection="1">
      <alignment horizontal="left"/>
    </xf>
    <xf numFmtId="0" fontId="164" fillId="3" borderId="61" xfId="0" applyFont="1" applyFill="1" applyBorder="1" applyAlignment="1" applyProtection="1">
      <alignment horizontal="left"/>
    </xf>
    <xf numFmtId="0" fontId="26" fillId="3" borderId="0" xfId="0" applyFont="1" applyFill="1" applyAlignment="1" applyProtection="1">
      <alignment horizontal="left" wrapText="1"/>
    </xf>
    <xf numFmtId="49" fontId="26" fillId="0" borderId="125" xfId="0" applyNumberFormat="1" applyFont="1" applyBorder="1" applyAlignment="1" applyProtection="1">
      <alignment horizontal="left" vertical="center" wrapText="1"/>
    </xf>
    <xf numFmtId="0" fontId="26" fillId="0" borderId="125" xfId="0" applyFont="1" applyBorder="1" applyAlignment="1" applyProtection="1">
      <alignment horizontal="left" vertical="center"/>
    </xf>
    <xf numFmtId="0" fontId="26" fillId="0" borderId="125" xfId="0" applyFont="1" applyBorder="1" applyAlignment="1" applyProtection="1">
      <alignment horizontal="center" vertical="center" wrapText="1"/>
    </xf>
    <xf numFmtId="0" fontId="26" fillId="0" borderId="146" xfId="0" applyFont="1" applyBorder="1" applyAlignment="1" applyProtection="1">
      <alignment horizontal="center" vertical="center"/>
      <protection locked="0"/>
    </xf>
    <xf numFmtId="0" fontId="79" fillId="0" borderId="53" xfId="0" applyFont="1" applyFill="1" applyBorder="1" applyAlignment="1" applyProtection="1">
      <alignment vertical="center" shrinkToFit="1"/>
      <protection locked="0"/>
    </xf>
    <xf numFmtId="0" fontId="26" fillId="3" borderId="0" xfId="0" applyFont="1" applyFill="1" applyBorder="1" applyAlignment="1" applyProtection="1">
      <alignment horizontal="center" vertical="center" shrinkToFit="1"/>
    </xf>
    <xf numFmtId="0" fontId="26" fillId="0" borderId="125" xfId="0" applyFont="1" applyBorder="1" applyAlignment="1" applyProtection="1">
      <alignment horizontal="left" vertical="center"/>
      <protection locked="0"/>
    </xf>
    <xf numFmtId="0" fontId="26" fillId="0" borderId="1" xfId="0" applyFont="1" applyFill="1" applyBorder="1" applyAlignment="1" applyProtection="1">
      <alignment horizontal="left" vertical="top" textRotation="255" wrapText="1"/>
    </xf>
    <xf numFmtId="0" fontId="26" fillId="0" borderId="0" xfId="0" applyFont="1" applyFill="1" applyBorder="1" applyAlignment="1" applyProtection="1">
      <alignment horizontal="left" vertical="top" textRotation="255" wrapText="1"/>
    </xf>
    <xf numFmtId="0" fontId="26" fillId="0" borderId="2" xfId="0" applyFont="1" applyFill="1" applyBorder="1" applyAlignment="1" applyProtection="1">
      <alignment horizontal="left" vertical="top" textRotation="255" wrapText="1"/>
    </xf>
    <xf numFmtId="0" fontId="26" fillId="0" borderId="136" xfId="0" applyFont="1" applyBorder="1" applyAlignment="1" applyProtection="1">
      <alignment horizontal="center" vertical="center" wrapText="1"/>
      <protection locked="0"/>
    </xf>
    <xf numFmtId="0" fontId="122" fillId="0" borderId="2" xfId="0" applyFont="1" applyFill="1" applyBorder="1" applyAlignment="1" applyProtection="1">
      <alignment horizontal="left" vertical="top" wrapText="1"/>
    </xf>
    <xf numFmtId="0" fontId="26" fillId="0" borderId="128" xfId="0" applyFont="1" applyBorder="1" applyAlignment="1" applyProtection="1">
      <alignment horizontal="left" vertical="center"/>
      <protection locked="0"/>
    </xf>
    <xf numFmtId="0" fontId="26" fillId="0" borderId="53" xfId="0" applyFont="1" applyBorder="1" applyAlignment="1" applyProtection="1">
      <alignment horizontal="left" vertical="center"/>
      <protection locked="0"/>
    </xf>
    <xf numFmtId="0" fontId="26" fillId="0" borderId="129" xfId="0" applyFont="1" applyBorder="1" applyAlignment="1" applyProtection="1">
      <alignment horizontal="left" vertical="center"/>
      <protection locked="0"/>
    </xf>
    <xf numFmtId="0" fontId="26" fillId="0" borderId="145" xfId="0" applyFont="1" applyBorder="1" applyAlignment="1" applyProtection="1">
      <alignment horizontal="left" vertical="center"/>
      <protection locked="0"/>
    </xf>
    <xf numFmtId="0" fontId="26" fillId="0" borderId="27" xfId="0" applyFont="1" applyBorder="1" applyAlignment="1" applyProtection="1">
      <alignment horizontal="left" vertical="center"/>
      <protection locked="0"/>
    </xf>
    <xf numFmtId="0" fontId="26" fillId="0" borderId="174" xfId="0" applyFont="1" applyBorder="1" applyAlignment="1" applyProtection="1">
      <alignment horizontal="left" vertical="center"/>
      <protection locked="0"/>
    </xf>
    <xf numFmtId="0" fontId="26" fillId="0" borderId="1" xfId="0" applyFont="1" applyFill="1" applyBorder="1" applyAlignment="1" applyProtection="1">
      <alignment horizontal="center" vertical="center" wrapText="1"/>
    </xf>
    <xf numFmtId="49" fontId="26" fillId="0" borderId="136" xfId="0" applyNumberFormat="1" applyFont="1" applyBorder="1" applyAlignment="1" applyProtection="1">
      <alignment horizontal="left" vertical="center" wrapText="1"/>
      <protection locked="0"/>
    </xf>
    <xf numFmtId="49" fontId="26" fillId="0" borderId="111" xfId="0" applyNumberFormat="1" applyFont="1" applyBorder="1" applyAlignment="1" applyProtection="1">
      <alignment horizontal="left" vertical="center" wrapText="1"/>
    </xf>
    <xf numFmtId="0" fontId="164" fillId="3" borderId="2" xfId="0" applyFont="1" applyFill="1" applyBorder="1" applyAlignment="1" applyProtection="1">
      <alignment horizontal="left" wrapText="1"/>
    </xf>
    <xf numFmtId="0" fontId="164" fillId="3" borderId="61" xfId="0" applyFont="1" applyFill="1" applyBorder="1" applyAlignment="1" applyProtection="1">
      <alignment horizontal="left" wrapText="1"/>
    </xf>
    <xf numFmtId="0" fontId="26" fillId="0" borderId="136" xfId="0" applyFont="1" applyBorder="1" applyAlignment="1" applyProtection="1">
      <alignment horizontal="center" vertical="center"/>
      <protection locked="0"/>
    </xf>
    <xf numFmtId="0" fontId="26" fillId="0" borderId="8" xfId="0" applyFont="1" applyFill="1" applyBorder="1" applyAlignment="1" applyProtection="1">
      <alignment horizontal="left" vertical="top"/>
    </xf>
    <xf numFmtId="49" fontId="26" fillId="0" borderId="8" xfId="0" quotePrefix="1" applyNumberFormat="1" applyFont="1" applyFill="1" applyBorder="1" applyAlignment="1" applyProtection="1">
      <alignment horizontal="center" vertical="center" wrapText="1"/>
    </xf>
    <xf numFmtId="0" fontId="26" fillId="0" borderId="111" xfId="0" applyFont="1" applyBorder="1" applyAlignment="1" applyProtection="1">
      <alignment horizontal="left" vertical="center"/>
    </xf>
    <xf numFmtId="0" fontId="26" fillId="0" borderId="8" xfId="0" applyFont="1" applyFill="1" applyBorder="1" applyAlignment="1" applyProtection="1">
      <alignment vertical="top" wrapText="1"/>
    </xf>
    <xf numFmtId="49" fontId="26" fillId="0" borderId="146" xfId="0" applyNumberFormat="1" applyFont="1" applyBorder="1" applyAlignment="1" applyProtection="1">
      <alignment horizontal="left" vertical="center" wrapText="1"/>
      <protection locked="0"/>
    </xf>
    <xf numFmtId="0" fontId="26" fillId="0" borderId="146" xfId="0" applyFont="1" applyBorder="1" applyAlignment="1" applyProtection="1">
      <alignment horizontal="center" vertical="center" wrapText="1"/>
      <protection locked="0"/>
    </xf>
    <xf numFmtId="49" fontId="26" fillId="0" borderId="122" xfId="0" applyNumberFormat="1" applyFont="1" applyBorder="1" applyAlignment="1" applyProtection="1">
      <alignment horizontal="left" vertical="center" wrapText="1"/>
      <protection locked="0"/>
    </xf>
    <xf numFmtId="0" fontId="192" fillId="3" borderId="138" xfId="0" applyFont="1" applyFill="1" applyBorder="1" applyAlignment="1" applyProtection="1">
      <alignment horizontal="left" vertical="center" wrapText="1"/>
    </xf>
    <xf numFmtId="0" fontId="192" fillId="3" borderId="0" xfId="0" applyFont="1" applyFill="1" applyBorder="1" applyAlignment="1" applyProtection="1">
      <alignment horizontal="left" vertical="center" wrapText="1"/>
    </xf>
    <xf numFmtId="0" fontId="192" fillId="3" borderId="22" xfId="0" applyFont="1" applyFill="1" applyBorder="1" applyAlignment="1" applyProtection="1">
      <alignment horizontal="left" vertical="center" wrapText="1"/>
    </xf>
    <xf numFmtId="49" fontId="26" fillId="0" borderId="111" xfId="0" applyNumberFormat="1" applyFont="1" applyBorder="1" applyAlignment="1" applyProtection="1">
      <alignment horizontal="left" vertical="center" wrapText="1"/>
      <protection locked="0"/>
    </xf>
    <xf numFmtId="0" fontId="26" fillId="0" borderId="104" xfId="0" applyFont="1" applyFill="1" applyBorder="1" applyAlignment="1" applyProtection="1">
      <alignment horizontal="left" vertical="center"/>
      <protection locked="0"/>
    </xf>
    <xf numFmtId="0" fontId="26" fillId="0" borderId="111" xfId="0" applyFont="1" applyBorder="1" applyAlignment="1" applyProtection="1">
      <alignment horizontal="center" vertical="center" wrapText="1"/>
      <protection locked="0"/>
    </xf>
    <xf numFmtId="0" fontId="26" fillId="0" borderId="146" xfId="0" applyFont="1" applyBorder="1" applyAlignment="1" applyProtection="1">
      <alignment horizontal="left" vertical="center"/>
      <protection locked="0"/>
    </xf>
    <xf numFmtId="49" fontId="26" fillId="0" borderId="130" xfId="0" applyNumberFormat="1" applyFont="1" applyBorder="1" applyAlignment="1" applyProtection="1">
      <alignment horizontal="left" vertical="center" wrapText="1"/>
      <protection locked="0"/>
    </xf>
    <xf numFmtId="49" fontId="26" fillId="0" borderId="51" xfId="0" applyNumberFormat="1" applyFont="1" applyBorder="1" applyAlignment="1" applyProtection="1">
      <alignment horizontal="left" vertical="center" wrapText="1"/>
      <protection locked="0"/>
    </xf>
    <xf numFmtId="49" fontId="26" fillId="0" borderId="131" xfId="0" applyNumberFormat="1" applyFont="1" applyBorder="1" applyAlignment="1" applyProtection="1">
      <alignment horizontal="left" vertical="center" wrapText="1"/>
      <protection locked="0"/>
    </xf>
    <xf numFmtId="0" fontId="26" fillId="0" borderId="53" xfId="0" applyFont="1" applyBorder="1" applyAlignment="1" applyProtection="1">
      <alignment horizontal="left" vertical="center" wrapText="1"/>
    </xf>
    <xf numFmtId="0" fontId="0" fillId="0" borderId="8" xfId="0" quotePrefix="1" applyFont="1" applyFill="1" applyBorder="1" applyAlignment="1" applyProtection="1">
      <alignment horizontal="center" vertical="center"/>
    </xf>
    <xf numFmtId="0" fontId="26" fillId="30" borderId="1" xfId="0" quotePrefix="1" applyFont="1" applyFill="1" applyBorder="1" applyAlignment="1" applyProtection="1">
      <alignment horizontal="center" vertical="center" wrapText="1"/>
    </xf>
    <xf numFmtId="0" fontId="79" fillId="0" borderId="8" xfId="0" applyFont="1" applyBorder="1" applyAlignment="1" applyProtection="1">
      <alignment horizontal="left" vertical="center" wrapText="1"/>
    </xf>
    <xf numFmtId="0" fontId="79" fillId="3" borderId="59" xfId="0" applyFont="1" applyFill="1" applyBorder="1" applyAlignment="1" applyProtection="1">
      <alignment horizontal="left" vertical="center" wrapText="1"/>
    </xf>
    <xf numFmtId="0" fontId="26" fillId="0" borderId="59" xfId="0" applyFont="1" applyBorder="1" applyAlignment="1" applyProtection="1">
      <alignment horizontal="left" vertical="center" wrapText="1"/>
    </xf>
    <xf numFmtId="0" fontId="79" fillId="0" borderId="108" xfId="0" applyFont="1" applyBorder="1" applyAlignment="1" applyProtection="1">
      <alignment horizontal="center" vertical="center" wrapText="1"/>
      <protection locked="0"/>
    </xf>
    <xf numFmtId="0" fontId="79" fillId="0" borderId="59" xfId="0" applyFont="1" applyFill="1" applyBorder="1" applyAlignment="1" applyProtection="1">
      <alignment horizontal="left" vertical="center"/>
      <protection locked="0"/>
    </xf>
    <xf numFmtId="0" fontId="79" fillId="0" borderId="27" xfId="0" applyFont="1" applyFill="1" applyBorder="1" applyAlignment="1" applyProtection="1">
      <alignment horizontal="center" vertical="center"/>
      <protection locked="0"/>
    </xf>
    <xf numFmtId="0" fontId="0" fillId="0" borderId="8" xfId="0" applyFont="1" applyFill="1" applyBorder="1" applyAlignment="1" applyProtection="1">
      <alignment horizontal="left" vertical="top" wrapText="1"/>
    </xf>
    <xf numFmtId="0" fontId="0" fillId="0" borderId="8" xfId="0" applyFont="1" applyFill="1" applyBorder="1" applyAlignment="1" applyProtection="1">
      <alignment horizontal="left" vertical="center"/>
    </xf>
    <xf numFmtId="0" fontId="79" fillId="0" borderId="59" xfId="0" applyFont="1" applyFill="1" applyBorder="1" applyAlignment="1" applyProtection="1">
      <alignment horizontal="center" vertical="center"/>
      <protection locked="0"/>
    </xf>
    <xf numFmtId="0" fontId="79" fillId="0" borderId="27" xfId="0" applyFont="1" applyBorder="1" applyAlignment="1" applyProtection="1">
      <alignment horizontal="center" vertical="center"/>
      <protection locked="0"/>
    </xf>
    <xf numFmtId="0" fontId="79" fillId="0" borderId="59" xfId="0" applyFont="1" applyBorder="1" applyAlignment="1" applyProtection="1">
      <alignment horizontal="left" vertical="center"/>
    </xf>
    <xf numFmtId="0" fontId="79" fillId="3" borderId="27" xfId="0" applyFont="1" applyFill="1" applyBorder="1" applyAlignment="1" applyProtection="1">
      <alignment horizontal="left" vertical="center" wrapText="1"/>
    </xf>
    <xf numFmtId="0" fontId="26" fillId="0" borderId="27" xfId="0" applyFont="1" applyBorder="1" applyAlignment="1" applyProtection="1">
      <alignment horizontal="left" vertical="center" wrapText="1"/>
    </xf>
    <xf numFmtId="0" fontId="26" fillId="0" borderId="130" xfId="0" applyFont="1" applyBorder="1" applyAlignment="1" applyProtection="1">
      <alignment horizontal="left" vertical="center"/>
    </xf>
    <xf numFmtId="0" fontId="26" fillId="0" borderId="131" xfId="0" applyFont="1" applyBorder="1" applyAlignment="1" applyProtection="1">
      <alignment horizontal="left" vertical="center"/>
    </xf>
    <xf numFmtId="0" fontId="79" fillId="0" borderId="107" xfId="0" applyFont="1" applyFill="1" applyBorder="1" applyAlignment="1" applyProtection="1">
      <alignment horizontal="center" vertical="center" wrapText="1"/>
      <protection locked="0"/>
    </xf>
    <xf numFmtId="0" fontId="26" fillId="0" borderId="52" xfId="0" applyFont="1" applyFill="1" applyBorder="1" applyAlignment="1" applyProtection="1">
      <alignment horizontal="left" vertical="top" wrapText="1"/>
    </xf>
    <xf numFmtId="0" fontId="79" fillId="3" borderId="1" xfId="0" applyFont="1" applyFill="1" applyBorder="1" applyAlignment="1" applyProtection="1">
      <alignment horizontal="left" vertical="center" wrapText="1"/>
    </xf>
    <xf numFmtId="0" fontId="26" fillId="0" borderId="1" xfId="0" applyFont="1" applyBorder="1" applyAlignment="1" applyProtection="1">
      <alignment horizontal="left" vertical="center" wrapText="1"/>
    </xf>
    <xf numFmtId="0" fontId="26" fillId="0" borderId="2" xfId="0" applyFont="1" applyBorder="1" applyAlignment="1" applyProtection="1">
      <alignment horizontal="left" vertical="center" wrapText="1"/>
    </xf>
    <xf numFmtId="0" fontId="79" fillId="0" borderId="151" xfId="0" applyFont="1" applyFill="1" applyBorder="1" applyAlignment="1" applyProtection="1">
      <alignment horizontal="left" vertical="center"/>
      <protection locked="0"/>
    </xf>
    <xf numFmtId="0" fontId="79" fillId="0" borderId="105" xfId="0" applyFont="1" applyFill="1" applyBorder="1" applyAlignment="1" applyProtection="1">
      <alignment horizontal="left" vertical="center"/>
      <protection locked="0"/>
    </xf>
    <xf numFmtId="0" fontId="79" fillId="0" borderId="176" xfId="0" applyFont="1" applyFill="1" applyBorder="1" applyAlignment="1" applyProtection="1">
      <alignment horizontal="center" vertical="center"/>
      <protection locked="0"/>
    </xf>
    <xf numFmtId="0" fontId="79" fillId="0" borderId="177" xfId="0" applyFont="1" applyFill="1" applyBorder="1" applyAlignment="1" applyProtection="1">
      <alignment horizontal="center" vertical="center"/>
      <protection locked="0"/>
    </xf>
    <xf numFmtId="0" fontId="79" fillId="0" borderId="9" xfId="0" applyFont="1" applyFill="1" applyBorder="1" applyAlignment="1" applyProtection="1">
      <alignment horizontal="left" vertical="center" wrapText="1"/>
      <protection locked="0"/>
    </xf>
    <xf numFmtId="0" fontId="79" fillId="0" borderId="4" xfId="0" applyFont="1" applyFill="1" applyBorder="1" applyAlignment="1" applyProtection="1">
      <alignment horizontal="left" vertical="center" wrapText="1"/>
      <protection locked="0"/>
    </xf>
    <xf numFmtId="0" fontId="79" fillId="0" borderId="7" xfId="0" applyFont="1" applyFill="1" applyBorder="1" applyAlignment="1" applyProtection="1">
      <alignment horizontal="left" vertical="center" wrapText="1"/>
      <protection locked="0"/>
    </xf>
    <xf numFmtId="0" fontId="79" fillId="0" borderId="31" xfId="0" applyFont="1" applyFill="1" applyBorder="1" applyAlignment="1" applyProtection="1">
      <alignment horizontal="left" vertical="center" wrapText="1"/>
      <protection locked="0"/>
    </xf>
    <xf numFmtId="0" fontId="79" fillId="0" borderId="17" xfId="0" applyFont="1" applyFill="1" applyBorder="1" applyAlignment="1" applyProtection="1">
      <alignment horizontal="left" vertical="center" wrapText="1"/>
      <protection locked="0"/>
    </xf>
    <xf numFmtId="0" fontId="79" fillId="0" borderId="30" xfId="0" applyFont="1" applyFill="1" applyBorder="1" applyAlignment="1" applyProtection="1">
      <alignment horizontal="left" vertical="center" wrapText="1"/>
      <protection locked="0"/>
    </xf>
    <xf numFmtId="0" fontId="26" fillId="0" borderId="20" xfId="0" applyFont="1" applyBorder="1" applyAlignment="1" applyProtection="1">
      <alignment horizontal="left" vertical="center" wrapText="1"/>
    </xf>
    <xf numFmtId="0" fontId="79" fillId="0" borderId="110" xfId="0" applyFont="1" applyFill="1" applyBorder="1" applyAlignment="1" applyProtection="1">
      <alignment horizontal="center" vertical="center"/>
      <protection locked="0"/>
    </xf>
    <xf numFmtId="0" fontId="79" fillId="0" borderId="154" xfId="0" applyFont="1" applyFill="1" applyBorder="1" applyAlignment="1" applyProtection="1">
      <alignment horizontal="center" vertical="center"/>
      <protection locked="0"/>
    </xf>
    <xf numFmtId="0" fontId="79" fillId="0" borderId="105" xfId="0" applyFont="1" applyFill="1" applyBorder="1" applyAlignment="1" applyProtection="1">
      <alignment horizontal="center" vertical="center"/>
      <protection locked="0"/>
    </xf>
    <xf numFmtId="0" fontId="79" fillId="0" borderId="153" xfId="0" applyFont="1" applyFill="1" applyBorder="1" applyAlignment="1" applyProtection="1">
      <alignment horizontal="center" vertical="center"/>
      <protection locked="0"/>
    </xf>
    <xf numFmtId="0" fontId="79" fillId="0" borderId="8" xfId="0" applyFont="1" applyBorder="1" applyAlignment="1" applyProtection="1">
      <alignment horizontal="left" vertical="center"/>
    </xf>
    <xf numFmtId="0" fontId="79" fillId="0" borderId="1" xfId="0" applyFont="1" applyBorder="1" applyAlignment="1" applyProtection="1">
      <alignment horizontal="left" vertical="center" wrapText="1"/>
    </xf>
    <xf numFmtId="0" fontId="79" fillId="3" borderId="0" xfId="0" applyFont="1" applyFill="1" applyBorder="1" applyAlignment="1" applyProtection="1">
      <alignment horizontal="left" vertical="center" wrapText="1"/>
    </xf>
    <xf numFmtId="0" fontId="79" fillId="0" borderId="0" xfId="0" applyFont="1" applyBorder="1" applyAlignment="1" applyProtection="1">
      <alignment horizontal="left" vertical="center" wrapText="1"/>
    </xf>
    <xf numFmtId="0" fontId="79" fillId="3" borderId="20" xfId="0" applyFont="1" applyFill="1" applyBorder="1" applyAlignment="1" applyProtection="1">
      <alignment horizontal="left" vertical="center" wrapText="1"/>
    </xf>
    <xf numFmtId="0" fontId="79" fillId="0" borderId="20" xfId="0" applyFont="1" applyBorder="1" applyAlignment="1" applyProtection="1">
      <alignment horizontal="left" vertical="center" wrapText="1"/>
    </xf>
    <xf numFmtId="0" fontId="146" fillId="0" borderId="38" xfId="0" applyFont="1" applyBorder="1" applyAlignment="1" applyProtection="1">
      <alignment horizontal="left"/>
    </xf>
    <xf numFmtId="190" fontId="79" fillId="0" borderId="53" xfId="0" applyNumberFormat="1" applyFont="1" applyFill="1" applyBorder="1" applyAlignment="1" applyProtection="1">
      <alignment horizontal="center" vertical="center"/>
      <protection locked="0"/>
    </xf>
    <xf numFmtId="190" fontId="26" fillId="0" borderId="53" xfId="0" applyNumberFormat="1" applyFont="1" applyBorder="1" applyAlignment="1" applyProtection="1">
      <alignment horizontal="center" vertical="center"/>
      <protection locked="0"/>
    </xf>
    <xf numFmtId="182" fontId="79" fillId="0" borderId="8" xfId="0" applyNumberFormat="1" applyFont="1" applyFill="1" applyBorder="1" applyAlignment="1" applyProtection="1">
      <alignment horizontal="right" vertical="center"/>
      <protection locked="0"/>
    </xf>
    <xf numFmtId="190" fontId="79" fillId="0" borderId="27" xfId="0" applyNumberFormat="1" applyFont="1" applyFill="1" applyBorder="1" applyAlignment="1" applyProtection="1">
      <alignment horizontal="center" vertical="center"/>
      <protection locked="0"/>
    </xf>
    <xf numFmtId="190" fontId="26" fillId="0" borderId="27" xfId="0" applyNumberFormat="1" applyFont="1" applyBorder="1" applyAlignment="1" applyProtection="1">
      <alignment horizontal="center" vertical="center"/>
      <protection locked="0"/>
    </xf>
    <xf numFmtId="0" fontId="79" fillId="0" borderId="27" xfId="0" applyFont="1" applyBorder="1" applyAlignment="1" applyProtection="1">
      <alignment horizontal="left" vertical="center"/>
    </xf>
    <xf numFmtId="0" fontId="26" fillId="0" borderId="29" xfId="0" applyFont="1" applyBorder="1" applyAlignment="1" applyProtection="1">
      <alignment horizontal="left" vertical="center" wrapText="1"/>
    </xf>
    <xf numFmtId="0" fontId="79" fillId="0" borderId="27" xfId="0" applyFont="1" applyBorder="1" applyAlignment="1" applyProtection="1">
      <alignment horizontal="left" vertical="center" wrapText="1"/>
    </xf>
    <xf numFmtId="0" fontId="79" fillId="0" borderId="108" xfId="0" applyFont="1" applyFill="1" applyBorder="1" applyAlignment="1" applyProtection="1">
      <alignment horizontal="center" vertical="center"/>
      <protection locked="0"/>
    </xf>
    <xf numFmtId="0" fontId="79" fillId="0" borderId="128" xfId="0" applyFont="1" applyFill="1" applyBorder="1" applyAlignment="1" applyProtection="1">
      <alignment horizontal="center" vertical="center"/>
      <protection locked="0"/>
    </xf>
    <xf numFmtId="0" fontId="150" fillId="3" borderId="20" xfId="0" applyFont="1" applyFill="1" applyBorder="1" applyAlignment="1" applyProtection="1">
      <alignment horizontal="left" vertical="center" shrinkToFit="1"/>
    </xf>
    <xf numFmtId="0" fontId="84" fillId="0" borderId="20" xfId="0" applyFont="1" applyBorder="1" applyAlignment="1" applyProtection="1">
      <alignment horizontal="left" vertical="center" shrinkToFit="1"/>
    </xf>
    <xf numFmtId="0" fontId="79" fillId="0" borderId="82" xfId="0" applyFont="1" applyFill="1" applyBorder="1" applyAlignment="1" applyProtection="1">
      <alignment vertical="center"/>
      <protection locked="0"/>
    </xf>
    <xf numFmtId="0" fontId="79" fillId="0" borderId="175" xfId="0" applyFont="1" applyFill="1" applyBorder="1" applyAlignment="1" applyProtection="1">
      <alignment horizontal="left" vertical="center"/>
      <protection locked="0"/>
    </xf>
    <xf numFmtId="0" fontId="79" fillId="0" borderId="176" xfId="0" applyFont="1" applyFill="1" applyBorder="1" applyAlignment="1" applyProtection="1">
      <alignment horizontal="left" vertical="center"/>
      <protection locked="0"/>
    </xf>
    <xf numFmtId="0" fontId="79" fillId="3" borderId="29" xfId="0" applyFont="1" applyFill="1" applyBorder="1" applyAlignment="1" applyProtection="1">
      <alignment horizontal="left" vertical="center" shrinkToFit="1"/>
    </xf>
    <xf numFmtId="0" fontId="26" fillId="0" borderId="29" xfId="0" applyFont="1" applyBorder="1" applyAlignment="1" applyProtection="1">
      <alignment horizontal="left" vertical="center" shrinkToFit="1"/>
    </xf>
    <xf numFmtId="0" fontId="26" fillId="3" borderId="8" xfId="0" applyFont="1" applyFill="1" applyBorder="1" applyAlignment="1" applyProtection="1">
      <alignment horizontal="left" vertical="center" wrapText="1"/>
    </xf>
    <xf numFmtId="0" fontId="79" fillId="3" borderId="82" xfId="0" applyFont="1" applyFill="1" applyBorder="1" applyAlignment="1" applyProtection="1">
      <alignment horizontal="left" vertical="center" wrapText="1"/>
    </xf>
    <xf numFmtId="0" fontId="26" fillId="3" borderId="82" xfId="0" applyFont="1" applyFill="1" applyBorder="1" applyAlignment="1" applyProtection="1">
      <alignment horizontal="left" vertical="center" wrapText="1"/>
    </xf>
    <xf numFmtId="0" fontId="79" fillId="0" borderId="51" xfId="0" applyFont="1" applyBorder="1" applyAlignment="1" applyProtection="1">
      <alignment horizontal="left" vertical="center" wrapText="1"/>
    </xf>
    <xf numFmtId="0" fontId="79" fillId="0" borderId="51" xfId="0" applyFont="1" applyFill="1" applyBorder="1" applyAlignment="1" applyProtection="1">
      <alignment horizontal="left" vertical="center" wrapText="1"/>
      <protection locked="0"/>
    </xf>
    <xf numFmtId="0" fontId="79" fillId="0" borderId="0" xfId="0" applyFont="1" applyBorder="1" applyAlignment="1" applyProtection="1">
      <alignment horizontal="center" vertical="center"/>
      <protection locked="0"/>
    </xf>
    <xf numFmtId="0" fontId="79" fillId="0" borderId="20" xfId="0" applyFont="1" applyBorder="1" applyAlignment="1" applyProtection="1">
      <alignment horizontal="left" vertical="center"/>
      <protection locked="0"/>
    </xf>
    <xf numFmtId="0" fontId="26" fillId="0" borderId="20" xfId="0" applyFont="1" applyBorder="1" applyAlignment="1" applyProtection="1">
      <alignment horizontal="left" vertical="center"/>
      <protection locked="0"/>
    </xf>
    <xf numFmtId="0" fontId="79" fillId="0" borderId="129" xfId="0" applyFont="1" applyFill="1" applyBorder="1" applyAlignment="1" applyProtection="1">
      <alignment horizontal="left" vertical="center"/>
      <protection locked="0"/>
    </xf>
    <xf numFmtId="0" fontId="79" fillId="0" borderId="108" xfId="0" applyFont="1" applyFill="1" applyBorder="1" applyAlignment="1" applyProtection="1">
      <alignment horizontal="left" vertical="center"/>
      <protection locked="0"/>
    </xf>
    <xf numFmtId="0" fontId="79" fillId="3" borderId="29" xfId="0" applyFont="1" applyFill="1" applyBorder="1" applyAlignment="1" applyProtection="1">
      <alignment horizontal="left" vertical="center" wrapText="1"/>
    </xf>
    <xf numFmtId="0" fontId="79" fillId="0" borderId="29" xfId="0" applyFont="1" applyBorder="1" applyAlignment="1" applyProtection="1">
      <alignment horizontal="left" vertical="center" wrapText="1"/>
    </xf>
    <xf numFmtId="0" fontId="79" fillId="0" borderId="59" xfId="0" applyFont="1" applyFill="1" applyBorder="1" applyAlignment="1" applyProtection="1">
      <alignment vertical="center"/>
      <protection locked="0"/>
    </xf>
    <xf numFmtId="0" fontId="79" fillId="0" borderId="59" xfId="0" applyFont="1" applyBorder="1" applyAlignment="1" applyProtection="1">
      <alignment vertical="center"/>
      <protection locked="0"/>
    </xf>
    <xf numFmtId="182" fontId="79" fillId="0" borderId="29" xfId="0" applyNumberFormat="1" applyFont="1" applyFill="1" applyBorder="1" applyAlignment="1" applyProtection="1">
      <alignment horizontal="right" vertical="center"/>
      <protection locked="0"/>
    </xf>
    <xf numFmtId="0" fontId="26" fillId="3" borderId="53" xfId="0" applyFont="1" applyFill="1" applyBorder="1" applyAlignment="1" applyProtection="1">
      <alignment horizontal="left" vertical="center" wrapText="1"/>
    </xf>
    <xf numFmtId="0" fontId="79" fillId="0" borderId="51" xfId="0" applyFont="1" applyBorder="1" applyAlignment="1" applyProtection="1">
      <alignment horizontal="left" vertical="center"/>
      <protection locked="0"/>
    </xf>
    <xf numFmtId="0" fontId="26" fillId="3" borderId="27" xfId="0" applyFont="1" applyFill="1" applyBorder="1" applyAlignment="1" applyProtection="1">
      <alignment horizontal="left" vertical="center" wrapText="1"/>
    </xf>
    <xf numFmtId="0" fontId="79" fillId="0" borderId="2" xfId="0" applyFont="1" applyFill="1" applyBorder="1" applyAlignment="1" applyProtection="1">
      <alignment horizontal="center" vertical="center" shrinkToFit="1"/>
      <protection locked="0"/>
    </xf>
    <xf numFmtId="0" fontId="79" fillId="0" borderId="2" xfId="0" applyFont="1" applyBorder="1" applyAlignment="1" applyProtection="1">
      <alignment horizontal="center" vertical="center" shrinkToFit="1"/>
      <protection locked="0"/>
    </xf>
    <xf numFmtId="0" fontId="79" fillId="0" borderId="2" xfId="0" applyFont="1" applyBorder="1" applyAlignment="1" applyProtection="1">
      <alignment horizontal="left" vertical="center" wrapText="1"/>
    </xf>
    <xf numFmtId="0" fontId="26" fillId="0" borderId="59" xfId="0" applyFont="1" applyBorder="1" applyAlignment="1" applyProtection="1">
      <alignment horizontal="left" vertical="center"/>
      <protection locked="0"/>
    </xf>
    <xf numFmtId="0" fontId="79" fillId="3" borderId="0" xfId="0" applyFont="1" applyFill="1" applyBorder="1" applyAlignment="1" applyProtection="1">
      <alignment horizontal="center" vertical="center" shrinkToFit="1"/>
    </xf>
    <xf numFmtId="0" fontId="26" fillId="0" borderId="0" xfId="0" applyFont="1" applyBorder="1" applyAlignment="1" applyProtection="1">
      <alignment horizontal="center" vertical="center" shrinkToFit="1"/>
    </xf>
    <xf numFmtId="0" fontId="79" fillId="0" borderId="2" xfId="0" applyFont="1" applyFill="1" applyBorder="1" applyAlignment="1" applyProtection="1">
      <alignment horizontal="left" vertical="center"/>
      <protection locked="0"/>
    </xf>
    <xf numFmtId="0" fontId="79" fillId="0" borderId="1" xfId="0" applyFont="1" applyFill="1" applyBorder="1" applyAlignment="1" applyProtection="1">
      <alignment horizontal="center" vertical="center"/>
      <protection locked="0"/>
    </xf>
    <xf numFmtId="0" fontId="26" fillId="3" borderId="82" xfId="0" applyFont="1" applyFill="1" applyBorder="1" applyAlignment="1" applyProtection="1">
      <alignment horizontal="left" vertical="center"/>
    </xf>
    <xf numFmtId="0" fontId="79" fillId="3" borderId="2" xfId="0" applyFont="1" applyFill="1" applyBorder="1" applyAlignment="1" applyProtection="1">
      <alignment horizontal="left" vertical="center" shrinkToFit="1"/>
    </xf>
    <xf numFmtId="0" fontId="26" fillId="0" borderId="2" xfId="0" applyFont="1" applyBorder="1" applyAlignment="1" applyProtection="1">
      <alignment horizontal="left" vertical="center" shrinkToFit="1"/>
    </xf>
    <xf numFmtId="0" fontId="79" fillId="0" borderId="59" xfId="0" applyFont="1" applyBorder="1" applyAlignment="1" applyProtection="1">
      <alignment horizontal="left" vertical="center" wrapText="1"/>
    </xf>
    <xf numFmtId="0" fontId="79" fillId="0" borderId="134" xfId="0" applyFont="1" applyFill="1" applyBorder="1" applyAlignment="1" applyProtection="1">
      <alignment horizontal="left" vertical="center"/>
      <protection locked="0"/>
    </xf>
    <xf numFmtId="0" fontId="79" fillId="0" borderId="110" xfId="0" applyFont="1" applyFill="1" applyBorder="1" applyAlignment="1" applyProtection="1">
      <alignment horizontal="left" vertical="center"/>
      <protection locked="0"/>
    </xf>
    <xf numFmtId="0" fontId="153" fillId="3" borderId="53" xfId="0" applyFont="1" applyFill="1" applyBorder="1" applyAlignment="1" applyProtection="1">
      <alignment horizontal="left" vertical="center" shrinkToFit="1"/>
    </xf>
    <xf numFmtId="0" fontId="79" fillId="0" borderId="53" xfId="0" applyFont="1" applyBorder="1" applyAlignment="1" applyProtection="1">
      <alignment horizontal="left" vertical="center"/>
    </xf>
    <xf numFmtId="0" fontId="79" fillId="0" borderId="53" xfId="0" applyFont="1" applyBorder="1" applyAlignment="1" applyProtection="1">
      <alignment horizontal="center" vertical="center"/>
      <protection locked="0"/>
    </xf>
    <xf numFmtId="0" fontId="26" fillId="3" borderId="1" xfId="0" applyFont="1" applyFill="1" applyBorder="1" applyAlignment="1" applyProtection="1">
      <alignment horizontal="left" vertical="center" wrapText="1"/>
    </xf>
    <xf numFmtId="0" fontId="26" fillId="3" borderId="0" xfId="0" applyFont="1" applyFill="1" applyBorder="1" applyAlignment="1" applyProtection="1">
      <alignment horizontal="left" vertical="center" wrapText="1"/>
    </xf>
    <xf numFmtId="0" fontId="26" fillId="3" borderId="2" xfId="0" applyFont="1" applyFill="1" applyBorder="1" applyAlignment="1" applyProtection="1">
      <alignment horizontal="left" vertical="center" wrapText="1"/>
    </xf>
    <xf numFmtId="0" fontId="153" fillId="3" borderId="53" xfId="0" applyFont="1" applyFill="1" applyBorder="1" applyAlignment="1" applyProtection="1">
      <alignment horizontal="left" vertical="center"/>
    </xf>
    <xf numFmtId="0" fontId="79" fillId="3" borderId="0" xfId="0" applyFont="1" applyFill="1" applyBorder="1" applyAlignment="1" applyProtection="1">
      <alignment horizontal="center" vertical="top" shrinkToFit="1"/>
    </xf>
    <xf numFmtId="0" fontId="26" fillId="0" borderId="0" xfId="0" applyFont="1" applyBorder="1" applyAlignment="1" applyProtection="1">
      <alignment horizontal="center" vertical="top" shrinkToFit="1"/>
    </xf>
    <xf numFmtId="0" fontId="79" fillId="3" borderId="0" xfId="0" applyFont="1" applyFill="1" applyBorder="1" applyAlignment="1" applyProtection="1">
      <alignment horizontal="center" vertical="top" wrapText="1"/>
    </xf>
    <xf numFmtId="0" fontId="26" fillId="0" borderId="0" xfId="0" applyFont="1" applyBorder="1" applyAlignment="1" applyProtection="1">
      <alignment horizontal="center" vertical="top" wrapText="1"/>
    </xf>
    <xf numFmtId="0" fontId="26" fillId="0" borderId="2" xfId="0" applyFont="1" applyBorder="1" applyAlignment="1" applyProtection="1">
      <alignment horizontal="center" vertical="top" wrapText="1"/>
    </xf>
    <xf numFmtId="0" fontId="26" fillId="3" borderId="52" xfId="0" applyFont="1" applyFill="1" applyBorder="1" applyAlignment="1" applyProtection="1">
      <alignment vertical="center" shrinkToFit="1"/>
    </xf>
    <xf numFmtId="0" fontId="79" fillId="0" borderId="82" xfId="0" applyFont="1" applyBorder="1" applyAlignment="1" applyProtection="1">
      <alignment horizontal="left" vertical="center"/>
    </xf>
    <xf numFmtId="0" fontId="26" fillId="0" borderId="82" xfId="0" applyFont="1" applyBorder="1" applyAlignment="1" applyProtection="1">
      <alignment horizontal="left" vertical="center"/>
    </xf>
    <xf numFmtId="0" fontId="26" fillId="3" borderId="27" xfId="0" applyFont="1" applyFill="1" applyBorder="1" applyAlignment="1" applyProtection="1">
      <alignment horizontal="left" vertical="center"/>
    </xf>
    <xf numFmtId="0" fontId="79" fillId="3" borderId="2" xfId="0" applyFont="1" applyFill="1" applyBorder="1" applyAlignment="1" applyProtection="1">
      <alignment horizontal="left" vertical="center"/>
    </xf>
    <xf numFmtId="0" fontId="26" fillId="0" borderId="29" xfId="0" applyFont="1" applyBorder="1" applyAlignment="1" applyProtection="1">
      <alignment horizontal="left" vertical="center"/>
    </xf>
    <xf numFmtId="0" fontId="79" fillId="0" borderId="71" xfId="0" applyFont="1" applyFill="1" applyBorder="1" applyAlignment="1" applyProtection="1">
      <alignment horizontal="left" vertical="center" wrapText="1"/>
      <protection locked="0"/>
    </xf>
    <xf numFmtId="0" fontId="79" fillId="0" borderId="72" xfId="0" applyFont="1" applyBorder="1" applyAlignment="1" applyProtection="1">
      <alignment horizontal="left" vertical="center" wrapText="1"/>
      <protection locked="0"/>
    </xf>
    <xf numFmtId="0" fontId="79" fillId="0" borderId="72" xfId="0" applyFont="1" applyBorder="1" applyAlignment="1" applyProtection="1">
      <alignment horizontal="left" vertical="center"/>
      <protection locked="0"/>
    </xf>
    <xf numFmtId="0" fontId="79" fillId="0" borderId="26" xfId="0" applyFont="1" applyBorder="1" applyAlignment="1" applyProtection="1">
      <alignment horizontal="left" vertical="center"/>
      <protection locked="0"/>
    </xf>
    <xf numFmtId="49" fontId="79" fillId="0" borderId="59" xfId="0" applyNumberFormat="1" applyFont="1" applyFill="1" applyBorder="1" applyAlignment="1" applyProtection="1">
      <alignment horizontal="left" vertical="center"/>
      <protection locked="0"/>
    </xf>
    <xf numFmtId="49" fontId="79" fillId="0" borderId="59" xfId="0" applyNumberFormat="1" applyFont="1" applyBorder="1" applyAlignment="1" applyProtection="1">
      <alignment horizontal="left" vertical="center"/>
      <protection locked="0"/>
    </xf>
    <xf numFmtId="49" fontId="79" fillId="0" borderId="51" xfId="0" applyNumberFormat="1" applyFont="1" applyFill="1" applyBorder="1" applyAlignment="1" applyProtection="1">
      <alignment horizontal="left" vertical="center" wrapText="1"/>
      <protection locked="0"/>
    </xf>
    <xf numFmtId="0" fontId="79" fillId="0" borderId="53" xfId="0" applyFont="1" applyFill="1" applyBorder="1" applyAlignment="1" applyProtection="1">
      <alignment horizontal="left" vertical="center" wrapText="1"/>
      <protection locked="0"/>
    </xf>
    <xf numFmtId="49" fontId="148" fillId="0" borderId="8" xfId="0" applyNumberFormat="1" applyFont="1" applyFill="1" applyBorder="1" applyAlignment="1" applyProtection="1">
      <alignment horizontal="center" vertical="center"/>
      <protection locked="0"/>
    </xf>
    <xf numFmtId="0" fontId="79" fillId="30" borderId="27" xfId="0" applyFont="1" applyFill="1" applyBorder="1" applyAlignment="1" applyProtection="1">
      <alignment horizontal="left" vertical="center"/>
      <protection locked="0"/>
    </xf>
    <xf numFmtId="0" fontId="79" fillId="3" borderId="1" xfId="0" applyFont="1" applyFill="1" applyBorder="1" applyAlignment="1" applyProtection="1">
      <alignment vertical="center"/>
    </xf>
    <xf numFmtId="0" fontId="79" fillId="3" borderId="0" xfId="0" applyFont="1" applyFill="1" applyBorder="1" applyAlignment="1" applyProtection="1">
      <alignment vertical="center"/>
    </xf>
    <xf numFmtId="0" fontId="79" fillId="3" borderId="2" xfId="0" applyFont="1" applyFill="1" applyBorder="1" applyAlignment="1" applyProtection="1">
      <alignment vertical="center"/>
    </xf>
    <xf numFmtId="0" fontId="26" fillId="0" borderId="29" xfId="0" applyFont="1" applyFill="1" applyBorder="1" applyAlignment="1" applyProtection="1">
      <alignment vertical="center"/>
      <protection locked="0"/>
    </xf>
    <xf numFmtId="0" fontId="79" fillId="3" borderId="7" xfId="0" applyFont="1" applyFill="1" applyBorder="1" applyAlignment="1" applyProtection="1">
      <alignment horizontal="center" vertical="center" wrapText="1"/>
    </xf>
    <xf numFmtId="0" fontId="79" fillId="0" borderId="51" xfId="0" applyFont="1" applyFill="1" applyBorder="1" applyAlignment="1" applyProtection="1">
      <alignment horizontal="left" vertical="center"/>
      <protection locked="0"/>
    </xf>
    <xf numFmtId="0" fontId="79" fillId="0" borderId="51" xfId="0" applyFont="1" applyFill="1" applyBorder="1" applyAlignment="1" applyProtection="1">
      <alignment horizontal="center" vertical="center" wrapText="1"/>
      <protection locked="0"/>
    </xf>
    <xf numFmtId="0" fontId="79" fillId="30" borderId="8" xfId="0" applyFont="1" applyFill="1" applyBorder="1" applyAlignment="1" applyProtection="1">
      <alignment horizontal="left" vertical="center"/>
      <protection locked="0"/>
    </xf>
    <xf numFmtId="0" fontId="79" fillId="0" borderId="8" xfId="0" applyFont="1" applyFill="1" applyBorder="1" applyAlignment="1" applyProtection="1">
      <alignment horizontal="left" vertical="center" wrapText="1"/>
      <protection locked="0"/>
    </xf>
    <xf numFmtId="0" fontId="26" fillId="3" borderId="29" xfId="0" applyFont="1" applyFill="1" applyBorder="1" applyAlignment="1" applyProtection="1">
      <alignment horizontal="center" vertical="center"/>
    </xf>
    <xf numFmtId="0" fontId="158" fillId="3" borderId="16" xfId="0" applyFont="1" applyFill="1" applyBorder="1" applyAlignment="1" applyProtection="1">
      <alignment horizontal="center" shrinkToFit="1"/>
    </xf>
    <xf numFmtId="0" fontId="26" fillId="0" borderId="52" xfId="0" applyFont="1" applyBorder="1" applyAlignment="1" applyProtection="1">
      <alignment horizontal="left" vertical="center"/>
    </xf>
    <xf numFmtId="0" fontId="79" fillId="0" borderId="8" xfId="0" applyFont="1" applyBorder="1" applyAlignment="1" applyProtection="1">
      <alignment horizontal="center" vertical="center"/>
      <protection locked="0"/>
    </xf>
    <xf numFmtId="0" fontId="79" fillId="0" borderId="29" xfId="0" applyFont="1" applyFill="1" applyBorder="1" applyAlignment="1" applyProtection="1">
      <alignment horizontal="center" vertical="center"/>
      <protection locked="0"/>
    </xf>
    <xf numFmtId="0" fontId="26" fillId="0" borderId="29" xfId="0" applyFont="1" applyBorder="1" applyAlignment="1" applyProtection="1">
      <alignment horizontal="center" vertical="center"/>
      <protection locked="0"/>
    </xf>
    <xf numFmtId="0" fontId="79" fillId="0" borderId="107" xfId="0" applyFont="1" applyBorder="1" applyAlignment="1" applyProtection="1">
      <alignment horizontal="center" vertical="center" wrapText="1"/>
      <protection locked="0"/>
    </xf>
    <xf numFmtId="0" fontId="79" fillId="0" borderId="136" xfId="0" applyFont="1" applyFill="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26" fillId="0" borderId="59" xfId="0" applyFont="1" applyBorder="1" applyAlignment="1" applyProtection="1">
      <alignment horizontal="center" vertical="center" wrapText="1"/>
      <protection locked="0"/>
    </xf>
    <xf numFmtId="0" fontId="26" fillId="0" borderId="133"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79" fillId="3" borderId="1" xfId="0" applyFont="1" applyFill="1" applyBorder="1" applyAlignment="1" applyProtection="1">
      <alignment horizontal="center" vertical="center"/>
    </xf>
    <xf numFmtId="0" fontId="79" fillId="3" borderId="2" xfId="0" applyFont="1" applyFill="1" applyBorder="1" applyAlignment="1" applyProtection="1">
      <alignment horizontal="center" vertical="center"/>
    </xf>
    <xf numFmtId="0" fontId="145" fillId="3" borderId="37" xfId="0" applyFont="1" applyFill="1" applyBorder="1" applyAlignment="1" applyProtection="1">
      <alignment horizontal="left" shrinkToFit="1"/>
    </xf>
    <xf numFmtId="0" fontId="145" fillId="3" borderId="38" xfId="0" applyFont="1" applyFill="1" applyBorder="1" applyAlignment="1" applyProtection="1">
      <alignment horizontal="left" shrinkToFit="1"/>
    </xf>
    <xf numFmtId="0" fontId="146" fillId="0" borderId="38" xfId="0" applyFont="1" applyBorder="1" applyAlignment="1" applyProtection="1">
      <alignment horizontal="left" shrinkToFit="1"/>
    </xf>
    <xf numFmtId="0" fontId="78" fillId="3" borderId="16" xfId="0" applyFont="1" applyFill="1" applyBorder="1" applyAlignment="1" applyProtection="1">
      <alignment horizontal="left" vertical="center"/>
    </xf>
    <xf numFmtId="0" fontId="26" fillId="0" borderId="16" xfId="0" applyFont="1" applyBorder="1" applyAlignment="1" applyProtection="1">
      <alignment horizontal="left" vertical="center"/>
    </xf>
    <xf numFmtId="0" fontId="26" fillId="0" borderId="0" xfId="0" applyFont="1" applyBorder="1" applyAlignment="1" applyProtection="1">
      <alignment horizontal="left" vertical="center" wrapText="1"/>
    </xf>
    <xf numFmtId="0" fontId="26" fillId="0" borderId="8" xfId="0" quotePrefix="1" applyFont="1" applyBorder="1" applyAlignment="1" applyProtection="1">
      <alignment horizontal="center" vertical="center"/>
      <protection locked="0"/>
    </xf>
    <xf numFmtId="0" fontId="26" fillId="0" borderId="127" xfId="0" quotePrefix="1" applyFont="1" applyBorder="1" applyAlignment="1" applyProtection="1">
      <alignment horizontal="center" vertical="center"/>
      <protection locked="0"/>
    </xf>
    <xf numFmtId="0" fontId="26" fillId="0" borderId="158" xfId="0" applyFont="1" applyBorder="1" applyAlignment="1" applyProtection="1">
      <alignment horizontal="left" vertical="center" wrapText="1"/>
    </xf>
    <xf numFmtId="0" fontId="26" fillId="0" borderId="159" xfId="0" applyFont="1" applyBorder="1" applyAlignment="1" applyProtection="1">
      <alignment horizontal="left" vertical="center" wrapText="1"/>
    </xf>
    <xf numFmtId="0" fontId="26" fillId="0" borderId="160" xfId="0" applyFont="1" applyBorder="1" applyAlignment="1" applyProtection="1">
      <alignment horizontal="left" vertical="center" wrapText="1"/>
    </xf>
    <xf numFmtId="0" fontId="26" fillId="0" borderId="1" xfId="0" quotePrefix="1" applyFont="1" applyFill="1" applyBorder="1" applyAlignment="1" applyProtection="1">
      <alignment horizontal="center" vertical="center"/>
    </xf>
    <xf numFmtId="0" fontId="26" fillId="0" borderId="82" xfId="0" applyFont="1" applyFill="1" applyBorder="1" applyAlignment="1" applyProtection="1">
      <alignment horizontal="left" vertical="top" wrapText="1"/>
    </xf>
    <xf numFmtId="0" fontId="26" fillId="0" borderId="52" xfId="0" applyFont="1" applyFill="1" applyBorder="1" applyAlignment="1" applyProtection="1">
      <alignment horizontal="center" vertical="center" wrapText="1"/>
      <protection locked="0"/>
    </xf>
    <xf numFmtId="0" fontId="26" fillId="0" borderId="137" xfId="0" applyFont="1" applyFill="1" applyBorder="1" applyAlignment="1" applyProtection="1">
      <alignment horizontal="center" vertical="center" wrapText="1"/>
      <protection locked="0"/>
    </xf>
    <xf numFmtId="0" fontId="79" fillId="3" borderId="1" xfId="0" applyFont="1" applyFill="1" applyBorder="1" applyAlignment="1" applyProtection="1">
      <alignment horizontal="center" vertical="center" wrapText="1"/>
    </xf>
    <xf numFmtId="0" fontId="79" fillId="3" borderId="2" xfId="0" applyFont="1" applyFill="1" applyBorder="1" applyAlignment="1" applyProtection="1">
      <alignment horizontal="center" vertical="center" wrapText="1"/>
    </xf>
    <xf numFmtId="49" fontId="26" fillId="30" borderId="8" xfId="0" quotePrefix="1" applyNumberFormat="1" applyFont="1" applyFill="1" applyBorder="1" applyAlignment="1" applyProtection="1">
      <alignment horizontal="center" vertical="center" wrapText="1"/>
    </xf>
    <xf numFmtId="0" fontId="26" fillId="0" borderId="170" xfId="0" applyFont="1" applyFill="1" applyBorder="1" applyAlignment="1" applyProtection="1">
      <alignment horizontal="left" vertical="center"/>
      <protection locked="0"/>
    </xf>
    <xf numFmtId="0" fontId="26" fillId="0" borderId="170" xfId="0" applyFont="1" applyBorder="1" applyAlignment="1" applyProtection="1">
      <alignment horizontal="left" vertical="center"/>
      <protection locked="0"/>
    </xf>
    <xf numFmtId="0" fontId="26" fillId="0" borderId="8" xfId="0" applyFont="1" applyBorder="1" applyAlignment="1" applyProtection="1">
      <alignment horizontal="left" vertical="top" wrapText="1"/>
    </xf>
    <xf numFmtId="0" fontId="26" fillId="0" borderId="2" xfId="0" applyFont="1" applyBorder="1" applyAlignment="1" applyProtection="1">
      <alignment horizontal="left" vertical="top" wrapText="1"/>
    </xf>
    <xf numFmtId="0" fontId="26" fillId="0" borderId="1" xfId="0" applyFont="1" applyBorder="1" applyAlignment="1" applyProtection="1">
      <alignment horizontal="left" vertical="top" wrapText="1"/>
    </xf>
    <xf numFmtId="0" fontId="26" fillId="0" borderId="29" xfId="0" quotePrefix="1" applyFont="1" applyBorder="1" applyAlignment="1" applyProtection="1">
      <alignment horizontal="center" vertical="center"/>
      <protection locked="0"/>
    </xf>
    <xf numFmtId="0" fontId="26" fillId="0" borderId="204" xfId="0" quotePrefix="1" applyFont="1" applyBorder="1" applyAlignment="1" applyProtection="1">
      <alignment horizontal="center" vertical="center"/>
      <protection locked="0"/>
    </xf>
    <xf numFmtId="0" fontId="26" fillId="0" borderId="167" xfId="0" applyFont="1" applyBorder="1" applyAlignment="1" applyProtection="1">
      <alignment horizontal="left" vertical="center" wrapText="1"/>
    </xf>
    <xf numFmtId="0" fontId="26" fillId="0" borderId="168" xfId="0" applyFont="1" applyBorder="1" applyAlignment="1" applyProtection="1">
      <alignment horizontal="left" vertical="center" wrapText="1"/>
    </xf>
    <xf numFmtId="0" fontId="26" fillId="0" borderId="169" xfId="0" applyFont="1" applyBorder="1" applyAlignment="1" applyProtection="1">
      <alignment horizontal="left" vertical="center" wrapText="1"/>
    </xf>
    <xf numFmtId="0" fontId="26" fillId="0" borderId="131" xfId="0" applyFont="1" applyBorder="1" applyAlignment="1" applyProtection="1">
      <alignment horizontal="center" vertical="center"/>
      <protection locked="0"/>
    </xf>
    <xf numFmtId="0" fontId="26" fillId="0" borderId="122" xfId="0" applyFont="1" applyBorder="1" applyAlignment="1" applyProtection="1">
      <alignment horizontal="center" vertical="center" wrapText="1"/>
      <protection locked="0"/>
    </xf>
    <xf numFmtId="0" fontId="26" fillId="0" borderId="122" xfId="0" applyFont="1" applyBorder="1" applyAlignment="1" applyProtection="1">
      <alignment horizontal="center" vertical="center"/>
      <protection locked="0"/>
    </xf>
    <xf numFmtId="0" fontId="26" fillId="3" borderId="138" xfId="0" applyFont="1" applyFill="1" applyBorder="1" applyAlignment="1" applyProtection="1">
      <alignment vertical="center" wrapText="1"/>
    </xf>
    <xf numFmtId="0" fontId="26" fillId="3" borderId="22" xfId="0" applyFont="1" applyFill="1" applyBorder="1" applyAlignment="1" applyProtection="1">
      <alignment vertical="center" wrapText="1"/>
    </xf>
    <xf numFmtId="0" fontId="26" fillId="0" borderId="2" xfId="0" applyFont="1" applyBorder="1" applyAlignment="1" applyProtection="1">
      <alignment horizontal="left" vertical="center"/>
      <protection locked="0"/>
    </xf>
    <xf numFmtId="0" fontId="26" fillId="0" borderId="173" xfId="0" applyFont="1" applyBorder="1" applyAlignment="1" applyProtection="1">
      <alignment horizontal="left" vertical="center"/>
      <protection locked="0"/>
    </xf>
    <xf numFmtId="0" fontId="26" fillId="0" borderId="135" xfId="0" applyFont="1" applyFill="1" applyBorder="1" applyAlignment="1" applyProtection="1">
      <alignment horizontal="left" vertical="center"/>
      <protection locked="0"/>
    </xf>
    <xf numFmtId="0" fontId="26" fillId="0" borderId="8" xfId="0" applyFont="1" applyFill="1" applyBorder="1" applyAlignment="1" applyProtection="1">
      <alignment horizontal="left" vertical="center"/>
      <protection locked="0"/>
    </xf>
    <xf numFmtId="0" fontId="26" fillId="0" borderId="127" xfId="0" applyFont="1" applyFill="1" applyBorder="1" applyAlignment="1" applyProtection="1">
      <alignment horizontal="left" vertical="center"/>
      <protection locked="0"/>
    </xf>
    <xf numFmtId="0" fontId="26" fillId="0" borderId="27" xfId="0" applyFont="1" applyBorder="1" applyAlignment="1" applyProtection="1">
      <alignment horizontal="left" vertical="top" wrapText="1"/>
    </xf>
    <xf numFmtId="0" fontId="26" fillId="0" borderId="158" xfId="0" quotePrefix="1" applyFont="1" applyBorder="1" applyAlignment="1" applyProtection="1">
      <alignment horizontal="center" vertical="center"/>
      <protection locked="0"/>
    </xf>
    <xf numFmtId="0" fontId="26" fillId="0" borderId="159" xfId="0" quotePrefix="1" applyFont="1" applyBorder="1" applyAlignment="1" applyProtection="1">
      <alignment horizontal="center" vertical="center"/>
      <protection locked="0"/>
    </xf>
    <xf numFmtId="0" fontId="26" fillId="0" borderId="160" xfId="0" quotePrefix="1" applyFont="1" applyBorder="1" applyAlignment="1" applyProtection="1">
      <alignment horizontal="center" vertical="center"/>
      <protection locked="0"/>
    </xf>
    <xf numFmtId="0" fontId="26" fillId="0" borderId="1" xfId="0" applyFont="1" applyBorder="1" applyAlignment="1" applyProtection="1">
      <alignment horizontal="left" vertical="center"/>
      <protection locked="0"/>
    </xf>
    <xf numFmtId="0" fontId="26" fillId="0" borderId="172" xfId="0" applyFont="1" applyBorder="1" applyAlignment="1" applyProtection="1">
      <alignment horizontal="left" vertical="center"/>
      <protection locked="0"/>
    </xf>
    <xf numFmtId="0" fontId="26" fillId="0" borderId="53" xfId="0" applyFont="1" applyBorder="1" applyAlignment="1" applyProtection="1">
      <alignment horizontal="left" vertical="top" wrapText="1"/>
    </xf>
    <xf numFmtId="0" fontId="164" fillId="3" borderId="2" xfId="0" quotePrefix="1" applyFont="1" applyFill="1" applyBorder="1" applyAlignment="1" applyProtection="1">
      <alignment horizontal="left"/>
    </xf>
    <xf numFmtId="0" fontId="164" fillId="3" borderId="61" xfId="0" quotePrefix="1" applyFont="1" applyFill="1" applyBorder="1" applyAlignment="1" applyProtection="1">
      <alignment horizontal="left"/>
    </xf>
    <xf numFmtId="0" fontId="26" fillId="0" borderId="1" xfId="0" applyFont="1" applyFill="1" applyBorder="1" applyAlignment="1" applyProtection="1">
      <alignment vertical="top" wrapText="1"/>
    </xf>
    <xf numFmtId="0" fontId="26" fillId="0" borderId="0" xfId="0" applyFont="1" applyFill="1" applyBorder="1" applyAlignment="1" applyProtection="1">
      <alignment vertical="top" wrapText="1"/>
    </xf>
    <xf numFmtId="0" fontId="26" fillId="0" borderId="2" xfId="0" applyFont="1" applyFill="1" applyBorder="1" applyAlignment="1" applyProtection="1">
      <alignment vertical="top" wrapText="1"/>
    </xf>
    <xf numFmtId="0" fontId="26" fillId="0" borderId="1" xfId="0" applyFont="1" applyFill="1" applyBorder="1" applyAlignment="1" applyProtection="1">
      <alignment horizontal="left" vertical="top" textRotation="255"/>
    </xf>
    <xf numFmtId="0" fontId="26" fillId="0" borderId="0" xfId="0" applyFont="1" applyFill="1" applyBorder="1" applyAlignment="1" applyProtection="1">
      <alignment horizontal="left" vertical="top" textRotation="255"/>
    </xf>
    <xf numFmtId="0" fontId="26" fillId="0" borderId="2" xfId="0" applyFont="1" applyFill="1" applyBorder="1" applyAlignment="1" applyProtection="1">
      <alignment horizontal="left" vertical="top" textRotation="255"/>
    </xf>
    <xf numFmtId="0" fontId="26" fillId="0" borderId="8" xfId="0" applyFont="1" applyBorder="1" applyAlignment="1" applyProtection="1">
      <alignment horizontal="center" vertical="center"/>
      <protection locked="0"/>
    </xf>
    <xf numFmtId="0" fontId="82" fillId="3" borderId="139" xfId="0" applyFont="1" applyFill="1" applyBorder="1" applyAlignment="1" applyProtection="1">
      <alignment vertical="center"/>
    </xf>
    <xf numFmtId="0" fontId="82" fillId="3" borderId="2" xfId="0" applyFont="1" applyFill="1" applyBorder="1" applyAlignment="1" applyProtection="1">
      <alignment vertical="center"/>
    </xf>
    <xf numFmtId="0" fontId="82" fillId="3" borderId="61" xfId="0" applyFont="1" applyFill="1" applyBorder="1" applyAlignment="1" applyProtection="1">
      <alignment vertical="center"/>
    </xf>
    <xf numFmtId="0" fontId="26" fillId="3" borderId="149" xfId="0" applyFont="1" applyFill="1" applyBorder="1" applyAlignment="1" applyProtection="1">
      <alignment vertical="center" wrapText="1"/>
    </xf>
    <xf numFmtId="0" fontId="26" fillId="3" borderId="1" xfId="0" applyFont="1" applyFill="1" applyBorder="1" applyAlignment="1" applyProtection="1">
      <alignment vertical="center" wrapText="1"/>
    </xf>
    <xf numFmtId="0" fontId="26" fillId="3" borderId="40" xfId="0" applyFont="1" applyFill="1" applyBorder="1" applyAlignment="1" applyProtection="1">
      <alignment vertical="center" wrapText="1"/>
    </xf>
    <xf numFmtId="0" fontId="26" fillId="3" borderId="150" xfId="0" applyFont="1" applyFill="1" applyBorder="1" applyAlignment="1" applyProtection="1">
      <alignment vertical="center" wrapText="1"/>
    </xf>
    <xf numFmtId="0" fontId="26" fillId="3" borderId="52" xfId="0" applyFont="1" applyFill="1" applyBorder="1" applyAlignment="1" applyProtection="1">
      <alignment vertical="center" wrapText="1"/>
    </xf>
    <xf numFmtId="0" fontId="26" fillId="3" borderId="63" xfId="0" applyFont="1" applyFill="1" applyBorder="1" applyAlignment="1" applyProtection="1">
      <alignment vertical="center" wrapText="1"/>
    </xf>
    <xf numFmtId="0" fontId="78" fillId="3" borderId="138" xfId="0" applyFont="1" applyFill="1" applyBorder="1" applyAlignment="1" applyProtection="1">
      <alignment vertical="center" wrapText="1"/>
    </xf>
    <xf numFmtId="0" fontId="78" fillId="3" borderId="0" xfId="0" applyFont="1" applyFill="1" applyBorder="1" applyAlignment="1" applyProtection="1">
      <alignment vertical="center"/>
    </xf>
    <xf numFmtId="0" fontId="78" fillId="3" borderId="22" xfId="0" applyFont="1" applyFill="1" applyBorder="1" applyAlignment="1" applyProtection="1">
      <alignment vertical="center"/>
    </xf>
    <xf numFmtId="0" fontId="78" fillId="3" borderId="0" xfId="0" applyFont="1" applyFill="1" applyBorder="1" applyAlignment="1" applyProtection="1">
      <alignment vertical="center" wrapText="1"/>
    </xf>
    <xf numFmtId="0" fontId="78" fillId="3" borderId="22" xfId="0" applyFont="1" applyFill="1" applyBorder="1" applyAlignment="1" applyProtection="1">
      <alignment vertical="center" wrapText="1"/>
    </xf>
    <xf numFmtId="0" fontId="26" fillId="3" borderId="139" xfId="0" applyFont="1" applyFill="1" applyBorder="1" applyAlignment="1" applyProtection="1">
      <alignment vertical="center" wrapText="1"/>
    </xf>
    <xf numFmtId="0" fontId="26" fillId="3" borderId="2" xfId="0" applyFont="1" applyFill="1" applyBorder="1" applyAlignment="1" applyProtection="1">
      <alignment vertical="center" wrapText="1"/>
    </xf>
    <xf numFmtId="0" fontId="26" fillId="3" borderId="61" xfId="0" applyFont="1" applyFill="1" applyBorder="1" applyAlignment="1" applyProtection="1">
      <alignment vertical="center" wrapText="1"/>
    </xf>
    <xf numFmtId="0" fontId="82" fillId="3" borderId="149" xfId="0" applyFont="1" applyFill="1" applyBorder="1" applyAlignment="1" applyProtection="1">
      <alignment vertical="center" wrapText="1"/>
    </xf>
    <xf numFmtId="0" fontId="82" fillId="3" borderId="1" xfId="0" applyFont="1" applyFill="1" applyBorder="1" applyAlignment="1" applyProtection="1">
      <alignment vertical="center" wrapText="1"/>
    </xf>
    <xf numFmtId="0" fontId="82" fillId="3" borderId="40" xfId="0" applyFont="1" applyFill="1" applyBorder="1" applyAlignment="1" applyProtection="1">
      <alignment vertical="center" wrapText="1"/>
    </xf>
    <xf numFmtId="0" fontId="82" fillId="3" borderId="139" xfId="0" applyFont="1" applyFill="1" applyBorder="1" applyAlignment="1" applyProtection="1">
      <alignment vertical="center" wrapText="1"/>
    </xf>
    <xf numFmtId="0" fontId="82" fillId="3" borderId="2" xfId="0" applyFont="1" applyFill="1" applyBorder="1" applyAlignment="1" applyProtection="1">
      <alignment vertical="center" wrapText="1"/>
    </xf>
    <xf numFmtId="0" fontId="82" fillId="3" borderId="61" xfId="0" applyFont="1" applyFill="1" applyBorder="1" applyAlignment="1" applyProtection="1">
      <alignment vertical="center" wrapText="1"/>
    </xf>
    <xf numFmtId="0" fontId="83" fillId="3" borderId="150" xfId="0" applyFont="1" applyFill="1" applyBorder="1" applyAlignment="1" applyProtection="1">
      <alignment horizontal="center" vertical="center" shrinkToFit="1"/>
    </xf>
    <xf numFmtId="0" fontId="83" fillId="3" borderId="52" xfId="0" applyFont="1" applyFill="1" applyBorder="1" applyAlignment="1" applyProtection="1">
      <alignment horizontal="center" vertical="center" shrinkToFit="1"/>
    </xf>
    <xf numFmtId="0" fontId="83" fillId="3" borderId="63" xfId="0" applyFont="1" applyFill="1" applyBorder="1" applyAlignment="1" applyProtection="1">
      <alignment horizontal="center" vertical="center" shrinkToFit="1"/>
    </xf>
    <xf numFmtId="0" fontId="82" fillId="3" borderId="128" xfId="0" applyFont="1" applyFill="1" applyBorder="1" applyAlignment="1" applyProtection="1">
      <alignment vertical="center" wrapText="1" shrinkToFit="1"/>
    </xf>
    <xf numFmtId="0" fontId="82" fillId="3" borderId="53" xfId="0" applyFont="1" applyFill="1" applyBorder="1" applyAlignment="1" applyProtection="1">
      <alignment vertical="center" wrapText="1" shrinkToFit="1"/>
    </xf>
    <xf numFmtId="0" fontId="82" fillId="3" borderId="65" xfId="0" applyFont="1" applyFill="1" applyBorder="1" applyAlignment="1" applyProtection="1">
      <alignment vertical="center" wrapText="1" shrinkToFit="1"/>
    </xf>
    <xf numFmtId="0" fontId="26" fillId="3" borderId="130" xfId="0" applyFont="1" applyFill="1" applyBorder="1" applyAlignment="1" applyProtection="1">
      <alignment vertical="center"/>
    </xf>
    <xf numFmtId="0" fontId="26" fillId="3" borderId="51" xfId="0" applyFont="1" applyFill="1" applyBorder="1" applyAlignment="1" applyProtection="1">
      <alignment vertical="center"/>
    </xf>
    <xf numFmtId="0" fontId="26" fillId="3" borderId="64" xfId="0" applyFont="1" applyFill="1" applyBorder="1" applyAlignment="1" applyProtection="1">
      <alignment vertical="center"/>
    </xf>
    <xf numFmtId="0" fontId="82" fillId="3" borderId="149" xfId="0" applyFont="1" applyFill="1" applyBorder="1" applyAlignment="1" applyProtection="1">
      <alignment vertical="center"/>
    </xf>
    <xf numFmtId="0" fontId="82" fillId="3" borderId="1" xfId="0" applyFont="1" applyFill="1" applyBorder="1" applyAlignment="1" applyProtection="1">
      <alignment vertical="center"/>
    </xf>
    <xf numFmtId="0" fontId="82" fillId="3" borderId="40" xfId="0" applyFont="1" applyFill="1" applyBorder="1" applyAlignment="1" applyProtection="1">
      <alignment vertical="center"/>
    </xf>
    <xf numFmtId="0" fontId="82" fillId="3" borderId="135" xfId="0" applyFont="1" applyFill="1" applyBorder="1" applyAlignment="1" applyProtection="1">
      <alignment vertical="center"/>
    </xf>
    <xf numFmtId="0" fontId="82" fillId="3" borderId="8" xfId="0" applyFont="1" applyFill="1" applyBorder="1" applyAlignment="1" applyProtection="1">
      <alignment vertical="center"/>
    </xf>
    <xf numFmtId="0" fontId="82" fillId="3" borderId="36" xfId="0" applyFont="1" applyFill="1" applyBorder="1" applyAlignment="1" applyProtection="1">
      <alignment vertical="center"/>
    </xf>
    <xf numFmtId="0" fontId="26" fillId="3" borderId="145" xfId="0" applyFont="1" applyFill="1" applyBorder="1" applyAlignment="1" applyProtection="1">
      <alignment horizontal="center" vertical="center"/>
    </xf>
    <xf numFmtId="0" fontId="26" fillId="3" borderId="27" xfId="0" applyFont="1" applyFill="1" applyBorder="1" applyAlignment="1" applyProtection="1">
      <alignment horizontal="center" vertical="center"/>
    </xf>
    <xf numFmtId="0" fontId="26" fillId="3" borderId="62" xfId="0" applyFont="1" applyFill="1" applyBorder="1" applyAlignment="1" applyProtection="1">
      <alignment horizontal="center" vertical="center"/>
    </xf>
    <xf numFmtId="0" fontId="26" fillId="3" borderId="135" xfId="0" applyFont="1" applyFill="1" applyBorder="1" applyAlignment="1" applyProtection="1">
      <alignment horizontal="center" vertical="center"/>
    </xf>
    <xf numFmtId="0" fontId="26" fillId="3" borderId="36" xfId="0" applyFont="1" applyFill="1" applyBorder="1" applyAlignment="1" applyProtection="1">
      <alignment horizontal="center" vertical="center"/>
    </xf>
    <xf numFmtId="0" fontId="26" fillId="3" borderId="139" xfId="0" applyFont="1" applyFill="1" applyBorder="1" applyAlignment="1" applyProtection="1">
      <alignment horizontal="center" vertical="center"/>
    </xf>
    <xf numFmtId="0" fontId="26" fillId="3" borderId="2" xfId="0" applyFont="1" applyFill="1" applyBorder="1" applyAlignment="1" applyProtection="1">
      <alignment horizontal="center" vertical="center"/>
    </xf>
    <xf numFmtId="0" fontId="26" fillId="3" borderId="61" xfId="0" applyFont="1" applyFill="1" applyBorder="1" applyAlignment="1" applyProtection="1">
      <alignment horizontal="center" vertical="center"/>
    </xf>
    <xf numFmtId="0" fontId="26" fillId="0" borderId="125" xfId="0" applyFont="1" applyBorder="1" applyAlignment="1" applyProtection="1">
      <alignment horizontal="center" vertical="center"/>
    </xf>
    <xf numFmtId="0" fontId="0" fillId="0" borderId="51" xfId="0" applyFont="1" applyFill="1" applyBorder="1" applyAlignment="1" applyProtection="1">
      <alignment horizontal="left" vertical="top" wrapText="1"/>
    </xf>
    <xf numFmtId="181" fontId="26" fillId="0" borderId="111" xfId="0" applyNumberFormat="1" applyFont="1" applyBorder="1" applyAlignment="1" applyProtection="1">
      <alignment horizontal="center" vertical="center" wrapText="1"/>
    </xf>
    <xf numFmtId="49" fontId="79" fillId="0" borderId="59" xfId="0" applyNumberFormat="1" applyFont="1" applyBorder="1" applyAlignment="1" applyProtection="1">
      <alignment horizontal="center" vertical="center"/>
      <protection locked="0"/>
    </xf>
    <xf numFmtId="0" fontId="78" fillId="3" borderId="135" xfId="0" applyFont="1" applyFill="1" applyBorder="1" applyAlignment="1" applyProtection="1">
      <alignment horizontal="center" vertical="center"/>
    </xf>
    <xf numFmtId="0" fontId="78" fillId="3" borderId="8" xfId="0" applyFont="1" applyFill="1" applyBorder="1" applyAlignment="1" applyProtection="1">
      <alignment horizontal="center" vertical="center"/>
    </xf>
    <xf numFmtId="0" fontId="78" fillId="3" borderId="36" xfId="0" applyFont="1" applyFill="1" applyBorder="1" applyAlignment="1" applyProtection="1">
      <alignment horizontal="center" vertical="center"/>
    </xf>
    <xf numFmtId="0" fontId="0" fillId="0" borderId="7" xfId="0" applyFont="1" applyFill="1" applyBorder="1" applyAlignment="1" applyProtection="1">
      <alignment horizontal="left" vertical="center" wrapText="1"/>
    </xf>
    <xf numFmtId="0" fontId="0" fillId="0" borderId="8" xfId="0" applyBorder="1" applyAlignment="1" applyProtection="1">
      <alignment horizontal="left" vertical="center" wrapText="1"/>
    </xf>
    <xf numFmtId="0" fontId="0" fillId="0" borderId="9" xfId="0" applyBorder="1" applyAlignment="1" applyProtection="1">
      <alignment horizontal="left" vertical="center" wrapText="1"/>
    </xf>
    <xf numFmtId="181" fontId="205" fillId="22" borderId="194" xfId="1" applyNumberFormat="1" applyFont="1" applyFill="1" applyBorder="1" applyAlignment="1" applyProtection="1">
      <alignment vertical="center"/>
    </xf>
    <xf numFmtId="181" fontId="156" fillId="22" borderId="194" xfId="1" applyNumberFormat="1" applyFont="1" applyFill="1" applyBorder="1" applyAlignment="1" applyProtection="1">
      <alignment vertical="center"/>
    </xf>
    <xf numFmtId="181" fontId="156" fillId="22" borderId="195" xfId="1" applyNumberFormat="1" applyFont="1" applyFill="1" applyBorder="1" applyAlignment="1" applyProtection="1">
      <alignment vertical="center"/>
    </xf>
    <xf numFmtId="0" fontId="191" fillId="13" borderId="57" xfId="0" applyFont="1" applyFill="1" applyBorder="1" applyAlignment="1" applyProtection="1">
      <alignment horizontal="center" vertical="center" wrapText="1" shrinkToFit="1"/>
    </xf>
    <xf numFmtId="0" fontId="191" fillId="13" borderId="60" xfId="0" applyFont="1" applyFill="1" applyBorder="1" applyAlignment="1" applyProtection="1">
      <alignment horizontal="center" vertical="center" shrinkToFit="1"/>
    </xf>
    <xf numFmtId="0" fontId="31" fillId="5" borderId="57" xfId="0" applyFont="1" applyFill="1" applyBorder="1" applyAlignment="1" applyProtection="1">
      <alignment horizontal="center" vertical="center" wrapText="1" shrinkToFit="1"/>
    </xf>
    <xf numFmtId="0" fontId="0" fillId="0" borderId="60" xfId="0" applyBorder="1" applyAlignment="1" applyProtection="1">
      <alignment horizontal="center" vertical="center" shrinkToFit="1"/>
    </xf>
    <xf numFmtId="181" fontId="26" fillId="3" borderId="0" xfId="0" applyNumberFormat="1" applyFont="1" applyFill="1" applyBorder="1" applyAlignment="1" applyProtection="1">
      <alignment horizontal="left" vertical="top" wrapText="1"/>
    </xf>
    <xf numFmtId="181" fontId="26" fillId="3" borderId="22" xfId="0" applyNumberFormat="1" applyFont="1" applyFill="1" applyBorder="1" applyAlignment="1" applyProtection="1">
      <alignment horizontal="left" vertical="top" wrapText="1"/>
    </xf>
    <xf numFmtId="0" fontId="137" fillId="3" borderId="155" xfId="0" applyFont="1" applyFill="1" applyBorder="1" applyAlignment="1" applyProtection="1">
      <alignment horizontal="center" vertical="center" wrapText="1"/>
    </xf>
    <xf numFmtId="0" fontId="137" fillId="3" borderId="89" xfId="0" applyFont="1" applyFill="1" applyBorder="1" applyAlignment="1" applyProtection="1">
      <alignment horizontal="center" vertical="center" wrapText="1"/>
    </xf>
    <xf numFmtId="0" fontId="137" fillId="3" borderId="28" xfId="0" applyFont="1" applyFill="1" applyBorder="1" applyAlignment="1" applyProtection="1">
      <alignment horizontal="center" vertical="center" wrapText="1"/>
    </xf>
    <xf numFmtId="0" fontId="137" fillId="0" borderId="152" xfId="0" applyFont="1" applyBorder="1" applyAlignment="1" applyProtection="1">
      <alignment horizontal="center" vertical="center" wrapText="1" shrinkToFit="1"/>
    </xf>
    <xf numFmtId="0" fontId="137" fillId="0" borderId="97" xfId="0" applyFont="1" applyBorder="1" applyAlignment="1" applyProtection="1">
      <alignment horizontal="center" vertical="center" wrapText="1" shrinkToFit="1"/>
    </xf>
    <xf numFmtId="0" fontId="137" fillId="0" borderId="98" xfId="0" applyFont="1" applyBorder="1" applyAlignment="1" applyProtection="1">
      <alignment horizontal="center" vertical="center" wrapText="1" shrinkToFit="1"/>
    </xf>
    <xf numFmtId="0" fontId="0" fillId="0" borderId="7" xfId="0" applyFont="1" applyBorder="1" applyAlignment="1" applyProtection="1">
      <alignment vertical="center"/>
    </xf>
    <xf numFmtId="0" fontId="0" fillId="0" borderId="8" xfId="0" applyBorder="1" applyAlignment="1" applyProtection="1">
      <alignment vertical="center"/>
    </xf>
    <xf numFmtId="0" fontId="0" fillId="0" borderId="9" xfId="0" applyBorder="1" applyAlignment="1" applyProtection="1">
      <alignment vertical="center"/>
    </xf>
    <xf numFmtId="0" fontId="79" fillId="0" borderId="106" xfId="0" applyFont="1" applyFill="1" applyBorder="1" applyAlignment="1" applyProtection="1">
      <alignment horizontal="center" vertical="center" wrapText="1"/>
      <protection locked="0"/>
    </xf>
    <xf numFmtId="0" fontId="26" fillId="0" borderId="106" xfId="0" applyFont="1" applyBorder="1" applyAlignment="1" applyProtection="1">
      <alignment horizontal="center" vertical="center" wrapText="1"/>
      <protection locked="0"/>
    </xf>
    <xf numFmtId="0" fontId="79" fillId="0" borderId="0" xfId="0" applyFont="1" applyBorder="1" applyAlignment="1" applyProtection="1">
      <alignment horizontal="left" vertical="center"/>
    </xf>
    <xf numFmtId="0" fontId="6" fillId="0" borderId="38" xfId="0" applyFont="1" applyBorder="1" applyAlignment="1" applyProtection="1">
      <alignment horizontal="center" vertical="center"/>
    </xf>
    <xf numFmtId="0" fontId="6" fillId="0" borderId="50" xfId="0" applyFont="1" applyBorder="1" applyAlignment="1" applyProtection="1">
      <alignment horizontal="center" vertical="center"/>
    </xf>
    <xf numFmtId="0" fontId="0" fillId="0" borderId="2" xfId="0" applyBorder="1" applyAlignment="1" applyProtection="1">
      <alignment horizontal="center" vertical="center"/>
    </xf>
    <xf numFmtId="0" fontId="0" fillId="0" borderId="61" xfId="0" applyBorder="1" applyAlignment="1" applyProtection="1">
      <alignment horizontal="center" vertical="center"/>
    </xf>
    <xf numFmtId="0" fontId="137" fillId="3" borderId="156" xfId="0" applyFont="1" applyFill="1" applyBorder="1" applyAlignment="1" applyProtection="1">
      <alignment horizontal="center" vertical="center" wrapText="1"/>
    </xf>
    <xf numFmtId="0" fontId="137" fillId="0" borderId="34" xfId="0" applyFont="1" applyBorder="1" applyAlignment="1" applyProtection="1">
      <alignment horizontal="center" vertical="center" wrapText="1" shrinkToFit="1"/>
    </xf>
    <xf numFmtId="0" fontId="137" fillId="0" borderId="35" xfId="0" applyFont="1" applyBorder="1" applyAlignment="1" applyProtection="1">
      <alignment horizontal="center" vertical="center" wrapText="1" shrinkToFit="1"/>
    </xf>
    <xf numFmtId="0" fontId="137" fillId="3" borderId="147" xfId="0" applyFont="1" applyFill="1" applyBorder="1" applyAlignment="1" applyProtection="1">
      <alignment horizontal="center" vertical="center"/>
    </xf>
    <xf numFmtId="0" fontId="137" fillId="3" borderId="2" xfId="0" applyFont="1" applyFill="1" applyBorder="1" applyAlignment="1" applyProtection="1">
      <alignment horizontal="center" vertical="center"/>
    </xf>
    <xf numFmtId="0" fontId="137" fillId="0" borderId="13" xfId="0" applyFont="1" applyBorder="1" applyAlignment="1" applyProtection="1">
      <alignment horizontal="center" vertical="center" wrapText="1" shrinkToFit="1"/>
    </xf>
    <xf numFmtId="0" fontId="137" fillId="0" borderId="4" xfId="0" applyFont="1" applyBorder="1" applyAlignment="1" applyProtection="1">
      <alignment horizontal="center" vertical="center" wrapText="1" shrinkToFit="1"/>
    </xf>
    <xf numFmtId="0" fontId="137" fillId="0" borderId="14" xfId="0" applyFont="1" applyBorder="1" applyAlignment="1" applyProtection="1">
      <alignment horizontal="center" vertical="center" wrapText="1" shrinkToFit="1"/>
    </xf>
    <xf numFmtId="0" fontId="79" fillId="0" borderId="0" xfId="0" applyFont="1" applyBorder="1" applyAlignment="1" applyProtection="1">
      <alignment horizontal="center" vertical="center"/>
    </xf>
    <xf numFmtId="0" fontId="26" fillId="0" borderId="128" xfId="0" applyFont="1" applyBorder="1" applyAlignment="1" applyProtection="1">
      <alignment horizontal="center" vertical="center" wrapText="1"/>
      <protection locked="0"/>
    </xf>
    <xf numFmtId="0" fontId="26" fillId="0" borderId="53" xfId="0" applyFont="1" applyBorder="1" applyAlignment="1" applyProtection="1">
      <alignment horizontal="center" vertical="center" wrapText="1"/>
      <protection locked="0"/>
    </xf>
    <xf numFmtId="0" fontId="26" fillId="0" borderId="129" xfId="0" applyFont="1" applyBorder="1" applyAlignment="1" applyProtection="1">
      <alignment horizontal="center" vertical="center" wrapText="1"/>
      <protection locked="0"/>
    </xf>
    <xf numFmtId="0" fontId="78" fillId="3" borderId="20" xfId="0" applyFont="1" applyFill="1" applyBorder="1" applyAlignment="1" applyProtection="1">
      <alignment vertical="center" shrinkToFit="1"/>
    </xf>
    <xf numFmtId="0" fontId="137" fillId="0" borderId="56" xfId="0" applyFont="1" applyBorder="1" applyAlignment="1" applyProtection="1">
      <alignment horizontal="center" vertical="center" wrapText="1" shrinkToFit="1"/>
    </xf>
    <xf numFmtId="0" fontId="137" fillId="0" borderId="81" xfId="0" applyFont="1" applyBorder="1" applyAlignment="1" applyProtection="1">
      <alignment horizontal="center" vertical="center" wrapText="1"/>
    </xf>
    <xf numFmtId="0" fontId="137" fillId="0" borderId="8" xfId="0" applyFont="1" applyBorder="1" applyAlignment="1" applyProtection="1">
      <alignment horizontal="center" vertical="center" wrapText="1"/>
    </xf>
    <xf numFmtId="0" fontId="137" fillId="0" borderId="36" xfId="0" applyFont="1" applyBorder="1" applyAlignment="1" applyProtection="1">
      <alignment horizontal="center" vertical="center" wrapText="1"/>
    </xf>
    <xf numFmtId="0" fontId="31" fillId="5" borderId="37" xfId="0" applyFont="1" applyFill="1" applyBorder="1" applyAlignment="1" applyProtection="1">
      <alignment horizontal="center" vertical="center" wrapText="1" shrinkToFit="1"/>
    </xf>
    <xf numFmtId="0" fontId="0" fillId="0" borderId="23" xfId="0" applyBorder="1" applyAlignment="1" applyProtection="1">
      <alignment vertical="center"/>
    </xf>
    <xf numFmtId="0" fontId="0" fillId="0" borderId="25" xfId="0" applyBorder="1" applyAlignment="1" applyProtection="1">
      <alignment vertical="center"/>
    </xf>
    <xf numFmtId="0" fontId="26" fillId="3" borderId="38" xfId="0" applyFont="1" applyFill="1" applyBorder="1" applyAlignment="1" applyProtection="1">
      <alignment vertical="center" wrapText="1"/>
    </xf>
    <xf numFmtId="0" fontId="77" fillId="3" borderId="20" xfId="1" applyFont="1" applyFill="1" applyBorder="1" applyAlignment="1" applyProtection="1">
      <alignment vertical="top"/>
    </xf>
    <xf numFmtId="0" fontId="122" fillId="3" borderId="20" xfId="0" applyFont="1" applyFill="1" applyBorder="1" applyAlignment="1" applyProtection="1">
      <alignment vertical="center" wrapText="1"/>
    </xf>
    <xf numFmtId="0" fontId="128" fillId="3" borderId="2" xfId="0" applyFont="1" applyFill="1" applyBorder="1" applyAlignment="1" applyProtection="1">
      <alignment wrapText="1"/>
    </xf>
    <xf numFmtId="0" fontId="128" fillId="3" borderId="2" xfId="0" applyFont="1" applyFill="1" applyBorder="1" applyAlignment="1" applyProtection="1"/>
    <xf numFmtId="0" fontId="82" fillId="3" borderId="2" xfId="0" applyFont="1" applyFill="1" applyBorder="1" applyAlignment="1" applyProtection="1">
      <alignment wrapText="1"/>
    </xf>
    <xf numFmtId="0" fontId="82" fillId="3" borderId="61" xfId="0" applyFont="1" applyFill="1" applyBorder="1" applyAlignment="1" applyProtection="1">
      <alignment wrapText="1"/>
    </xf>
    <xf numFmtId="0" fontId="79" fillId="0" borderId="29" xfId="0" applyFont="1" applyFill="1" applyBorder="1" applyAlignment="1" applyProtection="1">
      <alignment horizontal="left" vertical="center"/>
      <protection locked="0"/>
    </xf>
    <xf numFmtId="0" fontId="26" fillId="0" borderId="29" xfId="0" applyFont="1" applyBorder="1" applyAlignment="1" applyProtection="1">
      <alignment horizontal="left" vertical="center"/>
      <protection locked="0"/>
    </xf>
    <xf numFmtId="49" fontId="79" fillId="0" borderId="82" xfId="0" applyNumberFormat="1" applyFont="1" applyBorder="1" applyAlignment="1" applyProtection="1">
      <alignment horizontal="center" vertical="center"/>
      <protection locked="0"/>
    </xf>
    <xf numFmtId="49" fontId="26" fillId="0" borderId="82" xfId="0" applyNumberFormat="1" applyFont="1" applyBorder="1" applyAlignment="1" applyProtection="1">
      <alignment vertical="center"/>
      <protection locked="0"/>
    </xf>
    <xf numFmtId="0" fontId="164" fillId="3" borderId="2" xfId="0" applyFont="1" applyFill="1" applyBorder="1" applyAlignment="1" applyProtection="1">
      <alignment wrapText="1"/>
    </xf>
    <xf numFmtId="0" fontId="0" fillId="0" borderId="2" xfId="0" applyFont="1" applyFill="1" applyBorder="1" applyAlignment="1" applyProtection="1">
      <alignment horizontal="left" vertical="center"/>
    </xf>
    <xf numFmtId="0" fontId="79" fillId="0" borderId="1" xfId="0" applyFont="1" applyBorder="1" applyAlignment="1" applyProtection="1">
      <alignment horizontal="left" vertical="top" wrapText="1"/>
      <protection locked="0"/>
    </xf>
    <xf numFmtId="0" fontId="79" fillId="0" borderId="0" xfId="0" applyFont="1" applyBorder="1" applyAlignment="1" applyProtection="1">
      <alignment horizontal="left" vertical="top" wrapText="1"/>
      <protection locked="0"/>
    </xf>
    <xf numFmtId="0" fontId="79" fillId="0" borderId="2" xfId="0" applyFont="1" applyBorder="1" applyAlignment="1" applyProtection="1">
      <alignment horizontal="left" vertical="top" wrapText="1"/>
      <protection locked="0"/>
    </xf>
    <xf numFmtId="0" fontId="79" fillId="0" borderId="20" xfId="0" applyFont="1" applyBorder="1" applyAlignment="1" applyProtection="1">
      <alignment horizontal="left" vertical="top" wrapText="1"/>
      <protection locked="0"/>
    </xf>
    <xf numFmtId="0" fontId="150" fillId="3" borderId="20" xfId="0" applyFont="1" applyFill="1" applyBorder="1" applyAlignment="1" applyProtection="1">
      <alignment horizontal="left" vertical="center"/>
    </xf>
    <xf numFmtId="0" fontId="26" fillId="0" borderId="0" xfId="0" applyFont="1" applyAlignment="1" applyProtection="1">
      <alignment horizontal="left" vertical="center" wrapText="1"/>
    </xf>
    <xf numFmtId="0" fontId="77" fillId="3" borderId="135" xfId="1" applyFont="1" applyFill="1" applyBorder="1" applyAlignment="1" applyProtection="1">
      <alignment horizontal="center" vertical="center"/>
    </xf>
    <xf numFmtId="0" fontId="77" fillId="3" borderId="8" xfId="1" applyFont="1" applyFill="1" applyBorder="1" applyAlignment="1" applyProtection="1">
      <alignment horizontal="center" vertical="center"/>
    </xf>
    <xf numFmtId="0" fontId="77" fillId="3" borderId="36" xfId="1" applyFont="1" applyFill="1" applyBorder="1" applyAlignment="1" applyProtection="1">
      <alignment horizontal="center" vertical="center"/>
    </xf>
    <xf numFmtId="0" fontId="26" fillId="3" borderId="140" xfId="0" applyFont="1" applyFill="1" applyBorder="1" applyAlignment="1" applyProtection="1">
      <alignment horizontal="center" vertical="center"/>
    </xf>
    <xf numFmtId="0" fontId="79" fillId="0" borderId="1" xfId="0" applyFont="1" applyBorder="1" applyAlignment="1" applyProtection="1">
      <alignment horizontal="left" vertical="center"/>
    </xf>
    <xf numFmtId="0" fontId="79" fillId="0" borderId="2" xfId="0" applyFont="1" applyBorder="1" applyAlignment="1" applyProtection="1">
      <alignment horizontal="left" vertical="center"/>
    </xf>
    <xf numFmtId="0" fontId="79" fillId="3" borderId="20" xfId="0" applyFont="1" applyFill="1" applyBorder="1" applyAlignment="1" applyProtection="1">
      <alignment horizontal="left" vertical="center"/>
    </xf>
    <xf numFmtId="0" fontId="82" fillId="11" borderId="0" xfId="0" applyFont="1" applyFill="1" applyBorder="1" applyAlignment="1" applyProtection="1">
      <alignment vertical="center" wrapText="1"/>
    </xf>
    <xf numFmtId="0" fontId="78" fillId="11" borderId="1" xfId="0" applyFont="1" applyFill="1" applyBorder="1" applyAlignment="1" applyProtection="1">
      <alignment horizontal="left" vertical="center" shrinkToFit="1"/>
    </xf>
    <xf numFmtId="0" fontId="79" fillId="0" borderId="59" xfId="0" applyFont="1" applyBorder="1" applyAlignment="1" applyProtection="1">
      <alignment horizontal="center" vertical="center"/>
      <protection locked="0"/>
    </xf>
    <xf numFmtId="0" fontId="79" fillId="0" borderId="108" xfId="0" applyFont="1" applyFill="1" applyBorder="1" applyAlignment="1" applyProtection="1">
      <alignment horizontal="center" vertical="center" wrapText="1"/>
      <protection locked="0"/>
    </xf>
    <xf numFmtId="0" fontId="26" fillId="0" borderId="128" xfId="0" applyFont="1" applyBorder="1" applyAlignment="1" applyProtection="1">
      <alignment horizontal="center" vertical="center"/>
      <protection locked="0"/>
    </xf>
    <xf numFmtId="0" fontId="26" fillId="0" borderId="51" xfId="0" applyFont="1" applyFill="1" applyBorder="1" applyAlignment="1" applyProtection="1">
      <alignment horizontal="center" vertical="center" wrapText="1"/>
      <protection locked="0"/>
    </xf>
    <xf numFmtId="0" fontId="26" fillId="0" borderId="131" xfId="0" applyFont="1" applyFill="1" applyBorder="1" applyAlignment="1" applyProtection="1">
      <alignment horizontal="center" vertical="center" wrapText="1"/>
      <protection locked="0"/>
    </xf>
    <xf numFmtId="0" fontId="79" fillId="0" borderId="140" xfId="0" applyFont="1" applyFill="1" applyBorder="1" applyAlignment="1" applyProtection="1">
      <alignment horizontal="left" vertical="center"/>
      <protection locked="0"/>
    </xf>
    <xf numFmtId="0" fontId="79" fillId="0" borderId="111" xfId="0" applyFont="1" applyFill="1" applyBorder="1" applyAlignment="1" applyProtection="1">
      <alignment horizontal="left" vertical="center"/>
      <protection locked="0"/>
    </xf>
    <xf numFmtId="0" fontId="79" fillId="0" borderId="106" xfId="0" applyFont="1" applyBorder="1" applyAlignment="1" applyProtection="1">
      <alignment horizontal="center" vertical="center" wrapText="1"/>
      <protection locked="0"/>
    </xf>
    <xf numFmtId="0" fontId="79" fillId="0" borderId="1" xfId="0" applyFont="1" applyFill="1" applyBorder="1" applyAlignment="1" applyProtection="1">
      <alignment horizontal="left" vertical="center" wrapText="1"/>
      <protection locked="0"/>
    </xf>
    <xf numFmtId="0" fontId="79" fillId="0" borderId="0" xfId="0" applyFont="1" applyFill="1" applyBorder="1" applyAlignment="1" applyProtection="1">
      <alignment horizontal="left" vertical="center" wrapText="1"/>
      <protection locked="0"/>
    </xf>
    <xf numFmtId="0" fontId="79" fillId="0" borderId="20" xfId="0" applyFont="1" applyFill="1" applyBorder="1" applyAlignment="1" applyProtection="1">
      <alignment horizontal="left" vertical="center" wrapText="1"/>
      <protection locked="0"/>
    </xf>
    <xf numFmtId="0" fontId="83" fillId="3" borderId="0" xfId="0" applyFont="1" applyFill="1" applyBorder="1" applyAlignment="1" applyProtection="1">
      <alignment horizontal="left" vertical="center" shrinkToFit="1"/>
    </xf>
    <xf numFmtId="0" fontId="78" fillId="0" borderId="0" xfId="0" applyFont="1" applyBorder="1" applyAlignment="1" applyProtection="1">
      <alignment horizontal="left" vertical="center" shrinkToFit="1"/>
    </xf>
    <xf numFmtId="0" fontId="84" fillId="3" borderId="2" xfId="0" applyFont="1" applyFill="1" applyBorder="1" applyAlignment="1" applyProtection="1">
      <alignment horizontal="center" vertical="center" wrapText="1"/>
    </xf>
    <xf numFmtId="0" fontId="84" fillId="3" borderId="2" xfId="0" applyFont="1" applyFill="1" applyBorder="1" applyAlignment="1" applyProtection="1">
      <alignment horizontal="center" vertical="center"/>
    </xf>
    <xf numFmtId="0" fontId="26" fillId="0" borderId="128" xfId="0" applyFont="1" applyFill="1" applyBorder="1" applyAlignment="1" applyProtection="1">
      <alignment horizontal="center" vertical="center"/>
      <protection locked="0"/>
    </xf>
    <xf numFmtId="0" fontId="26" fillId="0" borderId="53" xfId="0" applyFont="1" applyFill="1" applyBorder="1" applyAlignment="1" applyProtection="1">
      <alignment horizontal="center" vertical="center"/>
      <protection locked="0"/>
    </xf>
    <xf numFmtId="0" fontId="26" fillId="0" borderId="129" xfId="0" applyFont="1" applyFill="1" applyBorder="1" applyAlignment="1" applyProtection="1">
      <alignment horizontal="center" vertical="center"/>
      <protection locked="0"/>
    </xf>
    <xf numFmtId="0" fontId="26" fillId="0" borderId="130" xfId="0" applyFont="1" applyFill="1" applyBorder="1" applyAlignment="1" applyProtection="1">
      <alignment horizontal="center" vertical="center"/>
      <protection locked="0"/>
    </xf>
    <xf numFmtId="0" fontId="26" fillId="0" borderId="51" xfId="0" applyFont="1" applyFill="1" applyBorder="1" applyAlignment="1" applyProtection="1">
      <alignment horizontal="center" vertical="center"/>
      <protection locked="0"/>
    </xf>
    <xf numFmtId="0" fontId="26" fillId="0" borderId="131" xfId="0" applyFont="1" applyFill="1" applyBorder="1" applyAlignment="1" applyProtection="1">
      <alignment horizontal="center" vertical="center"/>
      <protection locked="0"/>
    </xf>
    <xf numFmtId="0" fontId="26" fillId="0" borderId="59" xfId="0" applyFont="1" applyFill="1" applyBorder="1" applyAlignment="1" applyProtection="1">
      <alignment horizontal="center" vertical="center" wrapText="1"/>
      <protection locked="0"/>
    </xf>
    <xf numFmtId="0" fontId="26" fillId="0" borderId="133" xfId="0" applyFont="1" applyFill="1" applyBorder="1" applyAlignment="1" applyProtection="1">
      <alignment horizontal="center" vertical="center" wrapText="1"/>
      <protection locked="0"/>
    </xf>
    <xf numFmtId="0" fontId="79" fillId="0" borderId="140" xfId="0" applyFont="1" applyFill="1" applyBorder="1" applyAlignment="1" applyProtection="1">
      <alignment horizontal="center" vertical="center"/>
      <protection locked="0"/>
    </xf>
    <xf numFmtId="0" fontId="79" fillId="0" borderId="111" xfId="0" applyFont="1" applyFill="1" applyBorder="1" applyAlignment="1" applyProtection="1">
      <alignment horizontal="center" vertical="center"/>
      <protection locked="0"/>
    </xf>
    <xf numFmtId="0" fontId="79" fillId="0" borderId="138" xfId="0" applyFont="1" applyFill="1" applyBorder="1" applyAlignment="1" applyProtection="1">
      <alignment horizontal="center" vertical="center"/>
      <protection locked="0"/>
    </xf>
    <xf numFmtId="0" fontId="26" fillId="0" borderId="145"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174" xfId="0" applyFont="1" applyBorder="1" applyAlignment="1" applyProtection="1">
      <alignment horizontal="center" vertical="center" wrapText="1"/>
      <protection locked="0"/>
    </xf>
    <xf numFmtId="0" fontId="26" fillId="3" borderId="82" xfId="0" applyFont="1" applyFill="1" applyBorder="1" applyAlignment="1" applyProtection="1">
      <alignment horizontal="center" vertical="center" wrapText="1"/>
    </xf>
    <xf numFmtId="181" fontId="26" fillId="0" borderId="0" xfId="0" applyNumberFormat="1" applyFont="1" applyFill="1" applyBorder="1" applyAlignment="1" applyProtection="1">
      <alignment horizontal="center" vertical="center" wrapText="1"/>
    </xf>
    <xf numFmtId="0" fontId="163" fillId="3" borderId="38" xfId="0" applyFont="1" applyFill="1" applyBorder="1" applyAlignment="1" applyProtection="1">
      <alignment horizontal="right" vertical="center" wrapText="1"/>
    </xf>
    <xf numFmtId="0" fontId="13" fillId="0" borderId="2" xfId="0" applyFont="1" applyBorder="1" applyAlignment="1" applyProtection="1">
      <alignment vertical="center" shrinkToFit="1"/>
    </xf>
    <xf numFmtId="0" fontId="0" fillId="0" borderId="2" xfId="0" applyBorder="1" applyAlignment="1" applyProtection="1">
      <alignment vertical="center" shrinkToFit="1"/>
    </xf>
    <xf numFmtId="0" fontId="0" fillId="0" borderId="34" xfId="0" applyFont="1" applyBorder="1" applyAlignment="1" applyProtection="1">
      <alignment vertical="center"/>
    </xf>
    <xf numFmtId="0" fontId="0" fillId="0" borderId="56" xfId="0" applyBorder="1" applyAlignment="1" applyProtection="1">
      <alignment vertical="center"/>
    </xf>
    <xf numFmtId="0" fontId="0" fillId="0" borderId="35" xfId="0" applyBorder="1" applyAlignment="1" applyProtection="1">
      <alignment vertical="center"/>
    </xf>
    <xf numFmtId="0" fontId="6" fillId="0" borderId="37" xfId="0" applyFont="1" applyFill="1" applyBorder="1" applyAlignment="1" applyProtection="1">
      <alignment horizontal="left" vertical="center" wrapText="1"/>
    </xf>
    <xf numFmtId="0" fontId="0" fillId="0" borderId="23" xfId="0" applyBorder="1" applyAlignment="1" applyProtection="1">
      <alignment horizontal="left" vertical="center" wrapText="1"/>
    </xf>
    <xf numFmtId="0" fontId="0" fillId="0" borderId="25" xfId="0" applyBorder="1" applyAlignment="1" applyProtection="1">
      <alignment horizontal="left" vertical="center" wrapText="1"/>
    </xf>
    <xf numFmtId="0" fontId="6" fillId="0" borderId="50" xfId="0" applyFont="1" applyFill="1" applyBorder="1" applyAlignment="1" applyProtection="1">
      <alignment horizontal="left" vertical="center"/>
    </xf>
    <xf numFmtId="0" fontId="0" fillId="0" borderId="22" xfId="0" applyBorder="1" applyAlignment="1" applyProtection="1">
      <alignment horizontal="left" vertical="center"/>
    </xf>
    <xf numFmtId="181" fontId="26" fillId="0" borderId="0" xfId="0" applyNumberFormat="1" applyFont="1" applyBorder="1" applyAlignment="1" applyProtection="1">
      <alignment horizontal="center" vertical="center" wrapText="1"/>
    </xf>
    <xf numFmtId="0" fontId="26" fillId="0" borderId="145"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0" fontId="26" fillId="0" borderId="174" xfId="0" applyFont="1" applyBorder="1" applyAlignment="1" applyProtection="1">
      <alignment horizontal="center" vertical="center" wrapText="1"/>
    </xf>
    <xf numFmtId="0" fontId="26" fillId="3" borderId="0" xfId="0" applyFont="1" applyFill="1" applyBorder="1" applyAlignment="1" applyProtection="1">
      <alignment vertical="center"/>
    </xf>
    <xf numFmtId="0" fontId="79" fillId="3" borderId="0" xfId="0" applyFont="1" applyFill="1" applyBorder="1" applyAlignment="1" applyProtection="1">
      <alignment horizontal="right" vertical="center"/>
    </xf>
    <xf numFmtId="0" fontId="6" fillId="0" borderId="152" xfId="0" applyFont="1" applyBorder="1" applyAlignment="1" applyProtection="1">
      <alignment horizontal="center" vertical="center" wrapText="1" shrinkToFit="1"/>
    </xf>
    <xf numFmtId="0" fontId="6" fillId="0" borderId="97" xfId="0" applyFont="1" applyBorder="1" applyAlignment="1" applyProtection="1">
      <alignment horizontal="center" vertical="center" wrapText="1" shrinkToFit="1"/>
    </xf>
    <xf numFmtId="0" fontId="6" fillId="0" borderId="98" xfId="0" applyFont="1" applyBorder="1" applyAlignment="1" applyProtection="1">
      <alignment horizontal="center" vertical="center" wrapText="1" shrinkToFit="1"/>
    </xf>
    <xf numFmtId="0" fontId="6" fillId="0" borderId="40" xfId="0" applyFont="1" applyFill="1" applyBorder="1" applyAlignment="1" applyProtection="1">
      <alignment horizontal="left" vertical="center" wrapText="1"/>
    </xf>
    <xf numFmtId="0" fontId="6" fillId="0" borderId="147" xfId="0" applyFont="1" applyFill="1" applyBorder="1" applyAlignment="1" applyProtection="1">
      <alignment horizontal="center" vertical="center"/>
    </xf>
    <xf numFmtId="0" fontId="0" fillId="0" borderId="61" xfId="0" applyFill="1" applyBorder="1" applyAlignment="1" applyProtection="1">
      <alignment horizontal="center" vertical="center"/>
    </xf>
    <xf numFmtId="0" fontId="6" fillId="0" borderId="85" xfId="0" applyFont="1" applyFill="1" applyBorder="1" applyAlignment="1" applyProtection="1">
      <alignment horizontal="left" vertical="center" wrapText="1"/>
    </xf>
    <xf numFmtId="0" fontId="6" fillId="0" borderId="25" xfId="0" applyFont="1" applyFill="1" applyBorder="1" applyAlignment="1" applyProtection="1">
      <alignment horizontal="left" vertical="center" wrapText="1"/>
    </xf>
    <xf numFmtId="0" fontId="83" fillId="3" borderId="128" xfId="0" applyFont="1" applyFill="1" applyBorder="1" applyAlignment="1" applyProtection="1">
      <alignment horizontal="center" vertical="center" shrinkToFit="1"/>
    </xf>
    <xf numFmtId="0" fontId="83" fillId="3" borderId="53" xfId="0" applyFont="1" applyFill="1" applyBorder="1" applyAlignment="1" applyProtection="1">
      <alignment horizontal="center" vertical="center" shrinkToFit="1"/>
    </xf>
    <xf numFmtId="0" fontId="83" fillId="3" borderId="65" xfId="0" applyFont="1" applyFill="1" applyBorder="1" applyAlignment="1" applyProtection="1">
      <alignment horizontal="center" vertical="center" shrinkToFit="1"/>
    </xf>
    <xf numFmtId="0" fontId="26" fillId="3" borderId="138" xfId="0" applyFont="1" applyFill="1" applyBorder="1" applyAlignment="1" applyProtection="1">
      <alignment vertical="center"/>
    </xf>
    <xf numFmtId="0" fontId="26" fillId="3" borderId="22" xfId="0" applyFont="1" applyFill="1" applyBorder="1" applyAlignment="1" applyProtection="1">
      <alignment vertical="center"/>
    </xf>
    <xf numFmtId="0" fontId="31" fillId="5" borderId="50" xfId="0" applyFont="1" applyFill="1" applyBorder="1" applyAlignment="1" applyProtection="1">
      <alignment horizontal="center" vertical="center" wrapText="1" shrinkToFit="1"/>
    </xf>
    <xf numFmtId="0" fontId="0" fillId="0" borderId="24" xfId="0" applyBorder="1" applyAlignment="1" applyProtection="1">
      <alignment horizontal="center" vertical="center" shrinkToFit="1"/>
    </xf>
    <xf numFmtId="0" fontId="0" fillId="0" borderId="67" xfId="0" applyBorder="1" applyAlignment="1" applyProtection="1">
      <alignment vertical="center"/>
    </xf>
    <xf numFmtId="0" fontId="0" fillId="0" borderId="60" xfId="0" applyBorder="1" applyAlignment="1" applyProtection="1">
      <alignment vertical="center"/>
    </xf>
    <xf numFmtId="0" fontId="78" fillId="3" borderId="139" xfId="0" applyFont="1" applyFill="1" applyBorder="1" applyAlignment="1" applyProtection="1">
      <alignment horizontal="left" vertical="top" wrapText="1" indent="1"/>
    </xf>
    <xf numFmtId="0" fontId="78" fillId="3" borderId="2" xfId="0" applyFont="1" applyFill="1" applyBorder="1" applyAlignment="1" applyProtection="1">
      <alignment horizontal="left" vertical="top" wrapText="1" indent="1"/>
    </xf>
    <xf numFmtId="0" fontId="78" fillId="3" borderId="61" xfId="0" applyFont="1" applyFill="1" applyBorder="1" applyAlignment="1" applyProtection="1">
      <alignment horizontal="left" vertical="top" wrapText="1" indent="1"/>
    </xf>
    <xf numFmtId="0" fontId="161" fillId="5" borderId="57" xfId="0" applyFont="1" applyFill="1" applyBorder="1" applyAlignment="1" applyProtection="1">
      <alignment horizontal="center" vertical="center" wrapText="1" shrinkToFit="1"/>
    </xf>
    <xf numFmtId="0" fontId="189" fillId="0" borderId="60" xfId="0" applyFont="1" applyBorder="1" applyAlignment="1" applyProtection="1">
      <alignment horizontal="center" vertical="center" shrinkToFit="1"/>
    </xf>
    <xf numFmtId="0" fontId="192" fillId="3" borderId="138" xfId="0" applyFont="1" applyFill="1" applyBorder="1" applyAlignment="1" applyProtection="1">
      <alignment horizontal="left" vertical="top" wrapText="1" indent="1"/>
    </xf>
    <xf numFmtId="0" fontId="192" fillId="3" borderId="0" xfId="0" applyFont="1" applyFill="1" applyBorder="1" applyAlignment="1" applyProtection="1">
      <alignment horizontal="left" vertical="top" wrapText="1" indent="1"/>
    </xf>
    <xf numFmtId="0" fontId="192" fillId="3" borderId="22" xfId="0" applyFont="1" applyFill="1" applyBorder="1" applyAlignment="1" applyProtection="1">
      <alignment horizontal="left" vertical="top" wrapText="1" indent="1"/>
    </xf>
    <xf numFmtId="0" fontId="26" fillId="3" borderId="149" xfId="0" applyFont="1" applyFill="1" applyBorder="1" applyAlignment="1" applyProtection="1">
      <alignment horizontal="left" vertical="center" wrapText="1"/>
    </xf>
    <xf numFmtId="0" fontId="26" fillId="3" borderId="40" xfId="0" applyFont="1" applyFill="1" applyBorder="1" applyAlignment="1" applyProtection="1">
      <alignment horizontal="left" vertical="center" wrapText="1"/>
    </xf>
    <xf numFmtId="0" fontId="26" fillId="3" borderId="138" xfId="0" applyFont="1" applyFill="1" applyBorder="1" applyAlignment="1" applyProtection="1">
      <alignment horizontal="left" vertical="center" wrapText="1"/>
    </xf>
    <xf numFmtId="0" fontId="26" fillId="3" borderId="22" xfId="0" applyFont="1" applyFill="1" applyBorder="1" applyAlignment="1" applyProtection="1">
      <alignment horizontal="left" vertical="center" wrapText="1"/>
    </xf>
    <xf numFmtId="0" fontId="26" fillId="3" borderId="149" xfId="0" applyFont="1" applyFill="1" applyBorder="1" applyAlignment="1" applyProtection="1">
      <alignment vertical="center"/>
    </xf>
    <xf numFmtId="0" fontId="26" fillId="3" borderId="1" xfId="0" applyFont="1" applyFill="1" applyBorder="1" applyAlignment="1" applyProtection="1">
      <alignment vertical="center"/>
    </xf>
    <xf numFmtId="0" fontId="26" fillId="3" borderId="40" xfId="0" applyFont="1" applyFill="1" applyBorder="1" applyAlignment="1" applyProtection="1">
      <alignment vertical="center"/>
    </xf>
    <xf numFmtId="0" fontId="128" fillId="3" borderId="128" xfId="0" applyFont="1" applyFill="1" applyBorder="1" applyAlignment="1" applyProtection="1">
      <alignment vertical="center" wrapText="1" shrinkToFit="1"/>
    </xf>
    <xf numFmtId="0" fontId="128" fillId="3" borderId="53" xfId="0" applyFont="1" applyFill="1" applyBorder="1" applyAlignment="1" applyProtection="1">
      <alignment vertical="center" wrapText="1" shrinkToFit="1"/>
    </xf>
    <xf numFmtId="0" fontId="128" fillId="3" borderId="65" xfId="0" applyFont="1" applyFill="1" applyBorder="1" applyAlignment="1" applyProtection="1">
      <alignment vertical="center" wrapText="1" shrinkToFit="1"/>
    </xf>
    <xf numFmtId="0" fontId="78" fillId="3" borderId="149" xfId="0" applyFont="1" applyFill="1" applyBorder="1" applyAlignment="1" applyProtection="1">
      <alignment horizontal="left" vertical="center" wrapText="1"/>
    </xf>
    <xf numFmtId="0" fontId="78" fillId="3" borderId="1" xfId="0" applyFont="1" applyFill="1" applyBorder="1" applyAlignment="1" applyProtection="1">
      <alignment horizontal="left" vertical="center" wrapText="1"/>
    </xf>
    <xf numFmtId="0" fontId="78" fillId="3" borderId="40" xfId="0" applyFont="1" applyFill="1" applyBorder="1" applyAlignment="1" applyProtection="1">
      <alignment horizontal="left" vertical="center" wrapText="1"/>
    </xf>
    <xf numFmtId="0" fontId="128" fillId="3" borderId="149" xfId="0" applyFont="1" applyFill="1" applyBorder="1" applyAlignment="1" applyProtection="1">
      <alignment vertical="center" wrapText="1"/>
    </xf>
    <xf numFmtId="0" fontId="128" fillId="3" borderId="1" xfId="0" applyFont="1" applyFill="1" applyBorder="1" applyAlignment="1" applyProtection="1">
      <alignment vertical="center" wrapText="1"/>
    </xf>
    <xf numFmtId="0" fontId="128" fillId="3" borderId="40" xfId="0" applyFont="1" applyFill="1" applyBorder="1" applyAlignment="1" applyProtection="1">
      <alignment vertical="center" wrapText="1"/>
    </xf>
    <xf numFmtId="0" fontId="128" fillId="3" borderId="139" xfId="0" applyFont="1" applyFill="1" applyBorder="1" applyAlignment="1" applyProtection="1">
      <alignment vertical="center" wrapText="1"/>
    </xf>
    <xf numFmtId="0" fontId="128" fillId="3" borderId="2" xfId="0" applyFont="1" applyFill="1" applyBorder="1" applyAlignment="1" applyProtection="1">
      <alignment vertical="center" wrapText="1"/>
    </xf>
    <xf numFmtId="0" fontId="128" fillId="3" borderId="61" xfId="0" applyFont="1" applyFill="1" applyBorder="1" applyAlignment="1" applyProtection="1">
      <alignment vertical="center" wrapText="1"/>
    </xf>
    <xf numFmtId="0" fontId="78" fillId="3" borderId="138" xfId="0" applyFont="1" applyFill="1" applyBorder="1" applyAlignment="1" applyProtection="1">
      <alignment horizontal="left" vertical="center" wrapText="1" indent="1"/>
    </xf>
    <xf numFmtId="0" fontId="78" fillId="3" borderId="0" xfId="0" applyFont="1" applyFill="1" applyBorder="1" applyAlignment="1" applyProtection="1">
      <alignment horizontal="left" vertical="center" wrapText="1" indent="1"/>
    </xf>
    <xf numFmtId="0" fontId="78" fillId="3" borderId="22" xfId="0" applyFont="1" applyFill="1" applyBorder="1" applyAlignment="1" applyProtection="1">
      <alignment horizontal="left" vertical="center" wrapText="1" indent="1"/>
    </xf>
    <xf numFmtId="0" fontId="31" fillId="5" borderId="67" xfId="0" applyFont="1" applyFill="1" applyBorder="1" applyAlignment="1" applyProtection="1">
      <alignment horizontal="center" vertical="center" wrapText="1" shrinkToFit="1"/>
    </xf>
    <xf numFmtId="0" fontId="206" fillId="5" borderId="67" xfId="0" applyFont="1" applyFill="1" applyBorder="1" applyAlignment="1" applyProtection="1">
      <alignment horizontal="center" vertical="center" wrapText="1" shrinkToFit="1"/>
    </xf>
    <xf numFmtId="0" fontId="26" fillId="0" borderId="111" xfId="0" applyFont="1" applyBorder="1" applyAlignment="1" applyProtection="1">
      <alignment horizontal="center" vertical="center"/>
      <protection locked="0"/>
    </xf>
    <xf numFmtId="0" fontId="128" fillId="3" borderId="130" xfId="0" applyFont="1" applyFill="1" applyBorder="1" applyAlignment="1" applyProtection="1">
      <alignment vertical="center" wrapText="1" shrinkToFit="1"/>
    </xf>
    <xf numFmtId="0" fontId="128" fillId="3" borderId="51" xfId="0" applyFont="1" applyFill="1" applyBorder="1" applyAlignment="1" applyProtection="1">
      <alignment vertical="center" wrapText="1" shrinkToFit="1"/>
    </xf>
    <xf numFmtId="0" fontId="128" fillId="3" borderId="64" xfId="0" applyFont="1" applyFill="1" applyBorder="1" applyAlignment="1" applyProtection="1">
      <alignment vertical="center" wrapText="1" shrinkToFit="1"/>
    </xf>
    <xf numFmtId="0" fontId="26" fillId="0" borderId="1" xfId="0" applyFont="1" applyBorder="1" applyAlignment="1" applyProtection="1">
      <alignment horizontal="center" vertical="center"/>
      <protection locked="0"/>
    </xf>
    <xf numFmtId="0" fontId="78" fillId="3" borderId="149" xfId="0" applyFont="1" applyFill="1" applyBorder="1" applyAlignment="1" applyProtection="1">
      <alignment horizontal="left" wrapText="1"/>
    </xf>
    <xf numFmtId="0" fontId="78" fillId="3" borderId="1" xfId="0" applyFont="1" applyFill="1" applyBorder="1" applyAlignment="1" applyProtection="1">
      <alignment horizontal="left" wrapText="1"/>
    </xf>
    <xf numFmtId="0" fontId="78" fillId="3" borderId="40" xfId="0" applyFont="1" applyFill="1" applyBorder="1" applyAlignment="1" applyProtection="1">
      <alignment horizontal="left" wrapText="1"/>
    </xf>
    <xf numFmtId="0" fontId="26" fillId="0" borderId="196" xfId="0" applyFont="1" applyBorder="1" applyAlignment="1" applyProtection="1">
      <alignment horizontal="center" vertical="center"/>
      <protection locked="0"/>
    </xf>
    <xf numFmtId="49" fontId="26" fillId="0" borderId="104" xfId="0" applyNumberFormat="1" applyFont="1" applyBorder="1" applyAlignment="1" applyProtection="1">
      <alignment horizontal="left" vertical="center" wrapText="1" shrinkToFit="1"/>
      <protection locked="0"/>
    </xf>
    <xf numFmtId="0" fontId="26" fillId="0" borderId="170" xfId="0" applyFont="1" applyBorder="1" applyAlignment="1" applyProtection="1">
      <alignment horizontal="center" vertical="center"/>
      <protection locked="0"/>
    </xf>
    <xf numFmtId="49" fontId="26" fillId="0" borderId="170" xfId="0" applyNumberFormat="1" applyFont="1" applyBorder="1" applyAlignment="1" applyProtection="1">
      <alignment horizontal="left" vertical="center" wrapText="1" shrinkToFit="1"/>
      <protection locked="0"/>
    </xf>
    <xf numFmtId="0" fontId="26" fillId="3" borderId="171" xfId="0" applyFont="1" applyFill="1" applyBorder="1" applyAlignment="1" applyProtection="1">
      <alignment vertical="center" wrapText="1"/>
    </xf>
    <xf numFmtId="0" fontId="26" fillId="3" borderId="24" xfId="0" applyFont="1" applyFill="1" applyBorder="1" applyAlignment="1" applyProtection="1">
      <alignment vertical="center" wrapText="1"/>
    </xf>
    <xf numFmtId="0" fontId="78" fillId="3" borderId="130" xfId="0" applyFont="1" applyFill="1" applyBorder="1" applyAlignment="1" applyProtection="1">
      <alignment vertical="center" wrapText="1" shrinkToFit="1"/>
    </xf>
    <xf numFmtId="0" fontId="78" fillId="3" borderId="51" xfId="0" applyFont="1" applyFill="1" applyBorder="1" applyAlignment="1" applyProtection="1">
      <alignment vertical="center" wrapText="1" shrinkToFit="1"/>
    </xf>
    <xf numFmtId="0" fontId="78" fillId="3" borderId="64" xfId="0" applyFont="1" applyFill="1" applyBorder="1" applyAlignment="1" applyProtection="1">
      <alignment vertical="center" wrapText="1" shrinkToFit="1"/>
    </xf>
    <xf numFmtId="0" fontId="26" fillId="11" borderId="0" xfId="0" applyFont="1" applyFill="1" applyAlignment="1" applyProtection="1">
      <alignment vertical="top" wrapText="1"/>
    </xf>
    <xf numFmtId="0" fontId="167" fillId="3" borderId="16" xfId="0" applyFont="1" applyFill="1" applyBorder="1" applyAlignment="1" applyProtection="1">
      <alignment horizontal="left" vertical="center" wrapText="1"/>
    </xf>
    <xf numFmtId="0" fontId="146" fillId="3" borderId="38" xfId="0" applyFont="1" applyFill="1" applyBorder="1" applyAlignment="1" applyProtection="1">
      <alignment horizontal="right"/>
    </xf>
    <xf numFmtId="0" fontId="158" fillId="11" borderId="38" xfId="0" applyFont="1" applyFill="1" applyBorder="1" applyAlignment="1" applyProtection="1"/>
    <xf numFmtId="0" fontId="170" fillId="3" borderId="16" xfId="0" applyFont="1" applyFill="1" applyBorder="1" applyAlignment="1" applyProtection="1">
      <alignment vertical="center" wrapText="1"/>
    </xf>
    <xf numFmtId="0" fontId="6" fillId="0" borderId="14" xfId="0" applyFont="1" applyBorder="1" applyAlignment="1" applyProtection="1">
      <alignment horizontal="center" vertical="center" wrapText="1" shrinkToFit="1"/>
    </xf>
    <xf numFmtId="0" fontId="82" fillId="3" borderId="138" xfId="0" applyFont="1" applyFill="1" applyBorder="1" applyAlignment="1" applyProtection="1">
      <alignment vertical="center" wrapText="1"/>
    </xf>
    <xf numFmtId="0" fontId="82" fillId="3" borderId="0" xfId="0" applyFont="1" applyFill="1" applyBorder="1" applyAlignment="1" applyProtection="1">
      <alignment vertical="center" wrapText="1"/>
    </xf>
    <xf numFmtId="0" fontId="82" fillId="3" borderId="22" xfId="0" applyFont="1" applyFill="1" applyBorder="1" applyAlignment="1" applyProtection="1">
      <alignment vertical="center" wrapText="1"/>
    </xf>
    <xf numFmtId="0" fontId="26" fillId="3" borderId="38" xfId="0" applyFont="1" applyFill="1" applyBorder="1" applyAlignment="1" applyProtection="1">
      <alignment horizontal="left" vertical="center" wrapText="1"/>
    </xf>
    <xf numFmtId="0" fontId="26" fillId="3" borderId="0" xfId="0" applyFont="1" applyFill="1" applyAlignment="1" applyProtection="1">
      <alignment horizontal="left" vertical="center" wrapText="1"/>
    </xf>
    <xf numFmtId="0" fontId="99" fillId="0" borderId="0" xfId="0" applyFont="1" applyFill="1" applyBorder="1" applyAlignment="1" applyProtection="1">
      <alignment vertical="center" wrapText="1"/>
    </xf>
    <xf numFmtId="0" fontId="0" fillId="0" borderId="149" xfId="0" applyFont="1" applyFill="1" applyBorder="1" applyAlignment="1" applyProtection="1">
      <alignment vertical="center" wrapText="1"/>
      <protection locked="0"/>
    </xf>
    <xf numFmtId="0" fontId="0" fillId="0" borderId="172" xfId="0" applyFont="1" applyFill="1" applyBorder="1" applyAlignment="1" applyProtection="1">
      <alignment vertical="center" wrapText="1"/>
      <protection locked="0"/>
    </xf>
    <xf numFmtId="0" fontId="0" fillId="0" borderId="138" xfId="0" applyFont="1" applyFill="1" applyBorder="1" applyAlignment="1" applyProtection="1">
      <alignment vertical="center" wrapText="1"/>
      <protection locked="0"/>
    </xf>
    <xf numFmtId="0" fontId="0" fillId="0" borderId="140" xfId="0" applyFont="1" applyFill="1" applyBorder="1" applyAlignment="1" applyProtection="1">
      <alignment vertical="center" wrapText="1"/>
      <protection locked="0"/>
    </xf>
    <xf numFmtId="0" fontId="0" fillId="11" borderId="172" xfId="0" applyFill="1" applyBorder="1" applyAlignment="1" applyProtection="1">
      <alignment horizontal="center" vertical="center" textRotation="255"/>
    </xf>
    <xf numFmtId="0" fontId="0" fillId="11" borderId="140" xfId="0" applyFill="1" applyBorder="1" applyAlignment="1" applyProtection="1">
      <alignment horizontal="center" vertical="center" textRotation="255"/>
    </xf>
    <xf numFmtId="0" fontId="0" fillId="11" borderId="173" xfId="0" applyFill="1" applyBorder="1" applyAlignment="1" applyProtection="1">
      <alignment horizontal="center" vertical="center" textRotation="255"/>
    </xf>
    <xf numFmtId="0" fontId="12" fillId="3" borderId="8" xfId="0" applyFont="1" applyFill="1" applyBorder="1" applyAlignment="1" applyProtection="1">
      <alignment horizontal="center" vertical="center"/>
    </xf>
    <xf numFmtId="0" fontId="12" fillId="3" borderId="9" xfId="0" applyFont="1" applyFill="1" applyBorder="1" applyAlignment="1" applyProtection="1">
      <alignment horizontal="center" vertical="center"/>
    </xf>
    <xf numFmtId="0" fontId="0" fillId="0" borderId="122" xfId="0" applyFill="1" applyBorder="1" applyAlignment="1" applyProtection="1">
      <alignment vertical="center" wrapText="1"/>
      <protection locked="0"/>
    </xf>
    <xf numFmtId="0" fontId="0" fillId="0" borderId="111" xfId="0" applyFill="1" applyBorder="1" applyAlignment="1" applyProtection="1">
      <alignment vertical="center" wrapText="1"/>
      <protection locked="0"/>
    </xf>
    <xf numFmtId="0" fontId="0" fillId="0" borderId="125" xfId="0" applyFill="1" applyBorder="1" applyAlignment="1" applyProtection="1">
      <alignment vertical="center" wrapText="1"/>
      <protection locked="0"/>
    </xf>
    <xf numFmtId="0" fontId="0" fillId="0" borderId="6" xfId="0" applyFont="1" applyFill="1" applyBorder="1" applyAlignment="1" applyProtection="1">
      <alignment vertical="center" wrapText="1"/>
      <protection locked="0"/>
    </xf>
    <xf numFmtId="0" fontId="0" fillId="0" borderId="10" xfId="0" applyFont="1" applyFill="1" applyBorder="1" applyAlignment="1" applyProtection="1">
      <alignment vertical="center" wrapText="1"/>
      <protection locked="0"/>
    </xf>
    <xf numFmtId="0" fontId="0" fillId="0" borderId="135" xfId="0" applyFont="1" applyFill="1" applyBorder="1" applyAlignment="1" applyProtection="1">
      <alignment vertical="center" wrapText="1"/>
      <protection locked="0"/>
    </xf>
    <xf numFmtId="0" fontId="0" fillId="0" borderId="127" xfId="0" applyFont="1" applyFill="1" applyBorder="1" applyAlignment="1" applyProtection="1">
      <alignment vertical="center" wrapText="1"/>
      <protection locked="0"/>
    </xf>
    <xf numFmtId="0" fontId="0" fillId="0" borderId="135" xfId="0" applyFill="1" applyBorder="1" applyAlignment="1" applyProtection="1">
      <alignment vertical="center" wrapText="1"/>
      <protection locked="0"/>
    </xf>
    <xf numFmtId="0" fontId="0" fillId="0" borderId="127" xfId="0" applyFill="1" applyBorder="1" applyAlignment="1" applyProtection="1">
      <alignment vertical="center" wrapText="1"/>
      <protection locked="0"/>
    </xf>
    <xf numFmtId="0" fontId="0" fillId="0" borderId="9" xfId="0" applyFill="1" applyBorder="1" applyAlignment="1" applyProtection="1">
      <alignment vertical="center" wrapText="1"/>
      <protection locked="0"/>
    </xf>
    <xf numFmtId="0" fontId="0" fillId="3" borderId="90" xfId="0" applyFill="1" applyBorder="1" applyAlignment="1" applyProtection="1">
      <alignment horizontal="right" vertical="center"/>
    </xf>
    <xf numFmtId="0" fontId="0" fillId="3" borderId="94" xfId="0" applyFill="1" applyBorder="1" applyAlignment="1" applyProtection="1">
      <alignment horizontal="right" vertical="center"/>
    </xf>
    <xf numFmtId="0" fontId="165" fillId="0" borderId="0" xfId="0" applyFont="1" applyAlignment="1" applyProtection="1">
      <alignment horizontal="center" vertical="top" wrapText="1"/>
    </xf>
    <xf numFmtId="0" fontId="163" fillId="13" borderId="0" xfId="0" applyFont="1" applyFill="1" applyAlignment="1" applyProtection="1">
      <alignment vertical="center" wrapText="1"/>
    </xf>
    <xf numFmtId="0" fontId="158" fillId="13" borderId="0" xfId="0" applyFont="1" applyFill="1" applyBorder="1" applyAlignment="1" applyProtection="1">
      <alignment horizontal="center" vertical="center" shrinkToFit="1"/>
    </xf>
    <xf numFmtId="0" fontId="158" fillId="13" borderId="10" xfId="0" applyFont="1" applyFill="1" applyBorder="1" applyAlignment="1" applyProtection="1">
      <alignment horizontal="center" vertical="center" shrinkToFit="1"/>
    </xf>
    <xf numFmtId="0" fontId="0" fillId="11" borderId="183" xfId="0" applyFill="1" applyBorder="1" applyAlignment="1" applyProtection="1">
      <alignment horizontal="center" vertical="center"/>
    </xf>
    <xf numFmtId="0" fontId="0" fillId="11" borderId="184" xfId="0" applyFill="1" applyBorder="1" applyAlignment="1" applyProtection="1">
      <alignment horizontal="center" vertical="center"/>
    </xf>
    <xf numFmtId="0" fontId="0" fillId="3" borderId="180" xfId="0" applyFill="1" applyBorder="1" applyAlignment="1" applyProtection="1">
      <alignment horizontal="center" vertical="center" wrapText="1"/>
    </xf>
    <xf numFmtId="0" fontId="0" fillId="3" borderId="181" xfId="0" applyFill="1" applyBorder="1" applyAlignment="1" applyProtection="1">
      <alignment horizontal="center" vertical="center" wrapText="1"/>
    </xf>
    <xf numFmtId="0" fontId="0" fillId="3" borderId="182" xfId="0" applyFill="1" applyBorder="1" applyAlignment="1" applyProtection="1">
      <alignment horizontal="center" vertical="center" wrapText="1"/>
    </xf>
    <xf numFmtId="0" fontId="0" fillId="3" borderId="183" xfId="0" applyFill="1" applyBorder="1" applyAlignment="1" applyProtection="1">
      <alignment horizontal="center" vertical="center" wrapText="1"/>
    </xf>
    <xf numFmtId="0" fontId="0" fillId="3" borderId="5" xfId="0" applyFill="1" applyBorder="1" applyAlignment="1" applyProtection="1">
      <alignment vertical="center" wrapText="1"/>
    </xf>
    <xf numFmtId="0" fontId="0" fillId="3" borderId="0" xfId="0" applyFill="1" applyBorder="1" applyAlignment="1" applyProtection="1">
      <alignment vertical="center" wrapText="1"/>
    </xf>
    <xf numFmtId="0" fontId="0" fillId="3" borderId="28" xfId="0" applyFill="1" applyBorder="1" applyAlignment="1" applyProtection="1">
      <alignment vertical="center" wrapText="1"/>
    </xf>
    <xf numFmtId="0" fontId="0" fillId="3" borderId="2" xfId="0" applyFill="1" applyBorder="1" applyAlignment="1" applyProtection="1">
      <alignment vertical="center" wrapText="1"/>
    </xf>
    <xf numFmtId="0" fontId="0" fillId="11" borderId="1" xfId="0" applyFill="1" applyBorder="1" applyAlignment="1" applyProtection="1">
      <alignment horizontal="center" vertical="center"/>
    </xf>
    <xf numFmtId="0" fontId="0" fillId="11" borderId="0" xfId="0" applyFill="1" applyBorder="1" applyAlignment="1" applyProtection="1">
      <alignment horizontal="center" vertical="center"/>
    </xf>
    <xf numFmtId="0" fontId="0" fillId="0" borderId="123" xfId="0" applyFill="1" applyBorder="1" applyAlignment="1" applyProtection="1">
      <alignment vertical="center" wrapText="1"/>
      <protection locked="0"/>
    </xf>
    <xf numFmtId="0" fontId="0" fillId="0" borderId="124" xfId="0" applyFill="1" applyBorder="1" applyAlignment="1" applyProtection="1">
      <alignment vertical="center" wrapText="1"/>
      <protection locked="0"/>
    </xf>
    <xf numFmtId="0" fontId="0" fillId="0" borderId="126" xfId="0" applyFill="1" applyBorder="1" applyAlignment="1" applyProtection="1">
      <alignment vertical="center" wrapText="1"/>
      <protection locked="0"/>
    </xf>
    <xf numFmtId="0" fontId="0" fillId="11" borderId="127" xfId="0" applyFill="1" applyBorder="1" applyAlignment="1" applyProtection="1">
      <alignment horizontal="center" vertical="center" textRotation="255"/>
    </xf>
    <xf numFmtId="0" fontId="11" fillId="0" borderId="0" xfId="1" applyAlignment="1" applyProtection="1">
      <alignment vertical="center"/>
    </xf>
    <xf numFmtId="0" fontId="8" fillId="0" borderId="7" xfId="5" applyFont="1" applyBorder="1" applyAlignment="1">
      <alignment horizontal="center" vertical="center"/>
    </xf>
    <xf numFmtId="0" fontId="8" fillId="0" borderId="8" xfId="5" applyFont="1" applyBorder="1" applyAlignment="1">
      <alignment horizontal="center" vertical="center"/>
    </xf>
    <xf numFmtId="0" fontId="8" fillId="0" borderId="9" xfId="5" applyFont="1" applyBorder="1" applyAlignment="1">
      <alignment horizontal="center" vertical="center"/>
    </xf>
    <xf numFmtId="0" fontId="4" fillId="0" borderId="0" xfId="0" applyFont="1" applyAlignment="1" applyProtection="1">
      <alignment vertical="center"/>
    </xf>
    <xf numFmtId="0" fontId="4" fillId="0" borderId="0" xfId="0" applyFont="1" applyAlignment="1" applyProtection="1">
      <alignment horizontal="left" vertical="center"/>
    </xf>
    <xf numFmtId="0" fontId="4" fillId="3" borderId="3" xfId="0" applyFont="1" applyFill="1" applyBorder="1" applyAlignment="1" applyProtection="1">
      <alignment horizontal="left" vertical="center" wrapText="1"/>
    </xf>
    <xf numFmtId="0" fontId="4" fillId="3" borderId="1" xfId="0" applyFont="1" applyFill="1" applyBorder="1" applyAlignment="1" applyProtection="1">
      <alignment horizontal="left" vertical="center" wrapText="1"/>
    </xf>
    <xf numFmtId="0" fontId="4" fillId="3" borderId="6" xfId="0" applyFont="1" applyFill="1" applyBorder="1" applyAlignment="1" applyProtection="1">
      <alignment horizontal="left" vertical="center" wrapText="1"/>
    </xf>
    <xf numFmtId="0" fontId="4" fillId="3" borderId="5" xfId="0" applyFont="1" applyFill="1" applyBorder="1" applyAlignment="1" applyProtection="1">
      <alignment horizontal="left" vertical="center" wrapText="1"/>
    </xf>
    <xf numFmtId="0" fontId="4" fillId="3" borderId="0" xfId="0" applyFont="1" applyFill="1" applyBorder="1" applyAlignment="1" applyProtection="1">
      <alignment horizontal="left" vertical="center" wrapText="1"/>
    </xf>
    <xf numFmtId="0" fontId="4" fillId="3" borderId="10" xfId="0" applyFont="1" applyFill="1" applyBorder="1" applyAlignment="1" applyProtection="1">
      <alignment horizontal="left" vertical="center" wrapText="1"/>
    </xf>
    <xf numFmtId="0" fontId="4" fillId="3" borderId="76" xfId="0" applyFont="1" applyFill="1" applyBorder="1" applyAlignment="1" applyProtection="1">
      <alignment horizontal="left" vertical="center" wrapText="1"/>
    </xf>
    <xf numFmtId="0" fontId="4" fillId="3" borderId="77" xfId="0" applyFont="1" applyFill="1" applyBorder="1" applyAlignment="1" applyProtection="1">
      <alignment horizontal="left" vertical="center" wrapText="1"/>
    </xf>
    <xf numFmtId="0" fontId="4" fillId="3" borderId="163" xfId="0" applyFont="1" applyFill="1" applyBorder="1" applyAlignment="1" applyProtection="1">
      <alignment horizontal="left" vertical="center" wrapText="1"/>
    </xf>
    <xf numFmtId="0" fontId="4" fillId="0" borderId="5" xfId="0" applyFont="1" applyFill="1" applyBorder="1" applyAlignment="1" applyProtection="1">
      <alignment horizontal="center" vertical="center" wrapText="1" shrinkToFit="1"/>
      <protection locked="0"/>
    </xf>
    <xf numFmtId="0" fontId="4" fillId="0" borderId="0" xfId="0" applyFont="1" applyFill="1" applyBorder="1" applyAlignment="1" applyProtection="1">
      <alignment horizontal="center" vertical="center" wrapText="1" shrinkToFit="1"/>
      <protection locked="0"/>
    </xf>
    <xf numFmtId="0" fontId="4" fillId="0" borderId="10" xfId="0" applyFont="1" applyFill="1" applyBorder="1" applyAlignment="1" applyProtection="1">
      <alignment horizontal="center" vertical="center" wrapText="1" shrinkToFit="1"/>
      <protection locked="0"/>
    </xf>
    <xf numFmtId="0" fontId="4" fillId="0" borderId="28" xfId="0" applyFont="1" applyFill="1" applyBorder="1" applyAlignment="1" applyProtection="1">
      <alignment horizontal="center" vertical="center" wrapText="1" shrinkToFit="1"/>
      <protection locked="0"/>
    </xf>
    <xf numFmtId="0" fontId="4" fillId="0" borderId="2" xfId="0" applyFont="1" applyFill="1" applyBorder="1" applyAlignment="1" applyProtection="1">
      <alignment horizontal="center" vertical="center" wrapText="1" shrinkToFit="1"/>
      <protection locked="0"/>
    </xf>
    <xf numFmtId="0" fontId="4" fillId="0" borderId="11" xfId="0" applyFont="1" applyFill="1" applyBorder="1" applyAlignment="1" applyProtection="1">
      <alignment horizontal="center" vertical="center" wrapText="1" shrinkToFit="1"/>
      <protection locked="0"/>
    </xf>
    <xf numFmtId="0" fontId="16" fillId="3" borderId="47" xfId="0" applyFont="1" applyFill="1" applyBorder="1" applyAlignment="1" applyProtection="1">
      <alignment horizontal="right" vertical="center"/>
    </xf>
    <xf numFmtId="0" fontId="0" fillId="3" borderId="48" xfId="0" applyFill="1" applyBorder="1" applyAlignment="1" applyProtection="1">
      <alignment horizontal="right" vertical="center"/>
    </xf>
    <xf numFmtId="0" fontId="0" fillId="0" borderId="0" xfId="0" applyAlignment="1" applyProtection="1">
      <alignment vertical="center"/>
    </xf>
    <xf numFmtId="0" fontId="4" fillId="0" borderId="0" xfId="0" applyFont="1" applyBorder="1" applyAlignment="1" applyProtection="1">
      <alignment horizontal="center" vertical="center"/>
      <protection locked="0"/>
    </xf>
    <xf numFmtId="0" fontId="47" fillId="0" borderId="0" xfId="0" applyFont="1" applyFill="1" applyBorder="1" applyAlignment="1" applyProtection="1">
      <alignment horizontal="center" vertical="center" wrapText="1"/>
    </xf>
    <xf numFmtId="0" fontId="43" fillId="13" borderId="0" xfId="0" applyFont="1" applyFill="1" applyAlignment="1" applyProtection="1">
      <alignment vertical="center" wrapText="1"/>
    </xf>
    <xf numFmtId="0" fontId="48" fillId="0" borderId="0" xfId="1" applyFont="1" applyFill="1" applyBorder="1" applyAlignment="1" applyProtection="1">
      <alignment horizontal="center" vertical="center" shrinkToFit="1"/>
    </xf>
    <xf numFmtId="0" fontId="48" fillId="0" borderId="0" xfId="0" applyFont="1" applyFill="1" applyAlignment="1" applyProtection="1">
      <alignment horizontal="center" vertical="center" shrinkToFit="1"/>
    </xf>
    <xf numFmtId="0" fontId="4" fillId="3" borderId="3" xfId="0" applyFont="1" applyFill="1" applyBorder="1" applyAlignment="1" applyProtection="1">
      <alignment horizontal="center" vertical="center"/>
    </xf>
    <xf numFmtId="0" fontId="4" fillId="3" borderId="1" xfId="0" applyFont="1" applyFill="1" applyBorder="1" applyAlignment="1" applyProtection="1">
      <alignment horizontal="center" vertical="center"/>
    </xf>
    <xf numFmtId="0" fontId="4" fillId="3" borderId="6" xfId="0" applyFont="1" applyFill="1" applyBorder="1" applyAlignment="1" applyProtection="1">
      <alignment horizontal="center" vertical="center"/>
    </xf>
    <xf numFmtId="0" fontId="0" fillId="3" borderId="5" xfId="0" applyFill="1" applyBorder="1" applyAlignment="1" applyProtection="1">
      <alignment horizontal="center" vertical="center"/>
    </xf>
    <xf numFmtId="0" fontId="0" fillId="3" borderId="0" xfId="0" applyFill="1" applyAlignment="1" applyProtection="1">
      <alignment horizontal="center" vertical="center"/>
    </xf>
    <xf numFmtId="0" fontId="0" fillId="3" borderId="10" xfId="0" applyFill="1" applyBorder="1" applyAlignment="1" applyProtection="1">
      <alignment horizontal="center" vertical="center"/>
    </xf>
    <xf numFmtId="0" fontId="0" fillId="3" borderId="28" xfId="0" applyFill="1" applyBorder="1" applyAlignment="1" applyProtection="1">
      <alignment horizontal="center" vertical="center"/>
    </xf>
    <xf numFmtId="0" fontId="0" fillId="3" borderId="2" xfId="0" applyFill="1" applyBorder="1" applyAlignment="1" applyProtection="1">
      <alignment horizontal="center" vertical="center"/>
    </xf>
    <xf numFmtId="0" fontId="0" fillId="3" borderId="11" xfId="0" applyFill="1" applyBorder="1" applyAlignment="1" applyProtection="1">
      <alignment horizontal="center" vertical="center"/>
    </xf>
    <xf numFmtId="0" fontId="4" fillId="0" borderId="0" xfId="0" applyFont="1" applyBorder="1" applyAlignment="1" applyProtection="1">
      <alignment horizontal="center" vertical="center"/>
    </xf>
    <xf numFmtId="0" fontId="4" fillId="3" borderId="28" xfId="0" applyFont="1" applyFill="1" applyBorder="1" applyAlignment="1" applyProtection="1">
      <alignment horizontal="left" vertical="center" wrapText="1"/>
    </xf>
    <xf numFmtId="0" fontId="4" fillId="3" borderId="2" xfId="0" applyFont="1" applyFill="1" applyBorder="1" applyAlignment="1" applyProtection="1">
      <alignment horizontal="left" vertical="center" wrapText="1"/>
    </xf>
    <xf numFmtId="0" fontId="4" fillId="3" borderId="11" xfId="0" applyFont="1" applyFill="1" applyBorder="1" applyAlignment="1" applyProtection="1">
      <alignment horizontal="left" vertical="center" wrapText="1"/>
    </xf>
    <xf numFmtId="0" fontId="4" fillId="3" borderId="5"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4" fillId="3" borderId="2" xfId="0"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181" fontId="4" fillId="3" borderId="3" xfId="0" applyNumberFormat="1" applyFont="1" applyFill="1" applyBorder="1" applyAlignment="1" applyProtection="1">
      <alignment horizontal="left" vertical="center" wrapText="1"/>
    </xf>
    <xf numFmtId="181" fontId="4" fillId="3" borderId="1" xfId="0" applyNumberFormat="1" applyFont="1" applyFill="1" applyBorder="1" applyAlignment="1" applyProtection="1">
      <alignment horizontal="left" vertical="center" wrapText="1"/>
    </xf>
    <xf numFmtId="181" fontId="4" fillId="3" borderId="6" xfId="0" applyNumberFormat="1" applyFont="1" applyFill="1" applyBorder="1" applyAlignment="1" applyProtection="1">
      <alignment horizontal="left" vertical="center" wrapText="1"/>
    </xf>
    <xf numFmtId="181" fontId="4" fillId="3" borderId="5" xfId="0" applyNumberFormat="1" applyFont="1" applyFill="1" applyBorder="1" applyAlignment="1" applyProtection="1">
      <alignment horizontal="left" vertical="center" wrapText="1"/>
    </xf>
    <xf numFmtId="181" fontId="4" fillId="3" borderId="0" xfId="0" applyNumberFormat="1" applyFont="1" applyFill="1" applyBorder="1" applyAlignment="1" applyProtection="1">
      <alignment horizontal="left" vertical="center" wrapText="1"/>
    </xf>
    <xf numFmtId="181" fontId="4" fillId="3" borderId="10" xfId="0" applyNumberFormat="1" applyFont="1" applyFill="1" applyBorder="1" applyAlignment="1" applyProtection="1">
      <alignment horizontal="left" vertical="center" wrapText="1"/>
    </xf>
    <xf numFmtId="181" fontId="4" fillId="3" borderId="28" xfId="0" applyNumberFormat="1" applyFont="1" applyFill="1" applyBorder="1" applyAlignment="1" applyProtection="1">
      <alignment horizontal="left" vertical="center" wrapText="1"/>
    </xf>
    <xf numFmtId="181" fontId="4" fillId="3" borderId="2" xfId="0" applyNumberFormat="1" applyFont="1" applyFill="1" applyBorder="1" applyAlignment="1" applyProtection="1">
      <alignment horizontal="left" vertical="center" wrapText="1"/>
    </xf>
    <xf numFmtId="181" fontId="4" fillId="3"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xf>
    <xf numFmtId="0" fontId="4" fillId="3" borderId="161" xfId="0" applyFont="1" applyFill="1" applyBorder="1" applyAlignment="1" applyProtection="1">
      <alignment horizontal="left" vertical="center" wrapText="1"/>
    </xf>
    <xf numFmtId="0" fontId="4" fillId="3" borderId="52" xfId="0" applyFont="1" applyFill="1" applyBorder="1" applyAlignment="1" applyProtection="1">
      <alignment horizontal="left" vertical="center" wrapText="1"/>
    </xf>
    <xf numFmtId="0" fontId="4" fillId="3" borderId="162" xfId="0" applyFont="1" applyFill="1" applyBorder="1" applyAlignment="1" applyProtection="1">
      <alignment horizontal="left" vertical="center" wrapText="1"/>
    </xf>
    <xf numFmtId="181" fontId="4" fillId="3" borderId="3" xfId="0" applyNumberFormat="1" applyFont="1" applyFill="1" applyBorder="1" applyAlignment="1" applyProtection="1">
      <alignment horizontal="center" vertical="center"/>
    </xf>
    <xf numFmtId="181" fontId="4" fillId="3" borderId="1" xfId="0" applyNumberFormat="1" applyFont="1" applyFill="1" applyBorder="1" applyAlignment="1" applyProtection="1">
      <alignment horizontal="center" vertical="center"/>
    </xf>
    <xf numFmtId="181" fontId="4" fillId="3" borderId="6" xfId="0" applyNumberFormat="1" applyFont="1" applyFill="1" applyBorder="1" applyAlignment="1" applyProtection="1">
      <alignment horizontal="center" vertical="center"/>
    </xf>
    <xf numFmtId="181" fontId="0" fillId="3" borderId="5" xfId="0" applyNumberFormat="1" applyFill="1" applyBorder="1" applyAlignment="1" applyProtection="1">
      <alignment horizontal="center" vertical="center"/>
    </xf>
    <xf numFmtId="181" fontId="0" fillId="3" borderId="0" xfId="0" applyNumberFormat="1" applyFill="1" applyAlignment="1" applyProtection="1">
      <alignment horizontal="center" vertical="center"/>
    </xf>
    <xf numFmtId="181" fontId="0" fillId="3" borderId="10" xfId="0" applyNumberFormat="1" applyFill="1" applyBorder="1" applyAlignment="1" applyProtection="1">
      <alignment horizontal="center" vertical="center"/>
    </xf>
    <xf numFmtId="181" fontId="0" fillId="3" borderId="28" xfId="0" applyNumberFormat="1" applyFill="1" applyBorder="1" applyAlignment="1" applyProtection="1">
      <alignment horizontal="center" vertical="center"/>
    </xf>
    <xf numFmtId="181" fontId="0" fillId="3" borderId="2" xfId="0" applyNumberFormat="1" applyFill="1" applyBorder="1" applyAlignment="1" applyProtection="1">
      <alignment horizontal="center" vertical="center"/>
    </xf>
    <xf numFmtId="181" fontId="0" fillId="3" borderId="11" xfId="0" applyNumberFormat="1" applyFill="1" applyBorder="1" applyAlignment="1" applyProtection="1">
      <alignment horizontal="center" vertical="center"/>
    </xf>
    <xf numFmtId="0" fontId="16" fillId="3" borderId="86" xfId="0" applyFont="1" applyFill="1" applyBorder="1" applyAlignment="1" applyProtection="1">
      <alignment horizontal="right" vertical="center"/>
    </xf>
    <xf numFmtId="0" fontId="0" fillId="3" borderId="87" xfId="0" applyFill="1" applyBorder="1" applyAlignment="1" applyProtection="1">
      <alignment horizontal="right" vertical="center"/>
    </xf>
    <xf numFmtId="0" fontId="4" fillId="0" borderId="28" xfId="0" applyFont="1" applyBorder="1" applyAlignment="1" applyProtection="1">
      <alignment horizontal="left" vertical="center"/>
      <protection hidden="1"/>
    </xf>
    <xf numFmtId="0" fontId="4" fillId="0" borderId="2" xfId="0" applyFont="1" applyBorder="1" applyAlignment="1" applyProtection="1">
      <alignment horizontal="left" vertical="center"/>
      <protection hidden="1"/>
    </xf>
    <xf numFmtId="0" fontId="42" fillId="0" borderId="4" xfId="0" applyFont="1" applyBorder="1" applyAlignment="1" applyProtection="1">
      <alignment horizontal="left" vertical="center"/>
      <protection hidden="1"/>
    </xf>
    <xf numFmtId="0" fontId="76" fillId="0" borderId="3" xfId="0" applyFont="1" applyBorder="1" applyAlignment="1" applyProtection="1">
      <alignment horizontal="center" vertical="center"/>
      <protection hidden="1"/>
    </xf>
    <xf numFmtId="0" fontId="76" fillId="0" borderId="1" xfId="0" applyFont="1" applyBorder="1" applyAlignment="1" applyProtection="1">
      <alignment horizontal="center" vertical="center"/>
      <protection hidden="1"/>
    </xf>
    <xf numFmtId="0" fontId="76" fillId="0" borderId="6" xfId="0" applyFont="1" applyBorder="1" applyAlignment="1" applyProtection="1">
      <alignment horizontal="center" vertical="center"/>
      <protection hidden="1"/>
    </xf>
    <xf numFmtId="0" fontId="76" fillId="0" borderId="5" xfId="0" applyFont="1" applyBorder="1" applyAlignment="1" applyProtection="1">
      <alignment horizontal="center" vertical="center"/>
      <protection hidden="1"/>
    </xf>
    <xf numFmtId="0" fontId="76" fillId="0" borderId="0" xfId="0" applyFont="1" applyBorder="1" applyAlignment="1" applyProtection="1">
      <alignment horizontal="center" vertical="center"/>
      <protection hidden="1"/>
    </xf>
    <xf numFmtId="0" fontId="76" fillId="0" borderId="10" xfId="0" applyFont="1" applyBorder="1" applyAlignment="1" applyProtection="1">
      <alignment horizontal="center" vertical="center"/>
      <protection hidden="1"/>
    </xf>
    <xf numFmtId="0" fontId="4" fillId="0" borderId="4" xfId="0" applyFont="1" applyBorder="1" applyAlignment="1" applyProtection="1">
      <alignment horizontal="left" vertical="center"/>
      <protection hidden="1"/>
    </xf>
    <xf numFmtId="0" fontId="43" fillId="0" borderId="4" xfId="0" applyFont="1" applyBorder="1" applyAlignment="1" applyProtection="1">
      <alignment horizontal="left" vertical="center"/>
      <protection hidden="1"/>
    </xf>
    <xf numFmtId="0" fontId="104" fillId="13" borderId="2" xfId="0" applyFont="1" applyFill="1" applyBorder="1" applyAlignment="1" applyProtection="1">
      <alignment vertical="center" wrapText="1"/>
      <protection hidden="1"/>
    </xf>
    <xf numFmtId="0" fontId="2" fillId="0" borderId="8" xfId="0" applyFont="1" applyBorder="1" applyAlignment="1" applyProtection="1">
      <alignment horizontal="center" vertical="center"/>
      <protection hidden="1"/>
    </xf>
    <xf numFmtId="0" fontId="43" fillId="0" borderId="4" xfId="0" applyFont="1" applyBorder="1" applyAlignment="1" applyProtection="1">
      <alignment horizontal="center" vertical="center"/>
      <protection hidden="1"/>
    </xf>
    <xf numFmtId="0" fontId="125" fillId="0" borderId="0" xfId="1" applyFont="1" applyFill="1" applyBorder="1" applyAlignment="1" applyProtection="1">
      <alignment vertical="top"/>
      <protection locked="0" hidden="1"/>
    </xf>
    <xf numFmtId="0" fontId="61" fillId="0" borderId="51" xfId="0" applyFont="1" applyBorder="1" applyAlignment="1" applyProtection="1">
      <alignment horizontal="center" vertical="center" shrinkToFit="1"/>
      <protection hidden="1"/>
    </xf>
    <xf numFmtId="0" fontId="67" fillId="0" borderId="82" xfId="2" applyFont="1" applyBorder="1" applyAlignment="1" applyProtection="1">
      <alignment vertical="center"/>
      <protection hidden="1"/>
    </xf>
    <xf numFmtId="0" fontId="67" fillId="0" borderId="191" xfId="2" applyFont="1" applyBorder="1" applyAlignment="1" applyProtection="1">
      <alignment vertical="center"/>
      <protection hidden="1"/>
    </xf>
    <xf numFmtId="0" fontId="61" fillId="0" borderId="0" xfId="0" applyFont="1" applyBorder="1" applyAlignment="1" applyProtection="1">
      <alignment horizontal="center" vertical="center"/>
      <protection hidden="1"/>
    </xf>
    <xf numFmtId="0" fontId="61" fillId="0" borderId="10" xfId="0" applyFont="1" applyBorder="1" applyAlignment="1" applyProtection="1">
      <alignment horizontal="center" vertical="center"/>
      <protection hidden="1"/>
    </xf>
    <xf numFmtId="0" fontId="61" fillId="0" borderId="2" xfId="0" applyFont="1" applyBorder="1" applyAlignment="1" applyProtection="1">
      <alignment horizontal="center" vertical="center"/>
      <protection hidden="1"/>
    </xf>
    <xf numFmtId="0" fontId="61" fillId="0" borderId="11" xfId="0" applyFont="1" applyBorder="1" applyAlignment="1" applyProtection="1">
      <alignment horizontal="center" vertical="center"/>
      <protection hidden="1"/>
    </xf>
    <xf numFmtId="0" fontId="63" fillId="20" borderId="51" xfId="0" applyFont="1" applyFill="1" applyBorder="1" applyAlignment="1" applyProtection="1">
      <alignment vertical="center" wrapText="1"/>
      <protection hidden="1"/>
    </xf>
    <xf numFmtId="0" fontId="61" fillId="0" borderId="52" xfId="0" applyFont="1" applyFill="1" applyBorder="1" applyAlignment="1" applyProtection="1">
      <alignment vertical="center"/>
      <protection hidden="1"/>
    </xf>
    <xf numFmtId="0" fontId="61" fillId="20" borderId="5" xfId="0" applyFont="1" applyFill="1" applyBorder="1" applyAlignment="1" applyProtection="1">
      <alignment horizontal="center" vertical="center" shrinkToFit="1"/>
      <protection hidden="1"/>
    </xf>
    <xf numFmtId="0" fontId="61" fillId="20" borderId="0" xfId="0" applyFont="1" applyFill="1" applyBorder="1" applyAlignment="1" applyProtection="1">
      <alignment horizontal="center" vertical="center" shrinkToFit="1"/>
      <protection hidden="1"/>
    </xf>
    <xf numFmtId="0" fontId="63" fillId="20" borderId="51" xfId="0" applyFont="1" applyFill="1" applyBorder="1" applyAlignment="1" applyProtection="1">
      <alignment horizontal="left" vertical="center" wrapText="1"/>
      <protection hidden="1"/>
    </xf>
    <xf numFmtId="0" fontId="63" fillId="20" borderId="27" xfId="0" applyFont="1" applyFill="1" applyBorder="1" applyAlignment="1" applyProtection="1">
      <alignment horizontal="left" vertical="center" wrapText="1"/>
      <protection hidden="1"/>
    </xf>
    <xf numFmtId="0" fontId="63" fillId="20" borderId="8" xfId="0" applyFont="1" applyFill="1" applyBorder="1" applyAlignment="1" applyProtection="1">
      <alignment horizontal="left" vertical="center" wrapText="1"/>
      <protection hidden="1"/>
    </xf>
    <xf numFmtId="0" fontId="63" fillId="20" borderId="53" xfId="0" applyFont="1" applyFill="1" applyBorder="1" applyAlignment="1" applyProtection="1">
      <alignment horizontal="left" vertical="center" wrapText="1"/>
      <protection hidden="1"/>
    </xf>
    <xf numFmtId="0" fontId="63" fillId="20" borderId="52" xfId="0" applyFont="1" applyFill="1" applyBorder="1" applyAlignment="1" applyProtection="1">
      <alignment vertical="center" wrapText="1"/>
      <protection hidden="1"/>
    </xf>
    <xf numFmtId="49" fontId="61" fillId="0" borderId="51" xfId="0" applyNumberFormat="1" applyFont="1" applyBorder="1" applyAlignment="1" applyProtection="1">
      <alignment horizontal="center" vertical="center" shrinkToFit="1"/>
      <protection hidden="1"/>
    </xf>
    <xf numFmtId="49" fontId="61" fillId="0" borderId="51" xfId="0" applyNumberFormat="1" applyFont="1" applyBorder="1" applyAlignment="1" applyProtection="1">
      <alignment vertical="center" shrinkToFit="1"/>
      <protection hidden="1"/>
    </xf>
    <xf numFmtId="0" fontId="61" fillId="0" borderId="52" xfId="0" applyFont="1" applyBorder="1" applyAlignment="1" applyProtection="1">
      <alignment horizontal="left" vertical="center" shrinkToFit="1"/>
      <protection hidden="1"/>
    </xf>
    <xf numFmtId="0" fontId="58" fillId="0" borderId="0" xfId="2" applyFont="1" applyBorder="1" applyAlignment="1" applyProtection="1">
      <alignment horizontal="center" vertical="center"/>
      <protection hidden="1"/>
    </xf>
    <xf numFmtId="0" fontId="58" fillId="20" borderId="0" xfId="2" applyFont="1" applyFill="1" applyBorder="1" applyAlignment="1" applyProtection="1">
      <alignment horizontal="center" vertical="center"/>
      <protection hidden="1"/>
    </xf>
    <xf numFmtId="0" fontId="58" fillId="0" borderId="0" xfId="2" applyNumberFormat="1" applyFont="1" applyBorder="1" applyAlignment="1" applyProtection="1">
      <alignment horizontal="center" vertical="center" shrinkToFit="1"/>
      <protection hidden="1"/>
    </xf>
    <xf numFmtId="0" fontId="59" fillId="20" borderId="0" xfId="2" applyFont="1" applyFill="1" applyBorder="1" applyAlignment="1" applyProtection="1">
      <alignment horizontal="center" vertical="center"/>
      <protection hidden="1"/>
    </xf>
    <xf numFmtId="0" fontId="63" fillId="20" borderId="52" xfId="0" applyFont="1" applyFill="1" applyBorder="1" applyAlignment="1" applyProtection="1">
      <alignment horizontal="left" vertical="center" wrapText="1" shrinkToFit="1"/>
      <protection hidden="1"/>
    </xf>
    <xf numFmtId="0" fontId="61" fillId="0" borderId="51" xfId="0" applyFont="1" applyBorder="1" applyAlignment="1" applyProtection="1">
      <alignment horizontal="center" vertical="center"/>
      <protection hidden="1"/>
    </xf>
    <xf numFmtId="0" fontId="55" fillId="0" borderId="0" xfId="2" applyFont="1" applyBorder="1" applyAlignment="1" applyProtection="1">
      <alignment horizontal="left" vertical="center" shrinkToFit="1"/>
      <protection hidden="1"/>
    </xf>
    <xf numFmtId="0" fontId="59" fillId="0" borderId="0" xfId="2" applyFont="1" applyBorder="1" applyAlignment="1" applyProtection="1">
      <alignment horizontal="left" vertical="center" shrinkToFit="1"/>
      <protection hidden="1"/>
    </xf>
    <xf numFmtId="0" fontId="61" fillId="0" borderId="51" xfId="0" applyFont="1" applyBorder="1" applyAlignment="1" applyProtection="1">
      <alignment horizontal="left" vertical="center" shrinkToFit="1"/>
      <protection hidden="1"/>
    </xf>
    <xf numFmtId="0" fontId="63" fillId="20" borderId="0" xfId="0" applyFont="1" applyFill="1" applyBorder="1" applyAlignment="1" applyProtection="1">
      <alignment horizontal="left" vertical="center" wrapText="1"/>
      <protection hidden="1"/>
    </xf>
    <xf numFmtId="0" fontId="63" fillId="20" borderId="52" xfId="0" applyFont="1" applyFill="1" applyBorder="1" applyAlignment="1" applyProtection="1">
      <alignment horizontal="left" vertical="center" wrapText="1"/>
      <protection hidden="1"/>
    </xf>
    <xf numFmtId="0" fontId="61" fillId="0" borderId="0" xfId="0" applyFont="1" applyFill="1" applyBorder="1" applyAlignment="1" applyProtection="1">
      <alignment horizontal="left" vertical="center" shrinkToFit="1"/>
      <protection hidden="1"/>
    </xf>
    <xf numFmtId="0" fontId="61" fillId="0" borderId="131" xfId="0" applyFont="1" applyBorder="1" applyAlignment="1" applyProtection="1">
      <alignment horizontal="center" vertical="center"/>
      <protection hidden="1"/>
    </xf>
    <xf numFmtId="0" fontId="61" fillId="20" borderId="51" xfId="0" applyFont="1" applyFill="1" applyBorder="1" applyAlignment="1" applyProtection="1">
      <alignment horizontal="center" vertical="center"/>
      <protection hidden="1"/>
    </xf>
    <xf numFmtId="0" fontId="11" fillId="0" borderId="0" xfId="1" applyFill="1" applyAlignment="1" applyProtection="1">
      <alignment horizontal="right" vertical="center"/>
      <protection locked="0" hidden="1"/>
    </xf>
    <xf numFmtId="0" fontId="108" fillId="13" borderId="0" xfId="2" applyFont="1" applyFill="1" applyBorder="1" applyAlignment="1" applyProtection="1">
      <alignment vertical="center" wrapText="1"/>
      <protection hidden="1"/>
    </xf>
    <xf numFmtId="0" fontId="63" fillId="20" borderId="82" xfId="0" applyFont="1" applyFill="1" applyBorder="1" applyAlignment="1" applyProtection="1">
      <alignment horizontal="left" vertical="center" wrapText="1"/>
      <protection hidden="1"/>
    </xf>
    <xf numFmtId="0" fontId="61" fillId="20" borderId="51" xfId="0" applyFont="1" applyFill="1" applyBorder="1" applyAlignment="1" applyProtection="1">
      <alignment horizontal="left" vertical="center"/>
      <protection hidden="1"/>
    </xf>
    <xf numFmtId="0" fontId="61" fillId="0" borderId="52" xfId="0" applyFont="1" applyBorder="1" applyAlignment="1" applyProtection="1">
      <alignment vertical="center" shrinkToFit="1"/>
      <protection hidden="1"/>
    </xf>
    <xf numFmtId="0" fontId="52" fillId="0" borderId="0" xfId="2" applyFont="1" applyBorder="1" applyAlignment="1" applyProtection="1">
      <alignment horizontal="center" vertical="center"/>
      <protection hidden="1"/>
    </xf>
    <xf numFmtId="0" fontId="53" fillId="0" borderId="34" xfId="2" applyFont="1" applyBorder="1" applyAlignment="1" applyProtection="1">
      <alignment horizontal="right" vertical="center"/>
      <protection hidden="1"/>
    </xf>
    <xf numFmtId="0" fontId="53" fillId="0" borderId="56" xfId="2" applyFont="1" applyBorder="1" applyAlignment="1" applyProtection="1">
      <alignment horizontal="right" vertical="center"/>
      <protection hidden="1"/>
    </xf>
    <xf numFmtId="0" fontId="55" fillId="20" borderId="5" xfId="2" applyFont="1" applyFill="1" applyBorder="1" applyAlignment="1" applyProtection="1">
      <alignment horizontal="center" vertical="center"/>
      <protection hidden="1"/>
    </xf>
    <xf numFmtId="0" fontId="55" fillId="20" borderId="0" xfId="2" applyFont="1" applyFill="1" applyBorder="1" applyAlignment="1" applyProtection="1">
      <alignment horizontal="center" vertical="center"/>
      <protection hidden="1"/>
    </xf>
    <xf numFmtId="0" fontId="60" fillId="0" borderId="0" xfId="2" applyFont="1" applyBorder="1" applyAlignment="1" applyProtection="1">
      <alignment horizontal="left" vertical="center" shrinkToFit="1"/>
      <protection hidden="1"/>
    </xf>
    <xf numFmtId="0" fontId="53" fillId="0" borderId="56" xfId="2" applyFont="1" applyBorder="1" applyAlignment="1" applyProtection="1">
      <alignment horizontal="left" vertical="center"/>
      <protection hidden="1"/>
    </xf>
    <xf numFmtId="0" fontId="53" fillId="0" borderId="35" xfId="2" applyFont="1" applyBorder="1" applyAlignment="1" applyProtection="1">
      <alignment horizontal="left" vertical="center"/>
      <protection hidden="1"/>
    </xf>
    <xf numFmtId="0" fontId="54" fillId="0" borderId="34" xfId="2" applyFont="1" applyBorder="1" applyAlignment="1" applyProtection="1">
      <alignment horizontal="center" vertical="center" shrinkToFit="1"/>
      <protection hidden="1"/>
    </xf>
    <xf numFmtId="0" fontId="54" fillId="0" borderId="56" xfId="2" applyFont="1" applyBorder="1" applyAlignment="1" applyProtection="1">
      <alignment horizontal="center" vertical="center" shrinkToFit="1"/>
      <protection hidden="1"/>
    </xf>
    <xf numFmtId="0" fontId="54" fillId="0" borderId="35" xfId="2" applyFont="1" applyBorder="1" applyAlignment="1" applyProtection="1">
      <alignment horizontal="center" vertical="center" shrinkToFit="1"/>
      <protection hidden="1"/>
    </xf>
    <xf numFmtId="0" fontId="55" fillId="20" borderId="5" xfId="2" applyFont="1" applyFill="1" applyBorder="1" applyAlignment="1" applyProtection="1">
      <alignment horizontal="center" vertical="center" wrapText="1"/>
      <protection hidden="1"/>
    </xf>
    <xf numFmtId="0" fontId="55" fillId="20" borderId="0" xfId="2" applyFont="1" applyFill="1" applyBorder="1" applyAlignment="1" applyProtection="1">
      <alignment horizontal="center" vertical="center" wrapText="1"/>
      <protection hidden="1"/>
    </xf>
    <xf numFmtId="0" fontId="61" fillId="0" borderId="186" xfId="0" applyFont="1" applyBorder="1" applyAlignment="1" applyProtection="1">
      <alignment horizontal="center" vertical="center"/>
      <protection hidden="1"/>
    </xf>
    <xf numFmtId="0" fontId="61" fillId="20" borderId="52" xfId="0" applyFont="1" applyFill="1" applyBorder="1" applyAlignment="1" applyProtection="1">
      <alignment horizontal="left" vertical="center"/>
      <protection hidden="1"/>
    </xf>
    <xf numFmtId="0" fontId="61" fillId="0" borderId="52" xfId="0" applyFont="1" applyBorder="1" applyAlignment="1" applyProtection="1">
      <alignment horizontal="center" vertical="center"/>
      <protection hidden="1"/>
    </xf>
    <xf numFmtId="0" fontId="61" fillId="0" borderId="187" xfId="0" applyFont="1" applyBorder="1" applyAlignment="1" applyProtection="1">
      <alignment horizontal="center" vertical="center"/>
      <protection hidden="1"/>
    </xf>
    <xf numFmtId="0" fontId="68" fillId="0" borderId="82" xfId="2" applyFont="1" applyBorder="1" applyAlignment="1" applyProtection="1">
      <alignment vertical="center"/>
      <protection hidden="1"/>
    </xf>
    <xf numFmtId="0" fontId="68" fillId="0" borderId="191" xfId="2" applyFont="1" applyBorder="1" applyAlignment="1" applyProtection="1">
      <alignment vertical="center"/>
      <protection hidden="1"/>
    </xf>
    <xf numFmtId="0" fontId="68" fillId="0" borderId="2" xfId="2" applyFont="1" applyBorder="1" applyAlignment="1" applyProtection="1">
      <alignment vertical="center"/>
      <protection hidden="1"/>
    </xf>
    <xf numFmtId="0" fontId="68" fillId="0" borderId="11" xfId="2" applyFont="1" applyBorder="1" applyAlignment="1" applyProtection="1">
      <alignment vertical="center"/>
      <protection hidden="1"/>
    </xf>
    <xf numFmtId="0" fontId="70" fillId="0" borderId="0" xfId="2" applyFont="1" applyBorder="1" applyAlignment="1" applyProtection="1">
      <alignment horizontal="center" vertical="center" shrinkToFit="1"/>
      <protection hidden="1"/>
    </xf>
    <xf numFmtId="0" fontId="67" fillId="0" borderId="1" xfId="7" applyFont="1" applyBorder="1" applyAlignment="1" applyProtection="1">
      <alignment vertical="center" wrapText="1"/>
      <protection hidden="1"/>
    </xf>
    <xf numFmtId="0" fontId="67" fillId="0" borderId="1" xfId="7" applyFont="1" applyBorder="1" applyAlignment="1" applyProtection="1">
      <alignment vertical="center"/>
      <protection hidden="1"/>
    </xf>
    <xf numFmtId="0" fontId="67" fillId="0" borderId="6" xfId="7" applyFont="1" applyBorder="1" applyAlignment="1" applyProtection="1">
      <alignment vertical="center"/>
      <protection hidden="1"/>
    </xf>
    <xf numFmtId="0" fontId="67" fillId="0" borderId="0" xfId="7" applyFont="1" applyBorder="1" applyAlignment="1" applyProtection="1">
      <alignment vertical="center"/>
      <protection hidden="1"/>
    </xf>
    <xf numFmtId="0" fontId="67" fillId="0" borderId="10" xfId="7" applyFont="1" applyBorder="1" applyAlignment="1" applyProtection="1">
      <alignment vertical="center"/>
      <protection hidden="1"/>
    </xf>
    <xf numFmtId="0" fontId="67" fillId="0" borderId="2" xfId="7" applyFont="1" applyBorder="1" applyAlignment="1" applyProtection="1">
      <alignment vertical="center"/>
      <protection hidden="1"/>
    </xf>
    <xf numFmtId="0" fontId="67" fillId="0" borderId="11" xfId="7" applyFont="1" applyBorder="1" applyAlignment="1" applyProtection="1">
      <alignment vertical="center"/>
      <protection hidden="1"/>
    </xf>
    <xf numFmtId="0" fontId="61" fillId="0" borderId="51" xfId="0" applyFont="1" applyFill="1" applyBorder="1" applyAlignment="1" applyProtection="1">
      <alignment vertical="center" shrinkToFit="1"/>
      <protection hidden="1"/>
    </xf>
    <xf numFmtId="0" fontId="55" fillId="0" borderId="3" xfId="2" applyFont="1" applyBorder="1" applyAlignment="1" applyProtection="1">
      <alignment vertical="top"/>
      <protection hidden="1"/>
    </xf>
    <xf numFmtId="0" fontId="55" fillId="0" borderId="1" xfId="2" applyFont="1" applyBorder="1" applyAlignment="1" applyProtection="1">
      <alignment vertical="top"/>
      <protection hidden="1"/>
    </xf>
    <xf numFmtId="0" fontId="55" fillId="0" borderId="6" xfId="2" applyFont="1" applyBorder="1" applyAlignment="1" applyProtection="1">
      <alignment vertical="top"/>
      <protection hidden="1"/>
    </xf>
    <xf numFmtId="0" fontId="55" fillId="0" borderId="5" xfId="2" applyFont="1" applyBorder="1" applyAlignment="1" applyProtection="1">
      <alignment vertical="top"/>
      <protection hidden="1"/>
    </xf>
    <xf numFmtId="0" fontId="55" fillId="0" borderId="0" xfId="2" applyFont="1" applyBorder="1" applyAlignment="1" applyProtection="1">
      <alignment vertical="top"/>
      <protection hidden="1"/>
    </xf>
    <xf numFmtId="0" fontId="55" fillId="0" borderId="10" xfId="2" applyFont="1" applyBorder="1" applyAlignment="1" applyProtection="1">
      <alignment vertical="top"/>
      <protection hidden="1"/>
    </xf>
    <xf numFmtId="0" fontId="55" fillId="0" borderId="28" xfId="2" applyFont="1" applyBorder="1" applyAlignment="1" applyProtection="1">
      <alignment vertical="top"/>
      <protection hidden="1"/>
    </xf>
    <xf numFmtId="0" fontId="55" fillId="0" borderId="2" xfId="2" applyFont="1" applyBorder="1" applyAlignment="1" applyProtection="1">
      <alignment vertical="top"/>
      <protection hidden="1"/>
    </xf>
    <xf numFmtId="0" fontId="55" fillId="0" borderId="11" xfId="2" applyFont="1" applyBorder="1" applyAlignment="1" applyProtection="1">
      <alignment vertical="top"/>
      <protection hidden="1"/>
    </xf>
    <xf numFmtId="0" fontId="63" fillId="20" borderId="82" xfId="0" applyFont="1" applyFill="1" applyBorder="1" applyAlignment="1" applyProtection="1">
      <alignment vertical="center"/>
      <protection hidden="1"/>
    </xf>
    <xf numFmtId="0" fontId="63" fillId="20" borderId="0" xfId="0" applyFont="1" applyFill="1" applyBorder="1" applyAlignment="1" applyProtection="1">
      <alignment vertical="center"/>
      <protection hidden="1"/>
    </xf>
    <xf numFmtId="0" fontId="63" fillId="20" borderId="52" xfId="0" applyFont="1" applyFill="1" applyBorder="1" applyAlignment="1" applyProtection="1">
      <alignment vertical="center"/>
      <protection hidden="1"/>
    </xf>
    <xf numFmtId="0" fontId="63" fillId="20" borderId="0" xfId="0" applyFont="1" applyFill="1" applyBorder="1" applyAlignment="1" applyProtection="1">
      <alignment vertical="center" wrapText="1"/>
      <protection hidden="1"/>
    </xf>
    <xf numFmtId="178" fontId="35" fillId="0" borderId="0" xfId="3" applyNumberFormat="1" applyFont="1" applyFill="1" applyBorder="1" applyAlignment="1" applyProtection="1">
      <alignment horizontal="right" vertical="center" shrinkToFit="1"/>
      <protection hidden="1"/>
    </xf>
    <xf numFmtId="0" fontId="35" fillId="0" borderId="0" xfId="3" applyNumberFormat="1" applyFont="1" applyFill="1" applyBorder="1" applyAlignment="1" applyProtection="1">
      <alignment horizontal="center" vertical="center" shrinkToFit="1"/>
      <protection hidden="1"/>
    </xf>
    <xf numFmtId="177" fontId="35" fillId="0" borderId="0" xfId="3" applyNumberFormat="1" applyFont="1" applyFill="1" applyBorder="1" applyAlignment="1" applyProtection="1">
      <alignment horizontal="center" vertical="center" shrinkToFit="1"/>
      <protection hidden="1"/>
    </xf>
    <xf numFmtId="0" fontId="35" fillId="0" borderId="0" xfId="3" applyFont="1" applyFill="1" applyBorder="1" applyAlignment="1" applyProtection="1">
      <alignment horizontal="center" vertical="center"/>
      <protection hidden="1"/>
    </xf>
    <xf numFmtId="0" fontId="33" fillId="0" borderId="7" xfId="5" applyFont="1" applyBorder="1" applyAlignment="1" applyProtection="1">
      <alignment horizontal="center" vertical="center"/>
      <protection hidden="1"/>
    </xf>
    <xf numFmtId="0" fontId="33" fillId="0" borderId="8" xfId="5" applyFont="1" applyBorder="1" applyAlignment="1" applyProtection="1">
      <alignment horizontal="center" vertical="center"/>
      <protection hidden="1"/>
    </xf>
    <xf numFmtId="0" fontId="33" fillId="0" borderId="9" xfId="5" applyFont="1" applyBorder="1" applyAlignment="1" applyProtection="1">
      <alignment horizontal="center" vertical="center"/>
      <protection hidden="1"/>
    </xf>
    <xf numFmtId="0" fontId="199" fillId="0" borderId="0" xfId="3" applyFont="1" applyFill="1" applyBorder="1" applyAlignment="1" applyProtection="1">
      <alignment horizontal="left" shrinkToFit="1"/>
      <protection hidden="1"/>
    </xf>
    <xf numFmtId="0" fontId="199" fillId="0" borderId="0" xfId="3" applyFont="1" applyFill="1" applyBorder="1" applyAlignment="1" applyProtection="1">
      <alignment horizontal="center"/>
      <protection hidden="1"/>
    </xf>
    <xf numFmtId="181" fontId="199" fillId="0" borderId="0" xfId="3" applyNumberFormat="1" applyFont="1" applyFill="1" applyBorder="1" applyAlignment="1" applyProtection="1">
      <alignment horizontal="center" shrinkToFit="1"/>
      <protection hidden="1"/>
    </xf>
    <xf numFmtId="176" fontId="199" fillId="0" borderId="0" xfId="3" applyNumberFormat="1" applyFont="1" applyFill="1" applyBorder="1" applyAlignment="1" applyProtection="1">
      <alignment horizontal="left" shrinkToFit="1"/>
      <protection hidden="1"/>
    </xf>
    <xf numFmtId="0" fontId="199" fillId="0" borderId="0" xfId="3" applyFont="1" applyFill="1" applyBorder="1" applyAlignment="1" applyProtection="1">
      <alignment horizontal="left"/>
      <protection hidden="1"/>
    </xf>
    <xf numFmtId="0" fontId="169" fillId="0" borderId="0" xfId="5" applyFont="1" applyFill="1" applyAlignment="1" applyProtection="1">
      <alignment horizontal="center" vertical="center"/>
      <protection hidden="1"/>
    </xf>
    <xf numFmtId="0" fontId="35" fillId="0" borderId="0" xfId="3" applyFont="1" applyFill="1" applyBorder="1" applyAlignment="1" applyProtection="1">
      <alignment horizontal="center" vertical="center" shrinkToFit="1"/>
      <protection hidden="1"/>
    </xf>
    <xf numFmtId="0" fontId="35" fillId="0" borderId="0" xfId="3" applyFont="1" applyFill="1" applyBorder="1" applyAlignment="1" applyProtection="1">
      <alignment horizontal="left" shrinkToFit="1"/>
      <protection hidden="1"/>
    </xf>
    <xf numFmtId="176" fontId="35" fillId="0" borderId="0" xfId="3" applyNumberFormat="1" applyFont="1" applyFill="1" applyBorder="1" applyAlignment="1" applyProtection="1">
      <alignment horizontal="left" wrapText="1" shrinkToFit="1"/>
      <protection hidden="1"/>
    </xf>
    <xf numFmtId="176" fontId="35" fillId="0" borderId="0" xfId="3" applyNumberFormat="1" applyFont="1" applyFill="1" applyBorder="1" applyAlignment="1" applyProtection="1">
      <alignment horizontal="left" shrinkToFit="1"/>
      <protection hidden="1"/>
    </xf>
    <xf numFmtId="186" fontId="197" fillId="0" borderId="5" xfId="0" applyNumberFormat="1" applyFont="1" applyFill="1" applyBorder="1" applyAlignment="1" applyProtection="1">
      <alignment horizontal="right" vertical="center" shrinkToFit="1"/>
      <protection hidden="1"/>
    </xf>
    <xf numFmtId="186" fontId="197" fillId="0" borderId="0" xfId="0" applyNumberFormat="1" applyFont="1" applyFill="1" applyBorder="1" applyAlignment="1" applyProtection="1">
      <alignment horizontal="right" vertical="center" shrinkToFit="1"/>
      <protection hidden="1"/>
    </xf>
    <xf numFmtId="186" fontId="197" fillId="0" borderId="28" xfId="0" applyNumberFormat="1" applyFont="1" applyFill="1" applyBorder="1" applyAlignment="1" applyProtection="1">
      <alignment horizontal="right" vertical="center" shrinkToFit="1"/>
      <protection hidden="1"/>
    </xf>
    <xf numFmtId="186" fontId="197" fillId="0" borderId="2" xfId="0" applyNumberFormat="1" applyFont="1" applyFill="1" applyBorder="1" applyAlignment="1" applyProtection="1">
      <alignment horizontal="right" vertical="center" shrinkToFit="1"/>
      <protection hidden="1"/>
    </xf>
    <xf numFmtId="186" fontId="197" fillId="0" borderId="3" xfId="0" applyNumberFormat="1" applyFont="1" applyFill="1" applyBorder="1" applyAlignment="1" applyProtection="1">
      <alignment horizontal="right" vertical="center" shrinkToFit="1"/>
      <protection hidden="1"/>
    </xf>
    <xf numFmtId="186" fontId="197" fillId="0" borderId="1" xfId="0" applyNumberFormat="1" applyFont="1" applyFill="1" applyBorder="1" applyAlignment="1" applyProtection="1">
      <alignment horizontal="right" vertical="center" shrinkToFit="1"/>
      <protection hidden="1"/>
    </xf>
    <xf numFmtId="0" fontId="194" fillId="0" borderId="0" xfId="1" applyFont="1" applyFill="1" applyAlignment="1" applyProtection="1">
      <alignment horizontal="center" vertical="center"/>
      <protection hidden="1"/>
    </xf>
    <xf numFmtId="0" fontId="35" fillId="0" borderId="0" xfId="3" applyFont="1" applyFill="1" applyBorder="1" applyAlignment="1" applyProtection="1">
      <alignment horizontal="center"/>
      <protection hidden="1"/>
    </xf>
    <xf numFmtId="0" fontId="33" fillId="0" borderId="3" xfId="0" applyFont="1" applyFill="1" applyBorder="1" applyAlignment="1" applyProtection="1">
      <alignment horizontal="left" vertical="top" wrapText="1" shrinkToFit="1"/>
      <protection hidden="1"/>
    </xf>
    <xf numFmtId="0" fontId="33" fillId="0" borderId="1" xfId="0" applyFont="1" applyFill="1" applyBorder="1" applyAlignment="1" applyProtection="1">
      <alignment horizontal="left" vertical="top" wrapText="1" shrinkToFit="1"/>
      <protection hidden="1"/>
    </xf>
    <xf numFmtId="0" fontId="33" fillId="0" borderId="6" xfId="0" applyFont="1" applyFill="1" applyBorder="1" applyAlignment="1" applyProtection="1">
      <alignment horizontal="left" vertical="top" wrapText="1" shrinkToFit="1"/>
      <protection hidden="1"/>
    </xf>
    <xf numFmtId="0" fontId="130" fillId="0" borderId="5" xfId="0" applyFont="1" applyBorder="1" applyAlignment="1" applyProtection="1">
      <alignment horizontal="left" vertical="top" wrapText="1" shrinkToFit="1"/>
      <protection hidden="1"/>
    </xf>
    <xf numFmtId="0" fontId="130" fillId="0" borderId="0" xfId="0" applyFont="1" applyAlignment="1" applyProtection="1">
      <alignment horizontal="left" vertical="top" wrapText="1" shrinkToFit="1"/>
      <protection hidden="1"/>
    </xf>
    <xf numFmtId="0" fontId="130" fillId="0" borderId="10" xfId="0" applyFont="1" applyBorder="1" applyAlignment="1" applyProtection="1">
      <alignment horizontal="left" vertical="top" wrapText="1" shrinkToFit="1"/>
      <protection hidden="1"/>
    </xf>
    <xf numFmtId="0" fontId="130" fillId="0" borderId="28" xfId="0" applyFont="1" applyBorder="1" applyAlignment="1" applyProtection="1">
      <alignment horizontal="left" vertical="top" wrapText="1" shrinkToFit="1"/>
      <protection hidden="1"/>
    </xf>
    <xf numFmtId="0" fontId="130" fillId="0" borderId="2" xfId="0" applyFont="1" applyBorder="1" applyAlignment="1" applyProtection="1">
      <alignment horizontal="left" vertical="top" wrapText="1" shrinkToFit="1"/>
      <protection hidden="1"/>
    </xf>
    <xf numFmtId="0" fontId="130" fillId="0" borderId="11" xfId="0" applyFont="1" applyBorder="1" applyAlignment="1" applyProtection="1">
      <alignment horizontal="left" vertical="top" wrapText="1" shrinkToFit="1"/>
      <protection hidden="1"/>
    </xf>
    <xf numFmtId="0" fontId="33" fillId="0" borderId="20" xfId="0" applyFont="1" applyFill="1" applyBorder="1" applyAlignment="1" applyProtection="1">
      <alignment horizontal="center" vertical="center" shrinkToFit="1"/>
      <protection hidden="1"/>
    </xf>
    <xf numFmtId="0" fontId="130" fillId="0" borderId="5" xfId="0" applyFont="1" applyBorder="1" applyAlignment="1" applyProtection="1">
      <alignment vertical="top" wrapText="1" shrinkToFit="1"/>
      <protection hidden="1"/>
    </xf>
    <xf numFmtId="0" fontId="130" fillId="0" borderId="0" xfId="0" applyFont="1" applyAlignment="1" applyProtection="1">
      <alignment vertical="top" wrapText="1" shrinkToFit="1"/>
      <protection hidden="1"/>
    </xf>
    <xf numFmtId="0" fontId="130" fillId="0" borderId="10" xfId="0" applyFont="1" applyBorder="1" applyAlignment="1" applyProtection="1">
      <alignment vertical="top" wrapText="1" shrinkToFit="1"/>
      <protection hidden="1"/>
    </xf>
    <xf numFmtId="0" fontId="130" fillId="0" borderId="28" xfId="0" applyFont="1" applyBorder="1" applyAlignment="1" applyProtection="1">
      <alignment vertical="top" wrapText="1" shrinkToFit="1"/>
      <protection hidden="1"/>
    </xf>
    <xf numFmtId="0" fontId="130" fillId="0" borderId="2" xfId="0" applyFont="1" applyBorder="1" applyAlignment="1" applyProtection="1">
      <alignment vertical="top" wrapText="1" shrinkToFit="1"/>
      <protection hidden="1"/>
    </xf>
    <xf numFmtId="0" fontId="130" fillId="0" borderId="11" xfId="0" applyFont="1" applyBorder="1" applyAlignment="1" applyProtection="1">
      <alignment vertical="top" wrapText="1" shrinkToFit="1"/>
      <protection hidden="1"/>
    </xf>
    <xf numFmtId="0" fontId="130" fillId="0" borderId="20" xfId="0" applyFont="1" applyFill="1" applyBorder="1" applyAlignment="1" applyProtection="1">
      <alignment horizontal="center" vertical="center" shrinkToFit="1"/>
      <protection hidden="1"/>
    </xf>
    <xf numFmtId="0" fontId="33" fillId="0" borderId="3" xfId="0" applyFont="1" applyFill="1" applyBorder="1" applyAlignment="1" applyProtection="1">
      <alignment vertical="center" shrinkToFit="1"/>
      <protection hidden="1"/>
    </xf>
    <xf numFmtId="0" fontId="130" fillId="0" borderId="1" xfId="0" applyFont="1" applyBorder="1" applyAlignment="1" applyProtection="1">
      <alignment vertical="center" shrinkToFit="1"/>
      <protection hidden="1"/>
    </xf>
    <xf numFmtId="0" fontId="130" fillId="0" borderId="6" xfId="0" applyFont="1" applyBorder="1" applyAlignment="1" applyProtection="1">
      <alignment vertical="center" shrinkToFit="1"/>
      <protection hidden="1"/>
    </xf>
    <xf numFmtId="0" fontId="33" fillId="0" borderId="3" xfId="0" applyFont="1" applyFill="1" applyBorder="1" applyAlignment="1" applyProtection="1">
      <alignment horizontal="left" vertical="center" shrinkToFit="1"/>
      <protection hidden="1"/>
    </xf>
    <xf numFmtId="0" fontId="33" fillId="0" borderId="5" xfId="0" applyFont="1" applyFill="1" applyBorder="1" applyAlignment="1" applyProtection="1">
      <alignment horizontal="left" vertical="center" shrinkToFit="1"/>
      <protection hidden="1"/>
    </xf>
    <xf numFmtId="0" fontId="130" fillId="0" borderId="0" xfId="0" applyFont="1" applyAlignment="1" applyProtection="1">
      <alignment vertical="center" shrinkToFit="1"/>
      <protection hidden="1"/>
    </xf>
    <xf numFmtId="0" fontId="130" fillId="0" borderId="10" xfId="0" applyFont="1" applyBorder="1" applyAlignment="1" applyProtection="1">
      <alignment vertical="center" shrinkToFit="1"/>
      <protection hidden="1"/>
    </xf>
    <xf numFmtId="0" fontId="35" fillId="0" borderId="0" xfId="3" applyFont="1" applyFill="1" applyBorder="1" applyAlignment="1" applyProtection="1">
      <alignment horizontal="center" shrinkToFit="1"/>
      <protection hidden="1"/>
    </xf>
    <xf numFmtId="181" fontId="35" fillId="0" borderId="0" xfId="3" applyNumberFormat="1" applyFont="1" applyFill="1" applyBorder="1" applyAlignment="1" applyProtection="1">
      <alignment horizontal="left"/>
      <protection hidden="1"/>
    </xf>
    <xf numFmtId="0" fontId="35" fillId="0" borderId="0" xfId="3" applyFont="1" applyFill="1" applyBorder="1" applyAlignment="1" applyProtection="1">
      <alignment vertical="center" shrinkToFit="1"/>
      <protection hidden="1"/>
    </xf>
    <xf numFmtId="181" fontId="35" fillId="0" borderId="0" xfId="3" applyNumberFormat="1" applyFont="1" applyFill="1" applyBorder="1" applyAlignment="1" applyProtection="1">
      <alignment horizontal="center"/>
      <protection hidden="1"/>
    </xf>
    <xf numFmtId="0" fontId="35" fillId="0" borderId="0" xfId="3" applyNumberFormat="1" applyFont="1" applyFill="1" applyBorder="1" applyAlignment="1" applyProtection="1">
      <alignment horizontal="center" shrinkToFit="1"/>
      <protection hidden="1"/>
    </xf>
    <xf numFmtId="181" fontId="35" fillId="0" borderId="0" xfId="0" applyNumberFormat="1" applyFont="1" applyFill="1" applyBorder="1" applyAlignment="1" applyProtection="1">
      <alignment horizontal="center" vertical="center" shrinkToFit="1"/>
      <protection hidden="1"/>
    </xf>
    <xf numFmtId="181" fontId="198" fillId="0" borderId="0" xfId="0" applyNumberFormat="1" applyFont="1" applyFill="1" applyBorder="1" applyAlignment="1" applyProtection="1">
      <alignment horizontal="center" vertical="center" shrinkToFit="1"/>
      <protection hidden="1"/>
    </xf>
    <xf numFmtId="0" fontId="35" fillId="0" borderId="0" xfId="0" applyFont="1" applyFill="1" applyBorder="1" applyAlignment="1" applyProtection="1">
      <alignment horizontal="center" vertical="center" shrinkToFit="1"/>
      <protection hidden="1"/>
    </xf>
    <xf numFmtId="0" fontId="35" fillId="0" borderId="0" xfId="3" applyFont="1" applyFill="1" applyBorder="1" applyAlignment="1" applyProtection="1">
      <alignment horizontal="left" vertical="center" shrinkToFit="1"/>
      <protection hidden="1"/>
    </xf>
    <xf numFmtId="0" fontId="130" fillId="0" borderId="0" xfId="0" applyFont="1" applyFill="1" applyBorder="1" applyAlignment="1" applyProtection="1">
      <alignment horizontal="left" vertical="center" shrinkToFit="1"/>
      <protection hidden="1"/>
    </xf>
    <xf numFmtId="181" fontId="35" fillId="0" borderId="0" xfId="3" applyNumberFormat="1" applyFont="1" applyFill="1" applyBorder="1" applyAlignment="1" applyProtection="1">
      <alignment horizontal="left" wrapText="1" shrinkToFit="1"/>
      <protection hidden="1"/>
    </xf>
    <xf numFmtId="181" fontId="35" fillId="0" borderId="0" xfId="3" applyNumberFormat="1" applyFont="1" applyFill="1" applyBorder="1" applyAlignment="1" applyProtection="1">
      <alignment horizontal="left" shrinkToFit="1"/>
      <protection hidden="1"/>
    </xf>
    <xf numFmtId="0" fontId="35" fillId="0" borderId="0" xfId="3" applyFont="1" applyFill="1" applyBorder="1" applyAlignment="1" applyProtection="1">
      <alignment horizontal="left"/>
      <protection hidden="1"/>
    </xf>
    <xf numFmtId="0" fontId="194" fillId="0" borderId="0" xfId="1" applyFont="1" applyFill="1" applyBorder="1" applyAlignment="1" applyProtection="1">
      <alignment horizontal="left" vertical="center" shrinkToFit="1"/>
      <protection hidden="1"/>
    </xf>
    <xf numFmtId="181" fontId="35" fillId="0" borderId="0" xfId="3" applyNumberFormat="1" applyFont="1" applyFill="1" applyBorder="1" applyAlignment="1" applyProtection="1">
      <alignment horizontal="left" vertical="center" shrinkToFit="1"/>
      <protection hidden="1"/>
    </xf>
    <xf numFmtId="0" fontId="35" fillId="0" borderId="0" xfId="3" applyNumberFormat="1" applyFont="1" applyFill="1" applyBorder="1" applyAlignment="1" applyProtection="1">
      <alignment horizontal="left" vertical="center" shrinkToFit="1"/>
      <protection hidden="1"/>
    </xf>
    <xf numFmtId="0" fontId="196" fillId="0" borderId="0" xfId="5" applyFont="1" applyFill="1" applyAlignment="1" applyProtection="1">
      <alignment horizontal="left" vertical="top" wrapText="1"/>
      <protection hidden="1"/>
    </xf>
    <xf numFmtId="49" fontId="196" fillId="0" borderId="0" xfId="5" applyNumberFormat="1" applyFont="1" applyFill="1" applyAlignment="1" applyProtection="1">
      <alignment horizontal="center" vertical="center"/>
      <protection hidden="1"/>
    </xf>
    <xf numFmtId="0" fontId="196" fillId="0" borderId="0" xfId="5" applyFont="1" applyFill="1" applyAlignment="1" applyProtection="1">
      <alignment horizontal="center" vertical="center"/>
      <protection hidden="1"/>
    </xf>
    <xf numFmtId="0" fontId="197" fillId="0" borderId="0" xfId="5" applyFont="1" applyFill="1" applyAlignment="1" applyProtection="1">
      <alignment horizontal="right"/>
      <protection hidden="1"/>
    </xf>
    <xf numFmtId="0" fontId="169" fillId="0" borderId="3" xfId="0" applyFont="1" applyFill="1" applyBorder="1" applyAlignment="1" applyProtection="1">
      <alignment vertical="center" shrinkToFit="1"/>
      <protection hidden="1"/>
    </xf>
    <xf numFmtId="0" fontId="130" fillId="0" borderId="1" xfId="0" applyFont="1" applyBorder="1" applyAlignment="1" applyProtection="1">
      <alignment horizontal="left" vertical="top" wrapText="1" shrinkToFit="1"/>
      <protection hidden="1"/>
    </xf>
    <xf numFmtId="0" fontId="130" fillId="0" borderId="1" xfId="0" applyFont="1" applyBorder="1" applyAlignment="1" applyProtection="1">
      <alignment horizontal="left" vertical="top" wrapText="1"/>
      <protection hidden="1"/>
    </xf>
    <xf numFmtId="0" fontId="130" fillId="0" borderId="6" xfId="0" applyFont="1" applyBorder="1" applyAlignment="1" applyProtection="1">
      <alignment horizontal="left" vertical="top" wrapText="1"/>
      <protection hidden="1"/>
    </xf>
    <xf numFmtId="0" fontId="33" fillId="0" borderId="5" xfId="0" applyFont="1" applyFill="1" applyBorder="1" applyAlignment="1" applyProtection="1">
      <alignment horizontal="left" vertical="top" wrapText="1" shrinkToFit="1"/>
      <protection hidden="1"/>
    </xf>
    <xf numFmtId="0" fontId="130" fillId="0" borderId="0" xfId="0" applyFont="1" applyBorder="1" applyAlignment="1" applyProtection="1">
      <alignment horizontal="left" vertical="top" wrapText="1" shrinkToFit="1"/>
      <protection hidden="1"/>
    </xf>
    <xf numFmtId="0" fontId="130" fillId="0" borderId="0" xfId="0" applyFont="1" applyBorder="1" applyAlignment="1" applyProtection="1">
      <alignment horizontal="left" vertical="top" wrapText="1"/>
      <protection hidden="1"/>
    </xf>
    <xf numFmtId="0" fontId="130" fillId="0" borderId="10" xfId="0" applyFont="1" applyBorder="1" applyAlignment="1" applyProtection="1">
      <alignment horizontal="left" vertical="top" wrapText="1"/>
      <protection hidden="1"/>
    </xf>
    <xf numFmtId="0" fontId="130" fillId="0" borderId="5" xfId="0" applyFont="1" applyBorder="1" applyAlignment="1" applyProtection="1">
      <alignment horizontal="left" vertical="top" wrapText="1"/>
      <protection hidden="1"/>
    </xf>
    <xf numFmtId="0" fontId="130" fillId="0" borderId="0" xfId="0" applyFont="1" applyAlignment="1" applyProtection="1">
      <alignment horizontal="left" vertical="top" wrapText="1"/>
      <protection hidden="1"/>
    </xf>
    <xf numFmtId="0" fontId="130" fillId="0" borderId="28" xfId="0" applyFont="1" applyBorder="1" applyAlignment="1" applyProtection="1">
      <alignment horizontal="left" vertical="top" wrapText="1"/>
      <protection hidden="1"/>
    </xf>
    <xf numFmtId="0" fontId="130" fillId="0" borderId="2" xfId="0" applyFont="1" applyBorder="1" applyAlignment="1" applyProtection="1">
      <alignment horizontal="left" vertical="top" wrapText="1"/>
      <protection hidden="1"/>
    </xf>
    <xf numFmtId="0" fontId="130" fillId="0" borderId="11" xfId="0" applyFont="1" applyBorder="1" applyAlignment="1" applyProtection="1">
      <alignment horizontal="left" vertical="top" wrapText="1"/>
      <protection hidden="1"/>
    </xf>
    <xf numFmtId="0" fontId="199" fillId="0" borderId="0" xfId="3" applyNumberFormat="1" applyFont="1" applyFill="1" applyBorder="1" applyAlignment="1" applyProtection="1">
      <alignment horizontal="center"/>
      <protection hidden="1"/>
    </xf>
    <xf numFmtId="0" fontId="35" fillId="0" borderId="0" xfId="3" applyFont="1" applyFill="1" applyBorder="1" applyAlignment="1" applyProtection="1">
      <alignment shrinkToFit="1"/>
      <protection hidden="1"/>
    </xf>
    <xf numFmtId="49" fontId="35" fillId="0" borderId="0" xfId="3" applyNumberFormat="1" applyFont="1" applyFill="1" applyBorder="1" applyAlignment="1" applyProtection="1">
      <alignment horizontal="center" vertical="center" shrinkToFit="1"/>
      <protection hidden="1"/>
    </xf>
    <xf numFmtId="0" fontId="35" fillId="0" borderId="0" xfId="3" applyFont="1" applyFill="1" applyBorder="1" applyAlignment="1" applyProtection="1">
      <alignment vertical="center"/>
      <protection hidden="1"/>
    </xf>
    <xf numFmtId="0" fontId="35" fillId="0" borderId="0" xfId="3" applyFont="1" applyFill="1" applyBorder="1" applyAlignment="1" applyProtection="1">
      <protection hidden="1"/>
    </xf>
    <xf numFmtId="176" fontId="35" fillId="0" borderId="0" xfId="3" applyNumberFormat="1" applyFont="1" applyFill="1" applyBorder="1" applyAlignment="1" applyProtection="1">
      <alignment horizontal="left" vertical="center" shrinkToFit="1"/>
      <protection hidden="1"/>
    </xf>
    <xf numFmtId="181" fontId="35" fillId="0" borderId="0" xfId="3" applyNumberFormat="1" applyFont="1" applyFill="1" applyBorder="1" applyAlignment="1" applyProtection="1">
      <alignment horizontal="center" vertical="center" shrinkToFit="1"/>
      <protection hidden="1"/>
    </xf>
    <xf numFmtId="181" fontId="130" fillId="0" borderId="0" xfId="0" applyNumberFormat="1" applyFont="1" applyAlignment="1" applyProtection="1">
      <alignment vertical="center"/>
      <protection hidden="1"/>
    </xf>
    <xf numFmtId="0" fontId="130" fillId="0" borderId="0" xfId="0" applyFont="1" applyAlignment="1" applyProtection="1">
      <alignment vertical="center"/>
      <protection hidden="1"/>
    </xf>
    <xf numFmtId="0" fontId="169" fillId="0" borderId="3" xfId="5" applyFont="1" applyFill="1" applyBorder="1" applyAlignment="1" applyProtection="1">
      <alignment horizontal="center" shrinkToFit="1"/>
      <protection hidden="1"/>
    </xf>
    <xf numFmtId="0" fontId="169" fillId="0" borderId="1" xfId="5" applyFont="1" applyFill="1" applyBorder="1" applyAlignment="1" applyProtection="1">
      <alignment horizontal="center" shrinkToFit="1"/>
      <protection hidden="1"/>
    </xf>
    <xf numFmtId="0" fontId="169" fillId="0" borderId="6" xfId="5" applyFont="1" applyFill="1" applyBorder="1" applyAlignment="1" applyProtection="1">
      <alignment horizontal="center" shrinkToFit="1"/>
      <protection hidden="1"/>
    </xf>
    <xf numFmtId="0" fontId="169" fillId="0" borderId="3" xfId="3" applyFont="1" applyFill="1" applyBorder="1" applyAlignment="1" applyProtection="1">
      <alignment horizontal="center"/>
      <protection hidden="1"/>
    </xf>
    <xf numFmtId="0" fontId="169" fillId="0" borderId="1" xfId="3" applyFont="1" applyFill="1" applyBorder="1" applyAlignment="1" applyProtection="1">
      <alignment horizontal="center"/>
      <protection hidden="1"/>
    </xf>
    <xf numFmtId="0" fontId="169" fillId="0" borderId="6" xfId="3" applyFont="1" applyFill="1" applyBorder="1" applyAlignment="1" applyProtection="1">
      <alignment horizontal="center"/>
      <protection hidden="1"/>
    </xf>
    <xf numFmtId="0" fontId="169" fillId="0" borderId="28" xfId="5" applyFont="1" applyFill="1" applyBorder="1" applyAlignment="1" applyProtection="1">
      <alignment horizontal="center" vertical="top" shrinkToFit="1"/>
      <protection hidden="1"/>
    </xf>
    <xf numFmtId="0" fontId="169" fillId="0" borderId="2" xfId="5" applyFont="1" applyFill="1" applyBorder="1" applyAlignment="1" applyProtection="1">
      <alignment horizontal="center" vertical="top" shrinkToFit="1"/>
      <protection hidden="1"/>
    </xf>
    <xf numFmtId="0" fontId="169" fillId="0" borderId="11" xfId="5" applyFont="1" applyFill="1" applyBorder="1" applyAlignment="1" applyProtection="1">
      <alignment horizontal="center" vertical="top" shrinkToFit="1"/>
      <protection hidden="1"/>
    </xf>
    <xf numFmtId="0" fontId="169" fillId="0" borderId="28" xfId="3" applyFont="1" applyFill="1" applyBorder="1" applyAlignment="1" applyProtection="1">
      <alignment horizontal="center" vertical="top"/>
      <protection hidden="1"/>
    </xf>
    <xf numFmtId="0" fontId="169" fillId="0" borderId="2" xfId="3" applyFont="1" applyFill="1" applyBorder="1" applyAlignment="1" applyProtection="1">
      <alignment horizontal="center" vertical="top"/>
      <protection hidden="1"/>
    </xf>
    <xf numFmtId="0" fontId="169" fillId="0" borderId="11" xfId="3" applyFont="1" applyFill="1" applyBorder="1" applyAlignment="1" applyProtection="1">
      <alignment horizontal="center" vertical="top"/>
      <protection hidden="1"/>
    </xf>
    <xf numFmtId="0" fontId="35" fillId="0" borderId="0" xfId="3" applyFont="1" applyFill="1" applyBorder="1" applyAlignment="1" applyProtection="1">
      <alignment horizontal="left" vertical="top" wrapText="1" shrinkToFit="1"/>
      <protection hidden="1"/>
    </xf>
    <xf numFmtId="0" fontId="169" fillId="0" borderId="0" xfId="0" applyFont="1" applyFill="1" applyAlignment="1" applyProtection="1">
      <alignment horizontal="left" vertical="top" wrapText="1" shrinkToFit="1"/>
      <protection hidden="1"/>
    </xf>
    <xf numFmtId="179" fontId="33" fillId="0" borderId="7" xfId="3" applyNumberFormat="1" applyFont="1" applyFill="1" applyBorder="1" applyAlignment="1" applyProtection="1">
      <alignment horizontal="center" vertical="center" shrinkToFit="1"/>
      <protection hidden="1"/>
    </xf>
    <xf numFmtId="179" fontId="33" fillId="0" borderId="8" xfId="3" applyNumberFormat="1" applyFont="1" applyFill="1" applyBorder="1" applyAlignment="1" applyProtection="1">
      <alignment horizontal="center" vertical="center" shrinkToFit="1"/>
      <protection hidden="1"/>
    </xf>
    <xf numFmtId="179" fontId="33" fillId="0" borderId="9" xfId="3" applyNumberFormat="1" applyFont="1" applyFill="1" applyBorder="1" applyAlignment="1" applyProtection="1">
      <alignment horizontal="center" vertical="center" shrinkToFit="1"/>
      <protection hidden="1"/>
    </xf>
    <xf numFmtId="0" fontId="33" fillId="0" borderId="7" xfId="3" applyFont="1" applyFill="1" applyBorder="1" applyAlignment="1" applyProtection="1">
      <alignment horizontal="center" vertical="center" wrapText="1" shrinkToFit="1"/>
      <protection hidden="1"/>
    </xf>
    <xf numFmtId="0" fontId="33" fillId="0" borderId="8" xfId="3" applyFont="1" applyFill="1" applyBorder="1" applyAlignment="1" applyProtection="1">
      <alignment horizontal="center" vertical="center" wrapText="1" shrinkToFit="1"/>
      <protection hidden="1"/>
    </xf>
    <xf numFmtId="0" fontId="33" fillId="0" borderId="9" xfId="3" applyFont="1" applyFill="1" applyBorder="1" applyAlignment="1" applyProtection="1">
      <alignment horizontal="center" vertical="center" wrapText="1" shrinkToFit="1"/>
      <protection hidden="1"/>
    </xf>
    <xf numFmtId="179" fontId="33" fillId="0" borderId="7" xfId="3" applyNumberFormat="1" applyFont="1" applyFill="1" applyBorder="1" applyAlignment="1" applyProtection="1">
      <alignment horizontal="center" vertical="center" wrapText="1"/>
      <protection hidden="1"/>
    </xf>
    <xf numFmtId="179" fontId="33" fillId="0" borderId="8" xfId="3" applyNumberFormat="1" applyFont="1" applyFill="1" applyBorder="1" applyAlignment="1" applyProtection="1">
      <alignment horizontal="center" vertical="center" wrapText="1"/>
      <protection hidden="1"/>
    </xf>
    <xf numFmtId="179" fontId="33" fillId="0" borderId="9" xfId="3" applyNumberFormat="1" applyFont="1" applyFill="1" applyBorder="1" applyAlignment="1" applyProtection="1">
      <alignment horizontal="center" vertical="center" wrapText="1"/>
      <protection hidden="1"/>
    </xf>
    <xf numFmtId="179" fontId="33" fillId="0" borderId="1" xfId="3" applyNumberFormat="1" applyFont="1" applyFill="1" applyBorder="1" applyAlignment="1" applyProtection="1">
      <alignment horizontal="center" vertical="center" shrinkToFit="1"/>
      <protection hidden="1"/>
    </xf>
    <xf numFmtId="0" fontId="33" fillId="0" borderId="1" xfId="3" applyFont="1" applyFill="1" applyBorder="1" applyAlignment="1" applyProtection="1">
      <alignment horizontal="center" vertical="center" wrapText="1" shrinkToFit="1"/>
      <protection hidden="1"/>
    </xf>
    <xf numFmtId="179" fontId="33" fillId="0" borderId="1" xfId="3" applyNumberFormat="1" applyFont="1" applyFill="1" applyBorder="1" applyAlignment="1" applyProtection="1">
      <alignment horizontal="center" vertical="center" wrapText="1"/>
      <protection hidden="1"/>
    </xf>
    <xf numFmtId="0" fontId="169" fillId="0" borderId="1" xfId="5" applyFont="1" applyFill="1" applyBorder="1" applyAlignment="1" applyProtection="1">
      <alignment horizontal="center" vertical="center"/>
      <protection hidden="1"/>
    </xf>
    <xf numFmtId="179" fontId="35" fillId="0" borderId="0" xfId="3" applyNumberFormat="1" applyFont="1" applyFill="1" applyBorder="1" applyAlignment="1" applyProtection="1">
      <alignment horizontal="center" vertical="center" shrinkToFit="1"/>
      <protection hidden="1"/>
    </xf>
    <xf numFmtId="0" fontId="35" fillId="0" borderId="0" xfId="3" applyFont="1" applyFill="1" applyBorder="1" applyAlignment="1" applyProtection="1">
      <alignment horizontal="center" vertical="center" wrapText="1" shrinkToFit="1"/>
      <protection hidden="1"/>
    </xf>
    <xf numFmtId="179" fontId="35" fillId="0" borderId="0" xfId="3" applyNumberFormat="1" applyFont="1" applyFill="1" applyBorder="1" applyAlignment="1" applyProtection="1">
      <alignment horizontal="center" vertical="center" wrapText="1"/>
      <protection hidden="1"/>
    </xf>
    <xf numFmtId="0" fontId="169" fillId="0" borderId="0" xfId="5" applyFont="1" applyFill="1" applyBorder="1" applyAlignment="1" applyProtection="1">
      <alignment horizontal="center" vertical="center"/>
      <protection hidden="1"/>
    </xf>
    <xf numFmtId="0" fontId="169" fillId="0" borderId="0" xfId="3" applyFont="1" applyFill="1" applyAlignment="1" applyProtection="1">
      <alignment vertical="center"/>
      <protection hidden="1"/>
    </xf>
    <xf numFmtId="0" fontId="169" fillId="0" borderId="0" xfId="5" applyFont="1" applyFill="1" applyAlignment="1" applyProtection="1">
      <alignment vertical="center"/>
      <protection hidden="1"/>
    </xf>
    <xf numFmtId="0" fontId="169" fillId="0" borderId="0" xfId="3" applyFont="1" applyFill="1" applyAlignment="1" applyProtection="1">
      <alignment vertical="center" wrapText="1"/>
      <protection hidden="1"/>
    </xf>
    <xf numFmtId="0" fontId="169" fillId="0" borderId="0" xfId="3" applyFont="1" applyFill="1" applyAlignment="1" applyProtection="1">
      <protection hidden="1"/>
    </xf>
    <xf numFmtId="0" fontId="197" fillId="0" borderId="4" xfId="0" applyFont="1" applyFill="1" applyBorder="1" applyAlignment="1" applyProtection="1">
      <alignment horizontal="center" vertical="center" wrapText="1"/>
      <protection hidden="1"/>
    </xf>
    <xf numFmtId="0" fontId="197" fillId="0" borderId="4" xfId="0" applyFont="1" applyFill="1" applyBorder="1" applyAlignment="1" applyProtection="1">
      <alignment horizontal="center" vertical="center"/>
      <protection hidden="1"/>
    </xf>
    <xf numFmtId="186" fontId="197" fillId="0" borderId="90" xfId="0" applyNumberFormat="1" applyFont="1" applyFill="1" applyBorder="1" applyAlignment="1" applyProtection="1">
      <alignment horizontal="right" vertical="center" shrinkToFit="1"/>
      <protection hidden="1"/>
    </xf>
    <xf numFmtId="186" fontId="197" fillId="0" borderId="94" xfId="0" applyNumberFormat="1" applyFont="1" applyFill="1" applyBorder="1" applyAlignment="1" applyProtection="1">
      <alignment horizontal="right" vertical="center" shrinkToFit="1"/>
      <protection hidden="1"/>
    </xf>
    <xf numFmtId="0" fontId="201" fillId="0" borderId="4" xfId="0" applyFont="1" applyFill="1" applyBorder="1" applyAlignment="1" applyProtection="1">
      <alignment horizontal="center" vertical="center" wrapText="1"/>
      <protection hidden="1"/>
    </xf>
    <xf numFmtId="0" fontId="201" fillId="0" borderId="4" xfId="0" applyFont="1" applyFill="1" applyBorder="1" applyAlignment="1" applyProtection="1">
      <alignment horizontal="center" vertical="center" wrapText="1" shrinkToFit="1"/>
      <protection hidden="1"/>
    </xf>
    <xf numFmtId="0" fontId="197" fillId="0" borderId="2" xfId="0" applyFont="1" applyFill="1" applyBorder="1" applyAlignment="1" applyProtection="1">
      <alignment horizontal="right" vertical="center"/>
      <protection hidden="1"/>
    </xf>
    <xf numFmtId="0" fontId="130" fillId="0" borderId="2" xfId="0" applyFont="1" applyBorder="1" applyAlignment="1" applyProtection="1">
      <alignment horizontal="right" vertical="center"/>
      <protection hidden="1"/>
    </xf>
    <xf numFmtId="0" fontId="197" fillId="0" borderId="102" xfId="0" applyFont="1" applyFill="1" applyBorder="1" applyAlignment="1" applyProtection="1">
      <alignment horizontal="right" vertical="center"/>
      <protection hidden="1"/>
    </xf>
    <xf numFmtId="0" fontId="130" fillId="0" borderId="103" xfId="0" applyFont="1" applyFill="1" applyBorder="1" applyAlignment="1" applyProtection="1">
      <alignment horizontal="right" vertical="center"/>
      <protection hidden="1"/>
    </xf>
    <xf numFmtId="0" fontId="197" fillId="0" borderId="5" xfId="0" applyFont="1" applyFill="1" applyBorder="1" applyAlignment="1" applyProtection="1">
      <alignment horizontal="right" vertical="center"/>
      <protection hidden="1"/>
    </xf>
    <xf numFmtId="0" fontId="130" fillId="0" borderId="0" xfId="0" applyFont="1" applyFill="1" applyBorder="1" applyAlignment="1" applyProtection="1">
      <alignment horizontal="right" vertical="center"/>
      <protection hidden="1"/>
    </xf>
    <xf numFmtId="0" fontId="197" fillId="0" borderId="0" xfId="0" applyFont="1" applyFill="1" applyBorder="1" applyAlignment="1" applyProtection="1">
      <alignment horizontal="right" vertical="center"/>
      <protection hidden="1"/>
    </xf>
    <xf numFmtId="0" fontId="130" fillId="0" borderId="0" xfId="0" applyFont="1" applyAlignment="1" applyProtection="1">
      <alignment horizontal="right" vertical="center"/>
      <protection hidden="1"/>
    </xf>
    <xf numFmtId="0" fontId="197" fillId="0" borderId="28" xfId="0" applyFont="1" applyFill="1" applyBorder="1" applyAlignment="1" applyProtection="1">
      <alignment horizontal="right" vertical="center"/>
      <protection hidden="1"/>
    </xf>
    <xf numFmtId="0" fontId="130" fillId="0" borderId="2" xfId="0" applyFont="1" applyFill="1" applyBorder="1" applyAlignment="1" applyProtection="1">
      <alignment horizontal="right" vertical="center"/>
      <protection hidden="1"/>
    </xf>
    <xf numFmtId="0" fontId="197" fillId="0" borderId="3" xfId="0" applyFont="1" applyFill="1" applyBorder="1" applyAlignment="1" applyProtection="1">
      <alignment horizontal="right" vertical="center"/>
      <protection hidden="1"/>
    </xf>
    <xf numFmtId="0" fontId="130" fillId="0" borderId="1" xfId="0" applyFont="1" applyFill="1" applyBorder="1" applyAlignment="1" applyProtection="1">
      <alignment horizontal="right" vertical="center"/>
      <protection hidden="1"/>
    </xf>
    <xf numFmtId="0" fontId="194" fillId="0" borderId="0" xfId="1" applyFont="1" applyFill="1" applyAlignment="1" applyProtection="1">
      <alignment horizontal="right" vertical="center"/>
      <protection locked="0" hidden="1"/>
    </xf>
    <xf numFmtId="0" fontId="197" fillId="0" borderId="90" xfId="0" applyFont="1" applyFill="1" applyBorder="1" applyAlignment="1" applyProtection="1">
      <alignment horizontal="center" vertical="center"/>
      <protection hidden="1"/>
    </xf>
    <xf numFmtId="0" fontId="130" fillId="0" borderId="94" xfId="0" applyFont="1" applyBorder="1" applyAlignment="1" applyProtection="1">
      <alignment horizontal="center" vertical="center"/>
      <protection hidden="1"/>
    </xf>
    <xf numFmtId="0" fontId="130" fillId="0" borderId="91" xfId="0" applyFont="1" applyBorder="1" applyAlignment="1" applyProtection="1">
      <alignment horizontal="center" vertical="center"/>
      <protection hidden="1"/>
    </xf>
    <xf numFmtId="0" fontId="35" fillId="0" borderId="0" xfId="3" applyFont="1" applyFill="1" applyBorder="1" applyAlignment="1" applyProtection="1">
      <alignment vertical="center" wrapText="1"/>
      <protection hidden="1"/>
    </xf>
    <xf numFmtId="0" fontId="197" fillId="0" borderId="1" xfId="0" applyFont="1" applyFill="1" applyBorder="1" applyAlignment="1" applyProtection="1">
      <alignment horizontal="right" vertical="center"/>
      <protection hidden="1"/>
    </xf>
    <xf numFmtId="0" fontId="130" fillId="0" borderId="1" xfId="0" applyFont="1" applyBorder="1" applyAlignment="1" applyProtection="1">
      <alignment horizontal="right" vertical="center"/>
      <protection hidden="1"/>
    </xf>
    <xf numFmtId="0" fontId="8" fillId="0" borderId="7" xfId="5" applyFont="1" applyBorder="1" applyAlignment="1" applyProtection="1">
      <alignment horizontal="center" vertical="center"/>
      <protection hidden="1"/>
    </xf>
    <xf numFmtId="0" fontId="8" fillId="0" borderId="8" xfId="5" applyFont="1" applyBorder="1" applyAlignment="1" applyProtection="1">
      <alignment horizontal="center" vertical="center"/>
      <protection hidden="1"/>
    </xf>
    <xf numFmtId="0" fontId="8" fillId="0" borderId="9" xfId="5" applyFont="1" applyBorder="1" applyAlignment="1" applyProtection="1">
      <alignment horizontal="center" vertical="center"/>
      <protection hidden="1"/>
    </xf>
    <xf numFmtId="0" fontId="44" fillId="0" borderId="0" xfId="1" applyFont="1" applyFill="1" applyAlignment="1" applyProtection="1">
      <alignment horizontal="center" vertical="center" shrinkToFit="1"/>
      <protection hidden="1"/>
    </xf>
    <xf numFmtId="0" fontId="44" fillId="0" borderId="0" xfId="1" applyFont="1" applyAlignment="1" applyProtection="1">
      <alignment vertical="center" shrinkToFit="1"/>
      <protection hidden="1"/>
    </xf>
    <xf numFmtId="0" fontId="7" fillId="0" borderId="0" xfId="5" applyFont="1" applyFill="1" applyAlignment="1" applyProtection="1">
      <alignment horizontal="center" vertical="center"/>
      <protection hidden="1"/>
    </xf>
    <xf numFmtId="0" fontId="8" fillId="0" borderId="1" xfId="0" applyFont="1" applyBorder="1" applyAlignment="1" applyProtection="1">
      <alignment vertical="center" shrinkToFit="1"/>
      <protection hidden="1"/>
    </xf>
    <xf numFmtId="0" fontId="8" fillId="0" borderId="6" xfId="0" applyFont="1" applyBorder="1" applyAlignment="1" applyProtection="1">
      <alignment vertical="center" shrinkToFit="1"/>
      <protection hidden="1"/>
    </xf>
    <xf numFmtId="0" fontId="33" fillId="0" borderId="3" xfId="0" applyFont="1" applyFill="1" applyBorder="1" applyAlignment="1" applyProtection="1">
      <alignment vertical="top" wrapText="1" shrinkToFit="1"/>
      <protection hidden="1"/>
    </xf>
    <xf numFmtId="0" fontId="7" fillId="0" borderId="1" xfId="0" applyFont="1" applyBorder="1" applyAlignment="1" applyProtection="1">
      <alignment vertical="top" wrapText="1" shrinkToFit="1"/>
      <protection hidden="1"/>
    </xf>
    <xf numFmtId="0" fontId="7" fillId="0" borderId="1" xfId="0" applyFont="1" applyBorder="1" applyAlignment="1" applyProtection="1">
      <alignment vertical="top" wrapText="1"/>
      <protection hidden="1"/>
    </xf>
    <xf numFmtId="0" fontId="7" fillId="0" borderId="6" xfId="0" applyFont="1" applyBorder="1" applyAlignment="1" applyProtection="1">
      <alignment vertical="top" wrapText="1"/>
      <protection hidden="1"/>
    </xf>
    <xf numFmtId="0" fontId="33" fillId="0" borderId="5" xfId="0" applyFont="1" applyFill="1" applyBorder="1" applyAlignment="1" applyProtection="1">
      <alignment vertical="top" wrapText="1" shrinkToFit="1"/>
      <protection hidden="1"/>
    </xf>
    <xf numFmtId="0" fontId="7" fillId="0" borderId="0" xfId="0" applyFont="1" applyBorder="1" applyAlignment="1" applyProtection="1">
      <alignment vertical="top" wrapText="1" shrinkToFit="1"/>
      <protection hidden="1"/>
    </xf>
    <xf numFmtId="0" fontId="7" fillId="0" borderId="0" xfId="0" applyFont="1" applyBorder="1" applyAlignment="1" applyProtection="1">
      <alignment vertical="top" wrapText="1"/>
      <protection hidden="1"/>
    </xf>
    <xf numFmtId="0" fontId="7" fillId="0" borderId="10" xfId="0" applyFont="1" applyBorder="1" applyAlignment="1" applyProtection="1">
      <alignment vertical="top" wrapText="1"/>
      <protection hidden="1"/>
    </xf>
    <xf numFmtId="0" fontId="7" fillId="0" borderId="5" xfId="0" applyFont="1" applyBorder="1" applyAlignment="1" applyProtection="1">
      <alignment vertical="top" wrapText="1"/>
      <protection hidden="1"/>
    </xf>
    <xf numFmtId="0" fontId="7" fillId="0" borderId="0" xfId="0" applyFont="1" applyAlignment="1" applyProtection="1">
      <alignment vertical="top" wrapText="1"/>
      <protection hidden="1"/>
    </xf>
    <xf numFmtId="0" fontId="7" fillId="0" borderId="28" xfId="0" applyFont="1" applyBorder="1" applyAlignment="1" applyProtection="1">
      <alignment vertical="top" wrapText="1"/>
      <protection hidden="1"/>
    </xf>
    <xf numFmtId="0" fontId="7" fillId="0" borderId="2" xfId="0" applyFont="1" applyBorder="1" applyAlignment="1" applyProtection="1">
      <alignment vertical="top" wrapText="1"/>
      <protection hidden="1"/>
    </xf>
    <xf numFmtId="0" fontId="7" fillId="0" borderId="11" xfId="0" applyFont="1" applyBorder="1" applyAlignment="1" applyProtection="1">
      <alignment vertical="top" wrapText="1"/>
      <protection hidden="1"/>
    </xf>
    <xf numFmtId="0" fontId="33" fillId="0" borderId="3" xfId="0" applyFont="1" applyFill="1" applyBorder="1" applyAlignment="1" applyProtection="1">
      <alignment vertical="top"/>
      <protection hidden="1"/>
    </xf>
    <xf numFmtId="0" fontId="7" fillId="0" borderId="1" xfId="0" applyFont="1" applyBorder="1" applyAlignment="1" applyProtection="1">
      <alignment vertical="top"/>
      <protection hidden="1"/>
    </xf>
    <xf numFmtId="0" fontId="7" fillId="0" borderId="6" xfId="0" applyFont="1" applyBorder="1" applyAlignment="1" applyProtection="1">
      <alignment vertical="top"/>
      <protection hidden="1"/>
    </xf>
    <xf numFmtId="0" fontId="7" fillId="0" borderId="5" xfId="0" applyFont="1" applyBorder="1" applyAlignment="1" applyProtection="1">
      <alignment vertical="top"/>
      <protection hidden="1"/>
    </xf>
    <xf numFmtId="0" fontId="7" fillId="0" borderId="0" xfId="0" applyFont="1" applyAlignment="1" applyProtection="1">
      <alignment vertical="top"/>
      <protection hidden="1"/>
    </xf>
    <xf numFmtId="0" fontId="7" fillId="0" borderId="10" xfId="0" applyFont="1" applyBorder="1" applyAlignment="1" applyProtection="1">
      <alignment vertical="top"/>
      <protection hidden="1"/>
    </xf>
    <xf numFmtId="0" fontId="7" fillId="0" borderId="28" xfId="0" applyFont="1" applyBorder="1" applyAlignment="1" applyProtection="1">
      <alignment vertical="top"/>
      <protection hidden="1"/>
    </xf>
    <xf numFmtId="0" fontId="7" fillId="0" borderId="2" xfId="0" applyFont="1" applyBorder="1" applyAlignment="1" applyProtection="1">
      <alignment vertical="top"/>
      <protection hidden="1"/>
    </xf>
    <xf numFmtId="0" fontId="7" fillId="0" borderId="11" xfId="0" applyFont="1" applyBorder="1" applyAlignment="1" applyProtection="1">
      <alignment vertical="top"/>
      <protection hidden="1"/>
    </xf>
    <xf numFmtId="0" fontId="32" fillId="0" borderId="0" xfId="3" applyFont="1" applyFill="1" applyBorder="1" applyAlignment="1" applyProtection="1">
      <alignment horizontal="center"/>
      <protection hidden="1"/>
    </xf>
    <xf numFmtId="0" fontId="32" fillId="0" borderId="0" xfId="3" applyNumberFormat="1" applyFont="1" applyFill="1" applyBorder="1" applyAlignment="1" applyProtection="1">
      <alignment horizontal="center"/>
      <protection hidden="1"/>
    </xf>
    <xf numFmtId="181" fontId="32" fillId="0" borderId="0" xfId="3" applyNumberFormat="1" applyFont="1" applyFill="1" applyBorder="1" applyAlignment="1" applyProtection="1">
      <alignment horizontal="center" shrinkToFit="1"/>
      <protection hidden="1"/>
    </xf>
    <xf numFmtId="0" fontId="32" fillId="0" borderId="0" xfId="3" applyNumberFormat="1" applyFont="1" applyFill="1" applyBorder="1" applyAlignment="1" applyProtection="1">
      <alignment horizontal="center" shrinkToFit="1"/>
      <protection hidden="1"/>
    </xf>
    <xf numFmtId="0" fontId="32" fillId="0" borderId="0" xfId="3" applyFont="1" applyFill="1" applyBorder="1" applyAlignment="1" applyProtection="1">
      <alignment horizontal="left" shrinkToFit="1"/>
      <protection hidden="1"/>
    </xf>
    <xf numFmtId="0" fontId="32" fillId="0" borderId="0" xfId="3" applyFont="1" applyFill="1" applyBorder="1" applyAlignment="1" applyProtection="1">
      <alignment horizontal="left"/>
      <protection hidden="1"/>
    </xf>
    <xf numFmtId="176" fontId="32" fillId="0" borderId="0" xfId="3" applyNumberFormat="1" applyFont="1" applyFill="1" applyBorder="1" applyAlignment="1" applyProtection="1">
      <alignment horizontal="left" shrinkToFit="1"/>
      <protection hidden="1"/>
    </xf>
    <xf numFmtId="0" fontId="44" fillId="0" borderId="0" xfId="1" applyFont="1" applyFill="1" applyAlignment="1" applyProtection="1">
      <alignment horizontal="left" vertical="center" shrinkToFit="1"/>
      <protection hidden="1"/>
    </xf>
    <xf numFmtId="0" fontId="44" fillId="0" borderId="0" xfId="1" applyFont="1" applyAlignment="1" applyProtection="1">
      <alignment horizontal="left" vertical="center" shrinkToFit="1"/>
      <protection hidden="1"/>
    </xf>
    <xf numFmtId="0" fontId="32" fillId="0" borderId="0" xfId="3" applyFont="1" applyFill="1" applyBorder="1" applyAlignment="1" applyProtection="1">
      <alignment vertical="center" shrinkToFit="1"/>
      <protection hidden="1"/>
    </xf>
    <xf numFmtId="0" fontId="7" fillId="0" borderId="0" xfId="5" applyNumberFormat="1" applyFont="1" applyFill="1" applyAlignment="1" applyProtection="1">
      <alignment horizontal="center" vertical="center"/>
      <protection hidden="1"/>
    </xf>
    <xf numFmtId="181" fontId="32" fillId="0" borderId="0" xfId="3" applyNumberFormat="1" applyFont="1" applyFill="1" applyBorder="1" applyAlignment="1" applyProtection="1">
      <alignment horizontal="left" shrinkToFit="1"/>
      <protection hidden="1"/>
    </xf>
    <xf numFmtId="181" fontId="32" fillId="0" borderId="0" xfId="3" applyNumberFormat="1" applyFont="1" applyFill="1" applyBorder="1" applyAlignment="1" applyProtection="1">
      <alignment horizontal="center"/>
      <protection hidden="1"/>
    </xf>
    <xf numFmtId="181" fontId="32" fillId="0" borderId="0" xfId="3" applyNumberFormat="1" applyFont="1" applyFill="1" applyBorder="1" applyAlignment="1" applyProtection="1">
      <alignment horizontal="left"/>
      <protection hidden="1"/>
    </xf>
    <xf numFmtId="0" fontId="32" fillId="0" borderId="0" xfId="3" applyNumberFormat="1" applyFont="1" applyFill="1" applyBorder="1" applyAlignment="1" applyProtection="1">
      <alignment horizontal="center" vertical="center" shrinkToFit="1"/>
      <protection hidden="1"/>
    </xf>
    <xf numFmtId="0" fontId="32" fillId="0" borderId="0" xfId="3" applyFont="1" applyFill="1" applyBorder="1" applyAlignment="1" applyProtection="1">
      <alignment horizontal="center" vertical="center" shrinkToFit="1"/>
      <protection hidden="1"/>
    </xf>
    <xf numFmtId="181" fontId="32" fillId="0" borderId="0" xfId="3" applyNumberFormat="1" applyFont="1" applyFill="1" applyBorder="1" applyAlignment="1" applyProtection="1">
      <alignment horizontal="left" vertical="center" shrinkToFit="1"/>
      <protection hidden="1"/>
    </xf>
    <xf numFmtId="0" fontId="32" fillId="0" borderId="0" xfId="3" applyFont="1" applyFill="1" applyBorder="1" applyAlignment="1" applyProtection="1">
      <alignment horizontal="center" vertical="center"/>
      <protection hidden="1"/>
    </xf>
    <xf numFmtId="0" fontId="44" fillId="0" borderId="0" xfId="1" applyFont="1" applyFill="1" applyAlignment="1" applyProtection="1">
      <alignment horizontal="center" vertical="center"/>
      <protection hidden="1"/>
    </xf>
    <xf numFmtId="0" fontId="7" fillId="0" borderId="0" xfId="0" applyFont="1" applyAlignment="1" applyProtection="1">
      <alignment vertical="center"/>
      <protection hidden="1"/>
    </xf>
    <xf numFmtId="0" fontId="44" fillId="0" borderId="0" xfId="1" applyFont="1" applyFill="1" applyAlignment="1" applyProtection="1">
      <alignment horizontal="left" vertical="center"/>
      <protection hidden="1"/>
    </xf>
    <xf numFmtId="0" fontId="44" fillId="0" borderId="0" xfId="1" applyFont="1" applyAlignment="1" applyProtection="1">
      <alignment horizontal="left" vertical="center"/>
      <protection hidden="1"/>
    </xf>
    <xf numFmtId="177" fontId="34" fillId="0" borderId="0" xfId="3" applyNumberFormat="1" applyFont="1" applyFill="1" applyBorder="1" applyAlignment="1" applyProtection="1">
      <alignment horizontal="center" vertical="center" shrinkToFit="1"/>
      <protection hidden="1"/>
    </xf>
    <xf numFmtId="178" fontId="34" fillId="0" borderId="0" xfId="3" applyNumberFormat="1" applyFont="1" applyFill="1" applyBorder="1" applyAlignment="1" applyProtection="1">
      <alignment horizontal="right" vertical="center" shrinkToFit="1"/>
      <protection hidden="1"/>
    </xf>
    <xf numFmtId="0" fontId="32" fillId="0" borderId="0" xfId="3" applyNumberFormat="1" applyFont="1" applyFill="1" applyBorder="1" applyAlignment="1" applyProtection="1">
      <alignment horizontal="left" vertical="center" shrinkToFit="1"/>
      <protection hidden="1"/>
    </xf>
    <xf numFmtId="0" fontId="34" fillId="0" borderId="0" xfId="3" applyNumberFormat="1" applyFont="1" applyFill="1" applyBorder="1" applyAlignment="1" applyProtection="1">
      <alignment horizontal="center" vertical="center" shrinkToFit="1"/>
      <protection hidden="1"/>
    </xf>
    <xf numFmtId="0" fontId="44" fillId="0" borderId="0" xfId="1" applyNumberFormat="1" applyFont="1" applyFill="1" applyBorder="1" applyAlignment="1" applyProtection="1">
      <alignment horizontal="center" vertical="center" shrinkToFit="1"/>
      <protection hidden="1"/>
    </xf>
    <xf numFmtId="0" fontId="34" fillId="0" borderId="0" xfId="3" applyNumberFormat="1" applyFont="1" applyFill="1" applyBorder="1" applyAlignment="1" applyProtection="1">
      <alignment horizontal="left" vertical="center" shrinkToFit="1"/>
      <protection hidden="1"/>
    </xf>
    <xf numFmtId="0" fontId="32" fillId="0" borderId="0" xfId="3" applyFont="1" applyFill="1" applyBorder="1" applyAlignment="1" applyProtection="1">
      <alignment shrinkToFit="1"/>
      <protection hidden="1"/>
    </xf>
    <xf numFmtId="176" fontId="32" fillId="0" borderId="0" xfId="3" applyNumberFormat="1" applyFont="1" applyFill="1" applyBorder="1" applyAlignment="1" applyProtection="1">
      <alignment horizontal="left" wrapText="1" shrinkToFit="1"/>
      <protection hidden="1"/>
    </xf>
    <xf numFmtId="49" fontId="32" fillId="0" borderId="0" xfId="3" applyNumberFormat="1" applyFont="1" applyFill="1" applyBorder="1" applyAlignment="1" applyProtection="1">
      <alignment horizontal="center" vertical="center" shrinkToFit="1"/>
      <protection hidden="1"/>
    </xf>
    <xf numFmtId="0" fontId="32" fillId="0" borderId="0" xfId="3" applyFont="1" applyFill="1" applyBorder="1" applyAlignment="1" applyProtection="1">
      <alignment vertical="center"/>
      <protection hidden="1"/>
    </xf>
    <xf numFmtId="49" fontId="34" fillId="0" borderId="0" xfId="3" applyNumberFormat="1" applyFont="1" applyFill="1" applyBorder="1" applyAlignment="1" applyProtection="1">
      <alignment horizontal="center" vertical="center" shrinkToFit="1"/>
      <protection hidden="1"/>
    </xf>
    <xf numFmtId="0" fontId="32" fillId="0" borderId="0" xfId="3" applyFont="1" applyFill="1" applyBorder="1" applyAlignment="1" applyProtection="1">
      <alignment horizontal="left" vertical="center" shrinkToFit="1"/>
      <protection hidden="1"/>
    </xf>
    <xf numFmtId="181" fontId="35" fillId="0" borderId="0" xfId="3" applyNumberFormat="1" applyFont="1" applyFill="1" applyBorder="1" applyAlignment="1" applyProtection="1">
      <alignment horizontal="center" vertical="center"/>
      <protection hidden="1"/>
    </xf>
    <xf numFmtId="181" fontId="32" fillId="0" borderId="0" xfId="3" applyNumberFormat="1" applyFont="1" applyFill="1" applyBorder="1" applyAlignment="1" applyProtection="1">
      <alignment horizontal="center" vertical="center"/>
      <protection hidden="1"/>
    </xf>
    <xf numFmtId="176" fontId="32" fillId="0" borderId="0" xfId="3" applyNumberFormat="1" applyFont="1" applyFill="1" applyBorder="1" applyAlignment="1" applyProtection="1">
      <alignment horizontal="left" vertical="center" shrinkToFit="1"/>
      <protection hidden="1"/>
    </xf>
    <xf numFmtId="181" fontId="7" fillId="0" borderId="0" xfId="0" applyNumberFormat="1" applyFont="1" applyAlignment="1" applyProtection="1">
      <alignment vertical="center" shrinkToFit="1"/>
      <protection hidden="1"/>
    </xf>
    <xf numFmtId="181" fontId="32" fillId="0" borderId="0" xfId="3" applyNumberFormat="1" applyFont="1" applyFill="1" applyBorder="1" applyAlignment="1" applyProtection="1">
      <alignment horizontal="center" vertical="center" shrinkToFit="1"/>
      <protection hidden="1"/>
    </xf>
    <xf numFmtId="181" fontId="7" fillId="0" borderId="0" xfId="0" applyNumberFormat="1" applyFont="1" applyAlignment="1" applyProtection="1">
      <alignment vertical="center"/>
      <protection hidden="1"/>
    </xf>
    <xf numFmtId="181" fontId="7" fillId="0" borderId="0" xfId="0" applyNumberFormat="1"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2" fillId="0" borderId="0" xfId="3" applyFont="1" applyFill="1" applyBorder="1" applyAlignment="1" applyProtection="1">
      <alignment vertical="center" wrapText="1"/>
      <protection hidden="1"/>
    </xf>
    <xf numFmtId="0" fontId="29" fillId="0" borderId="102" xfId="0" applyFont="1" applyFill="1" applyBorder="1" applyAlignment="1" applyProtection="1">
      <alignment horizontal="right" vertical="center"/>
      <protection hidden="1"/>
    </xf>
    <xf numFmtId="0" fontId="7" fillId="0" borderId="103" xfId="0" applyFont="1" applyFill="1" applyBorder="1" applyAlignment="1" applyProtection="1">
      <alignment horizontal="right" vertical="center"/>
      <protection hidden="1"/>
    </xf>
    <xf numFmtId="186" fontId="29" fillId="0" borderId="5" xfId="0" applyNumberFormat="1" applyFont="1" applyFill="1" applyBorder="1" applyAlignment="1" applyProtection="1">
      <alignment horizontal="right" vertical="center" shrinkToFit="1"/>
      <protection hidden="1"/>
    </xf>
    <xf numFmtId="186" fontId="29" fillId="0" borderId="0" xfId="0" applyNumberFormat="1" applyFont="1" applyFill="1" applyBorder="1" applyAlignment="1" applyProtection="1">
      <alignment horizontal="right" vertical="center" shrinkToFit="1"/>
      <protection hidden="1"/>
    </xf>
    <xf numFmtId="186" fontId="29" fillId="0" borderId="90" xfId="0" applyNumberFormat="1" applyFont="1" applyFill="1" applyBorder="1" applyAlignment="1" applyProtection="1">
      <alignment horizontal="right" vertical="center" shrinkToFit="1"/>
      <protection hidden="1"/>
    </xf>
    <xf numFmtId="186" fontId="29" fillId="0" borderId="94" xfId="0" applyNumberFormat="1" applyFont="1" applyFill="1" applyBorder="1" applyAlignment="1" applyProtection="1">
      <alignment horizontal="right" vertical="center" shrinkToFit="1"/>
      <protection hidden="1"/>
    </xf>
    <xf numFmtId="49" fontId="29" fillId="0" borderId="90" xfId="0" applyNumberFormat="1" applyFont="1" applyFill="1" applyBorder="1" applyAlignment="1" applyProtection="1">
      <alignment horizontal="center" vertical="center"/>
      <protection hidden="1"/>
    </xf>
    <xf numFmtId="0" fontId="7" fillId="0" borderId="94" xfId="0" applyFont="1" applyBorder="1" applyAlignment="1" applyProtection="1">
      <alignment horizontal="center" vertical="center"/>
      <protection hidden="1"/>
    </xf>
    <xf numFmtId="0" fontId="7" fillId="0" borderId="91" xfId="0" applyFont="1" applyBorder="1" applyAlignment="1" applyProtection="1">
      <alignment horizontal="center" vertical="center"/>
      <protection hidden="1"/>
    </xf>
    <xf numFmtId="0" fontId="29" fillId="0" borderId="5" xfId="0" applyFont="1" applyFill="1" applyBorder="1" applyAlignment="1" applyProtection="1">
      <alignment horizontal="right" vertical="center"/>
      <protection hidden="1"/>
    </xf>
    <xf numFmtId="0" fontId="7" fillId="0" borderId="0" xfId="0" applyFont="1" applyFill="1" applyBorder="1" applyAlignment="1" applyProtection="1">
      <alignment horizontal="right" vertical="center"/>
      <protection hidden="1"/>
    </xf>
    <xf numFmtId="0" fontId="29" fillId="0" borderId="28" xfId="0" applyFont="1" applyFill="1" applyBorder="1" applyAlignment="1" applyProtection="1">
      <alignment horizontal="right" vertical="center"/>
      <protection hidden="1"/>
    </xf>
    <xf numFmtId="0" fontId="7" fillId="0" borderId="2" xfId="0" applyFont="1" applyFill="1" applyBorder="1" applyAlignment="1" applyProtection="1">
      <alignment horizontal="right" vertical="center"/>
      <protection hidden="1"/>
    </xf>
    <xf numFmtId="186" fontId="29" fillId="0" borderId="28" xfId="0" applyNumberFormat="1" applyFont="1" applyFill="1" applyBorder="1" applyAlignment="1" applyProtection="1">
      <alignment horizontal="right" vertical="center" shrinkToFit="1"/>
      <protection hidden="1"/>
    </xf>
    <xf numFmtId="186" fontId="29" fillId="0" borderId="2" xfId="0" applyNumberFormat="1" applyFont="1" applyFill="1" applyBorder="1" applyAlignment="1" applyProtection="1">
      <alignment horizontal="right" vertical="center" shrinkToFit="1"/>
      <protection hidden="1"/>
    </xf>
    <xf numFmtId="186" fontId="29" fillId="0" borderId="3" xfId="0" applyNumberFormat="1" applyFont="1" applyFill="1" applyBorder="1" applyAlignment="1" applyProtection="1">
      <alignment horizontal="right" vertical="center" shrinkToFit="1"/>
      <protection hidden="1"/>
    </xf>
    <xf numFmtId="186" fontId="29" fillId="0" borderId="1" xfId="0" applyNumberFormat="1" applyFont="1" applyFill="1" applyBorder="1" applyAlignment="1" applyProtection="1">
      <alignment horizontal="right" vertical="center" shrinkToFit="1"/>
      <protection hidden="1"/>
    </xf>
    <xf numFmtId="0" fontId="29" fillId="0" borderId="1" xfId="0" applyFont="1" applyFill="1" applyBorder="1" applyAlignment="1" applyProtection="1">
      <alignment horizontal="right" vertical="center"/>
      <protection hidden="1"/>
    </xf>
    <xf numFmtId="0" fontId="7" fillId="0" borderId="1" xfId="0" applyFont="1" applyBorder="1" applyAlignment="1" applyProtection="1">
      <alignment horizontal="right" vertical="center"/>
      <protection hidden="1"/>
    </xf>
    <xf numFmtId="0" fontId="29" fillId="0" borderId="0" xfId="0" applyFont="1" applyFill="1" applyBorder="1" applyAlignment="1" applyProtection="1">
      <alignment horizontal="right" vertical="center"/>
      <protection hidden="1"/>
    </xf>
    <xf numFmtId="0" fontId="7" fillId="0" borderId="0" xfId="0" applyFont="1" applyAlignment="1" applyProtection="1">
      <alignment horizontal="right" vertical="center"/>
      <protection hidden="1"/>
    </xf>
    <xf numFmtId="0" fontId="29" fillId="0" borderId="2" xfId="0" applyFont="1" applyFill="1" applyBorder="1" applyAlignment="1" applyProtection="1">
      <alignment horizontal="right" vertical="center"/>
      <protection hidden="1"/>
    </xf>
    <xf numFmtId="0" fontId="7" fillId="0" borderId="2" xfId="0" applyFont="1" applyBorder="1" applyAlignment="1" applyProtection="1">
      <alignment horizontal="right" vertical="center"/>
      <protection hidden="1"/>
    </xf>
    <xf numFmtId="0" fontId="29" fillId="0" borderId="4" xfId="0" applyFont="1" applyFill="1" applyBorder="1" applyAlignment="1" applyProtection="1">
      <alignment horizontal="center" vertical="center"/>
      <protection hidden="1"/>
    </xf>
    <xf numFmtId="0" fontId="29" fillId="0" borderId="4" xfId="0" applyFont="1" applyFill="1" applyBorder="1" applyAlignment="1" applyProtection="1">
      <alignment horizontal="center" vertical="center" wrapText="1"/>
      <protection hidden="1"/>
    </xf>
    <xf numFmtId="0" fontId="39" fillId="0" borderId="4" xfId="0" applyFont="1" applyFill="1" applyBorder="1" applyAlignment="1" applyProtection="1">
      <alignment horizontal="center" vertical="center" wrapText="1"/>
      <protection hidden="1"/>
    </xf>
    <xf numFmtId="0" fontId="39" fillId="0" borderId="4" xfId="0" applyFont="1" applyFill="1" applyBorder="1" applyAlignment="1" applyProtection="1">
      <alignment horizontal="center" vertical="center" wrapText="1" shrinkToFit="1"/>
      <protection hidden="1"/>
    </xf>
    <xf numFmtId="0" fontId="29" fillId="0" borderId="3" xfId="0" applyFont="1" applyFill="1" applyBorder="1" applyAlignment="1" applyProtection="1">
      <alignment horizontal="right" vertical="center"/>
      <protection hidden="1"/>
    </xf>
    <xf numFmtId="0" fontId="7" fillId="0" borderId="1" xfId="0" applyFont="1" applyFill="1" applyBorder="1" applyAlignment="1" applyProtection="1">
      <alignment horizontal="right" vertical="center"/>
      <protection hidden="1"/>
    </xf>
    <xf numFmtId="0" fontId="8" fillId="0" borderId="20" xfId="0" applyFont="1" applyFill="1" applyBorder="1" applyAlignment="1" applyProtection="1">
      <alignment horizontal="center" vertical="top" wrapText="1"/>
      <protection hidden="1"/>
    </xf>
    <xf numFmtId="0" fontId="40" fillId="0" borderId="0" xfId="0" applyFont="1" applyFill="1" applyBorder="1" applyAlignment="1" applyProtection="1">
      <alignment vertical="center"/>
      <protection hidden="1"/>
    </xf>
    <xf numFmtId="0" fontId="7" fillId="0" borderId="0" xfId="0" applyFont="1" applyFill="1" applyAlignment="1" applyProtection="1">
      <alignment vertical="center"/>
      <protection hidden="1"/>
    </xf>
    <xf numFmtId="181" fontId="40" fillId="0" borderId="81" xfId="0" applyNumberFormat="1" applyFont="1" applyBorder="1" applyAlignment="1" applyProtection="1">
      <alignment horizontal="center" vertical="center"/>
      <protection hidden="1"/>
    </xf>
    <xf numFmtId="181" fontId="40" fillId="0" borderId="8" xfId="0" applyNumberFormat="1" applyFont="1" applyBorder="1" applyAlignment="1" applyProtection="1">
      <alignment horizontal="center" vertical="center"/>
      <protection hidden="1"/>
    </xf>
    <xf numFmtId="181" fontId="40" fillId="0" borderId="9" xfId="0" applyNumberFormat="1" applyFont="1" applyBorder="1" applyAlignment="1" applyProtection="1">
      <alignment horizontal="center" vertical="center"/>
      <protection hidden="1"/>
    </xf>
    <xf numFmtId="181" fontId="40" fillId="0" borderId="4" xfId="0" applyNumberFormat="1" applyFont="1" applyBorder="1" applyAlignment="1" applyProtection="1">
      <alignment horizontal="left" vertical="top" wrapText="1"/>
      <protection hidden="1"/>
    </xf>
    <xf numFmtId="181" fontId="40" fillId="0" borderId="7" xfId="0" applyNumberFormat="1" applyFont="1" applyBorder="1" applyAlignment="1" applyProtection="1">
      <alignment horizontal="left" vertical="top" wrapText="1"/>
      <protection hidden="1"/>
    </xf>
    <xf numFmtId="181" fontId="40" fillId="0" borderId="8" xfId="0" applyNumberFormat="1" applyFont="1" applyBorder="1" applyAlignment="1" applyProtection="1">
      <alignment horizontal="left" vertical="top" wrapText="1"/>
      <protection hidden="1"/>
    </xf>
    <xf numFmtId="181" fontId="40" fillId="0" borderId="9" xfId="0" applyNumberFormat="1" applyFont="1" applyBorder="1" applyAlignment="1" applyProtection="1">
      <alignment horizontal="left" vertical="top" wrapText="1"/>
      <protection hidden="1"/>
    </xf>
    <xf numFmtId="0" fontId="40" fillId="0" borderId="81" xfId="0" quotePrefix="1" applyFont="1" applyBorder="1" applyAlignment="1" applyProtection="1">
      <alignment horizontal="center" vertical="top" shrinkToFit="1"/>
      <protection hidden="1"/>
    </xf>
    <xf numFmtId="0" fontId="40" fillId="0" borderId="8" xfId="0" quotePrefix="1" applyFont="1" applyBorder="1" applyAlignment="1" applyProtection="1">
      <alignment horizontal="center" vertical="top" shrinkToFit="1"/>
      <protection hidden="1"/>
    </xf>
    <xf numFmtId="0" fontId="7" fillId="0" borderId="8" xfId="0" applyFont="1" applyBorder="1" applyAlignment="1" applyProtection="1">
      <alignment horizontal="center" vertical="top" shrinkToFit="1"/>
      <protection hidden="1"/>
    </xf>
    <xf numFmtId="0" fontId="40" fillId="0" borderId="81" xfId="0" applyFont="1" applyBorder="1" applyAlignment="1" applyProtection="1">
      <alignment horizontal="center" vertical="center"/>
      <protection hidden="1"/>
    </xf>
    <xf numFmtId="0" fontId="7" fillId="0" borderId="8" xfId="0" applyFont="1" applyBorder="1" applyAlignment="1" applyProtection="1">
      <alignment horizontal="center" vertical="center"/>
      <protection hidden="1"/>
    </xf>
    <xf numFmtId="0" fontId="7" fillId="0" borderId="9" xfId="0" applyFont="1" applyBorder="1" applyAlignment="1" applyProtection="1">
      <alignment horizontal="center" vertical="center"/>
      <protection hidden="1"/>
    </xf>
    <xf numFmtId="0" fontId="40" fillId="0" borderId="25" xfId="0" quotePrefix="1" applyFont="1" applyFill="1" applyBorder="1" applyAlignment="1" applyProtection="1">
      <alignment horizontal="left" vertical="top"/>
      <protection hidden="1"/>
    </xf>
    <xf numFmtId="0" fontId="40" fillId="0" borderId="20" xfId="0" quotePrefix="1" applyFont="1" applyFill="1" applyBorder="1" applyAlignment="1" applyProtection="1">
      <alignment horizontal="left" vertical="top"/>
      <protection hidden="1"/>
    </xf>
    <xf numFmtId="0" fontId="40" fillId="0" borderId="24" xfId="0" quotePrefix="1" applyFont="1" applyFill="1" applyBorder="1" applyAlignment="1" applyProtection="1">
      <alignment horizontal="left" vertical="top"/>
      <protection hidden="1"/>
    </xf>
    <xf numFmtId="0" fontId="40" fillId="0" borderId="7" xfId="0" applyFont="1" applyFill="1" applyBorder="1" applyAlignment="1" applyProtection="1">
      <alignment horizontal="center" vertical="center" wrapText="1"/>
      <protection hidden="1"/>
    </xf>
    <xf numFmtId="0" fontId="40" fillId="0" borderId="8" xfId="0" applyFont="1" applyFill="1" applyBorder="1" applyAlignment="1" applyProtection="1">
      <alignment horizontal="center" vertical="center" wrapText="1"/>
      <protection hidden="1"/>
    </xf>
    <xf numFmtId="0" fontId="40" fillId="0" borderId="9" xfId="0" applyFont="1" applyFill="1" applyBorder="1" applyAlignment="1" applyProtection="1">
      <alignment horizontal="center" vertical="center" wrapText="1"/>
      <protection hidden="1"/>
    </xf>
    <xf numFmtId="0" fontId="40" fillId="0" borderId="7" xfId="0" applyFont="1" applyBorder="1" applyAlignment="1" applyProtection="1">
      <alignment horizontal="center" vertical="center" wrapText="1"/>
      <protection hidden="1"/>
    </xf>
    <xf numFmtId="0" fontId="7" fillId="0" borderId="8" xfId="0" applyFont="1" applyBorder="1" applyAlignment="1" applyProtection="1">
      <alignment horizontal="center" vertical="center" wrapText="1"/>
      <protection hidden="1"/>
    </xf>
    <xf numFmtId="0" fontId="40" fillId="0" borderId="4" xfId="0" applyFont="1" applyBorder="1" applyAlignment="1" applyProtection="1">
      <alignment horizontal="center" vertical="center" wrapText="1"/>
      <protection hidden="1"/>
    </xf>
    <xf numFmtId="0" fontId="7" fillId="0" borderId="4" xfId="0" applyFont="1" applyBorder="1" applyAlignment="1" applyProtection="1">
      <alignment horizontal="center" vertical="center" wrapText="1"/>
      <protection hidden="1"/>
    </xf>
    <xf numFmtId="0" fontId="7" fillId="0" borderId="7" xfId="0" applyFont="1" applyBorder="1" applyAlignment="1" applyProtection="1">
      <alignment horizontal="center" vertical="center" wrapText="1"/>
      <protection hidden="1"/>
    </xf>
    <xf numFmtId="0" fontId="40" fillId="0" borderId="81" xfId="0" quotePrefix="1" applyFont="1" applyFill="1" applyBorder="1" applyAlignment="1" applyProtection="1">
      <alignment horizontal="center" vertical="top" shrinkToFit="1"/>
      <protection hidden="1"/>
    </xf>
    <xf numFmtId="0" fontId="40" fillId="0" borderId="8" xfId="0" quotePrefix="1" applyFont="1" applyFill="1" applyBorder="1" applyAlignment="1" applyProtection="1">
      <alignment horizontal="center" vertical="top" shrinkToFit="1"/>
      <protection hidden="1"/>
    </xf>
    <xf numFmtId="0" fontId="40" fillId="0" borderId="9" xfId="0" quotePrefix="1" applyFont="1" applyFill="1" applyBorder="1" applyAlignment="1" applyProtection="1">
      <alignment horizontal="center" vertical="top" shrinkToFit="1"/>
      <protection hidden="1"/>
    </xf>
    <xf numFmtId="181" fontId="40" fillId="0" borderId="7" xfId="0" applyNumberFormat="1" applyFont="1" applyBorder="1" applyAlignment="1" applyProtection="1">
      <alignment vertical="top" wrapText="1" shrinkToFit="1"/>
      <protection hidden="1"/>
    </xf>
    <xf numFmtId="181" fontId="40" fillId="0" borderId="8" xfId="0" applyNumberFormat="1" applyFont="1" applyBorder="1" applyAlignment="1" applyProtection="1">
      <alignment vertical="top" wrapText="1" shrinkToFit="1"/>
      <protection hidden="1"/>
    </xf>
    <xf numFmtId="181" fontId="40" fillId="0" borderId="9" xfId="0" applyNumberFormat="1" applyFont="1" applyBorder="1" applyAlignment="1" applyProtection="1">
      <alignment vertical="top" wrapText="1" shrinkToFit="1"/>
      <protection hidden="1"/>
    </xf>
    <xf numFmtId="0" fontId="40" fillId="0" borderId="3" xfId="0" applyFont="1" applyBorder="1" applyAlignment="1" applyProtection="1">
      <alignment vertical="top" wrapText="1" shrinkToFit="1"/>
      <protection hidden="1"/>
    </xf>
    <xf numFmtId="0" fontId="40" fillId="0" borderId="1" xfId="0" applyFont="1" applyBorder="1" applyAlignment="1" applyProtection="1">
      <alignment vertical="top" wrapText="1" shrinkToFit="1"/>
      <protection hidden="1"/>
    </xf>
    <xf numFmtId="0" fontId="40" fillId="0" borderId="28" xfId="0" applyFont="1" applyBorder="1" applyAlignment="1" applyProtection="1">
      <alignment vertical="top" wrapText="1" shrinkToFit="1"/>
      <protection hidden="1"/>
    </xf>
    <xf numFmtId="0" fontId="40" fillId="0" borderId="2" xfId="0" applyFont="1" applyBorder="1" applyAlignment="1" applyProtection="1">
      <alignment vertical="top" wrapText="1" shrinkToFit="1"/>
      <protection hidden="1"/>
    </xf>
    <xf numFmtId="0" fontId="40" fillId="0" borderId="7" xfId="0" applyFont="1" applyBorder="1" applyAlignment="1" applyProtection="1">
      <alignment vertical="top" wrapText="1" shrinkToFit="1"/>
      <protection hidden="1"/>
    </xf>
    <xf numFmtId="0" fontId="40" fillId="0" borderId="8" xfId="0" applyFont="1" applyBorder="1" applyAlignment="1" applyProtection="1">
      <alignment vertical="top" wrapText="1" shrinkToFit="1"/>
      <protection hidden="1"/>
    </xf>
    <xf numFmtId="0" fontId="40" fillId="0" borderId="0" xfId="0" quotePrefix="1" applyFont="1" applyFill="1" applyBorder="1" applyAlignment="1" applyProtection="1">
      <alignment horizontal="center" vertical="top" shrinkToFit="1"/>
      <protection hidden="1"/>
    </xf>
    <xf numFmtId="0" fontId="7" fillId="0" borderId="0" xfId="0" applyFont="1" applyFill="1" applyBorder="1" applyAlignment="1" applyProtection="1">
      <alignment horizontal="center" vertical="top" shrinkToFit="1"/>
      <protection hidden="1"/>
    </xf>
    <xf numFmtId="0" fontId="7" fillId="0" borderId="0" xfId="0" applyFont="1" applyAlignment="1" applyProtection="1">
      <alignment vertical="top" shrinkToFit="1"/>
      <protection hidden="1"/>
    </xf>
    <xf numFmtId="0" fontId="40" fillId="0" borderId="16" xfId="0" applyFont="1" applyBorder="1" applyAlignment="1" applyProtection="1">
      <alignment vertical="center"/>
      <protection hidden="1"/>
    </xf>
    <xf numFmtId="0" fontId="40" fillId="0" borderId="15" xfId="0" applyFont="1" applyBorder="1" applyAlignment="1" applyProtection="1">
      <alignment vertical="center"/>
      <protection hidden="1"/>
    </xf>
    <xf numFmtId="0" fontId="40" fillId="0" borderId="3" xfId="0" applyFont="1" applyBorder="1" applyAlignment="1" applyProtection="1">
      <alignment vertical="top" wrapText="1"/>
      <protection hidden="1"/>
    </xf>
    <xf numFmtId="0" fontId="40" fillId="0" borderId="1" xfId="0" applyFont="1" applyBorder="1" applyAlignment="1" applyProtection="1">
      <alignment vertical="center"/>
      <protection hidden="1"/>
    </xf>
    <xf numFmtId="0" fontId="7" fillId="0" borderId="1" xfId="0" applyFont="1" applyBorder="1" applyAlignment="1" applyProtection="1">
      <alignment vertical="center"/>
      <protection hidden="1"/>
    </xf>
    <xf numFmtId="0" fontId="7" fillId="0" borderId="6" xfId="0" applyFont="1" applyBorder="1" applyAlignment="1" applyProtection="1">
      <alignment vertical="center"/>
      <protection hidden="1"/>
    </xf>
    <xf numFmtId="0" fontId="40" fillId="0" borderId="7" xfId="0" applyFont="1" applyBorder="1" applyAlignment="1" applyProtection="1">
      <alignment horizontal="justify" vertical="top" shrinkToFit="1"/>
      <protection hidden="1"/>
    </xf>
    <xf numFmtId="0" fontId="40" fillId="0" borderId="8" xfId="0" applyFont="1" applyBorder="1" applyAlignment="1" applyProtection="1">
      <alignment vertical="center" shrinkToFit="1"/>
      <protection hidden="1"/>
    </xf>
    <xf numFmtId="0" fontId="7" fillId="0" borderId="8" xfId="0" applyFont="1" applyBorder="1" applyAlignment="1" applyProtection="1">
      <alignment vertical="center" shrinkToFit="1"/>
      <protection hidden="1"/>
    </xf>
    <xf numFmtId="0" fontId="7" fillId="0" borderId="9" xfId="0" applyFont="1" applyBorder="1" applyAlignment="1" applyProtection="1">
      <alignment vertical="center" shrinkToFit="1"/>
      <protection hidden="1"/>
    </xf>
    <xf numFmtId="0" fontId="40" fillId="0" borderId="7" xfId="0" applyFont="1" applyBorder="1" applyAlignment="1" applyProtection="1">
      <alignment horizontal="justify" vertical="top" wrapText="1"/>
      <protection hidden="1"/>
    </xf>
    <xf numFmtId="0" fontId="40" fillId="0" borderId="8" xfId="0" applyFont="1" applyBorder="1" applyAlignment="1" applyProtection="1">
      <alignment vertical="center"/>
      <protection hidden="1"/>
    </xf>
    <xf numFmtId="0" fontId="7" fillId="0" borderId="8" xfId="0" applyFont="1" applyBorder="1" applyAlignment="1" applyProtection="1">
      <alignment vertical="center"/>
      <protection hidden="1"/>
    </xf>
    <xf numFmtId="0" fontId="7" fillId="0" borderId="9" xfId="0" applyFont="1" applyBorder="1" applyAlignment="1" applyProtection="1">
      <alignment vertical="center"/>
      <protection hidden="1"/>
    </xf>
    <xf numFmtId="0" fontId="41" fillId="0" borderId="16" xfId="0" applyFont="1" applyBorder="1" applyAlignment="1" applyProtection="1">
      <alignment horizontal="left" shrinkToFit="1"/>
      <protection hidden="1"/>
    </xf>
    <xf numFmtId="0" fontId="41" fillId="0" borderId="15" xfId="0" applyFont="1" applyBorder="1" applyAlignment="1" applyProtection="1">
      <alignment horizontal="left" shrinkToFit="1"/>
      <protection hidden="1"/>
    </xf>
    <xf numFmtId="0" fontId="40" fillId="0" borderId="3" xfId="0" applyFont="1" applyFill="1" applyBorder="1" applyAlignment="1" applyProtection="1">
      <alignment vertical="top" wrapText="1"/>
      <protection hidden="1"/>
    </xf>
    <xf numFmtId="0" fontId="41" fillId="0" borderId="21" xfId="0" applyFont="1" applyBorder="1" applyAlignment="1" applyProtection="1">
      <alignment horizontal="center" shrinkToFit="1"/>
      <protection hidden="1"/>
    </xf>
    <xf numFmtId="0" fontId="41" fillId="0" borderId="16" xfId="0" applyFont="1" applyBorder="1" applyAlignment="1" applyProtection="1">
      <alignment horizontal="center" shrinkToFit="1"/>
      <protection hidden="1"/>
    </xf>
    <xf numFmtId="0" fontId="7" fillId="0" borderId="16" xfId="0" applyFont="1" applyBorder="1" applyAlignment="1" applyProtection="1">
      <alignment horizontal="center" shrinkToFit="1"/>
      <protection hidden="1"/>
    </xf>
    <xf numFmtId="0" fontId="40" fillId="0" borderId="28" xfId="0" applyFont="1" applyBorder="1" applyAlignment="1" applyProtection="1">
      <alignment vertical="top" wrapText="1"/>
      <protection hidden="1"/>
    </xf>
    <xf numFmtId="0" fontId="40" fillId="0" borderId="2" xfId="0" applyFont="1" applyBorder="1" applyAlignment="1" applyProtection="1">
      <alignment vertical="center"/>
      <protection hidden="1"/>
    </xf>
    <xf numFmtId="0" fontId="7" fillId="0" borderId="2" xfId="0" applyFont="1" applyBorder="1" applyAlignment="1" applyProtection="1">
      <alignment vertical="center"/>
      <protection hidden="1"/>
    </xf>
    <xf numFmtId="0" fontId="7" fillId="0" borderId="11" xfId="0" applyFont="1" applyBorder="1" applyAlignment="1" applyProtection="1">
      <alignment vertical="center"/>
      <protection hidden="1"/>
    </xf>
    <xf numFmtId="0" fontId="40" fillId="0" borderId="3" xfId="0" applyFont="1" applyBorder="1" applyAlignment="1" applyProtection="1">
      <alignment horizontal="center" vertical="top" textRotation="255" wrapText="1"/>
      <protection hidden="1"/>
    </xf>
    <xf numFmtId="0" fontId="7" fillId="0" borderId="6" xfId="0" applyFont="1" applyBorder="1" applyAlignment="1" applyProtection="1">
      <alignment horizontal="center" vertical="top" textRotation="255" wrapText="1"/>
      <protection hidden="1"/>
    </xf>
    <xf numFmtId="0" fontId="40" fillId="0" borderId="5" xfId="0" applyFont="1" applyBorder="1" applyAlignment="1" applyProtection="1">
      <alignment horizontal="center" vertical="top" textRotation="255" wrapText="1"/>
      <protection hidden="1"/>
    </xf>
    <xf numFmtId="0" fontId="7" fillId="0" borderId="10" xfId="0" applyFont="1" applyBorder="1" applyAlignment="1" applyProtection="1">
      <alignment horizontal="center" vertical="top" textRotation="255" wrapText="1"/>
      <protection hidden="1"/>
    </xf>
    <xf numFmtId="0" fontId="40" fillId="0" borderId="28" xfId="0" applyFont="1" applyBorder="1" applyAlignment="1" applyProtection="1">
      <alignment horizontal="center" vertical="top" textRotation="255" wrapText="1"/>
      <protection hidden="1"/>
    </xf>
    <xf numFmtId="0" fontId="7" fillId="0" borderId="11" xfId="0" applyFont="1" applyBorder="1" applyAlignment="1" applyProtection="1">
      <alignment horizontal="center" vertical="top" textRotation="255" wrapText="1"/>
      <protection hidden="1"/>
    </xf>
    <xf numFmtId="0" fontId="40" fillId="0" borderId="3" xfId="0" quotePrefix="1" applyFont="1" applyBorder="1" applyAlignment="1" applyProtection="1">
      <alignment horizontal="left" vertical="top" shrinkToFit="1"/>
      <protection hidden="1"/>
    </xf>
    <xf numFmtId="0" fontId="7" fillId="0" borderId="1" xfId="0" applyFont="1" applyBorder="1" applyAlignment="1" applyProtection="1">
      <alignment horizontal="left" vertical="top" shrinkToFit="1"/>
      <protection hidden="1"/>
    </xf>
    <xf numFmtId="0" fontId="7" fillId="0" borderId="6" xfId="0" applyFont="1" applyBorder="1" applyAlignment="1" applyProtection="1">
      <alignment horizontal="left" vertical="top" shrinkToFit="1"/>
      <protection hidden="1"/>
    </xf>
    <xf numFmtId="0" fontId="7" fillId="0" borderId="5" xfId="0" applyFont="1" applyBorder="1" applyAlignment="1" applyProtection="1">
      <alignment horizontal="left" vertical="top" shrinkToFit="1"/>
      <protection hidden="1"/>
    </xf>
    <xf numFmtId="0" fontId="7" fillId="0" borderId="0" xfId="0" applyFont="1" applyBorder="1" applyAlignment="1" applyProtection="1">
      <alignment horizontal="left" vertical="top" shrinkToFit="1"/>
      <protection hidden="1"/>
    </xf>
    <xf numFmtId="0" fontId="7" fillId="0" borderId="10" xfId="0" applyFont="1" applyBorder="1" applyAlignment="1" applyProtection="1">
      <alignment horizontal="left" vertical="top" shrinkToFit="1"/>
      <protection hidden="1"/>
    </xf>
    <xf numFmtId="0" fontId="7" fillId="0" borderId="42" xfId="0" applyFont="1" applyBorder="1" applyAlignment="1" applyProtection="1">
      <alignment horizontal="left" vertical="top" shrinkToFit="1"/>
      <protection hidden="1"/>
    </xf>
    <xf numFmtId="0" fontId="7" fillId="0" borderId="20" xfId="0" applyFont="1" applyBorder="1" applyAlignment="1" applyProtection="1">
      <alignment horizontal="left" vertical="top" shrinkToFit="1"/>
      <protection hidden="1"/>
    </xf>
    <xf numFmtId="0" fontId="7" fillId="0" borderId="43" xfId="0" applyFont="1" applyBorder="1" applyAlignment="1" applyProtection="1">
      <alignment horizontal="left" vertical="top" shrinkToFit="1"/>
      <protection hidden="1"/>
    </xf>
    <xf numFmtId="0" fontId="40" fillId="0" borderId="7" xfId="0" applyFont="1" applyBorder="1" applyAlignment="1" applyProtection="1">
      <alignment vertical="top" wrapText="1"/>
      <protection hidden="1"/>
    </xf>
    <xf numFmtId="0" fontId="7" fillId="0" borderId="8" xfId="0" applyFont="1" applyBorder="1" applyAlignment="1" applyProtection="1">
      <alignment vertical="center" wrapText="1"/>
      <protection hidden="1"/>
    </xf>
    <xf numFmtId="0" fontId="40" fillId="0" borderId="7" xfId="0" applyFont="1" applyFill="1" applyBorder="1" applyAlignment="1" applyProtection="1">
      <alignment vertical="top" wrapText="1"/>
      <protection hidden="1"/>
    </xf>
    <xf numFmtId="0" fontId="40" fillId="0" borderId="8" xfId="0" applyFont="1" applyFill="1" applyBorder="1" applyAlignment="1" applyProtection="1">
      <alignment vertical="top" wrapText="1"/>
      <protection hidden="1"/>
    </xf>
    <xf numFmtId="0" fontId="40" fillId="0" borderId="4" xfId="0" applyFont="1" applyBorder="1" applyAlignment="1" applyProtection="1">
      <alignment vertical="top" wrapText="1"/>
      <protection hidden="1"/>
    </xf>
    <xf numFmtId="0" fontId="40" fillId="0" borderId="4" xfId="0" applyFont="1" applyBorder="1" applyAlignment="1" applyProtection="1">
      <alignment vertical="center"/>
      <protection hidden="1"/>
    </xf>
    <xf numFmtId="0" fontId="7" fillId="0" borderId="4" xfId="0" applyFont="1" applyBorder="1" applyAlignment="1" applyProtection="1">
      <alignment vertical="center"/>
      <protection hidden="1"/>
    </xf>
    <xf numFmtId="0" fontId="40" fillId="0" borderId="5" xfId="0" applyFont="1" applyBorder="1" applyAlignment="1" applyProtection="1">
      <alignment vertical="center"/>
      <protection hidden="1"/>
    </xf>
    <xf numFmtId="0" fontId="40" fillId="0" borderId="0" xfId="0" applyFont="1" applyBorder="1" applyAlignment="1" applyProtection="1">
      <alignment vertical="center"/>
      <protection hidden="1"/>
    </xf>
    <xf numFmtId="0" fontId="7" fillId="0" borderId="0" xfId="0" applyFont="1" applyBorder="1" applyAlignment="1" applyProtection="1">
      <alignment vertical="center"/>
      <protection hidden="1"/>
    </xf>
    <xf numFmtId="0" fontId="7" fillId="0" borderId="10" xfId="0" applyFont="1" applyBorder="1" applyAlignment="1" applyProtection="1">
      <alignment vertical="center"/>
      <protection hidden="1"/>
    </xf>
    <xf numFmtId="0" fontId="7" fillId="0" borderId="1" xfId="0" applyFont="1" applyBorder="1" applyAlignment="1" applyProtection="1">
      <alignment vertical="center" wrapText="1"/>
      <protection hidden="1"/>
    </xf>
    <xf numFmtId="0" fontId="7" fillId="0" borderId="6" xfId="0" applyFont="1" applyBorder="1" applyAlignment="1" applyProtection="1">
      <alignment vertical="center" wrapText="1"/>
      <protection hidden="1"/>
    </xf>
    <xf numFmtId="0" fontId="7" fillId="0" borderId="28" xfId="0" applyFont="1" applyBorder="1" applyAlignment="1" applyProtection="1">
      <alignment vertical="center" wrapText="1"/>
      <protection hidden="1"/>
    </xf>
    <xf numFmtId="0" fontId="7" fillId="0" borderId="2" xfId="0" applyFont="1" applyBorder="1" applyAlignment="1" applyProtection="1">
      <alignment vertical="center" wrapText="1"/>
      <protection hidden="1"/>
    </xf>
    <xf numFmtId="0" fontId="7" fillId="0" borderId="11" xfId="0" applyFont="1" applyBorder="1" applyAlignment="1" applyProtection="1">
      <alignment vertical="center" wrapText="1"/>
      <protection hidden="1"/>
    </xf>
    <xf numFmtId="0" fontId="40" fillId="0" borderId="42" xfId="0" applyFont="1" applyBorder="1" applyAlignment="1" applyProtection="1">
      <alignment vertical="top" wrapText="1"/>
      <protection hidden="1"/>
    </xf>
    <xf numFmtId="0" fontId="40" fillId="0" borderId="20" xfId="0" applyFont="1" applyBorder="1" applyAlignment="1" applyProtection="1">
      <alignment vertical="center" wrapText="1"/>
      <protection hidden="1"/>
    </xf>
    <xf numFmtId="0" fontId="7" fillId="0" borderId="20" xfId="0" applyFont="1" applyBorder="1" applyAlignment="1" applyProtection="1">
      <alignment vertical="center" wrapText="1"/>
      <protection hidden="1"/>
    </xf>
    <xf numFmtId="0" fontId="7" fillId="0" borderId="43" xfId="0" applyFont="1" applyBorder="1" applyAlignment="1" applyProtection="1">
      <alignment vertical="center" wrapText="1"/>
      <protection hidden="1"/>
    </xf>
    <xf numFmtId="0" fontId="40" fillId="0" borderId="4" xfId="0" applyFont="1" applyBorder="1" applyAlignment="1" applyProtection="1">
      <alignment horizontal="justify" vertical="top" wrapText="1"/>
      <protection hidden="1"/>
    </xf>
    <xf numFmtId="0" fontId="7" fillId="0" borderId="4" xfId="0" applyFont="1" applyBorder="1" applyAlignment="1" applyProtection="1">
      <alignment vertical="top"/>
      <protection hidden="1"/>
    </xf>
    <xf numFmtId="0" fontId="40" fillId="0" borderId="7" xfId="0" applyFont="1" applyBorder="1" applyAlignment="1" applyProtection="1">
      <alignment horizontal="justify" vertical="top" wrapText="1" shrinkToFit="1"/>
      <protection hidden="1"/>
    </xf>
    <xf numFmtId="0" fontId="40" fillId="0" borderId="8" xfId="0" applyFont="1" applyBorder="1" applyAlignment="1" applyProtection="1">
      <alignment vertical="center" wrapText="1" shrinkToFit="1"/>
      <protection hidden="1"/>
    </xf>
    <xf numFmtId="0" fontId="7" fillId="0" borderId="8" xfId="0" applyFont="1" applyBorder="1" applyAlignment="1" applyProtection="1">
      <alignment vertical="center" wrapText="1" shrinkToFit="1"/>
      <protection hidden="1"/>
    </xf>
    <xf numFmtId="0" fontId="7" fillId="0" borderId="9" xfId="0" applyFont="1" applyBorder="1" applyAlignment="1" applyProtection="1">
      <alignment vertical="center" wrapText="1" shrinkToFit="1"/>
      <protection hidden="1"/>
    </xf>
    <xf numFmtId="0" fontId="40" fillId="0" borderId="3" xfId="0" applyFont="1" applyBorder="1" applyAlignment="1" applyProtection="1">
      <alignment horizontal="left" vertical="top" shrinkToFit="1"/>
      <protection hidden="1"/>
    </xf>
    <xf numFmtId="0" fontId="40" fillId="0" borderId="1" xfId="0" applyFont="1" applyBorder="1" applyAlignment="1" applyProtection="1">
      <alignment horizontal="left" vertical="top" shrinkToFit="1"/>
      <protection hidden="1"/>
    </xf>
    <xf numFmtId="0" fontId="40" fillId="0" borderId="5" xfId="0" applyFont="1" applyBorder="1" applyAlignment="1" applyProtection="1">
      <alignment horizontal="left" vertical="top" shrinkToFit="1"/>
      <protection hidden="1"/>
    </xf>
    <xf numFmtId="0" fontId="40" fillId="0" borderId="0" xfId="0" applyFont="1" applyBorder="1" applyAlignment="1" applyProtection="1">
      <alignment horizontal="left" vertical="top" shrinkToFit="1"/>
      <protection hidden="1"/>
    </xf>
    <xf numFmtId="0" fontId="40" fillId="0" borderId="28" xfId="0" applyFont="1" applyBorder="1" applyAlignment="1" applyProtection="1">
      <alignment horizontal="left" vertical="top" shrinkToFit="1"/>
      <protection hidden="1"/>
    </xf>
    <xf numFmtId="0" fontId="40" fillId="0" borderId="2" xfId="0" applyFont="1" applyBorder="1" applyAlignment="1" applyProtection="1">
      <alignment horizontal="left" vertical="top" shrinkToFit="1"/>
      <protection hidden="1"/>
    </xf>
    <xf numFmtId="0" fontId="40" fillId="0" borderId="8" xfId="0" applyFont="1" applyBorder="1" applyAlignment="1" applyProtection="1">
      <alignment vertical="top" wrapText="1"/>
      <protection hidden="1"/>
    </xf>
    <xf numFmtId="0" fontId="7" fillId="0" borderId="8" xfId="0" applyFont="1" applyBorder="1" applyAlignment="1" applyProtection="1">
      <alignment vertical="top"/>
      <protection hidden="1"/>
    </xf>
    <xf numFmtId="0" fontId="40" fillId="0" borderId="141" xfId="0" applyFont="1" applyFill="1" applyBorder="1" applyAlignment="1" applyProtection="1">
      <alignment vertical="center"/>
      <protection hidden="1"/>
    </xf>
    <xf numFmtId="0" fontId="7" fillId="0" borderId="142" xfId="0" applyFont="1" applyFill="1" applyBorder="1" applyAlignment="1" applyProtection="1">
      <alignment vertical="center"/>
      <protection hidden="1"/>
    </xf>
    <xf numFmtId="0" fontId="7" fillId="0" borderId="143" xfId="0" applyFont="1" applyFill="1" applyBorder="1" applyAlignment="1" applyProtection="1">
      <alignment vertical="center"/>
      <protection hidden="1"/>
    </xf>
    <xf numFmtId="0" fontId="40" fillId="0" borderId="7" xfId="0" applyFont="1" applyFill="1" applyBorder="1" applyAlignment="1" applyProtection="1">
      <alignment vertical="center"/>
      <protection hidden="1"/>
    </xf>
    <xf numFmtId="0" fontId="7" fillId="0" borderId="8" xfId="0" applyFont="1" applyFill="1" applyBorder="1" applyAlignment="1" applyProtection="1">
      <alignment vertical="center"/>
      <protection hidden="1"/>
    </xf>
    <xf numFmtId="0" fontId="7" fillId="0" borderId="9" xfId="0" applyFont="1" applyFill="1" applyBorder="1" applyAlignment="1" applyProtection="1">
      <alignment vertical="center"/>
      <protection hidden="1"/>
    </xf>
    <xf numFmtId="0" fontId="7" fillId="0" borderId="44" xfId="0" applyFont="1" applyBorder="1" applyAlignment="1" applyProtection="1">
      <alignment horizontal="center" vertical="center" wrapText="1"/>
      <protection hidden="1"/>
    </xf>
    <xf numFmtId="0" fontId="7" fillId="0" borderId="38" xfId="0" applyFont="1" applyBorder="1" applyAlignment="1" applyProtection="1">
      <alignment horizontal="center" vertical="center" wrapText="1"/>
      <protection hidden="1"/>
    </xf>
    <xf numFmtId="0" fontId="7" fillId="0" borderId="45"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0"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42" xfId="0" applyFont="1" applyBorder="1" applyAlignment="1" applyProtection="1">
      <alignment horizontal="center" vertical="center" wrapText="1"/>
      <protection hidden="1"/>
    </xf>
    <xf numFmtId="0" fontId="7" fillId="0" borderId="20" xfId="0" applyFont="1" applyBorder="1" applyAlignment="1" applyProtection="1">
      <alignment horizontal="center" vertical="center" wrapText="1"/>
      <protection hidden="1"/>
    </xf>
    <xf numFmtId="0" fontId="7" fillId="0" borderId="43" xfId="0" applyFont="1" applyBorder="1" applyAlignment="1" applyProtection="1">
      <alignment horizontal="center" vertical="center" wrapText="1"/>
      <protection hidden="1"/>
    </xf>
    <xf numFmtId="0" fontId="40" fillId="0" borderId="3" xfId="0" applyFont="1" applyFill="1" applyBorder="1" applyAlignment="1" applyProtection="1">
      <alignment horizontal="center" vertical="top" textRotation="255" wrapText="1"/>
      <protection hidden="1"/>
    </xf>
    <xf numFmtId="0" fontId="7" fillId="0" borderId="5" xfId="0" applyFont="1" applyBorder="1" applyAlignment="1" applyProtection="1">
      <alignment horizontal="center" vertical="top" textRotation="255" wrapText="1"/>
      <protection hidden="1"/>
    </xf>
    <xf numFmtId="0" fontId="7" fillId="0" borderId="28" xfId="0" applyFont="1" applyBorder="1" applyAlignment="1" applyProtection="1">
      <alignment horizontal="center" vertical="top" textRotation="255" wrapText="1"/>
      <protection hidden="1"/>
    </xf>
    <xf numFmtId="181" fontId="40" fillId="0" borderId="7" xfId="0" applyNumberFormat="1" applyFont="1" applyFill="1" applyBorder="1" applyAlignment="1" applyProtection="1">
      <alignment vertical="center"/>
      <protection hidden="1"/>
    </xf>
    <xf numFmtId="181" fontId="7" fillId="0" borderId="8" xfId="0" applyNumberFormat="1" applyFont="1" applyFill="1" applyBorder="1" applyAlignment="1" applyProtection="1">
      <alignment vertical="center"/>
      <protection hidden="1"/>
    </xf>
    <xf numFmtId="181" fontId="7" fillId="0" borderId="9" xfId="0" applyNumberFormat="1" applyFont="1" applyFill="1" applyBorder="1" applyAlignment="1" applyProtection="1">
      <alignment vertical="center"/>
      <protection hidden="1"/>
    </xf>
    <xf numFmtId="181" fontId="40" fillId="0" borderId="30" xfId="0" applyNumberFormat="1" applyFont="1" applyFill="1" applyBorder="1" applyAlignment="1" applyProtection="1">
      <alignment vertical="center" wrapText="1"/>
      <protection hidden="1"/>
    </xf>
    <xf numFmtId="181" fontId="7" fillId="0" borderId="29" xfId="0" applyNumberFormat="1" applyFont="1" applyFill="1" applyBorder="1" applyAlignment="1" applyProtection="1">
      <alignment vertical="center" wrapText="1"/>
      <protection hidden="1"/>
    </xf>
    <xf numFmtId="181" fontId="7" fillId="0" borderId="31" xfId="0" applyNumberFormat="1" applyFont="1" applyFill="1" applyBorder="1" applyAlignment="1" applyProtection="1">
      <alignment vertical="center" wrapText="1"/>
      <protection hidden="1"/>
    </xf>
    <xf numFmtId="0" fontId="40" fillId="0" borderId="1" xfId="0" applyFont="1" applyBorder="1" applyAlignment="1" applyProtection="1">
      <alignment vertical="center" wrapText="1"/>
      <protection hidden="1"/>
    </xf>
    <xf numFmtId="0" fontId="40" fillId="0" borderId="42" xfId="0" applyFont="1" applyBorder="1" applyAlignment="1" applyProtection="1">
      <alignment vertical="center" wrapText="1"/>
      <protection hidden="1"/>
    </xf>
    <xf numFmtId="0" fontId="40" fillId="0" borderId="3" xfId="0" applyFont="1" applyFill="1" applyBorder="1" applyAlignment="1" applyProtection="1">
      <alignment horizontal="left" vertical="top" wrapText="1"/>
      <protection hidden="1"/>
    </xf>
    <xf numFmtId="0" fontId="40" fillId="0" borderId="1" xfId="0" applyFont="1" applyFill="1" applyBorder="1" applyAlignment="1" applyProtection="1">
      <alignment vertical="top" wrapText="1"/>
      <protection hidden="1"/>
    </xf>
    <xf numFmtId="0" fontId="40" fillId="0" borderId="1" xfId="0" applyFont="1" applyBorder="1" applyAlignment="1" applyProtection="1">
      <alignment vertical="top" wrapText="1"/>
      <protection hidden="1"/>
    </xf>
    <xf numFmtId="0" fontId="40" fillId="0" borderId="28" xfId="0" applyFont="1" applyFill="1" applyBorder="1" applyAlignment="1" applyProtection="1">
      <alignment vertical="top" wrapText="1"/>
      <protection hidden="1"/>
    </xf>
    <xf numFmtId="0" fontId="40" fillId="0" borderId="2" xfId="0" applyFont="1" applyFill="1" applyBorder="1" applyAlignment="1" applyProtection="1">
      <alignment vertical="top" wrapText="1"/>
      <protection hidden="1"/>
    </xf>
    <xf numFmtId="0" fontId="40" fillId="0" borderId="2" xfId="0" applyFont="1" applyBorder="1" applyAlignment="1" applyProtection="1">
      <alignment vertical="top" wrapText="1"/>
      <protection hidden="1"/>
    </xf>
    <xf numFmtId="0" fontId="40" fillId="0" borderId="144" xfId="0" quotePrefix="1" applyFont="1" applyBorder="1" applyAlignment="1" applyProtection="1">
      <alignment horizontal="center" vertical="top" shrinkToFit="1"/>
      <protection hidden="1"/>
    </xf>
    <xf numFmtId="0" fontId="40" fillId="0" borderId="29" xfId="0" quotePrefix="1" applyFont="1" applyBorder="1" applyAlignment="1" applyProtection="1">
      <alignment horizontal="center" vertical="top" shrinkToFit="1"/>
      <protection hidden="1"/>
    </xf>
    <xf numFmtId="0" fontId="7" fillId="0" borderId="29" xfId="0" applyFont="1" applyBorder="1" applyAlignment="1" applyProtection="1">
      <alignment horizontal="center" vertical="top" shrinkToFit="1"/>
      <protection hidden="1"/>
    </xf>
    <xf numFmtId="0" fontId="40" fillId="0" borderId="5" xfId="0" applyFont="1" applyFill="1" applyBorder="1" applyAlignment="1" applyProtection="1">
      <alignment vertical="top" wrapText="1"/>
      <protection hidden="1"/>
    </xf>
    <xf numFmtId="0" fontId="40" fillId="0" borderId="0" xfId="0" applyFont="1" applyBorder="1" applyAlignment="1" applyProtection="1">
      <alignment vertical="top" wrapText="1"/>
      <protection hidden="1"/>
    </xf>
    <xf numFmtId="0" fontId="7" fillId="0" borderId="8" xfId="0" applyFont="1" applyBorder="1" applyAlignment="1" applyProtection="1">
      <alignment vertical="top" wrapText="1"/>
      <protection hidden="1"/>
    </xf>
    <xf numFmtId="0" fontId="40" fillId="0" borderId="9" xfId="0" applyFont="1" applyFill="1" applyBorder="1" applyAlignment="1" applyProtection="1">
      <alignment vertical="top" wrapText="1"/>
      <protection hidden="1"/>
    </xf>
    <xf numFmtId="0" fontId="40" fillId="0" borderId="3" xfId="0" applyFont="1" applyBorder="1" applyAlignment="1" applyProtection="1">
      <alignment horizontal="left" vertical="top" wrapText="1"/>
      <protection hidden="1"/>
    </xf>
    <xf numFmtId="0" fontId="40" fillId="0" borderId="1" xfId="0" applyFont="1" applyBorder="1" applyAlignment="1" applyProtection="1">
      <alignment horizontal="left" vertical="top" wrapText="1"/>
      <protection hidden="1"/>
    </xf>
    <xf numFmtId="0" fontId="40" fillId="0" borderId="6" xfId="0" applyFont="1" applyBorder="1" applyAlignment="1" applyProtection="1">
      <alignment horizontal="left" vertical="top" wrapText="1"/>
      <protection hidden="1"/>
    </xf>
    <xf numFmtId="0" fontId="40" fillId="0" borderId="5" xfId="0" applyFont="1" applyFill="1" applyBorder="1" applyAlignment="1" applyProtection="1">
      <alignment horizontal="center" vertical="top" textRotation="255" wrapText="1"/>
      <protection hidden="1"/>
    </xf>
    <xf numFmtId="0" fontId="40" fillId="0" borderId="28" xfId="0" applyFont="1" applyFill="1" applyBorder="1" applyAlignment="1" applyProtection="1">
      <alignment horizontal="center" vertical="top" textRotation="255" wrapText="1"/>
      <protection hidden="1"/>
    </xf>
    <xf numFmtId="0" fontId="7" fillId="0" borderId="9" xfId="0" applyFont="1" applyBorder="1" applyAlignment="1" applyProtection="1">
      <alignment vertical="top" wrapText="1"/>
      <protection hidden="1"/>
    </xf>
    <xf numFmtId="0" fontId="41" fillId="0" borderId="16" xfId="0" applyFont="1" applyBorder="1" applyAlignment="1" applyProtection="1">
      <alignment horizontal="left" vertical="center"/>
      <protection hidden="1"/>
    </xf>
    <xf numFmtId="0" fontId="41" fillId="0" borderId="15" xfId="0" applyFont="1" applyBorder="1" applyAlignment="1" applyProtection="1">
      <alignment horizontal="left" vertical="center"/>
      <protection hidden="1"/>
    </xf>
    <xf numFmtId="0" fontId="40" fillId="0" borderId="7" xfId="0" applyFont="1" applyFill="1" applyBorder="1" applyAlignment="1" applyProtection="1">
      <alignment horizontal="left" vertical="top" wrapText="1"/>
      <protection hidden="1"/>
    </xf>
    <xf numFmtId="0" fontId="40" fillId="0" borderId="0" xfId="0" applyFont="1" applyFill="1" applyBorder="1" applyAlignment="1" applyProtection="1">
      <alignment vertical="top" wrapText="1"/>
      <protection hidden="1"/>
    </xf>
    <xf numFmtId="0" fontId="7" fillId="0" borderId="0" xfId="0" applyFont="1" applyBorder="1" applyAlignment="1" applyProtection="1">
      <alignment vertical="top"/>
      <protection hidden="1"/>
    </xf>
    <xf numFmtId="0" fontId="40" fillId="0" borderId="5" xfId="0" applyFont="1" applyBorder="1" applyAlignment="1" applyProtection="1">
      <alignment vertical="top" wrapText="1"/>
      <protection hidden="1"/>
    </xf>
    <xf numFmtId="0" fontId="40" fillId="0" borderId="9" xfId="0" applyFont="1" applyBorder="1" applyAlignment="1" applyProtection="1">
      <alignment vertical="top" wrapText="1"/>
      <protection hidden="1"/>
    </xf>
    <xf numFmtId="0" fontId="40" fillId="0" borderId="6" xfId="0" applyFont="1" applyFill="1" applyBorder="1" applyAlignment="1" applyProtection="1">
      <alignment vertical="top" wrapText="1"/>
      <protection hidden="1"/>
    </xf>
    <xf numFmtId="0" fontId="40" fillId="0" borderId="10" xfId="0" applyFont="1" applyFill="1" applyBorder="1" applyAlignment="1" applyProtection="1">
      <alignment vertical="top" wrapText="1"/>
      <protection hidden="1"/>
    </xf>
    <xf numFmtId="0" fontId="40" fillId="0" borderId="42" xfId="0" applyFont="1" applyFill="1" applyBorder="1" applyAlignment="1" applyProtection="1">
      <alignment vertical="top" wrapText="1"/>
      <protection hidden="1"/>
    </xf>
    <xf numFmtId="0" fontId="40" fillId="0" borderId="20" xfId="0" applyFont="1" applyFill="1" applyBorder="1" applyAlignment="1" applyProtection="1">
      <alignment vertical="top" wrapText="1"/>
      <protection hidden="1"/>
    </xf>
    <xf numFmtId="0" fontId="40" fillId="0" borderId="20" xfId="0" applyFont="1" applyBorder="1" applyAlignment="1" applyProtection="1">
      <alignment vertical="top" wrapText="1"/>
      <protection hidden="1"/>
    </xf>
    <xf numFmtId="0" fontId="7" fillId="0" borderId="20" xfId="0" applyFont="1" applyBorder="1" applyAlignment="1" applyProtection="1">
      <alignment vertical="top"/>
      <protection hidden="1"/>
    </xf>
    <xf numFmtId="0" fontId="40" fillId="0" borderId="30" xfId="0" applyFont="1" applyFill="1" applyBorder="1" applyAlignment="1" applyProtection="1">
      <alignment vertical="top" wrapText="1"/>
      <protection hidden="1"/>
    </xf>
    <xf numFmtId="0" fontId="40" fillId="0" borderId="29" xfId="0" applyFont="1" applyBorder="1" applyAlignment="1" applyProtection="1">
      <alignment vertical="center"/>
      <protection hidden="1"/>
    </xf>
    <xf numFmtId="0" fontId="7" fillId="0" borderId="29" xfId="0" applyFont="1" applyBorder="1" applyAlignment="1" applyProtection="1">
      <alignment vertical="center"/>
      <protection hidden="1"/>
    </xf>
    <xf numFmtId="0" fontId="7" fillId="0" borderId="31" xfId="0" applyFont="1" applyBorder="1" applyAlignment="1" applyProtection="1">
      <alignment vertical="center"/>
      <protection hidden="1"/>
    </xf>
    <xf numFmtId="0" fontId="40" fillId="0" borderId="8" xfId="0" applyFont="1" applyBorder="1" applyAlignment="1" applyProtection="1">
      <alignment horizontal="justify" vertical="top" wrapText="1"/>
      <protection hidden="1"/>
    </xf>
    <xf numFmtId="0" fontId="40" fillId="0" borderId="9" xfId="0" applyFont="1" applyBorder="1" applyAlignment="1" applyProtection="1">
      <alignment horizontal="justify" vertical="top" wrapText="1"/>
      <protection hidden="1"/>
    </xf>
    <xf numFmtId="0" fontId="7" fillId="0" borderId="6" xfId="0" applyFont="1" applyBorder="1" applyAlignment="1" applyProtection="1">
      <alignment horizontal="center" vertical="top" textRotation="255"/>
      <protection hidden="1"/>
    </xf>
    <xf numFmtId="0" fontId="7" fillId="0" borderId="10" xfId="0" applyFont="1" applyBorder="1" applyAlignment="1" applyProtection="1">
      <alignment horizontal="center" vertical="top" textRotation="255"/>
      <protection hidden="1"/>
    </xf>
    <xf numFmtId="0" fontId="40" fillId="0" borderId="5" xfId="0" applyFont="1" applyBorder="1" applyAlignment="1" applyProtection="1">
      <alignment horizontal="center" vertical="top" textRotation="255"/>
      <protection hidden="1"/>
    </xf>
    <xf numFmtId="0" fontId="40" fillId="0" borderId="42" xfId="0" applyFont="1" applyBorder="1" applyAlignment="1" applyProtection="1">
      <alignment horizontal="center" vertical="top" textRotation="255"/>
      <protection hidden="1"/>
    </xf>
    <xf numFmtId="0" fontId="7" fillId="0" borderId="43" xfId="0" applyFont="1" applyBorder="1" applyAlignment="1" applyProtection="1">
      <alignment horizontal="center" vertical="top" textRotation="255"/>
      <protection hidden="1"/>
    </xf>
    <xf numFmtId="0" fontId="40" fillId="0" borderId="28" xfId="0" applyFont="1" applyBorder="1" applyAlignment="1" applyProtection="1">
      <alignment vertical="center"/>
      <protection hidden="1"/>
    </xf>
    <xf numFmtId="0" fontId="40" fillId="0" borderId="3" xfId="0" applyFont="1" applyBorder="1" applyAlignment="1" applyProtection="1">
      <alignment horizontal="center" vertical="top" textRotation="255"/>
      <protection hidden="1"/>
    </xf>
    <xf numFmtId="0" fontId="40" fillId="0" borderId="28" xfId="0" applyFont="1" applyBorder="1" applyAlignment="1" applyProtection="1">
      <alignment horizontal="center" vertical="top" textRotation="255"/>
      <protection hidden="1"/>
    </xf>
    <xf numFmtId="0" fontId="7" fillId="0" borderId="11" xfId="0" applyFont="1" applyBorder="1" applyAlignment="1" applyProtection="1">
      <alignment horizontal="center" vertical="top" textRotation="255"/>
      <protection hidden="1"/>
    </xf>
    <xf numFmtId="0" fontId="40" fillId="0" borderId="8" xfId="0" applyFont="1" applyBorder="1" applyAlignment="1" applyProtection="1">
      <alignment vertical="center" wrapText="1"/>
      <protection hidden="1"/>
    </xf>
    <xf numFmtId="0" fontId="7" fillId="0" borderId="9" xfId="0" applyFont="1" applyBorder="1" applyAlignment="1" applyProtection="1">
      <alignment vertical="center" wrapText="1"/>
      <protection hidden="1"/>
    </xf>
    <xf numFmtId="0" fontId="40" fillId="0" borderId="42" xfId="0" applyFont="1" applyBorder="1" applyAlignment="1" applyProtection="1">
      <alignment vertical="center"/>
      <protection hidden="1"/>
    </xf>
    <xf numFmtId="0" fontId="40" fillId="0" borderId="20" xfId="0" applyFont="1" applyBorder="1" applyAlignment="1" applyProtection="1">
      <alignment vertical="center"/>
      <protection hidden="1"/>
    </xf>
    <xf numFmtId="0" fontId="7" fillId="0" borderId="20" xfId="0" applyFont="1" applyBorder="1" applyAlignment="1" applyProtection="1">
      <alignment vertical="center"/>
      <protection hidden="1"/>
    </xf>
    <xf numFmtId="0" fontId="7" fillId="0" borderId="43" xfId="0" applyFont="1" applyBorder="1" applyAlignment="1" applyProtection="1">
      <alignment vertical="center"/>
      <protection hidden="1"/>
    </xf>
    <xf numFmtId="0" fontId="40" fillId="0" borderId="16" xfId="0" applyFont="1" applyBorder="1" applyAlignment="1" applyProtection="1">
      <alignment horizontal="left" vertical="top"/>
      <protection hidden="1"/>
    </xf>
    <xf numFmtId="0" fontId="40" fillId="0" borderId="15" xfId="0" applyFont="1" applyBorder="1" applyAlignment="1" applyProtection="1">
      <alignment horizontal="left" vertical="top"/>
      <protection hidden="1"/>
    </xf>
    <xf numFmtId="0" fontId="40" fillId="0" borderId="30" xfId="0" applyFont="1" applyBorder="1" applyAlignment="1" applyProtection="1">
      <alignment horizontal="justify" vertical="top" shrinkToFit="1"/>
      <protection hidden="1"/>
    </xf>
    <xf numFmtId="0" fontId="40" fillId="0" borderId="29" xfId="0" applyFont="1" applyBorder="1" applyAlignment="1" applyProtection="1">
      <alignment vertical="center" shrinkToFit="1"/>
      <protection hidden="1"/>
    </xf>
    <xf numFmtId="0" fontId="7" fillId="0" borderId="29" xfId="0" applyFont="1" applyBorder="1" applyAlignment="1" applyProtection="1">
      <alignment vertical="center" shrinkToFit="1"/>
      <protection hidden="1"/>
    </xf>
    <xf numFmtId="0" fontId="7" fillId="0" borderId="31" xfId="0" applyFont="1" applyBorder="1" applyAlignment="1" applyProtection="1">
      <alignment vertical="center" shrinkToFit="1"/>
      <protection hidden="1"/>
    </xf>
    <xf numFmtId="0" fontId="40" fillId="0" borderId="1" xfId="0" applyFont="1" applyBorder="1" applyAlignment="1" applyProtection="1">
      <alignment vertical="center" shrinkToFit="1"/>
      <protection hidden="1"/>
    </xf>
    <xf numFmtId="0" fontId="7" fillId="0" borderId="1" xfId="0" applyFont="1" applyBorder="1" applyAlignment="1" applyProtection="1">
      <alignment vertical="center" shrinkToFit="1"/>
      <protection hidden="1"/>
    </xf>
    <xf numFmtId="0" fontId="7" fillId="0" borderId="6" xfId="0" applyFont="1" applyBorder="1" applyAlignment="1" applyProtection="1">
      <alignment vertical="center" shrinkToFit="1"/>
      <protection hidden="1"/>
    </xf>
    <xf numFmtId="0" fontId="40" fillId="0" borderId="2" xfId="0" applyFont="1" applyBorder="1" applyAlignment="1" applyProtection="1">
      <alignment vertical="center" shrinkToFit="1"/>
      <protection hidden="1"/>
    </xf>
    <xf numFmtId="0" fontId="7" fillId="0" borderId="2" xfId="0" applyFont="1" applyBorder="1" applyAlignment="1" applyProtection="1">
      <alignment vertical="center" shrinkToFit="1"/>
      <protection hidden="1"/>
    </xf>
    <xf numFmtId="0" fontId="7" fillId="0" borderId="11" xfId="0" applyFont="1" applyBorder="1" applyAlignment="1" applyProtection="1">
      <alignment vertical="center" shrinkToFit="1"/>
      <protection hidden="1"/>
    </xf>
    <xf numFmtId="0" fontId="40" fillId="0" borderId="6" xfId="0" applyFont="1" applyBorder="1" applyAlignment="1" applyProtection="1">
      <alignment horizontal="left" vertical="top" shrinkToFit="1"/>
      <protection hidden="1"/>
    </xf>
    <xf numFmtId="0" fontId="40" fillId="0" borderId="11" xfId="0" applyFont="1" applyBorder="1" applyAlignment="1" applyProtection="1">
      <alignment horizontal="left" vertical="top" shrinkToFit="1"/>
      <protection hidden="1"/>
    </xf>
    <xf numFmtId="0" fontId="40" fillId="0" borderId="4" xfId="0" applyFont="1" applyBorder="1" applyAlignment="1" applyProtection="1">
      <alignment horizontal="left" vertical="top" wrapText="1"/>
      <protection hidden="1"/>
    </xf>
    <xf numFmtId="0" fontId="7" fillId="0" borderId="28" xfId="0" applyFont="1" applyBorder="1" applyAlignment="1" applyProtection="1">
      <alignment horizontal="left" vertical="top" shrinkToFit="1"/>
      <protection hidden="1"/>
    </xf>
    <xf numFmtId="0" fontId="7" fillId="0" borderId="2" xfId="0" applyFont="1" applyBorder="1" applyAlignment="1" applyProtection="1">
      <alignment horizontal="left" vertical="top" shrinkToFit="1"/>
      <protection hidden="1"/>
    </xf>
    <xf numFmtId="0" fontId="7" fillId="0" borderId="11" xfId="0" applyFont="1" applyBorder="1" applyAlignment="1" applyProtection="1">
      <alignment horizontal="left" vertical="top" shrinkToFit="1"/>
      <protection hidden="1"/>
    </xf>
    <xf numFmtId="0" fontId="40" fillId="0" borderId="9" xfId="0" quotePrefix="1" applyFont="1" applyBorder="1" applyAlignment="1" applyProtection="1">
      <alignment horizontal="center" vertical="top" shrinkToFit="1"/>
      <protection hidden="1"/>
    </xf>
    <xf numFmtId="0" fontId="41" fillId="0" borderId="21" xfId="0" quotePrefix="1" applyFont="1" applyBorder="1" applyAlignment="1" applyProtection="1">
      <alignment horizontal="center" vertical="top"/>
      <protection hidden="1"/>
    </xf>
    <xf numFmtId="0" fontId="41" fillId="0" borderId="16" xfId="0" quotePrefix="1" applyFont="1" applyBorder="1" applyAlignment="1" applyProtection="1">
      <alignment horizontal="center" vertical="top"/>
      <protection hidden="1"/>
    </xf>
    <xf numFmtId="0" fontId="7" fillId="0" borderId="16" xfId="0" applyFont="1" applyBorder="1" applyAlignment="1" applyProtection="1">
      <alignment horizontal="center" vertical="top"/>
      <protection hidden="1"/>
    </xf>
    <xf numFmtId="0" fontId="40" fillId="0" borderId="37" xfId="0" applyFont="1" applyBorder="1" applyAlignment="1" applyProtection="1">
      <alignment horizontal="center" vertical="center" wrapText="1"/>
      <protection hidden="1"/>
    </xf>
    <xf numFmtId="0" fontId="40" fillId="0" borderId="38" xfId="0" applyFont="1" applyBorder="1" applyAlignment="1" applyProtection="1">
      <alignment horizontal="center" vertical="center" wrapText="1"/>
      <protection hidden="1"/>
    </xf>
    <xf numFmtId="0" fontId="40" fillId="0" borderId="23" xfId="0" applyFont="1" applyBorder="1" applyAlignment="1" applyProtection="1">
      <alignment horizontal="center" vertical="center" wrapText="1"/>
      <protection hidden="1"/>
    </xf>
    <xf numFmtId="0" fontId="40" fillId="0" borderId="0" xfId="0" applyFont="1" applyBorder="1" applyAlignment="1" applyProtection="1">
      <alignment horizontal="center" vertical="center" wrapText="1"/>
      <protection hidden="1"/>
    </xf>
    <xf numFmtId="0" fontId="7" fillId="0" borderId="25" xfId="0" applyFont="1" applyBorder="1" applyAlignment="1" applyProtection="1">
      <alignment horizontal="center" vertical="center" wrapText="1"/>
      <protection hidden="1"/>
    </xf>
    <xf numFmtId="0" fontId="40" fillId="0" borderId="144" xfId="0" quotePrefix="1" applyFont="1" applyFill="1" applyBorder="1" applyAlignment="1" applyProtection="1">
      <alignment horizontal="center" vertical="top" shrinkToFit="1"/>
      <protection hidden="1"/>
    </xf>
    <xf numFmtId="0" fontId="40" fillId="0" borderId="29" xfId="0" quotePrefix="1" applyFont="1" applyFill="1" applyBorder="1" applyAlignment="1" applyProtection="1">
      <alignment horizontal="center" vertical="top" shrinkToFit="1"/>
      <protection hidden="1"/>
    </xf>
    <xf numFmtId="0" fontId="40" fillId="0" borderId="42" xfId="0" applyFont="1" applyBorder="1" applyAlignment="1" applyProtection="1">
      <alignment horizontal="left" vertical="top" shrinkToFit="1"/>
      <protection hidden="1"/>
    </xf>
    <xf numFmtId="0" fontId="40" fillId="0" borderId="20" xfId="0" applyFont="1" applyBorder="1" applyAlignment="1" applyProtection="1">
      <alignment horizontal="left" vertical="top" shrinkToFit="1"/>
      <protection hidden="1"/>
    </xf>
    <xf numFmtId="0" fontId="40" fillId="0" borderId="7" xfId="0" applyFont="1" applyBorder="1" applyAlignment="1" applyProtection="1">
      <alignment horizontal="left" vertical="top" shrinkToFit="1"/>
      <protection hidden="1"/>
    </xf>
    <xf numFmtId="0" fontId="40" fillId="0" borderId="8" xfId="0" applyFont="1" applyBorder="1" applyAlignment="1" applyProtection="1">
      <alignment horizontal="left" vertical="top"/>
      <protection hidden="1"/>
    </xf>
    <xf numFmtId="0" fontId="40" fillId="0" borderId="9" xfId="0" applyFont="1" applyBorder="1" applyAlignment="1" applyProtection="1">
      <alignment horizontal="left" vertical="top"/>
      <protection hidden="1"/>
    </xf>
    <xf numFmtId="0" fontId="40" fillId="0" borderId="41" xfId="0" applyFont="1" applyFill="1" applyBorder="1" applyAlignment="1" applyProtection="1">
      <alignment horizontal="center" vertical="center" wrapText="1"/>
      <protection hidden="1"/>
    </xf>
    <xf numFmtId="0" fontId="7" fillId="0" borderId="15" xfId="0" applyFont="1" applyFill="1" applyBorder="1" applyAlignment="1" applyProtection="1">
      <alignment horizontal="center" vertical="center" wrapText="1"/>
      <protection hidden="1"/>
    </xf>
    <xf numFmtId="0" fontId="7" fillId="0" borderId="36" xfId="0" applyFont="1" applyFill="1" applyBorder="1" applyAlignment="1" applyProtection="1">
      <alignment horizontal="center" vertical="center" wrapText="1"/>
      <protection hidden="1"/>
    </xf>
    <xf numFmtId="181" fontId="40" fillId="0" borderId="7" xfId="0" applyNumberFormat="1" applyFont="1" applyFill="1" applyBorder="1" applyAlignment="1" applyProtection="1">
      <alignment vertical="center" wrapText="1"/>
      <protection hidden="1"/>
    </xf>
    <xf numFmtId="181" fontId="7" fillId="0" borderId="8" xfId="0" applyNumberFormat="1" applyFont="1" applyFill="1" applyBorder="1" applyAlignment="1" applyProtection="1">
      <alignment vertical="center" wrapText="1"/>
      <protection hidden="1"/>
    </xf>
    <xf numFmtId="181" fontId="7" fillId="0" borderId="9" xfId="0" applyNumberFormat="1" applyFont="1" applyFill="1" applyBorder="1" applyAlignment="1" applyProtection="1">
      <alignment vertical="center" wrapText="1"/>
      <protection hidden="1"/>
    </xf>
    <xf numFmtId="0" fontId="40" fillId="0" borderId="30" xfId="0" applyFont="1" applyFill="1" applyBorder="1" applyAlignment="1" applyProtection="1">
      <alignment horizontal="center" vertical="center" wrapText="1"/>
      <protection hidden="1"/>
    </xf>
    <xf numFmtId="0" fontId="7" fillId="0" borderId="39" xfId="0" applyFont="1" applyFill="1" applyBorder="1" applyAlignment="1" applyProtection="1">
      <alignment horizontal="center" vertical="center" wrapText="1"/>
      <protection hidden="1"/>
    </xf>
    <xf numFmtId="0" fontId="40" fillId="0" borderId="97" xfId="0" applyFont="1" applyBorder="1" applyAlignment="1" applyProtection="1">
      <alignment horizontal="center" vertical="center" wrapText="1"/>
      <protection hidden="1"/>
    </xf>
    <xf numFmtId="0" fontId="7" fillId="0" borderId="99" xfId="0" applyFont="1" applyBorder="1" applyAlignment="1" applyProtection="1">
      <alignment horizontal="center" vertical="center" wrapText="1"/>
      <protection hidden="1"/>
    </xf>
    <xf numFmtId="0" fontId="40" fillId="0" borderId="41" xfId="0" applyFont="1" applyBorder="1" applyAlignment="1" applyProtection="1">
      <alignment horizontal="center" vertical="center" wrapText="1"/>
      <protection hidden="1"/>
    </xf>
    <xf numFmtId="0" fontId="40" fillId="0" borderId="16" xfId="0" applyFont="1" applyBorder="1" applyAlignment="1" applyProtection="1">
      <alignment horizontal="center" vertical="center" wrapText="1"/>
      <protection hidden="1"/>
    </xf>
    <xf numFmtId="0" fontId="7" fillId="0" borderId="46" xfId="0" applyFont="1" applyBorder="1" applyAlignment="1" applyProtection="1">
      <alignment horizontal="center" vertical="center" wrapText="1"/>
      <protection hidden="1"/>
    </xf>
    <xf numFmtId="0" fontId="40" fillId="0" borderId="98" xfId="0" applyFont="1" applyBorder="1" applyAlignment="1" applyProtection="1">
      <alignment horizontal="center" vertical="center" wrapText="1"/>
      <protection hidden="1"/>
    </xf>
    <xf numFmtId="0" fontId="40" fillId="0" borderId="100" xfId="0" applyFont="1" applyBorder="1" applyAlignment="1" applyProtection="1">
      <alignment horizontal="center" vertical="center" wrapText="1"/>
      <protection hidden="1"/>
    </xf>
    <xf numFmtId="0" fontId="7" fillId="0" borderId="101" xfId="0" applyFont="1" applyBorder="1" applyAlignment="1" applyProtection="1">
      <alignment horizontal="center" vertical="center" wrapText="1"/>
      <protection hidden="1"/>
    </xf>
    <xf numFmtId="0" fontId="40" fillId="0" borderId="3" xfId="0" applyFont="1" applyFill="1" applyBorder="1" applyAlignment="1" applyProtection="1">
      <alignment vertical="center" wrapText="1"/>
      <protection hidden="1"/>
    </xf>
    <xf numFmtId="0" fontId="7" fillId="0" borderId="1" xfId="0" applyFont="1" applyFill="1" applyBorder="1" applyAlignment="1" applyProtection="1">
      <alignment vertical="center" wrapText="1"/>
      <protection hidden="1"/>
    </xf>
    <xf numFmtId="0" fontId="7" fillId="0" borderId="42" xfId="0" applyFont="1" applyFill="1" applyBorder="1" applyAlignment="1" applyProtection="1">
      <alignment vertical="center" wrapText="1"/>
      <protection hidden="1"/>
    </xf>
    <xf numFmtId="0" fontId="7" fillId="0" borderId="20" xfId="0" applyFont="1" applyFill="1" applyBorder="1" applyAlignment="1" applyProtection="1">
      <alignment vertical="center" wrapText="1"/>
      <protection hidden="1"/>
    </xf>
    <xf numFmtId="0" fontId="40" fillId="0" borderId="37" xfId="0" applyFont="1" applyFill="1" applyBorder="1" applyAlignment="1" applyProtection="1">
      <alignment vertical="center" wrapText="1"/>
      <protection hidden="1"/>
    </xf>
    <xf numFmtId="0" fontId="7" fillId="0" borderId="38" xfId="0" applyFont="1" applyFill="1" applyBorder="1" applyAlignment="1" applyProtection="1">
      <alignment vertical="center" wrapText="1"/>
      <protection hidden="1"/>
    </xf>
    <xf numFmtId="0" fontId="7" fillId="0" borderId="45" xfId="0" applyFont="1" applyFill="1" applyBorder="1" applyAlignment="1" applyProtection="1">
      <alignment vertical="center" wrapText="1"/>
      <protection hidden="1"/>
    </xf>
    <xf numFmtId="0" fontId="7" fillId="0" borderId="23" xfId="0" applyFont="1" applyFill="1" applyBorder="1" applyAlignment="1" applyProtection="1">
      <alignment vertical="center" wrapText="1"/>
      <protection hidden="1"/>
    </xf>
    <xf numFmtId="0" fontId="7" fillId="0" borderId="0" xfId="0" applyFont="1" applyFill="1" applyBorder="1" applyAlignment="1" applyProtection="1">
      <alignment vertical="center" wrapText="1"/>
      <protection hidden="1"/>
    </xf>
    <xf numFmtId="0" fontId="7" fillId="0" borderId="10" xfId="0" applyFont="1" applyFill="1" applyBorder="1" applyAlignment="1" applyProtection="1">
      <alignment vertical="center" wrapText="1"/>
      <protection hidden="1"/>
    </xf>
    <xf numFmtId="0" fontId="7" fillId="0" borderId="25" xfId="0" applyFont="1" applyFill="1" applyBorder="1" applyAlignment="1" applyProtection="1">
      <alignment vertical="center" wrapText="1"/>
      <protection hidden="1"/>
    </xf>
    <xf numFmtId="0" fontId="7" fillId="0" borderId="43" xfId="0" applyFont="1" applyFill="1" applyBorder="1" applyAlignment="1" applyProtection="1">
      <alignment vertical="center" wrapText="1"/>
      <protection hidden="1"/>
    </xf>
    <xf numFmtId="0" fontId="40" fillId="0" borderId="41" xfId="0" applyFont="1" applyFill="1" applyBorder="1" applyAlignment="1" applyProtection="1">
      <alignment vertical="center"/>
      <protection hidden="1"/>
    </xf>
    <xf numFmtId="0" fontId="7" fillId="0" borderId="16" xfId="0" applyFont="1" applyFill="1" applyBorder="1" applyAlignment="1" applyProtection="1">
      <alignment vertical="center"/>
      <protection hidden="1"/>
    </xf>
    <xf numFmtId="0" fontId="7" fillId="0" borderId="46" xfId="0" applyFont="1" applyFill="1" applyBorder="1" applyAlignment="1" applyProtection="1">
      <alignment vertical="center"/>
      <protection hidden="1"/>
    </xf>
    <xf numFmtId="0" fontId="40" fillId="0" borderId="7" xfId="0" applyFont="1" applyBorder="1" applyAlignment="1" applyProtection="1">
      <alignment horizontal="left" vertical="top" wrapText="1" shrinkToFit="1"/>
      <protection hidden="1"/>
    </xf>
    <xf numFmtId="0" fontId="40" fillId="0" borderId="8" xfId="0" applyFont="1" applyBorder="1" applyAlignment="1" applyProtection="1">
      <alignment horizontal="left" vertical="top" wrapText="1"/>
      <protection hidden="1"/>
    </xf>
    <xf numFmtId="0" fontId="40" fillId="0" borderId="9" xfId="0" applyFont="1" applyBorder="1" applyAlignment="1" applyProtection="1">
      <alignment horizontal="left" vertical="top" wrapText="1"/>
      <protection hidden="1"/>
    </xf>
    <xf numFmtId="0" fontId="40" fillId="0" borderId="30" xfId="0" applyFont="1" applyBorder="1" applyAlignment="1" applyProtection="1">
      <alignment horizontal="left" vertical="top" shrinkToFit="1"/>
      <protection hidden="1"/>
    </xf>
    <xf numFmtId="0" fontId="40" fillId="0" borderId="29" xfId="0" applyFont="1" applyBorder="1" applyAlignment="1" applyProtection="1">
      <alignment horizontal="left" vertical="top"/>
      <protection hidden="1"/>
    </xf>
    <xf numFmtId="0" fontId="40" fillId="0" borderId="31" xfId="0" applyFont="1" applyBorder="1" applyAlignment="1" applyProtection="1">
      <alignment horizontal="left" vertical="top"/>
      <protection hidden="1"/>
    </xf>
    <xf numFmtId="0" fontId="40" fillId="0" borderId="0" xfId="0" applyFont="1" applyFill="1" applyAlignment="1" applyProtection="1">
      <alignment vertical="top" wrapText="1"/>
      <protection hidden="1"/>
    </xf>
    <xf numFmtId="0" fontId="11" fillId="0" borderId="2" xfId="1" applyBorder="1" applyAlignment="1" applyProtection="1">
      <alignment horizontal="right" vertical="center"/>
      <protection locked="0" hidden="1"/>
    </xf>
    <xf numFmtId="0" fontId="0" fillId="0" borderId="2" xfId="0" applyFont="1" applyBorder="1" applyAlignment="1" applyProtection="1">
      <alignment horizontal="right" vertical="center"/>
      <protection locked="0" hidden="1"/>
    </xf>
    <xf numFmtId="0" fontId="40" fillId="0" borderId="99" xfId="0" applyFont="1" applyBorder="1" applyAlignment="1" applyProtection="1">
      <alignment horizontal="center" vertical="center" wrapText="1"/>
      <protection hidden="1"/>
    </xf>
    <xf numFmtId="0" fontId="7" fillId="0" borderId="95" xfId="0" applyFont="1" applyBorder="1" applyAlignment="1" applyProtection="1">
      <alignment horizontal="center" vertical="center" wrapText="1"/>
      <protection hidden="1"/>
    </xf>
    <xf numFmtId="0" fontId="40" fillId="0" borderId="6" xfId="0" applyFont="1" applyBorder="1" applyAlignment="1" applyProtection="1">
      <alignment vertical="top" wrapText="1" shrinkToFit="1"/>
      <protection hidden="1"/>
    </xf>
    <xf numFmtId="0" fontId="40" fillId="0" borderId="5" xfId="0" applyFont="1" applyBorder="1" applyAlignment="1" applyProtection="1">
      <alignment vertical="top" wrapText="1" shrinkToFit="1"/>
      <protection hidden="1"/>
    </xf>
    <xf numFmtId="0" fontId="40" fillId="0" borderId="0" xfId="0" applyFont="1" applyBorder="1" applyAlignment="1" applyProtection="1">
      <alignment vertical="top" wrapText="1" shrinkToFit="1"/>
      <protection hidden="1"/>
    </xf>
    <xf numFmtId="0" fontId="40" fillId="0" borderId="10" xfId="0" applyFont="1" applyBorder="1" applyAlignment="1" applyProtection="1">
      <alignment vertical="top" wrapText="1" shrinkToFit="1"/>
      <protection hidden="1"/>
    </xf>
    <xf numFmtId="0" fontId="40" fillId="0" borderId="11" xfId="0" applyFont="1" applyBorder="1" applyAlignment="1" applyProtection="1">
      <alignment vertical="top" wrapText="1" shrinkToFit="1"/>
      <protection hidden="1"/>
    </xf>
    <xf numFmtId="0" fontId="40" fillId="0" borderId="0" xfId="0" applyFont="1" applyAlignment="1" applyProtection="1">
      <alignment vertical="top" wrapText="1"/>
      <protection hidden="1"/>
    </xf>
    <xf numFmtId="0" fontId="40" fillId="0" borderId="4" xfId="0" applyFont="1" applyBorder="1" applyAlignment="1" applyProtection="1">
      <alignment horizontal="center" vertical="top" textRotation="255" wrapText="1"/>
      <protection hidden="1"/>
    </xf>
    <xf numFmtId="0" fontId="40" fillId="0" borderId="6" xfId="0" applyFont="1" applyBorder="1" applyAlignment="1" applyProtection="1">
      <alignment vertical="top" wrapText="1"/>
      <protection hidden="1"/>
    </xf>
    <xf numFmtId="0" fontId="40" fillId="0" borderId="11" xfId="0" applyFont="1" applyBorder="1" applyAlignment="1" applyProtection="1">
      <alignment vertical="top" wrapText="1"/>
      <protection hidden="1"/>
    </xf>
    <xf numFmtId="0" fontId="40" fillId="0" borderId="8" xfId="0" quotePrefix="1" applyFont="1" applyBorder="1" applyAlignment="1" applyProtection="1">
      <alignment vertical="top"/>
      <protection hidden="1"/>
    </xf>
    <xf numFmtId="0" fontId="40" fillId="0" borderId="36" xfId="0" quotePrefix="1" applyFont="1" applyBorder="1" applyAlignment="1" applyProtection="1">
      <alignment vertical="top"/>
      <protection hidden="1"/>
    </xf>
    <xf numFmtId="0" fontId="40" fillId="0" borderId="10" xfId="0" applyFont="1" applyBorder="1" applyAlignment="1" applyProtection="1">
      <alignment vertical="top" wrapText="1"/>
      <protection hidden="1"/>
    </xf>
  </cellXfs>
  <cellStyles count="9">
    <cellStyle name="ハイパーリンク" xfId="1" builtinId="8"/>
    <cellStyle name="標準" xfId="0" builtinId="0"/>
    <cellStyle name="標準 2" xfId="2" xr:uid="{00000000-0005-0000-0000-000002000000}"/>
    <cellStyle name="標準 3" xfId="3" xr:uid="{00000000-0005-0000-0000-000003000000}"/>
    <cellStyle name="標準 4" xfId="4" xr:uid="{00000000-0005-0000-0000-000004000000}"/>
    <cellStyle name="標準 5" xfId="8" xr:uid="{CE7A27E1-07B5-4B9D-9304-FB52F1018F49}"/>
    <cellStyle name="標準 6" xfId="7" xr:uid="{684930D3-BA99-4DC9-B183-1A543F5E9438}"/>
    <cellStyle name="標準_コピー ～ H20.4～新様式" xfId="5" xr:uid="{00000000-0005-0000-0000-000005000000}"/>
    <cellStyle name="標準_建築設備の検査結果様式(A4)" xfId="6" xr:uid="{00000000-0005-0000-0000-000006000000}"/>
  </cellStyles>
  <dxfs count="517">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rgb="FFFF0000"/>
        </patternFill>
      </fill>
    </dxf>
    <dxf>
      <fill>
        <patternFill>
          <bgColor rgb="FFFF0000"/>
        </patternFill>
      </fill>
    </dxf>
    <dxf>
      <fill>
        <patternFill>
          <bgColor rgb="FFFF0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0000"/>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rgb="FFFF0000"/>
        </patternFill>
      </fill>
    </dxf>
    <dxf>
      <fill>
        <patternFill patternType="none">
          <bgColor auto="1"/>
        </patternFill>
      </fill>
    </dxf>
    <dxf>
      <fill>
        <patternFill>
          <bgColor rgb="FFFFFF66"/>
        </patternFill>
      </fill>
    </dxf>
    <dxf>
      <fill>
        <patternFill>
          <bgColor rgb="FFFFFF66"/>
        </patternFill>
      </fill>
    </dxf>
    <dxf>
      <fill>
        <patternFill>
          <bgColor rgb="FFFF0000"/>
        </patternFill>
      </fill>
    </dxf>
    <dxf>
      <fill>
        <patternFill>
          <bgColor rgb="FF99FF33"/>
        </patternFill>
      </fill>
    </dxf>
    <dxf>
      <fill>
        <patternFill>
          <bgColor rgb="FFFF000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theme="0" tint="-0.499984740745262"/>
        </patternFill>
      </fill>
    </dxf>
    <dxf>
      <fill>
        <patternFill>
          <bgColor theme="0" tint="-0.499984740745262"/>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theme="0" tint="-0.499984740745262"/>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CCCC"/>
        </patternFill>
      </fill>
    </dxf>
    <dxf>
      <fill>
        <patternFill>
          <bgColor rgb="FFFFCCCC"/>
        </patternFill>
      </fill>
    </dxf>
    <dxf>
      <fill>
        <patternFill>
          <bgColor rgb="FFFFCCCC"/>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theme="0" tint="-0.34998626667073579"/>
        </patternFill>
      </fill>
    </dxf>
    <dxf>
      <fill>
        <patternFill>
          <bgColor theme="5" tint="0.59996337778862885"/>
        </patternFill>
      </fill>
    </dxf>
    <dxf>
      <fill>
        <patternFill>
          <bgColor theme="2" tint="-0.24994659260841701"/>
        </patternFill>
      </fill>
    </dxf>
    <dxf>
      <fill>
        <patternFill>
          <bgColor theme="0" tint="-0.499984740745262"/>
        </patternFill>
      </fill>
    </dxf>
    <dxf>
      <fill>
        <patternFill>
          <bgColor rgb="FF99FF33"/>
        </patternFill>
      </fill>
    </dxf>
    <dxf>
      <fill>
        <patternFill>
          <bgColor rgb="FFFF0000"/>
        </patternFill>
      </fill>
    </dxf>
    <dxf>
      <fill>
        <patternFill>
          <bgColor rgb="FF99FF33"/>
        </patternFill>
      </fill>
    </dxf>
    <dxf>
      <fill>
        <patternFill patternType="none">
          <bgColor auto="1"/>
        </patternFill>
      </fill>
    </dxf>
    <dxf>
      <fill>
        <patternFill>
          <bgColor theme="9" tint="0.59996337778862885"/>
        </patternFill>
      </fill>
    </dxf>
    <dxf>
      <fill>
        <patternFill>
          <bgColor theme="7" tint="0.59996337778862885"/>
        </patternFill>
      </fill>
    </dxf>
    <dxf>
      <fill>
        <patternFill>
          <bgColor theme="8" tint="0.59996337778862885"/>
        </patternFill>
      </fill>
    </dxf>
    <dxf>
      <fill>
        <patternFill>
          <bgColor rgb="FFFF0000"/>
        </patternFill>
      </fill>
    </dxf>
    <dxf>
      <fill>
        <patternFill>
          <bgColor rgb="FFFF0000"/>
        </patternFill>
      </fill>
    </dxf>
    <dxf>
      <fill>
        <patternFill patternType="none">
          <bgColor auto="1"/>
        </patternFill>
      </fill>
    </dxf>
    <dxf>
      <fill>
        <patternFill>
          <bgColor rgb="FFFFFF66"/>
        </patternFill>
      </fill>
    </dxf>
    <dxf>
      <fill>
        <patternFill>
          <bgColor rgb="FFFF0000"/>
        </patternFill>
      </fill>
    </dxf>
    <dxf>
      <fill>
        <patternFill>
          <bgColor rgb="FF99FF33"/>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theme="0" tint="-0.499984740745262"/>
        </patternFill>
      </fill>
    </dxf>
    <dxf>
      <fill>
        <patternFill>
          <bgColor rgb="FF99FF33"/>
        </patternFill>
      </fill>
    </dxf>
    <dxf>
      <fill>
        <patternFill>
          <bgColor theme="0" tint="-0.499984740745262"/>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FF66"/>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theme="0"/>
        </patternFill>
      </fill>
    </dxf>
    <dxf>
      <fill>
        <patternFill patternType="none">
          <bgColor auto="1"/>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theme="0"/>
        </patternFill>
      </fill>
    </dxf>
    <dxf>
      <fill>
        <patternFill>
          <bgColor theme="0"/>
        </patternFill>
      </fill>
    </dxf>
    <dxf>
      <fill>
        <patternFill>
          <bgColor rgb="FF99FF33"/>
        </patternFill>
      </fill>
    </dxf>
    <dxf>
      <fill>
        <patternFill>
          <bgColor rgb="FF99FF33"/>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numFmt numFmtId="0" formatCode="General"/>
      <fill>
        <patternFill>
          <bgColor rgb="FF99FF33"/>
        </patternFill>
      </fill>
    </dxf>
    <dxf>
      <fill>
        <patternFill>
          <bgColor rgb="FF99FF33"/>
        </patternFill>
      </fill>
    </dxf>
    <dxf>
      <fill>
        <patternFill>
          <bgColor rgb="FF99FF33"/>
        </patternFill>
      </fill>
    </dxf>
    <dxf>
      <fill>
        <patternFill patternType="none">
          <bgColor auto="1"/>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patternType="none">
          <bgColor auto="1"/>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patternType="none">
          <bgColor auto="1"/>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6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ont>
        <strike val="0"/>
        <outline val="0"/>
        <shadow val="0"/>
        <u val="none"/>
        <vertAlign val="baseline"/>
        <sz val="11"/>
        <name val="游ゴシック"/>
        <family val="3"/>
        <charset val="128"/>
        <scheme val="none"/>
      </font>
      <numFmt numFmtId="0" formatCode="General"/>
      <fill>
        <patternFill patternType="solid">
          <fgColor indexed="64"/>
          <bgColor rgb="FFFFFF00"/>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游ゴシック"/>
        <family val="3"/>
        <charset val="128"/>
        <scheme val="none"/>
      </font>
      <fill>
        <patternFill patternType="solid">
          <fgColor indexed="64"/>
          <bgColor rgb="FFFFFF00"/>
        </patternFill>
      </fill>
    </dxf>
    <dxf>
      <font>
        <strike val="0"/>
        <outline val="0"/>
        <shadow val="0"/>
        <u val="none"/>
        <vertAlign val="baseline"/>
        <sz val="11"/>
        <name val="游ゴシック"/>
        <family val="3"/>
        <charset val="128"/>
        <scheme val="none"/>
      </font>
      <alignment horizontal="general" vertical="center" textRotation="0" wrapText="1" indent="0" justifyLastLine="0" shrinkToFit="0" readingOrder="0"/>
    </dxf>
    <dxf>
      <fill>
        <patternFill>
          <bgColor theme="7" tint="0.59996337778862885"/>
        </patternFill>
      </fill>
    </dxf>
    <dxf>
      <font>
        <strike/>
      </font>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24994659260841701"/>
        </patternFill>
      </fill>
    </dxf>
    <dxf>
      <fill>
        <patternFill>
          <bgColor theme="5" tint="-0.24994659260841701"/>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patternType="darkGray"/>
      </fill>
    </dxf>
    <dxf>
      <fill>
        <patternFill patternType="darkGray"/>
      </fill>
    </dxf>
    <dxf>
      <fill>
        <patternFill patternType="darkGray"/>
      </fill>
    </dxf>
  </dxfs>
  <tableStyles count="0" defaultTableStyle="TableStyleMedium9" defaultPivotStyle="PivotStyleLight16"/>
  <colors>
    <mruColors>
      <color rgb="FFFFCCCC"/>
      <color rgb="FFFFFF66"/>
      <color rgb="FF99FF33"/>
      <color rgb="FFFFFF00"/>
      <color rgb="FFFF0066"/>
      <color rgb="FFD9D9D9"/>
      <color rgb="FF0563C1"/>
      <color rgb="FF66FF33"/>
      <color rgb="FFCCFF66"/>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trlProps/ctrlProp1.xml><?xml version="1.0" encoding="utf-8"?>
<formControlPr xmlns="http://schemas.microsoft.com/office/spreadsheetml/2009/9/main" objectType="CheckBox" fmlaLink="$K$17" lockText="1" noThreeD="1"/>
</file>

<file path=xl/ctrlProps/ctrlProp10.xml><?xml version="1.0" encoding="utf-8"?>
<formControlPr xmlns="http://schemas.microsoft.com/office/spreadsheetml/2009/9/main" objectType="CheckBox" fmlaLink="$K$26" lockText="1" noThreeD="1"/>
</file>

<file path=xl/ctrlProps/ctrlProp11.xml><?xml version="1.0" encoding="utf-8"?>
<formControlPr xmlns="http://schemas.microsoft.com/office/spreadsheetml/2009/9/main" objectType="CheckBox" fmlaLink="$K$22" lockText="1" noThreeD="1"/>
</file>

<file path=xl/ctrlProps/ctrlProp12.xml><?xml version="1.0" encoding="utf-8"?>
<formControlPr xmlns="http://schemas.microsoft.com/office/spreadsheetml/2009/9/main" objectType="CheckBox" fmlaLink="$K$32" lockText="1" noThreeD="1"/>
</file>

<file path=xl/ctrlProps/ctrlProp13.xml><?xml version="1.0" encoding="utf-8"?>
<formControlPr xmlns="http://schemas.microsoft.com/office/spreadsheetml/2009/9/main" objectType="CheckBox" fmlaLink="$K$33" lockText="1" noThreeD="1"/>
</file>

<file path=xl/ctrlProps/ctrlProp14.xml><?xml version="1.0" encoding="utf-8"?>
<formControlPr xmlns="http://schemas.microsoft.com/office/spreadsheetml/2009/9/main" objectType="CheckBox" fmlaLink="$K$39" lockText="1" noThreeD="1"/>
</file>

<file path=xl/ctrlProps/ctrlProp15.xml><?xml version="1.0" encoding="utf-8"?>
<formControlPr xmlns="http://schemas.microsoft.com/office/spreadsheetml/2009/9/main" objectType="CheckBox" fmlaLink="$K$39" lockText="1" noThreeD="1"/>
</file>

<file path=xl/ctrlProps/ctrlProp16.xml><?xml version="1.0" encoding="utf-8"?>
<formControlPr xmlns="http://schemas.microsoft.com/office/spreadsheetml/2009/9/main" objectType="CheckBox" fmlaLink="$K$39" lockText="1" noThreeD="1"/>
</file>

<file path=xl/ctrlProps/ctrlProp17.xml><?xml version="1.0" encoding="utf-8"?>
<formControlPr xmlns="http://schemas.microsoft.com/office/spreadsheetml/2009/9/main" objectType="CheckBox" fmlaLink="$K$44" lockText="1" noThreeD="1"/>
</file>

<file path=xl/ctrlProps/ctrlProp18.xml><?xml version="1.0" encoding="utf-8"?>
<formControlPr xmlns="http://schemas.microsoft.com/office/spreadsheetml/2009/9/main" objectType="CheckBox" fmlaLink="$K$39" lockText="1" noThreeD="1"/>
</file>

<file path=xl/ctrlProps/ctrlProp19.xml><?xml version="1.0" encoding="utf-8"?>
<formControlPr xmlns="http://schemas.microsoft.com/office/spreadsheetml/2009/9/main" objectType="CheckBox" fmlaLink="$K$55" lockText="1" noThreeD="1"/>
</file>

<file path=xl/ctrlProps/ctrlProp2.xml><?xml version="1.0" encoding="utf-8"?>
<formControlPr xmlns="http://schemas.microsoft.com/office/spreadsheetml/2009/9/main" objectType="CheckBox" fmlaLink="$K$18" lockText="1" noThreeD="1"/>
</file>

<file path=xl/ctrlProps/ctrlProp20.xml><?xml version="1.0" encoding="utf-8"?>
<formControlPr xmlns="http://schemas.microsoft.com/office/spreadsheetml/2009/9/main" objectType="CheckBox" fmlaLink="$K$39" lockText="1" noThreeD="1"/>
</file>

<file path=xl/ctrlProps/ctrlProp21.xml><?xml version="1.0" encoding="utf-8"?>
<formControlPr xmlns="http://schemas.microsoft.com/office/spreadsheetml/2009/9/main" objectType="CheckBox" fmlaLink="$K$50" lockText="1" noThreeD="1"/>
</file>

<file path=xl/ctrlProps/ctrlProp22.xml><?xml version="1.0" encoding="utf-8"?>
<formControlPr xmlns="http://schemas.microsoft.com/office/spreadsheetml/2009/9/main" objectType="CheckBox" fmlaLink="$K$32" lockText="1" noThreeD="1"/>
</file>

<file path=xl/ctrlProps/ctrlProp23.xml><?xml version="1.0" encoding="utf-8"?>
<formControlPr xmlns="http://schemas.microsoft.com/office/spreadsheetml/2009/9/main" objectType="CheckBox" fmlaLink="$K$32" lockText="1" noThreeD="1"/>
</file>

<file path=xl/ctrlProps/ctrlProp24.xml><?xml version="1.0" encoding="utf-8"?>
<formControlPr xmlns="http://schemas.microsoft.com/office/spreadsheetml/2009/9/main" objectType="CheckBox" fmlaLink="DS90"/>
</file>

<file path=xl/ctrlProps/ctrlProp25.xml><?xml version="1.0" encoding="utf-8"?>
<formControlPr xmlns="http://schemas.microsoft.com/office/spreadsheetml/2009/9/main" objectType="CheckBox" fmlaLink="#REF!"/>
</file>

<file path=xl/ctrlProps/ctrlProp26.xml><?xml version="1.0" encoding="utf-8"?>
<formControlPr xmlns="http://schemas.microsoft.com/office/spreadsheetml/2009/9/main" objectType="CheckBox" fmlaLink="#REF!"/>
</file>

<file path=xl/ctrlProps/ctrlProp27.xml><?xml version="1.0" encoding="utf-8"?>
<formControlPr xmlns="http://schemas.microsoft.com/office/spreadsheetml/2009/9/main" objectType="CheckBox" fmlaLink="#REF!"/>
</file>

<file path=xl/ctrlProps/ctrlProp28.xml><?xml version="1.0" encoding="utf-8"?>
<formControlPr xmlns="http://schemas.microsoft.com/office/spreadsheetml/2009/9/main" objectType="CheckBox" fmlaLink="$DS$108"/>
</file>

<file path=xl/ctrlProps/ctrlProp29.xml><?xml version="1.0" encoding="utf-8"?>
<formControlPr xmlns="http://schemas.microsoft.com/office/spreadsheetml/2009/9/main" objectType="CheckBox" fmlaLink="DS16" lockText="1"/>
</file>

<file path=xl/ctrlProps/ctrlProp3.xml><?xml version="1.0" encoding="utf-8"?>
<formControlPr xmlns="http://schemas.microsoft.com/office/spreadsheetml/2009/9/main" objectType="CheckBox" fmlaLink="$K$23" lockText="1" noThreeD="1"/>
</file>

<file path=xl/ctrlProps/ctrlProp30.xml><?xml version="1.0" encoding="utf-8"?>
<formControlPr xmlns="http://schemas.microsoft.com/office/spreadsheetml/2009/9/main" objectType="CheckBox" fmlaLink="DT16" lockText="1"/>
</file>

<file path=xl/ctrlProps/ctrlProp31.xml><?xml version="1.0" encoding="utf-8"?>
<formControlPr xmlns="http://schemas.microsoft.com/office/spreadsheetml/2009/9/main" objectType="CheckBox" fmlaLink="$DN$194" lockText="1"/>
</file>

<file path=xl/ctrlProps/ctrlProp32.xml><?xml version="1.0" encoding="utf-8"?>
<formControlPr xmlns="http://schemas.microsoft.com/office/spreadsheetml/2009/9/main" objectType="CheckBox" fmlaLink="DS58" lockText="1"/>
</file>

<file path=xl/ctrlProps/ctrlProp33.xml><?xml version="1.0" encoding="utf-8"?>
<formControlPr xmlns="http://schemas.microsoft.com/office/spreadsheetml/2009/9/main" objectType="CheckBox" fmlaLink="DS44" lockText="1"/>
</file>

<file path=xl/ctrlProps/ctrlProp4.xml><?xml version="1.0" encoding="utf-8"?>
<formControlPr xmlns="http://schemas.microsoft.com/office/spreadsheetml/2009/9/main" objectType="CheckBox" fmlaLink="$K$24" lockText="1" noThreeD="1"/>
</file>

<file path=xl/ctrlProps/ctrlProp5.xml><?xml version="1.0" encoding="utf-8"?>
<formControlPr xmlns="http://schemas.microsoft.com/office/spreadsheetml/2009/9/main" objectType="CheckBox" fmlaLink="$K$28" lockText="1" noThreeD="1"/>
</file>

<file path=xl/ctrlProps/ctrlProp6.xml><?xml version="1.0" encoding="utf-8"?>
<formControlPr xmlns="http://schemas.microsoft.com/office/spreadsheetml/2009/9/main" objectType="CheckBox" fmlaLink="$K$24" lockText="1" noThreeD="1"/>
</file>

<file path=xl/ctrlProps/ctrlProp7.xml><?xml version="1.0" encoding="utf-8"?>
<formControlPr xmlns="http://schemas.microsoft.com/office/spreadsheetml/2009/9/main" objectType="CheckBox" fmlaLink="$K$25" lockText="1" noThreeD="1"/>
</file>

<file path=xl/ctrlProps/ctrlProp8.xml><?xml version="1.0" encoding="utf-8"?>
<formControlPr xmlns="http://schemas.microsoft.com/office/spreadsheetml/2009/9/main" objectType="CheckBox" fmlaLink="$K$25" lockText="1" noThreeD="1"/>
</file>

<file path=xl/ctrlProps/ctrlProp9.xml><?xml version="1.0" encoding="utf-8"?>
<formControlPr xmlns="http://schemas.microsoft.com/office/spreadsheetml/2009/9/main" objectType="CheckBox" fmlaLink="$K$26"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4643</xdr:colOff>
      <xdr:row>52</xdr:row>
      <xdr:rowOff>58433</xdr:rowOff>
    </xdr:from>
    <xdr:to>
      <xdr:col>7</xdr:col>
      <xdr:colOff>611564</xdr:colOff>
      <xdr:row>54</xdr:row>
      <xdr:rowOff>312644</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9043" y="14336408"/>
          <a:ext cx="604520" cy="635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133350</xdr:colOff>
          <xdr:row>38</xdr:row>
          <xdr:rowOff>0</xdr:rowOff>
        </xdr:from>
        <xdr:to>
          <xdr:col>1</xdr:col>
          <xdr:colOff>495300</xdr:colOff>
          <xdr:row>39</xdr:row>
          <xdr:rowOff>38100</xdr:rowOff>
        </xdr:to>
        <xdr:sp macro="" textlink="">
          <xdr:nvSpPr>
            <xdr:cNvPr id="417794" name="Check Box 2" hidden="1">
              <a:extLst>
                <a:ext uri="{63B3BB69-23CF-44E3-9099-C40C66FF867C}">
                  <a14:compatExt spid="_x0000_s417794"/>
                </a:ext>
                <a:ext uri="{FF2B5EF4-FFF2-40B4-BE49-F238E27FC236}">
                  <a16:creationId xmlns:a16="http://schemas.microsoft.com/office/drawing/2014/main" id="{00000000-0008-0000-0100-000002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38</xdr:row>
          <xdr:rowOff>0</xdr:rowOff>
        </xdr:from>
        <xdr:to>
          <xdr:col>1</xdr:col>
          <xdr:colOff>495300</xdr:colOff>
          <xdr:row>39</xdr:row>
          <xdr:rowOff>38100</xdr:rowOff>
        </xdr:to>
        <xdr:sp macro="" textlink="">
          <xdr:nvSpPr>
            <xdr:cNvPr id="417795" name="Check Box 3" hidden="1">
              <a:extLst>
                <a:ext uri="{63B3BB69-23CF-44E3-9099-C40C66FF867C}">
                  <a14:compatExt spid="_x0000_s417795"/>
                </a:ext>
                <a:ext uri="{FF2B5EF4-FFF2-40B4-BE49-F238E27FC236}">
                  <a16:creationId xmlns:a16="http://schemas.microsoft.com/office/drawing/2014/main" id="{00000000-0008-0000-0100-000003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16</xdr:row>
          <xdr:rowOff>0</xdr:rowOff>
        </xdr:from>
        <xdr:to>
          <xdr:col>1</xdr:col>
          <xdr:colOff>495300</xdr:colOff>
          <xdr:row>17</xdr:row>
          <xdr:rowOff>38100</xdr:rowOff>
        </xdr:to>
        <xdr:sp macro="" textlink="">
          <xdr:nvSpPr>
            <xdr:cNvPr id="417797" name="Check Box 5" hidden="1">
              <a:extLst>
                <a:ext uri="{63B3BB69-23CF-44E3-9099-C40C66FF867C}">
                  <a14:compatExt spid="_x0000_s417797"/>
                </a:ext>
                <a:ext uri="{FF2B5EF4-FFF2-40B4-BE49-F238E27FC236}">
                  <a16:creationId xmlns:a16="http://schemas.microsoft.com/office/drawing/2014/main" id="{00000000-0008-0000-0100-000005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17</xdr:row>
          <xdr:rowOff>0</xdr:rowOff>
        </xdr:from>
        <xdr:to>
          <xdr:col>1</xdr:col>
          <xdr:colOff>495300</xdr:colOff>
          <xdr:row>18</xdr:row>
          <xdr:rowOff>38100</xdr:rowOff>
        </xdr:to>
        <xdr:sp macro="" textlink="">
          <xdr:nvSpPr>
            <xdr:cNvPr id="417798" name="Check Box 6" hidden="1">
              <a:extLst>
                <a:ext uri="{63B3BB69-23CF-44E3-9099-C40C66FF867C}">
                  <a14:compatExt spid="_x0000_s417798"/>
                </a:ext>
                <a:ext uri="{FF2B5EF4-FFF2-40B4-BE49-F238E27FC236}">
                  <a16:creationId xmlns:a16="http://schemas.microsoft.com/office/drawing/2014/main" id="{00000000-0008-0000-0100-000006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22</xdr:row>
          <xdr:rowOff>0</xdr:rowOff>
        </xdr:from>
        <xdr:to>
          <xdr:col>1</xdr:col>
          <xdr:colOff>495300</xdr:colOff>
          <xdr:row>23</xdr:row>
          <xdr:rowOff>38100</xdr:rowOff>
        </xdr:to>
        <xdr:sp macro="" textlink="">
          <xdr:nvSpPr>
            <xdr:cNvPr id="417799" name="Check Box 7" hidden="1">
              <a:extLst>
                <a:ext uri="{63B3BB69-23CF-44E3-9099-C40C66FF867C}">
                  <a14:compatExt spid="_x0000_s417799"/>
                </a:ext>
                <a:ext uri="{FF2B5EF4-FFF2-40B4-BE49-F238E27FC236}">
                  <a16:creationId xmlns:a16="http://schemas.microsoft.com/office/drawing/2014/main" id="{00000000-0008-0000-0100-000007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31</xdr:row>
          <xdr:rowOff>0</xdr:rowOff>
        </xdr:from>
        <xdr:to>
          <xdr:col>1</xdr:col>
          <xdr:colOff>495300</xdr:colOff>
          <xdr:row>32</xdr:row>
          <xdr:rowOff>38100</xdr:rowOff>
        </xdr:to>
        <xdr:sp macro="" textlink="">
          <xdr:nvSpPr>
            <xdr:cNvPr id="417800" name="Check Box 8" hidden="1">
              <a:extLst>
                <a:ext uri="{63B3BB69-23CF-44E3-9099-C40C66FF867C}">
                  <a14:compatExt spid="_x0000_s417800"/>
                </a:ext>
                <a:ext uri="{FF2B5EF4-FFF2-40B4-BE49-F238E27FC236}">
                  <a16:creationId xmlns:a16="http://schemas.microsoft.com/office/drawing/2014/main" id="{00000000-0008-0000-0100-000008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23</xdr:row>
          <xdr:rowOff>0</xdr:rowOff>
        </xdr:from>
        <xdr:to>
          <xdr:col>1</xdr:col>
          <xdr:colOff>495300</xdr:colOff>
          <xdr:row>24</xdr:row>
          <xdr:rowOff>38100</xdr:rowOff>
        </xdr:to>
        <xdr:sp macro="" textlink="">
          <xdr:nvSpPr>
            <xdr:cNvPr id="417801" name="Check Box 9" hidden="1">
              <a:extLst>
                <a:ext uri="{63B3BB69-23CF-44E3-9099-C40C66FF867C}">
                  <a14:compatExt spid="_x0000_s417801"/>
                </a:ext>
                <a:ext uri="{FF2B5EF4-FFF2-40B4-BE49-F238E27FC236}">
                  <a16:creationId xmlns:a16="http://schemas.microsoft.com/office/drawing/2014/main" id="{00000000-0008-0000-0100-000009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27</xdr:row>
          <xdr:rowOff>0</xdr:rowOff>
        </xdr:from>
        <xdr:to>
          <xdr:col>1</xdr:col>
          <xdr:colOff>495300</xdr:colOff>
          <xdr:row>28</xdr:row>
          <xdr:rowOff>38100</xdr:rowOff>
        </xdr:to>
        <xdr:sp macro="" textlink="">
          <xdr:nvSpPr>
            <xdr:cNvPr id="417802" name="Check Box 10" hidden="1">
              <a:extLst>
                <a:ext uri="{63B3BB69-23CF-44E3-9099-C40C66FF867C}">
                  <a14:compatExt spid="_x0000_s417802"/>
                </a:ext>
                <a:ext uri="{FF2B5EF4-FFF2-40B4-BE49-F238E27FC236}">
                  <a16:creationId xmlns:a16="http://schemas.microsoft.com/office/drawing/2014/main" id="{00000000-0008-0000-0100-00000A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31</xdr:row>
          <xdr:rowOff>0</xdr:rowOff>
        </xdr:from>
        <xdr:to>
          <xdr:col>1</xdr:col>
          <xdr:colOff>495300</xdr:colOff>
          <xdr:row>32</xdr:row>
          <xdr:rowOff>38100</xdr:rowOff>
        </xdr:to>
        <xdr:sp macro="" textlink="">
          <xdr:nvSpPr>
            <xdr:cNvPr id="417803" name="Check Box 11" hidden="1">
              <a:extLst>
                <a:ext uri="{63B3BB69-23CF-44E3-9099-C40C66FF867C}">
                  <a14:compatExt spid="_x0000_s417803"/>
                </a:ext>
                <a:ext uri="{FF2B5EF4-FFF2-40B4-BE49-F238E27FC236}">
                  <a16:creationId xmlns:a16="http://schemas.microsoft.com/office/drawing/2014/main" id="{00000000-0008-0000-0100-00000B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23</xdr:row>
          <xdr:rowOff>0</xdr:rowOff>
        </xdr:from>
        <xdr:to>
          <xdr:col>1</xdr:col>
          <xdr:colOff>495300</xdr:colOff>
          <xdr:row>24</xdr:row>
          <xdr:rowOff>38100</xdr:rowOff>
        </xdr:to>
        <xdr:sp macro="" textlink="">
          <xdr:nvSpPr>
            <xdr:cNvPr id="417805" name="Check Box 13" hidden="1">
              <a:extLst>
                <a:ext uri="{63B3BB69-23CF-44E3-9099-C40C66FF867C}">
                  <a14:compatExt spid="_x0000_s417805"/>
                </a:ext>
                <a:ext uri="{FF2B5EF4-FFF2-40B4-BE49-F238E27FC236}">
                  <a16:creationId xmlns:a16="http://schemas.microsoft.com/office/drawing/2014/main" id="{00000000-0008-0000-0100-00000D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0</xdr:rowOff>
        </xdr:from>
        <xdr:to>
          <xdr:col>1</xdr:col>
          <xdr:colOff>495300</xdr:colOff>
          <xdr:row>25</xdr:row>
          <xdr:rowOff>38100</xdr:rowOff>
        </xdr:to>
        <xdr:sp macro="" textlink="">
          <xdr:nvSpPr>
            <xdr:cNvPr id="417806" name="Check Box 14" hidden="1">
              <a:extLst>
                <a:ext uri="{63B3BB69-23CF-44E3-9099-C40C66FF867C}">
                  <a14:compatExt spid="_x0000_s417806"/>
                </a:ext>
                <a:ext uri="{FF2B5EF4-FFF2-40B4-BE49-F238E27FC236}">
                  <a16:creationId xmlns:a16="http://schemas.microsoft.com/office/drawing/2014/main" id="{00000000-0008-0000-0100-00000E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0</xdr:rowOff>
        </xdr:from>
        <xdr:to>
          <xdr:col>1</xdr:col>
          <xdr:colOff>495300</xdr:colOff>
          <xdr:row>25</xdr:row>
          <xdr:rowOff>38100</xdr:rowOff>
        </xdr:to>
        <xdr:sp macro="" textlink="">
          <xdr:nvSpPr>
            <xdr:cNvPr id="417807" name="Check Box 15" hidden="1">
              <a:extLst>
                <a:ext uri="{63B3BB69-23CF-44E3-9099-C40C66FF867C}">
                  <a14:compatExt spid="_x0000_s417807"/>
                </a:ext>
                <a:ext uri="{FF2B5EF4-FFF2-40B4-BE49-F238E27FC236}">
                  <a16:creationId xmlns:a16="http://schemas.microsoft.com/office/drawing/2014/main" id="{00000000-0008-0000-0100-00000F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0</xdr:rowOff>
        </xdr:from>
        <xdr:to>
          <xdr:col>1</xdr:col>
          <xdr:colOff>495300</xdr:colOff>
          <xdr:row>26</xdr:row>
          <xdr:rowOff>38100</xdr:rowOff>
        </xdr:to>
        <xdr:sp macro="" textlink="">
          <xdr:nvSpPr>
            <xdr:cNvPr id="417808" name="Check Box 16" hidden="1">
              <a:extLst>
                <a:ext uri="{63B3BB69-23CF-44E3-9099-C40C66FF867C}">
                  <a14:compatExt spid="_x0000_s417808"/>
                </a:ext>
                <a:ext uri="{FF2B5EF4-FFF2-40B4-BE49-F238E27FC236}">
                  <a16:creationId xmlns:a16="http://schemas.microsoft.com/office/drawing/2014/main" id="{00000000-0008-0000-0100-000010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0</xdr:rowOff>
        </xdr:from>
        <xdr:to>
          <xdr:col>1</xdr:col>
          <xdr:colOff>495300</xdr:colOff>
          <xdr:row>26</xdr:row>
          <xdr:rowOff>38100</xdr:rowOff>
        </xdr:to>
        <xdr:sp macro="" textlink="">
          <xdr:nvSpPr>
            <xdr:cNvPr id="417809" name="Check Box 17" hidden="1">
              <a:extLst>
                <a:ext uri="{63B3BB69-23CF-44E3-9099-C40C66FF867C}">
                  <a14:compatExt spid="_x0000_s417809"/>
                </a:ext>
                <a:ext uri="{FF2B5EF4-FFF2-40B4-BE49-F238E27FC236}">
                  <a16:creationId xmlns:a16="http://schemas.microsoft.com/office/drawing/2014/main" id="{00000000-0008-0000-0100-000011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21</xdr:row>
          <xdr:rowOff>0</xdr:rowOff>
        </xdr:from>
        <xdr:to>
          <xdr:col>1</xdr:col>
          <xdr:colOff>495300</xdr:colOff>
          <xdr:row>22</xdr:row>
          <xdr:rowOff>38100</xdr:rowOff>
        </xdr:to>
        <xdr:sp macro="" textlink="">
          <xdr:nvSpPr>
            <xdr:cNvPr id="417810" name="Check Box 18" hidden="1">
              <a:extLst>
                <a:ext uri="{63B3BB69-23CF-44E3-9099-C40C66FF867C}">
                  <a14:compatExt spid="_x0000_s417810"/>
                </a:ext>
                <a:ext uri="{FF2B5EF4-FFF2-40B4-BE49-F238E27FC236}">
                  <a16:creationId xmlns:a16="http://schemas.microsoft.com/office/drawing/2014/main" id="{00000000-0008-0000-0100-000012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32</xdr:row>
          <xdr:rowOff>0</xdr:rowOff>
        </xdr:from>
        <xdr:to>
          <xdr:col>1</xdr:col>
          <xdr:colOff>495300</xdr:colOff>
          <xdr:row>32</xdr:row>
          <xdr:rowOff>352425</xdr:rowOff>
        </xdr:to>
        <xdr:sp macro="" textlink="">
          <xdr:nvSpPr>
            <xdr:cNvPr id="417815" name="Check Box 23" hidden="1">
              <a:extLst>
                <a:ext uri="{63B3BB69-23CF-44E3-9099-C40C66FF867C}">
                  <a14:compatExt spid="_x0000_s417815"/>
                </a:ext>
                <a:ext uri="{FF2B5EF4-FFF2-40B4-BE49-F238E27FC236}">
                  <a16:creationId xmlns:a16="http://schemas.microsoft.com/office/drawing/2014/main" id="{00000000-0008-0000-0100-000017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32</xdr:row>
          <xdr:rowOff>0</xdr:rowOff>
        </xdr:from>
        <xdr:to>
          <xdr:col>1</xdr:col>
          <xdr:colOff>495300</xdr:colOff>
          <xdr:row>32</xdr:row>
          <xdr:rowOff>352425</xdr:rowOff>
        </xdr:to>
        <xdr:sp macro="" textlink="">
          <xdr:nvSpPr>
            <xdr:cNvPr id="417816" name="Check Box 24" hidden="1">
              <a:extLst>
                <a:ext uri="{63B3BB69-23CF-44E3-9099-C40C66FF867C}">
                  <a14:compatExt spid="_x0000_s417816"/>
                </a:ext>
                <a:ext uri="{FF2B5EF4-FFF2-40B4-BE49-F238E27FC236}">
                  <a16:creationId xmlns:a16="http://schemas.microsoft.com/office/drawing/2014/main" id="{00000000-0008-0000-0100-000018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43</xdr:row>
          <xdr:rowOff>0</xdr:rowOff>
        </xdr:from>
        <xdr:to>
          <xdr:col>1</xdr:col>
          <xdr:colOff>495300</xdr:colOff>
          <xdr:row>43</xdr:row>
          <xdr:rowOff>352425</xdr:rowOff>
        </xdr:to>
        <xdr:sp macro="" textlink="">
          <xdr:nvSpPr>
            <xdr:cNvPr id="417817" name="Check Box 25" hidden="1">
              <a:extLst>
                <a:ext uri="{63B3BB69-23CF-44E3-9099-C40C66FF867C}">
                  <a14:compatExt spid="_x0000_s417817"/>
                </a:ext>
                <a:ext uri="{FF2B5EF4-FFF2-40B4-BE49-F238E27FC236}">
                  <a16:creationId xmlns:a16="http://schemas.microsoft.com/office/drawing/2014/main" id="{00000000-0008-0000-0100-000019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43</xdr:row>
          <xdr:rowOff>0</xdr:rowOff>
        </xdr:from>
        <xdr:to>
          <xdr:col>1</xdr:col>
          <xdr:colOff>495300</xdr:colOff>
          <xdr:row>43</xdr:row>
          <xdr:rowOff>352425</xdr:rowOff>
        </xdr:to>
        <xdr:sp macro="" textlink="">
          <xdr:nvSpPr>
            <xdr:cNvPr id="417818" name="Check Box 26" hidden="1">
              <a:extLst>
                <a:ext uri="{63B3BB69-23CF-44E3-9099-C40C66FF867C}">
                  <a14:compatExt spid="_x0000_s417818"/>
                </a:ext>
                <a:ext uri="{FF2B5EF4-FFF2-40B4-BE49-F238E27FC236}">
                  <a16:creationId xmlns:a16="http://schemas.microsoft.com/office/drawing/2014/main" id="{00000000-0008-0000-0100-00001A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49</xdr:row>
          <xdr:rowOff>0</xdr:rowOff>
        </xdr:from>
        <xdr:to>
          <xdr:col>1</xdr:col>
          <xdr:colOff>495300</xdr:colOff>
          <xdr:row>49</xdr:row>
          <xdr:rowOff>352425</xdr:rowOff>
        </xdr:to>
        <xdr:sp macro="" textlink="">
          <xdr:nvSpPr>
            <xdr:cNvPr id="417819" name="Check Box 27" hidden="1">
              <a:extLst>
                <a:ext uri="{63B3BB69-23CF-44E3-9099-C40C66FF867C}">
                  <a14:compatExt spid="_x0000_s417819"/>
                </a:ext>
                <a:ext uri="{FF2B5EF4-FFF2-40B4-BE49-F238E27FC236}">
                  <a16:creationId xmlns:a16="http://schemas.microsoft.com/office/drawing/2014/main" id="{00000000-0008-0000-0100-00001B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49</xdr:row>
          <xdr:rowOff>0</xdr:rowOff>
        </xdr:from>
        <xdr:to>
          <xdr:col>1</xdr:col>
          <xdr:colOff>495300</xdr:colOff>
          <xdr:row>49</xdr:row>
          <xdr:rowOff>352425</xdr:rowOff>
        </xdr:to>
        <xdr:sp macro="" textlink="">
          <xdr:nvSpPr>
            <xdr:cNvPr id="417820" name="Check Box 28" hidden="1">
              <a:extLst>
                <a:ext uri="{63B3BB69-23CF-44E3-9099-C40C66FF867C}">
                  <a14:compatExt spid="_x0000_s417820"/>
                </a:ext>
                <a:ext uri="{FF2B5EF4-FFF2-40B4-BE49-F238E27FC236}">
                  <a16:creationId xmlns:a16="http://schemas.microsoft.com/office/drawing/2014/main" id="{00000000-0008-0000-0100-00001C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54</xdr:row>
          <xdr:rowOff>0</xdr:rowOff>
        </xdr:from>
        <xdr:to>
          <xdr:col>1</xdr:col>
          <xdr:colOff>495300</xdr:colOff>
          <xdr:row>54</xdr:row>
          <xdr:rowOff>352425</xdr:rowOff>
        </xdr:to>
        <xdr:sp macro="" textlink="">
          <xdr:nvSpPr>
            <xdr:cNvPr id="417821" name="Check Box 29" hidden="1">
              <a:extLst>
                <a:ext uri="{63B3BB69-23CF-44E3-9099-C40C66FF867C}">
                  <a14:compatExt spid="_x0000_s417821"/>
                </a:ext>
                <a:ext uri="{FF2B5EF4-FFF2-40B4-BE49-F238E27FC236}">
                  <a16:creationId xmlns:a16="http://schemas.microsoft.com/office/drawing/2014/main" id="{00000000-0008-0000-0100-00001D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54</xdr:row>
          <xdr:rowOff>0</xdr:rowOff>
        </xdr:from>
        <xdr:to>
          <xdr:col>1</xdr:col>
          <xdr:colOff>495300</xdr:colOff>
          <xdr:row>54</xdr:row>
          <xdr:rowOff>352425</xdr:rowOff>
        </xdr:to>
        <xdr:sp macro="" textlink="">
          <xdr:nvSpPr>
            <xdr:cNvPr id="417822" name="Check Box 30" hidden="1">
              <a:extLst>
                <a:ext uri="{63B3BB69-23CF-44E3-9099-C40C66FF867C}">
                  <a14:compatExt spid="_x0000_s417822"/>
                </a:ext>
                <a:ext uri="{FF2B5EF4-FFF2-40B4-BE49-F238E27FC236}">
                  <a16:creationId xmlns:a16="http://schemas.microsoft.com/office/drawing/2014/main" id="{00000000-0008-0000-0100-00001E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133350</xdr:colOff>
          <xdr:row>57</xdr:row>
          <xdr:rowOff>114300</xdr:rowOff>
        </xdr:from>
        <xdr:to>
          <xdr:col>26</xdr:col>
          <xdr:colOff>104775</xdr:colOff>
          <xdr:row>57</xdr:row>
          <xdr:rowOff>381000</xdr:rowOff>
        </xdr:to>
        <xdr:sp macro="" textlink="">
          <xdr:nvSpPr>
            <xdr:cNvPr id="404481" name="Check Box 1" descr="所有者1と同一&#10;" hidden="1">
              <a:extLst>
                <a:ext uri="{63B3BB69-23CF-44E3-9099-C40C66FF867C}">
                  <a14:compatExt spid="_x0000_s404481"/>
                </a:ext>
                <a:ext uri="{FF2B5EF4-FFF2-40B4-BE49-F238E27FC236}">
                  <a16:creationId xmlns:a16="http://schemas.microsoft.com/office/drawing/2014/main" id="{00000000-0008-0000-0200-0000012C0600}"/>
                </a:ext>
              </a:extLst>
            </xdr:cNvPr>
            <xdr:cNvSpPr/>
          </xdr:nvSpPr>
          <xdr:spPr bwMode="auto">
            <a:xfrm>
              <a:off x="0" y="0"/>
              <a:ext cx="0" cy="0"/>
            </a:xfrm>
            <a:prstGeom prst="rect">
              <a:avLst/>
            </a:prstGeom>
            <a:noFill/>
            <a:ln w="9525">
              <a:solidFill>
                <a:srgbClr val="000000" mc:Ignorable="a14" a14:legacySpreadsheetColorIndex="64"/>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所有者と同一</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89</xdr:row>
          <xdr:rowOff>95250</xdr:rowOff>
        </xdr:from>
        <xdr:to>
          <xdr:col>36</xdr:col>
          <xdr:colOff>0</xdr:colOff>
          <xdr:row>89</xdr:row>
          <xdr:rowOff>381000</xdr:rowOff>
        </xdr:to>
        <xdr:sp macro="" textlink="">
          <xdr:nvSpPr>
            <xdr:cNvPr id="404506" name="Check Box 26" descr="勤務先同一&#10;" hidden="1">
              <a:extLst>
                <a:ext uri="{63B3BB69-23CF-44E3-9099-C40C66FF867C}">
                  <a14:compatExt spid="_x0000_s404506"/>
                </a:ext>
                <a:ext uri="{FF2B5EF4-FFF2-40B4-BE49-F238E27FC236}">
                  <a16:creationId xmlns:a16="http://schemas.microsoft.com/office/drawing/2014/main" id="{00000000-0008-0000-0200-00001A2C0600}"/>
                </a:ext>
              </a:extLst>
            </xdr:cNvPr>
            <xdr:cNvSpPr/>
          </xdr:nvSpPr>
          <xdr:spPr bwMode="auto">
            <a:xfrm>
              <a:off x="0" y="0"/>
              <a:ext cx="0" cy="0"/>
            </a:xfrm>
            <a:prstGeom prst="rect">
              <a:avLst/>
            </a:prstGeom>
            <a:noFill/>
            <a:ln w="9525">
              <a:solidFill>
                <a:srgbClr val="000000" mc:Ignorable="a14" a14:legacySpreadsheetColorIndex="64"/>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代表となる調査者と勤務先が同一</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208</xdr:row>
          <xdr:rowOff>0</xdr:rowOff>
        </xdr:from>
        <xdr:to>
          <xdr:col>28</xdr:col>
          <xdr:colOff>0</xdr:colOff>
          <xdr:row>208</xdr:row>
          <xdr:rowOff>276225</xdr:rowOff>
        </xdr:to>
        <xdr:sp macro="" textlink="">
          <xdr:nvSpPr>
            <xdr:cNvPr id="404521" name="Check Box 41" descr="勤務先同一&#10;" hidden="1">
              <a:extLst>
                <a:ext uri="{63B3BB69-23CF-44E3-9099-C40C66FF867C}">
                  <a14:compatExt spid="_x0000_s404521"/>
                </a:ext>
                <a:ext uri="{FF2B5EF4-FFF2-40B4-BE49-F238E27FC236}">
                  <a16:creationId xmlns:a16="http://schemas.microsoft.com/office/drawing/2014/main" id="{00000000-0008-0000-0200-000029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128</xdr:col>
      <xdr:colOff>95811</xdr:colOff>
      <xdr:row>422</xdr:row>
      <xdr:rowOff>117662</xdr:rowOff>
    </xdr:from>
    <xdr:to>
      <xdr:col>130</xdr:col>
      <xdr:colOff>23489</xdr:colOff>
      <xdr:row>422</xdr:row>
      <xdr:rowOff>659466</xdr:rowOff>
    </xdr:to>
    <xdr:sp macro="" textlink="">
      <xdr:nvSpPr>
        <xdr:cNvPr id="5" name="吹き出し: 四角形 4">
          <a:extLst>
            <a:ext uri="{FF2B5EF4-FFF2-40B4-BE49-F238E27FC236}">
              <a16:creationId xmlns:a16="http://schemas.microsoft.com/office/drawing/2014/main" id="{00000000-0008-0000-0200-000005000000}"/>
            </a:ext>
          </a:extLst>
        </xdr:cNvPr>
        <xdr:cNvSpPr/>
      </xdr:nvSpPr>
      <xdr:spPr>
        <a:xfrm>
          <a:off x="27889761" y="140678087"/>
          <a:ext cx="1051628" cy="541804"/>
        </a:xfrm>
        <a:prstGeom prst="wedgeRectCallout">
          <a:avLst>
            <a:gd name="adj1" fmla="val -106720"/>
            <a:gd name="adj2" fmla="val 307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既存不適格でも概要を転記</a:t>
          </a:r>
        </a:p>
      </xdr:txBody>
    </xdr:sp>
    <xdr:clientData/>
  </xdr:twoCellAnchor>
  <mc:AlternateContent xmlns:mc="http://schemas.openxmlformats.org/markup-compatibility/2006">
    <mc:Choice xmlns:a14="http://schemas.microsoft.com/office/drawing/2010/main" Requires="a14">
      <xdr:twoCellAnchor editAs="oneCell">
        <xdr:from>
          <xdr:col>171</xdr:col>
          <xdr:colOff>0</xdr:colOff>
          <xdr:row>208</xdr:row>
          <xdr:rowOff>0</xdr:rowOff>
        </xdr:from>
        <xdr:to>
          <xdr:col>232</xdr:col>
          <xdr:colOff>57150</xdr:colOff>
          <xdr:row>208</xdr:row>
          <xdr:rowOff>276225</xdr:rowOff>
        </xdr:to>
        <xdr:sp macro="" textlink="">
          <xdr:nvSpPr>
            <xdr:cNvPr id="404533" name="Check Box 53" descr="勤務先同一&#10;" hidden="1">
              <a:extLst>
                <a:ext uri="{63B3BB69-23CF-44E3-9099-C40C66FF867C}">
                  <a14:compatExt spid="_x0000_s404533"/>
                </a:ext>
                <a:ext uri="{FF2B5EF4-FFF2-40B4-BE49-F238E27FC236}">
                  <a16:creationId xmlns:a16="http://schemas.microsoft.com/office/drawing/2014/main" id="{00000000-0008-0000-0200-000035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171</xdr:col>
          <xdr:colOff>0</xdr:colOff>
          <xdr:row>208</xdr:row>
          <xdr:rowOff>0</xdr:rowOff>
        </xdr:from>
        <xdr:to>
          <xdr:col>232</xdr:col>
          <xdr:colOff>57150</xdr:colOff>
          <xdr:row>208</xdr:row>
          <xdr:rowOff>276225</xdr:rowOff>
        </xdr:to>
        <xdr:sp macro="" textlink="">
          <xdr:nvSpPr>
            <xdr:cNvPr id="404537" name="Check Box 57" descr="勤務先同一&#10;" hidden="1">
              <a:extLst>
                <a:ext uri="{63B3BB69-23CF-44E3-9099-C40C66FF867C}">
                  <a14:compatExt spid="_x0000_s404537"/>
                </a:ext>
                <a:ext uri="{FF2B5EF4-FFF2-40B4-BE49-F238E27FC236}">
                  <a16:creationId xmlns:a16="http://schemas.microsoft.com/office/drawing/2014/main" id="{00000000-0008-0000-0200-000039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107</xdr:row>
          <xdr:rowOff>95250</xdr:rowOff>
        </xdr:from>
        <xdr:to>
          <xdr:col>36</xdr:col>
          <xdr:colOff>0</xdr:colOff>
          <xdr:row>107</xdr:row>
          <xdr:rowOff>381000</xdr:rowOff>
        </xdr:to>
        <xdr:sp macro="" textlink="">
          <xdr:nvSpPr>
            <xdr:cNvPr id="404539" name="Check Box 59" descr="代表となる調査者と勤務先が同じ&#10;" hidden="1">
              <a:extLst>
                <a:ext uri="{63B3BB69-23CF-44E3-9099-C40C66FF867C}">
                  <a14:compatExt spid="_x0000_s404539"/>
                </a:ext>
                <a:ext uri="{FF2B5EF4-FFF2-40B4-BE49-F238E27FC236}">
                  <a16:creationId xmlns:a16="http://schemas.microsoft.com/office/drawing/2014/main" id="{00000000-0008-0000-0200-00003B2C0600}"/>
                </a:ext>
              </a:extLst>
            </xdr:cNvPr>
            <xdr:cNvSpPr/>
          </xdr:nvSpPr>
          <xdr:spPr bwMode="auto">
            <a:xfrm>
              <a:off x="0" y="0"/>
              <a:ext cx="0" cy="0"/>
            </a:xfrm>
            <a:prstGeom prst="rect">
              <a:avLst/>
            </a:prstGeom>
            <a:noFill/>
            <a:ln w="9525">
              <a:solidFill>
                <a:srgbClr val="000000" mc:Ignorable="a14" a14:legacySpreadsheetColorIndex="64"/>
              </a:solidFill>
              <a:miter lim="800000"/>
              <a:headEnd/>
              <a:tailEnd/>
            </a:ln>
            <a:extLst>
              <a:ext uri="{909E8E84-426E-40DD-AFC4-6F175D3DCCD1}">
                <a14:hiddenFill>
                  <a:solidFill>
                    <a:srgbClr val="C0C0C0" mc:Ignorable="a14" a14:legacySpreadsheetColorIndex="22"/>
                  </a:solidFill>
                </a14:hiddenFill>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代表となる調査者と勤務先が同一</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193</xdr:row>
          <xdr:rowOff>85725</xdr:rowOff>
        </xdr:from>
        <xdr:to>
          <xdr:col>37</xdr:col>
          <xdr:colOff>0</xdr:colOff>
          <xdr:row>193</xdr:row>
          <xdr:rowOff>361950</xdr:rowOff>
        </xdr:to>
        <xdr:sp macro="" textlink="">
          <xdr:nvSpPr>
            <xdr:cNvPr id="404610" name="Check Box 130" hidden="1">
              <a:extLst>
                <a:ext uri="{63B3BB69-23CF-44E3-9099-C40C66FF867C}">
                  <a14:compatExt spid="_x0000_s404610"/>
                </a:ext>
                <a:ext uri="{FF2B5EF4-FFF2-40B4-BE49-F238E27FC236}">
                  <a16:creationId xmlns:a16="http://schemas.microsoft.com/office/drawing/2014/main" id="{00000000-0008-0000-0200-0000822C0600}"/>
                </a:ext>
              </a:extLst>
            </xdr:cNvPr>
            <xdr:cNvSpPr/>
          </xdr:nvSpPr>
          <xdr:spPr bwMode="auto">
            <a:xfrm>
              <a:off x="0" y="0"/>
              <a:ext cx="0" cy="0"/>
            </a:xfrm>
            <a:prstGeom prst="rect">
              <a:avLst/>
            </a:prstGeom>
            <a:noFill/>
            <a:ln w="9525">
              <a:solidFill>
                <a:srgbClr val="000000" mc:Ignorable="a14" a14:legacySpreadsheetColorIndex="8"/>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直近に記載の確認と同一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15</xdr:row>
          <xdr:rowOff>114300</xdr:rowOff>
        </xdr:from>
        <xdr:to>
          <xdr:col>38</xdr:col>
          <xdr:colOff>57150</xdr:colOff>
          <xdr:row>15</xdr:row>
          <xdr:rowOff>371475</xdr:rowOff>
        </xdr:to>
        <xdr:sp macro="" textlink="">
          <xdr:nvSpPr>
            <xdr:cNvPr id="404613" name="Check Box 133" descr="勤務先同一&#10;" hidden="1">
              <a:extLst>
                <a:ext uri="{63B3BB69-23CF-44E3-9099-C40C66FF867C}">
                  <a14:compatExt spid="_x0000_s404613"/>
                </a:ext>
                <a:ext uri="{FF2B5EF4-FFF2-40B4-BE49-F238E27FC236}">
                  <a16:creationId xmlns:a16="http://schemas.microsoft.com/office/drawing/2014/main" id="{00000000-0008-0000-0200-0000852C0600}"/>
                </a:ext>
              </a:extLst>
            </xdr:cNvPr>
            <xdr:cNvSpPr/>
          </xdr:nvSpPr>
          <xdr:spPr bwMode="auto">
            <a:xfrm>
              <a:off x="0" y="0"/>
              <a:ext cx="0" cy="0"/>
            </a:xfrm>
            <a:prstGeom prst="rect">
              <a:avLst/>
            </a:prstGeom>
            <a:noFill/>
            <a:ln w="9525">
              <a:solidFill>
                <a:srgbClr val="000000" mc:Ignorable="a14" a14:legacySpreadsheetColorIndex="64"/>
              </a:solidFill>
              <a:miter lim="800000"/>
              <a:headEnd/>
              <a:tailEnd/>
            </a:ln>
            <a:extLst>
              <a:ext uri="{909E8E84-426E-40DD-AFC4-6F175D3DCCD1}">
                <a14:hiddenFill>
                  <a:solidFill>
                    <a:srgbClr val="FFCC99" mc:Ignorable="a14" a14:legacySpreadsheetColorIndex="47"/>
                  </a:solidFill>
                </a14:hiddenFill>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代表となる調査者と同一</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15</xdr:row>
          <xdr:rowOff>114300</xdr:rowOff>
        </xdr:from>
        <xdr:to>
          <xdr:col>50</xdr:col>
          <xdr:colOff>152400</xdr:colOff>
          <xdr:row>15</xdr:row>
          <xdr:rowOff>371475</xdr:rowOff>
        </xdr:to>
        <xdr:sp macro="" textlink="">
          <xdr:nvSpPr>
            <xdr:cNvPr id="404614" name="Check Box 134" descr="勤務先同一&#10;" hidden="1">
              <a:extLst>
                <a:ext uri="{63B3BB69-23CF-44E3-9099-C40C66FF867C}">
                  <a14:compatExt spid="_x0000_s404614"/>
                </a:ext>
                <a:ext uri="{FF2B5EF4-FFF2-40B4-BE49-F238E27FC236}">
                  <a16:creationId xmlns:a16="http://schemas.microsoft.com/office/drawing/2014/main" id="{00000000-0008-0000-0200-0000862C0600}"/>
                </a:ext>
              </a:extLst>
            </xdr:cNvPr>
            <xdr:cNvSpPr/>
          </xdr:nvSpPr>
          <xdr:spPr bwMode="auto">
            <a:xfrm>
              <a:off x="0" y="0"/>
              <a:ext cx="0" cy="0"/>
            </a:xfrm>
            <a:prstGeom prst="rect">
              <a:avLst/>
            </a:prstGeom>
            <a:noFill/>
            <a:ln w="9525">
              <a:solidFill>
                <a:srgbClr val="000000" mc:Ignorable="a14" a14:legacySpreadsheetColorIndex="64"/>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代表となる調査者と勤務先が同一</a:t>
              </a:r>
            </a:p>
          </xdr:txBody>
        </xdr:sp>
        <xdr:clientData fLocksWithSheet="0"/>
      </xdr:twoCellAnchor>
    </mc:Choice>
    <mc:Fallback/>
  </mc:AlternateContent>
  <xdr:twoCellAnchor>
    <xdr:from>
      <xdr:col>73</xdr:col>
      <xdr:colOff>0</xdr:colOff>
      <xdr:row>32</xdr:row>
      <xdr:rowOff>1</xdr:rowOff>
    </xdr:from>
    <xdr:to>
      <xdr:col>74</xdr:col>
      <xdr:colOff>17670</xdr:colOff>
      <xdr:row>38</xdr:row>
      <xdr:rowOff>0</xdr:rowOff>
    </xdr:to>
    <xdr:sp macro="" textlink="">
      <xdr:nvSpPr>
        <xdr:cNvPr id="2" name="右中かっこ 1">
          <a:extLst>
            <a:ext uri="{FF2B5EF4-FFF2-40B4-BE49-F238E27FC236}">
              <a16:creationId xmlns:a16="http://schemas.microsoft.com/office/drawing/2014/main" id="{00000000-0008-0000-0200-000002000000}"/>
            </a:ext>
          </a:extLst>
        </xdr:cNvPr>
        <xdr:cNvSpPr/>
      </xdr:nvSpPr>
      <xdr:spPr>
        <a:xfrm>
          <a:off x="10735235" y="7664825"/>
          <a:ext cx="174553" cy="2084293"/>
        </a:xfrm>
        <a:prstGeom prst="rightBrace">
          <a:avLst>
            <a:gd name="adj1" fmla="val 41666"/>
            <a:gd name="adj2" fmla="val 50000"/>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72</xdr:col>
      <xdr:colOff>139212</xdr:colOff>
      <xdr:row>58</xdr:row>
      <xdr:rowOff>0</xdr:rowOff>
    </xdr:from>
    <xdr:to>
      <xdr:col>74</xdr:col>
      <xdr:colOff>0</xdr:colOff>
      <xdr:row>63</xdr:row>
      <xdr:rowOff>347381</xdr:rowOff>
    </xdr:to>
    <xdr:sp macro="" textlink="">
      <xdr:nvSpPr>
        <xdr:cNvPr id="15" name="右中かっこ 14">
          <a:extLst>
            <a:ext uri="{FF2B5EF4-FFF2-40B4-BE49-F238E27FC236}">
              <a16:creationId xmlns:a16="http://schemas.microsoft.com/office/drawing/2014/main" id="{00000000-0008-0000-0200-00000F000000}"/>
            </a:ext>
          </a:extLst>
        </xdr:cNvPr>
        <xdr:cNvSpPr/>
      </xdr:nvSpPr>
      <xdr:spPr>
        <a:xfrm>
          <a:off x="10717565" y="11486029"/>
          <a:ext cx="174553" cy="2084293"/>
        </a:xfrm>
        <a:prstGeom prst="rightBrace">
          <a:avLst>
            <a:gd name="adj1" fmla="val 41666"/>
            <a:gd name="adj2" fmla="val 50000"/>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72</xdr:col>
      <xdr:colOff>139212</xdr:colOff>
      <xdr:row>223</xdr:row>
      <xdr:rowOff>0</xdr:rowOff>
    </xdr:from>
    <xdr:to>
      <xdr:col>74</xdr:col>
      <xdr:colOff>0</xdr:colOff>
      <xdr:row>228</xdr:row>
      <xdr:rowOff>347381</xdr:rowOff>
    </xdr:to>
    <xdr:sp macro="" textlink="">
      <xdr:nvSpPr>
        <xdr:cNvPr id="16" name="右中かっこ 15">
          <a:extLst>
            <a:ext uri="{FF2B5EF4-FFF2-40B4-BE49-F238E27FC236}">
              <a16:creationId xmlns:a16="http://schemas.microsoft.com/office/drawing/2014/main" id="{00000000-0008-0000-0200-000010000000}"/>
            </a:ext>
          </a:extLst>
        </xdr:cNvPr>
        <xdr:cNvSpPr/>
      </xdr:nvSpPr>
      <xdr:spPr>
        <a:xfrm>
          <a:off x="10717565" y="58853294"/>
          <a:ext cx="174553" cy="2084293"/>
        </a:xfrm>
        <a:prstGeom prst="rightBrace">
          <a:avLst>
            <a:gd name="adj1" fmla="val 41666"/>
            <a:gd name="adj2" fmla="val 50000"/>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82</xdr:col>
      <xdr:colOff>156882</xdr:colOff>
      <xdr:row>273</xdr:row>
      <xdr:rowOff>1</xdr:rowOff>
    </xdr:from>
    <xdr:to>
      <xdr:col>84</xdr:col>
      <xdr:colOff>0</xdr:colOff>
      <xdr:row>275</xdr:row>
      <xdr:rowOff>0</xdr:rowOff>
    </xdr:to>
    <xdr:sp macro="" textlink="">
      <xdr:nvSpPr>
        <xdr:cNvPr id="17" name="右中かっこ 16">
          <a:extLst>
            <a:ext uri="{FF2B5EF4-FFF2-40B4-BE49-F238E27FC236}">
              <a16:creationId xmlns:a16="http://schemas.microsoft.com/office/drawing/2014/main" id="{00000000-0008-0000-0200-000011000000}"/>
            </a:ext>
          </a:extLst>
        </xdr:cNvPr>
        <xdr:cNvSpPr/>
      </xdr:nvSpPr>
      <xdr:spPr>
        <a:xfrm>
          <a:off x="12304058" y="72815825"/>
          <a:ext cx="156883" cy="694763"/>
        </a:xfrm>
        <a:prstGeom prst="rightBrace">
          <a:avLst>
            <a:gd name="adj1" fmla="val 41666"/>
            <a:gd name="adj2" fmla="val 50000"/>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73</xdr:col>
      <xdr:colOff>0</xdr:colOff>
      <xdr:row>286</xdr:row>
      <xdr:rowOff>1</xdr:rowOff>
    </xdr:from>
    <xdr:to>
      <xdr:col>74</xdr:col>
      <xdr:colOff>0</xdr:colOff>
      <xdr:row>288</xdr:row>
      <xdr:rowOff>0</xdr:rowOff>
    </xdr:to>
    <xdr:sp macro="" textlink="">
      <xdr:nvSpPr>
        <xdr:cNvPr id="18" name="右中かっこ 17">
          <a:extLst>
            <a:ext uri="{FF2B5EF4-FFF2-40B4-BE49-F238E27FC236}">
              <a16:creationId xmlns:a16="http://schemas.microsoft.com/office/drawing/2014/main" id="{00000000-0008-0000-0200-000012000000}"/>
            </a:ext>
          </a:extLst>
        </xdr:cNvPr>
        <xdr:cNvSpPr/>
      </xdr:nvSpPr>
      <xdr:spPr>
        <a:xfrm>
          <a:off x="10735235" y="74900119"/>
          <a:ext cx="156883" cy="694763"/>
        </a:xfrm>
        <a:prstGeom prst="rightBrace">
          <a:avLst>
            <a:gd name="adj1" fmla="val 41666"/>
            <a:gd name="adj2" fmla="val 50000"/>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73</xdr:col>
      <xdr:colOff>0</xdr:colOff>
      <xdr:row>289</xdr:row>
      <xdr:rowOff>0</xdr:rowOff>
    </xdr:from>
    <xdr:to>
      <xdr:col>74</xdr:col>
      <xdr:colOff>0</xdr:colOff>
      <xdr:row>290</xdr:row>
      <xdr:rowOff>347381</xdr:rowOff>
    </xdr:to>
    <xdr:sp macro="" textlink="">
      <xdr:nvSpPr>
        <xdr:cNvPr id="19" name="右中かっこ 18">
          <a:extLst>
            <a:ext uri="{FF2B5EF4-FFF2-40B4-BE49-F238E27FC236}">
              <a16:creationId xmlns:a16="http://schemas.microsoft.com/office/drawing/2014/main" id="{00000000-0008-0000-0200-000013000000}"/>
            </a:ext>
          </a:extLst>
        </xdr:cNvPr>
        <xdr:cNvSpPr/>
      </xdr:nvSpPr>
      <xdr:spPr>
        <a:xfrm>
          <a:off x="10735235" y="75942265"/>
          <a:ext cx="156883" cy="694763"/>
        </a:xfrm>
        <a:prstGeom prst="rightBrace">
          <a:avLst>
            <a:gd name="adj1" fmla="val 41666"/>
            <a:gd name="adj2" fmla="val 50000"/>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73</xdr:col>
      <xdr:colOff>0</xdr:colOff>
      <xdr:row>243</xdr:row>
      <xdr:rowOff>0</xdr:rowOff>
    </xdr:from>
    <xdr:to>
      <xdr:col>74</xdr:col>
      <xdr:colOff>0</xdr:colOff>
      <xdr:row>247</xdr:row>
      <xdr:rowOff>0</xdr:rowOff>
    </xdr:to>
    <xdr:sp macro="" textlink="">
      <xdr:nvSpPr>
        <xdr:cNvPr id="20" name="右中かっこ 19">
          <a:extLst>
            <a:ext uri="{FF2B5EF4-FFF2-40B4-BE49-F238E27FC236}">
              <a16:creationId xmlns:a16="http://schemas.microsoft.com/office/drawing/2014/main" id="{00000000-0008-0000-0200-000014000000}"/>
            </a:ext>
          </a:extLst>
        </xdr:cNvPr>
        <xdr:cNvSpPr/>
      </xdr:nvSpPr>
      <xdr:spPr>
        <a:xfrm>
          <a:off x="11416393" y="63096321"/>
          <a:ext cx="163286" cy="1360715"/>
        </a:xfrm>
        <a:prstGeom prst="rightBrace">
          <a:avLst>
            <a:gd name="adj1" fmla="val 41666"/>
            <a:gd name="adj2" fmla="val 50000"/>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73</xdr:col>
      <xdr:colOff>0</xdr:colOff>
      <xdr:row>44</xdr:row>
      <xdr:rowOff>1</xdr:rowOff>
    </xdr:from>
    <xdr:to>
      <xdr:col>74</xdr:col>
      <xdr:colOff>17670</xdr:colOff>
      <xdr:row>50</xdr:row>
      <xdr:rowOff>0</xdr:rowOff>
    </xdr:to>
    <xdr:sp macro="" textlink="">
      <xdr:nvSpPr>
        <xdr:cNvPr id="4" name="右中かっこ 3">
          <a:extLst>
            <a:ext uri="{FF2B5EF4-FFF2-40B4-BE49-F238E27FC236}">
              <a16:creationId xmlns:a16="http://schemas.microsoft.com/office/drawing/2014/main" id="{00000000-0008-0000-0200-000004000000}"/>
            </a:ext>
          </a:extLst>
        </xdr:cNvPr>
        <xdr:cNvSpPr/>
      </xdr:nvSpPr>
      <xdr:spPr>
        <a:xfrm>
          <a:off x="11161059" y="9502589"/>
          <a:ext cx="174552" cy="2084293"/>
        </a:xfrm>
        <a:prstGeom prst="rightBrace">
          <a:avLst>
            <a:gd name="adj1" fmla="val 41666"/>
            <a:gd name="adj2" fmla="val 50000"/>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129</xdr:col>
      <xdr:colOff>383331</xdr:colOff>
      <xdr:row>6</xdr:row>
      <xdr:rowOff>81131</xdr:rowOff>
    </xdr:from>
    <xdr:to>
      <xdr:col>136</xdr:col>
      <xdr:colOff>314495</xdr:colOff>
      <xdr:row>17</xdr:row>
      <xdr:rowOff>65271</xdr:rowOff>
    </xdr:to>
    <xdr:sp macro="" textlink="">
      <xdr:nvSpPr>
        <xdr:cNvPr id="9" name="正方形/長方形 8">
          <a:extLst>
            <a:ext uri="{FF2B5EF4-FFF2-40B4-BE49-F238E27FC236}">
              <a16:creationId xmlns:a16="http://schemas.microsoft.com/office/drawing/2014/main" id="{00000000-0008-0000-0200-000009000000}"/>
            </a:ext>
          </a:extLst>
        </xdr:cNvPr>
        <xdr:cNvSpPr/>
      </xdr:nvSpPr>
      <xdr:spPr>
        <a:xfrm>
          <a:off x="35521922" y="2245904"/>
          <a:ext cx="5421028" cy="3170685"/>
        </a:xfrm>
        <a:prstGeom prst="rect">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r>
            <a:rPr kumimoji="1" lang="ja-JP" altLang="en-US" sz="1600">
              <a:latin typeface="BIZ UDPゴシック" panose="020B0400000000000000" pitchFamily="50" charset="-128"/>
              <a:ea typeface="BIZ UDPゴシック" panose="020B0400000000000000" pitchFamily="50" charset="-128"/>
            </a:rPr>
            <a:t>完成後に最終調整すること</a:t>
          </a:r>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strike="sngStrike" baseline="0">
              <a:latin typeface="BIZ UDPゴシック" panose="020B0400000000000000" pitchFamily="50" charset="-128"/>
              <a:ea typeface="BIZ UDPゴシック" panose="020B0400000000000000" pitchFamily="50" charset="-128"/>
            </a:rPr>
            <a:t>・シート内リンク</a:t>
          </a:r>
          <a:endParaRPr kumimoji="1" lang="en-US" altLang="ja-JP" sz="1600" strike="sngStrike" baseline="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・セルのロック確認（条件付き書式で）</a:t>
          </a:r>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　</a:t>
          </a:r>
          <a:r>
            <a:rPr kumimoji="1" lang="en-US" altLang="ja-JP" sz="1600">
              <a:latin typeface="BIZ UDPゴシック" panose="020B0400000000000000" pitchFamily="50" charset="-128"/>
              <a:ea typeface="BIZ UDPゴシック" panose="020B0400000000000000" pitchFamily="50" charset="-128"/>
            </a:rPr>
            <a:t>=cell("protect",a1)=1</a:t>
          </a:r>
        </a:p>
        <a:p>
          <a:pPr algn="l"/>
          <a:r>
            <a:rPr kumimoji="1" lang="ja-JP" altLang="en-US" sz="1600" strike="sngStrike" baseline="0">
              <a:latin typeface="BIZ UDPゴシック" panose="020B0400000000000000" pitchFamily="50" charset="-128"/>
              <a:ea typeface="BIZ UDPゴシック" panose="020B0400000000000000" pitchFamily="50" charset="-128"/>
            </a:rPr>
            <a:t>・郵便番号入力規則（〒ふせぐ）</a:t>
          </a:r>
          <a:r>
            <a:rPr kumimoji="1" lang="en-US" altLang="ja-JP" sz="1600" strike="sngStrike" baseline="0">
              <a:latin typeface="BIZ UDPゴシック" panose="020B0400000000000000" pitchFamily="50" charset="-128"/>
              <a:ea typeface="BIZ UDPゴシック" panose="020B0400000000000000" pitchFamily="50" charset="-128"/>
            </a:rPr>
            <a:t>※</a:t>
          </a:r>
          <a:r>
            <a:rPr kumimoji="1" lang="ja-JP" altLang="en-US" sz="1600" strike="sngStrike" baseline="0">
              <a:latin typeface="BIZ UDPゴシック" panose="020B0400000000000000" pitchFamily="50" charset="-128"/>
              <a:ea typeface="BIZ UDPゴシック" panose="020B0400000000000000" pitchFamily="50" charset="-128"/>
            </a:rPr>
            <a:t>最後にまとめて作業！</a:t>
          </a:r>
          <a:endParaRPr kumimoji="1" lang="en-US" altLang="ja-JP" sz="1600" strike="sngStrike" baseline="0">
            <a:latin typeface="BIZ UDPゴシック" panose="020B0400000000000000" pitchFamily="50" charset="-128"/>
            <a:ea typeface="BIZ UDPゴシック" panose="020B0400000000000000" pitchFamily="50" charset="-128"/>
          </a:endParaRPr>
        </a:p>
        <a:p>
          <a:pPr algn="l"/>
          <a:r>
            <a:rPr kumimoji="1" lang="ja-JP" altLang="en-US" sz="1600" strike="sngStrike" baseline="0">
              <a:latin typeface="BIZ UDPゴシック" panose="020B0400000000000000" pitchFamily="50" charset="-128"/>
              <a:ea typeface="BIZ UDPゴシック" panose="020B0400000000000000" pitchFamily="50" charset="-128"/>
            </a:rPr>
            <a:t>・フリガナに全角カナの入力規則（入力を楽に</a:t>
          </a:r>
          <a:endParaRPr kumimoji="1" lang="en-US" altLang="ja-JP" sz="1600" strike="sngStrike" baseline="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・印刷範囲の設定</a:t>
          </a:r>
          <a:endParaRPr kumimoji="1" lang="en-US" altLang="ja-JP" sz="1600">
            <a:latin typeface="BIZ UDPゴシック" panose="020B0400000000000000" pitchFamily="50" charset="-128"/>
            <a:ea typeface="BIZ UDPゴシック" panose="020B0400000000000000" pitchFamily="50" charset="-128"/>
          </a:endParaRPr>
        </a:p>
        <a:p>
          <a:pPr algn="l"/>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・確認したい修正事項は黄色着色して共有すること</a:t>
          </a:r>
          <a:endParaRPr kumimoji="1" lang="en-US" altLang="ja-JP" sz="1600">
            <a:latin typeface="BIZ UDPゴシック" panose="020B0400000000000000" pitchFamily="50" charset="-128"/>
            <a:ea typeface="BIZ UDPゴシック" panose="020B04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27</xdr:col>
          <xdr:colOff>0</xdr:colOff>
          <xdr:row>43</xdr:row>
          <xdr:rowOff>123825</xdr:rowOff>
        </xdr:from>
        <xdr:to>
          <xdr:col>41</xdr:col>
          <xdr:colOff>9525</xdr:colOff>
          <xdr:row>43</xdr:row>
          <xdr:rowOff>390525</xdr:rowOff>
        </xdr:to>
        <xdr:sp macro="" textlink="">
          <xdr:nvSpPr>
            <xdr:cNvPr id="404616" name="Check Box 136" descr="所有者1と、住所及び電話番号が同じ" hidden="1">
              <a:extLst>
                <a:ext uri="{63B3BB69-23CF-44E3-9099-C40C66FF867C}">
                  <a14:compatExt spid="_x0000_s404616"/>
                </a:ext>
                <a:ext uri="{FF2B5EF4-FFF2-40B4-BE49-F238E27FC236}">
                  <a16:creationId xmlns:a16="http://schemas.microsoft.com/office/drawing/2014/main" id="{00000000-0008-0000-0200-0000882C0600}"/>
                </a:ext>
              </a:extLst>
            </xdr:cNvPr>
            <xdr:cNvSpPr/>
          </xdr:nvSpPr>
          <xdr:spPr bwMode="auto">
            <a:xfrm>
              <a:off x="0" y="0"/>
              <a:ext cx="0" cy="0"/>
            </a:xfrm>
            <a:prstGeom prst="rect">
              <a:avLst/>
            </a:prstGeom>
            <a:noFill/>
            <a:ln w="9525">
              <a:solidFill>
                <a:srgbClr val="000000" mc:Ignorable="a14" a14:legacySpreadsheetColorIndex="64"/>
              </a:solidFill>
              <a:miter lim="800000"/>
              <a:headEnd/>
              <a:tailEnd/>
            </a:ln>
            <a:extLst>
              <a:ext uri="{909E8E84-426E-40DD-AFC4-6F175D3DCCD1}">
                <a14:hiddenFill>
                  <a:solidFill>
                    <a:srgbClr val="FFFFFF" mc:Ignorable="a14" a14:legacySpreadsheetColorIndex="9"/>
                  </a:solidFill>
                </a14:hiddenFill>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所有者１と、住所及び電話番号が同一 </a:t>
              </a:r>
            </a:p>
          </xdr:txBody>
        </xdr:sp>
        <xdr:clientData/>
      </xdr:twoCellAnchor>
    </mc:Choice>
    <mc:Fallback/>
  </mc:AlternateContent>
  <xdr:twoCellAnchor>
    <xdr:from>
      <xdr:col>72</xdr:col>
      <xdr:colOff>123826</xdr:colOff>
      <xdr:row>12</xdr:row>
      <xdr:rowOff>28574</xdr:rowOff>
    </xdr:from>
    <xdr:to>
      <xdr:col>73</xdr:col>
      <xdr:colOff>104775</xdr:colOff>
      <xdr:row>13</xdr:row>
      <xdr:rowOff>381000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11287126" y="3895724"/>
          <a:ext cx="142874" cy="752476"/>
        </a:xfrm>
        <a:prstGeom prst="rightBrace">
          <a:avLst>
            <a:gd name="adj1" fmla="val 41666"/>
            <a:gd name="adj2" fmla="val 50000"/>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45</xdr:col>
      <xdr:colOff>19414</xdr:colOff>
      <xdr:row>79</xdr:row>
      <xdr:rowOff>136336</xdr:rowOff>
    </xdr:from>
    <xdr:to>
      <xdr:col>48</xdr:col>
      <xdr:colOff>2247</xdr:colOff>
      <xdr:row>81</xdr:row>
      <xdr:rowOff>142578</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91539" y="11604436"/>
          <a:ext cx="322558" cy="349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43</xdr:col>
      <xdr:colOff>85311</xdr:colOff>
      <xdr:row>25</xdr:row>
      <xdr:rowOff>167121</xdr:rowOff>
    </xdr:from>
    <xdr:to>
      <xdr:col>49</xdr:col>
      <xdr:colOff>34</xdr:colOff>
      <xdr:row>60</xdr:row>
      <xdr:rowOff>98172</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bwMode="auto">
        <a:xfrm>
          <a:off x="5409786" y="2538846"/>
          <a:ext cx="629098" cy="4083951"/>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000"/>
            </a:lnSpc>
            <a:spcBef>
              <a:spcPts val="0"/>
            </a:spcBef>
          </a:pPr>
          <a:r>
            <a:rPr kumimoji="1" lang="ja-JP" altLang="en-US" sz="800">
              <a:solidFill>
                <a:schemeClr val="tx1"/>
              </a:solidFill>
              <a:latin typeface="HG丸ｺﾞｼｯｸM-PRO" pitchFamily="50" charset="-128"/>
              <a:ea typeface="HG丸ｺﾞｼｯｸM-PRO" pitchFamily="50" charset="-128"/>
            </a:rPr>
            <a:t>１なし</a:t>
          </a:r>
          <a:endParaRPr kumimoji="1" lang="en-US" altLang="ja-JP" sz="800">
            <a:solidFill>
              <a:schemeClr val="tx1"/>
            </a:solidFill>
            <a:latin typeface="HG丸ｺﾞｼｯｸM-PRO" pitchFamily="50" charset="-128"/>
            <a:ea typeface="HG丸ｺﾞｼｯｸM-PRO" pitchFamily="50" charset="-128"/>
          </a:endParaRPr>
        </a:p>
        <a:p>
          <a:pPr algn="ctr">
            <a:lnSpc>
              <a:spcPts val="1000"/>
            </a:lnSpc>
            <a:spcBef>
              <a:spcPts val="0"/>
            </a:spcBef>
          </a:pPr>
          <a:endParaRPr kumimoji="1" lang="en-US" altLang="ja-JP" sz="800">
            <a:solidFill>
              <a:schemeClr val="tx1"/>
            </a:solidFill>
            <a:latin typeface="HG丸ｺﾞｼｯｸM-PRO" pitchFamily="50" charset="-128"/>
            <a:ea typeface="HG丸ｺﾞｼｯｸM-PRO" pitchFamily="50" charset="-128"/>
          </a:endParaRPr>
        </a:p>
        <a:p>
          <a:pPr algn="ctr">
            <a:lnSpc>
              <a:spcPts val="1000"/>
            </a:lnSpc>
            <a:spcBef>
              <a:spcPts val="0"/>
            </a:spcBef>
          </a:pPr>
          <a:r>
            <a:rPr kumimoji="1" lang="ja-JP" altLang="en-US" sz="800">
              <a:solidFill>
                <a:schemeClr val="tx1"/>
              </a:solidFill>
              <a:latin typeface="HG丸ｺﾞｼｯｸM-PRO" pitchFamily="50" charset="-128"/>
              <a:ea typeface="HG丸ｺﾞｼｯｸM-PRO" pitchFamily="50" charset="-128"/>
            </a:rPr>
            <a:t>２既不</a:t>
          </a:r>
          <a:endParaRPr kumimoji="1" lang="en-US" altLang="ja-JP" sz="800">
            <a:solidFill>
              <a:schemeClr val="tx1"/>
            </a:solidFill>
            <a:latin typeface="HG丸ｺﾞｼｯｸM-PRO" pitchFamily="50" charset="-128"/>
            <a:ea typeface="HG丸ｺﾞｼｯｸM-PRO" pitchFamily="50" charset="-128"/>
          </a:endParaRPr>
        </a:p>
        <a:p>
          <a:pPr marL="0" marR="0" indent="0" algn="ctr" defTabSz="914400" eaLnBrk="1" fontAlgn="auto" latinLnBrk="0" hangingPunct="1">
            <a:lnSpc>
              <a:spcPts val="1000"/>
            </a:lnSpc>
            <a:spcBef>
              <a:spcPts val="0"/>
            </a:spcBef>
            <a:spcAft>
              <a:spcPts val="0"/>
            </a:spcAft>
            <a:buClrTx/>
            <a:buSzTx/>
            <a:buFontTx/>
            <a:buNone/>
            <a:tabLst/>
            <a:defRPr/>
          </a:pPr>
          <a:endParaRPr lang="ja-JP" altLang="ja-JP" sz="800">
            <a:effectLst/>
            <a:latin typeface="HG丸ｺﾞｼｯｸM-PRO" panose="020F0600000000000000" pitchFamily="50" charset="-128"/>
            <a:ea typeface="HG丸ｺﾞｼｯｸM-PRO" panose="020F0600000000000000" pitchFamily="50" charset="-128"/>
          </a:endParaRPr>
        </a:p>
        <a:p>
          <a:pPr algn="ctr">
            <a:lnSpc>
              <a:spcPts val="1000"/>
            </a:lnSpc>
            <a:spcBef>
              <a:spcPts val="0"/>
            </a:spcBef>
          </a:pPr>
          <a:r>
            <a:rPr kumimoji="1" lang="ja-JP" altLang="en-US" sz="800">
              <a:solidFill>
                <a:schemeClr val="tx1"/>
              </a:solidFill>
              <a:latin typeface="HG丸ｺﾞｼｯｸM-PRO" pitchFamily="50" charset="-128"/>
              <a:ea typeface="HG丸ｺﾞｼｯｸM-PRO" pitchFamily="50" charset="-128"/>
            </a:rPr>
            <a:t>３要是</a:t>
          </a:r>
          <a:endParaRPr kumimoji="1" lang="en-US" altLang="ja-JP" sz="800">
            <a:solidFill>
              <a:schemeClr val="tx1"/>
            </a:solidFill>
            <a:latin typeface="HG丸ｺﾞｼｯｸM-PRO" pitchFamily="50" charset="-128"/>
            <a:ea typeface="HG丸ｺﾞｼｯｸM-PRO" pitchFamily="50" charset="-128"/>
          </a:endParaRPr>
        </a:p>
        <a:p>
          <a:pPr marL="0" marR="0" indent="0" algn="ctr" defTabSz="914400" eaLnBrk="1" fontAlgn="auto" latinLnBrk="0" hangingPunct="1">
            <a:lnSpc>
              <a:spcPts val="1000"/>
            </a:lnSpc>
            <a:spcBef>
              <a:spcPts val="0"/>
            </a:spcBef>
            <a:spcAft>
              <a:spcPts val="0"/>
            </a:spcAft>
            <a:buClrTx/>
            <a:buSzTx/>
            <a:buFontTx/>
            <a:buNone/>
            <a:tabLst/>
            <a:defRPr/>
          </a:pPr>
          <a:endParaRPr lang="ja-JP" altLang="ja-JP" sz="800">
            <a:effectLst/>
            <a:latin typeface="HG丸ｺﾞｼｯｸM-PRO" panose="020F0600000000000000" pitchFamily="50" charset="-128"/>
            <a:ea typeface="HG丸ｺﾞｼｯｸM-PRO" panose="020F0600000000000000" pitchFamily="50" charset="-128"/>
          </a:endParaRPr>
        </a:p>
        <a:p>
          <a:pPr algn="ctr">
            <a:lnSpc>
              <a:spcPts val="1000"/>
            </a:lnSpc>
            <a:spcBef>
              <a:spcPts val="0"/>
            </a:spcBef>
          </a:pPr>
          <a:r>
            <a:rPr kumimoji="1" lang="ja-JP" altLang="en-US" sz="800">
              <a:solidFill>
                <a:schemeClr val="tx1"/>
              </a:solidFill>
              <a:latin typeface="HG丸ｺﾞｼｯｸM-PRO" pitchFamily="50" charset="-128"/>
              <a:ea typeface="HG丸ｺﾞｼｯｸM-PRO" pitchFamily="50" charset="-128"/>
            </a:rPr>
            <a:t>４改善</a:t>
          </a:r>
          <a:endParaRPr kumimoji="1" lang="en-US" altLang="ja-JP" sz="800">
            <a:solidFill>
              <a:schemeClr val="tx1"/>
            </a:solidFill>
            <a:latin typeface="HG丸ｺﾞｼｯｸM-PRO" pitchFamily="50" charset="-128"/>
            <a:ea typeface="HG丸ｺﾞｼｯｸM-PRO" pitchFamily="50" charset="-128"/>
          </a:endParaRPr>
        </a:p>
        <a:p>
          <a:pPr marL="0" marR="0" indent="0" algn="ctr" defTabSz="914400" eaLnBrk="1" fontAlgn="auto" latinLnBrk="0" hangingPunct="1">
            <a:lnSpc>
              <a:spcPts val="1000"/>
            </a:lnSpc>
            <a:spcBef>
              <a:spcPts val="0"/>
            </a:spcBef>
            <a:spcAft>
              <a:spcPts val="0"/>
            </a:spcAft>
            <a:buClrTx/>
            <a:buSzTx/>
            <a:buFontTx/>
            <a:buNone/>
            <a:tabLst/>
            <a:defRPr/>
          </a:pPr>
          <a:endParaRPr lang="ja-JP" altLang="ja-JP" sz="800">
            <a:effectLst/>
            <a:latin typeface="HG丸ｺﾞｼｯｸM-PRO" panose="020F0600000000000000" pitchFamily="50" charset="-128"/>
            <a:ea typeface="HG丸ｺﾞｼｯｸM-PRO" panose="020F0600000000000000" pitchFamily="50" charset="-128"/>
          </a:endParaRPr>
        </a:p>
        <a:p>
          <a:pPr algn="ctr">
            <a:lnSpc>
              <a:spcPts val="1000"/>
            </a:lnSpc>
            <a:spcBef>
              <a:spcPts val="0"/>
            </a:spcBef>
          </a:pPr>
          <a:r>
            <a:rPr kumimoji="1" lang="ja-JP" altLang="en-US" sz="800">
              <a:solidFill>
                <a:schemeClr val="tx1"/>
              </a:solidFill>
              <a:latin typeface="HG丸ｺﾞｼｯｸM-PRO" pitchFamily="50" charset="-128"/>
              <a:ea typeface="HG丸ｺﾞｼｯｸM-PRO" pitchFamily="50" charset="-128"/>
            </a:rPr>
            <a:t>５全面</a:t>
          </a:r>
          <a:endParaRPr kumimoji="1" lang="en-US" altLang="ja-JP" sz="800">
            <a:solidFill>
              <a:schemeClr val="tx1"/>
            </a:solidFill>
            <a:latin typeface="HG丸ｺﾞｼｯｸM-PRO" pitchFamily="50" charset="-128"/>
            <a:ea typeface="HG丸ｺﾞｼｯｸM-PRO" pitchFamily="50" charset="-128"/>
          </a:endParaRPr>
        </a:p>
        <a:p>
          <a:pPr marL="0" marR="0" indent="0" algn="ctr" defTabSz="914400" eaLnBrk="1" fontAlgn="auto" latinLnBrk="0" hangingPunct="1">
            <a:lnSpc>
              <a:spcPts val="1000"/>
            </a:lnSpc>
            <a:spcBef>
              <a:spcPts val="0"/>
            </a:spcBef>
            <a:spcAft>
              <a:spcPts val="0"/>
            </a:spcAft>
            <a:buClrTx/>
            <a:buSzTx/>
            <a:buFontTx/>
            <a:buNone/>
            <a:tabLst/>
            <a:defRPr/>
          </a:pPr>
          <a:endParaRPr lang="ja-JP" altLang="ja-JP" sz="800">
            <a:effectLst/>
            <a:latin typeface="HG丸ｺﾞｼｯｸM-PRO" panose="020F0600000000000000" pitchFamily="50" charset="-128"/>
            <a:ea typeface="HG丸ｺﾞｼｯｸM-PRO" panose="020F0600000000000000" pitchFamily="50" charset="-128"/>
          </a:endParaRPr>
        </a:p>
        <a:p>
          <a:pPr algn="ctr">
            <a:lnSpc>
              <a:spcPts val="1000"/>
            </a:lnSpc>
            <a:spcBef>
              <a:spcPts val="0"/>
            </a:spcBef>
          </a:pPr>
          <a:r>
            <a:rPr kumimoji="1" lang="ja-JP" altLang="en-US" sz="800">
              <a:solidFill>
                <a:schemeClr val="tx1"/>
              </a:solidFill>
              <a:latin typeface="HG丸ｺﾞｼｯｸM-PRO" pitchFamily="50" charset="-128"/>
              <a:ea typeface="HG丸ｺﾞｼｯｸM-PRO" pitchFamily="50" charset="-128"/>
            </a:rPr>
            <a:t>６三年</a:t>
          </a:r>
          <a:endParaRPr kumimoji="1" lang="en-US" altLang="ja-JP" sz="800">
            <a:solidFill>
              <a:schemeClr val="tx1"/>
            </a:solidFill>
            <a:latin typeface="HG丸ｺﾞｼｯｸM-PRO" pitchFamily="50" charset="-128"/>
            <a:ea typeface="HG丸ｺﾞｼｯｸM-PRO" pitchFamily="50" charset="-128"/>
          </a:endParaRPr>
        </a:p>
        <a:p>
          <a:pPr marL="0" marR="0" indent="0" algn="ctr" defTabSz="914400" eaLnBrk="1" fontAlgn="auto" latinLnBrk="0" hangingPunct="1">
            <a:lnSpc>
              <a:spcPts val="1000"/>
            </a:lnSpc>
            <a:spcBef>
              <a:spcPts val="0"/>
            </a:spcBef>
            <a:spcAft>
              <a:spcPts val="0"/>
            </a:spcAft>
            <a:buClrTx/>
            <a:buSzTx/>
            <a:buFontTx/>
            <a:buNone/>
            <a:tabLst/>
            <a:defRPr/>
          </a:pPr>
          <a:endParaRPr lang="ja-JP" altLang="ja-JP" sz="800">
            <a:effectLst/>
            <a:latin typeface="HG丸ｺﾞｼｯｸM-PRO" panose="020F0600000000000000" pitchFamily="50" charset="-128"/>
            <a:ea typeface="HG丸ｺﾞｼｯｸM-PRO" panose="020F0600000000000000" pitchFamily="50" charset="-128"/>
          </a:endParaRPr>
        </a:p>
        <a:p>
          <a:pPr algn="ctr">
            <a:lnSpc>
              <a:spcPts val="1000"/>
            </a:lnSpc>
            <a:spcBef>
              <a:spcPts val="0"/>
            </a:spcBef>
          </a:pPr>
          <a:r>
            <a:rPr kumimoji="1" lang="ja-JP" altLang="en-US" sz="800">
              <a:solidFill>
                <a:schemeClr val="tx1"/>
              </a:solidFill>
              <a:latin typeface="HG丸ｺﾞｼｯｸM-PRO" pitchFamily="50" charset="-128"/>
              <a:ea typeface="HG丸ｺﾞｼｯｸM-PRO" pitchFamily="50" charset="-128"/>
            </a:rPr>
            <a:t>７耐震</a:t>
          </a:r>
          <a:endParaRPr kumimoji="1" lang="en-US" altLang="ja-JP" sz="800">
            <a:solidFill>
              <a:schemeClr val="tx1"/>
            </a:solidFill>
            <a:latin typeface="HG丸ｺﾞｼｯｸM-PRO" pitchFamily="50" charset="-128"/>
            <a:ea typeface="HG丸ｺﾞｼｯｸM-PRO" pitchFamily="50" charset="-128"/>
          </a:endParaRPr>
        </a:p>
        <a:p>
          <a:pPr marL="0" marR="0" indent="0" algn="ctr" defTabSz="914400" eaLnBrk="1" fontAlgn="auto" latinLnBrk="0" hangingPunct="1">
            <a:lnSpc>
              <a:spcPts val="1000"/>
            </a:lnSpc>
            <a:spcBef>
              <a:spcPts val="0"/>
            </a:spcBef>
            <a:spcAft>
              <a:spcPts val="0"/>
            </a:spcAft>
            <a:buClrTx/>
            <a:buSzTx/>
            <a:buFontTx/>
            <a:buNone/>
            <a:tabLst/>
            <a:defRPr/>
          </a:pPr>
          <a:endParaRPr lang="ja-JP" altLang="ja-JP" sz="800">
            <a:effectLst/>
            <a:latin typeface="HG丸ｺﾞｼｯｸM-PRO" panose="020F0600000000000000" pitchFamily="50" charset="-128"/>
            <a:ea typeface="HG丸ｺﾞｼｯｸM-PRO" panose="020F0600000000000000" pitchFamily="50" charset="-128"/>
          </a:endParaRPr>
        </a:p>
        <a:p>
          <a:pPr algn="ctr">
            <a:lnSpc>
              <a:spcPts val="1000"/>
            </a:lnSpc>
            <a:spcBef>
              <a:spcPts val="0"/>
            </a:spcBef>
          </a:pPr>
          <a:r>
            <a:rPr kumimoji="1" lang="ja-JP" altLang="en-US" sz="800">
              <a:solidFill>
                <a:schemeClr val="tx1"/>
              </a:solidFill>
              <a:latin typeface="HG丸ｺﾞｼｯｸM-PRO" pitchFamily="50" charset="-128"/>
              <a:ea typeface="HG丸ｺﾞｼｯｸM-PRO" pitchFamily="50" charset="-128"/>
            </a:rPr>
            <a:t>８アス</a:t>
          </a:r>
          <a:endParaRPr kumimoji="1" lang="en-US" altLang="ja-JP" sz="800">
            <a:solidFill>
              <a:schemeClr val="tx1"/>
            </a:solidFill>
            <a:latin typeface="HG丸ｺﾞｼｯｸM-PRO" pitchFamily="50" charset="-128"/>
            <a:ea typeface="HG丸ｺﾞｼｯｸM-PRO" pitchFamily="50" charset="-128"/>
          </a:endParaRPr>
        </a:p>
        <a:p>
          <a:pPr marL="0" marR="0" indent="0" algn="ctr" defTabSz="914400" eaLnBrk="1" fontAlgn="auto" latinLnBrk="0" hangingPunct="1">
            <a:lnSpc>
              <a:spcPts val="1000"/>
            </a:lnSpc>
            <a:spcBef>
              <a:spcPts val="0"/>
            </a:spcBef>
            <a:spcAft>
              <a:spcPts val="0"/>
            </a:spcAft>
            <a:buClrTx/>
            <a:buSzTx/>
            <a:buFontTx/>
            <a:buNone/>
            <a:tabLst/>
            <a:defRPr/>
          </a:pPr>
          <a:endParaRPr lang="ja-JP" altLang="ja-JP" sz="800">
            <a:effectLst/>
            <a:latin typeface="HG丸ｺﾞｼｯｸM-PRO" panose="020F0600000000000000" pitchFamily="50" charset="-128"/>
            <a:ea typeface="HG丸ｺﾞｼｯｸM-PRO" panose="020F0600000000000000" pitchFamily="50" charset="-128"/>
          </a:endParaRPr>
        </a:p>
        <a:p>
          <a:pPr algn="ctr">
            <a:lnSpc>
              <a:spcPts val="1000"/>
            </a:lnSpc>
            <a:spcBef>
              <a:spcPts val="0"/>
            </a:spcBef>
          </a:pPr>
          <a:r>
            <a:rPr kumimoji="1" lang="ja-JP" altLang="en-US" sz="800">
              <a:solidFill>
                <a:schemeClr val="tx1"/>
              </a:solidFill>
              <a:latin typeface="HG丸ｺﾞｼｯｸM-PRO" pitchFamily="50" charset="-128"/>
              <a:ea typeface="HG丸ｺﾞｼｯｸM-PRO" pitchFamily="50" charset="-128"/>
            </a:rPr>
            <a:t>９　他</a:t>
          </a:r>
          <a:endParaRPr kumimoji="1" lang="en-US" altLang="ja-JP" sz="800">
            <a:solidFill>
              <a:schemeClr val="tx1"/>
            </a:solidFill>
            <a:latin typeface="HG丸ｺﾞｼｯｸM-PRO" pitchFamily="50" charset="-128"/>
            <a:ea typeface="HG丸ｺﾞｼｯｸM-PRO" pitchFamily="50" charset="-128"/>
          </a:endParaRPr>
        </a:p>
        <a:p>
          <a:pPr algn="ctr">
            <a:lnSpc>
              <a:spcPts val="1000"/>
            </a:lnSpc>
            <a:spcBef>
              <a:spcPts val="0"/>
            </a:spcBef>
          </a:pPr>
          <a:endParaRPr kumimoji="1" lang="en-US" altLang="ja-JP" sz="800">
            <a:solidFill>
              <a:schemeClr val="tx1"/>
            </a:solidFill>
            <a:latin typeface="HG丸ｺﾞｼｯｸM-PRO" pitchFamily="50" charset="-128"/>
            <a:ea typeface="HG丸ｺﾞｼｯｸM-PRO" pitchFamily="50" charset="-128"/>
          </a:endParaRPr>
        </a:p>
        <a:p>
          <a:pPr algn="ctr">
            <a:lnSpc>
              <a:spcPts val="1000"/>
            </a:lnSpc>
            <a:spcBef>
              <a:spcPts val="0"/>
            </a:spcBef>
          </a:pPr>
          <a:r>
            <a:rPr kumimoji="1" lang="en-US" altLang="ja-JP" sz="800">
              <a:solidFill>
                <a:schemeClr val="tx1"/>
              </a:solidFill>
              <a:latin typeface="HG丸ｺﾞｼｯｸM-PRO" pitchFamily="50" charset="-128"/>
              <a:ea typeface="HG丸ｺﾞｼｯｸM-PRO" pitchFamily="50" charset="-128"/>
            </a:rPr>
            <a:t>B</a:t>
          </a:r>
          <a:r>
            <a:rPr kumimoji="1" lang="ja-JP" altLang="en-US" sz="800">
              <a:solidFill>
                <a:schemeClr val="tx1"/>
              </a:solidFill>
              <a:latin typeface="HG丸ｺﾞｼｯｸM-PRO" pitchFamily="50" charset="-128"/>
              <a:ea typeface="HG丸ｺﾞｼｯｸM-PRO" pitchFamily="50" charset="-128"/>
            </a:rPr>
            <a:t>　防</a:t>
          </a:r>
          <a:endParaRPr kumimoji="1" lang="en-US" altLang="ja-JP" sz="800">
            <a:solidFill>
              <a:schemeClr val="tx1"/>
            </a:solidFill>
            <a:latin typeface="HG丸ｺﾞｼｯｸM-PRO" pitchFamily="50" charset="-128"/>
            <a:ea typeface="HG丸ｺﾞｼｯｸM-PRO" pitchFamily="50" charset="-128"/>
          </a:endParaRPr>
        </a:p>
        <a:p>
          <a:pPr algn="ctr">
            <a:lnSpc>
              <a:spcPts val="1000"/>
            </a:lnSpc>
            <a:spcBef>
              <a:spcPts val="0"/>
            </a:spcBef>
          </a:pPr>
          <a:endParaRPr kumimoji="1" lang="en-US" altLang="ja-JP" sz="800">
            <a:solidFill>
              <a:schemeClr val="tx1"/>
            </a:solidFill>
            <a:latin typeface="HG丸ｺﾞｼｯｸM-PRO" pitchFamily="50" charset="-128"/>
            <a:ea typeface="HG丸ｺﾞｼｯｸM-PRO" pitchFamily="50" charset="-128"/>
          </a:endParaRPr>
        </a:p>
        <a:p>
          <a:pPr algn="ctr">
            <a:lnSpc>
              <a:spcPts val="1000"/>
            </a:lnSpc>
            <a:spcBef>
              <a:spcPts val="0"/>
            </a:spcBef>
          </a:pPr>
          <a:r>
            <a:rPr kumimoji="1" lang="en-US" altLang="ja-JP" sz="800">
              <a:solidFill>
                <a:schemeClr val="tx1"/>
              </a:solidFill>
              <a:latin typeface="HG丸ｺﾞｼｯｸM-PRO" pitchFamily="50" charset="-128"/>
              <a:ea typeface="HG丸ｺﾞｼｯｸM-PRO" pitchFamily="50" charset="-128"/>
            </a:rPr>
            <a:t>N</a:t>
          </a:r>
          <a:r>
            <a:rPr kumimoji="1" lang="ja-JP" altLang="en-US" sz="800">
              <a:solidFill>
                <a:schemeClr val="tx1"/>
              </a:solidFill>
              <a:latin typeface="HG丸ｺﾞｼｯｸM-PRO" pitchFamily="50" charset="-128"/>
              <a:ea typeface="HG丸ｺﾞｼｯｸM-PRO" pitchFamily="50" charset="-128"/>
            </a:rPr>
            <a:t>　荷</a:t>
          </a:r>
          <a:endParaRPr kumimoji="1" lang="en-US" altLang="ja-JP" sz="800">
            <a:solidFill>
              <a:schemeClr val="tx1"/>
            </a:solidFill>
            <a:latin typeface="HG丸ｺﾞｼｯｸM-PRO" pitchFamily="50" charset="-128"/>
            <a:ea typeface="HG丸ｺﾞｼｯｸM-PRO" pitchFamily="50" charset="-128"/>
          </a:endParaRPr>
        </a:p>
        <a:p>
          <a:pPr algn="ctr">
            <a:lnSpc>
              <a:spcPts val="1000"/>
            </a:lnSpc>
            <a:spcBef>
              <a:spcPts val="0"/>
            </a:spcBef>
          </a:pPr>
          <a:endParaRPr kumimoji="1" lang="en-US" altLang="ja-JP" sz="800">
            <a:solidFill>
              <a:schemeClr val="tx1"/>
            </a:solidFill>
            <a:latin typeface="HG丸ｺﾞｼｯｸM-PRO" pitchFamily="50" charset="-128"/>
            <a:ea typeface="HG丸ｺﾞｼｯｸM-PRO" pitchFamily="50" charset="-128"/>
          </a:endParaRPr>
        </a:p>
        <a:p>
          <a:pPr algn="ctr">
            <a:lnSpc>
              <a:spcPts val="1000"/>
            </a:lnSpc>
            <a:spcBef>
              <a:spcPts val="0"/>
            </a:spcBef>
          </a:pPr>
          <a:r>
            <a:rPr kumimoji="1" lang="ja-JP" altLang="en-US" sz="800">
              <a:solidFill>
                <a:schemeClr val="tx1"/>
              </a:solidFill>
              <a:latin typeface="HG丸ｺﾞｼｯｸM-PRO" pitchFamily="50" charset="-128"/>
              <a:ea typeface="HG丸ｺﾞｼｯｸM-PRO" pitchFamily="50" charset="-128"/>
            </a:rPr>
            <a:t>Ｓ</a:t>
          </a:r>
          <a:endParaRPr kumimoji="1" lang="en-US" altLang="ja-JP" sz="600">
            <a:solidFill>
              <a:schemeClr val="tx1"/>
            </a:solidFill>
            <a:latin typeface="HG丸ｺﾞｼｯｸM-PRO" pitchFamily="50" charset="-128"/>
            <a:ea typeface="HG丸ｺﾞｼｯｸM-PRO"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85725</xdr:colOff>
      <xdr:row>20</xdr:row>
      <xdr:rowOff>0</xdr:rowOff>
    </xdr:from>
    <xdr:to>
      <xdr:col>44</xdr:col>
      <xdr:colOff>153750</xdr:colOff>
      <xdr:row>20</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238125" y="2057400"/>
          <a:ext cx="6649800" cy="0"/>
        </a:xfrm>
        <a:prstGeom prst="line">
          <a:avLst/>
        </a:prstGeom>
        <a:noFill/>
        <a:ln w="9525">
          <a:solidFill>
            <a:srgbClr val="000000"/>
          </a:solidFill>
          <a:round/>
          <a:headEnd/>
          <a:tailEnd/>
        </a:ln>
      </xdr:spPr>
    </xdr:sp>
    <xdr:clientData/>
  </xdr:twoCellAnchor>
  <xdr:twoCellAnchor>
    <xdr:from>
      <xdr:col>1</xdr:col>
      <xdr:colOff>95250</xdr:colOff>
      <xdr:row>78</xdr:row>
      <xdr:rowOff>0</xdr:rowOff>
    </xdr:from>
    <xdr:to>
      <xdr:col>45</xdr:col>
      <xdr:colOff>1350</xdr:colOff>
      <xdr:row>78</xdr:row>
      <xdr:rowOff>0</xdr:rowOff>
    </xdr:to>
    <xdr:sp macro="" textlink="">
      <xdr:nvSpPr>
        <xdr:cNvPr id="3" name="Line 21">
          <a:extLst>
            <a:ext uri="{FF2B5EF4-FFF2-40B4-BE49-F238E27FC236}">
              <a16:creationId xmlns:a16="http://schemas.microsoft.com/office/drawing/2014/main" id="{00000000-0008-0000-0700-000003000000}"/>
            </a:ext>
          </a:extLst>
        </xdr:cNvPr>
        <xdr:cNvSpPr>
          <a:spLocks noChangeShapeType="1"/>
        </xdr:cNvSpPr>
      </xdr:nvSpPr>
      <xdr:spPr bwMode="auto">
        <a:xfrm>
          <a:off x="247650" y="8153400"/>
          <a:ext cx="6640275" cy="0"/>
        </a:xfrm>
        <a:prstGeom prst="line">
          <a:avLst/>
        </a:prstGeom>
        <a:noFill/>
        <a:ln w="9525">
          <a:solidFill>
            <a:srgbClr val="000000"/>
          </a:solidFill>
          <a:round/>
          <a:headEnd/>
          <a:tailEnd/>
        </a:ln>
      </xdr:spPr>
    </xdr:sp>
    <xdr:clientData/>
  </xdr:twoCellAnchor>
  <xdr:twoCellAnchor>
    <xdr:from>
      <xdr:col>1</xdr:col>
      <xdr:colOff>95250</xdr:colOff>
      <xdr:row>50</xdr:row>
      <xdr:rowOff>0</xdr:rowOff>
    </xdr:from>
    <xdr:to>
      <xdr:col>45</xdr:col>
      <xdr:colOff>1350</xdr:colOff>
      <xdr:row>50</xdr:row>
      <xdr:rowOff>0</xdr:rowOff>
    </xdr:to>
    <xdr:sp macro="" textlink="">
      <xdr:nvSpPr>
        <xdr:cNvPr id="4" name="Line 22">
          <a:extLst>
            <a:ext uri="{FF2B5EF4-FFF2-40B4-BE49-F238E27FC236}">
              <a16:creationId xmlns:a16="http://schemas.microsoft.com/office/drawing/2014/main" id="{00000000-0008-0000-0700-000004000000}"/>
            </a:ext>
          </a:extLst>
        </xdr:cNvPr>
        <xdr:cNvSpPr>
          <a:spLocks noChangeShapeType="1"/>
        </xdr:cNvSpPr>
      </xdr:nvSpPr>
      <xdr:spPr bwMode="auto">
        <a:xfrm>
          <a:off x="247650" y="4495800"/>
          <a:ext cx="6640275" cy="0"/>
        </a:xfrm>
        <a:prstGeom prst="line">
          <a:avLst/>
        </a:prstGeom>
        <a:noFill/>
        <a:ln w="9525">
          <a:solidFill>
            <a:srgbClr val="000000"/>
          </a:solidFill>
          <a:round/>
          <a:headEnd/>
          <a:tailEnd/>
        </a:ln>
      </xdr:spPr>
    </xdr:sp>
    <xdr:clientData/>
  </xdr:twoCellAnchor>
  <xdr:twoCellAnchor>
    <xdr:from>
      <xdr:col>1</xdr:col>
      <xdr:colOff>95250</xdr:colOff>
      <xdr:row>39</xdr:row>
      <xdr:rowOff>0</xdr:rowOff>
    </xdr:from>
    <xdr:to>
      <xdr:col>45</xdr:col>
      <xdr:colOff>1350</xdr:colOff>
      <xdr:row>39</xdr:row>
      <xdr:rowOff>0</xdr:rowOff>
    </xdr:to>
    <xdr:sp macro="" textlink="">
      <xdr:nvSpPr>
        <xdr:cNvPr id="5" name="Line 23">
          <a:extLst>
            <a:ext uri="{FF2B5EF4-FFF2-40B4-BE49-F238E27FC236}">
              <a16:creationId xmlns:a16="http://schemas.microsoft.com/office/drawing/2014/main" id="{00000000-0008-0000-0700-000005000000}"/>
            </a:ext>
          </a:extLst>
        </xdr:cNvPr>
        <xdr:cNvSpPr>
          <a:spLocks noChangeShapeType="1"/>
        </xdr:cNvSpPr>
      </xdr:nvSpPr>
      <xdr:spPr bwMode="auto">
        <a:xfrm>
          <a:off x="247650" y="3429000"/>
          <a:ext cx="6640275" cy="0"/>
        </a:xfrm>
        <a:prstGeom prst="line">
          <a:avLst/>
        </a:prstGeom>
        <a:noFill/>
        <a:ln w="9525">
          <a:solidFill>
            <a:srgbClr val="000000"/>
          </a:solidFill>
          <a:round/>
          <a:headEnd/>
          <a:tailEnd/>
        </a:ln>
      </xdr:spPr>
    </xdr:sp>
    <xdr:clientData/>
  </xdr:twoCellAnchor>
  <xdr:twoCellAnchor>
    <xdr:from>
      <xdr:col>1</xdr:col>
      <xdr:colOff>95250</xdr:colOff>
      <xdr:row>28</xdr:row>
      <xdr:rowOff>0</xdr:rowOff>
    </xdr:from>
    <xdr:to>
      <xdr:col>45</xdr:col>
      <xdr:colOff>1350</xdr:colOff>
      <xdr:row>28</xdr:row>
      <xdr:rowOff>0</xdr:rowOff>
    </xdr:to>
    <xdr:sp macro="" textlink="">
      <xdr:nvSpPr>
        <xdr:cNvPr id="6" name="Line 24">
          <a:extLst>
            <a:ext uri="{FF2B5EF4-FFF2-40B4-BE49-F238E27FC236}">
              <a16:creationId xmlns:a16="http://schemas.microsoft.com/office/drawing/2014/main" id="{00000000-0008-0000-0700-000006000000}"/>
            </a:ext>
          </a:extLst>
        </xdr:cNvPr>
        <xdr:cNvSpPr>
          <a:spLocks noChangeShapeType="1"/>
        </xdr:cNvSpPr>
      </xdr:nvSpPr>
      <xdr:spPr bwMode="auto">
        <a:xfrm>
          <a:off x="247650" y="2362200"/>
          <a:ext cx="6640275" cy="0"/>
        </a:xfrm>
        <a:prstGeom prst="line">
          <a:avLst/>
        </a:prstGeom>
        <a:noFill/>
        <a:ln w="9525">
          <a:solidFill>
            <a:srgbClr val="000000"/>
          </a:solidFill>
          <a:round/>
          <a:headEnd/>
          <a:tailEnd/>
        </a:ln>
      </xdr:spPr>
    </xdr:sp>
    <xdr:clientData/>
  </xdr:twoCellAnchor>
  <xdr:twoCellAnchor>
    <xdr:from>
      <xdr:col>1</xdr:col>
      <xdr:colOff>95250</xdr:colOff>
      <xdr:row>189</xdr:row>
      <xdr:rowOff>0</xdr:rowOff>
    </xdr:from>
    <xdr:to>
      <xdr:col>45</xdr:col>
      <xdr:colOff>0</xdr:colOff>
      <xdr:row>189</xdr:row>
      <xdr:rowOff>0</xdr:rowOff>
    </xdr:to>
    <xdr:sp macro="" textlink="">
      <xdr:nvSpPr>
        <xdr:cNvPr id="7" name="Line 147">
          <a:extLst>
            <a:ext uri="{FF2B5EF4-FFF2-40B4-BE49-F238E27FC236}">
              <a16:creationId xmlns:a16="http://schemas.microsoft.com/office/drawing/2014/main" id="{00000000-0008-0000-0700-000007000000}"/>
            </a:ext>
          </a:extLst>
        </xdr:cNvPr>
        <xdr:cNvSpPr>
          <a:spLocks noChangeShapeType="1"/>
        </xdr:cNvSpPr>
      </xdr:nvSpPr>
      <xdr:spPr bwMode="auto">
        <a:xfrm>
          <a:off x="247650" y="11696700"/>
          <a:ext cx="6638925" cy="0"/>
        </a:xfrm>
        <a:prstGeom prst="line">
          <a:avLst/>
        </a:prstGeom>
        <a:noFill/>
        <a:ln w="9525">
          <a:solidFill>
            <a:srgbClr val="000000"/>
          </a:solidFill>
          <a:round/>
          <a:headEnd/>
          <a:tailEnd/>
        </a:ln>
      </xdr:spPr>
    </xdr:sp>
    <xdr:clientData/>
  </xdr:twoCellAnchor>
  <xdr:twoCellAnchor>
    <xdr:from>
      <xdr:col>1</xdr:col>
      <xdr:colOff>95250</xdr:colOff>
      <xdr:row>210</xdr:row>
      <xdr:rowOff>0</xdr:rowOff>
    </xdr:from>
    <xdr:to>
      <xdr:col>45</xdr:col>
      <xdr:colOff>0</xdr:colOff>
      <xdr:row>210</xdr:row>
      <xdr:rowOff>0</xdr:rowOff>
    </xdr:to>
    <xdr:sp macro="" textlink="">
      <xdr:nvSpPr>
        <xdr:cNvPr id="8" name="Line 148">
          <a:extLst>
            <a:ext uri="{FF2B5EF4-FFF2-40B4-BE49-F238E27FC236}">
              <a16:creationId xmlns:a16="http://schemas.microsoft.com/office/drawing/2014/main" id="{00000000-0008-0000-0700-000008000000}"/>
            </a:ext>
          </a:extLst>
        </xdr:cNvPr>
        <xdr:cNvSpPr>
          <a:spLocks noChangeShapeType="1"/>
        </xdr:cNvSpPr>
      </xdr:nvSpPr>
      <xdr:spPr bwMode="auto">
        <a:xfrm>
          <a:off x="247650" y="13725525"/>
          <a:ext cx="6638925" cy="0"/>
        </a:xfrm>
        <a:prstGeom prst="line">
          <a:avLst/>
        </a:prstGeom>
        <a:noFill/>
        <a:ln w="9525">
          <a:solidFill>
            <a:srgbClr val="000000"/>
          </a:solidFill>
          <a:round/>
          <a:headEnd/>
          <a:tailEnd/>
        </a:ln>
      </xdr:spPr>
    </xdr:sp>
    <xdr:clientData/>
  </xdr:twoCellAnchor>
  <xdr:twoCellAnchor>
    <xdr:from>
      <xdr:col>1</xdr:col>
      <xdr:colOff>95250</xdr:colOff>
      <xdr:row>242</xdr:row>
      <xdr:rowOff>0</xdr:rowOff>
    </xdr:from>
    <xdr:to>
      <xdr:col>45</xdr:col>
      <xdr:colOff>1350</xdr:colOff>
      <xdr:row>242</xdr:row>
      <xdr:rowOff>0</xdr:rowOff>
    </xdr:to>
    <xdr:sp macro="" textlink="">
      <xdr:nvSpPr>
        <xdr:cNvPr id="9" name="Line 151">
          <a:extLst>
            <a:ext uri="{FF2B5EF4-FFF2-40B4-BE49-F238E27FC236}">
              <a16:creationId xmlns:a16="http://schemas.microsoft.com/office/drawing/2014/main" id="{00000000-0008-0000-0700-000009000000}"/>
            </a:ext>
          </a:extLst>
        </xdr:cNvPr>
        <xdr:cNvSpPr>
          <a:spLocks noChangeShapeType="1"/>
        </xdr:cNvSpPr>
      </xdr:nvSpPr>
      <xdr:spPr bwMode="auto">
        <a:xfrm>
          <a:off x="247650" y="16925925"/>
          <a:ext cx="6640275" cy="0"/>
        </a:xfrm>
        <a:prstGeom prst="line">
          <a:avLst/>
        </a:prstGeom>
        <a:noFill/>
        <a:ln w="9525">
          <a:solidFill>
            <a:srgbClr val="000000"/>
          </a:solidFill>
          <a:round/>
          <a:headEnd/>
          <a:tailEnd/>
        </a:ln>
      </xdr:spPr>
    </xdr:sp>
    <xdr:clientData/>
  </xdr:twoCellAnchor>
  <xdr:twoCellAnchor>
    <xdr:from>
      <xdr:col>1</xdr:col>
      <xdr:colOff>104773</xdr:colOff>
      <xdr:row>578</xdr:row>
      <xdr:rowOff>171450</xdr:rowOff>
    </xdr:from>
    <xdr:to>
      <xdr:col>44</xdr:col>
      <xdr:colOff>144223</xdr:colOff>
      <xdr:row>578</xdr:row>
      <xdr:rowOff>171450</xdr:rowOff>
    </xdr:to>
    <xdr:sp macro="" textlink="">
      <xdr:nvSpPr>
        <xdr:cNvPr id="10" name="Line 962">
          <a:extLst>
            <a:ext uri="{FF2B5EF4-FFF2-40B4-BE49-F238E27FC236}">
              <a16:creationId xmlns:a16="http://schemas.microsoft.com/office/drawing/2014/main" id="{00000000-0008-0000-0700-00000A000000}"/>
            </a:ext>
          </a:extLst>
        </xdr:cNvPr>
        <xdr:cNvSpPr>
          <a:spLocks noChangeShapeType="1"/>
        </xdr:cNvSpPr>
      </xdr:nvSpPr>
      <xdr:spPr bwMode="auto">
        <a:xfrm>
          <a:off x="257173" y="32184975"/>
          <a:ext cx="6621225" cy="0"/>
        </a:xfrm>
        <a:prstGeom prst="line">
          <a:avLst/>
        </a:prstGeom>
        <a:noFill/>
        <a:ln w="9525">
          <a:solidFill>
            <a:srgbClr val="000000"/>
          </a:solidFill>
          <a:round/>
          <a:headEnd/>
          <a:tailEnd/>
        </a:ln>
      </xdr:spPr>
    </xdr:sp>
    <xdr:clientData/>
  </xdr:twoCellAnchor>
  <xdr:twoCellAnchor>
    <xdr:from>
      <xdr:col>1</xdr:col>
      <xdr:colOff>95250</xdr:colOff>
      <xdr:row>253</xdr:row>
      <xdr:rowOff>0</xdr:rowOff>
    </xdr:from>
    <xdr:to>
      <xdr:col>45</xdr:col>
      <xdr:colOff>1350</xdr:colOff>
      <xdr:row>253</xdr:row>
      <xdr:rowOff>0</xdr:rowOff>
    </xdr:to>
    <xdr:sp macro="" textlink="">
      <xdr:nvSpPr>
        <xdr:cNvPr id="11" name="Line 1001">
          <a:extLst>
            <a:ext uri="{FF2B5EF4-FFF2-40B4-BE49-F238E27FC236}">
              <a16:creationId xmlns:a16="http://schemas.microsoft.com/office/drawing/2014/main" id="{00000000-0008-0000-0700-00000B000000}"/>
            </a:ext>
          </a:extLst>
        </xdr:cNvPr>
        <xdr:cNvSpPr>
          <a:spLocks noChangeShapeType="1"/>
        </xdr:cNvSpPr>
      </xdr:nvSpPr>
      <xdr:spPr bwMode="auto">
        <a:xfrm>
          <a:off x="247650" y="17697450"/>
          <a:ext cx="6640275" cy="0"/>
        </a:xfrm>
        <a:prstGeom prst="line">
          <a:avLst/>
        </a:prstGeom>
        <a:noFill/>
        <a:ln w="9525">
          <a:solidFill>
            <a:srgbClr val="000000"/>
          </a:solidFill>
          <a:round/>
          <a:headEnd/>
          <a:tailEnd/>
        </a:ln>
      </xdr:spPr>
    </xdr:sp>
    <xdr:clientData/>
  </xdr:twoCellAnchor>
  <xdr:twoCellAnchor>
    <xdr:from>
      <xdr:col>1</xdr:col>
      <xdr:colOff>123824</xdr:colOff>
      <xdr:row>262</xdr:row>
      <xdr:rowOff>38100</xdr:rowOff>
    </xdr:from>
    <xdr:to>
      <xdr:col>45</xdr:col>
      <xdr:colOff>1349</xdr:colOff>
      <xdr:row>262</xdr:row>
      <xdr:rowOff>38100</xdr:rowOff>
    </xdr:to>
    <xdr:sp macro="" textlink="">
      <xdr:nvSpPr>
        <xdr:cNvPr id="12" name="Line 1002">
          <a:extLst>
            <a:ext uri="{FF2B5EF4-FFF2-40B4-BE49-F238E27FC236}">
              <a16:creationId xmlns:a16="http://schemas.microsoft.com/office/drawing/2014/main" id="{00000000-0008-0000-0700-00000C000000}"/>
            </a:ext>
          </a:extLst>
        </xdr:cNvPr>
        <xdr:cNvSpPr>
          <a:spLocks noChangeShapeType="1"/>
        </xdr:cNvSpPr>
      </xdr:nvSpPr>
      <xdr:spPr bwMode="auto">
        <a:xfrm>
          <a:off x="276224" y="18611850"/>
          <a:ext cx="6611700" cy="0"/>
        </a:xfrm>
        <a:prstGeom prst="line">
          <a:avLst/>
        </a:prstGeom>
        <a:noFill/>
        <a:ln w="9525">
          <a:solidFill>
            <a:srgbClr val="000000"/>
          </a:solidFill>
          <a:round/>
          <a:headEnd/>
          <a:tailEnd/>
        </a:ln>
      </xdr:spPr>
    </xdr:sp>
    <xdr:clientData/>
  </xdr:twoCellAnchor>
  <xdr:twoCellAnchor>
    <xdr:from>
      <xdr:col>1</xdr:col>
      <xdr:colOff>95248</xdr:colOff>
      <xdr:row>291</xdr:row>
      <xdr:rowOff>38100</xdr:rowOff>
    </xdr:from>
    <xdr:to>
      <xdr:col>44</xdr:col>
      <xdr:colOff>134698</xdr:colOff>
      <xdr:row>291</xdr:row>
      <xdr:rowOff>38100</xdr:rowOff>
    </xdr:to>
    <xdr:sp macro="" textlink="">
      <xdr:nvSpPr>
        <xdr:cNvPr id="13" name="Line 1021">
          <a:extLst>
            <a:ext uri="{FF2B5EF4-FFF2-40B4-BE49-F238E27FC236}">
              <a16:creationId xmlns:a16="http://schemas.microsoft.com/office/drawing/2014/main" id="{00000000-0008-0000-0700-00000D000000}"/>
            </a:ext>
          </a:extLst>
        </xdr:cNvPr>
        <xdr:cNvSpPr>
          <a:spLocks noChangeShapeType="1"/>
        </xdr:cNvSpPr>
      </xdr:nvSpPr>
      <xdr:spPr bwMode="auto">
        <a:xfrm>
          <a:off x="247648" y="20507325"/>
          <a:ext cx="6621225" cy="0"/>
        </a:xfrm>
        <a:prstGeom prst="line">
          <a:avLst/>
        </a:prstGeom>
        <a:noFill/>
        <a:ln w="9525">
          <a:solidFill>
            <a:srgbClr val="000000"/>
          </a:solidFill>
          <a:round/>
          <a:headEnd/>
          <a:tailEnd/>
        </a:ln>
      </xdr:spPr>
    </xdr:sp>
    <xdr:clientData/>
  </xdr:twoCellAnchor>
  <xdr:twoCellAnchor>
    <xdr:from>
      <xdr:col>1</xdr:col>
      <xdr:colOff>95250</xdr:colOff>
      <xdr:row>108</xdr:row>
      <xdr:rowOff>0</xdr:rowOff>
    </xdr:from>
    <xdr:to>
      <xdr:col>45</xdr:col>
      <xdr:colOff>0</xdr:colOff>
      <xdr:row>120</xdr:row>
      <xdr:rowOff>0</xdr:rowOff>
    </xdr:to>
    <xdr:sp macro="" textlink="">
      <xdr:nvSpPr>
        <xdr:cNvPr id="15" name="Rectangle 7">
          <a:extLst>
            <a:ext uri="{FF2B5EF4-FFF2-40B4-BE49-F238E27FC236}">
              <a16:creationId xmlns:a16="http://schemas.microsoft.com/office/drawing/2014/main" id="{00000000-0008-0000-0700-00000F000000}"/>
            </a:ext>
          </a:extLst>
        </xdr:cNvPr>
        <xdr:cNvSpPr>
          <a:spLocks noChangeArrowheads="1"/>
        </xdr:cNvSpPr>
      </xdr:nvSpPr>
      <xdr:spPr bwMode="auto">
        <a:xfrm>
          <a:off x="247650" y="10010775"/>
          <a:ext cx="6638925" cy="1219200"/>
        </a:xfrm>
        <a:prstGeom prst="rect">
          <a:avLst/>
        </a:prstGeom>
        <a:noFill/>
        <a:ln w="9525">
          <a:solidFill>
            <a:srgbClr val="000000"/>
          </a:solidFill>
          <a:miter lim="800000"/>
          <a:headEnd/>
          <a:tailEnd/>
        </a:ln>
      </xdr:spPr>
    </xdr:sp>
    <xdr:clientData/>
  </xdr:twoCellAnchor>
  <xdr:twoCellAnchor>
    <xdr:from>
      <xdr:col>1</xdr:col>
      <xdr:colOff>95250</xdr:colOff>
      <xdr:row>111</xdr:row>
      <xdr:rowOff>0</xdr:rowOff>
    </xdr:from>
    <xdr:to>
      <xdr:col>45</xdr:col>
      <xdr:colOff>0</xdr:colOff>
      <xdr:row>111</xdr:row>
      <xdr:rowOff>0</xdr:rowOff>
    </xdr:to>
    <xdr:sp macro="" textlink="">
      <xdr:nvSpPr>
        <xdr:cNvPr id="16" name="Line 8">
          <a:extLst>
            <a:ext uri="{FF2B5EF4-FFF2-40B4-BE49-F238E27FC236}">
              <a16:creationId xmlns:a16="http://schemas.microsoft.com/office/drawing/2014/main" id="{00000000-0008-0000-0700-000010000000}"/>
            </a:ext>
          </a:extLst>
        </xdr:cNvPr>
        <xdr:cNvSpPr>
          <a:spLocks noChangeShapeType="1"/>
        </xdr:cNvSpPr>
      </xdr:nvSpPr>
      <xdr:spPr bwMode="auto">
        <a:xfrm>
          <a:off x="247650" y="10315575"/>
          <a:ext cx="6638925" cy="0"/>
        </a:xfrm>
        <a:prstGeom prst="line">
          <a:avLst/>
        </a:prstGeom>
        <a:noFill/>
        <a:ln w="9525">
          <a:solidFill>
            <a:srgbClr val="000000"/>
          </a:solidFill>
          <a:round/>
          <a:headEnd/>
          <a:tailEnd/>
        </a:ln>
      </xdr:spPr>
    </xdr:sp>
    <xdr:clientData/>
  </xdr:twoCellAnchor>
  <xdr:twoCellAnchor>
    <xdr:from>
      <xdr:col>10</xdr:col>
      <xdr:colOff>95250</xdr:colOff>
      <xdr:row>108</xdr:row>
      <xdr:rowOff>0</xdr:rowOff>
    </xdr:from>
    <xdr:to>
      <xdr:col>10</xdr:col>
      <xdr:colOff>95250</xdr:colOff>
      <xdr:row>120</xdr:row>
      <xdr:rowOff>0</xdr:rowOff>
    </xdr:to>
    <xdr:sp macro="" textlink="">
      <xdr:nvSpPr>
        <xdr:cNvPr id="17" name="Line 9">
          <a:extLst>
            <a:ext uri="{FF2B5EF4-FFF2-40B4-BE49-F238E27FC236}">
              <a16:creationId xmlns:a16="http://schemas.microsoft.com/office/drawing/2014/main" id="{00000000-0008-0000-0700-000011000000}"/>
            </a:ext>
          </a:extLst>
        </xdr:cNvPr>
        <xdr:cNvSpPr>
          <a:spLocks noChangeShapeType="1"/>
        </xdr:cNvSpPr>
      </xdr:nvSpPr>
      <xdr:spPr bwMode="auto">
        <a:xfrm>
          <a:off x="1619250" y="10010775"/>
          <a:ext cx="0" cy="1219200"/>
        </a:xfrm>
        <a:prstGeom prst="line">
          <a:avLst/>
        </a:prstGeom>
        <a:noFill/>
        <a:ln w="9525">
          <a:solidFill>
            <a:srgbClr val="000000"/>
          </a:solidFill>
          <a:round/>
          <a:headEnd/>
          <a:tailEnd/>
        </a:ln>
      </xdr:spPr>
    </xdr:sp>
    <xdr:clientData/>
  </xdr:twoCellAnchor>
  <xdr:twoCellAnchor>
    <xdr:from>
      <xdr:col>1</xdr:col>
      <xdr:colOff>95250</xdr:colOff>
      <xdr:row>114</xdr:row>
      <xdr:rowOff>0</xdr:rowOff>
    </xdr:from>
    <xdr:to>
      <xdr:col>10</xdr:col>
      <xdr:colOff>95250</xdr:colOff>
      <xdr:row>114</xdr:row>
      <xdr:rowOff>0</xdr:rowOff>
    </xdr:to>
    <xdr:sp macro="" textlink="">
      <xdr:nvSpPr>
        <xdr:cNvPr id="18" name="Line 11">
          <a:extLst>
            <a:ext uri="{FF2B5EF4-FFF2-40B4-BE49-F238E27FC236}">
              <a16:creationId xmlns:a16="http://schemas.microsoft.com/office/drawing/2014/main" id="{00000000-0008-0000-0700-000012000000}"/>
            </a:ext>
          </a:extLst>
        </xdr:cNvPr>
        <xdr:cNvSpPr>
          <a:spLocks noChangeShapeType="1"/>
        </xdr:cNvSpPr>
      </xdr:nvSpPr>
      <xdr:spPr bwMode="auto">
        <a:xfrm>
          <a:off x="247650" y="10620375"/>
          <a:ext cx="1371600" cy="0"/>
        </a:xfrm>
        <a:prstGeom prst="line">
          <a:avLst/>
        </a:prstGeom>
        <a:noFill/>
        <a:ln w="9525">
          <a:solidFill>
            <a:srgbClr val="000000"/>
          </a:solidFill>
          <a:round/>
          <a:headEnd/>
          <a:tailEnd/>
        </a:ln>
      </xdr:spPr>
    </xdr:sp>
    <xdr:clientData/>
  </xdr:twoCellAnchor>
  <xdr:twoCellAnchor>
    <xdr:from>
      <xdr:col>1</xdr:col>
      <xdr:colOff>95250</xdr:colOff>
      <xdr:row>117</xdr:row>
      <xdr:rowOff>0</xdr:rowOff>
    </xdr:from>
    <xdr:to>
      <xdr:col>10</xdr:col>
      <xdr:colOff>95250</xdr:colOff>
      <xdr:row>117</xdr:row>
      <xdr:rowOff>0</xdr:rowOff>
    </xdr:to>
    <xdr:sp macro="" textlink="">
      <xdr:nvSpPr>
        <xdr:cNvPr id="19" name="Line 14">
          <a:extLst>
            <a:ext uri="{FF2B5EF4-FFF2-40B4-BE49-F238E27FC236}">
              <a16:creationId xmlns:a16="http://schemas.microsoft.com/office/drawing/2014/main" id="{00000000-0008-0000-0700-000013000000}"/>
            </a:ext>
          </a:extLst>
        </xdr:cNvPr>
        <xdr:cNvSpPr>
          <a:spLocks noChangeShapeType="1"/>
        </xdr:cNvSpPr>
      </xdr:nvSpPr>
      <xdr:spPr bwMode="auto">
        <a:xfrm>
          <a:off x="247650" y="10925175"/>
          <a:ext cx="1371600" cy="0"/>
        </a:xfrm>
        <a:prstGeom prst="line">
          <a:avLst/>
        </a:prstGeom>
        <a:noFill/>
        <a:ln w="9525">
          <a:solidFill>
            <a:srgbClr val="000000"/>
          </a:solidFill>
          <a:round/>
          <a:headEnd/>
          <a:tailEnd/>
        </a:ln>
      </xdr:spPr>
    </xdr:sp>
    <xdr:clientData/>
  </xdr:twoCellAnchor>
  <xdr:twoCellAnchor>
    <xdr:from>
      <xdr:col>38</xdr:col>
      <xdr:colOff>0</xdr:colOff>
      <xdr:row>108</xdr:row>
      <xdr:rowOff>9525</xdr:rowOff>
    </xdr:from>
    <xdr:to>
      <xdr:col>38</xdr:col>
      <xdr:colOff>0</xdr:colOff>
      <xdr:row>120</xdr:row>
      <xdr:rowOff>0</xdr:rowOff>
    </xdr:to>
    <xdr:sp macro="" textlink="">
      <xdr:nvSpPr>
        <xdr:cNvPr id="20" name="Line 15">
          <a:extLst>
            <a:ext uri="{FF2B5EF4-FFF2-40B4-BE49-F238E27FC236}">
              <a16:creationId xmlns:a16="http://schemas.microsoft.com/office/drawing/2014/main" id="{00000000-0008-0000-0700-000014000000}"/>
            </a:ext>
          </a:extLst>
        </xdr:cNvPr>
        <xdr:cNvSpPr>
          <a:spLocks noChangeShapeType="1"/>
        </xdr:cNvSpPr>
      </xdr:nvSpPr>
      <xdr:spPr bwMode="auto">
        <a:xfrm>
          <a:off x="5819775" y="10020300"/>
          <a:ext cx="0" cy="1209675"/>
        </a:xfrm>
        <a:prstGeom prst="line">
          <a:avLst/>
        </a:prstGeom>
        <a:noFill/>
        <a:ln w="9525">
          <a:solidFill>
            <a:srgbClr val="000000"/>
          </a:solidFill>
          <a:round/>
          <a:headEnd/>
          <a:tailEnd/>
        </a:ln>
      </xdr:spPr>
    </xdr:sp>
    <xdr:clientData/>
  </xdr:twoCellAnchor>
  <xdr:twoCellAnchor>
    <xdr:from>
      <xdr:col>1</xdr:col>
      <xdr:colOff>66675</xdr:colOff>
      <xdr:row>92</xdr:row>
      <xdr:rowOff>0</xdr:rowOff>
    </xdr:from>
    <xdr:to>
      <xdr:col>44</xdr:col>
      <xdr:colOff>134700</xdr:colOff>
      <xdr:row>92</xdr:row>
      <xdr:rowOff>0</xdr:rowOff>
    </xdr:to>
    <xdr:sp macro="" textlink="">
      <xdr:nvSpPr>
        <xdr:cNvPr id="21" name="Line 21">
          <a:extLst>
            <a:ext uri="{FF2B5EF4-FFF2-40B4-BE49-F238E27FC236}">
              <a16:creationId xmlns:a16="http://schemas.microsoft.com/office/drawing/2014/main" id="{00000000-0008-0000-0700-000015000000}"/>
            </a:ext>
          </a:extLst>
        </xdr:cNvPr>
        <xdr:cNvSpPr>
          <a:spLocks noChangeShapeType="1"/>
        </xdr:cNvSpPr>
      </xdr:nvSpPr>
      <xdr:spPr bwMode="auto">
        <a:xfrm>
          <a:off x="228600" y="9067800"/>
          <a:ext cx="7059375" cy="0"/>
        </a:xfrm>
        <a:prstGeom prst="line">
          <a:avLst/>
        </a:prstGeom>
        <a:noFill/>
        <a:ln w="9525">
          <a:solidFill>
            <a:srgbClr val="000000"/>
          </a:solidFill>
          <a:round/>
          <a:headEnd/>
          <a:tailEnd/>
        </a:ln>
      </xdr:spPr>
    </xdr:sp>
    <xdr:clientData/>
  </xdr:twoCellAnchor>
  <xdr:twoCellAnchor>
    <xdr:from>
      <xdr:col>1</xdr:col>
      <xdr:colOff>95250</xdr:colOff>
      <xdr:row>198</xdr:row>
      <xdr:rowOff>0</xdr:rowOff>
    </xdr:from>
    <xdr:to>
      <xdr:col>45</xdr:col>
      <xdr:colOff>0</xdr:colOff>
      <xdr:row>198</xdr:row>
      <xdr:rowOff>0</xdr:rowOff>
    </xdr:to>
    <xdr:sp macro="" textlink="">
      <xdr:nvSpPr>
        <xdr:cNvPr id="22" name="Line 148">
          <a:extLst>
            <a:ext uri="{FF2B5EF4-FFF2-40B4-BE49-F238E27FC236}">
              <a16:creationId xmlns:a16="http://schemas.microsoft.com/office/drawing/2014/main" id="{00000000-0008-0000-0700-000016000000}"/>
            </a:ext>
          </a:extLst>
        </xdr:cNvPr>
        <xdr:cNvSpPr>
          <a:spLocks noChangeShapeType="1"/>
        </xdr:cNvSpPr>
      </xdr:nvSpPr>
      <xdr:spPr bwMode="auto">
        <a:xfrm>
          <a:off x="247650" y="12468225"/>
          <a:ext cx="6638925" cy="0"/>
        </a:xfrm>
        <a:prstGeom prst="line">
          <a:avLst/>
        </a:prstGeom>
        <a:noFill/>
        <a:ln w="9525">
          <a:solidFill>
            <a:srgbClr val="000000"/>
          </a:solidFill>
          <a:round/>
          <a:headEnd/>
          <a:tailEnd/>
        </a:ln>
      </xdr:spPr>
    </xdr:sp>
    <xdr:clientData/>
  </xdr:twoCellAnchor>
  <xdr:twoCellAnchor>
    <xdr:from>
      <xdr:col>1</xdr:col>
      <xdr:colOff>95248</xdr:colOff>
      <xdr:row>380</xdr:row>
      <xdr:rowOff>38100</xdr:rowOff>
    </xdr:from>
    <xdr:to>
      <xdr:col>44</xdr:col>
      <xdr:colOff>134698</xdr:colOff>
      <xdr:row>380</xdr:row>
      <xdr:rowOff>38100</xdr:rowOff>
    </xdr:to>
    <xdr:sp macro="" textlink="">
      <xdr:nvSpPr>
        <xdr:cNvPr id="23" name="Line 147">
          <a:extLst>
            <a:ext uri="{FF2B5EF4-FFF2-40B4-BE49-F238E27FC236}">
              <a16:creationId xmlns:a16="http://schemas.microsoft.com/office/drawing/2014/main" id="{00000000-0008-0000-0700-000017000000}"/>
            </a:ext>
          </a:extLst>
        </xdr:cNvPr>
        <xdr:cNvSpPr>
          <a:spLocks noChangeShapeType="1"/>
        </xdr:cNvSpPr>
      </xdr:nvSpPr>
      <xdr:spPr bwMode="auto">
        <a:xfrm>
          <a:off x="247648" y="22059900"/>
          <a:ext cx="6621225" cy="0"/>
        </a:xfrm>
        <a:prstGeom prst="line">
          <a:avLst/>
        </a:prstGeom>
        <a:noFill/>
        <a:ln w="9525">
          <a:solidFill>
            <a:srgbClr val="000000"/>
          </a:solidFill>
          <a:round/>
          <a:headEnd/>
          <a:tailEnd/>
        </a:ln>
      </xdr:spPr>
    </xdr:sp>
    <xdr:clientData/>
  </xdr:twoCellAnchor>
  <xdr:twoCellAnchor>
    <xdr:from>
      <xdr:col>1</xdr:col>
      <xdr:colOff>66674</xdr:colOff>
      <xdr:row>421</xdr:row>
      <xdr:rowOff>28575</xdr:rowOff>
    </xdr:from>
    <xdr:to>
      <xdr:col>44</xdr:col>
      <xdr:colOff>106124</xdr:colOff>
      <xdr:row>421</xdr:row>
      <xdr:rowOff>28575</xdr:rowOff>
    </xdr:to>
    <xdr:sp macro="" textlink="">
      <xdr:nvSpPr>
        <xdr:cNvPr id="24" name="Line 148">
          <a:extLst>
            <a:ext uri="{FF2B5EF4-FFF2-40B4-BE49-F238E27FC236}">
              <a16:creationId xmlns:a16="http://schemas.microsoft.com/office/drawing/2014/main" id="{00000000-0008-0000-0700-000018000000}"/>
            </a:ext>
          </a:extLst>
        </xdr:cNvPr>
        <xdr:cNvSpPr>
          <a:spLocks noChangeShapeType="1"/>
        </xdr:cNvSpPr>
      </xdr:nvSpPr>
      <xdr:spPr bwMode="auto">
        <a:xfrm>
          <a:off x="228599" y="39690675"/>
          <a:ext cx="7030800" cy="0"/>
        </a:xfrm>
        <a:prstGeom prst="line">
          <a:avLst/>
        </a:prstGeom>
        <a:noFill/>
        <a:ln w="9525">
          <a:solidFill>
            <a:srgbClr val="000000"/>
          </a:solidFill>
          <a:round/>
          <a:headEnd/>
          <a:tailEnd/>
        </a:ln>
      </xdr:spPr>
    </xdr:sp>
    <xdr:clientData/>
  </xdr:twoCellAnchor>
  <xdr:twoCellAnchor>
    <xdr:from>
      <xdr:col>1</xdr:col>
      <xdr:colOff>95248</xdr:colOff>
      <xdr:row>439</xdr:row>
      <xdr:rowOff>38100</xdr:rowOff>
    </xdr:from>
    <xdr:to>
      <xdr:col>44</xdr:col>
      <xdr:colOff>134698</xdr:colOff>
      <xdr:row>439</xdr:row>
      <xdr:rowOff>38100</xdr:rowOff>
    </xdr:to>
    <xdr:sp macro="" textlink="">
      <xdr:nvSpPr>
        <xdr:cNvPr id="25" name="Line 151">
          <a:extLst>
            <a:ext uri="{FF2B5EF4-FFF2-40B4-BE49-F238E27FC236}">
              <a16:creationId xmlns:a16="http://schemas.microsoft.com/office/drawing/2014/main" id="{00000000-0008-0000-0700-000019000000}"/>
            </a:ext>
          </a:extLst>
        </xdr:cNvPr>
        <xdr:cNvSpPr>
          <a:spLocks noChangeShapeType="1"/>
        </xdr:cNvSpPr>
      </xdr:nvSpPr>
      <xdr:spPr bwMode="auto">
        <a:xfrm>
          <a:off x="247648" y="28489275"/>
          <a:ext cx="6621225" cy="0"/>
        </a:xfrm>
        <a:prstGeom prst="line">
          <a:avLst/>
        </a:prstGeom>
        <a:noFill/>
        <a:ln w="9525">
          <a:solidFill>
            <a:srgbClr val="000000"/>
          </a:solidFill>
          <a:round/>
          <a:headEnd/>
          <a:tailEnd/>
        </a:ln>
      </xdr:spPr>
    </xdr:sp>
    <xdr:clientData/>
  </xdr:twoCellAnchor>
  <xdr:twoCellAnchor>
    <xdr:from>
      <xdr:col>1</xdr:col>
      <xdr:colOff>95248</xdr:colOff>
      <xdr:row>449</xdr:row>
      <xdr:rowOff>38100</xdr:rowOff>
    </xdr:from>
    <xdr:to>
      <xdr:col>44</xdr:col>
      <xdr:colOff>134698</xdr:colOff>
      <xdr:row>449</xdr:row>
      <xdr:rowOff>38100</xdr:rowOff>
    </xdr:to>
    <xdr:sp macro="" textlink="">
      <xdr:nvSpPr>
        <xdr:cNvPr id="26" name="Line 1001">
          <a:extLst>
            <a:ext uri="{FF2B5EF4-FFF2-40B4-BE49-F238E27FC236}">
              <a16:creationId xmlns:a16="http://schemas.microsoft.com/office/drawing/2014/main" id="{00000000-0008-0000-0700-00001A000000}"/>
            </a:ext>
          </a:extLst>
        </xdr:cNvPr>
        <xdr:cNvSpPr>
          <a:spLocks noChangeShapeType="1"/>
        </xdr:cNvSpPr>
      </xdr:nvSpPr>
      <xdr:spPr bwMode="auto">
        <a:xfrm>
          <a:off x="247648" y="29098875"/>
          <a:ext cx="6621225" cy="0"/>
        </a:xfrm>
        <a:prstGeom prst="line">
          <a:avLst/>
        </a:prstGeom>
        <a:noFill/>
        <a:ln w="9525">
          <a:solidFill>
            <a:srgbClr val="000000"/>
          </a:solidFill>
          <a:round/>
          <a:headEnd/>
          <a:tailEnd/>
        </a:ln>
      </xdr:spPr>
    </xdr:sp>
    <xdr:clientData/>
  </xdr:twoCellAnchor>
  <xdr:twoCellAnchor>
    <xdr:from>
      <xdr:col>1</xdr:col>
      <xdr:colOff>95248</xdr:colOff>
      <xdr:row>458</xdr:row>
      <xdr:rowOff>38100</xdr:rowOff>
    </xdr:from>
    <xdr:to>
      <xdr:col>44</xdr:col>
      <xdr:colOff>134698</xdr:colOff>
      <xdr:row>458</xdr:row>
      <xdr:rowOff>38100</xdr:rowOff>
    </xdr:to>
    <xdr:sp macro="" textlink="">
      <xdr:nvSpPr>
        <xdr:cNvPr id="27" name="Line 1002">
          <a:extLst>
            <a:ext uri="{FF2B5EF4-FFF2-40B4-BE49-F238E27FC236}">
              <a16:creationId xmlns:a16="http://schemas.microsoft.com/office/drawing/2014/main" id="{00000000-0008-0000-0700-00001B000000}"/>
            </a:ext>
          </a:extLst>
        </xdr:cNvPr>
        <xdr:cNvSpPr>
          <a:spLocks noChangeShapeType="1"/>
        </xdr:cNvSpPr>
      </xdr:nvSpPr>
      <xdr:spPr bwMode="auto">
        <a:xfrm>
          <a:off x="247648" y="29870400"/>
          <a:ext cx="6621225" cy="0"/>
        </a:xfrm>
        <a:prstGeom prst="line">
          <a:avLst/>
        </a:prstGeom>
        <a:noFill/>
        <a:ln w="9525">
          <a:solidFill>
            <a:srgbClr val="000000"/>
          </a:solidFill>
          <a:round/>
          <a:headEnd/>
          <a:tailEnd/>
        </a:ln>
      </xdr:spPr>
    </xdr:sp>
    <xdr:clientData/>
  </xdr:twoCellAnchor>
  <xdr:twoCellAnchor>
    <xdr:from>
      <xdr:col>1</xdr:col>
      <xdr:colOff>95248</xdr:colOff>
      <xdr:row>475</xdr:row>
      <xdr:rowOff>38100</xdr:rowOff>
    </xdr:from>
    <xdr:to>
      <xdr:col>44</xdr:col>
      <xdr:colOff>134698</xdr:colOff>
      <xdr:row>475</xdr:row>
      <xdr:rowOff>38100</xdr:rowOff>
    </xdr:to>
    <xdr:sp macro="" textlink="">
      <xdr:nvSpPr>
        <xdr:cNvPr id="28" name="Line 1035">
          <a:extLst>
            <a:ext uri="{FF2B5EF4-FFF2-40B4-BE49-F238E27FC236}">
              <a16:creationId xmlns:a16="http://schemas.microsoft.com/office/drawing/2014/main" id="{00000000-0008-0000-0700-00001C000000}"/>
            </a:ext>
          </a:extLst>
        </xdr:cNvPr>
        <xdr:cNvSpPr>
          <a:spLocks noChangeShapeType="1"/>
        </xdr:cNvSpPr>
      </xdr:nvSpPr>
      <xdr:spPr bwMode="auto">
        <a:xfrm>
          <a:off x="247648" y="31613475"/>
          <a:ext cx="6621225" cy="0"/>
        </a:xfrm>
        <a:prstGeom prst="line">
          <a:avLst/>
        </a:prstGeom>
        <a:noFill/>
        <a:ln w="9525">
          <a:solidFill>
            <a:srgbClr val="000000"/>
          </a:solidFill>
          <a:round/>
          <a:headEnd/>
          <a:tailEnd/>
        </a:ln>
      </xdr:spPr>
    </xdr:sp>
    <xdr:clientData/>
  </xdr:twoCellAnchor>
  <xdr:twoCellAnchor>
    <xdr:from>
      <xdr:col>1</xdr:col>
      <xdr:colOff>95249</xdr:colOff>
      <xdr:row>391</xdr:row>
      <xdr:rowOff>38100</xdr:rowOff>
    </xdr:from>
    <xdr:to>
      <xdr:col>44</xdr:col>
      <xdr:colOff>134699</xdr:colOff>
      <xdr:row>391</xdr:row>
      <xdr:rowOff>38100</xdr:rowOff>
    </xdr:to>
    <xdr:sp macro="" textlink="">
      <xdr:nvSpPr>
        <xdr:cNvPr id="29" name="Line 148">
          <a:extLst>
            <a:ext uri="{FF2B5EF4-FFF2-40B4-BE49-F238E27FC236}">
              <a16:creationId xmlns:a16="http://schemas.microsoft.com/office/drawing/2014/main" id="{00000000-0008-0000-0700-00001D000000}"/>
            </a:ext>
          </a:extLst>
        </xdr:cNvPr>
        <xdr:cNvSpPr>
          <a:spLocks noChangeShapeType="1"/>
        </xdr:cNvSpPr>
      </xdr:nvSpPr>
      <xdr:spPr bwMode="auto">
        <a:xfrm>
          <a:off x="247649" y="23155275"/>
          <a:ext cx="6621225" cy="0"/>
        </a:xfrm>
        <a:prstGeom prst="line">
          <a:avLst/>
        </a:prstGeom>
        <a:noFill/>
        <a:ln w="9525">
          <a:solidFill>
            <a:srgbClr val="000000"/>
          </a:solidFill>
          <a:round/>
          <a:headEnd/>
          <a:tailEnd/>
        </a:ln>
      </xdr:spPr>
    </xdr:sp>
    <xdr:clientData/>
  </xdr:twoCellAnchor>
  <xdr:twoCellAnchor>
    <xdr:from>
      <xdr:col>1</xdr:col>
      <xdr:colOff>95248</xdr:colOff>
      <xdr:row>309</xdr:row>
      <xdr:rowOff>38100</xdr:rowOff>
    </xdr:from>
    <xdr:to>
      <xdr:col>44</xdr:col>
      <xdr:colOff>134698</xdr:colOff>
      <xdr:row>309</xdr:row>
      <xdr:rowOff>38100</xdr:rowOff>
    </xdr:to>
    <xdr:sp macro="" textlink="">
      <xdr:nvSpPr>
        <xdr:cNvPr id="34" name="Line 147">
          <a:extLst>
            <a:ext uri="{FF2B5EF4-FFF2-40B4-BE49-F238E27FC236}">
              <a16:creationId xmlns:a16="http://schemas.microsoft.com/office/drawing/2014/main" id="{00000000-0008-0000-0700-000022000000}"/>
            </a:ext>
          </a:extLst>
        </xdr:cNvPr>
        <xdr:cNvSpPr>
          <a:spLocks noChangeShapeType="1"/>
        </xdr:cNvSpPr>
      </xdr:nvSpPr>
      <xdr:spPr bwMode="auto">
        <a:xfrm>
          <a:off x="246334" y="28021893"/>
          <a:ext cx="6569002" cy="0"/>
        </a:xfrm>
        <a:prstGeom prst="line">
          <a:avLst/>
        </a:prstGeom>
        <a:noFill/>
        <a:ln w="9525">
          <a:solidFill>
            <a:srgbClr val="000000"/>
          </a:solidFill>
          <a:round/>
          <a:headEnd/>
          <a:tailEnd/>
        </a:ln>
      </xdr:spPr>
    </xdr:sp>
    <xdr:clientData/>
  </xdr:twoCellAnchor>
  <xdr:twoCellAnchor>
    <xdr:from>
      <xdr:col>1</xdr:col>
      <xdr:colOff>104773</xdr:colOff>
      <xdr:row>490</xdr:row>
      <xdr:rowOff>171450</xdr:rowOff>
    </xdr:from>
    <xdr:to>
      <xdr:col>44</xdr:col>
      <xdr:colOff>144223</xdr:colOff>
      <xdr:row>490</xdr:row>
      <xdr:rowOff>171450</xdr:rowOff>
    </xdr:to>
    <xdr:sp macro="" textlink="">
      <xdr:nvSpPr>
        <xdr:cNvPr id="45" name="Line 962">
          <a:extLst>
            <a:ext uri="{FF2B5EF4-FFF2-40B4-BE49-F238E27FC236}">
              <a16:creationId xmlns:a16="http://schemas.microsoft.com/office/drawing/2014/main" id="{00000000-0008-0000-0700-00002D000000}"/>
            </a:ext>
          </a:extLst>
        </xdr:cNvPr>
        <xdr:cNvSpPr>
          <a:spLocks noChangeShapeType="1"/>
        </xdr:cNvSpPr>
      </xdr:nvSpPr>
      <xdr:spPr bwMode="auto">
        <a:xfrm>
          <a:off x="265965" y="48485181"/>
          <a:ext cx="7000027" cy="0"/>
        </a:xfrm>
        <a:prstGeom prst="line">
          <a:avLst/>
        </a:prstGeom>
        <a:noFill/>
        <a:ln w="9525">
          <a:solidFill>
            <a:srgbClr val="000000"/>
          </a:solidFill>
          <a:round/>
          <a:headEnd/>
          <a:tailEnd/>
        </a:ln>
      </xdr:spPr>
    </xdr:sp>
    <xdr:clientData/>
  </xdr:twoCellAnchor>
  <xdr:twoCellAnchor>
    <xdr:from>
      <xdr:col>1</xdr:col>
      <xdr:colOff>19048</xdr:colOff>
      <xdr:row>130</xdr:row>
      <xdr:rowOff>9525</xdr:rowOff>
    </xdr:from>
    <xdr:to>
      <xdr:col>44</xdr:col>
      <xdr:colOff>58498</xdr:colOff>
      <xdr:row>130</xdr:row>
      <xdr:rowOff>9525</xdr:rowOff>
    </xdr:to>
    <xdr:sp macro="" textlink="">
      <xdr:nvSpPr>
        <xdr:cNvPr id="37" name="Line 962">
          <a:extLst>
            <a:ext uri="{FF2B5EF4-FFF2-40B4-BE49-F238E27FC236}">
              <a16:creationId xmlns:a16="http://schemas.microsoft.com/office/drawing/2014/main" id="{00000000-0008-0000-0700-000025000000}"/>
            </a:ext>
          </a:extLst>
        </xdr:cNvPr>
        <xdr:cNvSpPr>
          <a:spLocks noChangeShapeType="1"/>
        </xdr:cNvSpPr>
      </xdr:nvSpPr>
      <xdr:spPr bwMode="auto">
        <a:xfrm>
          <a:off x="180973" y="11430000"/>
          <a:ext cx="7030800" cy="0"/>
        </a:xfrm>
        <a:prstGeom prst="line">
          <a:avLst/>
        </a:prstGeom>
        <a:noFill/>
        <a:ln w="9525">
          <a:solidFill>
            <a:srgbClr val="000000"/>
          </a:solidFill>
          <a:round/>
          <a:headEnd/>
          <a:tailEnd/>
        </a:ln>
      </xdr:spPr>
    </xdr:sp>
    <xdr:clientData/>
  </xdr:twoCellAnchor>
  <xdr:twoCellAnchor>
    <xdr:from>
      <xdr:col>1</xdr:col>
      <xdr:colOff>19048</xdr:colOff>
      <xdr:row>168</xdr:row>
      <xdr:rowOff>9525</xdr:rowOff>
    </xdr:from>
    <xdr:to>
      <xdr:col>44</xdr:col>
      <xdr:colOff>58498</xdr:colOff>
      <xdr:row>168</xdr:row>
      <xdr:rowOff>9525</xdr:rowOff>
    </xdr:to>
    <xdr:sp macro="" textlink="">
      <xdr:nvSpPr>
        <xdr:cNvPr id="38" name="Line 962">
          <a:extLst>
            <a:ext uri="{FF2B5EF4-FFF2-40B4-BE49-F238E27FC236}">
              <a16:creationId xmlns:a16="http://schemas.microsoft.com/office/drawing/2014/main" id="{00000000-0008-0000-0700-000026000000}"/>
            </a:ext>
          </a:extLst>
        </xdr:cNvPr>
        <xdr:cNvSpPr>
          <a:spLocks noChangeShapeType="1"/>
        </xdr:cNvSpPr>
      </xdr:nvSpPr>
      <xdr:spPr bwMode="auto">
        <a:xfrm>
          <a:off x="180973" y="15325725"/>
          <a:ext cx="7030800" cy="0"/>
        </a:xfrm>
        <a:prstGeom prst="line">
          <a:avLst/>
        </a:prstGeom>
        <a:noFill/>
        <a:ln w="9525">
          <a:solidFill>
            <a:srgbClr val="000000"/>
          </a:solidFill>
          <a:round/>
          <a:headEnd/>
          <a:tailEnd/>
        </a:ln>
      </xdr:spPr>
    </xdr:sp>
    <xdr:clientData/>
  </xdr:twoCellAnchor>
  <xdr:twoCellAnchor>
    <xdr:from>
      <xdr:col>1</xdr:col>
      <xdr:colOff>95248</xdr:colOff>
      <xdr:row>303</xdr:row>
      <xdr:rowOff>38100</xdr:rowOff>
    </xdr:from>
    <xdr:to>
      <xdr:col>44</xdr:col>
      <xdr:colOff>134698</xdr:colOff>
      <xdr:row>303</xdr:row>
      <xdr:rowOff>38100</xdr:rowOff>
    </xdr:to>
    <xdr:sp macro="" textlink="">
      <xdr:nvSpPr>
        <xdr:cNvPr id="35" name="Line 1035">
          <a:extLst>
            <a:ext uri="{FF2B5EF4-FFF2-40B4-BE49-F238E27FC236}">
              <a16:creationId xmlns:a16="http://schemas.microsoft.com/office/drawing/2014/main" id="{00000000-0008-0000-0700-000023000000}"/>
            </a:ext>
          </a:extLst>
        </xdr:cNvPr>
        <xdr:cNvSpPr>
          <a:spLocks noChangeShapeType="1"/>
        </xdr:cNvSpPr>
      </xdr:nvSpPr>
      <xdr:spPr bwMode="auto">
        <a:xfrm>
          <a:off x="257173" y="30727650"/>
          <a:ext cx="7030800" cy="0"/>
        </a:xfrm>
        <a:prstGeom prst="line">
          <a:avLst/>
        </a:prstGeom>
        <a:noFill/>
        <a:ln w="9525">
          <a:solidFill>
            <a:srgbClr val="000000"/>
          </a:solidFill>
          <a:round/>
          <a:headEnd/>
          <a:tailEnd/>
        </a:ln>
      </xdr:spPr>
    </xdr:sp>
    <xdr:clientData/>
  </xdr:twoCellAnchor>
  <xdr:twoCellAnchor>
    <xdr:from>
      <xdr:col>0</xdr:col>
      <xdr:colOff>153959</xdr:colOff>
      <xdr:row>157</xdr:row>
      <xdr:rowOff>5846</xdr:rowOff>
    </xdr:from>
    <xdr:to>
      <xdr:col>44</xdr:col>
      <xdr:colOff>36527</xdr:colOff>
      <xdr:row>157</xdr:row>
      <xdr:rowOff>5846</xdr:rowOff>
    </xdr:to>
    <xdr:sp macro="" textlink="">
      <xdr:nvSpPr>
        <xdr:cNvPr id="31" name="Line 962">
          <a:extLst>
            <a:ext uri="{FF2B5EF4-FFF2-40B4-BE49-F238E27FC236}">
              <a16:creationId xmlns:a16="http://schemas.microsoft.com/office/drawing/2014/main" id="{00000000-0008-0000-0700-00001F000000}"/>
            </a:ext>
          </a:extLst>
        </xdr:cNvPr>
        <xdr:cNvSpPr>
          <a:spLocks noChangeShapeType="1"/>
        </xdr:cNvSpPr>
      </xdr:nvSpPr>
      <xdr:spPr bwMode="auto">
        <a:xfrm>
          <a:off x="153959" y="15668259"/>
          <a:ext cx="7196111"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95250</xdr:colOff>
      <xdr:row>78</xdr:row>
      <xdr:rowOff>0</xdr:rowOff>
    </xdr:from>
    <xdr:to>
      <xdr:col>45</xdr:col>
      <xdr:colOff>1350</xdr:colOff>
      <xdr:row>78</xdr:row>
      <xdr:rowOff>0</xdr:rowOff>
    </xdr:to>
    <xdr:sp macro="" textlink="">
      <xdr:nvSpPr>
        <xdr:cNvPr id="2" name="Line 21">
          <a:extLst>
            <a:ext uri="{FF2B5EF4-FFF2-40B4-BE49-F238E27FC236}">
              <a16:creationId xmlns:a16="http://schemas.microsoft.com/office/drawing/2014/main" id="{00000000-0008-0000-0800-000002000000}"/>
            </a:ext>
          </a:extLst>
        </xdr:cNvPr>
        <xdr:cNvSpPr>
          <a:spLocks noChangeShapeType="1"/>
        </xdr:cNvSpPr>
      </xdr:nvSpPr>
      <xdr:spPr bwMode="auto">
        <a:xfrm>
          <a:off x="247650" y="6858000"/>
          <a:ext cx="6640275" cy="0"/>
        </a:xfrm>
        <a:prstGeom prst="line">
          <a:avLst/>
        </a:prstGeom>
        <a:noFill/>
        <a:ln w="9525">
          <a:solidFill>
            <a:srgbClr val="000000"/>
          </a:solidFill>
          <a:round/>
          <a:headEnd/>
          <a:tailEnd/>
        </a:ln>
      </xdr:spPr>
    </xdr:sp>
    <xdr:clientData/>
  </xdr:twoCellAnchor>
  <xdr:twoCellAnchor>
    <xdr:from>
      <xdr:col>1</xdr:col>
      <xdr:colOff>95250</xdr:colOff>
      <xdr:row>50</xdr:row>
      <xdr:rowOff>0</xdr:rowOff>
    </xdr:from>
    <xdr:to>
      <xdr:col>45</xdr:col>
      <xdr:colOff>1350</xdr:colOff>
      <xdr:row>50</xdr:row>
      <xdr:rowOff>0</xdr:rowOff>
    </xdr:to>
    <xdr:sp macro="" textlink="">
      <xdr:nvSpPr>
        <xdr:cNvPr id="3" name="Line 22">
          <a:extLst>
            <a:ext uri="{FF2B5EF4-FFF2-40B4-BE49-F238E27FC236}">
              <a16:creationId xmlns:a16="http://schemas.microsoft.com/office/drawing/2014/main" id="{00000000-0008-0000-0800-000003000000}"/>
            </a:ext>
          </a:extLst>
        </xdr:cNvPr>
        <xdr:cNvSpPr>
          <a:spLocks noChangeShapeType="1"/>
        </xdr:cNvSpPr>
      </xdr:nvSpPr>
      <xdr:spPr bwMode="auto">
        <a:xfrm>
          <a:off x="247650" y="3200400"/>
          <a:ext cx="6640275" cy="0"/>
        </a:xfrm>
        <a:prstGeom prst="line">
          <a:avLst/>
        </a:prstGeom>
        <a:noFill/>
        <a:ln w="9525">
          <a:solidFill>
            <a:srgbClr val="000000"/>
          </a:solidFill>
          <a:round/>
          <a:headEnd/>
          <a:tailEnd/>
        </a:ln>
      </xdr:spPr>
    </xdr:sp>
    <xdr:clientData/>
  </xdr:twoCellAnchor>
  <xdr:twoCellAnchor>
    <xdr:from>
      <xdr:col>1</xdr:col>
      <xdr:colOff>95250</xdr:colOff>
      <xdr:row>39</xdr:row>
      <xdr:rowOff>0</xdr:rowOff>
    </xdr:from>
    <xdr:to>
      <xdr:col>45</xdr:col>
      <xdr:colOff>1350</xdr:colOff>
      <xdr:row>39</xdr:row>
      <xdr:rowOff>0</xdr:rowOff>
    </xdr:to>
    <xdr:sp macro="" textlink="">
      <xdr:nvSpPr>
        <xdr:cNvPr id="4" name="Line 23">
          <a:extLst>
            <a:ext uri="{FF2B5EF4-FFF2-40B4-BE49-F238E27FC236}">
              <a16:creationId xmlns:a16="http://schemas.microsoft.com/office/drawing/2014/main" id="{00000000-0008-0000-0800-000004000000}"/>
            </a:ext>
          </a:extLst>
        </xdr:cNvPr>
        <xdr:cNvSpPr>
          <a:spLocks noChangeShapeType="1"/>
        </xdr:cNvSpPr>
      </xdr:nvSpPr>
      <xdr:spPr bwMode="auto">
        <a:xfrm>
          <a:off x="247650" y="2286000"/>
          <a:ext cx="6640275" cy="0"/>
        </a:xfrm>
        <a:prstGeom prst="line">
          <a:avLst/>
        </a:prstGeom>
        <a:noFill/>
        <a:ln w="9525">
          <a:solidFill>
            <a:srgbClr val="000000"/>
          </a:solidFill>
          <a:round/>
          <a:headEnd/>
          <a:tailEnd/>
        </a:ln>
      </xdr:spPr>
    </xdr:sp>
    <xdr:clientData/>
  </xdr:twoCellAnchor>
  <xdr:twoCellAnchor>
    <xdr:from>
      <xdr:col>1</xdr:col>
      <xdr:colOff>95250</xdr:colOff>
      <xdr:row>28</xdr:row>
      <xdr:rowOff>0</xdr:rowOff>
    </xdr:from>
    <xdr:to>
      <xdr:col>45</xdr:col>
      <xdr:colOff>1350</xdr:colOff>
      <xdr:row>28</xdr:row>
      <xdr:rowOff>0</xdr:rowOff>
    </xdr:to>
    <xdr:sp macro="" textlink="">
      <xdr:nvSpPr>
        <xdr:cNvPr id="5" name="Line 24">
          <a:extLst>
            <a:ext uri="{FF2B5EF4-FFF2-40B4-BE49-F238E27FC236}">
              <a16:creationId xmlns:a16="http://schemas.microsoft.com/office/drawing/2014/main" id="{00000000-0008-0000-0800-000005000000}"/>
            </a:ext>
          </a:extLst>
        </xdr:cNvPr>
        <xdr:cNvSpPr>
          <a:spLocks noChangeShapeType="1"/>
        </xdr:cNvSpPr>
      </xdr:nvSpPr>
      <xdr:spPr bwMode="auto">
        <a:xfrm>
          <a:off x="247650" y="1371600"/>
          <a:ext cx="6640275" cy="0"/>
        </a:xfrm>
        <a:prstGeom prst="line">
          <a:avLst/>
        </a:prstGeom>
        <a:noFill/>
        <a:ln w="9525">
          <a:solidFill>
            <a:srgbClr val="000000"/>
          </a:solidFill>
          <a:round/>
          <a:headEnd/>
          <a:tailEnd/>
        </a:ln>
      </xdr:spPr>
    </xdr:sp>
    <xdr:clientData/>
  </xdr:twoCellAnchor>
  <xdr:twoCellAnchor>
    <xdr:from>
      <xdr:col>1</xdr:col>
      <xdr:colOff>95250</xdr:colOff>
      <xdr:row>200</xdr:row>
      <xdr:rowOff>0</xdr:rowOff>
    </xdr:from>
    <xdr:to>
      <xdr:col>45</xdr:col>
      <xdr:colOff>0</xdr:colOff>
      <xdr:row>200</xdr:row>
      <xdr:rowOff>0</xdr:rowOff>
    </xdr:to>
    <xdr:sp macro="" textlink="">
      <xdr:nvSpPr>
        <xdr:cNvPr id="6" name="Line 147">
          <a:extLst>
            <a:ext uri="{FF2B5EF4-FFF2-40B4-BE49-F238E27FC236}">
              <a16:creationId xmlns:a16="http://schemas.microsoft.com/office/drawing/2014/main" id="{00000000-0008-0000-0800-000006000000}"/>
            </a:ext>
          </a:extLst>
        </xdr:cNvPr>
        <xdr:cNvSpPr>
          <a:spLocks noChangeShapeType="1"/>
        </xdr:cNvSpPr>
      </xdr:nvSpPr>
      <xdr:spPr bwMode="auto">
        <a:xfrm>
          <a:off x="247650" y="11401425"/>
          <a:ext cx="6638925" cy="0"/>
        </a:xfrm>
        <a:prstGeom prst="line">
          <a:avLst/>
        </a:prstGeom>
        <a:noFill/>
        <a:ln w="9525">
          <a:solidFill>
            <a:srgbClr val="000000"/>
          </a:solidFill>
          <a:round/>
          <a:headEnd/>
          <a:tailEnd/>
        </a:ln>
      </xdr:spPr>
    </xdr:sp>
    <xdr:clientData/>
  </xdr:twoCellAnchor>
  <xdr:twoCellAnchor>
    <xdr:from>
      <xdr:col>1</xdr:col>
      <xdr:colOff>95250</xdr:colOff>
      <xdr:row>221</xdr:row>
      <xdr:rowOff>0</xdr:rowOff>
    </xdr:from>
    <xdr:to>
      <xdr:col>45</xdr:col>
      <xdr:colOff>0</xdr:colOff>
      <xdr:row>221</xdr:row>
      <xdr:rowOff>0</xdr:rowOff>
    </xdr:to>
    <xdr:sp macro="" textlink="">
      <xdr:nvSpPr>
        <xdr:cNvPr id="7" name="Line 148">
          <a:extLst>
            <a:ext uri="{FF2B5EF4-FFF2-40B4-BE49-F238E27FC236}">
              <a16:creationId xmlns:a16="http://schemas.microsoft.com/office/drawing/2014/main" id="{00000000-0008-0000-0800-000007000000}"/>
            </a:ext>
          </a:extLst>
        </xdr:cNvPr>
        <xdr:cNvSpPr>
          <a:spLocks noChangeShapeType="1"/>
        </xdr:cNvSpPr>
      </xdr:nvSpPr>
      <xdr:spPr bwMode="auto">
        <a:xfrm>
          <a:off x="247650" y="13430250"/>
          <a:ext cx="6638925" cy="0"/>
        </a:xfrm>
        <a:prstGeom prst="line">
          <a:avLst/>
        </a:prstGeom>
        <a:noFill/>
        <a:ln w="9525">
          <a:solidFill>
            <a:srgbClr val="000000"/>
          </a:solidFill>
          <a:round/>
          <a:headEnd/>
          <a:tailEnd/>
        </a:ln>
      </xdr:spPr>
    </xdr:sp>
    <xdr:clientData/>
  </xdr:twoCellAnchor>
  <xdr:twoCellAnchor>
    <xdr:from>
      <xdr:col>1</xdr:col>
      <xdr:colOff>95250</xdr:colOff>
      <xdr:row>253</xdr:row>
      <xdr:rowOff>0</xdr:rowOff>
    </xdr:from>
    <xdr:to>
      <xdr:col>45</xdr:col>
      <xdr:colOff>1350</xdr:colOff>
      <xdr:row>253</xdr:row>
      <xdr:rowOff>0</xdr:rowOff>
    </xdr:to>
    <xdr:sp macro="" textlink="">
      <xdr:nvSpPr>
        <xdr:cNvPr id="8" name="Line 151">
          <a:extLst>
            <a:ext uri="{FF2B5EF4-FFF2-40B4-BE49-F238E27FC236}">
              <a16:creationId xmlns:a16="http://schemas.microsoft.com/office/drawing/2014/main" id="{00000000-0008-0000-0800-000008000000}"/>
            </a:ext>
          </a:extLst>
        </xdr:cNvPr>
        <xdr:cNvSpPr>
          <a:spLocks noChangeShapeType="1"/>
        </xdr:cNvSpPr>
      </xdr:nvSpPr>
      <xdr:spPr bwMode="auto">
        <a:xfrm>
          <a:off x="247650" y="16630650"/>
          <a:ext cx="6640275" cy="0"/>
        </a:xfrm>
        <a:prstGeom prst="line">
          <a:avLst/>
        </a:prstGeom>
        <a:noFill/>
        <a:ln w="9525">
          <a:solidFill>
            <a:srgbClr val="000000"/>
          </a:solidFill>
          <a:round/>
          <a:headEnd/>
          <a:tailEnd/>
        </a:ln>
      </xdr:spPr>
    </xdr:sp>
    <xdr:clientData/>
  </xdr:twoCellAnchor>
  <xdr:twoCellAnchor>
    <xdr:from>
      <xdr:col>1</xdr:col>
      <xdr:colOff>95250</xdr:colOff>
      <xdr:row>264</xdr:row>
      <xdr:rowOff>0</xdr:rowOff>
    </xdr:from>
    <xdr:to>
      <xdr:col>45</xdr:col>
      <xdr:colOff>1350</xdr:colOff>
      <xdr:row>264</xdr:row>
      <xdr:rowOff>0</xdr:rowOff>
    </xdr:to>
    <xdr:sp macro="" textlink="">
      <xdr:nvSpPr>
        <xdr:cNvPr id="9" name="Line 1001">
          <a:extLst>
            <a:ext uri="{FF2B5EF4-FFF2-40B4-BE49-F238E27FC236}">
              <a16:creationId xmlns:a16="http://schemas.microsoft.com/office/drawing/2014/main" id="{00000000-0008-0000-0800-000009000000}"/>
            </a:ext>
          </a:extLst>
        </xdr:cNvPr>
        <xdr:cNvSpPr>
          <a:spLocks noChangeShapeType="1"/>
        </xdr:cNvSpPr>
      </xdr:nvSpPr>
      <xdr:spPr bwMode="auto">
        <a:xfrm>
          <a:off x="247650" y="17402175"/>
          <a:ext cx="6640275" cy="0"/>
        </a:xfrm>
        <a:prstGeom prst="line">
          <a:avLst/>
        </a:prstGeom>
        <a:noFill/>
        <a:ln w="9525">
          <a:solidFill>
            <a:srgbClr val="000000"/>
          </a:solidFill>
          <a:round/>
          <a:headEnd/>
          <a:tailEnd/>
        </a:ln>
      </xdr:spPr>
    </xdr:sp>
    <xdr:clientData/>
  </xdr:twoCellAnchor>
  <xdr:twoCellAnchor>
    <xdr:from>
      <xdr:col>1</xdr:col>
      <xdr:colOff>123824</xdr:colOff>
      <xdr:row>273</xdr:row>
      <xdr:rowOff>38100</xdr:rowOff>
    </xdr:from>
    <xdr:to>
      <xdr:col>45</xdr:col>
      <xdr:colOff>1349</xdr:colOff>
      <xdr:row>273</xdr:row>
      <xdr:rowOff>38100</xdr:rowOff>
    </xdr:to>
    <xdr:sp macro="" textlink="">
      <xdr:nvSpPr>
        <xdr:cNvPr id="10" name="Line 1002">
          <a:extLst>
            <a:ext uri="{FF2B5EF4-FFF2-40B4-BE49-F238E27FC236}">
              <a16:creationId xmlns:a16="http://schemas.microsoft.com/office/drawing/2014/main" id="{00000000-0008-0000-0800-00000A000000}"/>
            </a:ext>
          </a:extLst>
        </xdr:cNvPr>
        <xdr:cNvSpPr>
          <a:spLocks noChangeShapeType="1"/>
        </xdr:cNvSpPr>
      </xdr:nvSpPr>
      <xdr:spPr bwMode="auto">
        <a:xfrm>
          <a:off x="276224" y="18316575"/>
          <a:ext cx="6611700" cy="0"/>
        </a:xfrm>
        <a:prstGeom prst="line">
          <a:avLst/>
        </a:prstGeom>
        <a:noFill/>
        <a:ln w="9525">
          <a:solidFill>
            <a:srgbClr val="000000"/>
          </a:solidFill>
          <a:round/>
          <a:headEnd/>
          <a:tailEnd/>
        </a:ln>
      </xdr:spPr>
    </xdr:sp>
    <xdr:clientData/>
  </xdr:twoCellAnchor>
  <xdr:twoCellAnchor>
    <xdr:from>
      <xdr:col>1</xdr:col>
      <xdr:colOff>95248</xdr:colOff>
      <xdr:row>302</xdr:row>
      <xdr:rowOff>38100</xdr:rowOff>
    </xdr:from>
    <xdr:to>
      <xdr:col>44</xdr:col>
      <xdr:colOff>134698</xdr:colOff>
      <xdr:row>302</xdr:row>
      <xdr:rowOff>38100</xdr:rowOff>
    </xdr:to>
    <xdr:sp macro="" textlink="">
      <xdr:nvSpPr>
        <xdr:cNvPr id="11" name="Line 1021">
          <a:extLst>
            <a:ext uri="{FF2B5EF4-FFF2-40B4-BE49-F238E27FC236}">
              <a16:creationId xmlns:a16="http://schemas.microsoft.com/office/drawing/2014/main" id="{00000000-0008-0000-0800-00000B000000}"/>
            </a:ext>
          </a:extLst>
        </xdr:cNvPr>
        <xdr:cNvSpPr>
          <a:spLocks noChangeShapeType="1"/>
        </xdr:cNvSpPr>
      </xdr:nvSpPr>
      <xdr:spPr bwMode="auto">
        <a:xfrm>
          <a:off x="247648" y="20212050"/>
          <a:ext cx="6621225" cy="0"/>
        </a:xfrm>
        <a:prstGeom prst="line">
          <a:avLst/>
        </a:prstGeom>
        <a:noFill/>
        <a:ln w="9525">
          <a:solidFill>
            <a:srgbClr val="000000"/>
          </a:solidFill>
          <a:round/>
          <a:headEnd/>
          <a:tailEnd/>
        </a:ln>
      </xdr:spPr>
    </xdr:sp>
    <xdr:clientData/>
  </xdr:twoCellAnchor>
  <xdr:twoCellAnchor>
    <xdr:from>
      <xdr:col>1</xdr:col>
      <xdr:colOff>95250</xdr:colOff>
      <xdr:row>92</xdr:row>
      <xdr:rowOff>0</xdr:rowOff>
    </xdr:from>
    <xdr:to>
      <xdr:col>45</xdr:col>
      <xdr:colOff>1350</xdr:colOff>
      <xdr:row>92</xdr:row>
      <xdr:rowOff>0</xdr:rowOff>
    </xdr:to>
    <xdr:sp macro="" textlink="">
      <xdr:nvSpPr>
        <xdr:cNvPr id="13" name="Line 21">
          <a:extLst>
            <a:ext uri="{FF2B5EF4-FFF2-40B4-BE49-F238E27FC236}">
              <a16:creationId xmlns:a16="http://schemas.microsoft.com/office/drawing/2014/main" id="{00000000-0008-0000-0800-00000D000000}"/>
            </a:ext>
          </a:extLst>
        </xdr:cNvPr>
        <xdr:cNvSpPr>
          <a:spLocks noChangeShapeType="1"/>
        </xdr:cNvSpPr>
      </xdr:nvSpPr>
      <xdr:spPr bwMode="auto">
        <a:xfrm>
          <a:off x="247650" y="7772400"/>
          <a:ext cx="6640275" cy="0"/>
        </a:xfrm>
        <a:prstGeom prst="line">
          <a:avLst/>
        </a:prstGeom>
        <a:noFill/>
        <a:ln w="9525">
          <a:solidFill>
            <a:srgbClr val="000000"/>
          </a:solidFill>
          <a:round/>
          <a:headEnd/>
          <a:tailEnd/>
        </a:ln>
      </xdr:spPr>
    </xdr:sp>
    <xdr:clientData/>
  </xdr:twoCellAnchor>
  <xdr:twoCellAnchor>
    <xdr:from>
      <xdr:col>1</xdr:col>
      <xdr:colOff>95250</xdr:colOff>
      <xdr:row>209</xdr:row>
      <xdr:rowOff>0</xdr:rowOff>
    </xdr:from>
    <xdr:to>
      <xdr:col>45</xdr:col>
      <xdr:colOff>0</xdr:colOff>
      <xdr:row>209</xdr:row>
      <xdr:rowOff>0</xdr:rowOff>
    </xdr:to>
    <xdr:sp macro="" textlink="">
      <xdr:nvSpPr>
        <xdr:cNvPr id="14" name="Line 148">
          <a:extLst>
            <a:ext uri="{FF2B5EF4-FFF2-40B4-BE49-F238E27FC236}">
              <a16:creationId xmlns:a16="http://schemas.microsoft.com/office/drawing/2014/main" id="{00000000-0008-0000-0800-00000E000000}"/>
            </a:ext>
          </a:extLst>
        </xdr:cNvPr>
        <xdr:cNvSpPr>
          <a:spLocks noChangeShapeType="1"/>
        </xdr:cNvSpPr>
      </xdr:nvSpPr>
      <xdr:spPr bwMode="auto">
        <a:xfrm>
          <a:off x="247650" y="12172950"/>
          <a:ext cx="6638925" cy="0"/>
        </a:xfrm>
        <a:prstGeom prst="line">
          <a:avLst/>
        </a:prstGeom>
        <a:noFill/>
        <a:ln w="9525">
          <a:solidFill>
            <a:srgbClr val="000000"/>
          </a:solidFill>
          <a:round/>
          <a:headEnd/>
          <a:tailEnd/>
        </a:ln>
      </xdr:spPr>
    </xdr:sp>
    <xdr:clientData/>
  </xdr:twoCellAnchor>
  <xdr:twoCellAnchor>
    <xdr:from>
      <xdr:col>1</xdr:col>
      <xdr:colOff>133348</xdr:colOff>
      <xdr:row>103</xdr:row>
      <xdr:rowOff>38100</xdr:rowOff>
    </xdr:from>
    <xdr:to>
      <xdr:col>45</xdr:col>
      <xdr:colOff>10873</xdr:colOff>
      <xdr:row>103</xdr:row>
      <xdr:rowOff>38100</xdr:rowOff>
    </xdr:to>
    <xdr:sp macro="" textlink="">
      <xdr:nvSpPr>
        <xdr:cNvPr id="15" name="Line 147">
          <a:extLst>
            <a:ext uri="{FF2B5EF4-FFF2-40B4-BE49-F238E27FC236}">
              <a16:creationId xmlns:a16="http://schemas.microsoft.com/office/drawing/2014/main" id="{00000000-0008-0000-0800-00000F000000}"/>
            </a:ext>
          </a:extLst>
        </xdr:cNvPr>
        <xdr:cNvSpPr>
          <a:spLocks noChangeShapeType="1"/>
        </xdr:cNvSpPr>
      </xdr:nvSpPr>
      <xdr:spPr bwMode="auto">
        <a:xfrm>
          <a:off x="285748" y="8648700"/>
          <a:ext cx="6611700" cy="0"/>
        </a:xfrm>
        <a:prstGeom prst="line">
          <a:avLst/>
        </a:prstGeom>
        <a:noFill/>
        <a:ln w="9525">
          <a:solidFill>
            <a:srgbClr val="000000"/>
          </a:solidFill>
          <a:round/>
          <a:headEnd/>
          <a:tailEnd/>
        </a:ln>
      </xdr:spPr>
    </xdr:sp>
    <xdr:clientData/>
  </xdr:twoCellAnchor>
  <xdr:twoCellAnchor>
    <xdr:from>
      <xdr:col>1</xdr:col>
      <xdr:colOff>95250</xdr:colOff>
      <xdr:row>112</xdr:row>
      <xdr:rowOff>0</xdr:rowOff>
    </xdr:from>
    <xdr:to>
      <xdr:col>44</xdr:col>
      <xdr:colOff>134700</xdr:colOff>
      <xdr:row>112</xdr:row>
      <xdr:rowOff>0</xdr:rowOff>
    </xdr:to>
    <xdr:sp macro="" textlink="">
      <xdr:nvSpPr>
        <xdr:cNvPr id="16" name="Line 37">
          <a:extLst>
            <a:ext uri="{FF2B5EF4-FFF2-40B4-BE49-F238E27FC236}">
              <a16:creationId xmlns:a16="http://schemas.microsoft.com/office/drawing/2014/main" id="{00000000-0008-0000-0800-000010000000}"/>
            </a:ext>
          </a:extLst>
        </xdr:cNvPr>
        <xdr:cNvSpPr>
          <a:spLocks noChangeShapeType="1"/>
        </xdr:cNvSpPr>
      </xdr:nvSpPr>
      <xdr:spPr bwMode="auto">
        <a:xfrm>
          <a:off x="247650" y="9791700"/>
          <a:ext cx="6621225" cy="0"/>
        </a:xfrm>
        <a:prstGeom prst="line">
          <a:avLst/>
        </a:prstGeom>
        <a:noFill/>
        <a:ln w="9525">
          <a:solidFill>
            <a:srgbClr val="000000"/>
          </a:solidFill>
          <a:round/>
          <a:headEnd/>
          <a:tailEnd/>
        </a:ln>
      </xdr:spPr>
    </xdr:sp>
    <xdr:clientData/>
  </xdr:twoCellAnchor>
  <xdr:twoCellAnchor>
    <xdr:from>
      <xdr:col>1</xdr:col>
      <xdr:colOff>95250</xdr:colOff>
      <xdr:row>120</xdr:row>
      <xdr:rowOff>0</xdr:rowOff>
    </xdr:from>
    <xdr:to>
      <xdr:col>44</xdr:col>
      <xdr:colOff>134700</xdr:colOff>
      <xdr:row>120</xdr:row>
      <xdr:rowOff>0</xdr:rowOff>
    </xdr:to>
    <xdr:sp macro="" textlink="">
      <xdr:nvSpPr>
        <xdr:cNvPr id="17" name="Line 37">
          <a:extLst>
            <a:ext uri="{FF2B5EF4-FFF2-40B4-BE49-F238E27FC236}">
              <a16:creationId xmlns:a16="http://schemas.microsoft.com/office/drawing/2014/main" id="{00000000-0008-0000-0800-000011000000}"/>
            </a:ext>
          </a:extLst>
        </xdr:cNvPr>
        <xdr:cNvSpPr>
          <a:spLocks noChangeShapeType="1"/>
        </xdr:cNvSpPr>
      </xdr:nvSpPr>
      <xdr:spPr bwMode="auto">
        <a:xfrm>
          <a:off x="247650" y="10934700"/>
          <a:ext cx="6621225" cy="0"/>
        </a:xfrm>
        <a:prstGeom prst="line">
          <a:avLst/>
        </a:prstGeom>
        <a:noFill/>
        <a:ln w="9525">
          <a:solidFill>
            <a:srgbClr val="000000"/>
          </a:solidFill>
          <a:round/>
          <a:headEnd/>
          <a:tailEnd/>
        </a:ln>
      </xdr:spPr>
    </xdr:sp>
    <xdr:clientData/>
  </xdr:twoCellAnchor>
  <xdr:twoCellAnchor>
    <xdr:from>
      <xdr:col>1</xdr:col>
      <xdr:colOff>95248</xdr:colOff>
      <xdr:row>321</xdr:row>
      <xdr:rowOff>38100</xdr:rowOff>
    </xdr:from>
    <xdr:to>
      <xdr:col>44</xdr:col>
      <xdr:colOff>134698</xdr:colOff>
      <xdr:row>321</xdr:row>
      <xdr:rowOff>38100</xdr:rowOff>
    </xdr:to>
    <xdr:sp macro="" textlink="">
      <xdr:nvSpPr>
        <xdr:cNvPr id="19" name="Line 147">
          <a:extLst>
            <a:ext uri="{FF2B5EF4-FFF2-40B4-BE49-F238E27FC236}">
              <a16:creationId xmlns:a16="http://schemas.microsoft.com/office/drawing/2014/main" id="{00000000-0008-0000-0800-000013000000}"/>
            </a:ext>
          </a:extLst>
        </xdr:cNvPr>
        <xdr:cNvSpPr>
          <a:spLocks noChangeShapeType="1"/>
        </xdr:cNvSpPr>
      </xdr:nvSpPr>
      <xdr:spPr bwMode="auto">
        <a:xfrm>
          <a:off x="257173" y="22926675"/>
          <a:ext cx="7030800" cy="0"/>
        </a:xfrm>
        <a:prstGeom prst="line">
          <a:avLst/>
        </a:prstGeom>
        <a:noFill/>
        <a:ln w="9525">
          <a:solidFill>
            <a:srgbClr val="000000"/>
          </a:solidFill>
          <a:round/>
          <a:headEnd/>
          <a:tailEnd/>
        </a:ln>
      </xdr:spPr>
    </xdr:sp>
    <xdr:clientData/>
  </xdr:twoCellAnchor>
  <xdr:twoCellAnchor>
    <xdr:from>
      <xdr:col>1</xdr:col>
      <xdr:colOff>19048</xdr:colOff>
      <xdr:row>130</xdr:row>
      <xdr:rowOff>9525</xdr:rowOff>
    </xdr:from>
    <xdr:to>
      <xdr:col>44</xdr:col>
      <xdr:colOff>58498</xdr:colOff>
      <xdr:row>130</xdr:row>
      <xdr:rowOff>9525</xdr:rowOff>
    </xdr:to>
    <xdr:sp macro="" textlink="">
      <xdr:nvSpPr>
        <xdr:cNvPr id="20" name="Line 962">
          <a:extLst>
            <a:ext uri="{FF2B5EF4-FFF2-40B4-BE49-F238E27FC236}">
              <a16:creationId xmlns:a16="http://schemas.microsoft.com/office/drawing/2014/main" id="{00000000-0008-0000-0800-000014000000}"/>
            </a:ext>
          </a:extLst>
        </xdr:cNvPr>
        <xdr:cNvSpPr>
          <a:spLocks noChangeShapeType="1"/>
        </xdr:cNvSpPr>
      </xdr:nvSpPr>
      <xdr:spPr bwMode="auto">
        <a:xfrm>
          <a:off x="180973" y="11430000"/>
          <a:ext cx="7030800" cy="0"/>
        </a:xfrm>
        <a:prstGeom prst="line">
          <a:avLst/>
        </a:prstGeom>
        <a:noFill/>
        <a:ln w="9525">
          <a:solidFill>
            <a:srgbClr val="000000"/>
          </a:solidFill>
          <a:round/>
          <a:headEnd/>
          <a:tailEnd/>
        </a:ln>
      </xdr:spPr>
    </xdr:sp>
    <xdr:clientData/>
  </xdr:twoCellAnchor>
  <xdr:twoCellAnchor>
    <xdr:from>
      <xdr:col>1</xdr:col>
      <xdr:colOff>19048</xdr:colOff>
      <xdr:row>167</xdr:row>
      <xdr:rowOff>9525</xdr:rowOff>
    </xdr:from>
    <xdr:to>
      <xdr:col>44</xdr:col>
      <xdr:colOff>58498</xdr:colOff>
      <xdr:row>167</xdr:row>
      <xdr:rowOff>9525</xdr:rowOff>
    </xdr:to>
    <xdr:sp macro="" textlink="">
      <xdr:nvSpPr>
        <xdr:cNvPr id="21" name="Line 962">
          <a:extLst>
            <a:ext uri="{FF2B5EF4-FFF2-40B4-BE49-F238E27FC236}">
              <a16:creationId xmlns:a16="http://schemas.microsoft.com/office/drawing/2014/main" id="{00000000-0008-0000-0800-000015000000}"/>
            </a:ext>
          </a:extLst>
        </xdr:cNvPr>
        <xdr:cNvSpPr>
          <a:spLocks noChangeShapeType="1"/>
        </xdr:cNvSpPr>
      </xdr:nvSpPr>
      <xdr:spPr bwMode="auto">
        <a:xfrm>
          <a:off x="180973" y="11430000"/>
          <a:ext cx="7030800" cy="0"/>
        </a:xfrm>
        <a:prstGeom prst="line">
          <a:avLst/>
        </a:prstGeom>
        <a:noFill/>
        <a:ln w="9525">
          <a:solidFill>
            <a:srgbClr val="000000"/>
          </a:solidFill>
          <a:round/>
          <a:headEnd/>
          <a:tailEnd/>
        </a:ln>
      </xdr:spPr>
    </xdr:sp>
    <xdr:clientData/>
  </xdr:twoCellAnchor>
  <xdr:twoCellAnchor>
    <xdr:from>
      <xdr:col>1</xdr:col>
      <xdr:colOff>19048</xdr:colOff>
      <xdr:row>184</xdr:row>
      <xdr:rowOff>9525</xdr:rowOff>
    </xdr:from>
    <xdr:to>
      <xdr:col>44</xdr:col>
      <xdr:colOff>58498</xdr:colOff>
      <xdr:row>184</xdr:row>
      <xdr:rowOff>9525</xdr:rowOff>
    </xdr:to>
    <xdr:sp macro="" textlink="">
      <xdr:nvSpPr>
        <xdr:cNvPr id="22" name="Line 962">
          <a:extLst>
            <a:ext uri="{FF2B5EF4-FFF2-40B4-BE49-F238E27FC236}">
              <a16:creationId xmlns:a16="http://schemas.microsoft.com/office/drawing/2014/main" id="{00000000-0008-0000-0800-000016000000}"/>
            </a:ext>
          </a:extLst>
        </xdr:cNvPr>
        <xdr:cNvSpPr>
          <a:spLocks noChangeShapeType="1"/>
        </xdr:cNvSpPr>
      </xdr:nvSpPr>
      <xdr:spPr bwMode="auto">
        <a:xfrm>
          <a:off x="180973" y="15325725"/>
          <a:ext cx="7030800" cy="0"/>
        </a:xfrm>
        <a:prstGeom prst="line">
          <a:avLst/>
        </a:prstGeom>
        <a:noFill/>
        <a:ln w="9525">
          <a:solidFill>
            <a:srgbClr val="000000"/>
          </a:solidFill>
          <a:round/>
          <a:headEnd/>
          <a:tailEnd/>
        </a:ln>
      </xdr:spPr>
    </xdr:sp>
    <xdr:clientData/>
  </xdr:twoCellAnchor>
  <xdr:twoCellAnchor>
    <xdr:from>
      <xdr:col>1</xdr:col>
      <xdr:colOff>95248</xdr:colOff>
      <xdr:row>313</xdr:row>
      <xdr:rowOff>38100</xdr:rowOff>
    </xdr:from>
    <xdr:to>
      <xdr:col>44</xdr:col>
      <xdr:colOff>134698</xdr:colOff>
      <xdr:row>313</xdr:row>
      <xdr:rowOff>38100</xdr:rowOff>
    </xdr:to>
    <xdr:sp macro="" textlink="">
      <xdr:nvSpPr>
        <xdr:cNvPr id="23" name="Line 1035">
          <a:extLst>
            <a:ext uri="{FF2B5EF4-FFF2-40B4-BE49-F238E27FC236}">
              <a16:creationId xmlns:a16="http://schemas.microsoft.com/office/drawing/2014/main" id="{00000000-0008-0000-0800-000017000000}"/>
            </a:ext>
          </a:extLst>
        </xdr:cNvPr>
        <xdr:cNvSpPr>
          <a:spLocks noChangeShapeType="1"/>
        </xdr:cNvSpPr>
      </xdr:nvSpPr>
      <xdr:spPr bwMode="auto">
        <a:xfrm>
          <a:off x="256440" y="30122446"/>
          <a:ext cx="7000027" cy="0"/>
        </a:xfrm>
        <a:prstGeom prst="line">
          <a:avLst/>
        </a:prstGeom>
        <a:noFill/>
        <a:ln w="9525">
          <a:solidFill>
            <a:srgbClr val="000000"/>
          </a:solidFill>
          <a:round/>
          <a:headEnd/>
          <a:tailEnd/>
        </a:ln>
      </xdr:spPr>
    </xdr:sp>
    <xdr:clientData/>
  </xdr:twoCellAnchor>
  <xdr:twoCellAnchor>
    <xdr:from>
      <xdr:col>0</xdr:col>
      <xdr:colOff>153959</xdr:colOff>
      <xdr:row>157</xdr:row>
      <xdr:rowOff>5846</xdr:rowOff>
    </xdr:from>
    <xdr:to>
      <xdr:col>44</xdr:col>
      <xdr:colOff>36527</xdr:colOff>
      <xdr:row>157</xdr:row>
      <xdr:rowOff>5846</xdr:rowOff>
    </xdr:to>
    <xdr:sp macro="" textlink="">
      <xdr:nvSpPr>
        <xdr:cNvPr id="24" name="Line 962">
          <a:extLst>
            <a:ext uri="{FF2B5EF4-FFF2-40B4-BE49-F238E27FC236}">
              <a16:creationId xmlns:a16="http://schemas.microsoft.com/office/drawing/2014/main" id="{00000000-0008-0000-0800-000018000000}"/>
            </a:ext>
          </a:extLst>
        </xdr:cNvPr>
        <xdr:cNvSpPr>
          <a:spLocks noChangeShapeType="1"/>
        </xdr:cNvSpPr>
      </xdr:nvSpPr>
      <xdr:spPr bwMode="auto">
        <a:xfrm>
          <a:off x="153959" y="15807821"/>
          <a:ext cx="7035843" cy="0"/>
        </a:xfrm>
        <a:prstGeom prst="line">
          <a:avLst/>
        </a:prstGeom>
        <a:no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1512795</xdr:colOff>
      <xdr:row>1</xdr:row>
      <xdr:rowOff>67235</xdr:rowOff>
    </xdr:from>
    <xdr:to>
      <xdr:col>27</xdr:col>
      <xdr:colOff>179295</xdr:colOff>
      <xdr:row>6</xdr:row>
      <xdr:rowOff>67236</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13021236" y="369794"/>
          <a:ext cx="4964206" cy="1781736"/>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最終</a:t>
          </a:r>
          <a:r>
            <a:rPr kumimoji="1" lang="en-US" altLang="ja-JP" sz="1100"/>
            <a:t>】</a:t>
          </a:r>
        </a:p>
        <a:p>
          <a:pPr algn="l"/>
          <a:r>
            <a:rPr kumimoji="1" lang="ja-JP" altLang="en-US" sz="1100"/>
            <a:t>　絶対参照に</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2_22" displayName="テーブル2_22" ref="AA2:AA22" totalsRowShown="0" headerRowDxfId="455" dataDxfId="454">
  <tableColumns count="1">
    <tableColumn id="1" xr3:uid="{00000000-0010-0000-0000-000001000000}" name="用途大分類" dataDxfId="453"/>
  </tableColumns>
  <tableStyleInfo name="TableStyleMedium7"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ity.kyoto.lg.jp/tokei/page/0000301596.html" TargetMode="External"/><Relationship Id="rId1" Type="http://schemas.openxmlformats.org/officeDocument/2006/relationships/hyperlink" Target="https://www.city.kyoto.lg.jp/tokei/page/0000151046.html"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2.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DA203-86A5-44F0-95C7-9019A30F96F4}">
  <sheetPr codeName="Sheet9">
    <tabColor theme="9" tint="-0.499984740745262"/>
    <pageSetUpPr fitToPage="1"/>
  </sheetPr>
  <dimension ref="A1:Q83"/>
  <sheetViews>
    <sheetView tabSelected="1" zoomScale="85" zoomScaleNormal="85" workbookViewId="0"/>
  </sheetViews>
  <sheetFormatPr defaultColWidth="9" defaultRowHeight="13.5" x14ac:dyDescent="0.15"/>
  <cols>
    <col min="1" max="4" width="2.25" style="470" customWidth="1"/>
    <col min="5" max="5" width="15.625" style="470" customWidth="1"/>
    <col min="6" max="6" width="28.625" style="470" customWidth="1"/>
    <col min="7" max="9" width="9.875" style="470" customWidth="1"/>
    <col min="10" max="10" width="112" style="470" bestFit="1" customWidth="1"/>
    <col min="11" max="11" width="29" style="470" customWidth="1"/>
    <col min="12" max="12" width="32.125" style="470" customWidth="1"/>
    <col min="13" max="13" width="2.25" style="470" customWidth="1"/>
    <col min="14" max="16" width="9" style="470" hidden="1" customWidth="1"/>
    <col min="17" max="16384" width="9" style="470"/>
  </cols>
  <sheetData>
    <row r="1" spans="1:16" ht="21" x14ac:dyDescent="0.15">
      <c r="A1" s="469" t="s">
        <v>2103</v>
      </c>
      <c r="B1" s="469"/>
      <c r="C1" s="469"/>
      <c r="D1" s="469"/>
      <c r="M1" s="1014" t="str">
        <f>チェックシート!H3</f>
        <v>Kyoto City（R7.7） ver.120</v>
      </c>
    </row>
    <row r="2" spans="1:16" x14ac:dyDescent="0.15">
      <c r="N2" s="471" t="s">
        <v>2094</v>
      </c>
      <c r="O2" s="471"/>
      <c r="P2" s="471"/>
    </row>
    <row r="3" spans="1:16" s="472" customFormat="1" ht="15.75" x14ac:dyDescent="0.15">
      <c r="B3" s="473" t="s">
        <v>2136</v>
      </c>
      <c r="C3" s="473"/>
      <c r="D3" s="473"/>
      <c r="E3" s="474"/>
      <c r="F3" s="474"/>
      <c r="G3" s="474"/>
      <c r="H3" s="474"/>
      <c r="I3" s="474"/>
      <c r="J3" s="474"/>
      <c r="K3" s="474"/>
      <c r="L3" s="474"/>
      <c r="M3" s="474"/>
    </row>
    <row r="4" spans="1:16" s="472" customFormat="1" ht="15.75" x14ac:dyDescent="0.15">
      <c r="B4" s="475"/>
      <c r="C4" s="475"/>
      <c r="D4" s="473"/>
      <c r="E4" s="474"/>
      <c r="F4" s="474"/>
      <c r="G4" s="474"/>
      <c r="H4" s="474"/>
      <c r="I4" s="474"/>
      <c r="J4" s="474"/>
      <c r="K4" s="474"/>
      <c r="L4" s="474"/>
      <c r="M4" s="474"/>
    </row>
    <row r="5" spans="1:16" s="472" customFormat="1" ht="15.75" x14ac:dyDescent="0.15">
      <c r="B5" s="476" t="s">
        <v>2109</v>
      </c>
      <c r="C5" s="475" t="s">
        <v>3387</v>
      </c>
      <c r="D5" s="474"/>
      <c r="E5" s="474"/>
      <c r="F5" s="474"/>
      <c r="G5" s="474"/>
      <c r="H5" s="474"/>
      <c r="I5" s="474"/>
      <c r="J5" s="474"/>
      <c r="K5" s="474"/>
      <c r="L5" s="474"/>
      <c r="M5" s="474"/>
    </row>
    <row r="6" spans="1:16" s="472" customFormat="1" ht="15.75" x14ac:dyDescent="0.15">
      <c r="B6" s="476"/>
      <c r="C6" s="475"/>
      <c r="D6" s="2103" t="s">
        <v>2212</v>
      </c>
      <c r="E6" s="2103"/>
      <c r="F6" s="2103"/>
      <c r="G6" s="2103"/>
      <c r="H6" s="2103"/>
      <c r="I6" s="474"/>
      <c r="J6" s="474"/>
      <c r="K6" s="474"/>
      <c r="L6" s="474"/>
      <c r="M6" s="474"/>
    </row>
    <row r="7" spans="1:16" s="472" customFormat="1" ht="15.75" x14ac:dyDescent="0.15">
      <c r="B7" s="477" t="s">
        <v>2109</v>
      </c>
      <c r="C7" s="475" t="s">
        <v>2148</v>
      </c>
      <c r="D7" s="474"/>
      <c r="E7" s="474"/>
      <c r="F7" s="474"/>
      <c r="G7" s="474"/>
      <c r="H7" s="474"/>
      <c r="I7" s="474"/>
      <c r="J7" s="474"/>
      <c r="K7" s="474"/>
      <c r="L7" s="474"/>
      <c r="M7" s="474"/>
    </row>
    <row r="8" spans="1:16" s="472" customFormat="1" ht="15.75" x14ac:dyDescent="0.15">
      <c r="B8" s="476" t="s">
        <v>2109</v>
      </c>
      <c r="C8" s="475" t="s">
        <v>2143</v>
      </c>
      <c r="D8" s="474"/>
      <c r="E8" s="474"/>
      <c r="F8" s="474"/>
      <c r="G8" s="474"/>
      <c r="H8" s="474"/>
      <c r="I8" s="474"/>
      <c r="J8" s="474"/>
      <c r="K8" s="474"/>
      <c r="L8" s="474"/>
      <c r="M8" s="474"/>
    </row>
    <row r="9" spans="1:16" s="472" customFormat="1" ht="15.75" x14ac:dyDescent="0.15">
      <c r="B9" s="476"/>
      <c r="C9" s="475" t="s">
        <v>2110</v>
      </c>
      <c r="D9" s="474"/>
      <c r="E9" s="474"/>
      <c r="F9" s="474"/>
      <c r="G9" s="474"/>
      <c r="H9" s="474"/>
      <c r="I9" s="474"/>
      <c r="J9" s="474"/>
      <c r="K9" s="474"/>
      <c r="L9" s="474"/>
      <c r="M9" s="474"/>
    </row>
    <row r="10" spans="1:16" s="472" customFormat="1" ht="15.75" x14ac:dyDescent="0.15">
      <c r="B10" s="475"/>
      <c r="C10" s="475"/>
      <c r="D10" s="2109" t="s">
        <v>2111</v>
      </c>
      <c r="E10" s="2109"/>
      <c r="F10" s="478" t="s">
        <v>2112</v>
      </c>
      <c r="G10" s="479"/>
      <c r="H10" s="479"/>
      <c r="I10" s="480"/>
      <c r="J10" s="474"/>
      <c r="K10" s="474"/>
      <c r="L10" s="474"/>
      <c r="M10" s="474"/>
    </row>
    <row r="11" spans="1:16" s="472" customFormat="1" ht="15.75" x14ac:dyDescent="0.15">
      <c r="B11" s="475"/>
      <c r="C11" s="475"/>
      <c r="D11" s="2110" t="s">
        <v>2113</v>
      </c>
      <c r="E11" s="2110"/>
      <c r="F11" s="478" t="s">
        <v>2114</v>
      </c>
      <c r="G11" s="479"/>
      <c r="H11" s="479"/>
      <c r="I11" s="480"/>
      <c r="J11" s="474"/>
      <c r="K11" s="474"/>
      <c r="L11" s="474"/>
      <c r="M11" s="474"/>
    </row>
    <row r="12" spans="1:16" s="472" customFormat="1" ht="15.75" x14ac:dyDescent="0.15">
      <c r="B12" s="475"/>
      <c r="C12" s="475"/>
      <c r="D12" s="2111" t="s">
        <v>2115</v>
      </c>
      <c r="E12" s="2111"/>
      <c r="F12" s="478" t="s">
        <v>2116</v>
      </c>
      <c r="G12" s="479"/>
      <c r="H12" s="479"/>
      <c r="I12" s="480"/>
      <c r="J12" s="474"/>
      <c r="K12" s="474"/>
      <c r="L12" s="474"/>
      <c r="M12" s="474"/>
    </row>
    <row r="13" spans="1:16" s="472" customFormat="1" ht="15.75" x14ac:dyDescent="0.15">
      <c r="B13" s="477"/>
      <c r="C13" s="477"/>
      <c r="D13" s="2112" t="s">
        <v>2117</v>
      </c>
      <c r="E13" s="2112"/>
      <c r="F13" s="478" t="s">
        <v>2118</v>
      </c>
      <c r="G13" s="479"/>
      <c r="H13" s="479"/>
      <c r="I13" s="480"/>
      <c r="J13" s="474"/>
      <c r="K13" s="474"/>
      <c r="L13" s="474"/>
      <c r="M13" s="474"/>
    </row>
    <row r="14" spans="1:16" s="472" customFormat="1" ht="15.75" x14ac:dyDescent="0.15">
      <c r="B14" s="476" t="s">
        <v>2109</v>
      </c>
      <c r="C14" s="475" t="s">
        <v>2131</v>
      </c>
      <c r="D14" s="474"/>
      <c r="E14" s="474"/>
      <c r="F14" s="474"/>
      <c r="G14" s="474"/>
      <c r="H14" s="474"/>
      <c r="I14" s="474"/>
      <c r="J14" s="474"/>
      <c r="K14" s="474"/>
      <c r="L14" s="474"/>
      <c r="M14" s="474"/>
    </row>
    <row r="15" spans="1:16" s="472" customFormat="1" ht="15.75" x14ac:dyDescent="0.15">
      <c r="B15" s="475"/>
      <c r="C15" s="475" t="s">
        <v>2130</v>
      </c>
      <c r="D15" s="474"/>
      <c r="E15" s="474"/>
      <c r="F15" s="474"/>
      <c r="G15" s="474"/>
      <c r="H15" s="474"/>
      <c r="I15" s="474"/>
      <c r="J15" s="474"/>
      <c r="K15" s="474"/>
      <c r="L15" s="474"/>
      <c r="M15" s="474"/>
    </row>
    <row r="16" spans="1:16" s="472" customFormat="1" ht="15.75" x14ac:dyDescent="0.15">
      <c r="B16" s="476" t="s">
        <v>2109</v>
      </c>
      <c r="C16" s="475" t="s">
        <v>2119</v>
      </c>
      <c r="D16" s="474"/>
      <c r="E16" s="474"/>
      <c r="F16" s="474"/>
      <c r="G16" s="474"/>
      <c r="H16" s="474"/>
      <c r="I16" s="474"/>
      <c r="J16" s="474"/>
      <c r="K16" s="474"/>
      <c r="L16" s="474"/>
      <c r="M16" s="474"/>
    </row>
    <row r="17" spans="2:17" s="472" customFormat="1" ht="15.75" x14ac:dyDescent="0.15">
      <c r="B17" s="476" t="s">
        <v>2109</v>
      </c>
      <c r="C17" s="475" t="s">
        <v>2123</v>
      </c>
      <c r="D17" s="474"/>
      <c r="E17" s="474"/>
      <c r="F17" s="474"/>
      <c r="G17" s="474"/>
      <c r="H17" s="474"/>
      <c r="I17" s="474"/>
      <c r="J17" s="474"/>
      <c r="K17" s="474"/>
      <c r="L17" s="474"/>
      <c r="M17" s="474"/>
    </row>
    <row r="18" spans="2:17" s="472" customFormat="1" ht="15.75" x14ac:dyDescent="0.15">
      <c r="B18" s="476" t="s">
        <v>2109</v>
      </c>
      <c r="C18" s="475" t="s">
        <v>2128</v>
      </c>
      <c r="D18" s="474"/>
      <c r="E18" s="474"/>
      <c r="F18" s="474"/>
      <c r="G18" s="474"/>
      <c r="H18" s="474"/>
      <c r="I18" s="474"/>
      <c r="J18" s="474"/>
      <c r="K18" s="474"/>
      <c r="L18" s="474"/>
      <c r="M18" s="474"/>
    </row>
    <row r="19" spans="2:17" s="472" customFormat="1" ht="15.75" x14ac:dyDescent="0.15">
      <c r="B19" s="476" t="s">
        <v>2109</v>
      </c>
      <c r="C19" s="481" t="s">
        <v>2191</v>
      </c>
      <c r="D19" s="474"/>
      <c r="E19" s="474"/>
      <c r="F19" s="474"/>
      <c r="G19" s="474"/>
      <c r="H19" s="474"/>
      <c r="I19" s="474"/>
      <c r="J19" s="474"/>
      <c r="K19" s="474"/>
      <c r="L19" s="474"/>
      <c r="M19" s="474"/>
    </row>
    <row r="20" spans="2:17" s="472" customFormat="1" ht="15.75" x14ac:dyDescent="0.15">
      <c r="B20" s="476" t="s">
        <v>2109</v>
      </c>
      <c r="C20" s="481" t="s">
        <v>2190</v>
      </c>
      <c r="D20" s="474"/>
      <c r="E20" s="474"/>
      <c r="F20" s="474"/>
      <c r="G20" s="474"/>
      <c r="H20" s="474"/>
      <c r="I20" s="474"/>
      <c r="J20" s="474"/>
      <c r="K20" s="474"/>
      <c r="L20" s="474"/>
      <c r="M20" s="474"/>
    </row>
    <row r="21" spans="2:17" s="472" customFormat="1" ht="15.75" x14ac:dyDescent="0.15">
      <c r="B21" s="475"/>
      <c r="C21" s="474"/>
      <c r="D21" s="482" t="s">
        <v>2120</v>
      </c>
      <c r="E21" s="474"/>
      <c r="F21" s="474"/>
      <c r="G21" s="474"/>
      <c r="H21" s="474"/>
      <c r="I21" s="474"/>
      <c r="J21" s="474"/>
      <c r="K21" s="474"/>
      <c r="L21" s="474"/>
      <c r="M21" s="474"/>
    </row>
    <row r="22" spans="2:17" s="472" customFormat="1" ht="15.75" x14ac:dyDescent="0.15">
      <c r="B22" s="476" t="s">
        <v>2109</v>
      </c>
      <c r="C22" s="481" t="s">
        <v>2132</v>
      </c>
      <c r="D22" s="474"/>
      <c r="E22" s="474"/>
      <c r="F22" s="474"/>
      <c r="G22" s="474"/>
      <c r="H22" s="474"/>
      <c r="I22" s="474"/>
      <c r="J22" s="474"/>
      <c r="K22" s="474"/>
      <c r="L22" s="474"/>
      <c r="M22" s="474"/>
    </row>
    <row r="23" spans="2:17" s="472" customFormat="1" ht="15.75" x14ac:dyDescent="0.15">
      <c r="B23" s="476" t="s">
        <v>2109</v>
      </c>
      <c r="C23" s="481" t="s">
        <v>2133</v>
      </c>
      <c r="D23" s="474"/>
      <c r="E23" s="474"/>
      <c r="F23" s="474"/>
      <c r="G23" s="474"/>
      <c r="H23" s="474"/>
      <c r="I23" s="474"/>
      <c r="J23" s="474"/>
      <c r="K23" s="474"/>
      <c r="L23" s="474"/>
      <c r="M23" s="474"/>
    </row>
    <row r="24" spans="2:17" ht="15.75" x14ac:dyDescent="0.15">
      <c r="B24" s="483"/>
      <c r="C24" s="483"/>
      <c r="D24" s="483"/>
      <c r="E24" s="483"/>
      <c r="F24" s="483"/>
      <c r="G24" s="483"/>
      <c r="H24" s="483"/>
      <c r="I24" s="483"/>
      <c r="J24" s="483"/>
      <c r="K24" s="483"/>
      <c r="L24" s="483"/>
      <c r="M24" s="483"/>
    </row>
    <row r="25" spans="2:17" ht="15.75" x14ac:dyDescent="0.15">
      <c r="B25" s="473" t="s">
        <v>2144</v>
      </c>
      <c r="C25" s="474"/>
      <c r="D25" s="474"/>
      <c r="E25" s="474"/>
      <c r="F25" s="474"/>
      <c r="G25" s="474"/>
      <c r="H25" s="474"/>
      <c r="I25" s="474"/>
      <c r="J25" s="474"/>
      <c r="K25" s="474"/>
      <c r="L25" s="474"/>
      <c r="M25" s="474"/>
    </row>
    <row r="26" spans="2:17" ht="15.75" x14ac:dyDescent="0.15">
      <c r="B26" s="475"/>
      <c r="C26" s="474"/>
      <c r="D26" s="474"/>
      <c r="E26" s="474"/>
      <c r="F26" s="474"/>
      <c r="G26" s="474"/>
      <c r="H26" s="474"/>
      <c r="I26" s="474"/>
      <c r="J26" s="474"/>
      <c r="K26" s="474"/>
      <c r="L26" s="474"/>
      <c r="M26" s="474"/>
    </row>
    <row r="27" spans="2:17" ht="15.75" x14ac:dyDescent="0.15">
      <c r="B27" s="474"/>
      <c r="C27" s="474"/>
      <c r="D27" s="474"/>
      <c r="E27" s="2106" t="s">
        <v>2099</v>
      </c>
      <c r="F27" s="2107"/>
      <c r="G27" s="2107"/>
      <c r="H27" s="2108" t="s">
        <v>2102</v>
      </c>
      <c r="I27" s="2108"/>
      <c r="J27" s="484" t="s">
        <v>2089</v>
      </c>
      <c r="K27" s="484" t="s">
        <v>2137</v>
      </c>
      <c r="L27" s="484" t="s">
        <v>2125</v>
      </c>
      <c r="M27" s="474"/>
    </row>
    <row r="28" spans="2:17" ht="47.25" x14ac:dyDescent="0.15">
      <c r="B28" s="474"/>
      <c r="C28" s="474"/>
      <c r="D28" s="474"/>
      <c r="E28" s="485"/>
      <c r="F28" s="486" t="s">
        <v>2101</v>
      </c>
      <c r="G28" s="487" t="s">
        <v>2100</v>
      </c>
      <c r="H28" s="488" t="s">
        <v>2192</v>
      </c>
      <c r="I28" s="488" t="s">
        <v>2193</v>
      </c>
      <c r="J28" s="489"/>
      <c r="K28" s="490"/>
      <c r="L28" s="489"/>
      <c r="M28" s="474"/>
      <c r="N28" s="491" t="s">
        <v>2077</v>
      </c>
      <c r="O28" s="491" t="s">
        <v>2078</v>
      </c>
      <c r="P28" s="491" t="s">
        <v>2080</v>
      </c>
    </row>
    <row r="29" spans="2:17" ht="31.5" x14ac:dyDescent="0.15">
      <c r="B29" s="474"/>
      <c r="C29" s="474"/>
      <c r="D29" s="474"/>
      <c r="E29" s="2105" t="s">
        <v>2124</v>
      </c>
      <c r="F29" s="492" t="str">
        <f>HYPERLINK("#'"&amp;N29&amp;"'!"&amp;O29,P29)</f>
        <v>チェックシート</v>
      </c>
      <c r="G29" s="493" t="s">
        <v>2090</v>
      </c>
      <c r="H29" s="494" t="s">
        <v>1306</v>
      </c>
      <c r="I29" s="495" t="s">
        <v>1306</v>
      </c>
      <c r="J29" s="496" t="s">
        <v>2095</v>
      </c>
      <c r="K29" s="497" t="s">
        <v>2138</v>
      </c>
      <c r="L29" s="498"/>
      <c r="M29" s="474"/>
      <c r="N29" s="491" t="s">
        <v>2076</v>
      </c>
      <c r="O29" s="491" t="s">
        <v>2079</v>
      </c>
      <c r="P29" s="491" t="str">
        <f>N29</f>
        <v>チェックシート</v>
      </c>
      <c r="Q29" s="470" t="str">
        <f>チェックシート!H3</f>
        <v>Kyoto City（R7.7） ver.120</v>
      </c>
    </row>
    <row r="30" spans="2:17" ht="78.75" x14ac:dyDescent="0.15">
      <c r="B30" s="474"/>
      <c r="C30" s="474"/>
      <c r="D30" s="474"/>
      <c r="E30" s="2105"/>
      <c r="F30" s="492" t="str">
        <f>HYPERLINK("#'"&amp;N30&amp;"'!"&amp;O30,P30)</f>
        <v>1_入力シート【基本情報】</v>
      </c>
      <c r="G30" s="493" t="s">
        <v>2090</v>
      </c>
      <c r="H30" s="499" t="s">
        <v>1306</v>
      </c>
      <c r="I30" s="488" t="s">
        <v>1306</v>
      </c>
      <c r="J30" s="496" t="s">
        <v>2194</v>
      </c>
      <c r="K30" s="497"/>
      <c r="L30" s="498" t="s">
        <v>3389</v>
      </c>
      <c r="M30" s="474"/>
      <c r="N30" s="491" t="s">
        <v>2082</v>
      </c>
      <c r="O30" s="491" t="s">
        <v>2079</v>
      </c>
      <c r="P30" s="491" t="str">
        <f t="shared" ref="P30:P37" si="0">N30</f>
        <v>1_入力シート【基本情報】</v>
      </c>
    </row>
    <row r="31" spans="2:17" ht="31.5" x14ac:dyDescent="0.15">
      <c r="B31" s="474"/>
      <c r="C31" s="474"/>
      <c r="D31" s="474"/>
      <c r="E31" s="2105"/>
      <c r="F31" s="492" t="str">
        <f>HYPERLINK("#'"&amp;N31&amp;"'!"&amp;O31,P31)</f>
        <v>2_入力シート【用途面積】</v>
      </c>
      <c r="G31" s="493" t="s">
        <v>2090</v>
      </c>
      <c r="H31" s="494" t="s">
        <v>1306</v>
      </c>
      <c r="I31" s="495" t="s">
        <v>1306</v>
      </c>
      <c r="J31" s="496" t="s">
        <v>2195</v>
      </c>
      <c r="K31" s="497"/>
      <c r="L31" s="498" t="s">
        <v>2122</v>
      </c>
      <c r="M31" s="474"/>
      <c r="N31" s="491" t="s">
        <v>2083</v>
      </c>
      <c r="O31" s="491" t="s">
        <v>2079</v>
      </c>
      <c r="P31" s="491" t="str">
        <f t="shared" si="0"/>
        <v>2_入力シート【用途面積】</v>
      </c>
    </row>
    <row r="32" spans="2:17" ht="47.25" x14ac:dyDescent="0.15">
      <c r="B32" s="474"/>
      <c r="C32" s="474"/>
      <c r="D32" s="474"/>
      <c r="E32" s="2105"/>
      <c r="F32" s="500" t="str">
        <f>HYPERLINK("#'"&amp;N32&amp;"'!"&amp;O32,P32)</f>
        <v>3_入力シート【写真】</v>
      </c>
      <c r="G32" s="501" t="s">
        <v>2092</v>
      </c>
      <c r="H32" s="499" t="s">
        <v>1306</v>
      </c>
      <c r="I32" s="488" t="s">
        <v>2092</v>
      </c>
      <c r="J32" s="498" t="s">
        <v>2196</v>
      </c>
      <c r="K32" s="498" t="s">
        <v>2399</v>
      </c>
      <c r="L32" s="498"/>
      <c r="M32" s="474"/>
      <c r="N32" s="491" t="s">
        <v>2084</v>
      </c>
      <c r="O32" s="491" t="s">
        <v>2079</v>
      </c>
      <c r="P32" s="491" t="str">
        <f t="shared" si="0"/>
        <v>3_入力シート【写真】</v>
      </c>
    </row>
    <row r="33" spans="2:16" ht="48" customHeight="1" x14ac:dyDescent="0.15">
      <c r="B33" s="474"/>
      <c r="C33" s="474"/>
      <c r="D33" s="474"/>
      <c r="E33" s="2105"/>
      <c r="F33" s="502" t="str">
        <f>HYPERLINK("#'"&amp;N33&amp;"'!"&amp;O33,P33)</f>
        <v>＜別途添付要＞図面</v>
      </c>
      <c r="G33" s="503" t="s">
        <v>1306</v>
      </c>
      <c r="H33" s="499" t="s">
        <v>2090</v>
      </c>
      <c r="I33" s="488" t="s">
        <v>1306</v>
      </c>
      <c r="J33" s="498" t="s">
        <v>2402</v>
      </c>
      <c r="K33" s="498" t="s">
        <v>2403</v>
      </c>
      <c r="L33" s="497"/>
      <c r="M33" s="474"/>
      <c r="N33" s="491" t="s">
        <v>2085</v>
      </c>
      <c r="O33" s="491" t="s">
        <v>2079</v>
      </c>
      <c r="P33" s="491" t="str">
        <f t="shared" si="0"/>
        <v>＜別途添付要＞図面</v>
      </c>
    </row>
    <row r="34" spans="2:16" ht="31.5" customHeight="1" x14ac:dyDescent="0.15">
      <c r="B34" s="474"/>
      <c r="C34" s="474"/>
      <c r="D34" s="474"/>
      <c r="E34" s="2105"/>
      <c r="F34" s="502" t="str">
        <f t="shared" ref="F34" si="1">HYPERLINK("#'"&amp;N34&amp;"'!"&amp;O34,P34)</f>
        <v>＜入力不要＞受付管理票</v>
      </c>
      <c r="G34" s="503" t="s">
        <v>1306</v>
      </c>
      <c r="H34" s="494" t="s">
        <v>1306</v>
      </c>
      <c r="I34" s="495" t="s">
        <v>1306</v>
      </c>
      <c r="J34" s="498" t="s">
        <v>2104</v>
      </c>
      <c r="K34" s="497" t="s">
        <v>2139</v>
      </c>
      <c r="L34" s="498"/>
      <c r="M34" s="474"/>
      <c r="N34" s="491" t="s">
        <v>2093</v>
      </c>
      <c r="O34" s="491" t="s">
        <v>2079</v>
      </c>
      <c r="P34" s="491" t="str">
        <f t="shared" ref="P34" si="2">N34</f>
        <v>＜入力不要＞受付管理票</v>
      </c>
    </row>
    <row r="35" spans="2:16" ht="31.5" customHeight="1" x14ac:dyDescent="0.15">
      <c r="B35" s="474"/>
      <c r="C35" s="474"/>
      <c r="D35" s="474"/>
      <c r="E35" s="2105"/>
      <c r="F35" s="502" t="str">
        <f>HYPERLINK("#'"&amp;N35&amp;"'!"&amp;O35,P35)</f>
        <v>＜入力不要＞報告書</v>
      </c>
      <c r="G35" s="503" t="s">
        <v>1306</v>
      </c>
      <c r="H35" s="494" t="s">
        <v>1306</v>
      </c>
      <c r="I35" s="488" t="s">
        <v>2091</v>
      </c>
      <c r="J35" s="2101" t="s">
        <v>2197</v>
      </c>
      <c r="K35" s="498" t="s">
        <v>2140</v>
      </c>
      <c r="L35" s="498"/>
      <c r="M35" s="474"/>
      <c r="N35" s="491" t="s">
        <v>2086</v>
      </c>
      <c r="O35" s="491" t="s">
        <v>2079</v>
      </c>
      <c r="P35" s="491" t="str">
        <f t="shared" si="0"/>
        <v>＜入力不要＞報告書</v>
      </c>
    </row>
    <row r="36" spans="2:16" ht="31.5" customHeight="1" x14ac:dyDescent="0.15">
      <c r="B36" s="474"/>
      <c r="C36" s="474"/>
      <c r="D36" s="474"/>
      <c r="E36" s="2105"/>
      <c r="F36" s="502" t="str">
        <f>HYPERLINK("#'"&amp;N36&amp;"'!"&amp;O36,P36)</f>
        <v>＜入力不要＞概要書</v>
      </c>
      <c r="G36" s="503" t="s">
        <v>1306</v>
      </c>
      <c r="H36" s="494" t="s">
        <v>1306</v>
      </c>
      <c r="I36" s="488" t="s">
        <v>2091</v>
      </c>
      <c r="J36" s="2102"/>
      <c r="K36" s="498" t="s">
        <v>2141</v>
      </c>
      <c r="L36" s="497"/>
      <c r="M36" s="474"/>
      <c r="N36" s="491" t="s">
        <v>2087</v>
      </c>
      <c r="O36" s="491" t="s">
        <v>2079</v>
      </c>
      <c r="P36" s="491" t="str">
        <f t="shared" si="0"/>
        <v>＜入力不要＞概要書</v>
      </c>
    </row>
    <row r="37" spans="2:16" ht="31.5" customHeight="1" x14ac:dyDescent="0.15">
      <c r="B37" s="474"/>
      <c r="C37" s="474"/>
      <c r="D37" s="474"/>
      <c r="E37" s="2105"/>
      <c r="F37" s="502" t="str">
        <f>HYPERLINK("#'"&amp;N37&amp;"'!"&amp;O37,P37)</f>
        <v>＜入力不要＞調査結果表</v>
      </c>
      <c r="G37" s="503" t="s">
        <v>1306</v>
      </c>
      <c r="H37" s="494" t="s">
        <v>1306</v>
      </c>
      <c r="I37" s="488" t="s">
        <v>2091</v>
      </c>
      <c r="J37" s="2102"/>
      <c r="K37" s="498" t="s">
        <v>2142</v>
      </c>
      <c r="L37" s="497"/>
      <c r="M37" s="474"/>
      <c r="N37" s="491" t="s">
        <v>2088</v>
      </c>
      <c r="O37" s="491" t="s">
        <v>2079</v>
      </c>
      <c r="P37" s="491" t="str">
        <f t="shared" si="0"/>
        <v>＜入力不要＞調査結果表</v>
      </c>
    </row>
    <row r="38" spans="2:16" ht="47.25" x14ac:dyDescent="0.15">
      <c r="B38" s="474"/>
      <c r="C38" s="474"/>
      <c r="D38" s="474"/>
      <c r="E38" s="2104" t="s">
        <v>3388</v>
      </c>
      <c r="F38" s="2104"/>
      <c r="G38" s="504" t="s">
        <v>2106</v>
      </c>
      <c r="H38" s="488" t="s">
        <v>2107</v>
      </c>
      <c r="I38" s="488" t="s">
        <v>2108</v>
      </c>
      <c r="J38" s="505"/>
      <c r="K38" s="506"/>
      <c r="L38" s="507"/>
      <c r="M38" s="474"/>
    </row>
    <row r="39" spans="2:16" ht="7.5" customHeight="1" x14ac:dyDescent="0.15">
      <c r="B39" s="474"/>
      <c r="C39" s="474"/>
      <c r="D39" s="474"/>
      <c r="E39" s="474"/>
      <c r="F39" s="474"/>
      <c r="G39" s="474"/>
      <c r="H39" s="474"/>
      <c r="I39" s="474"/>
      <c r="J39" s="474"/>
      <c r="K39" s="474"/>
      <c r="L39" s="474"/>
      <c r="M39" s="474"/>
    </row>
    <row r="40" spans="2:16" ht="15.75" x14ac:dyDescent="0.15">
      <c r="B40" s="474"/>
      <c r="C40" s="474"/>
      <c r="D40" s="474"/>
      <c r="E40" s="474"/>
      <c r="F40" s="474"/>
      <c r="G40" s="474" t="s">
        <v>2098</v>
      </c>
      <c r="H40" s="474"/>
      <c r="I40" s="474"/>
      <c r="J40" s="474"/>
      <c r="K40" s="474"/>
      <c r="L40" s="474"/>
      <c r="M40" s="474"/>
    </row>
    <row r="41" spans="2:16" ht="15.75" x14ac:dyDescent="0.15">
      <c r="B41" s="474"/>
      <c r="C41" s="474"/>
      <c r="D41" s="474"/>
      <c r="E41" s="474"/>
      <c r="F41" s="474"/>
      <c r="G41" s="493" t="s">
        <v>2090</v>
      </c>
      <c r="H41" s="1949" t="s">
        <v>2090</v>
      </c>
      <c r="I41" s="508" t="s">
        <v>2145</v>
      </c>
      <c r="J41" s="474"/>
      <c r="K41" s="474"/>
      <c r="L41" s="474"/>
      <c r="M41" s="474"/>
    </row>
    <row r="42" spans="2:16" ht="15.75" x14ac:dyDescent="0.15">
      <c r="B42" s="474"/>
      <c r="C42" s="474"/>
      <c r="D42" s="474"/>
      <c r="E42" s="474"/>
      <c r="F42" s="474"/>
      <c r="G42" s="509" t="s">
        <v>2092</v>
      </c>
      <c r="H42" s="1949" t="s">
        <v>2092</v>
      </c>
      <c r="I42" s="508" t="s">
        <v>2146</v>
      </c>
      <c r="J42" s="474"/>
      <c r="K42" s="474"/>
      <c r="L42" s="474"/>
      <c r="M42" s="474"/>
    </row>
    <row r="43" spans="2:16" ht="15.75" x14ac:dyDescent="0.15">
      <c r="B43" s="474"/>
      <c r="C43" s="474"/>
      <c r="D43" s="474"/>
      <c r="E43" s="474"/>
      <c r="F43" s="474"/>
      <c r="G43" s="503" t="s">
        <v>1306</v>
      </c>
      <c r="H43" s="1949" t="s">
        <v>1306</v>
      </c>
      <c r="I43" s="508" t="s">
        <v>2147</v>
      </c>
      <c r="J43" s="474"/>
      <c r="K43" s="474"/>
      <c r="L43" s="474"/>
      <c r="M43" s="474"/>
    </row>
    <row r="44" spans="2:16" ht="15.75" x14ac:dyDescent="0.15">
      <c r="B44" s="474"/>
      <c r="C44" s="474"/>
      <c r="D44" s="474"/>
      <c r="E44" s="474"/>
      <c r="F44" s="474"/>
      <c r="G44" s="474"/>
      <c r="H44" s="474"/>
      <c r="I44" s="474"/>
      <c r="J44" s="474"/>
      <c r="K44" s="474"/>
      <c r="L44" s="474"/>
      <c r="M44" s="474"/>
    </row>
    <row r="45" spans="2:16" ht="15.75" x14ac:dyDescent="0.15">
      <c r="B45" s="483"/>
      <c r="C45" s="483"/>
      <c r="D45" s="483"/>
      <c r="E45" s="483"/>
      <c r="F45" s="483"/>
      <c r="G45" s="483"/>
      <c r="H45" s="483"/>
      <c r="I45" s="483"/>
      <c r="J45" s="483"/>
      <c r="K45" s="483"/>
      <c r="L45" s="483"/>
      <c r="M45" s="483"/>
    </row>
    <row r="46" spans="2:16" ht="15.75" x14ac:dyDescent="0.15">
      <c r="B46" s="510" t="s">
        <v>2129</v>
      </c>
      <c r="C46" s="511"/>
      <c r="D46" s="474"/>
      <c r="E46" s="474"/>
      <c r="F46" s="474"/>
      <c r="G46" s="474"/>
      <c r="H46" s="474"/>
      <c r="I46" s="474"/>
      <c r="J46" s="474"/>
      <c r="K46" s="474"/>
      <c r="L46" s="474"/>
      <c r="M46" s="474"/>
    </row>
    <row r="47" spans="2:16" ht="15.75" x14ac:dyDescent="0.15">
      <c r="B47" s="512"/>
      <c r="C47" s="513"/>
      <c r="D47" s="474"/>
      <c r="E47" s="474"/>
      <c r="F47" s="474"/>
      <c r="G47" s="474"/>
      <c r="H47" s="474"/>
      <c r="I47" s="474"/>
      <c r="J47" s="474"/>
      <c r="K47" s="474"/>
      <c r="L47" s="474"/>
      <c r="M47" s="474"/>
    </row>
    <row r="48" spans="2:16" ht="15.75" x14ac:dyDescent="0.15">
      <c r="B48" s="474" t="s">
        <v>2109</v>
      </c>
      <c r="C48" s="474" t="s">
        <v>2126</v>
      </c>
      <c r="D48" s="474"/>
      <c r="E48" s="474"/>
      <c r="F48" s="474"/>
      <c r="G48" s="474"/>
      <c r="H48" s="474"/>
      <c r="I48" s="474"/>
      <c r="J48" s="474"/>
      <c r="K48" s="474"/>
      <c r="L48" s="474"/>
      <c r="M48" s="474"/>
    </row>
    <row r="49" spans="2:13" ht="15.75" x14ac:dyDescent="0.15">
      <c r="B49" s="474" t="s">
        <v>2109</v>
      </c>
      <c r="C49" s="474" t="s">
        <v>2127</v>
      </c>
      <c r="D49" s="474"/>
      <c r="E49" s="474"/>
      <c r="F49" s="474"/>
      <c r="G49" s="474"/>
      <c r="H49" s="474"/>
      <c r="I49" s="474"/>
      <c r="J49" s="474"/>
      <c r="K49" s="474"/>
      <c r="L49" s="474"/>
      <c r="M49" s="474"/>
    </row>
    <row r="50" spans="2:13" ht="15.75" x14ac:dyDescent="0.15">
      <c r="B50" s="474" t="s">
        <v>2109</v>
      </c>
      <c r="C50" s="514" t="s">
        <v>2135</v>
      </c>
      <c r="D50" s="474"/>
      <c r="E50" s="474"/>
      <c r="F50" s="474"/>
      <c r="G50" s="474"/>
      <c r="H50" s="474"/>
      <c r="I50" s="474"/>
      <c r="J50" s="474"/>
      <c r="K50" s="474"/>
      <c r="L50" s="474"/>
      <c r="M50" s="474"/>
    </row>
    <row r="51" spans="2:13" ht="15.75" x14ac:dyDescent="0.15">
      <c r="B51" s="474"/>
      <c r="C51" s="514" t="s">
        <v>2134</v>
      </c>
      <c r="D51" s="474"/>
      <c r="E51" s="474"/>
      <c r="F51" s="474"/>
      <c r="G51" s="474"/>
      <c r="H51" s="474"/>
      <c r="I51" s="474"/>
      <c r="J51" s="474"/>
      <c r="K51" s="474"/>
      <c r="L51" s="474"/>
      <c r="M51" s="474"/>
    </row>
    <row r="53" spans="2:13" ht="15.75" x14ac:dyDescent="0.15">
      <c r="B53" s="510" t="s">
        <v>2734</v>
      </c>
      <c r="C53" s="511"/>
      <c r="D53" s="474"/>
      <c r="E53" s="474"/>
      <c r="F53" s="474"/>
      <c r="G53" s="474"/>
      <c r="H53" s="474"/>
      <c r="I53" s="474"/>
      <c r="J53" s="474"/>
      <c r="K53" s="474"/>
      <c r="L53" s="474"/>
      <c r="M53" s="474"/>
    </row>
    <row r="54" spans="2:13" ht="15.75" x14ac:dyDescent="0.15">
      <c r="B54" s="512"/>
      <c r="C54" s="513" t="s">
        <v>2742</v>
      </c>
      <c r="D54" s="474"/>
      <c r="E54" s="474"/>
      <c r="F54" s="474"/>
      <c r="G54" s="474"/>
      <c r="H54" s="474"/>
      <c r="I54" s="474"/>
      <c r="J54" s="474"/>
      <c r="K54" s="474"/>
      <c r="L54" s="474"/>
      <c r="M54" s="474"/>
    </row>
    <row r="55" spans="2:13" ht="15.75" x14ac:dyDescent="0.15">
      <c r="B55" s="474"/>
      <c r="C55" s="474"/>
      <c r="D55" s="1124" t="s">
        <v>2741</v>
      </c>
      <c r="E55" s="1124" t="s">
        <v>2735</v>
      </c>
      <c r="F55" s="1124"/>
      <c r="G55" s="1124" t="s">
        <v>2738</v>
      </c>
      <c r="H55" s="1124"/>
      <c r="I55" s="1124"/>
      <c r="J55" s="1124"/>
      <c r="K55" s="474"/>
      <c r="L55" s="474"/>
      <c r="M55" s="474"/>
    </row>
    <row r="56" spans="2:13" ht="15.75" x14ac:dyDescent="0.15">
      <c r="B56" s="474"/>
      <c r="C56" s="474"/>
      <c r="D56" s="1124" t="s">
        <v>2741</v>
      </c>
      <c r="E56" s="1124" t="s">
        <v>2735</v>
      </c>
      <c r="F56" s="1124"/>
      <c r="G56" s="1124" t="s">
        <v>2743</v>
      </c>
      <c r="H56" s="1124"/>
      <c r="I56" s="1124"/>
      <c r="J56" s="1124"/>
      <c r="K56" s="474"/>
      <c r="L56" s="474"/>
      <c r="M56" s="474"/>
    </row>
    <row r="57" spans="2:13" ht="15.75" x14ac:dyDescent="0.15">
      <c r="B57" s="474"/>
      <c r="C57" s="474"/>
      <c r="D57" s="1124" t="s">
        <v>2741</v>
      </c>
      <c r="E57" s="1124" t="s">
        <v>2795</v>
      </c>
      <c r="F57" s="1124"/>
      <c r="G57" s="1124" t="s">
        <v>2796</v>
      </c>
      <c r="H57" s="1124"/>
      <c r="I57" s="1124"/>
      <c r="J57" s="1124"/>
      <c r="K57" s="474"/>
      <c r="L57" s="474"/>
      <c r="M57" s="474"/>
    </row>
    <row r="58" spans="2:13" ht="15.75" x14ac:dyDescent="0.15">
      <c r="B58" s="474"/>
      <c r="C58" s="474"/>
      <c r="D58" s="1124" t="s">
        <v>2741</v>
      </c>
      <c r="E58" s="1124" t="s">
        <v>2736</v>
      </c>
      <c r="F58" s="1124"/>
      <c r="G58" s="1124" t="s">
        <v>2769</v>
      </c>
      <c r="H58" s="1124"/>
      <c r="I58" s="1124"/>
      <c r="J58" s="1124"/>
      <c r="K58" s="474"/>
      <c r="L58" s="474"/>
      <c r="M58" s="474"/>
    </row>
    <row r="59" spans="2:13" ht="15.75" x14ac:dyDescent="0.15">
      <c r="B59" s="474"/>
      <c r="C59" s="474"/>
      <c r="D59" s="1124" t="s">
        <v>2741</v>
      </c>
      <c r="E59" s="1124" t="s">
        <v>2758</v>
      </c>
      <c r="F59" s="1124"/>
      <c r="G59" s="1124" t="s">
        <v>2759</v>
      </c>
      <c r="H59" s="1124"/>
      <c r="I59" s="1124"/>
      <c r="J59" s="1124"/>
      <c r="K59" s="474"/>
      <c r="L59" s="474"/>
      <c r="M59" s="474"/>
    </row>
    <row r="60" spans="2:13" ht="15.75" x14ac:dyDescent="0.15">
      <c r="B60" s="474"/>
      <c r="C60" s="474"/>
      <c r="D60" s="1124" t="s">
        <v>2741</v>
      </c>
      <c r="E60" s="1124" t="s">
        <v>2737</v>
      </c>
      <c r="F60" s="1124"/>
      <c r="G60" s="1124" t="s">
        <v>2739</v>
      </c>
      <c r="H60" s="1124"/>
      <c r="I60" s="1124"/>
      <c r="J60" s="1124"/>
      <c r="K60" s="474"/>
      <c r="L60" s="474"/>
      <c r="M60" s="474"/>
    </row>
    <row r="61" spans="2:13" ht="15.75" x14ac:dyDescent="0.15">
      <c r="B61" s="474"/>
      <c r="C61" s="474"/>
      <c r="D61" s="1124" t="s">
        <v>2741</v>
      </c>
      <c r="E61" s="1124" t="s">
        <v>2764</v>
      </c>
      <c r="F61" s="1124"/>
      <c r="G61" s="1124" t="s">
        <v>2765</v>
      </c>
      <c r="H61" s="1124"/>
      <c r="I61" s="1124"/>
      <c r="J61" s="1124"/>
      <c r="K61" s="474"/>
      <c r="L61" s="474"/>
      <c r="M61" s="474"/>
    </row>
    <row r="62" spans="2:13" ht="15.75" x14ac:dyDescent="0.15">
      <c r="B62" s="474"/>
      <c r="C62" s="474"/>
      <c r="D62" s="1124" t="s">
        <v>2755</v>
      </c>
      <c r="E62" s="1124" t="s">
        <v>2756</v>
      </c>
      <c r="F62" s="1124"/>
      <c r="G62" s="1124" t="s">
        <v>2754</v>
      </c>
      <c r="H62" s="1124"/>
      <c r="I62" s="1124"/>
      <c r="J62" s="1124"/>
      <c r="K62" s="474"/>
      <c r="L62" s="474"/>
      <c r="M62" s="474"/>
    </row>
    <row r="63" spans="2:13" ht="15.75" x14ac:dyDescent="0.15">
      <c r="B63" s="474"/>
      <c r="C63" s="474"/>
      <c r="D63" s="1124" t="s">
        <v>2741</v>
      </c>
      <c r="E63" s="1124" t="s">
        <v>2740</v>
      </c>
      <c r="F63" s="1124"/>
      <c r="G63" s="1124" t="s">
        <v>2744</v>
      </c>
      <c r="H63" s="1124"/>
      <c r="I63" s="1124"/>
      <c r="J63" s="1124"/>
      <c r="K63" s="474"/>
      <c r="L63" s="474"/>
      <c r="M63" s="474"/>
    </row>
    <row r="64" spans="2:13" ht="15.75" x14ac:dyDescent="0.15">
      <c r="B64" s="474"/>
      <c r="C64" s="474"/>
      <c r="D64" s="1153"/>
      <c r="E64" s="1153"/>
      <c r="F64" s="1153"/>
      <c r="G64" s="1153"/>
      <c r="H64" s="1153"/>
      <c r="I64" s="1153"/>
      <c r="J64" s="1153"/>
      <c r="K64" s="474"/>
      <c r="L64" s="474"/>
      <c r="M64" s="474"/>
    </row>
    <row r="65" spans="2:13" s="1947" customFormat="1" ht="14.25" x14ac:dyDescent="0.15">
      <c r="B65" s="1946"/>
      <c r="C65" s="513" t="s">
        <v>2797</v>
      </c>
      <c r="D65" s="1946"/>
      <c r="E65" s="1946"/>
      <c r="F65" s="1946"/>
      <c r="G65" s="1946"/>
      <c r="H65" s="1946"/>
      <c r="I65" s="1946"/>
      <c r="J65" s="1946"/>
      <c r="K65" s="1946"/>
      <c r="L65" s="1946"/>
      <c r="M65" s="1946"/>
    </row>
    <row r="66" spans="2:13" s="1947" customFormat="1" ht="14.25" x14ac:dyDescent="0.15">
      <c r="B66" s="1946"/>
      <c r="C66" s="1946"/>
      <c r="D66" s="1948" t="s">
        <v>2741</v>
      </c>
      <c r="E66" s="1948" t="s">
        <v>2798</v>
      </c>
      <c r="F66" s="1948"/>
      <c r="G66" s="1948" t="s">
        <v>2799</v>
      </c>
      <c r="H66" s="1948"/>
      <c r="I66" s="1948"/>
      <c r="J66" s="1948"/>
      <c r="K66" s="1946"/>
      <c r="L66" s="1946"/>
      <c r="M66" s="1946"/>
    </row>
    <row r="67" spans="2:13" s="1947" customFormat="1" ht="14.25" x14ac:dyDescent="0.15">
      <c r="B67" s="1946"/>
      <c r="C67" s="1946"/>
      <c r="D67" s="1946"/>
      <c r="E67" s="1946"/>
      <c r="F67" s="1946"/>
      <c r="G67" s="1946"/>
      <c r="H67" s="1946"/>
      <c r="I67" s="1946"/>
      <c r="J67" s="1946"/>
      <c r="K67" s="1946"/>
      <c r="L67" s="1946"/>
      <c r="M67" s="1946"/>
    </row>
    <row r="68" spans="2:13" s="1947" customFormat="1" ht="14.25" x14ac:dyDescent="0.15">
      <c r="B68" s="1946"/>
      <c r="C68" s="1946" t="s">
        <v>3362</v>
      </c>
      <c r="D68" s="1946"/>
      <c r="E68" s="1946"/>
      <c r="F68" s="1946"/>
      <c r="G68" s="1946"/>
      <c r="H68" s="1946"/>
      <c r="I68" s="1946"/>
      <c r="J68" s="1946"/>
      <c r="K68" s="1946"/>
      <c r="L68" s="1946"/>
      <c r="M68" s="1946"/>
    </row>
    <row r="69" spans="2:13" s="1947" customFormat="1" ht="15.75" x14ac:dyDescent="0.15">
      <c r="B69" s="1946"/>
      <c r="C69" s="1946"/>
      <c r="D69" s="1948" t="s">
        <v>3345</v>
      </c>
      <c r="E69" s="1124" t="s">
        <v>2740</v>
      </c>
      <c r="F69" s="1948"/>
      <c r="G69" s="1948" t="s">
        <v>3344</v>
      </c>
      <c r="H69" s="1948"/>
      <c r="I69" s="1948"/>
      <c r="J69" s="1948"/>
      <c r="K69" s="1946"/>
      <c r="L69" s="1946"/>
      <c r="M69" s="1946"/>
    </row>
    <row r="70" spans="2:13" s="1947" customFormat="1" ht="15.75" x14ac:dyDescent="0.15">
      <c r="B70" s="1946"/>
      <c r="C70" s="1946"/>
      <c r="D70" s="1948" t="s">
        <v>3345</v>
      </c>
      <c r="E70" s="1124" t="s">
        <v>3348</v>
      </c>
      <c r="F70" s="1948"/>
      <c r="G70" s="1948" t="s">
        <v>3349</v>
      </c>
      <c r="H70" s="1948"/>
      <c r="I70" s="1948"/>
      <c r="J70" s="1948"/>
      <c r="K70" s="1946"/>
      <c r="L70" s="1946"/>
      <c r="M70" s="1946"/>
    </row>
    <row r="71" spans="2:13" s="1947" customFormat="1" ht="15.75" x14ac:dyDescent="0.15">
      <c r="B71" s="1946"/>
      <c r="C71" s="1946"/>
      <c r="D71" s="1948" t="s">
        <v>3345</v>
      </c>
      <c r="E71" s="1124" t="s">
        <v>3346</v>
      </c>
      <c r="F71" s="1948"/>
      <c r="G71" s="1948" t="s">
        <v>3347</v>
      </c>
      <c r="H71" s="1948"/>
      <c r="I71" s="1948"/>
      <c r="J71" s="1948"/>
      <c r="K71" s="1946"/>
      <c r="L71" s="1946"/>
      <c r="M71" s="1946"/>
    </row>
    <row r="72" spans="2:13" s="1947" customFormat="1" ht="14.25" x14ac:dyDescent="0.15">
      <c r="B72" s="1946"/>
      <c r="C72" s="1946"/>
      <c r="D72" s="1946"/>
      <c r="E72" s="1946"/>
      <c r="F72" s="1946"/>
      <c r="G72" s="1946"/>
      <c r="H72" s="1946"/>
      <c r="I72" s="1946"/>
      <c r="J72" s="1946"/>
      <c r="K72" s="1946"/>
      <c r="L72" s="1946"/>
      <c r="M72" s="1946"/>
    </row>
    <row r="73" spans="2:13" s="1947" customFormat="1" ht="14.25" x14ac:dyDescent="0.15"/>
    <row r="74" spans="2:13" s="1947" customFormat="1" ht="14.25" x14ac:dyDescent="0.15"/>
    <row r="75" spans="2:13" s="1947" customFormat="1" ht="14.25" x14ac:dyDescent="0.15"/>
    <row r="76" spans="2:13" s="1947" customFormat="1" ht="14.25" x14ac:dyDescent="0.15"/>
    <row r="77" spans="2:13" s="1947" customFormat="1" ht="14.25" x14ac:dyDescent="0.15"/>
    <row r="78" spans="2:13" s="1947" customFormat="1" ht="14.25" x14ac:dyDescent="0.15"/>
    <row r="79" spans="2:13" s="1947" customFormat="1" ht="14.25" x14ac:dyDescent="0.15"/>
    <row r="80" spans="2:13" s="483" customFormat="1" ht="15.75" x14ac:dyDescent="0.15"/>
    <row r="81" s="483" customFormat="1" ht="15.75" x14ac:dyDescent="0.15"/>
    <row r="82" s="483" customFormat="1" ht="15.75" x14ac:dyDescent="0.15"/>
    <row r="83" s="483" customFormat="1" ht="15.75" x14ac:dyDescent="0.15"/>
  </sheetData>
  <sheetProtection algorithmName="SHA-512" hashValue="p0F3Jpole3NwBKjglI+VZ0evogfSXfgiZHwnB7XqFiHmgh03S0FBRKLwpT2XJghLkNQIykgGS01bmfHcx+IfnA==" saltValue="NKf2KxA7nMWIsyMOgDqZgw==" spinCount="100000" sheet="1" objects="1" scenarios="1"/>
  <mergeCells count="10">
    <mergeCell ref="J35:J37"/>
    <mergeCell ref="D6:H6"/>
    <mergeCell ref="E38:F38"/>
    <mergeCell ref="E29:E37"/>
    <mergeCell ref="E27:G27"/>
    <mergeCell ref="H27:I27"/>
    <mergeCell ref="D10:E10"/>
    <mergeCell ref="D11:E11"/>
    <mergeCell ref="D12:E12"/>
    <mergeCell ref="D13:E13"/>
  </mergeCells>
  <phoneticPr fontId="3"/>
  <hyperlinks>
    <hyperlink ref="D6" r:id="rId1" display="https://www.city.kyoto.lg.jp/tokei/page/0000151046.html" xr:uid="{BD73B668-036F-4622-9EE9-052BC072231C}"/>
    <hyperlink ref="D6:H6" r:id="rId2" display="https://www.city.kyoto.lg.jp/tokei/page/0000301596.html" xr:uid="{B3C21A07-B7B5-4AF9-AE0D-2CD102336DA8}"/>
  </hyperlinks>
  <pageMargins left="0.7" right="0.7" top="0.75" bottom="0.75" header="0.3" footer="0.3"/>
  <pageSetup paperSize="9" scale="49" orientation="landscape"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AR256"/>
  <sheetViews>
    <sheetView view="pageBreakPreview" zoomScaleNormal="130" zoomScaleSheetLayoutView="100" workbookViewId="0">
      <selection activeCell="AU26" sqref="AU26"/>
    </sheetView>
  </sheetViews>
  <sheetFormatPr defaultColWidth="9" defaultRowHeight="13.5" x14ac:dyDescent="0.15"/>
  <cols>
    <col min="1" max="1" width="0.25" style="470" customWidth="1"/>
    <col min="2" max="2" width="2.5" style="1071" customWidth="1"/>
    <col min="3" max="3" width="2.125" style="1071" hidden="1" customWidth="1"/>
    <col min="4" max="19" width="2.125" style="1071" customWidth="1"/>
    <col min="20" max="20" width="1" style="1110" customWidth="1"/>
    <col min="21" max="36" width="2.125" style="1071" customWidth="1"/>
    <col min="37" max="37" width="2.5" style="1071" customWidth="1"/>
    <col min="38" max="38" width="5.75" style="1071" hidden="1" customWidth="1"/>
    <col min="39" max="40" width="6" style="1071" customWidth="1"/>
    <col min="41" max="42" width="6.625" style="1071" customWidth="1"/>
    <col min="43" max="43" width="3.75" style="470" customWidth="1"/>
    <col min="44" max="44" width="9" style="1587"/>
    <col min="45" max="16384" width="9" style="1071"/>
  </cols>
  <sheetData>
    <row r="1" spans="2:42" ht="22.5" customHeight="1" x14ac:dyDescent="0.15">
      <c r="B1" s="938" t="s">
        <v>1882</v>
      </c>
      <c r="C1" s="1069"/>
      <c r="D1" s="1069"/>
      <c r="E1" s="1069"/>
      <c r="F1" s="1069"/>
      <c r="G1" s="1070"/>
      <c r="H1" s="1070"/>
      <c r="I1" s="1070"/>
      <c r="J1" s="1070"/>
      <c r="K1" s="1070"/>
      <c r="L1" s="1070"/>
      <c r="M1" s="1070"/>
      <c r="N1" s="1070"/>
      <c r="O1" s="1070"/>
      <c r="P1" s="1070"/>
      <c r="Q1" s="1070"/>
      <c r="R1" s="1070"/>
      <c r="S1" s="1070"/>
      <c r="T1" s="1070"/>
      <c r="U1" s="1070"/>
      <c r="V1" s="1070"/>
      <c r="W1" s="1070"/>
      <c r="X1" s="1070"/>
      <c r="Y1" s="1070"/>
      <c r="Z1" s="1070"/>
      <c r="AA1" s="1070"/>
      <c r="AB1" s="1070"/>
      <c r="AC1" s="1070"/>
      <c r="AD1" s="1070"/>
      <c r="AE1" s="1070"/>
      <c r="AF1" s="1070"/>
      <c r="AG1" s="1070"/>
      <c r="AH1" s="1070"/>
      <c r="AI1" s="1070"/>
      <c r="AJ1" s="1070"/>
      <c r="AK1" s="1070"/>
      <c r="AL1" s="1070"/>
      <c r="AM1" s="1070"/>
      <c r="AN1" s="1070"/>
      <c r="AO1" s="3679" t="str">
        <f>HYPERLINK("#'使用方法'!F29:F37","シート一覧へ")</f>
        <v>シート一覧へ</v>
      </c>
      <c r="AP1" s="3680"/>
    </row>
    <row r="2" spans="2:42" ht="13.5" customHeight="1" x14ac:dyDescent="0.15">
      <c r="B2" s="3414" t="s">
        <v>3002</v>
      </c>
      <c r="C2" s="3415"/>
      <c r="D2" s="3415"/>
      <c r="E2" s="3415"/>
      <c r="F2" s="3415"/>
      <c r="G2" s="1072"/>
      <c r="H2" s="1072"/>
      <c r="I2" s="1072"/>
      <c r="J2" s="1072"/>
      <c r="K2" s="1072"/>
      <c r="L2" s="1072"/>
      <c r="M2" s="1072"/>
      <c r="N2" s="1072"/>
      <c r="O2" s="1072"/>
      <c r="P2" s="1072"/>
      <c r="Q2" s="1072"/>
      <c r="R2" s="1072"/>
      <c r="S2" s="1072"/>
      <c r="T2" s="1072"/>
      <c r="U2" s="1072"/>
      <c r="V2" s="1072"/>
      <c r="W2" s="1072"/>
      <c r="X2" s="1072"/>
      <c r="Y2" s="1072"/>
      <c r="Z2" s="1072"/>
      <c r="AA2" s="1072"/>
      <c r="AB2" s="1072"/>
      <c r="AC2" s="1072"/>
      <c r="AD2" s="1072"/>
      <c r="AE2" s="1072"/>
      <c r="AF2" s="1072"/>
      <c r="AG2" s="1072"/>
      <c r="AH2" s="1072"/>
      <c r="AI2" s="1072"/>
      <c r="AJ2" s="1072"/>
      <c r="AK2" s="1072"/>
      <c r="AL2" s="1072"/>
      <c r="AM2" s="1072"/>
      <c r="AN2" s="1073" t="str">
        <f>チェックシート!H3</f>
        <v>Kyoto City（R7.7） ver.120</v>
      </c>
      <c r="AO2" s="1074" t="str">
        <f>'＜入力不要＞報告書'!AN4&amp;'＜入力不要＞報告書'!AO4</f>
        <v/>
      </c>
      <c r="AP2" s="1074" t="str">
        <f>IF('＜入力不要＞報告書'!AP4="","",'＜入力不要＞報告書'!AP4)</f>
        <v>0000</v>
      </c>
    </row>
    <row r="3" spans="2:42" ht="27" customHeight="1" thickBot="1" x14ac:dyDescent="0.2">
      <c r="B3" s="3413" t="s">
        <v>3355</v>
      </c>
      <c r="C3" s="3413"/>
      <c r="D3" s="3413"/>
      <c r="E3" s="3413"/>
      <c r="F3" s="3413"/>
      <c r="G3" s="3413"/>
      <c r="H3" s="3413"/>
      <c r="I3" s="3413"/>
      <c r="J3" s="3413"/>
      <c r="K3" s="3413"/>
      <c r="L3" s="3413"/>
      <c r="M3" s="3413"/>
      <c r="N3" s="3413"/>
      <c r="O3" s="3413"/>
      <c r="P3" s="3413"/>
      <c r="Q3" s="3413"/>
      <c r="R3" s="3413"/>
      <c r="S3" s="3413"/>
      <c r="T3" s="3413"/>
      <c r="U3" s="3413"/>
      <c r="V3" s="3413"/>
      <c r="W3" s="3413"/>
      <c r="X3" s="3413"/>
      <c r="Y3" s="3413"/>
      <c r="Z3" s="3413"/>
      <c r="AA3" s="3413"/>
      <c r="AB3" s="3413"/>
      <c r="AC3" s="3413"/>
      <c r="AD3" s="3413"/>
      <c r="AE3" s="3413"/>
      <c r="AF3" s="3413"/>
      <c r="AG3" s="3413"/>
      <c r="AH3" s="3413"/>
      <c r="AI3" s="3413"/>
      <c r="AJ3" s="3413"/>
      <c r="AK3" s="3413"/>
      <c r="AL3" s="3413"/>
      <c r="AM3" s="3413"/>
      <c r="AN3" s="3413"/>
      <c r="AO3" s="3413"/>
      <c r="AP3" s="3413"/>
    </row>
    <row r="4" spans="2:42" ht="11.25" customHeight="1" x14ac:dyDescent="0.15">
      <c r="B4" s="3661" t="s">
        <v>29</v>
      </c>
      <c r="C4" s="3662"/>
      <c r="D4" s="3662"/>
      <c r="E4" s="3662"/>
      <c r="F4" s="3663"/>
      <c r="G4" s="3528"/>
      <c r="H4" s="3529"/>
      <c r="I4" s="3529"/>
      <c r="J4" s="3529"/>
      <c r="K4" s="3529"/>
      <c r="L4" s="3529"/>
      <c r="M4" s="3529"/>
      <c r="N4" s="3530"/>
      <c r="O4" s="3669" t="s">
        <v>1252</v>
      </c>
      <c r="P4" s="3670"/>
      <c r="Q4" s="3670"/>
      <c r="R4" s="3670"/>
      <c r="S4" s="3670"/>
      <c r="T4" s="3670"/>
      <c r="U4" s="3670"/>
      <c r="V4" s="3670"/>
      <c r="W4" s="3670"/>
      <c r="X4" s="3670"/>
      <c r="Y4" s="3670"/>
      <c r="Z4" s="3670"/>
      <c r="AA4" s="3670"/>
      <c r="AB4" s="3670"/>
      <c r="AC4" s="3670"/>
      <c r="AD4" s="3670"/>
      <c r="AE4" s="3670"/>
      <c r="AF4" s="3670"/>
      <c r="AG4" s="3670"/>
      <c r="AH4" s="3670"/>
      <c r="AI4" s="3670"/>
      <c r="AJ4" s="3670"/>
      <c r="AK4" s="3670"/>
      <c r="AL4" s="3670"/>
      <c r="AM4" s="3670"/>
      <c r="AN4" s="3671"/>
      <c r="AO4" s="3641" t="s">
        <v>30</v>
      </c>
      <c r="AP4" s="3642"/>
    </row>
    <row r="5" spans="2:42" ht="11.25" customHeight="1" x14ac:dyDescent="0.15">
      <c r="B5" s="3664"/>
      <c r="C5" s="3665"/>
      <c r="D5" s="3665"/>
      <c r="E5" s="3665"/>
      <c r="F5" s="3666"/>
      <c r="G5" s="3531" t="s">
        <v>210</v>
      </c>
      <c r="H5" s="3532"/>
      <c r="I5" s="3532"/>
      <c r="J5" s="3532"/>
      <c r="K5" s="3532"/>
      <c r="L5" s="3532"/>
      <c r="M5" s="3532"/>
      <c r="N5" s="3533"/>
      <c r="O5" s="3546">
        <f>'1_入力シート【基本情報】'!$U$313</f>
        <v>0</v>
      </c>
      <c r="P5" s="3547"/>
      <c r="Q5" s="3547"/>
      <c r="R5" s="3547"/>
      <c r="S5" s="3547"/>
      <c r="T5" s="3547"/>
      <c r="U5" s="3547"/>
      <c r="V5" s="3547"/>
      <c r="W5" s="3547"/>
      <c r="X5" s="3547"/>
      <c r="Y5" s="3547"/>
      <c r="Z5" s="3547"/>
      <c r="AA5" s="3547"/>
      <c r="AB5" s="3547"/>
      <c r="AC5" s="3547"/>
      <c r="AD5" s="3547"/>
      <c r="AE5" s="3547"/>
      <c r="AF5" s="3547"/>
      <c r="AG5" s="3547"/>
      <c r="AH5" s="3547"/>
      <c r="AI5" s="3547"/>
      <c r="AJ5" s="3547"/>
      <c r="AK5" s="3547"/>
      <c r="AL5" s="3547"/>
      <c r="AM5" s="3547"/>
      <c r="AN5" s="3548"/>
      <c r="AO5" s="3432">
        <v>1</v>
      </c>
      <c r="AP5" s="3643"/>
    </row>
    <row r="6" spans="2:42" ht="11.25" customHeight="1" x14ac:dyDescent="0.15">
      <c r="B6" s="3664"/>
      <c r="C6" s="3665"/>
      <c r="D6" s="3665"/>
      <c r="E6" s="3665"/>
      <c r="F6" s="3666"/>
      <c r="G6" s="3657" t="s">
        <v>209</v>
      </c>
      <c r="H6" s="3658"/>
      <c r="I6" s="3658"/>
      <c r="J6" s="3658"/>
      <c r="K6" s="3658"/>
      <c r="L6" s="3658"/>
      <c r="M6" s="3658"/>
      <c r="N6" s="3658"/>
      <c r="O6" s="3644">
        <f>'1_入力シート【基本情報】'!$AW$313</f>
        <v>0</v>
      </c>
      <c r="P6" s="3645"/>
      <c r="Q6" s="3645"/>
      <c r="R6" s="3645"/>
      <c r="S6" s="3645"/>
      <c r="T6" s="3645"/>
      <c r="U6" s="3645"/>
      <c r="V6" s="3645"/>
      <c r="W6" s="3645"/>
      <c r="X6" s="3645"/>
      <c r="Y6" s="3645"/>
      <c r="Z6" s="3645"/>
      <c r="AA6" s="3645"/>
      <c r="AB6" s="3645"/>
      <c r="AC6" s="3645"/>
      <c r="AD6" s="3645"/>
      <c r="AE6" s="3645"/>
      <c r="AF6" s="3645"/>
      <c r="AG6" s="3645"/>
      <c r="AH6" s="3645"/>
      <c r="AI6" s="3645"/>
      <c r="AJ6" s="3645"/>
      <c r="AK6" s="3645"/>
      <c r="AL6" s="3645"/>
      <c r="AM6" s="3645"/>
      <c r="AN6" s="3646"/>
      <c r="AO6" s="3432">
        <v>2</v>
      </c>
      <c r="AP6" s="3643"/>
    </row>
    <row r="7" spans="2:42" ht="11.25" customHeight="1" thickBot="1" x14ac:dyDescent="0.2">
      <c r="B7" s="3667"/>
      <c r="C7" s="3660"/>
      <c r="D7" s="3660"/>
      <c r="E7" s="3660"/>
      <c r="F7" s="3668"/>
      <c r="G7" s="3659"/>
      <c r="H7" s="3660"/>
      <c r="I7" s="3660"/>
      <c r="J7" s="3660"/>
      <c r="K7" s="3660"/>
      <c r="L7" s="3660"/>
      <c r="M7" s="3660"/>
      <c r="N7" s="3660"/>
      <c r="O7" s="3549">
        <f>'1_入力シート【基本情報】'!$BY$313</f>
        <v>0</v>
      </c>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1"/>
      <c r="AO7" s="3647">
        <v>3</v>
      </c>
      <c r="AP7" s="3648"/>
    </row>
    <row r="8" spans="2:42" ht="14.25" thickBot="1" x14ac:dyDescent="0.2">
      <c r="B8" s="1075"/>
      <c r="C8" s="1070"/>
      <c r="D8" s="1070"/>
      <c r="E8" s="1070"/>
      <c r="F8" s="1070"/>
      <c r="G8" s="1070"/>
      <c r="H8" s="1070"/>
      <c r="I8" s="1070"/>
      <c r="J8" s="1070"/>
      <c r="K8" s="1070"/>
      <c r="L8" s="1070"/>
      <c r="M8" s="1070"/>
      <c r="N8" s="1070"/>
      <c r="O8" s="1070"/>
      <c r="P8" s="1070"/>
      <c r="Q8" s="1070"/>
      <c r="R8" s="1070"/>
      <c r="S8" s="1070"/>
      <c r="T8" s="1070"/>
      <c r="U8" s="1070"/>
      <c r="V8" s="1070"/>
      <c r="W8" s="1070"/>
      <c r="X8" s="1070"/>
      <c r="Y8" s="1070"/>
      <c r="Z8" s="1070"/>
      <c r="AA8" s="1070"/>
      <c r="AB8" s="1070"/>
      <c r="AC8" s="1070"/>
      <c r="AD8" s="1070"/>
      <c r="AE8" s="1070"/>
      <c r="AF8" s="1070"/>
      <c r="AG8" s="1070"/>
      <c r="AH8" s="1070"/>
      <c r="AI8" s="1070"/>
      <c r="AJ8" s="1070"/>
      <c r="AK8" s="1070"/>
      <c r="AL8" s="1070"/>
      <c r="AM8" s="1070"/>
      <c r="AN8" s="1070"/>
      <c r="AO8" s="1070"/>
      <c r="AP8" s="1076"/>
    </row>
    <row r="9" spans="2:42" ht="12" customHeight="1" x14ac:dyDescent="0.15">
      <c r="B9" s="3629" t="s">
        <v>31</v>
      </c>
      <c r="C9" s="3630"/>
      <c r="D9" s="3535"/>
      <c r="E9" s="3534" t="s">
        <v>32</v>
      </c>
      <c r="F9" s="3535"/>
      <c r="G9" s="3535"/>
      <c r="H9" s="3535"/>
      <c r="I9" s="3535"/>
      <c r="J9" s="3535"/>
      <c r="K9" s="3535"/>
      <c r="L9" s="3535"/>
      <c r="M9" s="3535"/>
      <c r="N9" s="3535"/>
      <c r="O9" s="3535"/>
      <c r="P9" s="3535"/>
      <c r="Q9" s="3535"/>
      <c r="R9" s="3535"/>
      <c r="S9" s="3535"/>
      <c r="T9" s="3535"/>
      <c r="U9" s="3535"/>
      <c r="V9" s="3535"/>
      <c r="W9" s="3535"/>
      <c r="X9" s="3535"/>
      <c r="Y9" s="3535"/>
      <c r="Z9" s="3535"/>
      <c r="AA9" s="3535"/>
      <c r="AB9" s="3535"/>
      <c r="AC9" s="3535"/>
      <c r="AD9" s="3535"/>
      <c r="AE9" s="3535"/>
      <c r="AF9" s="3535"/>
      <c r="AG9" s="3535"/>
      <c r="AH9" s="3535"/>
      <c r="AI9" s="3535"/>
      <c r="AJ9" s="3535"/>
      <c r="AK9" s="3536"/>
      <c r="AL9" s="3649" t="s">
        <v>915</v>
      </c>
      <c r="AM9" s="3651" t="s">
        <v>33</v>
      </c>
      <c r="AN9" s="3652"/>
      <c r="AO9" s="3653"/>
      <c r="AP9" s="3654" t="s">
        <v>916</v>
      </c>
    </row>
    <row r="10" spans="2:42" ht="11.25" customHeight="1" x14ac:dyDescent="0.15">
      <c r="B10" s="3631"/>
      <c r="C10" s="3632"/>
      <c r="D10" s="3538"/>
      <c r="E10" s="3537"/>
      <c r="F10" s="3538"/>
      <c r="G10" s="3538"/>
      <c r="H10" s="3538"/>
      <c r="I10" s="3538"/>
      <c r="J10" s="3538"/>
      <c r="K10" s="3538"/>
      <c r="L10" s="3538"/>
      <c r="M10" s="3538"/>
      <c r="N10" s="3538"/>
      <c r="O10" s="3538"/>
      <c r="P10" s="3538"/>
      <c r="Q10" s="3538"/>
      <c r="R10" s="3538"/>
      <c r="S10" s="3538"/>
      <c r="T10" s="3538"/>
      <c r="U10" s="3538"/>
      <c r="V10" s="3538"/>
      <c r="W10" s="3538"/>
      <c r="X10" s="3538"/>
      <c r="Y10" s="3538"/>
      <c r="Z10" s="3538"/>
      <c r="AA10" s="3538"/>
      <c r="AB10" s="3538"/>
      <c r="AC10" s="3538"/>
      <c r="AD10" s="3538"/>
      <c r="AE10" s="3538"/>
      <c r="AF10" s="3538"/>
      <c r="AG10" s="3538"/>
      <c r="AH10" s="3538"/>
      <c r="AI10" s="3538"/>
      <c r="AJ10" s="3538"/>
      <c r="AK10" s="3539"/>
      <c r="AL10" s="3650"/>
      <c r="AM10" s="3681" t="s">
        <v>917</v>
      </c>
      <c r="AN10" s="1077" t="s">
        <v>918</v>
      </c>
      <c r="AO10" s="1078"/>
      <c r="AP10" s="3655"/>
    </row>
    <row r="11" spans="2:42" ht="21" customHeight="1" thickBot="1" x14ac:dyDescent="0.2">
      <c r="B11" s="3633"/>
      <c r="C11" s="3541"/>
      <c r="D11" s="3541"/>
      <c r="E11" s="3540"/>
      <c r="F11" s="3541"/>
      <c r="G11" s="3541"/>
      <c r="H11" s="3541"/>
      <c r="I11" s="3541"/>
      <c r="J11" s="3541"/>
      <c r="K11" s="3541"/>
      <c r="L11" s="3541"/>
      <c r="M11" s="3541"/>
      <c r="N11" s="3541"/>
      <c r="O11" s="3541"/>
      <c r="P11" s="3541"/>
      <c r="Q11" s="3541"/>
      <c r="R11" s="3541"/>
      <c r="S11" s="3541"/>
      <c r="T11" s="3541"/>
      <c r="U11" s="3541"/>
      <c r="V11" s="3541"/>
      <c r="W11" s="3541"/>
      <c r="X11" s="3541"/>
      <c r="Y11" s="3541"/>
      <c r="Z11" s="3541"/>
      <c r="AA11" s="3541"/>
      <c r="AB11" s="3541"/>
      <c r="AC11" s="3541"/>
      <c r="AD11" s="3541"/>
      <c r="AE11" s="3541"/>
      <c r="AF11" s="3541"/>
      <c r="AG11" s="3541"/>
      <c r="AH11" s="3541"/>
      <c r="AI11" s="3541"/>
      <c r="AJ11" s="3541"/>
      <c r="AK11" s="3542"/>
      <c r="AL11" s="1079"/>
      <c r="AM11" s="3682"/>
      <c r="AN11" s="1080"/>
      <c r="AO11" s="1081" t="s">
        <v>919</v>
      </c>
      <c r="AP11" s="3656"/>
    </row>
    <row r="12" spans="2:42" ht="12" customHeight="1" x14ac:dyDescent="0.15">
      <c r="B12" s="3472">
        <v>1</v>
      </c>
      <c r="C12" s="3473"/>
      <c r="D12" s="3474"/>
      <c r="E12" s="3469" t="s">
        <v>34</v>
      </c>
      <c r="F12" s="3573"/>
      <c r="G12" s="3573"/>
      <c r="H12" s="3573"/>
      <c r="I12" s="3573"/>
      <c r="J12" s="3573"/>
      <c r="K12" s="3573"/>
      <c r="L12" s="3573"/>
      <c r="M12" s="3573"/>
      <c r="N12" s="3573"/>
      <c r="O12" s="3573"/>
      <c r="P12" s="3573"/>
      <c r="Q12" s="3573"/>
      <c r="R12" s="3573"/>
      <c r="S12" s="3573"/>
      <c r="T12" s="3573"/>
      <c r="U12" s="3573"/>
      <c r="V12" s="3573"/>
      <c r="W12" s="3573"/>
      <c r="X12" s="3573"/>
      <c r="Y12" s="3573"/>
      <c r="Z12" s="3573"/>
      <c r="AA12" s="3573"/>
      <c r="AB12" s="3573"/>
      <c r="AC12" s="3573"/>
      <c r="AD12" s="3573"/>
      <c r="AE12" s="3573"/>
      <c r="AF12" s="3573"/>
      <c r="AG12" s="3573"/>
      <c r="AH12" s="3573"/>
      <c r="AI12" s="3573"/>
      <c r="AJ12" s="3573"/>
      <c r="AK12" s="3573"/>
      <c r="AL12" s="3573"/>
      <c r="AM12" s="3573"/>
      <c r="AN12" s="3573"/>
      <c r="AO12" s="3573"/>
      <c r="AP12" s="3574"/>
    </row>
    <row r="13" spans="2:42" ht="11.25" customHeight="1" x14ac:dyDescent="0.15">
      <c r="B13" s="3440" t="s">
        <v>35</v>
      </c>
      <c r="C13" s="3441"/>
      <c r="D13" s="3425"/>
      <c r="E13" s="3496" t="s">
        <v>36</v>
      </c>
      <c r="F13" s="3526"/>
      <c r="G13" s="3526"/>
      <c r="H13" s="3527"/>
      <c r="I13" s="3527"/>
      <c r="J13" s="3527"/>
      <c r="K13" s="3527"/>
      <c r="L13" s="3527"/>
      <c r="M13" s="3527"/>
      <c r="N13" s="3527"/>
      <c r="O13" s="3527"/>
      <c r="P13" s="3527"/>
      <c r="Q13" s="3527"/>
      <c r="R13" s="3527"/>
      <c r="S13" s="3527"/>
      <c r="T13" s="3527"/>
      <c r="U13" s="3638" t="str">
        <f>'1_入力シート【基本情報】'!$U319</f>
        <v>地盤沈下等による不陸、傾斜等の状況</v>
      </c>
      <c r="V13" s="3639"/>
      <c r="W13" s="3639"/>
      <c r="X13" s="3639"/>
      <c r="Y13" s="3639"/>
      <c r="Z13" s="3639"/>
      <c r="AA13" s="3639"/>
      <c r="AB13" s="3639"/>
      <c r="AC13" s="3639"/>
      <c r="AD13" s="3639"/>
      <c r="AE13" s="3639"/>
      <c r="AF13" s="3639"/>
      <c r="AG13" s="3639"/>
      <c r="AH13" s="3639"/>
      <c r="AI13" s="3639"/>
      <c r="AJ13" s="3639"/>
      <c r="AK13" s="3640"/>
      <c r="AL13" s="1082"/>
      <c r="AM13" s="1083" t="str">
        <f>'1_入力シート【基本情報】'!FK319</f>
        <v/>
      </c>
      <c r="AN13" s="1083" t="str">
        <f>'1_入力シート【基本情報】'!FL319</f>
        <v/>
      </c>
      <c r="AO13" s="1083" t="str">
        <f>'1_入力シート【基本情報】'!FM319</f>
        <v/>
      </c>
      <c r="AP13" s="1084">
        <f>'1_入力シート【基本情報】'!FN319</f>
        <v>0</v>
      </c>
    </row>
    <row r="14" spans="2:42" ht="12" customHeight="1" x14ac:dyDescent="0.15">
      <c r="B14" s="3440" t="s">
        <v>920</v>
      </c>
      <c r="C14" s="3441"/>
      <c r="D14" s="3425"/>
      <c r="E14" s="3496" t="s">
        <v>37</v>
      </c>
      <c r="F14" s="3526"/>
      <c r="G14" s="3526"/>
      <c r="H14" s="3527"/>
      <c r="I14" s="3527"/>
      <c r="J14" s="3527"/>
      <c r="K14" s="3527"/>
      <c r="L14" s="3527"/>
      <c r="M14" s="3527"/>
      <c r="N14" s="3527"/>
      <c r="O14" s="3527"/>
      <c r="P14" s="3527"/>
      <c r="Q14" s="3527"/>
      <c r="R14" s="3527"/>
      <c r="S14" s="3527"/>
      <c r="T14" s="3527"/>
      <c r="U14" s="3638" t="str">
        <f>'1_入力シート【基本情報】'!$U320</f>
        <v>敷地内の排水の状況</v>
      </c>
      <c r="V14" s="3639"/>
      <c r="W14" s="3639"/>
      <c r="X14" s="3639"/>
      <c r="Y14" s="3639"/>
      <c r="Z14" s="3639"/>
      <c r="AA14" s="3639"/>
      <c r="AB14" s="3639"/>
      <c r="AC14" s="3639"/>
      <c r="AD14" s="3639"/>
      <c r="AE14" s="3639"/>
      <c r="AF14" s="3639"/>
      <c r="AG14" s="3639"/>
      <c r="AH14" s="3639"/>
      <c r="AI14" s="3639"/>
      <c r="AJ14" s="3639"/>
      <c r="AK14" s="3640"/>
      <c r="AL14" s="1082"/>
      <c r="AM14" s="1083" t="str">
        <f>'1_入力シート【基本情報】'!FK320</f>
        <v/>
      </c>
      <c r="AN14" s="1083" t="str">
        <f>'1_入力シート【基本情報】'!FL320</f>
        <v/>
      </c>
      <c r="AO14" s="1083" t="str">
        <f>'1_入力シート【基本情報】'!FM320</f>
        <v/>
      </c>
      <c r="AP14" s="1084">
        <f>'1_入力シート【基本情報】'!FN320</f>
        <v>0</v>
      </c>
    </row>
    <row r="15" spans="2:42" ht="12" customHeight="1" x14ac:dyDescent="0.15">
      <c r="B15" s="3440" t="s">
        <v>921</v>
      </c>
      <c r="C15" s="3441"/>
      <c r="D15" s="3425"/>
      <c r="E15" s="3520" t="s">
        <v>39</v>
      </c>
      <c r="F15" s="3521"/>
      <c r="G15" s="3521"/>
      <c r="H15" s="3521"/>
      <c r="I15" s="3521"/>
      <c r="J15" s="3521"/>
      <c r="K15" s="3521"/>
      <c r="L15" s="3521"/>
      <c r="M15" s="3521"/>
      <c r="N15" s="3521"/>
      <c r="O15" s="3521"/>
      <c r="P15" s="3521"/>
      <c r="Q15" s="3521"/>
      <c r="R15" s="3521"/>
      <c r="S15" s="3521"/>
      <c r="T15" s="3521"/>
      <c r="U15" s="3638" t="str">
        <f>'1_入力シート【基本情報】'!$U321</f>
        <v>敷地内の通路の確保の状況</v>
      </c>
      <c r="V15" s="3639"/>
      <c r="W15" s="3639"/>
      <c r="X15" s="3639"/>
      <c r="Y15" s="3639"/>
      <c r="Z15" s="3639"/>
      <c r="AA15" s="3639"/>
      <c r="AB15" s="3639"/>
      <c r="AC15" s="3639"/>
      <c r="AD15" s="3639"/>
      <c r="AE15" s="3639"/>
      <c r="AF15" s="3639"/>
      <c r="AG15" s="3639"/>
      <c r="AH15" s="3639"/>
      <c r="AI15" s="3639"/>
      <c r="AJ15" s="3639"/>
      <c r="AK15" s="3640"/>
      <c r="AL15" s="1082"/>
      <c r="AM15" s="1083" t="str">
        <f>'1_入力シート【基本情報】'!FK321</f>
        <v/>
      </c>
      <c r="AN15" s="1083" t="str">
        <f>'1_入力シート【基本情報】'!FL321</f>
        <v/>
      </c>
      <c r="AO15" s="1083" t="str">
        <f>'1_入力シート【基本情報】'!FM321</f>
        <v/>
      </c>
      <c r="AP15" s="1084">
        <f>'1_入力シート【基本情報】'!FN321</f>
        <v>0</v>
      </c>
    </row>
    <row r="16" spans="2:42" ht="12" customHeight="1" x14ac:dyDescent="0.15">
      <c r="B16" s="3440" t="s">
        <v>922</v>
      </c>
      <c r="C16" s="3441"/>
      <c r="D16" s="3425"/>
      <c r="E16" s="3522"/>
      <c r="F16" s="3523"/>
      <c r="G16" s="3523"/>
      <c r="H16" s="3523"/>
      <c r="I16" s="3523"/>
      <c r="J16" s="3523"/>
      <c r="K16" s="3523"/>
      <c r="L16" s="3523"/>
      <c r="M16" s="3523"/>
      <c r="N16" s="3523"/>
      <c r="O16" s="3523"/>
      <c r="P16" s="3523"/>
      <c r="Q16" s="3523"/>
      <c r="R16" s="3523"/>
      <c r="S16" s="3523"/>
      <c r="T16" s="3523"/>
      <c r="U16" s="3638" t="str">
        <f>'1_入力シート【基本情報】'!$U322</f>
        <v>有効幅員の確保の状況</v>
      </c>
      <c r="V16" s="3639"/>
      <c r="W16" s="3639"/>
      <c r="X16" s="3639"/>
      <c r="Y16" s="3639"/>
      <c r="Z16" s="3639"/>
      <c r="AA16" s="3639"/>
      <c r="AB16" s="3639"/>
      <c r="AC16" s="3639"/>
      <c r="AD16" s="3639"/>
      <c r="AE16" s="3639"/>
      <c r="AF16" s="3639"/>
      <c r="AG16" s="3639"/>
      <c r="AH16" s="3639"/>
      <c r="AI16" s="3639"/>
      <c r="AJ16" s="3639"/>
      <c r="AK16" s="3640"/>
      <c r="AL16" s="1082"/>
      <c r="AM16" s="1083" t="str">
        <f>'1_入力シート【基本情報】'!FK322</f>
        <v/>
      </c>
      <c r="AN16" s="1083" t="str">
        <f>'1_入力シート【基本情報】'!FL322</f>
        <v/>
      </c>
      <c r="AO16" s="1083" t="str">
        <f>'1_入力シート【基本情報】'!FM322</f>
        <v/>
      </c>
      <c r="AP16" s="1084">
        <f>'1_入力シート【基本情報】'!FN322</f>
        <v>0</v>
      </c>
    </row>
    <row r="17" spans="2:42" ht="12" customHeight="1" x14ac:dyDescent="0.15">
      <c r="B17" s="3440" t="s">
        <v>923</v>
      </c>
      <c r="C17" s="3441"/>
      <c r="D17" s="3425"/>
      <c r="E17" s="3524"/>
      <c r="F17" s="3525"/>
      <c r="G17" s="3525"/>
      <c r="H17" s="3525"/>
      <c r="I17" s="3525"/>
      <c r="J17" s="3525"/>
      <c r="K17" s="3525"/>
      <c r="L17" s="3525"/>
      <c r="M17" s="3525"/>
      <c r="N17" s="3525"/>
      <c r="O17" s="3525"/>
      <c r="P17" s="3525"/>
      <c r="Q17" s="3525"/>
      <c r="R17" s="3525"/>
      <c r="S17" s="3525"/>
      <c r="T17" s="3525"/>
      <c r="U17" s="3638" t="str">
        <f>'1_入力シート【基本情報】'!$U323</f>
        <v>敷地内の通路の支障物の状況</v>
      </c>
      <c r="V17" s="3639"/>
      <c r="W17" s="3639"/>
      <c r="X17" s="3639"/>
      <c r="Y17" s="3639"/>
      <c r="Z17" s="3639"/>
      <c r="AA17" s="3639"/>
      <c r="AB17" s="3639"/>
      <c r="AC17" s="3639"/>
      <c r="AD17" s="3639"/>
      <c r="AE17" s="3639"/>
      <c r="AF17" s="3639"/>
      <c r="AG17" s="3639"/>
      <c r="AH17" s="3639"/>
      <c r="AI17" s="3639"/>
      <c r="AJ17" s="3639"/>
      <c r="AK17" s="3640"/>
      <c r="AL17" s="1082"/>
      <c r="AM17" s="1083" t="str">
        <f>'1_入力シート【基本情報】'!FK323</f>
        <v/>
      </c>
      <c r="AN17" s="1083" t="str">
        <f>'1_入力シート【基本情報】'!FL323</f>
        <v/>
      </c>
      <c r="AO17" s="1083" t="str">
        <f>'1_入力シート【基本情報】'!FM323</f>
        <v/>
      </c>
      <c r="AP17" s="1084">
        <f>'1_入力シート【基本情報】'!FN323</f>
        <v>0</v>
      </c>
    </row>
    <row r="18" spans="2:42" ht="21" customHeight="1" x14ac:dyDescent="0.15">
      <c r="B18" s="3440" t="s">
        <v>43</v>
      </c>
      <c r="C18" s="3441"/>
      <c r="D18" s="3425"/>
      <c r="E18" s="3471" t="s">
        <v>44</v>
      </c>
      <c r="F18" s="3555"/>
      <c r="G18" s="3556"/>
      <c r="H18" s="3333"/>
      <c r="I18" s="3333"/>
      <c r="J18" s="3333"/>
      <c r="K18" s="3333"/>
      <c r="L18" s="3333"/>
      <c r="M18" s="3333"/>
      <c r="N18" s="3333"/>
      <c r="O18" s="3333"/>
      <c r="P18" s="3333"/>
      <c r="Q18" s="3333"/>
      <c r="R18" s="3333"/>
      <c r="S18" s="3333"/>
      <c r="T18" s="3333"/>
      <c r="U18" s="3672" t="str">
        <f>'1_入力シート【基本情報】'!$U324</f>
        <v xml:space="preserve">組積造の塀又は補強コンクリートブロック造の塀等の耐震対策の状況
</v>
      </c>
      <c r="V18" s="3673"/>
      <c r="W18" s="3673"/>
      <c r="X18" s="3673"/>
      <c r="Y18" s="3673"/>
      <c r="Z18" s="3673"/>
      <c r="AA18" s="3673"/>
      <c r="AB18" s="3673"/>
      <c r="AC18" s="3673"/>
      <c r="AD18" s="3673"/>
      <c r="AE18" s="3673"/>
      <c r="AF18" s="3673"/>
      <c r="AG18" s="3673"/>
      <c r="AH18" s="3673"/>
      <c r="AI18" s="3673"/>
      <c r="AJ18" s="3673"/>
      <c r="AK18" s="3674"/>
      <c r="AL18" s="1082"/>
      <c r="AM18" s="1083" t="str">
        <f>'1_入力シート【基本情報】'!FK324</f>
        <v/>
      </c>
      <c r="AN18" s="1083" t="str">
        <f>'1_入力シート【基本情報】'!FL324</f>
        <v/>
      </c>
      <c r="AO18" s="1083" t="str">
        <f>'1_入力シート【基本情報】'!FM324</f>
        <v/>
      </c>
      <c r="AP18" s="1084">
        <f>'1_入力シート【基本情報】'!FN324</f>
        <v>0</v>
      </c>
    </row>
    <row r="19" spans="2:42" ht="21" customHeight="1" x14ac:dyDescent="0.15">
      <c r="B19" s="3440" t="s">
        <v>924</v>
      </c>
      <c r="C19" s="3441"/>
      <c r="D19" s="3425"/>
      <c r="E19" s="3557"/>
      <c r="F19" s="3558"/>
      <c r="G19" s="3559"/>
      <c r="H19" s="3339"/>
      <c r="I19" s="3339"/>
      <c r="J19" s="3339"/>
      <c r="K19" s="3339"/>
      <c r="L19" s="3339"/>
      <c r="M19" s="3339"/>
      <c r="N19" s="3339"/>
      <c r="O19" s="3339"/>
      <c r="P19" s="3339"/>
      <c r="Q19" s="3339"/>
      <c r="R19" s="3339"/>
      <c r="S19" s="3339"/>
      <c r="T19" s="3339"/>
      <c r="U19" s="3672" t="str">
        <f>'1_入力シート【基本情報】'!$U325</f>
        <v>組積造の塀又は補強コンクリートブロック造の塀等の劣化及び損傷の状況</v>
      </c>
      <c r="V19" s="3673"/>
      <c r="W19" s="3673"/>
      <c r="X19" s="3673"/>
      <c r="Y19" s="3673"/>
      <c r="Z19" s="3673"/>
      <c r="AA19" s="3673"/>
      <c r="AB19" s="3673"/>
      <c r="AC19" s="3673"/>
      <c r="AD19" s="3673"/>
      <c r="AE19" s="3673"/>
      <c r="AF19" s="3673"/>
      <c r="AG19" s="3673"/>
      <c r="AH19" s="3673"/>
      <c r="AI19" s="3673"/>
      <c r="AJ19" s="3673"/>
      <c r="AK19" s="3674"/>
      <c r="AL19" s="1082"/>
      <c r="AM19" s="1083" t="str">
        <f>'1_入力シート【基本情報】'!FK325</f>
        <v/>
      </c>
      <c r="AN19" s="1083" t="str">
        <f>'1_入力シート【基本情報】'!FL325</f>
        <v/>
      </c>
      <c r="AO19" s="1083" t="str">
        <f>'1_入力シート【基本情報】'!FM325</f>
        <v/>
      </c>
      <c r="AP19" s="1084">
        <f>'1_入力シート【基本情報】'!FN325</f>
        <v>0</v>
      </c>
    </row>
    <row r="20" spans="2:42" ht="12" customHeight="1" x14ac:dyDescent="0.15">
      <c r="B20" s="3440" t="s">
        <v>925</v>
      </c>
      <c r="C20" s="3441"/>
      <c r="D20" s="3425"/>
      <c r="E20" s="3520" t="s">
        <v>1238</v>
      </c>
      <c r="F20" s="3521"/>
      <c r="G20" s="3521"/>
      <c r="H20" s="3521"/>
      <c r="I20" s="3521"/>
      <c r="J20" s="3521"/>
      <c r="K20" s="3521"/>
      <c r="L20" s="3521"/>
      <c r="M20" s="3521"/>
      <c r="N20" s="3521"/>
      <c r="O20" s="3521"/>
      <c r="P20" s="3521"/>
      <c r="Q20" s="3521"/>
      <c r="R20" s="3521"/>
      <c r="S20" s="3521"/>
      <c r="T20" s="3521"/>
      <c r="U20" s="3638" t="str">
        <f>'1_入力シート【基本情報】'!$U326</f>
        <v>擁壁の劣化及び損傷の状況</v>
      </c>
      <c r="V20" s="3639"/>
      <c r="W20" s="3639"/>
      <c r="X20" s="3639"/>
      <c r="Y20" s="3639"/>
      <c r="Z20" s="3639"/>
      <c r="AA20" s="3639"/>
      <c r="AB20" s="3639"/>
      <c r="AC20" s="3639"/>
      <c r="AD20" s="3639"/>
      <c r="AE20" s="3639"/>
      <c r="AF20" s="3639"/>
      <c r="AG20" s="3639"/>
      <c r="AH20" s="3639"/>
      <c r="AI20" s="3639"/>
      <c r="AJ20" s="3639"/>
      <c r="AK20" s="3640"/>
      <c r="AL20" s="1082"/>
      <c r="AM20" s="1083" t="str">
        <f>'1_入力シート【基本情報】'!FK326</f>
        <v/>
      </c>
      <c r="AN20" s="1083" t="str">
        <f>'1_入力シート【基本情報】'!FL326</f>
        <v/>
      </c>
      <c r="AO20" s="1083" t="str">
        <f>'1_入力シート【基本情報】'!FM326</f>
        <v/>
      </c>
      <c r="AP20" s="1084">
        <f>'1_入力シート【基本情報】'!FN326</f>
        <v>0</v>
      </c>
    </row>
    <row r="21" spans="2:42" ht="11.25" customHeight="1" thickBot="1" x14ac:dyDescent="0.2">
      <c r="B21" s="3634" t="s">
        <v>926</v>
      </c>
      <c r="C21" s="3635"/>
      <c r="D21" s="3562"/>
      <c r="E21" s="3636"/>
      <c r="F21" s="3637"/>
      <c r="G21" s="3637"/>
      <c r="H21" s="3637"/>
      <c r="I21" s="3637"/>
      <c r="J21" s="3637"/>
      <c r="K21" s="3637"/>
      <c r="L21" s="3637"/>
      <c r="M21" s="3637"/>
      <c r="N21" s="3637"/>
      <c r="O21" s="3637"/>
      <c r="P21" s="3637"/>
      <c r="Q21" s="3637"/>
      <c r="R21" s="3637"/>
      <c r="S21" s="3637"/>
      <c r="T21" s="3637"/>
      <c r="U21" s="3675" t="str">
        <f>'1_入力シート【基本情報】'!$U327</f>
        <v>擁壁の水抜きパイプの維持保全の状況</v>
      </c>
      <c r="V21" s="3676"/>
      <c r="W21" s="3676"/>
      <c r="X21" s="3676"/>
      <c r="Y21" s="3676"/>
      <c r="Z21" s="3676"/>
      <c r="AA21" s="3676"/>
      <c r="AB21" s="3676"/>
      <c r="AC21" s="3676"/>
      <c r="AD21" s="3676"/>
      <c r="AE21" s="3676"/>
      <c r="AF21" s="3676"/>
      <c r="AG21" s="3676"/>
      <c r="AH21" s="3676"/>
      <c r="AI21" s="3676"/>
      <c r="AJ21" s="3676"/>
      <c r="AK21" s="3677"/>
      <c r="AL21" s="1085"/>
      <c r="AM21" s="1086" t="str">
        <f>'1_入力シート【基本情報】'!FK327</f>
        <v/>
      </c>
      <c r="AN21" s="1086" t="str">
        <f>'1_入力シート【基本情報】'!FL327</f>
        <v/>
      </c>
      <c r="AO21" s="1086" t="str">
        <f>'1_入力シート【基本情報】'!FM327</f>
        <v/>
      </c>
      <c r="AP21" s="1087">
        <f>'1_入力シート【基本情報】'!FN327</f>
        <v>0</v>
      </c>
    </row>
    <row r="22" spans="2:42" ht="12" customHeight="1" x14ac:dyDescent="0.15">
      <c r="B22" s="3472">
        <v>2</v>
      </c>
      <c r="C22" s="3473"/>
      <c r="D22" s="3474"/>
      <c r="E22" s="3469" t="s">
        <v>49</v>
      </c>
      <c r="F22" s="3573"/>
      <c r="G22" s="3573"/>
      <c r="H22" s="3573"/>
      <c r="I22" s="3573"/>
      <c r="J22" s="3573"/>
      <c r="K22" s="3573"/>
      <c r="L22" s="3573"/>
      <c r="M22" s="3573"/>
      <c r="N22" s="3573"/>
      <c r="O22" s="3573"/>
      <c r="P22" s="3573"/>
      <c r="Q22" s="3573"/>
      <c r="R22" s="3573"/>
      <c r="S22" s="3573"/>
      <c r="T22" s="3573"/>
      <c r="U22" s="3573"/>
      <c r="V22" s="3573"/>
      <c r="W22" s="3573"/>
      <c r="X22" s="3573"/>
      <c r="Y22" s="3573"/>
      <c r="Z22" s="3573"/>
      <c r="AA22" s="3573"/>
      <c r="AB22" s="3573"/>
      <c r="AC22" s="3573"/>
      <c r="AD22" s="3573"/>
      <c r="AE22" s="3573"/>
      <c r="AF22" s="3573"/>
      <c r="AG22" s="3573"/>
      <c r="AH22" s="3573"/>
      <c r="AI22" s="3573"/>
      <c r="AJ22" s="3573"/>
      <c r="AK22" s="3573"/>
      <c r="AL22" s="3573"/>
      <c r="AM22" s="3573"/>
      <c r="AN22" s="3573"/>
      <c r="AO22" s="3573"/>
      <c r="AP22" s="3574"/>
    </row>
    <row r="23" spans="2:42" ht="12" customHeight="1" x14ac:dyDescent="0.15">
      <c r="B23" s="3440" t="s">
        <v>35</v>
      </c>
      <c r="C23" s="3441"/>
      <c r="D23" s="3425"/>
      <c r="E23" s="3471" t="s">
        <v>50</v>
      </c>
      <c r="F23" s="3555"/>
      <c r="G23" s="3458"/>
      <c r="H23" s="3459"/>
      <c r="I23" s="3459"/>
      <c r="J23" s="3459"/>
      <c r="K23" s="3459"/>
      <c r="L23" s="3459"/>
      <c r="M23" s="3459"/>
      <c r="N23" s="3459"/>
      <c r="O23" s="3459"/>
      <c r="P23" s="3459"/>
      <c r="Q23" s="3459"/>
      <c r="R23" s="3459"/>
      <c r="S23" s="3459"/>
      <c r="T23" s="3459"/>
      <c r="U23" s="3496" t="str">
        <f>'1_入力シート【基本情報】'!$U337</f>
        <v>基礎の沈下等の状況</v>
      </c>
      <c r="V23" s="3466"/>
      <c r="W23" s="3467"/>
      <c r="X23" s="3467"/>
      <c r="Y23" s="3467"/>
      <c r="Z23" s="3467"/>
      <c r="AA23" s="3467"/>
      <c r="AB23" s="3467"/>
      <c r="AC23" s="3467"/>
      <c r="AD23" s="3467"/>
      <c r="AE23" s="3467"/>
      <c r="AF23" s="3467"/>
      <c r="AG23" s="3467"/>
      <c r="AH23" s="3467"/>
      <c r="AI23" s="3467"/>
      <c r="AJ23" s="3467"/>
      <c r="AK23" s="3468"/>
      <c r="AL23" s="1082"/>
      <c r="AM23" s="1083" t="str">
        <f>'1_入力シート【基本情報】'!FK337</f>
        <v/>
      </c>
      <c r="AN23" s="1083" t="str">
        <f>'1_入力シート【基本情報】'!FL337</f>
        <v/>
      </c>
      <c r="AO23" s="1083" t="str">
        <f>'1_入力シート【基本情報】'!FM337</f>
        <v/>
      </c>
      <c r="AP23" s="1084">
        <f>'1_入力シート【基本情報】'!FN337</f>
        <v>0</v>
      </c>
    </row>
    <row r="24" spans="2:42" ht="12" customHeight="1" x14ac:dyDescent="0.15">
      <c r="B24" s="3440" t="s">
        <v>920</v>
      </c>
      <c r="C24" s="3441"/>
      <c r="D24" s="3425"/>
      <c r="E24" s="3557"/>
      <c r="F24" s="3558"/>
      <c r="G24" s="3476"/>
      <c r="H24" s="3477"/>
      <c r="I24" s="3477"/>
      <c r="J24" s="3477"/>
      <c r="K24" s="3477"/>
      <c r="L24" s="3477"/>
      <c r="M24" s="3477"/>
      <c r="N24" s="3477"/>
      <c r="O24" s="3477"/>
      <c r="P24" s="3477"/>
      <c r="Q24" s="3477"/>
      <c r="R24" s="3477"/>
      <c r="S24" s="3477"/>
      <c r="T24" s="3477"/>
      <c r="U24" s="3496" t="str">
        <f>'1_入力シート【基本情報】'!$U338</f>
        <v>基礎の劣化及び損傷の状況</v>
      </c>
      <c r="V24" s="3466"/>
      <c r="W24" s="3467"/>
      <c r="X24" s="3467"/>
      <c r="Y24" s="3467"/>
      <c r="Z24" s="3467"/>
      <c r="AA24" s="3467"/>
      <c r="AB24" s="3467"/>
      <c r="AC24" s="3467"/>
      <c r="AD24" s="3467"/>
      <c r="AE24" s="3467"/>
      <c r="AF24" s="3467"/>
      <c r="AG24" s="3467"/>
      <c r="AH24" s="3467"/>
      <c r="AI24" s="3467"/>
      <c r="AJ24" s="3467"/>
      <c r="AK24" s="3468"/>
      <c r="AL24" s="1082"/>
      <c r="AM24" s="1083" t="str">
        <f>'1_入力シート【基本情報】'!FK338</f>
        <v/>
      </c>
      <c r="AN24" s="1083" t="str">
        <f>'1_入力シート【基本情報】'!FL338</f>
        <v/>
      </c>
      <c r="AO24" s="1083" t="str">
        <f>'1_入力シート【基本情報】'!FM338</f>
        <v/>
      </c>
      <c r="AP24" s="1084">
        <f>'1_入力シート【基本情報】'!FN338</f>
        <v>0</v>
      </c>
    </row>
    <row r="25" spans="2:42" ht="12" customHeight="1" x14ac:dyDescent="0.15">
      <c r="B25" s="3440" t="s">
        <v>921</v>
      </c>
      <c r="C25" s="3441"/>
      <c r="D25" s="3425"/>
      <c r="E25" s="3554" t="s">
        <v>167</v>
      </c>
      <c r="F25" s="3555"/>
      <c r="G25" s="3458"/>
      <c r="H25" s="3459"/>
      <c r="I25" s="3459"/>
      <c r="J25" s="3459"/>
      <c r="K25" s="3459"/>
      <c r="L25" s="3459"/>
      <c r="M25" s="3459"/>
      <c r="N25" s="3459"/>
      <c r="O25" s="3459"/>
      <c r="P25" s="3459"/>
      <c r="Q25" s="3459"/>
      <c r="R25" s="3459"/>
      <c r="S25" s="3459"/>
      <c r="T25" s="3459"/>
      <c r="U25" s="3496" t="str">
        <f>'1_入力シート【基本情報】'!$U339</f>
        <v>土台の沈下等の状況</v>
      </c>
      <c r="V25" s="3466"/>
      <c r="W25" s="3467"/>
      <c r="X25" s="3467"/>
      <c r="Y25" s="3467"/>
      <c r="Z25" s="3467"/>
      <c r="AA25" s="3467"/>
      <c r="AB25" s="3467"/>
      <c r="AC25" s="3467"/>
      <c r="AD25" s="3467"/>
      <c r="AE25" s="3467"/>
      <c r="AF25" s="3467"/>
      <c r="AG25" s="3467"/>
      <c r="AH25" s="3467"/>
      <c r="AI25" s="3467"/>
      <c r="AJ25" s="3467"/>
      <c r="AK25" s="3468"/>
      <c r="AL25" s="1082"/>
      <c r="AM25" s="1083" t="str">
        <f>'1_入力シート【基本情報】'!FK339</f>
        <v/>
      </c>
      <c r="AN25" s="1083" t="str">
        <f>'1_入力シート【基本情報】'!FL339</f>
        <v/>
      </c>
      <c r="AO25" s="1083" t="str">
        <f>'1_入力シート【基本情報】'!FM339</f>
        <v/>
      </c>
      <c r="AP25" s="1084">
        <f>'1_入力シート【基本情報】'!FN339</f>
        <v>0</v>
      </c>
    </row>
    <row r="26" spans="2:42" ht="12" customHeight="1" x14ac:dyDescent="0.15">
      <c r="B26" s="3440" t="s">
        <v>922</v>
      </c>
      <c r="C26" s="3441"/>
      <c r="D26" s="3425"/>
      <c r="E26" s="3557"/>
      <c r="F26" s="3558"/>
      <c r="G26" s="3476"/>
      <c r="H26" s="3477"/>
      <c r="I26" s="3477"/>
      <c r="J26" s="3477"/>
      <c r="K26" s="3477"/>
      <c r="L26" s="3477"/>
      <c r="M26" s="3477"/>
      <c r="N26" s="3477"/>
      <c r="O26" s="3477"/>
      <c r="P26" s="3477"/>
      <c r="Q26" s="3477"/>
      <c r="R26" s="3477"/>
      <c r="S26" s="3477"/>
      <c r="T26" s="3477"/>
      <c r="U26" s="3496" t="str">
        <f>'1_入力シート【基本情報】'!$U340</f>
        <v>土台の劣化及び損傷の状況</v>
      </c>
      <c r="V26" s="3466"/>
      <c r="W26" s="3467"/>
      <c r="X26" s="3467"/>
      <c r="Y26" s="3467"/>
      <c r="Z26" s="3467"/>
      <c r="AA26" s="3467"/>
      <c r="AB26" s="3467"/>
      <c r="AC26" s="3467"/>
      <c r="AD26" s="3467"/>
      <c r="AE26" s="3467"/>
      <c r="AF26" s="3467"/>
      <c r="AG26" s="3467"/>
      <c r="AH26" s="3467"/>
      <c r="AI26" s="3467"/>
      <c r="AJ26" s="3467"/>
      <c r="AK26" s="3468"/>
      <c r="AL26" s="1082"/>
      <c r="AM26" s="1083" t="str">
        <f>'1_入力シート【基本情報】'!FK340</f>
        <v/>
      </c>
      <c r="AN26" s="1083" t="str">
        <f>'1_入力シート【基本情報】'!FL340</f>
        <v/>
      </c>
      <c r="AO26" s="1083" t="str">
        <f>'1_入力シート【基本情報】'!FM340</f>
        <v/>
      </c>
      <c r="AP26" s="1084">
        <f>'1_入力シート【基本情報】'!FN340</f>
        <v>0</v>
      </c>
    </row>
    <row r="27" spans="2:42" ht="21" customHeight="1" x14ac:dyDescent="0.15">
      <c r="B27" s="3440" t="s">
        <v>923</v>
      </c>
      <c r="C27" s="3441"/>
      <c r="D27" s="3425"/>
      <c r="E27" s="3543" t="s">
        <v>161</v>
      </c>
      <c r="F27" s="3592"/>
      <c r="G27" s="3471" t="s">
        <v>55</v>
      </c>
      <c r="H27" s="3458"/>
      <c r="I27" s="3459"/>
      <c r="J27" s="3459"/>
      <c r="K27" s="3459"/>
      <c r="L27" s="3459"/>
      <c r="M27" s="3459"/>
      <c r="N27" s="3459"/>
      <c r="O27" s="3459"/>
      <c r="P27" s="3459"/>
      <c r="Q27" s="3459"/>
      <c r="R27" s="3459"/>
      <c r="S27" s="3459"/>
      <c r="T27" s="3460"/>
      <c r="U27" s="3496" t="str">
        <f>'1_入力シート【基本情報】'!$U341</f>
        <v>外壁、軒裏及び外壁の開口部で延焼のおそれのある部分の防火対策の状況</v>
      </c>
      <c r="V27" s="3466"/>
      <c r="W27" s="3467"/>
      <c r="X27" s="3467"/>
      <c r="Y27" s="3467"/>
      <c r="Z27" s="3467"/>
      <c r="AA27" s="3467"/>
      <c r="AB27" s="3467"/>
      <c r="AC27" s="3467"/>
      <c r="AD27" s="3467"/>
      <c r="AE27" s="3467"/>
      <c r="AF27" s="3467"/>
      <c r="AG27" s="3467"/>
      <c r="AH27" s="3467"/>
      <c r="AI27" s="3467"/>
      <c r="AJ27" s="3467"/>
      <c r="AK27" s="3468"/>
      <c r="AL27" s="1082"/>
      <c r="AM27" s="1083" t="str">
        <f>'1_入力シート【基本情報】'!FK341</f>
        <v/>
      </c>
      <c r="AN27" s="1083" t="str">
        <f>'1_入力シート【基本情報】'!FL341</f>
        <v/>
      </c>
      <c r="AO27" s="1083" t="str">
        <f>'1_入力シート【基本情報】'!FM341</f>
        <v/>
      </c>
      <c r="AP27" s="1084">
        <f>'1_入力シート【基本情報】'!FN341</f>
        <v>0</v>
      </c>
    </row>
    <row r="28" spans="2:42" ht="12" customHeight="1" x14ac:dyDescent="0.15">
      <c r="B28" s="3440" t="s">
        <v>43</v>
      </c>
      <c r="C28" s="3441"/>
      <c r="D28" s="3425"/>
      <c r="E28" s="3570"/>
      <c r="F28" s="3593"/>
      <c r="G28" s="3501"/>
      <c r="H28" s="3502"/>
      <c r="I28" s="3503"/>
      <c r="J28" s="3503"/>
      <c r="K28" s="3503"/>
      <c r="L28" s="3503"/>
      <c r="M28" s="3503"/>
      <c r="N28" s="3503"/>
      <c r="O28" s="3503"/>
      <c r="P28" s="3503"/>
      <c r="Q28" s="3503"/>
      <c r="R28" s="3503"/>
      <c r="S28" s="3503"/>
      <c r="T28" s="3504"/>
      <c r="U28" s="3496" t="str">
        <f>'1_入力シート【基本情報】'!$U342</f>
        <v>木造の外壁躯体の劣化及び損傷の状況</v>
      </c>
      <c r="V28" s="3466"/>
      <c r="W28" s="3467"/>
      <c r="X28" s="3467"/>
      <c r="Y28" s="3467"/>
      <c r="Z28" s="3467"/>
      <c r="AA28" s="3467"/>
      <c r="AB28" s="3467"/>
      <c r="AC28" s="3467"/>
      <c r="AD28" s="3467"/>
      <c r="AE28" s="3467"/>
      <c r="AF28" s="3467"/>
      <c r="AG28" s="3467"/>
      <c r="AH28" s="3467"/>
      <c r="AI28" s="3467"/>
      <c r="AJ28" s="3467"/>
      <c r="AK28" s="3468"/>
      <c r="AL28" s="1082"/>
      <c r="AM28" s="1083" t="str">
        <f>'1_入力シート【基本情報】'!FK342</f>
        <v/>
      </c>
      <c r="AN28" s="1083" t="str">
        <f>'1_入力シート【基本情報】'!FL342</f>
        <v/>
      </c>
      <c r="AO28" s="1083" t="str">
        <f>'1_入力シート【基本情報】'!FM342</f>
        <v/>
      </c>
      <c r="AP28" s="1084">
        <f>'1_入力シート【基本情報】'!FN342</f>
        <v>0</v>
      </c>
    </row>
    <row r="29" spans="2:42" ht="11.25" customHeight="1" x14ac:dyDescent="0.15">
      <c r="B29" s="3440" t="s">
        <v>924</v>
      </c>
      <c r="C29" s="3441"/>
      <c r="D29" s="3425"/>
      <c r="E29" s="3570"/>
      <c r="F29" s="3593"/>
      <c r="G29" s="3501"/>
      <c r="H29" s="3502"/>
      <c r="I29" s="3503"/>
      <c r="J29" s="3503"/>
      <c r="K29" s="3503"/>
      <c r="L29" s="3503"/>
      <c r="M29" s="3503"/>
      <c r="N29" s="3503"/>
      <c r="O29" s="3503"/>
      <c r="P29" s="3503"/>
      <c r="Q29" s="3503"/>
      <c r="R29" s="3503"/>
      <c r="S29" s="3503"/>
      <c r="T29" s="3504"/>
      <c r="U29" s="3496" t="str">
        <f>'1_入力シート【基本情報】'!$U343</f>
        <v>組積造の外壁躯体の劣化及び損傷の状況</v>
      </c>
      <c r="V29" s="3466"/>
      <c r="W29" s="3467"/>
      <c r="X29" s="3467"/>
      <c r="Y29" s="3467"/>
      <c r="Z29" s="3467"/>
      <c r="AA29" s="3467"/>
      <c r="AB29" s="3467"/>
      <c r="AC29" s="3467"/>
      <c r="AD29" s="3467"/>
      <c r="AE29" s="3467"/>
      <c r="AF29" s="3467"/>
      <c r="AG29" s="3467"/>
      <c r="AH29" s="3467"/>
      <c r="AI29" s="3467"/>
      <c r="AJ29" s="3467"/>
      <c r="AK29" s="3468"/>
      <c r="AL29" s="1082"/>
      <c r="AM29" s="1083" t="str">
        <f>'1_入力シート【基本情報】'!FK343</f>
        <v/>
      </c>
      <c r="AN29" s="1083" t="str">
        <f>'1_入力シート【基本情報】'!FL343</f>
        <v/>
      </c>
      <c r="AO29" s="1083" t="str">
        <f>'1_入力シート【基本情報】'!FM343</f>
        <v/>
      </c>
      <c r="AP29" s="1084">
        <f>'1_入力シート【基本情報】'!FN343</f>
        <v>0</v>
      </c>
    </row>
    <row r="30" spans="2:42" ht="21" customHeight="1" x14ac:dyDescent="0.15">
      <c r="B30" s="3440" t="s">
        <v>925</v>
      </c>
      <c r="C30" s="3441"/>
      <c r="D30" s="3425"/>
      <c r="E30" s="3594"/>
      <c r="F30" s="3593"/>
      <c r="G30" s="3501"/>
      <c r="H30" s="3502"/>
      <c r="I30" s="3503"/>
      <c r="J30" s="3503"/>
      <c r="K30" s="3503"/>
      <c r="L30" s="3503"/>
      <c r="M30" s="3503"/>
      <c r="N30" s="3503"/>
      <c r="O30" s="3503"/>
      <c r="P30" s="3503"/>
      <c r="Q30" s="3503"/>
      <c r="R30" s="3503"/>
      <c r="S30" s="3503"/>
      <c r="T30" s="3504"/>
      <c r="U30" s="3496" t="str">
        <f>'1_入力シート【基本情報】'!$U344</f>
        <v>補強コンクリートブロック造の外壁躯体の劣化及び損傷の状況</v>
      </c>
      <c r="V30" s="3466"/>
      <c r="W30" s="3467"/>
      <c r="X30" s="3467"/>
      <c r="Y30" s="3467"/>
      <c r="Z30" s="3467"/>
      <c r="AA30" s="3467"/>
      <c r="AB30" s="3467"/>
      <c r="AC30" s="3467"/>
      <c r="AD30" s="3467"/>
      <c r="AE30" s="3467"/>
      <c r="AF30" s="3467"/>
      <c r="AG30" s="3467"/>
      <c r="AH30" s="3467"/>
      <c r="AI30" s="3467"/>
      <c r="AJ30" s="3467"/>
      <c r="AK30" s="3468"/>
      <c r="AL30" s="1082"/>
      <c r="AM30" s="1083" t="str">
        <f>'1_入力シート【基本情報】'!FK344</f>
        <v/>
      </c>
      <c r="AN30" s="1083" t="str">
        <f>'1_入力シート【基本情報】'!FL344</f>
        <v/>
      </c>
      <c r="AO30" s="1083" t="str">
        <f>'1_入力シート【基本情報】'!FM344</f>
        <v/>
      </c>
      <c r="AP30" s="1084">
        <f>'1_入力シート【基本情報】'!FN344</f>
        <v>0</v>
      </c>
    </row>
    <row r="31" spans="2:42" ht="11.25" customHeight="1" x14ac:dyDescent="0.15">
      <c r="B31" s="3440" t="s">
        <v>926</v>
      </c>
      <c r="C31" s="3441"/>
      <c r="D31" s="3425"/>
      <c r="E31" s="3594"/>
      <c r="F31" s="3593"/>
      <c r="G31" s="3501"/>
      <c r="H31" s="3502"/>
      <c r="I31" s="3503"/>
      <c r="J31" s="3503"/>
      <c r="K31" s="3503"/>
      <c r="L31" s="3503"/>
      <c r="M31" s="3503"/>
      <c r="N31" s="3503"/>
      <c r="O31" s="3503"/>
      <c r="P31" s="3503"/>
      <c r="Q31" s="3503"/>
      <c r="R31" s="3503"/>
      <c r="S31" s="3503"/>
      <c r="T31" s="3504"/>
      <c r="U31" s="3496" t="str">
        <f>'1_入力シート【基本情報】'!$U345</f>
        <v>鉄骨造の外壁躯体の劣化及び損傷の状況</v>
      </c>
      <c r="V31" s="3466"/>
      <c r="W31" s="3467"/>
      <c r="X31" s="3467"/>
      <c r="Y31" s="3467"/>
      <c r="Z31" s="3467"/>
      <c r="AA31" s="3467"/>
      <c r="AB31" s="3467"/>
      <c r="AC31" s="3467"/>
      <c r="AD31" s="3467"/>
      <c r="AE31" s="3467"/>
      <c r="AF31" s="3467"/>
      <c r="AG31" s="3467"/>
      <c r="AH31" s="3467"/>
      <c r="AI31" s="3467"/>
      <c r="AJ31" s="3467"/>
      <c r="AK31" s="3468"/>
      <c r="AL31" s="1082"/>
      <c r="AM31" s="1083" t="str">
        <f>'1_入力シート【基本情報】'!FK345</f>
        <v/>
      </c>
      <c r="AN31" s="1083" t="str">
        <f>'1_入力シート【基本情報】'!FL345</f>
        <v/>
      </c>
      <c r="AO31" s="1083" t="str">
        <f>'1_入力シート【基本情報】'!FM345</f>
        <v/>
      </c>
      <c r="AP31" s="1084">
        <f>'1_入力シート【基本情報】'!FN345</f>
        <v>0</v>
      </c>
    </row>
    <row r="32" spans="2:42" ht="21" customHeight="1" x14ac:dyDescent="0.15">
      <c r="B32" s="3440" t="s">
        <v>927</v>
      </c>
      <c r="C32" s="3441"/>
      <c r="D32" s="3425"/>
      <c r="E32" s="3594"/>
      <c r="F32" s="3593"/>
      <c r="G32" s="3597"/>
      <c r="H32" s="3476"/>
      <c r="I32" s="3477"/>
      <c r="J32" s="3477"/>
      <c r="K32" s="3477"/>
      <c r="L32" s="3477"/>
      <c r="M32" s="3477"/>
      <c r="N32" s="3477"/>
      <c r="O32" s="3477"/>
      <c r="P32" s="3477"/>
      <c r="Q32" s="3477"/>
      <c r="R32" s="3477"/>
      <c r="S32" s="3477"/>
      <c r="T32" s="3478"/>
      <c r="U32" s="3496" t="str">
        <f>'1_入力シート【基本情報】'!$U346</f>
        <v>鉄筋コンクリート造及び鉄骨鉄筋コンクリート造の外壁躯体の劣化及び損傷の状況</v>
      </c>
      <c r="V32" s="3466"/>
      <c r="W32" s="3467"/>
      <c r="X32" s="3467"/>
      <c r="Y32" s="3467"/>
      <c r="Z32" s="3467"/>
      <c r="AA32" s="3467"/>
      <c r="AB32" s="3467"/>
      <c r="AC32" s="3467"/>
      <c r="AD32" s="3467"/>
      <c r="AE32" s="3467"/>
      <c r="AF32" s="3467"/>
      <c r="AG32" s="3467"/>
      <c r="AH32" s="3467"/>
      <c r="AI32" s="3467"/>
      <c r="AJ32" s="3467"/>
      <c r="AK32" s="3468"/>
      <c r="AL32" s="1082"/>
      <c r="AM32" s="1083" t="str">
        <f>'1_入力シート【基本情報】'!FK346</f>
        <v/>
      </c>
      <c r="AN32" s="1083" t="str">
        <f>'1_入力シート【基本情報】'!FL346</f>
        <v/>
      </c>
      <c r="AO32" s="1083" t="str">
        <f>'1_入力シート【基本情報】'!FM346</f>
        <v/>
      </c>
      <c r="AP32" s="1084">
        <f>'1_入力シート【基本情報】'!FN346</f>
        <v>0</v>
      </c>
    </row>
    <row r="33" spans="2:42" ht="21.75" customHeight="1" x14ac:dyDescent="0.15">
      <c r="B33" s="3440" t="s">
        <v>928</v>
      </c>
      <c r="C33" s="3441"/>
      <c r="D33" s="3425"/>
      <c r="E33" s="3594"/>
      <c r="F33" s="3593"/>
      <c r="G33" s="3471" t="s">
        <v>62</v>
      </c>
      <c r="H33" s="3458"/>
      <c r="I33" s="3459"/>
      <c r="J33" s="3459"/>
      <c r="K33" s="3459"/>
      <c r="L33" s="3459"/>
      <c r="M33" s="3459"/>
      <c r="N33" s="3459"/>
      <c r="O33" s="3459"/>
      <c r="P33" s="3459"/>
      <c r="Q33" s="3459"/>
      <c r="R33" s="3459"/>
      <c r="S33" s="3459"/>
      <c r="T33" s="3460"/>
      <c r="U33" s="3496" t="str">
        <f>'1_入力シート【基本情報】'!$U347</f>
        <v>タイル、石貼り等（乾式工法によるものを除く。）、モルタル等の劣化及び損傷の状況</v>
      </c>
      <c r="V33" s="3466"/>
      <c r="W33" s="3467"/>
      <c r="X33" s="3467"/>
      <c r="Y33" s="3467"/>
      <c r="Z33" s="3467"/>
      <c r="AA33" s="3467"/>
      <c r="AB33" s="3467"/>
      <c r="AC33" s="3467"/>
      <c r="AD33" s="3467"/>
      <c r="AE33" s="3467"/>
      <c r="AF33" s="3467"/>
      <c r="AG33" s="3467"/>
      <c r="AH33" s="3467"/>
      <c r="AI33" s="3467"/>
      <c r="AJ33" s="3467"/>
      <c r="AK33" s="3468"/>
      <c r="AL33" s="1082"/>
      <c r="AM33" s="1083" t="str">
        <f>'1_入力シート【基本情報】'!FK347</f>
        <v/>
      </c>
      <c r="AN33" s="1083" t="str">
        <f>'1_入力シート【基本情報】'!FL347</f>
        <v/>
      </c>
      <c r="AO33" s="1083" t="str">
        <f>'1_入力シート【基本情報】'!FM347</f>
        <v/>
      </c>
      <c r="AP33" s="1084">
        <f>'1_入力シート【基本情報】'!FN347</f>
        <v>0</v>
      </c>
    </row>
    <row r="34" spans="2:42" ht="21" customHeight="1" x14ac:dyDescent="0.15">
      <c r="B34" s="3440" t="s">
        <v>929</v>
      </c>
      <c r="C34" s="3441"/>
      <c r="D34" s="3425"/>
      <c r="E34" s="3594"/>
      <c r="F34" s="3593"/>
      <c r="G34" s="3501"/>
      <c r="H34" s="3502"/>
      <c r="I34" s="3503"/>
      <c r="J34" s="3503"/>
      <c r="K34" s="3503"/>
      <c r="L34" s="3503"/>
      <c r="M34" s="3503"/>
      <c r="N34" s="3503"/>
      <c r="O34" s="3503"/>
      <c r="P34" s="3503"/>
      <c r="Q34" s="3503"/>
      <c r="R34" s="3503"/>
      <c r="S34" s="3503"/>
      <c r="T34" s="3504"/>
      <c r="U34" s="3496" t="str">
        <f>'1_入力シート【基本情報】'!$U348</f>
        <v>乾式工法によるタイル、石貼り等の劣化及び損傷の状況</v>
      </c>
      <c r="V34" s="3466"/>
      <c r="W34" s="3467"/>
      <c r="X34" s="3467"/>
      <c r="Y34" s="3467"/>
      <c r="Z34" s="3467"/>
      <c r="AA34" s="3467"/>
      <c r="AB34" s="3467"/>
      <c r="AC34" s="3467"/>
      <c r="AD34" s="3467"/>
      <c r="AE34" s="3467"/>
      <c r="AF34" s="3467"/>
      <c r="AG34" s="3467"/>
      <c r="AH34" s="3467"/>
      <c r="AI34" s="3467"/>
      <c r="AJ34" s="3467"/>
      <c r="AK34" s="3468"/>
      <c r="AL34" s="1082"/>
      <c r="AM34" s="1083" t="str">
        <f>'1_入力シート【基本情報】'!FK348</f>
        <v/>
      </c>
      <c r="AN34" s="1083" t="str">
        <f>'1_入力シート【基本情報】'!FL348</f>
        <v/>
      </c>
      <c r="AO34" s="1083" t="str">
        <f>'1_入力シート【基本情報】'!FM348</f>
        <v/>
      </c>
      <c r="AP34" s="1084">
        <f>'1_入力シート【基本情報】'!FN348</f>
        <v>0</v>
      </c>
    </row>
    <row r="35" spans="2:42" ht="11.25" customHeight="1" x14ac:dyDescent="0.15">
      <c r="B35" s="3440" t="s">
        <v>930</v>
      </c>
      <c r="C35" s="3441"/>
      <c r="D35" s="3425"/>
      <c r="E35" s="3594"/>
      <c r="F35" s="3593"/>
      <c r="G35" s="3501"/>
      <c r="H35" s="3502"/>
      <c r="I35" s="3503"/>
      <c r="J35" s="3503"/>
      <c r="K35" s="3503"/>
      <c r="L35" s="3503"/>
      <c r="M35" s="3503"/>
      <c r="N35" s="3503"/>
      <c r="O35" s="3503"/>
      <c r="P35" s="3503"/>
      <c r="Q35" s="3503"/>
      <c r="R35" s="3503"/>
      <c r="S35" s="3503"/>
      <c r="T35" s="3504"/>
      <c r="U35" s="3496" t="str">
        <f>'1_入力シート【基本情報】'!$U349</f>
        <v>金属系パネル（帳壁を含む。）の劣化及び損傷の状況</v>
      </c>
      <c r="V35" s="3466"/>
      <c r="W35" s="3467"/>
      <c r="X35" s="3467"/>
      <c r="Y35" s="3467"/>
      <c r="Z35" s="3467"/>
      <c r="AA35" s="3467"/>
      <c r="AB35" s="3467"/>
      <c r="AC35" s="3467"/>
      <c r="AD35" s="3467"/>
      <c r="AE35" s="3467"/>
      <c r="AF35" s="3467"/>
      <c r="AG35" s="3467"/>
      <c r="AH35" s="3467"/>
      <c r="AI35" s="3467"/>
      <c r="AJ35" s="3467"/>
      <c r="AK35" s="3468"/>
      <c r="AL35" s="1082"/>
      <c r="AM35" s="1083" t="str">
        <f>'1_入力シート【基本情報】'!FK349</f>
        <v/>
      </c>
      <c r="AN35" s="1083" t="str">
        <f>'1_入力シート【基本情報】'!FL349</f>
        <v/>
      </c>
      <c r="AO35" s="1083" t="str">
        <f>'1_入力シート【基本情報】'!FM349</f>
        <v/>
      </c>
      <c r="AP35" s="1084">
        <f>'1_入力シート【基本情報】'!FN349</f>
        <v>0</v>
      </c>
    </row>
    <row r="36" spans="2:42" ht="21" customHeight="1" x14ac:dyDescent="0.15">
      <c r="B36" s="3440" t="s">
        <v>931</v>
      </c>
      <c r="C36" s="3441"/>
      <c r="D36" s="3425"/>
      <c r="E36" s="3594"/>
      <c r="F36" s="3593"/>
      <c r="G36" s="3501"/>
      <c r="H36" s="3502"/>
      <c r="I36" s="3503"/>
      <c r="J36" s="3503"/>
      <c r="K36" s="3503"/>
      <c r="L36" s="3503"/>
      <c r="M36" s="3503"/>
      <c r="N36" s="3503"/>
      <c r="O36" s="3503"/>
      <c r="P36" s="3503"/>
      <c r="Q36" s="3503"/>
      <c r="R36" s="3503"/>
      <c r="S36" s="3503"/>
      <c r="T36" s="3504"/>
      <c r="U36" s="3496" t="str">
        <f>'1_入力シート【基本情報】'!$U350</f>
        <v>コンクリート系パネル（帳壁を含む。）の劣化及び損傷の状況</v>
      </c>
      <c r="V36" s="3466"/>
      <c r="W36" s="3467"/>
      <c r="X36" s="3467"/>
      <c r="Y36" s="3467"/>
      <c r="Z36" s="3467"/>
      <c r="AA36" s="3467"/>
      <c r="AB36" s="3467"/>
      <c r="AC36" s="3467"/>
      <c r="AD36" s="3467"/>
      <c r="AE36" s="3467"/>
      <c r="AF36" s="3467"/>
      <c r="AG36" s="3467"/>
      <c r="AH36" s="3467"/>
      <c r="AI36" s="3467"/>
      <c r="AJ36" s="3467"/>
      <c r="AK36" s="3468"/>
      <c r="AL36" s="1082"/>
      <c r="AM36" s="1083" t="str">
        <f>'1_入力シート【基本情報】'!FK350</f>
        <v/>
      </c>
      <c r="AN36" s="1083" t="str">
        <f>'1_入力シート【基本情報】'!FL350</f>
        <v/>
      </c>
      <c r="AO36" s="1083" t="str">
        <f>'1_入力シート【基本情報】'!FM350</f>
        <v/>
      </c>
      <c r="AP36" s="1084">
        <f>'1_入力シート【基本情報】'!FN350</f>
        <v>0</v>
      </c>
    </row>
    <row r="37" spans="2:42" ht="12" customHeight="1" x14ac:dyDescent="0.15">
      <c r="B37" s="3440" t="s">
        <v>932</v>
      </c>
      <c r="C37" s="3441"/>
      <c r="D37" s="3425"/>
      <c r="E37" s="3594"/>
      <c r="F37" s="3593"/>
      <c r="G37" s="3471" t="s">
        <v>66</v>
      </c>
      <c r="H37" s="3458"/>
      <c r="I37" s="3459"/>
      <c r="J37" s="3459"/>
      <c r="K37" s="3459"/>
      <c r="L37" s="3459"/>
      <c r="M37" s="3459"/>
      <c r="N37" s="3459"/>
      <c r="O37" s="3459"/>
      <c r="P37" s="3459"/>
      <c r="Q37" s="3459"/>
      <c r="R37" s="3459"/>
      <c r="S37" s="3459"/>
      <c r="T37" s="3460"/>
      <c r="U37" s="3496" t="str">
        <f>'1_入力シート【基本情報】'!$U351</f>
        <v>サッシ等の劣化及び損傷の状況</v>
      </c>
      <c r="V37" s="3466"/>
      <c r="W37" s="3467"/>
      <c r="X37" s="3467"/>
      <c r="Y37" s="3467"/>
      <c r="Z37" s="3467"/>
      <c r="AA37" s="3467"/>
      <c r="AB37" s="3467"/>
      <c r="AC37" s="3467"/>
      <c r="AD37" s="3467"/>
      <c r="AE37" s="3467"/>
      <c r="AF37" s="3467"/>
      <c r="AG37" s="3467"/>
      <c r="AH37" s="3467"/>
      <c r="AI37" s="3467"/>
      <c r="AJ37" s="3467"/>
      <c r="AK37" s="3468"/>
      <c r="AL37" s="1082"/>
      <c r="AM37" s="1083" t="str">
        <f>'1_入力シート【基本情報】'!FK351</f>
        <v/>
      </c>
      <c r="AN37" s="1083" t="str">
        <f>'1_入力シート【基本情報】'!FL351</f>
        <v/>
      </c>
      <c r="AO37" s="1083" t="str">
        <f>'1_入力シート【基本情報】'!FM351</f>
        <v/>
      </c>
      <c r="AP37" s="1084">
        <f>'1_入力シート【基本情報】'!FN351</f>
        <v>0</v>
      </c>
    </row>
    <row r="38" spans="2:42" ht="12" customHeight="1" x14ac:dyDescent="0.15">
      <c r="B38" s="3440" t="s">
        <v>933</v>
      </c>
      <c r="C38" s="3441"/>
      <c r="D38" s="3425"/>
      <c r="E38" s="3594"/>
      <c r="F38" s="3593"/>
      <c r="G38" s="3597"/>
      <c r="H38" s="3476"/>
      <c r="I38" s="3477"/>
      <c r="J38" s="3477"/>
      <c r="K38" s="3477"/>
      <c r="L38" s="3477"/>
      <c r="M38" s="3477"/>
      <c r="N38" s="3477"/>
      <c r="O38" s="3477"/>
      <c r="P38" s="3477"/>
      <c r="Q38" s="3477"/>
      <c r="R38" s="3477"/>
      <c r="S38" s="3477"/>
      <c r="T38" s="3478"/>
      <c r="U38" s="3496" t="str">
        <f>'1_入力シート【基本情報】'!$U352</f>
        <v>はめ殺し窓のガラスの固定の状況</v>
      </c>
      <c r="V38" s="3466"/>
      <c r="W38" s="3467"/>
      <c r="X38" s="3467"/>
      <c r="Y38" s="3467"/>
      <c r="Z38" s="3467"/>
      <c r="AA38" s="3467"/>
      <c r="AB38" s="3467"/>
      <c r="AC38" s="3467"/>
      <c r="AD38" s="3467"/>
      <c r="AE38" s="3467"/>
      <c r="AF38" s="3467"/>
      <c r="AG38" s="3467"/>
      <c r="AH38" s="3467"/>
      <c r="AI38" s="3467"/>
      <c r="AJ38" s="3467"/>
      <c r="AK38" s="3468"/>
      <c r="AL38" s="1082"/>
      <c r="AM38" s="1083" t="str">
        <f>'1_入力シート【基本情報】'!FK352</f>
        <v/>
      </c>
      <c r="AN38" s="1083" t="str">
        <f>'1_入力シート【基本情報】'!FL352</f>
        <v/>
      </c>
      <c r="AO38" s="1083" t="str">
        <f>'1_入力シート【基本情報】'!FM352</f>
        <v/>
      </c>
      <c r="AP38" s="1084">
        <f>'1_入力シート【基本情報】'!FN352</f>
        <v>0</v>
      </c>
    </row>
    <row r="39" spans="2:42" ht="12" customHeight="1" x14ac:dyDescent="0.15">
      <c r="B39" s="3440" t="s">
        <v>934</v>
      </c>
      <c r="C39" s="3441"/>
      <c r="D39" s="3425"/>
      <c r="E39" s="3594"/>
      <c r="F39" s="3593"/>
      <c r="G39" s="3471" t="s">
        <v>1251</v>
      </c>
      <c r="H39" s="3552"/>
      <c r="I39" s="3505"/>
      <c r="J39" s="3505"/>
      <c r="K39" s="3505"/>
      <c r="L39" s="3505"/>
      <c r="M39" s="3505"/>
      <c r="N39" s="3505"/>
      <c r="O39" s="3505"/>
      <c r="P39" s="3505"/>
      <c r="Q39" s="3505"/>
      <c r="R39" s="3505"/>
      <c r="S39" s="3505"/>
      <c r="T39" s="3506"/>
      <c r="U39" s="3496" t="str">
        <f>'1_入力シート【基本情報】'!$U353</f>
        <v>機器本体の劣化及び損傷の状況</v>
      </c>
      <c r="V39" s="3466"/>
      <c r="W39" s="3467"/>
      <c r="X39" s="3467"/>
      <c r="Y39" s="3467"/>
      <c r="Z39" s="3467"/>
      <c r="AA39" s="3467"/>
      <c r="AB39" s="3467"/>
      <c r="AC39" s="3467"/>
      <c r="AD39" s="3467"/>
      <c r="AE39" s="3467"/>
      <c r="AF39" s="3467"/>
      <c r="AG39" s="3467"/>
      <c r="AH39" s="3467"/>
      <c r="AI39" s="3467"/>
      <c r="AJ39" s="3467"/>
      <c r="AK39" s="3468"/>
      <c r="AL39" s="1082"/>
      <c r="AM39" s="1083" t="str">
        <f>'1_入力シート【基本情報】'!FK353</f>
        <v/>
      </c>
      <c r="AN39" s="1083" t="str">
        <f>'1_入力シート【基本情報】'!FL353</f>
        <v/>
      </c>
      <c r="AO39" s="1083" t="str">
        <f>'1_入力シート【基本情報】'!FM353</f>
        <v/>
      </c>
      <c r="AP39" s="1084">
        <f>'1_入力シート【基本情報】'!FN353</f>
        <v>0</v>
      </c>
    </row>
    <row r="40" spans="2:42" ht="12" customHeight="1" thickBot="1" x14ac:dyDescent="0.2">
      <c r="B40" s="3560" t="s">
        <v>935</v>
      </c>
      <c r="C40" s="3561"/>
      <c r="D40" s="3562"/>
      <c r="E40" s="3595"/>
      <c r="F40" s="3596"/>
      <c r="G40" s="3553"/>
      <c r="H40" s="3511"/>
      <c r="I40" s="3512"/>
      <c r="J40" s="3512"/>
      <c r="K40" s="3512"/>
      <c r="L40" s="3512"/>
      <c r="M40" s="3512"/>
      <c r="N40" s="3512"/>
      <c r="O40" s="3512"/>
      <c r="P40" s="3512"/>
      <c r="Q40" s="3512"/>
      <c r="R40" s="3512"/>
      <c r="S40" s="3512"/>
      <c r="T40" s="3513"/>
      <c r="U40" s="3586" t="str">
        <f>'1_入力シート【基本情報】'!$U354</f>
        <v>支持部分等の劣化及び損傷の状況</v>
      </c>
      <c r="V40" s="3587"/>
      <c r="W40" s="3588"/>
      <c r="X40" s="3588"/>
      <c r="Y40" s="3588"/>
      <c r="Z40" s="3588"/>
      <c r="AA40" s="3588"/>
      <c r="AB40" s="3588"/>
      <c r="AC40" s="3588"/>
      <c r="AD40" s="3588"/>
      <c r="AE40" s="3588"/>
      <c r="AF40" s="3588"/>
      <c r="AG40" s="3588"/>
      <c r="AH40" s="3588"/>
      <c r="AI40" s="3588"/>
      <c r="AJ40" s="3588"/>
      <c r="AK40" s="3589"/>
      <c r="AL40" s="1085"/>
      <c r="AM40" s="1086" t="str">
        <f>'1_入力シート【基本情報】'!FK354</f>
        <v/>
      </c>
      <c r="AN40" s="1086" t="str">
        <f>'1_入力シート【基本情報】'!FL354</f>
        <v/>
      </c>
      <c r="AO40" s="1086" t="str">
        <f>'1_入力シート【基本情報】'!FM354</f>
        <v/>
      </c>
      <c r="AP40" s="1087">
        <f>'1_入力シート【基本情報】'!FN354</f>
        <v>0</v>
      </c>
    </row>
    <row r="41" spans="2:42" ht="12" customHeight="1" x14ac:dyDescent="0.15">
      <c r="B41" s="3472" ph="1">
        <v>3</v>
      </c>
      <c r="C41" s="3473" ph="1"/>
      <c r="D41" s="3474"/>
      <c r="E41" s="3469" t="s">
        <v>72</v>
      </c>
      <c r="F41" s="3573"/>
      <c r="G41" s="3573"/>
      <c r="H41" s="3573"/>
      <c r="I41" s="3573"/>
      <c r="J41" s="3573"/>
      <c r="K41" s="3573"/>
      <c r="L41" s="3573"/>
      <c r="M41" s="3573"/>
      <c r="N41" s="3573"/>
      <c r="O41" s="3573"/>
      <c r="P41" s="3573"/>
      <c r="Q41" s="3573"/>
      <c r="R41" s="3573"/>
      <c r="S41" s="3573"/>
      <c r="T41" s="3573"/>
      <c r="U41" s="3573"/>
      <c r="V41" s="3573"/>
      <c r="W41" s="3573"/>
      <c r="X41" s="3573"/>
      <c r="Y41" s="3573"/>
      <c r="Z41" s="3573"/>
      <c r="AA41" s="3573"/>
      <c r="AB41" s="3573"/>
      <c r="AC41" s="3573"/>
      <c r="AD41" s="3573"/>
      <c r="AE41" s="3573"/>
      <c r="AF41" s="3573"/>
      <c r="AG41" s="3573"/>
      <c r="AH41" s="3573"/>
      <c r="AI41" s="3573"/>
      <c r="AJ41" s="3573"/>
      <c r="AK41" s="3573"/>
      <c r="AL41" s="3573"/>
      <c r="AM41" s="3573"/>
      <c r="AN41" s="3573"/>
      <c r="AO41" s="3573"/>
      <c r="AP41" s="3574"/>
    </row>
    <row r="42" spans="2:42" ht="12" customHeight="1" x14ac:dyDescent="0.15">
      <c r="B42" s="3440" t="s">
        <v>35</v>
      </c>
      <c r="C42" s="3441"/>
      <c r="D42" s="3425"/>
      <c r="E42" s="3575" t="s">
        <v>73</v>
      </c>
      <c r="F42" s="3497"/>
      <c r="G42" s="3526"/>
      <c r="H42" s="3527"/>
      <c r="I42" s="3527"/>
      <c r="J42" s="3527"/>
      <c r="K42" s="3527"/>
      <c r="L42" s="3527"/>
      <c r="M42" s="3527"/>
      <c r="N42" s="3527"/>
      <c r="O42" s="3527"/>
      <c r="P42" s="3527"/>
      <c r="Q42" s="3527"/>
      <c r="R42" s="3527"/>
      <c r="S42" s="3527"/>
      <c r="T42" s="3527"/>
      <c r="U42" s="3496" t="str">
        <f>'1_入力シート【基本情報】'!$U364</f>
        <v>屋上面の劣化及び損傷の状況</v>
      </c>
      <c r="V42" s="3466"/>
      <c r="W42" s="3467"/>
      <c r="X42" s="3467"/>
      <c r="Y42" s="3467"/>
      <c r="Z42" s="3467"/>
      <c r="AA42" s="3467"/>
      <c r="AB42" s="3467"/>
      <c r="AC42" s="3467"/>
      <c r="AD42" s="3467"/>
      <c r="AE42" s="3467"/>
      <c r="AF42" s="3467"/>
      <c r="AG42" s="3467"/>
      <c r="AH42" s="3467"/>
      <c r="AI42" s="3467"/>
      <c r="AJ42" s="3467"/>
      <c r="AK42" s="3468"/>
      <c r="AL42" s="1082"/>
      <c r="AM42" s="1083" t="str">
        <f>'1_入力シート【基本情報】'!FK364</f>
        <v/>
      </c>
      <c r="AN42" s="1083" t="str">
        <f>'1_入力シート【基本情報】'!FL364</f>
        <v/>
      </c>
      <c r="AO42" s="1083" t="str">
        <f>'1_入力シート【基本情報】'!FM364</f>
        <v/>
      </c>
      <c r="AP42" s="1084">
        <f>'1_入力シート【基本情報】'!FN364</f>
        <v>0</v>
      </c>
    </row>
    <row r="43" spans="2:42" ht="11.25" customHeight="1" x14ac:dyDescent="0.15">
      <c r="B43" s="3440" t="s">
        <v>920</v>
      </c>
      <c r="C43" s="3441"/>
      <c r="D43" s="3425"/>
      <c r="E43" s="3554" t="s">
        <v>206</v>
      </c>
      <c r="F43" s="3555"/>
      <c r="G43" s="3556"/>
      <c r="H43" s="3333"/>
      <c r="I43" s="3333"/>
      <c r="J43" s="3333"/>
      <c r="K43" s="3333"/>
      <c r="L43" s="3333"/>
      <c r="M43" s="3333"/>
      <c r="N43" s="3333"/>
      <c r="O43" s="3333"/>
      <c r="P43" s="3333"/>
      <c r="Q43" s="3333"/>
      <c r="R43" s="3333"/>
      <c r="S43" s="3333"/>
      <c r="T43" s="3333"/>
      <c r="U43" s="3496" t="str">
        <f>'1_入力シート【基本情報】'!$U365</f>
        <v>パラペットの立上り面の劣化及び損傷の状況</v>
      </c>
      <c r="V43" s="3466"/>
      <c r="W43" s="3467"/>
      <c r="X43" s="3467"/>
      <c r="Y43" s="3467"/>
      <c r="Z43" s="3467"/>
      <c r="AA43" s="3467"/>
      <c r="AB43" s="3467"/>
      <c r="AC43" s="3467"/>
      <c r="AD43" s="3467"/>
      <c r="AE43" s="3467"/>
      <c r="AF43" s="3467"/>
      <c r="AG43" s="3467"/>
      <c r="AH43" s="3467"/>
      <c r="AI43" s="3467"/>
      <c r="AJ43" s="3467"/>
      <c r="AK43" s="3468"/>
      <c r="AL43" s="1082"/>
      <c r="AM43" s="1083" t="str">
        <f>'1_入力シート【基本情報】'!FK365</f>
        <v/>
      </c>
      <c r="AN43" s="1083" t="str">
        <f>'1_入力シート【基本情報】'!FL365</f>
        <v/>
      </c>
      <c r="AO43" s="1083" t="str">
        <f>'1_入力シート【基本情報】'!FM365</f>
        <v/>
      </c>
      <c r="AP43" s="1084">
        <f>'1_入力シート【基本情報】'!FN365</f>
        <v>0</v>
      </c>
    </row>
    <row r="44" spans="2:42" ht="11.25" customHeight="1" x14ac:dyDescent="0.15">
      <c r="B44" s="3440" t="s">
        <v>921</v>
      </c>
      <c r="C44" s="3441"/>
      <c r="D44" s="3425"/>
      <c r="E44" s="3563"/>
      <c r="F44" s="3576"/>
      <c r="G44" s="3564"/>
      <c r="H44" s="3577"/>
      <c r="I44" s="3577"/>
      <c r="J44" s="3577"/>
      <c r="K44" s="3577"/>
      <c r="L44" s="3577"/>
      <c r="M44" s="3577"/>
      <c r="N44" s="3577"/>
      <c r="O44" s="3577"/>
      <c r="P44" s="3577"/>
      <c r="Q44" s="3577"/>
      <c r="R44" s="3577"/>
      <c r="S44" s="3577"/>
      <c r="T44" s="3577"/>
      <c r="U44" s="3496" t="str">
        <f>'1_入力シート【基本情報】'!$U366</f>
        <v>笠木モルタル等の劣化及び損傷の状況</v>
      </c>
      <c r="V44" s="3466"/>
      <c r="W44" s="3467"/>
      <c r="X44" s="3467"/>
      <c r="Y44" s="3467"/>
      <c r="Z44" s="3467"/>
      <c r="AA44" s="3467"/>
      <c r="AB44" s="3467"/>
      <c r="AC44" s="3467"/>
      <c r="AD44" s="3467"/>
      <c r="AE44" s="3467"/>
      <c r="AF44" s="3467"/>
      <c r="AG44" s="3467"/>
      <c r="AH44" s="3467"/>
      <c r="AI44" s="3467"/>
      <c r="AJ44" s="3467"/>
      <c r="AK44" s="3468"/>
      <c r="AL44" s="1082"/>
      <c r="AM44" s="1083" t="str">
        <f>'1_入力シート【基本情報】'!FK366</f>
        <v/>
      </c>
      <c r="AN44" s="1083" t="str">
        <f>'1_入力シート【基本情報】'!FL366</f>
        <v/>
      </c>
      <c r="AO44" s="1083" t="str">
        <f>'1_入力シート【基本情報】'!FM366</f>
        <v/>
      </c>
      <c r="AP44" s="1084">
        <f>'1_入力シート【基本情報】'!FN366</f>
        <v>0</v>
      </c>
    </row>
    <row r="45" spans="2:42" ht="12" customHeight="1" x14ac:dyDescent="0.15">
      <c r="B45" s="3440" t="s">
        <v>922</v>
      </c>
      <c r="C45" s="3441"/>
      <c r="D45" s="3425"/>
      <c r="E45" s="3563"/>
      <c r="F45" s="3576"/>
      <c r="G45" s="3564"/>
      <c r="H45" s="3577"/>
      <c r="I45" s="3577"/>
      <c r="J45" s="3577"/>
      <c r="K45" s="3577"/>
      <c r="L45" s="3577"/>
      <c r="M45" s="3577"/>
      <c r="N45" s="3577"/>
      <c r="O45" s="3577"/>
      <c r="P45" s="3577"/>
      <c r="Q45" s="3577"/>
      <c r="R45" s="3577"/>
      <c r="S45" s="3577"/>
      <c r="T45" s="3577"/>
      <c r="U45" s="3496" t="str">
        <f>'1_入力シート【基本情報】'!$U367</f>
        <v>金属笠木の劣化及び損傷の状況</v>
      </c>
      <c r="V45" s="3466"/>
      <c r="W45" s="3467"/>
      <c r="X45" s="3467"/>
      <c r="Y45" s="3467"/>
      <c r="Z45" s="3467"/>
      <c r="AA45" s="3467"/>
      <c r="AB45" s="3467"/>
      <c r="AC45" s="3467"/>
      <c r="AD45" s="3467"/>
      <c r="AE45" s="3467"/>
      <c r="AF45" s="3467"/>
      <c r="AG45" s="3467"/>
      <c r="AH45" s="3467"/>
      <c r="AI45" s="3467"/>
      <c r="AJ45" s="3467"/>
      <c r="AK45" s="3468"/>
      <c r="AL45" s="1082"/>
      <c r="AM45" s="1083" t="str">
        <f>'1_入力シート【基本情報】'!FK367</f>
        <v/>
      </c>
      <c r="AN45" s="1083" t="str">
        <f>'1_入力シート【基本情報】'!FL367</f>
        <v/>
      </c>
      <c r="AO45" s="1083" t="str">
        <f>'1_入力シート【基本情報】'!FM367</f>
        <v/>
      </c>
      <c r="AP45" s="1084">
        <f>'1_入力シート【基本情報】'!FN367</f>
        <v>0</v>
      </c>
    </row>
    <row r="46" spans="2:42" ht="11.25" customHeight="1" x14ac:dyDescent="0.15">
      <c r="B46" s="3440" t="s">
        <v>923</v>
      </c>
      <c r="C46" s="3441"/>
      <c r="D46" s="3425"/>
      <c r="E46" s="3557"/>
      <c r="F46" s="3558"/>
      <c r="G46" s="3559"/>
      <c r="H46" s="3339"/>
      <c r="I46" s="3339"/>
      <c r="J46" s="3339"/>
      <c r="K46" s="3339"/>
      <c r="L46" s="3339"/>
      <c r="M46" s="3339"/>
      <c r="N46" s="3339"/>
      <c r="O46" s="3339"/>
      <c r="P46" s="3339"/>
      <c r="Q46" s="3339"/>
      <c r="R46" s="3339"/>
      <c r="S46" s="3339"/>
      <c r="T46" s="3339"/>
      <c r="U46" s="3496" t="str">
        <f>'1_入力シート【基本情報】'!$U368</f>
        <v>排水溝（ドレーンを含む。）の劣化及び損傷の状況</v>
      </c>
      <c r="V46" s="3466"/>
      <c r="W46" s="3467"/>
      <c r="X46" s="3467"/>
      <c r="Y46" s="3467"/>
      <c r="Z46" s="3467"/>
      <c r="AA46" s="3467"/>
      <c r="AB46" s="3467"/>
      <c r="AC46" s="3467"/>
      <c r="AD46" s="3467"/>
      <c r="AE46" s="3467"/>
      <c r="AF46" s="3467"/>
      <c r="AG46" s="3467"/>
      <c r="AH46" s="3467"/>
      <c r="AI46" s="3467"/>
      <c r="AJ46" s="3467"/>
      <c r="AK46" s="3468"/>
      <c r="AL46" s="1082"/>
      <c r="AM46" s="1083" t="str">
        <f>'1_入力シート【基本情報】'!FK368</f>
        <v/>
      </c>
      <c r="AN46" s="1083" t="str">
        <f>'1_入力シート【基本情報】'!FL368</f>
        <v/>
      </c>
      <c r="AO46" s="1083" t="str">
        <f>'1_入力シート【基本情報】'!FM368</f>
        <v/>
      </c>
      <c r="AP46" s="1084">
        <f>'1_入力シート【基本情報】'!FN368</f>
        <v>0</v>
      </c>
    </row>
    <row r="47" spans="2:42" ht="12" customHeight="1" x14ac:dyDescent="0.15">
      <c r="B47" s="3440" t="s">
        <v>43</v>
      </c>
      <c r="C47" s="3441"/>
      <c r="D47" s="3425"/>
      <c r="E47" s="3554" t="s">
        <v>168</v>
      </c>
      <c r="F47" s="3555"/>
      <c r="G47" s="3556"/>
      <c r="H47" s="3333"/>
      <c r="I47" s="3333"/>
      <c r="J47" s="3333"/>
      <c r="K47" s="3333"/>
      <c r="L47" s="3333"/>
      <c r="M47" s="3333"/>
      <c r="N47" s="3333"/>
      <c r="O47" s="3333"/>
      <c r="P47" s="3333"/>
      <c r="Q47" s="3333"/>
      <c r="R47" s="3333"/>
      <c r="S47" s="3333"/>
      <c r="T47" s="3333"/>
      <c r="U47" s="3496" t="str">
        <f>'1_入力シート【基本情報】'!$U369</f>
        <v>屋根の防火対策の状況</v>
      </c>
      <c r="V47" s="3466"/>
      <c r="W47" s="3467"/>
      <c r="X47" s="3467"/>
      <c r="Y47" s="3467"/>
      <c r="Z47" s="3467"/>
      <c r="AA47" s="3467"/>
      <c r="AB47" s="3467"/>
      <c r="AC47" s="3467"/>
      <c r="AD47" s="3467"/>
      <c r="AE47" s="3467"/>
      <c r="AF47" s="3467"/>
      <c r="AG47" s="3467"/>
      <c r="AH47" s="3467"/>
      <c r="AI47" s="3467"/>
      <c r="AJ47" s="3467"/>
      <c r="AK47" s="3468"/>
      <c r="AL47" s="1082"/>
      <c r="AM47" s="1083" t="str">
        <f>'1_入力シート【基本情報】'!FK369</f>
        <v/>
      </c>
      <c r="AN47" s="1083" t="str">
        <f>'1_入力シート【基本情報】'!FL369</f>
        <v/>
      </c>
      <c r="AO47" s="1083" t="str">
        <f>'1_入力シート【基本情報】'!FM369</f>
        <v/>
      </c>
      <c r="AP47" s="1084">
        <f>'1_入力シート【基本情報】'!FN369</f>
        <v>0</v>
      </c>
    </row>
    <row r="48" spans="2:42" ht="12" customHeight="1" x14ac:dyDescent="0.15">
      <c r="B48" s="3440" t="s">
        <v>924</v>
      </c>
      <c r="C48" s="3441"/>
      <c r="D48" s="3425"/>
      <c r="E48" s="3557"/>
      <c r="F48" s="3558"/>
      <c r="G48" s="3559"/>
      <c r="H48" s="3339"/>
      <c r="I48" s="3339"/>
      <c r="J48" s="3339"/>
      <c r="K48" s="3339"/>
      <c r="L48" s="3339"/>
      <c r="M48" s="3339"/>
      <c r="N48" s="3339"/>
      <c r="O48" s="3339"/>
      <c r="P48" s="3339"/>
      <c r="Q48" s="3339"/>
      <c r="R48" s="3339"/>
      <c r="S48" s="3339"/>
      <c r="T48" s="3339"/>
      <c r="U48" s="3496" t="str">
        <f>'1_入力シート【基本情報】'!$U370</f>
        <v>屋根の劣化及び損傷の状況</v>
      </c>
      <c r="V48" s="3466"/>
      <c r="W48" s="3467"/>
      <c r="X48" s="3467"/>
      <c r="Y48" s="3467"/>
      <c r="Z48" s="3467"/>
      <c r="AA48" s="3467"/>
      <c r="AB48" s="3467"/>
      <c r="AC48" s="3467"/>
      <c r="AD48" s="3467"/>
      <c r="AE48" s="3467"/>
      <c r="AF48" s="3467"/>
      <c r="AG48" s="3467"/>
      <c r="AH48" s="3467"/>
      <c r="AI48" s="3467"/>
      <c r="AJ48" s="3467"/>
      <c r="AK48" s="3468"/>
      <c r="AL48" s="1082"/>
      <c r="AM48" s="1083" t="str">
        <f>'1_入力シート【基本情報】'!FK370</f>
        <v/>
      </c>
      <c r="AN48" s="1083" t="str">
        <f>'1_入力シート【基本情報】'!FL370</f>
        <v/>
      </c>
      <c r="AO48" s="1083" t="str">
        <f>'1_入力シート【基本情報】'!FM370</f>
        <v/>
      </c>
      <c r="AP48" s="1084">
        <f>'1_入力シート【基本情報】'!FN370</f>
        <v>0</v>
      </c>
    </row>
    <row r="49" spans="2:42" ht="12" customHeight="1" x14ac:dyDescent="0.15">
      <c r="B49" s="3440" t="s">
        <v>925</v>
      </c>
      <c r="C49" s="3441"/>
      <c r="D49" s="3425"/>
      <c r="E49" s="3554" t="s">
        <v>204</v>
      </c>
      <c r="F49" s="3555"/>
      <c r="G49" s="3556"/>
      <c r="H49" s="3333"/>
      <c r="I49" s="3333"/>
      <c r="J49" s="3333"/>
      <c r="K49" s="3333"/>
      <c r="L49" s="3333"/>
      <c r="M49" s="3333"/>
      <c r="N49" s="3333"/>
      <c r="O49" s="3333"/>
      <c r="P49" s="3333"/>
      <c r="Q49" s="3333"/>
      <c r="R49" s="3333"/>
      <c r="S49" s="3333"/>
      <c r="T49" s="3333"/>
      <c r="U49" s="3496" t="str">
        <f>'1_入力シート【基本情報】'!$U371</f>
        <v>機器、工作物本体及び接合部の劣化及び損傷の状況</v>
      </c>
      <c r="V49" s="3466"/>
      <c r="W49" s="3467"/>
      <c r="X49" s="3467"/>
      <c r="Y49" s="3467"/>
      <c r="Z49" s="3467"/>
      <c r="AA49" s="3467"/>
      <c r="AB49" s="3467"/>
      <c r="AC49" s="3467"/>
      <c r="AD49" s="3467"/>
      <c r="AE49" s="3467"/>
      <c r="AF49" s="3467"/>
      <c r="AG49" s="3467"/>
      <c r="AH49" s="3467"/>
      <c r="AI49" s="3467"/>
      <c r="AJ49" s="3467"/>
      <c r="AK49" s="3468"/>
      <c r="AL49" s="1082"/>
      <c r="AM49" s="1083" t="str">
        <f>'1_入力シート【基本情報】'!FK371</f>
        <v/>
      </c>
      <c r="AN49" s="1083" t="str">
        <f>'1_入力シート【基本情報】'!FL371</f>
        <v/>
      </c>
      <c r="AO49" s="1083" t="str">
        <f>'1_入力シート【基本情報】'!FM371</f>
        <v/>
      </c>
      <c r="AP49" s="1084">
        <f>'1_入力シート【基本情報】'!FN371</f>
        <v>0</v>
      </c>
    </row>
    <row r="50" spans="2:42" ht="12" customHeight="1" thickBot="1" x14ac:dyDescent="0.2">
      <c r="B50" s="3560" t="s">
        <v>926</v>
      </c>
      <c r="C50" s="3561"/>
      <c r="D50" s="3562"/>
      <c r="E50" s="3582"/>
      <c r="F50" s="3583"/>
      <c r="G50" s="3584"/>
      <c r="H50" s="3585"/>
      <c r="I50" s="3585"/>
      <c r="J50" s="3585"/>
      <c r="K50" s="3585"/>
      <c r="L50" s="3585"/>
      <c r="M50" s="3585"/>
      <c r="N50" s="3585"/>
      <c r="O50" s="3585"/>
      <c r="P50" s="3585"/>
      <c r="Q50" s="3585"/>
      <c r="R50" s="3585"/>
      <c r="S50" s="3585"/>
      <c r="T50" s="3585"/>
      <c r="U50" s="3496" t="str">
        <f>'1_入力シート【基本情報】'!$U372</f>
        <v>支持部分等の劣化及び損傷の状況</v>
      </c>
      <c r="V50" s="3466"/>
      <c r="W50" s="3467"/>
      <c r="X50" s="3467"/>
      <c r="Y50" s="3467"/>
      <c r="Z50" s="3467"/>
      <c r="AA50" s="3467"/>
      <c r="AB50" s="3467"/>
      <c r="AC50" s="3467"/>
      <c r="AD50" s="3467"/>
      <c r="AE50" s="3467"/>
      <c r="AF50" s="3467"/>
      <c r="AG50" s="3467"/>
      <c r="AH50" s="3467"/>
      <c r="AI50" s="3467"/>
      <c r="AJ50" s="3467"/>
      <c r="AK50" s="3468"/>
      <c r="AL50" s="1085"/>
      <c r="AM50" s="1086" t="str">
        <f>'1_入力シート【基本情報】'!FK372</f>
        <v/>
      </c>
      <c r="AN50" s="1086" t="str">
        <f>'1_入力シート【基本情報】'!FL372</f>
        <v/>
      </c>
      <c r="AO50" s="1086" t="str">
        <f>'1_入力シート【基本情報】'!FM372</f>
        <v/>
      </c>
      <c r="AP50" s="1087">
        <f>'1_入力シート【基本情報】'!FN372</f>
        <v>0</v>
      </c>
    </row>
    <row r="51" spans="2:42" ht="12" customHeight="1" x14ac:dyDescent="0.15">
      <c r="B51" s="3472">
        <v>4</v>
      </c>
      <c r="C51" s="3473"/>
      <c r="D51" s="3474"/>
      <c r="E51" s="3469" t="s">
        <v>81</v>
      </c>
      <c r="F51" s="3573"/>
      <c r="G51" s="3573"/>
      <c r="H51" s="3573"/>
      <c r="I51" s="3573"/>
      <c r="J51" s="3573"/>
      <c r="K51" s="3573"/>
      <c r="L51" s="3573"/>
      <c r="M51" s="3573"/>
      <c r="N51" s="3573"/>
      <c r="O51" s="3573"/>
      <c r="P51" s="3573"/>
      <c r="Q51" s="3573"/>
      <c r="R51" s="3573"/>
      <c r="S51" s="3573"/>
      <c r="T51" s="3573"/>
      <c r="U51" s="3573"/>
      <c r="V51" s="3573"/>
      <c r="W51" s="3573"/>
      <c r="X51" s="3573"/>
      <c r="Y51" s="3573"/>
      <c r="Z51" s="3573"/>
      <c r="AA51" s="3573"/>
      <c r="AB51" s="3573"/>
      <c r="AC51" s="3573"/>
      <c r="AD51" s="3573"/>
      <c r="AE51" s="3573"/>
      <c r="AF51" s="3573"/>
      <c r="AG51" s="3573"/>
      <c r="AH51" s="3573"/>
      <c r="AI51" s="3573"/>
      <c r="AJ51" s="3573"/>
      <c r="AK51" s="3573"/>
      <c r="AL51" s="3573"/>
      <c r="AM51" s="3573"/>
      <c r="AN51" s="3573"/>
      <c r="AO51" s="3573"/>
      <c r="AP51" s="3574"/>
    </row>
    <row r="52" spans="2:42" ht="12" customHeight="1" x14ac:dyDescent="0.15">
      <c r="B52" s="3423" t="s">
        <v>35</v>
      </c>
      <c r="C52" s="3424"/>
      <c r="D52" s="3425"/>
      <c r="E52" s="3543" t="s">
        <v>82</v>
      </c>
      <c r="F52" s="3334"/>
      <c r="G52" s="3471" t="str">
        <f>'1_入力シート【基本情報】'!$R382</f>
        <v>令第112条第11項から第13項までに規定する区画の状況</v>
      </c>
      <c r="H52" s="3555"/>
      <c r="I52" s="3458"/>
      <c r="J52" s="3458"/>
      <c r="K52" s="3459"/>
      <c r="L52" s="3459"/>
      <c r="M52" s="3459"/>
      <c r="N52" s="3459"/>
      <c r="O52" s="3459"/>
      <c r="P52" s="3459"/>
      <c r="Q52" s="3459"/>
      <c r="R52" s="3459"/>
      <c r="S52" s="3459"/>
      <c r="T52" s="3459"/>
      <c r="U52" s="3459"/>
      <c r="V52" s="3459"/>
      <c r="W52" s="3459"/>
      <c r="X52" s="3459"/>
      <c r="Y52" s="3459"/>
      <c r="Z52" s="3459"/>
      <c r="AA52" s="3459"/>
      <c r="AB52" s="3459"/>
      <c r="AC52" s="3459"/>
      <c r="AD52" s="3459"/>
      <c r="AE52" s="3459"/>
      <c r="AF52" s="3459"/>
      <c r="AG52" s="3459"/>
      <c r="AH52" s="3459"/>
      <c r="AI52" s="3459"/>
      <c r="AJ52" s="3459"/>
      <c r="AK52" s="3460"/>
      <c r="AL52" s="1082"/>
      <c r="AM52" s="1083" t="str">
        <f>'1_入力シート【基本情報】'!FK382</f>
        <v/>
      </c>
      <c r="AN52" s="1083" t="str">
        <f>'1_入力シート【基本情報】'!FL382</f>
        <v/>
      </c>
      <c r="AO52" s="1083" t="str">
        <f>'1_入力シート【基本情報】'!FM382</f>
        <v/>
      </c>
      <c r="AP52" s="1088">
        <f>'1_入力シート【基本情報】'!FN382</f>
        <v>0</v>
      </c>
    </row>
    <row r="53" spans="2:42" ht="12" customHeight="1" x14ac:dyDescent="0.15">
      <c r="B53" s="3423" t="s">
        <v>920</v>
      </c>
      <c r="C53" s="3424"/>
      <c r="D53" s="3425"/>
      <c r="E53" s="3335"/>
      <c r="F53" s="3337"/>
      <c r="G53" s="3496" t="str">
        <f>'1_入力シート【基本情報】'!$R383</f>
        <v>令第112条第1項、第4項、第5項又は第7項から第10項までの各項に規定する区画の状況</v>
      </c>
      <c r="H53" s="3497"/>
      <c r="I53" s="3497"/>
      <c r="J53" s="3497"/>
      <c r="K53" s="3497"/>
      <c r="L53" s="3497"/>
      <c r="M53" s="3497"/>
      <c r="N53" s="3497"/>
      <c r="O53" s="3497"/>
      <c r="P53" s="3497"/>
      <c r="Q53" s="3497"/>
      <c r="R53" s="3497"/>
      <c r="S53" s="3497"/>
      <c r="T53" s="3497"/>
      <c r="U53" s="3497"/>
      <c r="V53" s="3497"/>
      <c r="W53" s="3497"/>
      <c r="X53" s="3497"/>
      <c r="Y53" s="3497"/>
      <c r="Z53" s="3497"/>
      <c r="AA53" s="3497"/>
      <c r="AB53" s="3497"/>
      <c r="AC53" s="3497"/>
      <c r="AD53" s="3497"/>
      <c r="AE53" s="3497"/>
      <c r="AF53" s="3497"/>
      <c r="AG53" s="3497"/>
      <c r="AH53" s="3497"/>
      <c r="AI53" s="3497"/>
      <c r="AJ53" s="3497"/>
      <c r="AK53" s="3566"/>
      <c r="AL53" s="1082"/>
      <c r="AM53" s="1088" t="str">
        <f>'1_入力シート【基本情報】'!FK383</f>
        <v/>
      </c>
      <c r="AN53" s="1088" t="str">
        <f>'1_入力シート【基本情報】'!FL383</f>
        <v/>
      </c>
      <c r="AO53" s="1088" t="str">
        <f>'1_入力シート【基本情報】'!FM383</f>
        <v/>
      </c>
      <c r="AP53" s="1084">
        <f>'1_入力シート【基本情報】'!FN383</f>
        <v>0</v>
      </c>
    </row>
    <row r="54" spans="2:42" ht="12" customHeight="1" x14ac:dyDescent="0.15">
      <c r="B54" s="3423" t="s">
        <v>921</v>
      </c>
      <c r="C54" s="3424"/>
      <c r="D54" s="3425"/>
      <c r="E54" s="3335"/>
      <c r="F54" s="3337"/>
      <c r="G54" s="3496" t="str">
        <f>'1_入力シート【基本情報】'!$R384</f>
        <v>令第112条第18項に規定する区画の状況</v>
      </c>
      <c r="H54" s="3497"/>
      <c r="I54" s="3497"/>
      <c r="J54" s="3497"/>
      <c r="K54" s="3497"/>
      <c r="L54" s="3497"/>
      <c r="M54" s="3497"/>
      <c r="N54" s="3497"/>
      <c r="O54" s="3497"/>
      <c r="P54" s="3497"/>
      <c r="Q54" s="3497"/>
      <c r="R54" s="3497"/>
      <c r="S54" s="3497"/>
      <c r="T54" s="3497"/>
      <c r="U54" s="3497"/>
      <c r="V54" s="3497"/>
      <c r="W54" s="3497"/>
      <c r="X54" s="3497"/>
      <c r="Y54" s="3497"/>
      <c r="Z54" s="3497"/>
      <c r="AA54" s="3497"/>
      <c r="AB54" s="3497"/>
      <c r="AC54" s="3497"/>
      <c r="AD54" s="3497"/>
      <c r="AE54" s="3497"/>
      <c r="AF54" s="3497"/>
      <c r="AG54" s="3497"/>
      <c r="AH54" s="3497"/>
      <c r="AI54" s="3497"/>
      <c r="AJ54" s="3497"/>
      <c r="AK54" s="3566"/>
      <c r="AL54" s="1082"/>
      <c r="AM54" s="1088" t="str">
        <f>'1_入力シート【基本情報】'!FK384</f>
        <v/>
      </c>
      <c r="AN54" s="1088" t="str">
        <f>'1_入力シート【基本情報】'!FL384</f>
        <v/>
      </c>
      <c r="AO54" s="1088" t="str">
        <f>'1_入力シート【基本情報】'!FM384</f>
        <v/>
      </c>
      <c r="AP54" s="1084">
        <f>'1_入力シート【基本情報】'!FN384</f>
        <v>0</v>
      </c>
    </row>
    <row r="55" spans="2:42" ht="23.25" customHeight="1" x14ac:dyDescent="0.15">
      <c r="B55" s="3423" t="s">
        <v>922</v>
      </c>
      <c r="C55" s="3424"/>
      <c r="D55" s="3425"/>
      <c r="E55" s="3335"/>
      <c r="F55" s="3337"/>
      <c r="G55" s="3563" t="s">
        <v>83</v>
      </c>
      <c r="H55" s="3564"/>
      <c r="I55" s="3577"/>
      <c r="J55" s="3577"/>
      <c r="K55" s="3577"/>
      <c r="L55" s="3577"/>
      <c r="M55" s="3577"/>
      <c r="N55" s="3577"/>
      <c r="O55" s="3577"/>
      <c r="P55" s="3577"/>
      <c r="Q55" s="3577"/>
      <c r="R55" s="3577"/>
      <c r="S55" s="3577"/>
      <c r="T55" s="3337"/>
      <c r="U55" s="3471" t="str">
        <f>'1_入力シート【基本情報】'!$U385</f>
        <v>令第112条第16項に規定する外壁等及び同条第17項に規定する防火設備の処置の状況</v>
      </c>
      <c r="V55" s="3458"/>
      <c r="W55" s="3459"/>
      <c r="X55" s="3459"/>
      <c r="Y55" s="3459"/>
      <c r="Z55" s="3459"/>
      <c r="AA55" s="3459"/>
      <c r="AB55" s="3459"/>
      <c r="AC55" s="3459"/>
      <c r="AD55" s="3459"/>
      <c r="AE55" s="3459"/>
      <c r="AF55" s="3459"/>
      <c r="AG55" s="3459"/>
      <c r="AH55" s="3459"/>
      <c r="AI55" s="3459"/>
      <c r="AJ55" s="3459"/>
      <c r="AK55" s="3460"/>
      <c r="AL55" s="1082"/>
      <c r="AM55" s="1088" t="str">
        <f>'1_入力シート【基本情報】'!FK385</f>
        <v/>
      </c>
      <c r="AN55" s="1088" t="str">
        <f>'1_入力シート【基本情報】'!FL385</f>
        <v/>
      </c>
      <c r="AO55" s="1088" t="str">
        <f>'1_入力シート【基本情報】'!FM385</f>
        <v/>
      </c>
      <c r="AP55" s="1084">
        <f>'1_入力シート【基本情報】'!FN385</f>
        <v>0</v>
      </c>
    </row>
    <row r="56" spans="2:42" ht="23.25" customHeight="1" x14ac:dyDescent="0.15">
      <c r="B56" s="3423" t="s">
        <v>923</v>
      </c>
      <c r="C56" s="3424"/>
      <c r="D56" s="3425"/>
      <c r="E56" s="3338"/>
      <c r="F56" s="3340"/>
      <c r="G56" s="3557"/>
      <c r="H56" s="3559"/>
      <c r="I56" s="3339"/>
      <c r="J56" s="3339"/>
      <c r="K56" s="3339"/>
      <c r="L56" s="3339"/>
      <c r="M56" s="3339"/>
      <c r="N56" s="3339"/>
      <c r="O56" s="3339"/>
      <c r="P56" s="3339"/>
      <c r="Q56" s="3339"/>
      <c r="R56" s="3339"/>
      <c r="S56" s="3339"/>
      <c r="T56" s="3340"/>
      <c r="U56" s="3471" t="str">
        <f>'1_入力シート【基本情報】'!$U386</f>
        <v>令第112条第16項に規定する外壁等及び同条第17項に規定する防火設備の劣化及び損傷の状況</v>
      </c>
      <c r="V56" s="3458"/>
      <c r="W56" s="3459"/>
      <c r="X56" s="3459"/>
      <c r="Y56" s="3459"/>
      <c r="Z56" s="3459"/>
      <c r="AA56" s="3459"/>
      <c r="AB56" s="3459"/>
      <c r="AC56" s="3459"/>
      <c r="AD56" s="3459"/>
      <c r="AE56" s="3459"/>
      <c r="AF56" s="3459"/>
      <c r="AG56" s="3459"/>
      <c r="AH56" s="3459"/>
      <c r="AI56" s="3459"/>
      <c r="AJ56" s="3459"/>
      <c r="AK56" s="3460"/>
      <c r="AL56" s="1082"/>
      <c r="AM56" s="1088" t="str">
        <f>'1_入力シート【基本情報】'!FK386</f>
        <v/>
      </c>
      <c r="AN56" s="1088" t="str">
        <f>'1_入力シート【基本情報】'!FL386</f>
        <v/>
      </c>
      <c r="AO56" s="1088" t="str">
        <f>'1_入力シート【基本情報】'!FM386</f>
        <v/>
      </c>
      <c r="AP56" s="1084">
        <f>'1_入力シート【基本情報】'!FN386</f>
        <v>0</v>
      </c>
    </row>
    <row r="57" spans="2:42" ht="23.25" customHeight="1" x14ac:dyDescent="0.15">
      <c r="B57" s="3440" t="s">
        <v>43</v>
      </c>
      <c r="C57" s="3441"/>
      <c r="D57" s="3425"/>
      <c r="E57" s="3543" t="s">
        <v>162</v>
      </c>
      <c r="F57" s="3480"/>
      <c r="G57" s="3471" t="s">
        <v>55</v>
      </c>
      <c r="H57" s="3556"/>
      <c r="I57" s="3321"/>
      <c r="J57" s="3321"/>
      <c r="K57" s="3321"/>
      <c r="L57" s="3321"/>
      <c r="M57" s="3321"/>
      <c r="N57" s="3321"/>
      <c r="O57" s="3321"/>
      <c r="P57" s="3321"/>
      <c r="Q57" s="3321"/>
      <c r="R57" s="3321"/>
      <c r="S57" s="3321"/>
      <c r="T57" s="3322"/>
      <c r="U57" s="3471" t="str">
        <f>'1_入力シート【基本情報】'!$U387</f>
        <v>木造の壁の室内に面する部分の躯体の劣化及び損傷の状況</v>
      </c>
      <c r="V57" s="3458"/>
      <c r="W57" s="3459"/>
      <c r="X57" s="3459"/>
      <c r="Y57" s="3459"/>
      <c r="Z57" s="3459"/>
      <c r="AA57" s="3459"/>
      <c r="AB57" s="3459"/>
      <c r="AC57" s="3459"/>
      <c r="AD57" s="3459"/>
      <c r="AE57" s="3459"/>
      <c r="AF57" s="3459"/>
      <c r="AG57" s="3459"/>
      <c r="AH57" s="3459"/>
      <c r="AI57" s="3459"/>
      <c r="AJ57" s="3459"/>
      <c r="AK57" s="3460"/>
      <c r="AL57" s="1082"/>
      <c r="AM57" s="1088" t="str">
        <f>'1_入力シート【基本情報】'!FK387</f>
        <v/>
      </c>
      <c r="AN57" s="1088" t="str">
        <f>'1_入力シート【基本情報】'!FL387</f>
        <v/>
      </c>
      <c r="AO57" s="1088" t="str">
        <f>'1_入力シート【基本情報】'!FM387</f>
        <v/>
      </c>
      <c r="AP57" s="1084">
        <f>'1_入力シート【基本情報】'!FN387</f>
        <v>0</v>
      </c>
    </row>
    <row r="58" spans="2:42" ht="23.25" customHeight="1" x14ac:dyDescent="0.15">
      <c r="B58" s="3423" t="s">
        <v>924</v>
      </c>
      <c r="C58" s="3424"/>
      <c r="D58" s="3425"/>
      <c r="E58" s="3570"/>
      <c r="F58" s="3482"/>
      <c r="G58" s="3578"/>
      <c r="H58" s="3564"/>
      <c r="I58" s="3325"/>
      <c r="J58" s="3325"/>
      <c r="K58" s="3325"/>
      <c r="L58" s="3325"/>
      <c r="M58" s="3325"/>
      <c r="N58" s="3325"/>
      <c r="O58" s="3325"/>
      <c r="P58" s="3325"/>
      <c r="Q58" s="3325"/>
      <c r="R58" s="3325"/>
      <c r="S58" s="3325"/>
      <c r="T58" s="3326"/>
      <c r="U58" s="3471" t="str">
        <f>'1_入力シート【基本情報】'!$U388</f>
        <v>組積造の壁の室内に面する部分の躯体の劣化及び損傷の状況</v>
      </c>
      <c r="V58" s="3458"/>
      <c r="W58" s="3459"/>
      <c r="X58" s="3459"/>
      <c r="Y58" s="3459"/>
      <c r="Z58" s="3459"/>
      <c r="AA58" s="3459"/>
      <c r="AB58" s="3459"/>
      <c r="AC58" s="3459"/>
      <c r="AD58" s="3459"/>
      <c r="AE58" s="3459"/>
      <c r="AF58" s="3459"/>
      <c r="AG58" s="3459"/>
      <c r="AH58" s="3459"/>
      <c r="AI58" s="3459"/>
      <c r="AJ58" s="3459"/>
      <c r="AK58" s="3460"/>
      <c r="AL58" s="1082"/>
      <c r="AM58" s="1088" t="str">
        <f>'1_入力シート【基本情報】'!FK388</f>
        <v/>
      </c>
      <c r="AN58" s="1088" t="str">
        <f>'1_入力シート【基本情報】'!FL388</f>
        <v/>
      </c>
      <c r="AO58" s="1088" t="str">
        <f>'1_入力シート【基本情報】'!FM388</f>
        <v/>
      </c>
      <c r="AP58" s="1084">
        <f>'1_入力シート【基本情報】'!FN388</f>
        <v>0</v>
      </c>
    </row>
    <row r="59" spans="2:42" ht="21" customHeight="1" x14ac:dyDescent="0.15">
      <c r="B59" s="3423" t="s">
        <v>925</v>
      </c>
      <c r="C59" s="3424"/>
      <c r="D59" s="3425"/>
      <c r="E59" s="3481"/>
      <c r="F59" s="3482"/>
      <c r="G59" s="3578"/>
      <c r="H59" s="3564"/>
      <c r="I59" s="3325"/>
      <c r="J59" s="3325"/>
      <c r="K59" s="3325"/>
      <c r="L59" s="3325"/>
      <c r="M59" s="3325"/>
      <c r="N59" s="3325"/>
      <c r="O59" s="3325"/>
      <c r="P59" s="3325"/>
      <c r="Q59" s="3325"/>
      <c r="R59" s="3325"/>
      <c r="S59" s="3325"/>
      <c r="T59" s="3326"/>
      <c r="U59" s="3471" t="str">
        <f>'1_入力シート【基本情報】'!$U389</f>
        <v>補強コンクリートブロック造の壁の室内に面する部分の躯体の劣化及び損傷の状況</v>
      </c>
      <c r="V59" s="3458"/>
      <c r="W59" s="3459"/>
      <c r="X59" s="3459"/>
      <c r="Y59" s="3459"/>
      <c r="Z59" s="3459"/>
      <c r="AA59" s="3459"/>
      <c r="AB59" s="3459"/>
      <c r="AC59" s="3459"/>
      <c r="AD59" s="3459"/>
      <c r="AE59" s="3459"/>
      <c r="AF59" s="3459"/>
      <c r="AG59" s="3459"/>
      <c r="AH59" s="3459"/>
      <c r="AI59" s="3459"/>
      <c r="AJ59" s="3459"/>
      <c r="AK59" s="3460"/>
      <c r="AL59" s="1082"/>
      <c r="AM59" s="1088" t="str">
        <f>'1_入力シート【基本情報】'!FK389</f>
        <v/>
      </c>
      <c r="AN59" s="1088" t="str">
        <f>'1_入力シート【基本情報】'!FL389</f>
        <v/>
      </c>
      <c r="AO59" s="1088" t="str">
        <f>'1_入力シート【基本情報】'!FM389</f>
        <v/>
      </c>
      <c r="AP59" s="1084">
        <f>'1_入力シート【基本情報】'!FN389</f>
        <v>0</v>
      </c>
    </row>
    <row r="60" spans="2:42" ht="23.25" customHeight="1" x14ac:dyDescent="0.15">
      <c r="B60" s="3423" t="s">
        <v>926</v>
      </c>
      <c r="C60" s="3424"/>
      <c r="D60" s="3425"/>
      <c r="E60" s="3481"/>
      <c r="F60" s="3482"/>
      <c r="G60" s="3578"/>
      <c r="H60" s="3564"/>
      <c r="I60" s="3325"/>
      <c r="J60" s="3325"/>
      <c r="K60" s="3325"/>
      <c r="L60" s="3325"/>
      <c r="M60" s="3325"/>
      <c r="N60" s="3325"/>
      <c r="O60" s="3325"/>
      <c r="P60" s="3325"/>
      <c r="Q60" s="3325"/>
      <c r="R60" s="3325"/>
      <c r="S60" s="3325"/>
      <c r="T60" s="3326"/>
      <c r="U60" s="3471" t="str">
        <f>'1_入力シート【基本情報】'!$U390</f>
        <v>鉄骨造の壁の室内に面する部分の躯体の劣化及び損傷の状況</v>
      </c>
      <c r="V60" s="3458"/>
      <c r="W60" s="3459"/>
      <c r="X60" s="3459"/>
      <c r="Y60" s="3459"/>
      <c r="Z60" s="3459"/>
      <c r="AA60" s="3459"/>
      <c r="AB60" s="3459"/>
      <c r="AC60" s="3459"/>
      <c r="AD60" s="3459"/>
      <c r="AE60" s="3459"/>
      <c r="AF60" s="3459"/>
      <c r="AG60" s="3459"/>
      <c r="AH60" s="3459"/>
      <c r="AI60" s="3459"/>
      <c r="AJ60" s="3459"/>
      <c r="AK60" s="3460"/>
      <c r="AL60" s="1082"/>
      <c r="AM60" s="1088" t="str">
        <f>'1_入力シート【基本情報】'!FK390</f>
        <v/>
      </c>
      <c r="AN60" s="1088" t="str">
        <f>'1_入力シート【基本情報】'!FL390</f>
        <v/>
      </c>
      <c r="AO60" s="1088" t="str">
        <f>'1_入力シート【基本情報】'!FM390</f>
        <v/>
      </c>
      <c r="AP60" s="1084">
        <f>'1_入力シート【基本情報】'!FN390</f>
        <v>0</v>
      </c>
    </row>
    <row r="61" spans="2:42" ht="31.5" customHeight="1" x14ac:dyDescent="0.15">
      <c r="B61" s="3423" t="s">
        <v>927</v>
      </c>
      <c r="C61" s="3424"/>
      <c r="D61" s="3425"/>
      <c r="E61" s="3481"/>
      <c r="F61" s="3482"/>
      <c r="G61" s="3475"/>
      <c r="H61" s="3559"/>
      <c r="I61" s="3330"/>
      <c r="J61" s="3330"/>
      <c r="K61" s="3330"/>
      <c r="L61" s="3330"/>
      <c r="M61" s="3330"/>
      <c r="N61" s="3330"/>
      <c r="O61" s="3330"/>
      <c r="P61" s="3330"/>
      <c r="Q61" s="3330"/>
      <c r="R61" s="3330"/>
      <c r="S61" s="3330"/>
      <c r="T61" s="3331"/>
      <c r="U61" s="3471" t="str">
        <f>'1_入力シート【基本情報】'!$U391</f>
        <v>鉄筋コンクリート造及び鉄骨鉄筋コンクリート造の壁の室内に面する部分の躯体の劣化及び損傷の状況</v>
      </c>
      <c r="V61" s="3458"/>
      <c r="W61" s="3459"/>
      <c r="X61" s="3459"/>
      <c r="Y61" s="3459"/>
      <c r="Z61" s="3459"/>
      <c r="AA61" s="3459"/>
      <c r="AB61" s="3459"/>
      <c r="AC61" s="3459"/>
      <c r="AD61" s="3459"/>
      <c r="AE61" s="3459"/>
      <c r="AF61" s="3459"/>
      <c r="AG61" s="3459"/>
      <c r="AH61" s="3459"/>
      <c r="AI61" s="3459"/>
      <c r="AJ61" s="3459"/>
      <c r="AK61" s="3460"/>
      <c r="AL61" s="1082"/>
      <c r="AM61" s="1088" t="str">
        <f>'1_入力シート【基本情報】'!FK391</f>
        <v/>
      </c>
      <c r="AN61" s="1088" t="str">
        <f>'1_入力シート【基本情報】'!FL391</f>
        <v/>
      </c>
      <c r="AO61" s="1088" t="str">
        <f>'1_入力シート【基本情報】'!FM391</f>
        <v/>
      </c>
      <c r="AP61" s="1084">
        <f>'1_入力シート【基本情報】'!FN391</f>
        <v>0</v>
      </c>
    </row>
    <row r="62" spans="2:42" ht="12" customHeight="1" x14ac:dyDescent="0.15">
      <c r="B62" s="3423" t="s">
        <v>928</v>
      </c>
      <c r="C62" s="3424"/>
      <c r="D62" s="3425"/>
      <c r="E62" s="3481"/>
      <c r="F62" s="3482"/>
      <c r="G62" s="3471" t="s">
        <v>217</v>
      </c>
      <c r="H62" s="3321"/>
      <c r="I62" s="3321"/>
      <c r="J62" s="3321"/>
      <c r="K62" s="3321"/>
      <c r="L62" s="3321"/>
      <c r="M62" s="3321"/>
      <c r="N62" s="3321"/>
      <c r="O62" s="3321"/>
      <c r="P62" s="3321"/>
      <c r="Q62" s="3321"/>
      <c r="R62" s="3321"/>
      <c r="S62" s="3321"/>
      <c r="T62" s="3322"/>
      <c r="U62" s="3471" t="str">
        <f>'1_入力シート【基本情報】'!$U392</f>
        <v>準耐火性能等の確保の状況</v>
      </c>
      <c r="V62" s="3458"/>
      <c r="W62" s="3459"/>
      <c r="X62" s="3459"/>
      <c r="Y62" s="3459"/>
      <c r="Z62" s="3459"/>
      <c r="AA62" s="3459"/>
      <c r="AB62" s="3459"/>
      <c r="AC62" s="3459"/>
      <c r="AD62" s="3459"/>
      <c r="AE62" s="3459"/>
      <c r="AF62" s="3459"/>
      <c r="AG62" s="3459"/>
      <c r="AH62" s="3459"/>
      <c r="AI62" s="3459"/>
      <c r="AJ62" s="3459"/>
      <c r="AK62" s="3460"/>
      <c r="AL62" s="1082"/>
      <c r="AM62" s="1088" t="str">
        <f>'1_入力シート【基本情報】'!FK392</f>
        <v/>
      </c>
      <c r="AN62" s="1088" t="str">
        <f>'1_入力シート【基本情報】'!FL392</f>
        <v/>
      </c>
      <c r="AO62" s="1088" t="str">
        <f>'1_入力シート【基本情報】'!FM392</f>
        <v/>
      </c>
      <c r="AP62" s="1084">
        <f>'1_入力シート【基本情報】'!FN392</f>
        <v>0</v>
      </c>
    </row>
    <row r="63" spans="2:42" ht="12" customHeight="1" x14ac:dyDescent="0.15">
      <c r="B63" s="3423" t="s">
        <v>929</v>
      </c>
      <c r="C63" s="3424"/>
      <c r="D63" s="3425"/>
      <c r="E63" s="3481"/>
      <c r="F63" s="3482"/>
      <c r="G63" s="3327"/>
      <c r="H63" s="3325"/>
      <c r="I63" s="3325"/>
      <c r="J63" s="3325"/>
      <c r="K63" s="3325"/>
      <c r="L63" s="3325"/>
      <c r="M63" s="3325"/>
      <c r="N63" s="3325"/>
      <c r="O63" s="3325"/>
      <c r="P63" s="3325"/>
      <c r="Q63" s="3325"/>
      <c r="R63" s="3325"/>
      <c r="S63" s="3325"/>
      <c r="T63" s="3326"/>
      <c r="U63" s="3471" t="str">
        <f>'1_入力シート【基本情報】'!$U393</f>
        <v>部材の劣化及び損傷の状況</v>
      </c>
      <c r="V63" s="3458"/>
      <c r="W63" s="3459"/>
      <c r="X63" s="3459"/>
      <c r="Y63" s="3459"/>
      <c r="Z63" s="3459"/>
      <c r="AA63" s="3459"/>
      <c r="AB63" s="3459"/>
      <c r="AC63" s="3459"/>
      <c r="AD63" s="3459"/>
      <c r="AE63" s="3459"/>
      <c r="AF63" s="3459"/>
      <c r="AG63" s="3459"/>
      <c r="AH63" s="3459"/>
      <c r="AI63" s="3459"/>
      <c r="AJ63" s="3459"/>
      <c r="AK63" s="3460"/>
      <c r="AL63" s="1082"/>
      <c r="AM63" s="1088" t="str">
        <f>'1_入力シート【基本情報】'!FK393</f>
        <v/>
      </c>
      <c r="AN63" s="1088" t="str">
        <f>'1_入力シート【基本情報】'!FL393</f>
        <v/>
      </c>
      <c r="AO63" s="1088" t="str">
        <f>'1_入力シート【基本情報】'!FM393</f>
        <v/>
      </c>
      <c r="AP63" s="1084">
        <f>'1_入力シート【基本情報】'!FN393</f>
        <v>0</v>
      </c>
    </row>
    <row r="64" spans="2:42" ht="12" customHeight="1" x14ac:dyDescent="0.15">
      <c r="B64" s="3423" t="s">
        <v>930</v>
      </c>
      <c r="C64" s="3424"/>
      <c r="D64" s="3425"/>
      <c r="E64" s="3481"/>
      <c r="F64" s="3482"/>
      <c r="G64" s="3327"/>
      <c r="H64" s="3325"/>
      <c r="I64" s="3325"/>
      <c r="J64" s="3325"/>
      <c r="K64" s="3325"/>
      <c r="L64" s="3325"/>
      <c r="M64" s="3325"/>
      <c r="N64" s="3325"/>
      <c r="O64" s="3325"/>
      <c r="P64" s="3325"/>
      <c r="Q64" s="3325"/>
      <c r="R64" s="3325"/>
      <c r="S64" s="3325"/>
      <c r="T64" s="3326"/>
      <c r="U64" s="3471" t="str">
        <f>'1_入力シート【基本情報】'!$U394</f>
        <v>鉄骨の耐火被覆の劣化及び損傷の状況</v>
      </c>
      <c r="V64" s="3458"/>
      <c r="W64" s="3459"/>
      <c r="X64" s="3459"/>
      <c r="Y64" s="3459"/>
      <c r="Z64" s="3459"/>
      <c r="AA64" s="3459"/>
      <c r="AB64" s="3459"/>
      <c r="AC64" s="3459"/>
      <c r="AD64" s="3459"/>
      <c r="AE64" s="3459"/>
      <c r="AF64" s="3459"/>
      <c r="AG64" s="3459"/>
      <c r="AH64" s="3459"/>
      <c r="AI64" s="3459"/>
      <c r="AJ64" s="3459"/>
      <c r="AK64" s="3460"/>
      <c r="AL64" s="1082"/>
      <c r="AM64" s="1088" t="str">
        <f>'1_入力シート【基本情報】'!FK394</f>
        <v/>
      </c>
      <c r="AN64" s="1088" t="str">
        <f>'1_入力シート【基本情報】'!FL394</f>
        <v/>
      </c>
      <c r="AO64" s="1088" t="str">
        <f>'1_入力シート【基本情報】'!FM394</f>
        <v/>
      </c>
      <c r="AP64" s="1084">
        <f>'1_入力シート【基本情報】'!FN394</f>
        <v>0</v>
      </c>
    </row>
    <row r="65" spans="2:42" ht="21" customHeight="1" x14ac:dyDescent="0.15">
      <c r="B65" s="3423" t="s">
        <v>931</v>
      </c>
      <c r="C65" s="3424"/>
      <c r="D65" s="3425"/>
      <c r="E65" s="3481"/>
      <c r="F65" s="3482"/>
      <c r="G65" s="3329"/>
      <c r="H65" s="3330"/>
      <c r="I65" s="3330"/>
      <c r="J65" s="3330"/>
      <c r="K65" s="3330"/>
      <c r="L65" s="3330"/>
      <c r="M65" s="3330"/>
      <c r="N65" s="3330"/>
      <c r="O65" s="3330"/>
      <c r="P65" s="3330"/>
      <c r="Q65" s="3330"/>
      <c r="R65" s="3330"/>
      <c r="S65" s="3330"/>
      <c r="T65" s="3331"/>
      <c r="U65" s="3471" t="str">
        <f>'1_入力シート【基本情報】'!$U395</f>
        <v>給水管、配電管その他の管又は風道の区画貫通部の充填等の処理の状況</v>
      </c>
      <c r="V65" s="3458"/>
      <c r="W65" s="3459"/>
      <c r="X65" s="3459"/>
      <c r="Y65" s="3459"/>
      <c r="Z65" s="3459"/>
      <c r="AA65" s="3459"/>
      <c r="AB65" s="3459"/>
      <c r="AC65" s="3459"/>
      <c r="AD65" s="3459"/>
      <c r="AE65" s="3459"/>
      <c r="AF65" s="3459"/>
      <c r="AG65" s="3459"/>
      <c r="AH65" s="3459"/>
      <c r="AI65" s="3459"/>
      <c r="AJ65" s="3459"/>
      <c r="AK65" s="3460"/>
      <c r="AL65" s="1082"/>
      <c r="AM65" s="1088" t="str">
        <f>'1_入力シート【基本情報】'!FK395</f>
        <v/>
      </c>
      <c r="AN65" s="1088" t="str">
        <f>'1_入力シート【基本情報】'!FL395</f>
        <v/>
      </c>
      <c r="AO65" s="1088" t="str">
        <f>'1_入力シート【基本情報】'!FM395</f>
        <v/>
      </c>
      <c r="AP65" s="1084">
        <f>'1_入力シート【基本情報】'!FN395</f>
        <v>0</v>
      </c>
    </row>
    <row r="66" spans="2:42" ht="21" customHeight="1" x14ac:dyDescent="0.15">
      <c r="B66" s="3423" t="s">
        <v>932</v>
      </c>
      <c r="C66" s="3424"/>
      <c r="D66" s="3425"/>
      <c r="E66" s="3481"/>
      <c r="F66" s="3482"/>
      <c r="G66" s="3494" t="s">
        <v>93</v>
      </c>
      <c r="H66" s="3565"/>
      <c r="I66" s="3527"/>
      <c r="J66" s="3527"/>
      <c r="K66" s="3527"/>
      <c r="L66" s="3527"/>
      <c r="M66" s="3527"/>
      <c r="N66" s="3527"/>
      <c r="O66" s="3527"/>
      <c r="P66" s="3527"/>
      <c r="Q66" s="3527"/>
      <c r="R66" s="3527"/>
      <c r="S66" s="3527"/>
      <c r="T66" s="3527"/>
      <c r="U66" s="3471" t="str">
        <f>'1_入力シート【基本情報】'!$U396</f>
        <v>令第114条に規定する界壁、間仕切壁及び隔壁の状況</v>
      </c>
      <c r="V66" s="3458"/>
      <c r="W66" s="3459"/>
      <c r="X66" s="3459"/>
      <c r="Y66" s="3459"/>
      <c r="Z66" s="3459"/>
      <c r="AA66" s="3459"/>
      <c r="AB66" s="3459"/>
      <c r="AC66" s="3459"/>
      <c r="AD66" s="3459"/>
      <c r="AE66" s="3459"/>
      <c r="AF66" s="3459"/>
      <c r="AG66" s="3459"/>
      <c r="AH66" s="3459"/>
      <c r="AI66" s="3459"/>
      <c r="AJ66" s="3459"/>
      <c r="AK66" s="3460"/>
      <c r="AL66" s="1082"/>
      <c r="AM66" s="1088" t="str">
        <f>'1_入力シート【基本情報】'!FK396</f>
        <v/>
      </c>
      <c r="AN66" s="1088" t="str">
        <f>'1_入力シート【基本情報】'!FL396</f>
        <v/>
      </c>
      <c r="AO66" s="1088" t="str">
        <f>'1_入力シート【基本情報】'!FM396</f>
        <v/>
      </c>
      <c r="AP66" s="1084">
        <f>'1_入力シート【基本情報】'!FN396</f>
        <v>0</v>
      </c>
    </row>
    <row r="67" spans="2:42" ht="21" customHeight="1" x14ac:dyDescent="0.15">
      <c r="B67" s="3423" t="s">
        <v>933</v>
      </c>
      <c r="C67" s="3424"/>
      <c r="D67" s="3425"/>
      <c r="E67" s="3483"/>
      <c r="F67" s="3484"/>
      <c r="G67" s="3494" t="s">
        <v>203</v>
      </c>
      <c r="H67" s="3565"/>
      <c r="I67" s="3527"/>
      <c r="J67" s="3527"/>
      <c r="K67" s="3527"/>
      <c r="L67" s="3527"/>
      <c r="M67" s="3527"/>
      <c r="N67" s="3527"/>
      <c r="O67" s="3527"/>
      <c r="P67" s="3527"/>
      <c r="Q67" s="3527"/>
      <c r="R67" s="3527"/>
      <c r="S67" s="3527"/>
      <c r="T67" s="3527"/>
      <c r="U67" s="3471" t="str">
        <f>'1_入力シート【基本情報】'!$U397</f>
        <v>室内に面する部分の仕上げの維持保全の状況</v>
      </c>
      <c r="V67" s="3458"/>
      <c r="W67" s="3459"/>
      <c r="X67" s="3459"/>
      <c r="Y67" s="3459"/>
      <c r="Z67" s="3459"/>
      <c r="AA67" s="3459"/>
      <c r="AB67" s="3459"/>
      <c r="AC67" s="3459"/>
      <c r="AD67" s="3459"/>
      <c r="AE67" s="3459"/>
      <c r="AF67" s="3459"/>
      <c r="AG67" s="3459"/>
      <c r="AH67" s="3459"/>
      <c r="AI67" s="3459"/>
      <c r="AJ67" s="3459"/>
      <c r="AK67" s="3460"/>
      <c r="AL67" s="1082"/>
      <c r="AM67" s="1088" t="str">
        <f>'1_入力シート【基本情報】'!FK397</f>
        <v/>
      </c>
      <c r="AN67" s="1088" t="str">
        <f>'1_入力シート【基本情報】'!FL397</f>
        <v/>
      </c>
      <c r="AO67" s="1088" t="str">
        <f>'1_入力シート【基本情報】'!FM397</f>
        <v/>
      </c>
      <c r="AP67" s="1084">
        <f>'1_入力シート【基本情報】'!FN397</f>
        <v>0</v>
      </c>
    </row>
    <row r="68" spans="2:42" ht="12" customHeight="1" x14ac:dyDescent="0.15">
      <c r="B68" s="3423" t="s">
        <v>934</v>
      </c>
      <c r="C68" s="3424"/>
      <c r="D68" s="3425"/>
      <c r="E68" s="3543" t="s">
        <v>19</v>
      </c>
      <c r="F68" s="3480"/>
      <c r="G68" s="3471" t="s">
        <v>55</v>
      </c>
      <c r="H68" s="3556"/>
      <c r="I68" s="3321"/>
      <c r="J68" s="3321"/>
      <c r="K68" s="3321"/>
      <c r="L68" s="3321"/>
      <c r="M68" s="3321"/>
      <c r="N68" s="3321"/>
      <c r="O68" s="3321"/>
      <c r="P68" s="3321"/>
      <c r="Q68" s="3321"/>
      <c r="R68" s="3321"/>
      <c r="S68" s="3321"/>
      <c r="T68" s="3322"/>
      <c r="U68" s="3471" t="str">
        <f>'1_入力シート【基本情報】'!$U398</f>
        <v>木造の床躯体の劣化及び損傷の状況</v>
      </c>
      <c r="V68" s="3458"/>
      <c r="W68" s="3459"/>
      <c r="X68" s="3459"/>
      <c r="Y68" s="3459"/>
      <c r="Z68" s="3459"/>
      <c r="AA68" s="3459"/>
      <c r="AB68" s="3459"/>
      <c r="AC68" s="3459"/>
      <c r="AD68" s="3459"/>
      <c r="AE68" s="3459"/>
      <c r="AF68" s="3459"/>
      <c r="AG68" s="3459"/>
      <c r="AH68" s="3459"/>
      <c r="AI68" s="3459"/>
      <c r="AJ68" s="3459"/>
      <c r="AK68" s="3460"/>
      <c r="AL68" s="1082"/>
      <c r="AM68" s="1088" t="str">
        <f>'1_入力シート【基本情報】'!FK398</f>
        <v/>
      </c>
      <c r="AN68" s="1088" t="str">
        <f>'1_入力シート【基本情報】'!FL398</f>
        <v/>
      </c>
      <c r="AO68" s="1088" t="str">
        <f>'1_入力シート【基本情報】'!FM398</f>
        <v/>
      </c>
      <c r="AP68" s="1084">
        <f>'1_入力シート【基本情報】'!FN398</f>
        <v>0</v>
      </c>
    </row>
    <row r="69" spans="2:42" ht="12" customHeight="1" x14ac:dyDescent="0.15">
      <c r="B69" s="3423" t="s">
        <v>935</v>
      </c>
      <c r="C69" s="3424"/>
      <c r="D69" s="3425"/>
      <c r="E69" s="3570"/>
      <c r="F69" s="3482"/>
      <c r="G69" s="3578"/>
      <c r="H69" s="3564"/>
      <c r="I69" s="3325"/>
      <c r="J69" s="3325"/>
      <c r="K69" s="3325"/>
      <c r="L69" s="3325"/>
      <c r="M69" s="3325"/>
      <c r="N69" s="3325"/>
      <c r="O69" s="3325"/>
      <c r="P69" s="3325"/>
      <c r="Q69" s="3325"/>
      <c r="R69" s="3325"/>
      <c r="S69" s="3325"/>
      <c r="T69" s="3326"/>
      <c r="U69" s="3471" t="str">
        <f>'1_入力シート【基本情報】'!$U399</f>
        <v>鉄骨造の床躯体の劣化及び損傷の状況</v>
      </c>
      <c r="V69" s="3458"/>
      <c r="W69" s="3459"/>
      <c r="X69" s="3459"/>
      <c r="Y69" s="3459"/>
      <c r="Z69" s="3459"/>
      <c r="AA69" s="3459"/>
      <c r="AB69" s="3459"/>
      <c r="AC69" s="3459"/>
      <c r="AD69" s="3459"/>
      <c r="AE69" s="3459"/>
      <c r="AF69" s="3459"/>
      <c r="AG69" s="3459"/>
      <c r="AH69" s="3459"/>
      <c r="AI69" s="3459"/>
      <c r="AJ69" s="3459"/>
      <c r="AK69" s="3460"/>
      <c r="AL69" s="1082"/>
      <c r="AM69" s="1088" t="str">
        <f>'1_入力シート【基本情報】'!FK399</f>
        <v/>
      </c>
      <c r="AN69" s="1088" t="str">
        <f>'1_入力シート【基本情報】'!FL399</f>
        <v/>
      </c>
      <c r="AO69" s="1088" t="str">
        <f>'1_入力シート【基本情報】'!FM399</f>
        <v/>
      </c>
      <c r="AP69" s="1084">
        <f>'1_入力シート【基本情報】'!FN399</f>
        <v>0</v>
      </c>
    </row>
    <row r="70" spans="2:42" ht="21.75" customHeight="1" x14ac:dyDescent="0.15">
      <c r="B70" s="3423" t="s">
        <v>937</v>
      </c>
      <c r="C70" s="3424"/>
      <c r="D70" s="3425"/>
      <c r="E70" s="3570"/>
      <c r="F70" s="3482"/>
      <c r="G70" s="3475"/>
      <c r="H70" s="3559"/>
      <c r="I70" s="3330"/>
      <c r="J70" s="3330"/>
      <c r="K70" s="3330"/>
      <c r="L70" s="3330"/>
      <c r="M70" s="3330"/>
      <c r="N70" s="3330"/>
      <c r="O70" s="3330"/>
      <c r="P70" s="3330"/>
      <c r="Q70" s="3330"/>
      <c r="R70" s="3330"/>
      <c r="S70" s="3330"/>
      <c r="T70" s="3331"/>
      <c r="U70" s="3471" t="str">
        <f>'1_入力シート【基本情報】'!$U400</f>
        <v>鉄筋コンクリート造及び鉄骨鉄筋コンクリート造の床躯体の劣化及び損傷の状況</v>
      </c>
      <c r="V70" s="3458"/>
      <c r="W70" s="3459"/>
      <c r="X70" s="3459"/>
      <c r="Y70" s="3459"/>
      <c r="Z70" s="3459"/>
      <c r="AA70" s="3459"/>
      <c r="AB70" s="3459"/>
      <c r="AC70" s="3459"/>
      <c r="AD70" s="3459"/>
      <c r="AE70" s="3459"/>
      <c r="AF70" s="3459"/>
      <c r="AG70" s="3459"/>
      <c r="AH70" s="3459"/>
      <c r="AI70" s="3459"/>
      <c r="AJ70" s="3459"/>
      <c r="AK70" s="3460"/>
      <c r="AL70" s="1082"/>
      <c r="AM70" s="1088" t="str">
        <f>'1_入力シート【基本情報】'!FK400</f>
        <v/>
      </c>
      <c r="AN70" s="1088" t="str">
        <f>'1_入力シート【基本情報】'!FL400</f>
        <v/>
      </c>
      <c r="AO70" s="1088" t="str">
        <f>'1_入力シート【基本情報】'!FM400</f>
        <v/>
      </c>
      <c r="AP70" s="1084">
        <f>'1_入力シート【基本情報】'!FN400</f>
        <v>0</v>
      </c>
    </row>
    <row r="71" spans="2:42" ht="12" customHeight="1" x14ac:dyDescent="0.15">
      <c r="B71" s="3423" t="s">
        <v>938</v>
      </c>
      <c r="C71" s="3424"/>
      <c r="D71" s="3425"/>
      <c r="E71" s="3570"/>
      <c r="F71" s="3482"/>
      <c r="G71" s="3471" t="s">
        <v>221</v>
      </c>
      <c r="H71" s="3556"/>
      <c r="I71" s="3321"/>
      <c r="J71" s="3321"/>
      <c r="K71" s="3321"/>
      <c r="L71" s="3321"/>
      <c r="M71" s="3321"/>
      <c r="N71" s="3321"/>
      <c r="O71" s="3321"/>
      <c r="P71" s="3321"/>
      <c r="Q71" s="3321"/>
      <c r="R71" s="3321"/>
      <c r="S71" s="3321"/>
      <c r="T71" s="3322"/>
      <c r="U71" s="3471" t="str">
        <f>'1_入力シート【基本情報】'!$U401</f>
        <v>準耐火性能等の確保の状況</v>
      </c>
      <c r="V71" s="3458"/>
      <c r="W71" s="3459"/>
      <c r="X71" s="3459"/>
      <c r="Y71" s="3459"/>
      <c r="Z71" s="3459"/>
      <c r="AA71" s="3459"/>
      <c r="AB71" s="3459"/>
      <c r="AC71" s="3459"/>
      <c r="AD71" s="3459"/>
      <c r="AE71" s="3459"/>
      <c r="AF71" s="3459"/>
      <c r="AG71" s="3459"/>
      <c r="AH71" s="3459"/>
      <c r="AI71" s="3459"/>
      <c r="AJ71" s="3459"/>
      <c r="AK71" s="3460"/>
      <c r="AL71" s="1082"/>
      <c r="AM71" s="1088" t="str">
        <f>'1_入力シート【基本情報】'!FK401</f>
        <v/>
      </c>
      <c r="AN71" s="1088" t="str">
        <f>'1_入力シート【基本情報】'!FL401</f>
        <v/>
      </c>
      <c r="AO71" s="1088" t="str">
        <f>'1_入力シート【基本情報】'!FM401</f>
        <v/>
      </c>
      <c r="AP71" s="1084">
        <f>'1_入力シート【基本情報】'!FN401</f>
        <v>0</v>
      </c>
    </row>
    <row r="72" spans="2:42" ht="12" customHeight="1" x14ac:dyDescent="0.15">
      <c r="B72" s="3423" t="s">
        <v>939</v>
      </c>
      <c r="C72" s="3424"/>
      <c r="D72" s="3425"/>
      <c r="E72" s="3570"/>
      <c r="F72" s="3482"/>
      <c r="G72" s="3563"/>
      <c r="H72" s="3564"/>
      <c r="I72" s="3325"/>
      <c r="J72" s="3325"/>
      <c r="K72" s="3325"/>
      <c r="L72" s="3325"/>
      <c r="M72" s="3325"/>
      <c r="N72" s="3325"/>
      <c r="O72" s="3325"/>
      <c r="P72" s="3325"/>
      <c r="Q72" s="3325"/>
      <c r="R72" s="3325"/>
      <c r="S72" s="3325"/>
      <c r="T72" s="3326"/>
      <c r="U72" s="3471" t="str">
        <f>'1_入力シート【基本情報】'!$U402</f>
        <v>部材の劣化及び損傷の状況</v>
      </c>
      <c r="V72" s="3458"/>
      <c r="W72" s="3459"/>
      <c r="X72" s="3459"/>
      <c r="Y72" s="3459"/>
      <c r="Z72" s="3459"/>
      <c r="AA72" s="3459"/>
      <c r="AB72" s="3459"/>
      <c r="AC72" s="3459"/>
      <c r="AD72" s="3459"/>
      <c r="AE72" s="3459"/>
      <c r="AF72" s="3459"/>
      <c r="AG72" s="3459"/>
      <c r="AH72" s="3459"/>
      <c r="AI72" s="3459"/>
      <c r="AJ72" s="3459"/>
      <c r="AK72" s="3460"/>
      <c r="AL72" s="1082"/>
      <c r="AM72" s="1088" t="str">
        <f>'1_入力シート【基本情報】'!FK402</f>
        <v/>
      </c>
      <c r="AN72" s="1088" t="str">
        <f>'1_入力シート【基本情報】'!FL402</f>
        <v/>
      </c>
      <c r="AO72" s="1088" t="str">
        <f>'1_入力シート【基本情報】'!FM402</f>
        <v/>
      </c>
      <c r="AP72" s="1084">
        <f>'1_入力シート【基本情報】'!FN402</f>
        <v>0</v>
      </c>
    </row>
    <row r="73" spans="2:42" ht="21" customHeight="1" x14ac:dyDescent="0.15">
      <c r="B73" s="3423" t="s">
        <v>940</v>
      </c>
      <c r="C73" s="3424"/>
      <c r="D73" s="3425"/>
      <c r="E73" s="3571"/>
      <c r="F73" s="3484"/>
      <c r="G73" s="3557"/>
      <c r="H73" s="3559"/>
      <c r="I73" s="3330"/>
      <c r="J73" s="3330"/>
      <c r="K73" s="3330"/>
      <c r="L73" s="3330"/>
      <c r="M73" s="3330"/>
      <c r="N73" s="3330"/>
      <c r="O73" s="3330"/>
      <c r="P73" s="3330"/>
      <c r="Q73" s="3330"/>
      <c r="R73" s="3330"/>
      <c r="S73" s="3330"/>
      <c r="T73" s="3331"/>
      <c r="U73" s="3471" t="str">
        <f>'1_入力シート【基本情報】'!$U403</f>
        <v>給水管、配電管その他の管又は風道の区画貫通部の充填等の処理の状況</v>
      </c>
      <c r="V73" s="3458"/>
      <c r="W73" s="3459"/>
      <c r="X73" s="3459"/>
      <c r="Y73" s="3459"/>
      <c r="Z73" s="3459"/>
      <c r="AA73" s="3459"/>
      <c r="AB73" s="3459"/>
      <c r="AC73" s="3459"/>
      <c r="AD73" s="3459"/>
      <c r="AE73" s="3459"/>
      <c r="AF73" s="3459"/>
      <c r="AG73" s="3459"/>
      <c r="AH73" s="3459"/>
      <c r="AI73" s="3459"/>
      <c r="AJ73" s="3459"/>
      <c r="AK73" s="3460"/>
      <c r="AL73" s="1082"/>
      <c r="AM73" s="1088" t="str">
        <f>'1_入力シート【基本情報】'!FK403</f>
        <v/>
      </c>
      <c r="AN73" s="1088" t="str">
        <f>'1_入力シート【基本情報】'!FL403</f>
        <v/>
      </c>
      <c r="AO73" s="1088" t="str">
        <f>'1_入力シート【基本情報】'!FM403</f>
        <v/>
      </c>
      <c r="AP73" s="1084">
        <f>'1_入力シート【基本情報】'!FN403</f>
        <v>0</v>
      </c>
    </row>
    <row r="74" spans="2:42" ht="12" customHeight="1" x14ac:dyDescent="0.15">
      <c r="B74" s="3423" t="s">
        <v>941</v>
      </c>
      <c r="C74" s="3424"/>
      <c r="D74" s="3425"/>
      <c r="E74" s="3543" t="s">
        <v>100</v>
      </c>
      <c r="F74" s="3480"/>
      <c r="G74" s="3457" t="s">
        <v>202</v>
      </c>
      <c r="H74" s="3321"/>
      <c r="I74" s="3321"/>
      <c r="J74" s="3321"/>
      <c r="K74" s="3321"/>
      <c r="L74" s="3321"/>
      <c r="M74" s="3321"/>
      <c r="N74" s="3321"/>
      <c r="O74" s="3321"/>
      <c r="P74" s="3321"/>
      <c r="Q74" s="3321"/>
      <c r="R74" s="3321"/>
      <c r="S74" s="3321"/>
      <c r="T74" s="3322"/>
      <c r="U74" s="3457" t="str">
        <f>'1_入力シート【基本情報】'!$U404</f>
        <v>室内に面する部分の仕上げの維持保全の状況</v>
      </c>
      <c r="V74" s="3458"/>
      <c r="W74" s="3459"/>
      <c r="X74" s="3459"/>
      <c r="Y74" s="3459"/>
      <c r="Z74" s="3459"/>
      <c r="AA74" s="3459"/>
      <c r="AB74" s="3459"/>
      <c r="AC74" s="3459"/>
      <c r="AD74" s="3459"/>
      <c r="AE74" s="3459"/>
      <c r="AF74" s="3459"/>
      <c r="AG74" s="3459"/>
      <c r="AH74" s="3459"/>
      <c r="AI74" s="3459"/>
      <c r="AJ74" s="3459"/>
      <c r="AK74" s="3460"/>
      <c r="AL74" s="1082"/>
      <c r="AM74" s="1088" t="str">
        <f>'1_入力シート【基本情報】'!FK404</f>
        <v/>
      </c>
      <c r="AN74" s="1088" t="str">
        <f>'1_入力シート【基本情報】'!FL404</f>
        <v/>
      </c>
      <c r="AO74" s="1088" t="str">
        <f>'1_入力シート【基本情報】'!FM404</f>
        <v/>
      </c>
      <c r="AP74" s="1084">
        <f>'1_入力シート【基本情報】'!FN404</f>
        <v>0</v>
      </c>
    </row>
    <row r="75" spans="2:42" ht="11.25" customHeight="1" x14ac:dyDescent="0.15">
      <c r="B75" s="3423" t="s">
        <v>942</v>
      </c>
      <c r="C75" s="3424"/>
      <c r="D75" s="3425"/>
      <c r="E75" s="3544"/>
      <c r="F75" s="3482"/>
      <c r="G75" s="3329"/>
      <c r="H75" s="3330"/>
      <c r="I75" s="3330"/>
      <c r="J75" s="3330"/>
      <c r="K75" s="3330"/>
      <c r="L75" s="3330"/>
      <c r="M75" s="3330"/>
      <c r="N75" s="3330"/>
      <c r="O75" s="3330"/>
      <c r="P75" s="3330"/>
      <c r="Q75" s="3330"/>
      <c r="R75" s="3330"/>
      <c r="S75" s="3330"/>
      <c r="T75" s="3331"/>
      <c r="U75" s="3457" t="str">
        <f>'1_入力シート【基本情報】'!$U405</f>
        <v>室内に面する部分の仕上げの劣化及び損傷の状況</v>
      </c>
      <c r="V75" s="3458"/>
      <c r="W75" s="3459"/>
      <c r="X75" s="3459"/>
      <c r="Y75" s="3459"/>
      <c r="Z75" s="3459"/>
      <c r="AA75" s="3459"/>
      <c r="AB75" s="3459"/>
      <c r="AC75" s="3459"/>
      <c r="AD75" s="3459"/>
      <c r="AE75" s="3459"/>
      <c r="AF75" s="3459"/>
      <c r="AG75" s="3459"/>
      <c r="AH75" s="3459"/>
      <c r="AI75" s="3459"/>
      <c r="AJ75" s="3459"/>
      <c r="AK75" s="3460"/>
      <c r="AL75" s="1082"/>
      <c r="AM75" s="1088" t="str">
        <f>'1_入力シート【基本情報】'!FK405</f>
        <v/>
      </c>
      <c r="AN75" s="1088" t="str">
        <f>'1_入力シート【基本情報】'!FL405</f>
        <v/>
      </c>
      <c r="AO75" s="1088" t="str">
        <f>'1_入力シート【基本情報】'!FM405</f>
        <v/>
      </c>
      <c r="AP75" s="1084">
        <f>'1_入力シート【基本情報】'!FN405</f>
        <v>0</v>
      </c>
    </row>
    <row r="76" spans="2:42" ht="21" customHeight="1" x14ac:dyDescent="0.15">
      <c r="B76" s="3423" t="s">
        <v>943</v>
      </c>
      <c r="C76" s="3424"/>
      <c r="D76" s="3425"/>
      <c r="E76" s="3545"/>
      <c r="F76" s="3484"/>
      <c r="G76" s="3494" t="s">
        <v>177</v>
      </c>
      <c r="H76" s="3565"/>
      <c r="I76" s="3565"/>
      <c r="J76" s="3565"/>
      <c r="K76" s="3565"/>
      <c r="L76" s="3565"/>
      <c r="M76" s="3565"/>
      <c r="N76" s="3565"/>
      <c r="O76" s="3565"/>
      <c r="P76" s="3565"/>
      <c r="Q76" s="3565"/>
      <c r="R76" s="3565"/>
      <c r="S76" s="3565"/>
      <c r="T76" s="3572"/>
      <c r="U76" s="3457" t="str">
        <f>'1_入力シート【基本情報】'!$U406</f>
        <v>特定天井の天井材の劣化及び損傷の状況</v>
      </c>
      <c r="V76" s="3458"/>
      <c r="W76" s="3459"/>
      <c r="X76" s="3459"/>
      <c r="Y76" s="3459"/>
      <c r="Z76" s="3459"/>
      <c r="AA76" s="3459"/>
      <c r="AB76" s="3459"/>
      <c r="AC76" s="3459"/>
      <c r="AD76" s="3459"/>
      <c r="AE76" s="3459"/>
      <c r="AF76" s="3459"/>
      <c r="AG76" s="3459"/>
      <c r="AH76" s="3459"/>
      <c r="AI76" s="3459"/>
      <c r="AJ76" s="3459"/>
      <c r="AK76" s="3460"/>
      <c r="AL76" s="1082"/>
      <c r="AM76" s="1088" t="str">
        <f>'1_入力シート【基本情報】'!FK406</f>
        <v/>
      </c>
      <c r="AN76" s="1088" t="str">
        <f>'1_入力シート【基本情報】'!FL406</f>
        <v/>
      </c>
      <c r="AO76" s="1088" t="str">
        <f>'1_入力シート【基本情報】'!FM406</f>
        <v/>
      </c>
      <c r="AP76" s="1084">
        <f>'1_入力シート【基本情報】'!FN406</f>
        <v>0</v>
      </c>
    </row>
    <row r="77" spans="2:42" ht="11.25" customHeight="1" x14ac:dyDescent="0.15">
      <c r="B77" s="3423" t="s">
        <v>944</v>
      </c>
      <c r="C77" s="3424"/>
      <c r="D77" s="3425"/>
      <c r="E77" s="3471" t="s">
        <v>3003</v>
      </c>
      <c r="F77" s="3555"/>
      <c r="G77" s="3555"/>
      <c r="H77" s="3555"/>
      <c r="I77" s="3555"/>
      <c r="J77" s="3555"/>
      <c r="K77" s="3555"/>
      <c r="L77" s="3555"/>
      <c r="M77" s="3555"/>
      <c r="N77" s="3555"/>
      <c r="O77" s="3555"/>
      <c r="P77" s="3555"/>
      <c r="Q77" s="3555"/>
      <c r="R77" s="3555"/>
      <c r="S77" s="3555"/>
      <c r="T77" s="3580"/>
      <c r="U77" s="3457" t="str">
        <f>'1_入力シート【基本情報】'!$U407</f>
        <v>区画に対応した防火設備又は戸の設置の状況</v>
      </c>
      <c r="V77" s="3458"/>
      <c r="W77" s="3459"/>
      <c r="X77" s="3459"/>
      <c r="Y77" s="3459"/>
      <c r="Z77" s="3459"/>
      <c r="AA77" s="3459"/>
      <c r="AB77" s="3459"/>
      <c r="AC77" s="3459"/>
      <c r="AD77" s="3459"/>
      <c r="AE77" s="3459"/>
      <c r="AF77" s="3459"/>
      <c r="AG77" s="3459"/>
      <c r="AH77" s="3459"/>
      <c r="AI77" s="3459"/>
      <c r="AJ77" s="3459"/>
      <c r="AK77" s="3460"/>
      <c r="AL77" s="1082"/>
      <c r="AM77" s="1088" t="str">
        <f>'1_入力シート【基本情報】'!FK407</f>
        <v/>
      </c>
      <c r="AN77" s="1088" t="str">
        <f>'1_入力シート【基本情報】'!FL407</f>
        <v/>
      </c>
      <c r="AO77" s="1088" t="str">
        <f>'1_入力シート【基本情報】'!FM407</f>
        <v/>
      </c>
      <c r="AP77" s="1084">
        <f>'1_入力シート【基本情報】'!FN407</f>
        <v>0</v>
      </c>
    </row>
    <row r="78" spans="2:42" ht="29.45" customHeight="1" x14ac:dyDescent="0.15">
      <c r="B78" s="3423" t="s">
        <v>945</v>
      </c>
      <c r="C78" s="3424"/>
      <c r="D78" s="3425"/>
      <c r="E78" s="3563"/>
      <c r="F78" s="3576"/>
      <c r="G78" s="3576"/>
      <c r="H78" s="3576"/>
      <c r="I78" s="3576"/>
      <c r="J78" s="3576"/>
      <c r="K78" s="3576"/>
      <c r="L78" s="3576"/>
      <c r="M78" s="3576"/>
      <c r="N78" s="3576"/>
      <c r="O78" s="3576"/>
      <c r="P78" s="3576"/>
      <c r="Q78" s="3576"/>
      <c r="R78" s="3576"/>
      <c r="S78" s="3576"/>
      <c r="T78" s="3581"/>
      <c r="U78" s="3457" t="str">
        <f>'1_入力シート【基本情報】'!$U408</f>
        <v>居室から地上へ通じる主たる廊下、階段その他の通路に設置された防火設備又は戸におけるくぐり戸の設置の状況</v>
      </c>
      <c r="V78" s="3458"/>
      <c r="W78" s="3459"/>
      <c r="X78" s="3459"/>
      <c r="Y78" s="3459"/>
      <c r="Z78" s="3459"/>
      <c r="AA78" s="3459"/>
      <c r="AB78" s="3459"/>
      <c r="AC78" s="3459"/>
      <c r="AD78" s="3459"/>
      <c r="AE78" s="3459"/>
      <c r="AF78" s="3459"/>
      <c r="AG78" s="3459"/>
      <c r="AH78" s="3459"/>
      <c r="AI78" s="3459"/>
      <c r="AJ78" s="3459"/>
      <c r="AK78" s="3460"/>
      <c r="AL78" s="1082"/>
      <c r="AM78" s="1088" t="str">
        <f>'1_入力シート【基本情報】'!FK408</f>
        <v/>
      </c>
      <c r="AN78" s="1088" t="str">
        <f>'1_入力シート【基本情報】'!FL408</f>
        <v/>
      </c>
      <c r="AO78" s="1088" t="str">
        <f>'1_入力シート【基本情報】'!FM408</f>
        <v/>
      </c>
      <c r="AP78" s="1084">
        <f>'1_入力シート【基本情報】'!FN408</f>
        <v>0</v>
      </c>
    </row>
    <row r="79" spans="2:42" ht="12" customHeight="1" x14ac:dyDescent="0.15">
      <c r="B79" s="3423" t="s">
        <v>946</v>
      </c>
      <c r="C79" s="3424"/>
      <c r="D79" s="3625"/>
      <c r="E79" s="3563"/>
      <c r="F79" s="3576"/>
      <c r="G79" s="3576"/>
      <c r="H79" s="3576"/>
      <c r="I79" s="3576"/>
      <c r="J79" s="3576"/>
      <c r="K79" s="3576"/>
      <c r="L79" s="3576"/>
      <c r="M79" s="3576"/>
      <c r="N79" s="3576"/>
      <c r="O79" s="3576"/>
      <c r="P79" s="3576"/>
      <c r="Q79" s="3576"/>
      <c r="R79" s="3576"/>
      <c r="S79" s="3576"/>
      <c r="T79" s="3581"/>
      <c r="U79" s="3457" t="str">
        <f>'1_入力シート【基本情報】'!$U409</f>
        <v>防火扉又は戸の開放方向</v>
      </c>
      <c r="V79" s="3458"/>
      <c r="W79" s="3459"/>
      <c r="X79" s="3459"/>
      <c r="Y79" s="3459"/>
      <c r="Z79" s="3459"/>
      <c r="AA79" s="3459"/>
      <c r="AB79" s="3459"/>
      <c r="AC79" s="3459"/>
      <c r="AD79" s="3459"/>
      <c r="AE79" s="3459"/>
      <c r="AF79" s="3459"/>
      <c r="AG79" s="3459"/>
      <c r="AH79" s="3459"/>
      <c r="AI79" s="3459"/>
      <c r="AJ79" s="3459"/>
      <c r="AK79" s="3460"/>
      <c r="AL79" s="1082"/>
      <c r="AM79" s="1088" t="str">
        <f>'1_入力シート【基本情報】'!FK409</f>
        <v/>
      </c>
      <c r="AN79" s="1088" t="str">
        <f>'1_入力シート【基本情報】'!FL409</f>
        <v/>
      </c>
      <c r="AO79" s="1088" t="str">
        <f>'1_入力シート【基本情報】'!FM409</f>
        <v/>
      </c>
      <c r="AP79" s="1084">
        <f>'1_入力シート【基本情報】'!FN409</f>
        <v>0</v>
      </c>
    </row>
    <row r="80" spans="2:42" ht="12" customHeight="1" x14ac:dyDescent="0.15">
      <c r="B80" s="3423" t="s">
        <v>947</v>
      </c>
      <c r="C80" s="3424"/>
      <c r="D80" s="3424"/>
      <c r="E80" s="3563"/>
      <c r="F80" s="3576"/>
      <c r="G80" s="3576"/>
      <c r="H80" s="3576"/>
      <c r="I80" s="3576"/>
      <c r="J80" s="3576"/>
      <c r="K80" s="3576"/>
      <c r="L80" s="3576"/>
      <c r="M80" s="3576"/>
      <c r="N80" s="3576"/>
      <c r="O80" s="3576"/>
      <c r="P80" s="3576"/>
      <c r="Q80" s="3576"/>
      <c r="R80" s="3576"/>
      <c r="S80" s="3576"/>
      <c r="T80" s="3581"/>
      <c r="U80" s="3494" t="str">
        <f>'1_入力シート【基本情報】'!$U410</f>
        <v>常閉防火設備等の本体及び枠の劣化及び損傷の状況</v>
      </c>
      <c r="V80" s="3526"/>
      <c r="W80" s="3526"/>
      <c r="X80" s="3526"/>
      <c r="Y80" s="3526"/>
      <c r="Z80" s="3526"/>
      <c r="AA80" s="3526"/>
      <c r="AB80" s="3526"/>
      <c r="AC80" s="3526"/>
      <c r="AD80" s="3526"/>
      <c r="AE80" s="3526"/>
      <c r="AF80" s="3526"/>
      <c r="AG80" s="3526"/>
      <c r="AH80" s="3526"/>
      <c r="AI80" s="3526"/>
      <c r="AJ80" s="3526"/>
      <c r="AK80" s="3579"/>
      <c r="AL80" s="1082"/>
      <c r="AM80" s="1088" t="str">
        <f>'1_入力シート【基本情報】'!FK410</f>
        <v/>
      </c>
      <c r="AN80" s="1088" t="str">
        <f>'1_入力シート【基本情報】'!FL410</f>
        <v/>
      </c>
      <c r="AO80" s="1088" t="str">
        <f>'1_入力シート【基本情報】'!FM410</f>
        <v/>
      </c>
      <c r="AP80" s="1084">
        <f>'1_入力シート【基本情報】'!FN410</f>
        <v>0</v>
      </c>
    </row>
    <row r="81" spans="2:42" ht="12" customHeight="1" x14ac:dyDescent="0.15">
      <c r="B81" s="3423" t="s">
        <v>948</v>
      </c>
      <c r="C81" s="3424"/>
      <c r="D81" s="3424"/>
      <c r="E81" s="3563"/>
      <c r="F81" s="3576"/>
      <c r="G81" s="3576"/>
      <c r="H81" s="3576"/>
      <c r="I81" s="3576"/>
      <c r="J81" s="3576"/>
      <c r="K81" s="3576"/>
      <c r="L81" s="3576"/>
      <c r="M81" s="3576"/>
      <c r="N81" s="3576"/>
      <c r="O81" s="3576"/>
      <c r="P81" s="3576"/>
      <c r="Q81" s="3576"/>
      <c r="R81" s="3576"/>
      <c r="S81" s="3576"/>
      <c r="T81" s="3581"/>
      <c r="U81" s="3494" t="str">
        <f>'1_入力シート【基本情報】'!$U411</f>
        <v>各階の主要な常閉防火設備等の閉鎖又は作動の状況</v>
      </c>
      <c r="V81" s="3526"/>
      <c r="W81" s="3526"/>
      <c r="X81" s="3526"/>
      <c r="Y81" s="3526"/>
      <c r="Z81" s="3526"/>
      <c r="AA81" s="3526"/>
      <c r="AB81" s="3526"/>
      <c r="AC81" s="3526"/>
      <c r="AD81" s="3526"/>
      <c r="AE81" s="3526"/>
      <c r="AF81" s="3526"/>
      <c r="AG81" s="3526"/>
      <c r="AH81" s="3526"/>
      <c r="AI81" s="3526"/>
      <c r="AJ81" s="3526"/>
      <c r="AK81" s="3579"/>
      <c r="AL81" s="1082"/>
      <c r="AM81" s="1088" t="str">
        <f>'1_入力シート【基本情報】'!FK411</f>
        <v/>
      </c>
      <c r="AN81" s="1088" t="str">
        <f>'1_入力シート【基本情報】'!FL411</f>
        <v/>
      </c>
      <c r="AO81" s="1088" t="str">
        <f>'1_入力シート【基本情報】'!FM411</f>
        <v/>
      </c>
      <c r="AP81" s="1084">
        <f>'1_入力シート【基本情報】'!FN411</f>
        <v>0</v>
      </c>
    </row>
    <row r="82" spans="2:42" ht="21.75" customHeight="1" x14ac:dyDescent="0.15">
      <c r="B82" s="3423" t="s">
        <v>949</v>
      </c>
      <c r="C82" s="3424"/>
      <c r="D82" s="3424"/>
      <c r="E82" s="3563"/>
      <c r="F82" s="3576"/>
      <c r="G82" s="3576"/>
      <c r="H82" s="3576"/>
      <c r="I82" s="3576"/>
      <c r="J82" s="3576"/>
      <c r="K82" s="3576"/>
      <c r="L82" s="3576"/>
      <c r="M82" s="3576"/>
      <c r="N82" s="3576"/>
      <c r="O82" s="3576"/>
      <c r="P82" s="3576"/>
      <c r="Q82" s="3576"/>
      <c r="R82" s="3576"/>
      <c r="S82" s="3576"/>
      <c r="T82" s="3581"/>
      <c r="U82" s="3494" t="str">
        <f>'1_入力シート【基本情報】'!$U412</f>
        <v>常閉防火設備等の閉鎖又は作動の障害となる物品の放置並びに照明器具及び懸垂物等の状況</v>
      </c>
      <c r="V82" s="3526"/>
      <c r="W82" s="3526"/>
      <c r="X82" s="3526"/>
      <c r="Y82" s="3526"/>
      <c r="Z82" s="3526"/>
      <c r="AA82" s="3526"/>
      <c r="AB82" s="3526"/>
      <c r="AC82" s="3526"/>
      <c r="AD82" s="3526"/>
      <c r="AE82" s="3526"/>
      <c r="AF82" s="3526"/>
      <c r="AG82" s="3526"/>
      <c r="AH82" s="3526"/>
      <c r="AI82" s="3526"/>
      <c r="AJ82" s="3526"/>
      <c r="AK82" s="3579"/>
      <c r="AL82" s="1082"/>
      <c r="AM82" s="1088" t="str">
        <f>'1_入力シート【基本情報】'!FK412</f>
        <v/>
      </c>
      <c r="AN82" s="1088" t="str">
        <f>'1_入力シート【基本情報】'!FL412</f>
        <v/>
      </c>
      <c r="AO82" s="1088" t="str">
        <f>'1_入力シート【基本情報】'!FM412</f>
        <v/>
      </c>
      <c r="AP82" s="1084">
        <f>'1_入力シート【基本情報】'!FN412</f>
        <v>0</v>
      </c>
    </row>
    <row r="83" spans="2:42" ht="12" customHeight="1" x14ac:dyDescent="0.15">
      <c r="B83" s="3423" t="s">
        <v>950</v>
      </c>
      <c r="C83" s="3424"/>
      <c r="D83" s="3424"/>
      <c r="E83" s="3563"/>
      <c r="F83" s="3576"/>
      <c r="G83" s="3576"/>
      <c r="H83" s="3576"/>
      <c r="I83" s="3576"/>
      <c r="J83" s="3576"/>
      <c r="K83" s="3576"/>
      <c r="L83" s="3576"/>
      <c r="M83" s="3576"/>
      <c r="N83" s="3576"/>
      <c r="O83" s="3576"/>
      <c r="P83" s="3576"/>
      <c r="Q83" s="3576"/>
      <c r="R83" s="3576"/>
      <c r="S83" s="3576"/>
      <c r="T83" s="3581"/>
      <c r="U83" s="3475" t="str">
        <f>'1_入力シート【基本情報】'!$U413</f>
        <v>常時閉鎖した状態にある戸の固定の状況</v>
      </c>
      <c r="V83" s="3476"/>
      <c r="W83" s="3477"/>
      <c r="X83" s="3477"/>
      <c r="Y83" s="3477"/>
      <c r="Z83" s="3477"/>
      <c r="AA83" s="3477"/>
      <c r="AB83" s="3477"/>
      <c r="AC83" s="3477"/>
      <c r="AD83" s="3477"/>
      <c r="AE83" s="3477"/>
      <c r="AF83" s="3477"/>
      <c r="AG83" s="3477"/>
      <c r="AH83" s="3477"/>
      <c r="AI83" s="3477"/>
      <c r="AJ83" s="3477"/>
      <c r="AK83" s="3478"/>
      <c r="AL83" s="1082"/>
      <c r="AM83" s="1088" t="str">
        <f>'1_入力シート【基本情報】'!FK413</f>
        <v/>
      </c>
      <c r="AN83" s="1088" t="str">
        <f>'1_入力シート【基本情報】'!FL413</f>
        <v/>
      </c>
      <c r="AO83" s="1088" t="str">
        <f>'1_入力シート【基本情報】'!FM413</f>
        <v/>
      </c>
      <c r="AP83" s="1084">
        <f>'1_入力シート【基本情報】'!FN413</f>
        <v>0</v>
      </c>
    </row>
    <row r="84" spans="2:42" ht="12" customHeight="1" x14ac:dyDescent="0.15">
      <c r="B84" s="3423" t="s">
        <v>951</v>
      </c>
      <c r="C84" s="3424"/>
      <c r="D84" s="3625"/>
      <c r="E84" s="3567" t="s">
        <v>200</v>
      </c>
      <c r="F84" s="3568"/>
      <c r="G84" s="3568"/>
      <c r="H84" s="3568"/>
      <c r="I84" s="3568"/>
      <c r="J84" s="3568"/>
      <c r="K84" s="3568"/>
      <c r="L84" s="3568"/>
      <c r="M84" s="3568"/>
      <c r="N84" s="3568"/>
      <c r="O84" s="3568"/>
      <c r="P84" s="3568"/>
      <c r="Q84" s="3568"/>
      <c r="R84" s="3568"/>
      <c r="S84" s="3568"/>
      <c r="T84" s="3569"/>
      <c r="U84" s="3465" t="str">
        <f>'1_入力シート【基本情報】'!$U414</f>
        <v>照明器具、懸垂物等の落下防止対策の状況　</v>
      </c>
      <c r="V84" s="3590"/>
      <c r="W84" s="3590"/>
      <c r="X84" s="3590"/>
      <c r="Y84" s="3590"/>
      <c r="Z84" s="3590"/>
      <c r="AA84" s="3590"/>
      <c r="AB84" s="3590"/>
      <c r="AC84" s="3590"/>
      <c r="AD84" s="3590"/>
      <c r="AE84" s="3590"/>
      <c r="AF84" s="3590"/>
      <c r="AG84" s="3590"/>
      <c r="AH84" s="3590"/>
      <c r="AI84" s="3590"/>
      <c r="AJ84" s="3590"/>
      <c r="AK84" s="3591"/>
      <c r="AL84" s="1082"/>
      <c r="AM84" s="1088" t="str">
        <f>'1_入力シート【基本情報】'!FK414</f>
        <v/>
      </c>
      <c r="AN84" s="1088" t="str">
        <f>'1_入力シート【基本情報】'!FL414</f>
        <v/>
      </c>
      <c r="AO84" s="1088" t="str">
        <f>'1_入力シート【基本情報】'!FM414</f>
        <v/>
      </c>
      <c r="AP84" s="1084">
        <f>'1_入力シート【基本情報】'!FN414</f>
        <v>0</v>
      </c>
    </row>
    <row r="85" spans="2:42" ht="12" customHeight="1" x14ac:dyDescent="0.15">
      <c r="B85" s="3423" t="s">
        <v>952</v>
      </c>
      <c r="C85" s="3424"/>
      <c r="D85" s="3424"/>
      <c r="E85" s="3457" t="s">
        <v>936</v>
      </c>
      <c r="F85" s="3556"/>
      <c r="G85" s="3556"/>
      <c r="H85" s="3333"/>
      <c r="I85" s="3333"/>
      <c r="J85" s="3333"/>
      <c r="K85" s="3333"/>
      <c r="L85" s="3333"/>
      <c r="M85" s="3333"/>
      <c r="N85" s="3333"/>
      <c r="O85" s="3333"/>
      <c r="P85" s="3333"/>
      <c r="Q85" s="3333"/>
      <c r="R85" s="3333"/>
      <c r="S85" s="3333"/>
      <c r="T85" s="3334"/>
      <c r="U85" s="3514" t="str">
        <f>'1_入力シート【基本情報】'!$U415</f>
        <v>警報設備の設置の状況</v>
      </c>
      <c r="V85" s="3498"/>
      <c r="W85" s="3515"/>
      <c r="X85" s="3515"/>
      <c r="Y85" s="3515"/>
      <c r="Z85" s="3515"/>
      <c r="AA85" s="3515"/>
      <c r="AB85" s="3515"/>
      <c r="AC85" s="3515"/>
      <c r="AD85" s="3515"/>
      <c r="AE85" s="3515"/>
      <c r="AF85" s="3515"/>
      <c r="AG85" s="3515"/>
      <c r="AH85" s="3515"/>
      <c r="AI85" s="3515"/>
      <c r="AJ85" s="3515"/>
      <c r="AK85" s="3515"/>
      <c r="AL85" s="1082"/>
      <c r="AM85" s="1088" t="str">
        <f>'1_入力シート【基本情報】'!FK415</f>
        <v/>
      </c>
      <c r="AN85" s="1088" t="str">
        <f>'1_入力シート【基本情報】'!FL415</f>
        <v/>
      </c>
      <c r="AO85" s="1088" t="str">
        <f>'1_入力シート【基本情報】'!FM415</f>
        <v/>
      </c>
      <c r="AP85" s="1084">
        <f>'1_入力シート【基本情報】'!FN415</f>
        <v>0</v>
      </c>
    </row>
    <row r="86" spans="2:42" ht="12" customHeight="1" x14ac:dyDescent="0.15">
      <c r="B86" s="3423" t="s">
        <v>953</v>
      </c>
      <c r="C86" s="3424"/>
      <c r="D86" s="3424"/>
      <c r="E86" s="3475"/>
      <c r="F86" s="3559"/>
      <c r="G86" s="3559"/>
      <c r="H86" s="3339"/>
      <c r="I86" s="3339"/>
      <c r="J86" s="3339"/>
      <c r="K86" s="3339"/>
      <c r="L86" s="3339"/>
      <c r="M86" s="3339"/>
      <c r="N86" s="3339"/>
      <c r="O86" s="3339"/>
      <c r="P86" s="3339"/>
      <c r="Q86" s="3339"/>
      <c r="R86" s="3339"/>
      <c r="S86" s="3339"/>
      <c r="T86" s="3340"/>
      <c r="U86" s="3514" t="str">
        <f>'1_入力シート【基本情報】'!$U416</f>
        <v>警報設備の劣化及び損傷の状況</v>
      </c>
      <c r="V86" s="3498"/>
      <c r="W86" s="3515"/>
      <c r="X86" s="3515"/>
      <c r="Y86" s="3515"/>
      <c r="Z86" s="3515"/>
      <c r="AA86" s="3515"/>
      <c r="AB86" s="3515"/>
      <c r="AC86" s="3515"/>
      <c r="AD86" s="3515"/>
      <c r="AE86" s="3515"/>
      <c r="AF86" s="3515"/>
      <c r="AG86" s="3515"/>
      <c r="AH86" s="3515"/>
      <c r="AI86" s="3515"/>
      <c r="AJ86" s="3515"/>
      <c r="AK86" s="3515"/>
      <c r="AL86" s="1082"/>
      <c r="AM86" s="1088" t="str">
        <f>'1_入力シート【基本情報】'!FK416</f>
        <v/>
      </c>
      <c r="AN86" s="1088" t="str">
        <f>'1_入力シート【基本情報】'!FL416</f>
        <v/>
      </c>
      <c r="AO86" s="1088" t="str">
        <f>'1_入力シート【基本情報】'!FM416</f>
        <v/>
      </c>
      <c r="AP86" s="1084">
        <f>'1_入力シート【基本情報】'!FN416</f>
        <v>0</v>
      </c>
    </row>
    <row r="87" spans="2:42" ht="12" customHeight="1" x14ac:dyDescent="0.15">
      <c r="B87" s="3423" t="s">
        <v>3021</v>
      </c>
      <c r="C87" s="3424"/>
      <c r="D87" s="3424"/>
      <c r="E87" s="3689" t="s">
        <v>2826</v>
      </c>
      <c r="F87" s="3689"/>
      <c r="G87" s="3457" t="s">
        <v>3023</v>
      </c>
      <c r="H87" s="3556"/>
      <c r="I87" s="3556"/>
      <c r="J87" s="3556"/>
      <c r="K87" s="3556"/>
      <c r="L87" s="3556"/>
      <c r="M87" s="3556"/>
      <c r="N87" s="3556"/>
      <c r="O87" s="3556"/>
      <c r="P87" s="3556"/>
      <c r="Q87" s="3556"/>
      <c r="R87" s="3556"/>
      <c r="S87" s="3556"/>
      <c r="T87" s="3690"/>
      <c r="U87" s="3514" t="str">
        <f>'1_入力シート【基本情報】'!$U417</f>
        <v>スプリンクラー設備の設置の状況</v>
      </c>
      <c r="V87" s="3498"/>
      <c r="W87" s="3515"/>
      <c r="X87" s="3515"/>
      <c r="Y87" s="3515"/>
      <c r="Z87" s="3515"/>
      <c r="AA87" s="3515"/>
      <c r="AB87" s="3515"/>
      <c r="AC87" s="3515"/>
      <c r="AD87" s="3515"/>
      <c r="AE87" s="3515"/>
      <c r="AF87" s="3515"/>
      <c r="AG87" s="3515"/>
      <c r="AH87" s="3515"/>
      <c r="AI87" s="3515"/>
      <c r="AJ87" s="3515"/>
      <c r="AK87" s="3515"/>
      <c r="AL87" s="1575"/>
      <c r="AM87" s="1088" t="str">
        <f>'1_入力シート【基本情報】'!FK417</f>
        <v/>
      </c>
      <c r="AN87" s="1088" t="str">
        <f>'1_入力シート【基本情報】'!FL417</f>
        <v/>
      </c>
      <c r="AO87" s="1088" t="str">
        <f>'1_入力シート【基本情報】'!FM417</f>
        <v/>
      </c>
      <c r="AP87" s="1084">
        <f>'1_入力シート【基本情報】'!FN417</f>
        <v>0</v>
      </c>
    </row>
    <row r="88" spans="2:42" ht="85.5" customHeight="1" x14ac:dyDescent="0.15">
      <c r="B88" s="3423" t="s">
        <v>3022</v>
      </c>
      <c r="C88" s="3424"/>
      <c r="D88" s="3424"/>
      <c r="E88" s="3689"/>
      <c r="F88" s="3689"/>
      <c r="G88" s="3475"/>
      <c r="H88" s="3559"/>
      <c r="I88" s="3559"/>
      <c r="J88" s="3559"/>
      <c r="K88" s="3559"/>
      <c r="L88" s="3559"/>
      <c r="M88" s="3559"/>
      <c r="N88" s="3559"/>
      <c r="O88" s="3559"/>
      <c r="P88" s="3559"/>
      <c r="Q88" s="3559"/>
      <c r="R88" s="3559"/>
      <c r="S88" s="3559"/>
      <c r="T88" s="3691"/>
      <c r="U88" s="3514" t="str">
        <f>'1_入力シート【基本情報】'!$U418</f>
        <v>スプリンクラー設備の劣化及び損傷の状況</v>
      </c>
      <c r="V88" s="3498"/>
      <c r="W88" s="3515"/>
      <c r="X88" s="3515"/>
      <c r="Y88" s="3515"/>
      <c r="Z88" s="3515"/>
      <c r="AA88" s="3515"/>
      <c r="AB88" s="3515"/>
      <c r="AC88" s="3515"/>
      <c r="AD88" s="3515"/>
      <c r="AE88" s="3515"/>
      <c r="AF88" s="3515"/>
      <c r="AG88" s="3515"/>
      <c r="AH88" s="3515"/>
      <c r="AI88" s="3515"/>
      <c r="AJ88" s="3515"/>
      <c r="AK88" s="3515"/>
      <c r="AL88" s="1575"/>
      <c r="AM88" s="1088" t="str">
        <f>'1_入力シート【基本情報】'!FK418</f>
        <v/>
      </c>
      <c r="AN88" s="1088" t="str">
        <f>'1_入力シート【基本情報】'!FL418</f>
        <v/>
      </c>
      <c r="AO88" s="1088" t="str">
        <f>'1_入力シート【基本情報】'!FM418</f>
        <v/>
      </c>
      <c r="AP88" s="1084">
        <f>'1_入力シート【基本情報】'!FN418</f>
        <v>0</v>
      </c>
    </row>
    <row r="89" spans="2:42" ht="12" customHeight="1" x14ac:dyDescent="0.15">
      <c r="B89" s="3423" t="s">
        <v>954</v>
      </c>
      <c r="C89" s="3424"/>
      <c r="D89" s="3424"/>
      <c r="E89" s="3457" t="s">
        <v>103</v>
      </c>
      <c r="F89" s="3556"/>
      <c r="G89" s="3556"/>
      <c r="H89" s="3556"/>
      <c r="I89" s="3556"/>
      <c r="J89" s="3556"/>
      <c r="K89" s="3556"/>
      <c r="L89" s="3556"/>
      <c r="M89" s="3556"/>
      <c r="N89" s="3556"/>
      <c r="O89" s="3556"/>
      <c r="P89" s="3556"/>
      <c r="Q89" s="3556"/>
      <c r="R89" s="3556"/>
      <c r="S89" s="3556"/>
      <c r="T89" s="3690"/>
      <c r="U89" s="3514" t="str">
        <f>'1_入力シート【基本情報】'!$U419</f>
        <v>採光のための開口部の面積の確保の状況</v>
      </c>
      <c r="V89" s="3498"/>
      <c r="W89" s="3515"/>
      <c r="X89" s="3515"/>
      <c r="Y89" s="3515"/>
      <c r="Z89" s="3515"/>
      <c r="AA89" s="3515"/>
      <c r="AB89" s="3515"/>
      <c r="AC89" s="3515"/>
      <c r="AD89" s="3515"/>
      <c r="AE89" s="3515"/>
      <c r="AF89" s="3515"/>
      <c r="AG89" s="3515"/>
      <c r="AH89" s="3515"/>
      <c r="AI89" s="3515"/>
      <c r="AJ89" s="3515"/>
      <c r="AK89" s="3515"/>
      <c r="AL89" s="1082"/>
      <c r="AM89" s="1088" t="str">
        <f>'1_入力シート【基本情報】'!FK419</f>
        <v/>
      </c>
      <c r="AN89" s="1088" t="str">
        <f>'1_入力シート【基本情報】'!FL419</f>
        <v/>
      </c>
      <c r="AO89" s="1088" t="str">
        <f>'1_入力シート【基本情報】'!FM419</f>
        <v/>
      </c>
      <c r="AP89" s="1084">
        <f>'1_入力シート【基本情報】'!FN419</f>
        <v>0</v>
      </c>
    </row>
    <row r="90" spans="2:42" ht="12" customHeight="1" x14ac:dyDescent="0.15">
      <c r="B90" s="3423" t="s">
        <v>955</v>
      </c>
      <c r="C90" s="3424"/>
      <c r="D90" s="3424"/>
      <c r="E90" s="3578"/>
      <c r="F90" s="3564"/>
      <c r="G90" s="3564"/>
      <c r="H90" s="3564"/>
      <c r="I90" s="3564"/>
      <c r="J90" s="3564"/>
      <c r="K90" s="3564"/>
      <c r="L90" s="3564"/>
      <c r="M90" s="3564"/>
      <c r="N90" s="3564"/>
      <c r="O90" s="3564"/>
      <c r="P90" s="3564"/>
      <c r="Q90" s="3564"/>
      <c r="R90" s="3564"/>
      <c r="S90" s="3564"/>
      <c r="T90" s="3694"/>
      <c r="U90" s="3498" t="str">
        <f>'1_入力シート【基本情報】'!$U420</f>
        <v>採光の妨げとなる物品の放置の状況</v>
      </c>
      <c r="V90" s="3498"/>
      <c r="W90" s="3515"/>
      <c r="X90" s="3515"/>
      <c r="Y90" s="3515"/>
      <c r="Z90" s="3515"/>
      <c r="AA90" s="3515"/>
      <c r="AB90" s="3515"/>
      <c r="AC90" s="3515"/>
      <c r="AD90" s="3515"/>
      <c r="AE90" s="3515"/>
      <c r="AF90" s="3515"/>
      <c r="AG90" s="3515"/>
      <c r="AH90" s="3515"/>
      <c r="AI90" s="3515"/>
      <c r="AJ90" s="3515"/>
      <c r="AK90" s="3515"/>
      <c r="AL90" s="1082"/>
      <c r="AM90" s="1088" t="str">
        <f>'1_入力シート【基本情報】'!FK420</f>
        <v/>
      </c>
      <c r="AN90" s="1088" t="str">
        <f>'1_入力シート【基本情報】'!FL420</f>
        <v/>
      </c>
      <c r="AO90" s="1088" t="str">
        <f>'1_入力シート【基本情報】'!FM420</f>
        <v/>
      </c>
      <c r="AP90" s="1084">
        <f>'1_入力シート【基本情報】'!FN420</f>
        <v>0</v>
      </c>
    </row>
    <row r="91" spans="2:42" ht="12" customHeight="1" x14ac:dyDescent="0.15">
      <c r="B91" s="3423" t="s">
        <v>956</v>
      </c>
      <c r="C91" s="3424"/>
      <c r="D91" s="3424"/>
      <c r="E91" s="3578"/>
      <c r="F91" s="3564"/>
      <c r="G91" s="3564"/>
      <c r="H91" s="3564"/>
      <c r="I91" s="3564"/>
      <c r="J91" s="3564"/>
      <c r="K91" s="3564"/>
      <c r="L91" s="3564"/>
      <c r="M91" s="3564"/>
      <c r="N91" s="3564"/>
      <c r="O91" s="3564"/>
      <c r="P91" s="3564"/>
      <c r="Q91" s="3564"/>
      <c r="R91" s="3564"/>
      <c r="S91" s="3564"/>
      <c r="T91" s="3694"/>
      <c r="U91" s="3498" t="str">
        <f>'1_入力シート【基本情報】'!$U421</f>
        <v>換気のための開口部の面積の確保の状況</v>
      </c>
      <c r="V91" s="3498"/>
      <c r="W91" s="3515"/>
      <c r="X91" s="3515"/>
      <c r="Y91" s="3515"/>
      <c r="Z91" s="3515"/>
      <c r="AA91" s="3515"/>
      <c r="AB91" s="3515"/>
      <c r="AC91" s="3515"/>
      <c r="AD91" s="3515"/>
      <c r="AE91" s="3515"/>
      <c r="AF91" s="3515"/>
      <c r="AG91" s="3515"/>
      <c r="AH91" s="3515"/>
      <c r="AI91" s="3515"/>
      <c r="AJ91" s="3515"/>
      <c r="AK91" s="3515"/>
      <c r="AL91" s="1082"/>
      <c r="AM91" s="1088" t="str">
        <f>'1_入力シート【基本情報】'!FK421</f>
        <v/>
      </c>
      <c r="AN91" s="1088" t="str">
        <f>'1_入力シート【基本情報】'!FL421</f>
        <v/>
      </c>
      <c r="AO91" s="1088" t="str">
        <f>'1_入力シート【基本情報】'!FM421</f>
        <v/>
      </c>
      <c r="AP91" s="1084">
        <f>'1_入力シート【基本情報】'!FN421</f>
        <v>0</v>
      </c>
    </row>
    <row r="92" spans="2:42" ht="12" customHeight="1" x14ac:dyDescent="0.15">
      <c r="B92" s="3423" t="s">
        <v>1248</v>
      </c>
      <c r="C92" s="3424"/>
      <c r="D92" s="3424"/>
      <c r="E92" s="3578"/>
      <c r="F92" s="3564"/>
      <c r="G92" s="3564"/>
      <c r="H92" s="3564"/>
      <c r="I92" s="3564"/>
      <c r="J92" s="3564"/>
      <c r="K92" s="3564"/>
      <c r="L92" s="3564"/>
      <c r="M92" s="3564"/>
      <c r="N92" s="3564"/>
      <c r="O92" s="3564"/>
      <c r="P92" s="3564"/>
      <c r="Q92" s="3564"/>
      <c r="R92" s="3564"/>
      <c r="S92" s="3564"/>
      <c r="T92" s="3694"/>
      <c r="U92" s="3498" t="str">
        <f>'1_入力シート【基本情報】'!$U422</f>
        <v>換気設備の設置の状況</v>
      </c>
      <c r="V92" s="3498"/>
      <c r="W92" s="3515"/>
      <c r="X92" s="3515"/>
      <c r="Y92" s="3515"/>
      <c r="Z92" s="3515"/>
      <c r="AA92" s="3515"/>
      <c r="AB92" s="3515"/>
      <c r="AC92" s="3515"/>
      <c r="AD92" s="3515"/>
      <c r="AE92" s="3515"/>
      <c r="AF92" s="3515"/>
      <c r="AG92" s="3515"/>
      <c r="AH92" s="3515"/>
      <c r="AI92" s="3515"/>
      <c r="AJ92" s="3515"/>
      <c r="AK92" s="3515"/>
      <c r="AL92" s="1082"/>
      <c r="AM92" s="1088" t="str">
        <f>'1_入力シート【基本情報】'!FK422</f>
        <v/>
      </c>
      <c r="AN92" s="1088" t="str">
        <f>'1_入力シート【基本情報】'!FL422</f>
        <v/>
      </c>
      <c r="AO92" s="1088" t="str">
        <f>'1_入力シート【基本情報】'!FM422</f>
        <v/>
      </c>
      <c r="AP92" s="1084">
        <f>'1_入力シート【基本情報】'!FN422</f>
        <v>0</v>
      </c>
    </row>
    <row r="93" spans="2:42" ht="44.25" customHeight="1" x14ac:dyDescent="0.15">
      <c r="B93" s="3423" t="s">
        <v>3024</v>
      </c>
      <c r="C93" s="3424"/>
      <c r="D93" s="3424"/>
      <c r="E93" s="3485" t="s">
        <v>1253</v>
      </c>
      <c r="F93" s="3486"/>
      <c r="G93" s="3486"/>
      <c r="H93" s="3486"/>
      <c r="I93" s="3486"/>
      <c r="J93" s="3486"/>
      <c r="K93" s="3486"/>
      <c r="L93" s="3486"/>
      <c r="M93" s="3486"/>
      <c r="N93" s="3486"/>
      <c r="O93" s="3486"/>
      <c r="P93" s="3486"/>
      <c r="Q93" s="3486"/>
      <c r="R93" s="3486"/>
      <c r="S93" s="3486"/>
      <c r="T93" s="3487"/>
      <c r="U93" s="3621" t="str">
        <f>'1_入力シート【基本情報】'!$U423</f>
        <v>吹付け石綿及び吹付けロックウールでその含有する石綿の重量が当該建築材料の重量の0.1パーセントを超えるもの（以下「吹付け石綿等」という。）の使用の状況</v>
      </c>
      <c r="V93" s="3621"/>
      <c r="W93" s="3515"/>
      <c r="X93" s="3515"/>
      <c r="Y93" s="3515"/>
      <c r="Z93" s="3515"/>
      <c r="AA93" s="3515"/>
      <c r="AB93" s="3515"/>
      <c r="AC93" s="3515"/>
      <c r="AD93" s="3515"/>
      <c r="AE93" s="3515"/>
      <c r="AF93" s="3515"/>
      <c r="AG93" s="3515"/>
      <c r="AH93" s="3515"/>
      <c r="AI93" s="3515"/>
      <c r="AJ93" s="3515"/>
      <c r="AK93" s="3515"/>
      <c r="AL93" s="1082"/>
      <c r="AM93" s="1088" t="str">
        <f>'1_入力シート【基本情報】'!FK423</f>
        <v/>
      </c>
      <c r="AN93" s="1088" t="str">
        <f>'1_入力シート【基本情報】'!FL423</f>
        <v/>
      </c>
      <c r="AO93" s="1088" t="str">
        <f>'1_入力シート【基本情報】'!FM423</f>
        <v/>
      </c>
      <c r="AP93" s="1084">
        <f>'1_入力シート【基本情報】'!FN423</f>
        <v>0</v>
      </c>
    </row>
    <row r="94" spans="2:42" ht="11.25" customHeight="1" x14ac:dyDescent="0.15">
      <c r="B94" s="3423" t="s">
        <v>3025</v>
      </c>
      <c r="C94" s="3424"/>
      <c r="D94" s="3424"/>
      <c r="E94" s="3488"/>
      <c r="F94" s="3489"/>
      <c r="G94" s="3489"/>
      <c r="H94" s="3489"/>
      <c r="I94" s="3489"/>
      <c r="J94" s="3489"/>
      <c r="K94" s="3489"/>
      <c r="L94" s="3489"/>
      <c r="M94" s="3489"/>
      <c r="N94" s="3489"/>
      <c r="O94" s="3489"/>
      <c r="P94" s="3489"/>
      <c r="Q94" s="3489"/>
      <c r="R94" s="3489"/>
      <c r="S94" s="3489"/>
      <c r="T94" s="3490"/>
      <c r="U94" s="3498" t="str">
        <f>'1_入力シート【基本情報】'!$U424</f>
        <v>吹付け石綿等の劣化の状況</v>
      </c>
      <c r="V94" s="3499"/>
      <c r="W94" s="3500"/>
      <c r="X94" s="3500"/>
      <c r="Y94" s="3500"/>
      <c r="Z94" s="3500"/>
      <c r="AA94" s="3500"/>
      <c r="AB94" s="3500"/>
      <c r="AC94" s="3500"/>
      <c r="AD94" s="3500"/>
      <c r="AE94" s="3500"/>
      <c r="AF94" s="3500"/>
      <c r="AG94" s="3500"/>
      <c r="AH94" s="3500"/>
      <c r="AI94" s="3500"/>
      <c r="AJ94" s="3500"/>
      <c r="AK94" s="3500"/>
      <c r="AL94" s="1082"/>
      <c r="AM94" s="1088" t="str">
        <f>'1_入力シート【基本情報】'!FK424</f>
        <v/>
      </c>
      <c r="AN94" s="1088" t="str">
        <f>'1_入力シート【基本情報】'!FL424</f>
        <v/>
      </c>
      <c r="AO94" s="1088" t="str">
        <f>'1_入力シート【基本情報】'!FM424</f>
        <v/>
      </c>
      <c r="AP94" s="1084">
        <f>'1_入力シート【基本情報】'!FN424</f>
        <v>0</v>
      </c>
    </row>
    <row r="95" spans="2:42" ht="23.25" customHeight="1" x14ac:dyDescent="0.15">
      <c r="B95" s="3423" t="s">
        <v>3026</v>
      </c>
      <c r="C95" s="3424"/>
      <c r="D95" s="3424"/>
      <c r="E95" s="3488"/>
      <c r="F95" s="3489"/>
      <c r="G95" s="3489"/>
      <c r="H95" s="3489"/>
      <c r="I95" s="3489"/>
      <c r="J95" s="3489"/>
      <c r="K95" s="3489"/>
      <c r="L95" s="3489"/>
      <c r="M95" s="3489"/>
      <c r="N95" s="3489"/>
      <c r="O95" s="3489"/>
      <c r="P95" s="3489"/>
      <c r="Q95" s="3489"/>
      <c r="R95" s="3489"/>
      <c r="S95" s="3489"/>
      <c r="T95" s="3490"/>
      <c r="U95" s="3498" t="str">
        <f>'1_入力シート【基本情報】'!$U425</f>
        <v>除去又は囲い込み若しくは封じ込めによる飛散防止措置の実施の状況</v>
      </c>
      <c r="V95" s="3499"/>
      <c r="W95" s="3500"/>
      <c r="X95" s="3500"/>
      <c r="Y95" s="3500"/>
      <c r="Z95" s="3500"/>
      <c r="AA95" s="3500"/>
      <c r="AB95" s="3500"/>
      <c r="AC95" s="3500"/>
      <c r="AD95" s="3500"/>
      <c r="AE95" s="3500"/>
      <c r="AF95" s="3500"/>
      <c r="AG95" s="3500"/>
      <c r="AH95" s="3500"/>
      <c r="AI95" s="3500"/>
      <c r="AJ95" s="3500"/>
      <c r="AK95" s="3500"/>
      <c r="AL95" s="1082"/>
      <c r="AM95" s="1088" t="str">
        <f>'1_入力シート【基本情報】'!FK425</f>
        <v/>
      </c>
      <c r="AN95" s="1088" t="str">
        <f>'1_入力シート【基本情報】'!FL425</f>
        <v/>
      </c>
      <c r="AO95" s="1088" t="str">
        <f>'1_入力シート【基本情報】'!FM425</f>
        <v/>
      </c>
      <c r="AP95" s="1084">
        <f>'1_入力シート【基本情報】'!FN425</f>
        <v>0</v>
      </c>
    </row>
    <row r="96" spans="2:42" ht="27" customHeight="1" thickBot="1" x14ac:dyDescent="0.2">
      <c r="B96" s="3423" t="s">
        <v>3027</v>
      </c>
      <c r="C96" s="3424"/>
      <c r="D96" s="3424"/>
      <c r="E96" s="3491"/>
      <c r="F96" s="3492"/>
      <c r="G96" s="3492"/>
      <c r="H96" s="3492"/>
      <c r="I96" s="3492"/>
      <c r="J96" s="3492"/>
      <c r="K96" s="3492"/>
      <c r="L96" s="3492"/>
      <c r="M96" s="3492"/>
      <c r="N96" s="3492"/>
      <c r="O96" s="3492"/>
      <c r="P96" s="3492"/>
      <c r="Q96" s="3492"/>
      <c r="R96" s="3492"/>
      <c r="S96" s="3492"/>
      <c r="T96" s="3493"/>
      <c r="U96" s="3510" t="str">
        <f>'1_入力シート【基本情報】'!$U426</f>
        <v>囲い込み又は封じ込めによる飛散防止措置の劣化及び損傷の状況</v>
      </c>
      <c r="V96" s="3511"/>
      <c r="W96" s="3512"/>
      <c r="X96" s="3512"/>
      <c r="Y96" s="3512"/>
      <c r="Z96" s="3512"/>
      <c r="AA96" s="3512"/>
      <c r="AB96" s="3512"/>
      <c r="AC96" s="3512"/>
      <c r="AD96" s="3512"/>
      <c r="AE96" s="3512"/>
      <c r="AF96" s="3512"/>
      <c r="AG96" s="3512"/>
      <c r="AH96" s="3512"/>
      <c r="AI96" s="3512"/>
      <c r="AJ96" s="3512"/>
      <c r="AK96" s="3513"/>
      <c r="AL96" s="1085"/>
      <c r="AM96" s="1089" t="str">
        <f>'1_入力シート【基本情報】'!FK426</f>
        <v/>
      </c>
      <c r="AN96" s="1089" t="str">
        <f>'1_入力シート【基本情報】'!FL426</f>
        <v/>
      </c>
      <c r="AO96" s="1089" t="str">
        <f>'1_入力シート【基本情報】'!FM426</f>
        <v/>
      </c>
      <c r="AP96" s="1087">
        <f>'1_入力シート【基本情報】'!FN426</f>
        <v>0</v>
      </c>
    </row>
    <row r="97" spans="2:42" ht="12" customHeight="1" x14ac:dyDescent="0.15">
      <c r="B97" s="3472">
        <v>5</v>
      </c>
      <c r="C97" s="3473"/>
      <c r="D97" s="3474"/>
      <c r="E97" s="3469" t="s">
        <v>110</v>
      </c>
      <c r="F97" s="3469"/>
      <c r="G97" s="3469"/>
      <c r="H97" s="3469"/>
      <c r="I97" s="3469"/>
      <c r="J97" s="3469"/>
      <c r="K97" s="3469"/>
      <c r="L97" s="3469"/>
      <c r="M97" s="3469"/>
      <c r="N97" s="3469"/>
      <c r="O97" s="3469"/>
      <c r="P97" s="3469"/>
      <c r="Q97" s="3469"/>
      <c r="R97" s="3469"/>
      <c r="S97" s="3469"/>
      <c r="T97" s="3469"/>
      <c r="U97" s="3469"/>
      <c r="V97" s="3469"/>
      <c r="W97" s="3469"/>
      <c r="X97" s="3469"/>
      <c r="Y97" s="3469"/>
      <c r="Z97" s="3469"/>
      <c r="AA97" s="3469"/>
      <c r="AB97" s="3469"/>
      <c r="AC97" s="3469"/>
      <c r="AD97" s="3469"/>
      <c r="AE97" s="3469"/>
      <c r="AF97" s="3469"/>
      <c r="AG97" s="3469"/>
      <c r="AH97" s="3469"/>
      <c r="AI97" s="3469"/>
      <c r="AJ97" s="3469"/>
      <c r="AK97" s="3469"/>
      <c r="AL97" s="3469"/>
      <c r="AM97" s="3469"/>
      <c r="AN97" s="3469"/>
      <c r="AO97" s="3469"/>
      <c r="AP97" s="3470"/>
    </row>
    <row r="98" spans="2:42" ht="12" customHeight="1" x14ac:dyDescent="0.15">
      <c r="B98" s="3423" t="s">
        <v>35</v>
      </c>
      <c r="C98" s="3424"/>
      <c r="D98" s="3424"/>
      <c r="E98" s="3494" t="s">
        <v>198</v>
      </c>
      <c r="F98" s="3495"/>
      <c r="G98" s="3495"/>
      <c r="H98" s="3467"/>
      <c r="I98" s="3467"/>
      <c r="J98" s="3467"/>
      <c r="K98" s="3467"/>
      <c r="L98" s="3467"/>
      <c r="M98" s="3467"/>
      <c r="N98" s="3467"/>
      <c r="O98" s="3467"/>
      <c r="P98" s="3467"/>
      <c r="Q98" s="3467"/>
      <c r="R98" s="3467"/>
      <c r="S98" s="3467"/>
      <c r="T98" s="3468"/>
      <c r="U98" s="3465" t="str">
        <f>'1_入力シート【基本情報】'!$U436</f>
        <v>令第120条第２項に規定する通路の確保の状況</v>
      </c>
      <c r="V98" s="3466"/>
      <c r="W98" s="3467"/>
      <c r="X98" s="3467"/>
      <c r="Y98" s="3467"/>
      <c r="Z98" s="3467"/>
      <c r="AA98" s="3467"/>
      <c r="AB98" s="3467"/>
      <c r="AC98" s="3467"/>
      <c r="AD98" s="3467"/>
      <c r="AE98" s="3467"/>
      <c r="AF98" s="3467"/>
      <c r="AG98" s="3467"/>
      <c r="AH98" s="3467"/>
      <c r="AI98" s="3467"/>
      <c r="AJ98" s="3467"/>
      <c r="AK98" s="3468"/>
      <c r="AL98" s="1082"/>
      <c r="AM98" s="1088" t="str">
        <f>'1_入力シート【基本情報】'!FK436</f>
        <v/>
      </c>
      <c r="AN98" s="1088" t="str">
        <f>'1_入力シート【基本情報】'!FL436</f>
        <v/>
      </c>
      <c r="AO98" s="1088" t="str">
        <f>'1_入力シート【基本情報】'!FM436</f>
        <v/>
      </c>
      <c r="AP98" s="1084">
        <f>'1_入力シート【基本情報】'!FN436</f>
        <v>0</v>
      </c>
    </row>
    <row r="99" spans="2:42" ht="12" customHeight="1" x14ac:dyDescent="0.15">
      <c r="B99" s="3423" t="s">
        <v>920</v>
      </c>
      <c r="C99" s="3424"/>
      <c r="D99" s="3424"/>
      <c r="E99" s="3457" t="s">
        <v>111</v>
      </c>
      <c r="F99" s="3321"/>
      <c r="G99" s="3321"/>
      <c r="H99" s="3333"/>
      <c r="I99" s="3333"/>
      <c r="J99" s="3333"/>
      <c r="K99" s="3333"/>
      <c r="L99" s="3333"/>
      <c r="M99" s="3333"/>
      <c r="N99" s="3333"/>
      <c r="O99" s="3333"/>
      <c r="P99" s="3333"/>
      <c r="Q99" s="3333"/>
      <c r="R99" s="3333"/>
      <c r="S99" s="3333"/>
      <c r="T99" s="3334"/>
      <c r="U99" s="3465" t="str">
        <f>'1_入力シート【基本情報】'!$U437</f>
        <v xml:space="preserve">幅員の確保の状況
</v>
      </c>
      <c r="V99" s="3466"/>
      <c r="W99" s="3467"/>
      <c r="X99" s="3467"/>
      <c r="Y99" s="3467"/>
      <c r="Z99" s="3467"/>
      <c r="AA99" s="3467"/>
      <c r="AB99" s="3467"/>
      <c r="AC99" s="3467"/>
      <c r="AD99" s="3467"/>
      <c r="AE99" s="3467"/>
      <c r="AF99" s="3467"/>
      <c r="AG99" s="3467"/>
      <c r="AH99" s="3467"/>
      <c r="AI99" s="3467"/>
      <c r="AJ99" s="3467"/>
      <c r="AK99" s="3468"/>
      <c r="AL99" s="1082"/>
      <c r="AM99" s="1088" t="str">
        <f>'1_入力シート【基本情報】'!FK437</f>
        <v/>
      </c>
      <c r="AN99" s="1088" t="str">
        <f>'1_入力シート【基本情報】'!FL437</f>
        <v/>
      </c>
      <c r="AO99" s="1088" t="str">
        <f>'1_入力シート【基本情報】'!FM437</f>
        <v/>
      </c>
      <c r="AP99" s="1084">
        <f>'1_入力シート【基本情報】'!FN437</f>
        <v>0</v>
      </c>
    </row>
    <row r="100" spans="2:42" ht="12" customHeight="1" x14ac:dyDescent="0.15">
      <c r="B100" s="3423" t="s">
        <v>921</v>
      </c>
      <c r="C100" s="3424"/>
      <c r="D100" s="3424"/>
      <c r="E100" s="3329"/>
      <c r="F100" s="3330"/>
      <c r="G100" s="3330"/>
      <c r="H100" s="3339"/>
      <c r="I100" s="3339"/>
      <c r="J100" s="3339"/>
      <c r="K100" s="3339"/>
      <c r="L100" s="3339"/>
      <c r="M100" s="3339"/>
      <c r="N100" s="3339"/>
      <c r="O100" s="3339"/>
      <c r="P100" s="3339"/>
      <c r="Q100" s="3339"/>
      <c r="R100" s="3339"/>
      <c r="S100" s="3339"/>
      <c r="T100" s="3340"/>
      <c r="U100" s="3465" t="str">
        <f>'1_入力シート【基本情報】'!$U438</f>
        <v>物品の放置の状況</v>
      </c>
      <c r="V100" s="3466"/>
      <c r="W100" s="3467"/>
      <c r="X100" s="3467"/>
      <c r="Y100" s="3467"/>
      <c r="Z100" s="3467"/>
      <c r="AA100" s="3467"/>
      <c r="AB100" s="3467"/>
      <c r="AC100" s="3467"/>
      <c r="AD100" s="3467"/>
      <c r="AE100" s="3467"/>
      <c r="AF100" s="3467"/>
      <c r="AG100" s="3467"/>
      <c r="AH100" s="3467"/>
      <c r="AI100" s="3467"/>
      <c r="AJ100" s="3467"/>
      <c r="AK100" s="3468"/>
      <c r="AL100" s="1082"/>
      <c r="AM100" s="1088" t="str">
        <f>'1_入力シート【基本情報】'!FK438</f>
        <v/>
      </c>
      <c r="AN100" s="1088" t="str">
        <f>'1_入力シート【基本情報】'!FL438</f>
        <v/>
      </c>
      <c r="AO100" s="1088" t="str">
        <f>'1_入力シート【基本情報】'!FM438</f>
        <v/>
      </c>
      <c r="AP100" s="1084">
        <f>'1_入力シート【基本情報】'!FN438</f>
        <v>0</v>
      </c>
    </row>
    <row r="101" spans="2:42" ht="12" customHeight="1" x14ac:dyDescent="0.15">
      <c r="B101" s="3423" t="s">
        <v>922</v>
      </c>
      <c r="C101" s="3424"/>
      <c r="D101" s="3424"/>
      <c r="E101" s="3457" t="s">
        <v>113</v>
      </c>
      <c r="F101" s="3321"/>
      <c r="G101" s="3321"/>
      <c r="H101" s="3333"/>
      <c r="I101" s="3333"/>
      <c r="J101" s="3333"/>
      <c r="K101" s="3333"/>
      <c r="L101" s="3333"/>
      <c r="M101" s="3333"/>
      <c r="N101" s="3333"/>
      <c r="O101" s="3333"/>
      <c r="P101" s="3333"/>
      <c r="Q101" s="3333"/>
      <c r="R101" s="3333"/>
      <c r="S101" s="3333"/>
      <c r="T101" s="3334"/>
      <c r="U101" s="3465" t="str">
        <f>'1_入力シート【基本情報】'!$U439</f>
        <v>出入口の確保の状況</v>
      </c>
      <c r="V101" s="3466"/>
      <c r="W101" s="3467"/>
      <c r="X101" s="3467"/>
      <c r="Y101" s="3467"/>
      <c r="Z101" s="3467"/>
      <c r="AA101" s="3467"/>
      <c r="AB101" s="3467"/>
      <c r="AC101" s="3467"/>
      <c r="AD101" s="3467"/>
      <c r="AE101" s="3467"/>
      <c r="AF101" s="3467"/>
      <c r="AG101" s="3467"/>
      <c r="AH101" s="3467"/>
      <c r="AI101" s="3467"/>
      <c r="AJ101" s="3467"/>
      <c r="AK101" s="3468"/>
      <c r="AL101" s="1082"/>
      <c r="AM101" s="1088" t="str">
        <f>'1_入力シート【基本情報】'!FK439</f>
        <v/>
      </c>
      <c r="AN101" s="1088" t="str">
        <f>'1_入力シート【基本情報】'!FL439</f>
        <v/>
      </c>
      <c r="AO101" s="1088" t="str">
        <f>'1_入力シート【基本情報】'!FM439</f>
        <v/>
      </c>
      <c r="AP101" s="1084">
        <f>'1_入力シート【基本情報】'!FN439</f>
        <v>0</v>
      </c>
    </row>
    <row r="102" spans="2:42" ht="12" customHeight="1" x14ac:dyDescent="0.15">
      <c r="B102" s="3423" t="s">
        <v>923</v>
      </c>
      <c r="C102" s="3424"/>
      <c r="D102" s="3424"/>
      <c r="E102" s="3329"/>
      <c r="F102" s="3330"/>
      <c r="G102" s="3330"/>
      <c r="H102" s="3339"/>
      <c r="I102" s="3339"/>
      <c r="J102" s="3339"/>
      <c r="K102" s="3339"/>
      <c r="L102" s="3339"/>
      <c r="M102" s="3339"/>
      <c r="N102" s="3339"/>
      <c r="O102" s="3339"/>
      <c r="P102" s="3339"/>
      <c r="Q102" s="3339"/>
      <c r="R102" s="3339"/>
      <c r="S102" s="3339"/>
      <c r="T102" s="3340"/>
      <c r="U102" s="3465" t="str">
        <f>'1_入力シート【基本情報】'!$U440</f>
        <v>物品の放置の状況</v>
      </c>
      <c r="V102" s="3466"/>
      <c r="W102" s="3467"/>
      <c r="X102" s="3467"/>
      <c r="Y102" s="3467"/>
      <c r="Z102" s="3467"/>
      <c r="AA102" s="3467"/>
      <c r="AB102" s="3467"/>
      <c r="AC102" s="3467"/>
      <c r="AD102" s="3467"/>
      <c r="AE102" s="3467"/>
      <c r="AF102" s="3467"/>
      <c r="AG102" s="3467"/>
      <c r="AH102" s="3467"/>
      <c r="AI102" s="3467"/>
      <c r="AJ102" s="3467"/>
      <c r="AK102" s="3468"/>
      <c r="AL102" s="1082"/>
      <c r="AM102" s="1088" t="str">
        <f>'1_入力シート【基本情報】'!FK440</f>
        <v/>
      </c>
      <c r="AN102" s="1088" t="str">
        <f>'1_入力シート【基本情報】'!FL440</f>
        <v/>
      </c>
      <c r="AO102" s="1088" t="str">
        <f>'1_入力シート【基本情報】'!FM440</f>
        <v/>
      </c>
      <c r="AP102" s="1084">
        <f>'1_入力シート【基本情報】'!FN440</f>
        <v>0</v>
      </c>
    </row>
    <row r="103" spans="2:42" ht="12" customHeight="1" x14ac:dyDescent="0.15">
      <c r="B103" s="3423" t="s">
        <v>43</v>
      </c>
      <c r="C103" s="3424"/>
      <c r="D103" s="3424"/>
      <c r="E103" s="3496" t="s">
        <v>115</v>
      </c>
      <c r="F103" s="3497"/>
      <c r="G103" s="3466"/>
      <c r="H103" s="3467"/>
      <c r="I103" s="3467"/>
      <c r="J103" s="3467"/>
      <c r="K103" s="3467"/>
      <c r="L103" s="3467"/>
      <c r="M103" s="3467"/>
      <c r="N103" s="3467"/>
      <c r="O103" s="3467"/>
      <c r="P103" s="3467"/>
      <c r="Q103" s="3467"/>
      <c r="R103" s="3467"/>
      <c r="S103" s="3467"/>
      <c r="T103" s="3468"/>
      <c r="U103" s="3465" t="str">
        <f>'1_入力シート【基本情報】'!$U441</f>
        <v>屋上広場の確保の状況</v>
      </c>
      <c r="V103" s="3466"/>
      <c r="W103" s="3467"/>
      <c r="X103" s="3467"/>
      <c r="Y103" s="3467"/>
      <c r="Z103" s="3467"/>
      <c r="AA103" s="3467"/>
      <c r="AB103" s="3467"/>
      <c r="AC103" s="3467"/>
      <c r="AD103" s="3467"/>
      <c r="AE103" s="3467"/>
      <c r="AF103" s="3467"/>
      <c r="AG103" s="3467"/>
      <c r="AH103" s="3467"/>
      <c r="AI103" s="3467"/>
      <c r="AJ103" s="3467"/>
      <c r="AK103" s="3468"/>
      <c r="AL103" s="1082"/>
      <c r="AM103" s="1088" t="str">
        <f>'1_入力シート【基本情報】'!FK441</f>
        <v/>
      </c>
      <c r="AN103" s="1088" t="str">
        <f>'1_入力シート【基本情報】'!FL441</f>
        <v/>
      </c>
      <c r="AO103" s="1088" t="str">
        <f>'1_入力シート【基本情報】'!FM441</f>
        <v/>
      </c>
      <c r="AP103" s="1084">
        <f>'1_入力シート【基本情報】'!FN441</f>
        <v>0</v>
      </c>
    </row>
    <row r="104" spans="2:42" ht="12" customHeight="1" x14ac:dyDescent="0.15">
      <c r="B104" s="3423" t="s">
        <v>924</v>
      </c>
      <c r="C104" s="3424"/>
      <c r="D104" s="3424"/>
      <c r="E104" s="3471" t="s">
        <v>117</v>
      </c>
      <c r="F104" s="3556"/>
      <c r="G104" s="3458"/>
      <c r="H104" s="3459"/>
      <c r="I104" s="3459"/>
      <c r="J104" s="3459"/>
      <c r="K104" s="3459"/>
      <c r="L104" s="3459"/>
      <c r="M104" s="3459"/>
      <c r="N104" s="3459"/>
      <c r="O104" s="3459"/>
      <c r="P104" s="3459"/>
      <c r="Q104" s="3459"/>
      <c r="R104" s="3459"/>
      <c r="S104" s="3459"/>
      <c r="T104" s="3460"/>
      <c r="U104" s="3465" t="str">
        <f>'1_入力シート【基本情報】'!$U442</f>
        <v>避難上有効なバルコニーの確保の状況</v>
      </c>
      <c r="V104" s="3466"/>
      <c r="W104" s="3467"/>
      <c r="X104" s="3467"/>
      <c r="Y104" s="3467"/>
      <c r="Z104" s="3467"/>
      <c r="AA104" s="3467"/>
      <c r="AB104" s="3467"/>
      <c r="AC104" s="3467"/>
      <c r="AD104" s="3467"/>
      <c r="AE104" s="3467"/>
      <c r="AF104" s="3467"/>
      <c r="AG104" s="3467"/>
      <c r="AH104" s="3467"/>
      <c r="AI104" s="3467"/>
      <c r="AJ104" s="3467"/>
      <c r="AK104" s="3468"/>
      <c r="AL104" s="1082"/>
      <c r="AM104" s="1088" t="str">
        <f>'1_入力シート【基本情報】'!FK442</f>
        <v/>
      </c>
      <c r="AN104" s="1088" t="str">
        <f>'1_入力シート【基本情報】'!FL442</f>
        <v/>
      </c>
      <c r="AO104" s="1088" t="str">
        <f>'1_入力シート【基本情報】'!FM442</f>
        <v/>
      </c>
      <c r="AP104" s="1084">
        <f>'1_入力シート【基本情報】'!FN442</f>
        <v>0</v>
      </c>
    </row>
    <row r="105" spans="2:42" ht="12" customHeight="1" x14ac:dyDescent="0.15">
      <c r="B105" s="3423" t="s">
        <v>925</v>
      </c>
      <c r="C105" s="3424"/>
      <c r="D105" s="3424"/>
      <c r="E105" s="3578"/>
      <c r="F105" s="3564"/>
      <c r="G105" s="3502"/>
      <c r="H105" s="3503"/>
      <c r="I105" s="3503"/>
      <c r="J105" s="3503"/>
      <c r="K105" s="3503"/>
      <c r="L105" s="3503"/>
      <c r="M105" s="3503"/>
      <c r="N105" s="3503"/>
      <c r="O105" s="3503"/>
      <c r="P105" s="3503"/>
      <c r="Q105" s="3503"/>
      <c r="R105" s="3503"/>
      <c r="S105" s="3503"/>
      <c r="T105" s="3504"/>
      <c r="U105" s="3465" t="str">
        <f>'1_入力シート【基本情報】'!$U443</f>
        <v>手すり等の劣化及び損傷の状況</v>
      </c>
      <c r="V105" s="3466"/>
      <c r="W105" s="3467"/>
      <c r="X105" s="3467"/>
      <c r="Y105" s="3467"/>
      <c r="Z105" s="3467"/>
      <c r="AA105" s="3467"/>
      <c r="AB105" s="3467"/>
      <c r="AC105" s="3467"/>
      <c r="AD105" s="3467"/>
      <c r="AE105" s="3467"/>
      <c r="AF105" s="3467"/>
      <c r="AG105" s="3467"/>
      <c r="AH105" s="3467"/>
      <c r="AI105" s="3467"/>
      <c r="AJ105" s="3467"/>
      <c r="AK105" s="3468"/>
      <c r="AL105" s="1082"/>
      <c r="AM105" s="1088" t="str">
        <f>'1_入力シート【基本情報】'!FK443</f>
        <v/>
      </c>
      <c r="AN105" s="1088" t="str">
        <f>'1_入力シート【基本情報】'!FL443</f>
        <v/>
      </c>
      <c r="AO105" s="1088" t="str">
        <f>'1_入力シート【基本情報】'!FM443</f>
        <v/>
      </c>
      <c r="AP105" s="1084">
        <f>'1_入力シート【基本情報】'!FN443</f>
        <v>0</v>
      </c>
    </row>
    <row r="106" spans="2:42" ht="12" customHeight="1" x14ac:dyDescent="0.15">
      <c r="B106" s="3423" t="s">
        <v>926</v>
      </c>
      <c r="C106" s="3424"/>
      <c r="D106" s="3424"/>
      <c r="E106" s="3578"/>
      <c r="F106" s="3564"/>
      <c r="G106" s="3502"/>
      <c r="H106" s="3503"/>
      <c r="I106" s="3503"/>
      <c r="J106" s="3503"/>
      <c r="K106" s="3503"/>
      <c r="L106" s="3503"/>
      <c r="M106" s="3503"/>
      <c r="N106" s="3503"/>
      <c r="O106" s="3503"/>
      <c r="P106" s="3503"/>
      <c r="Q106" s="3503"/>
      <c r="R106" s="3503"/>
      <c r="S106" s="3503"/>
      <c r="T106" s="3504"/>
      <c r="U106" s="3465" t="str">
        <f>'1_入力シート【基本情報】'!$U444</f>
        <v>物品の放置の状況</v>
      </c>
      <c r="V106" s="3466"/>
      <c r="W106" s="3467"/>
      <c r="X106" s="3467"/>
      <c r="Y106" s="3467"/>
      <c r="Z106" s="3467"/>
      <c r="AA106" s="3467"/>
      <c r="AB106" s="3467"/>
      <c r="AC106" s="3467"/>
      <c r="AD106" s="3467"/>
      <c r="AE106" s="3467"/>
      <c r="AF106" s="3467"/>
      <c r="AG106" s="3467"/>
      <c r="AH106" s="3467"/>
      <c r="AI106" s="3467"/>
      <c r="AJ106" s="3467"/>
      <c r="AK106" s="3468"/>
      <c r="AL106" s="1082"/>
      <c r="AM106" s="1088" t="str">
        <f>'1_入力シート【基本情報】'!FK444</f>
        <v/>
      </c>
      <c r="AN106" s="1088" t="str">
        <f>'1_入力シート【基本情報】'!FL444</f>
        <v/>
      </c>
      <c r="AO106" s="1088" t="str">
        <f>'1_入力シート【基本情報】'!FM444</f>
        <v/>
      </c>
      <c r="AP106" s="1084">
        <f>'1_入力シート【基本情報】'!FN444</f>
        <v>0</v>
      </c>
    </row>
    <row r="107" spans="2:42" ht="12" customHeight="1" x14ac:dyDescent="0.15">
      <c r="B107" s="3423" t="s">
        <v>927</v>
      </c>
      <c r="C107" s="3424"/>
      <c r="D107" s="3424"/>
      <c r="E107" s="3475"/>
      <c r="F107" s="3559"/>
      <c r="G107" s="3476"/>
      <c r="H107" s="3477"/>
      <c r="I107" s="3477"/>
      <c r="J107" s="3477"/>
      <c r="K107" s="3477"/>
      <c r="L107" s="3477"/>
      <c r="M107" s="3477"/>
      <c r="N107" s="3477"/>
      <c r="O107" s="3477"/>
      <c r="P107" s="3477"/>
      <c r="Q107" s="3477"/>
      <c r="R107" s="3477"/>
      <c r="S107" s="3477"/>
      <c r="T107" s="3478"/>
      <c r="U107" s="3465" t="str">
        <f>'1_入力シート【基本情報】'!$U445</f>
        <v>避難器具の操作性の確保の状況</v>
      </c>
      <c r="V107" s="3466"/>
      <c r="W107" s="3467"/>
      <c r="X107" s="3467"/>
      <c r="Y107" s="3467"/>
      <c r="Z107" s="3467"/>
      <c r="AA107" s="3467"/>
      <c r="AB107" s="3467"/>
      <c r="AC107" s="3467"/>
      <c r="AD107" s="3467"/>
      <c r="AE107" s="3467"/>
      <c r="AF107" s="3467"/>
      <c r="AG107" s="3467"/>
      <c r="AH107" s="3467"/>
      <c r="AI107" s="3467"/>
      <c r="AJ107" s="3467"/>
      <c r="AK107" s="3468"/>
      <c r="AL107" s="1082"/>
      <c r="AM107" s="1088" t="str">
        <f>'1_入力シート【基本情報】'!FK445</f>
        <v/>
      </c>
      <c r="AN107" s="1088" t="str">
        <f>'1_入力シート【基本情報】'!FL445</f>
        <v/>
      </c>
      <c r="AO107" s="1088" t="str">
        <f>'1_入力シート【基本情報】'!FM445</f>
        <v/>
      </c>
      <c r="AP107" s="1084">
        <f>'1_入力シート【基本情報】'!FN445</f>
        <v>0</v>
      </c>
    </row>
    <row r="108" spans="2:42" ht="12" customHeight="1" x14ac:dyDescent="0.15">
      <c r="B108" s="3423" t="s">
        <v>928</v>
      </c>
      <c r="C108" s="3424"/>
      <c r="D108" s="3424"/>
      <c r="E108" s="3479" t="s">
        <v>121</v>
      </c>
      <c r="F108" s="3480"/>
      <c r="G108" s="3471" t="s">
        <v>121</v>
      </c>
      <c r="H108" s="3555"/>
      <c r="I108" s="3321"/>
      <c r="J108" s="3321"/>
      <c r="K108" s="3321"/>
      <c r="L108" s="3321"/>
      <c r="M108" s="3321"/>
      <c r="N108" s="3321"/>
      <c r="O108" s="3321"/>
      <c r="P108" s="3321"/>
      <c r="Q108" s="3321"/>
      <c r="R108" s="3321"/>
      <c r="S108" s="3321"/>
      <c r="T108" s="3322"/>
      <c r="U108" s="3465" t="str">
        <f>'1_入力シート【基本情報】'!$U446</f>
        <v>直通階段の設置の状況</v>
      </c>
      <c r="V108" s="3466"/>
      <c r="W108" s="3467"/>
      <c r="X108" s="3467"/>
      <c r="Y108" s="3467"/>
      <c r="Z108" s="3467"/>
      <c r="AA108" s="3467"/>
      <c r="AB108" s="3467"/>
      <c r="AC108" s="3467"/>
      <c r="AD108" s="3467"/>
      <c r="AE108" s="3467"/>
      <c r="AF108" s="3467"/>
      <c r="AG108" s="3467"/>
      <c r="AH108" s="3467"/>
      <c r="AI108" s="3467"/>
      <c r="AJ108" s="3467"/>
      <c r="AK108" s="3468"/>
      <c r="AL108" s="1082"/>
      <c r="AM108" s="1088" t="str">
        <f>'1_入力シート【基本情報】'!FK446</f>
        <v/>
      </c>
      <c r="AN108" s="1088" t="str">
        <f>'1_入力シート【基本情報】'!FL446</f>
        <v/>
      </c>
      <c r="AO108" s="1088" t="str">
        <f>'1_入力シート【基本情報】'!FM446</f>
        <v/>
      </c>
      <c r="AP108" s="1084">
        <f>'1_入力シート【基本情報】'!FN446</f>
        <v>0</v>
      </c>
    </row>
    <row r="109" spans="2:42" ht="12" customHeight="1" x14ac:dyDescent="0.15">
      <c r="B109" s="3423" t="s">
        <v>929</v>
      </c>
      <c r="C109" s="3424"/>
      <c r="D109" s="3424"/>
      <c r="E109" s="3481"/>
      <c r="F109" s="3482"/>
      <c r="G109" s="3563"/>
      <c r="H109" s="3576"/>
      <c r="I109" s="3325"/>
      <c r="J109" s="3325"/>
      <c r="K109" s="3325"/>
      <c r="L109" s="3325"/>
      <c r="M109" s="3325"/>
      <c r="N109" s="3325"/>
      <c r="O109" s="3325"/>
      <c r="P109" s="3325"/>
      <c r="Q109" s="3325"/>
      <c r="R109" s="3325"/>
      <c r="S109" s="3325"/>
      <c r="T109" s="3326"/>
      <c r="U109" s="3465" t="str">
        <f>'1_入力シート【基本情報】'!$U447</f>
        <v>幅員の確保の状況</v>
      </c>
      <c r="V109" s="3466"/>
      <c r="W109" s="3467"/>
      <c r="X109" s="3467"/>
      <c r="Y109" s="3467"/>
      <c r="Z109" s="3467"/>
      <c r="AA109" s="3467"/>
      <c r="AB109" s="3467"/>
      <c r="AC109" s="3467"/>
      <c r="AD109" s="3467"/>
      <c r="AE109" s="3467"/>
      <c r="AF109" s="3467"/>
      <c r="AG109" s="3467"/>
      <c r="AH109" s="3467"/>
      <c r="AI109" s="3467"/>
      <c r="AJ109" s="3467"/>
      <c r="AK109" s="3468"/>
      <c r="AL109" s="1082"/>
      <c r="AM109" s="1088" t="str">
        <f>'1_入力シート【基本情報】'!FK447</f>
        <v/>
      </c>
      <c r="AN109" s="1088" t="str">
        <f>'1_入力シート【基本情報】'!FL447</f>
        <v/>
      </c>
      <c r="AO109" s="1088" t="str">
        <f>'1_入力シート【基本情報】'!FM447</f>
        <v/>
      </c>
      <c r="AP109" s="1084">
        <f>'1_入力シート【基本情報】'!FN447</f>
        <v>0</v>
      </c>
    </row>
    <row r="110" spans="2:42" ht="12" customHeight="1" x14ac:dyDescent="0.15">
      <c r="B110" s="3423" t="s">
        <v>930</v>
      </c>
      <c r="C110" s="3424"/>
      <c r="D110" s="3424"/>
      <c r="E110" s="3481"/>
      <c r="F110" s="3482"/>
      <c r="G110" s="3563"/>
      <c r="H110" s="3576"/>
      <c r="I110" s="3325"/>
      <c r="J110" s="3325"/>
      <c r="K110" s="3325"/>
      <c r="L110" s="3325"/>
      <c r="M110" s="3325"/>
      <c r="N110" s="3325"/>
      <c r="O110" s="3325"/>
      <c r="P110" s="3325"/>
      <c r="Q110" s="3325"/>
      <c r="R110" s="3325"/>
      <c r="S110" s="3325"/>
      <c r="T110" s="3326"/>
      <c r="U110" s="3465" t="str">
        <f>'1_入力シート【基本情報】'!$U448</f>
        <v>手すりの設置の状況</v>
      </c>
      <c r="V110" s="3466"/>
      <c r="W110" s="3467"/>
      <c r="X110" s="3467"/>
      <c r="Y110" s="3467"/>
      <c r="Z110" s="3467"/>
      <c r="AA110" s="3467"/>
      <c r="AB110" s="3467"/>
      <c r="AC110" s="3467"/>
      <c r="AD110" s="3467"/>
      <c r="AE110" s="3467"/>
      <c r="AF110" s="3467"/>
      <c r="AG110" s="3467"/>
      <c r="AH110" s="3467"/>
      <c r="AI110" s="3467"/>
      <c r="AJ110" s="3467"/>
      <c r="AK110" s="3468"/>
      <c r="AL110" s="1082"/>
      <c r="AM110" s="1088" t="str">
        <f>'1_入力シート【基本情報】'!FK448</f>
        <v/>
      </c>
      <c r="AN110" s="1088" t="str">
        <f>'1_入力シート【基本情報】'!FL448</f>
        <v/>
      </c>
      <c r="AO110" s="1088" t="str">
        <f>'1_入力シート【基本情報】'!FM448</f>
        <v/>
      </c>
      <c r="AP110" s="1084">
        <f>'1_入力シート【基本情報】'!FN448</f>
        <v>0</v>
      </c>
    </row>
    <row r="111" spans="2:42" ht="12" customHeight="1" x14ac:dyDescent="0.15">
      <c r="B111" s="3423" t="s">
        <v>931</v>
      </c>
      <c r="C111" s="3424"/>
      <c r="D111" s="3424"/>
      <c r="E111" s="3481"/>
      <c r="F111" s="3482"/>
      <c r="G111" s="3563"/>
      <c r="H111" s="3576"/>
      <c r="I111" s="3325"/>
      <c r="J111" s="3325"/>
      <c r="K111" s="3325"/>
      <c r="L111" s="3325"/>
      <c r="M111" s="3325"/>
      <c r="N111" s="3325"/>
      <c r="O111" s="3325"/>
      <c r="P111" s="3325"/>
      <c r="Q111" s="3325"/>
      <c r="R111" s="3325"/>
      <c r="S111" s="3325"/>
      <c r="T111" s="3326"/>
      <c r="U111" s="3465" t="str">
        <f>'1_入力シート【基本情報】'!$U449</f>
        <v>物品の放置の状況</v>
      </c>
      <c r="V111" s="3466"/>
      <c r="W111" s="3467"/>
      <c r="X111" s="3467"/>
      <c r="Y111" s="3467"/>
      <c r="Z111" s="3467"/>
      <c r="AA111" s="3467"/>
      <c r="AB111" s="3467"/>
      <c r="AC111" s="3467"/>
      <c r="AD111" s="3467"/>
      <c r="AE111" s="3467"/>
      <c r="AF111" s="3467"/>
      <c r="AG111" s="3467"/>
      <c r="AH111" s="3467"/>
      <c r="AI111" s="3467"/>
      <c r="AJ111" s="3467"/>
      <c r="AK111" s="3468"/>
      <c r="AL111" s="1082"/>
      <c r="AM111" s="1088" t="str">
        <f>'1_入力シート【基本情報】'!FK449</f>
        <v/>
      </c>
      <c r="AN111" s="1088" t="str">
        <f>'1_入力シート【基本情報】'!FL449</f>
        <v/>
      </c>
      <c r="AO111" s="1088" t="str">
        <f>'1_入力シート【基本情報】'!FM449</f>
        <v/>
      </c>
      <c r="AP111" s="1084">
        <f>'1_入力シート【基本情報】'!FN449</f>
        <v>0</v>
      </c>
    </row>
    <row r="112" spans="2:42" ht="12" customHeight="1" x14ac:dyDescent="0.15">
      <c r="B112" s="3423" t="s">
        <v>932</v>
      </c>
      <c r="C112" s="3424"/>
      <c r="D112" s="3424"/>
      <c r="E112" s="3481"/>
      <c r="F112" s="3482"/>
      <c r="G112" s="3557"/>
      <c r="H112" s="3558"/>
      <c r="I112" s="3330"/>
      <c r="J112" s="3330"/>
      <c r="K112" s="3330"/>
      <c r="L112" s="3330"/>
      <c r="M112" s="3330"/>
      <c r="N112" s="3330"/>
      <c r="O112" s="3330"/>
      <c r="P112" s="3330"/>
      <c r="Q112" s="3330"/>
      <c r="R112" s="3330"/>
      <c r="S112" s="3330"/>
      <c r="T112" s="3331"/>
      <c r="U112" s="3465" t="str">
        <f>'1_入力シート【基本情報】'!$U450</f>
        <v>階段各部の劣化及び損傷の状況</v>
      </c>
      <c r="V112" s="3466"/>
      <c r="W112" s="3467"/>
      <c r="X112" s="3467"/>
      <c r="Y112" s="3467"/>
      <c r="Z112" s="3467"/>
      <c r="AA112" s="3467"/>
      <c r="AB112" s="3467"/>
      <c r="AC112" s="3467"/>
      <c r="AD112" s="3467"/>
      <c r="AE112" s="3467"/>
      <c r="AF112" s="3467"/>
      <c r="AG112" s="3467"/>
      <c r="AH112" s="3467"/>
      <c r="AI112" s="3467"/>
      <c r="AJ112" s="3467"/>
      <c r="AK112" s="3468"/>
      <c r="AL112" s="1090"/>
      <c r="AM112" s="1088" t="str">
        <f>'1_入力シート【基本情報】'!FK450</f>
        <v/>
      </c>
      <c r="AN112" s="1088" t="str">
        <f>'1_入力シート【基本情報】'!FL450</f>
        <v/>
      </c>
      <c r="AO112" s="1088" t="str">
        <f>'1_入力シート【基本情報】'!FM450</f>
        <v/>
      </c>
      <c r="AP112" s="1084">
        <f>'1_入力シート【基本情報】'!FN450</f>
        <v>0</v>
      </c>
    </row>
    <row r="113" spans="2:42" ht="11.25" customHeight="1" x14ac:dyDescent="0.15">
      <c r="B113" s="3423" t="s">
        <v>933</v>
      </c>
      <c r="C113" s="3424"/>
      <c r="D113" s="3424"/>
      <c r="E113" s="3481"/>
      <c r="F113" s="3482"/>
      <c r="G113" s="3496" t="s">
        <v>194</v>
      </c>
      <c r="H113" s="3466"/>
      <c r="I113" s="3467"/>
      <c r="J113" s="3467"/>
      <c r="K113" s="3467"/>
      <c r="L113" s="3467"/>
      <c r="M113" s="3467"/>
      <c r="N113" s="3467"/>
      <c r="O113" s="3467"/>
      <c r="P113" s="3467"/>
      <c r="Q113" s="3467"/>
      <c r="R113" s="3467"/>
      <c r="S113" s="3467"/>
      <c r="T113" s="3468"/>
      <c r="U113" s="3465" t="str">
        <f>'1_入力シート【基本情報】'!$U451</f>
        <v>階段室の構造の確保の状況</v>
      </c>
      <c r="V113" s="3466"/>
      <c r="W113" s="3467"/>
      <c r="X113" s="3467"/>
      <c r="Y113" s="3467"/>
      <c r="Z113" s="3467"/>
      <c r="AA113" s="3467"/>
      <c r="AB113" s="3467"/>
      <c r="AC113" s="3467"/>
      <c r="AD113" s="3467"/>
      <c r="AE113" s="3467"/>
      <c r="AF113" s="3467"/>
      <c r="AG113" s="3467"/>
      <c r="AH113" s="3467"/>
      <c r="AI113" s="3467"/>
      <c r="AJ113" s="3467"/>
      <c r="AK113" s="3468"/>
      <c r="AL113" s="1082"/>
      <c r="AM113" s="1088" t="str">
        <f>'1_入力シート【基本情報】'!FK451</f>
        <v/>
      </c>
      <c r="AN113" s="1088" t="str">
        <f>'1_入力シート【基本情報】'!FL451</f>
        <v/>
      </c>
      <c r="AO113" s="1088" t="str">
        <f>'1_入力シート【基本情報】'!FM451</f>
        <v/>
      </c>
      <c r="AP113" s="1084">
        <f>'1_入力シート【基本情報】'!FN451</f>
        <v>0</v>
      </c>
    </row>
    <row r="114" spans="2:42" ht="11.25" customHeight="1" x14ac:dyDescent="0.15">
      <c r="B114" s="3423" t="s">
        <v>934</v>
      </c>
      <c r="C114" s="3424"/>
      <c r="D114" s="3424"/>
      <c r="E114" s="3481"/>
      <c r="F114" s="3482"/>
      <c r="G114" s="3471" t="s">
        <v>192</v>
      </c>
      <c r="H114" s="3505"/>
      <c r="I114" s="3505"/>
      <c r="J114" s="3505"/>
      <c r="K114" s="3505"/>
      <c r="L114" s="3505"/>
      <c r="M114" s="3505"/>
      <c r="N114" s="3505"/>
      <c r="O114" s="3505"/>
      <c r="P114" s="3505"/>
      <c r="Q114" s="3505"/>
      <c r="R114" s="3505"/>
      <c r="S114" s="3505"/>
      <c r="T114" s="3506"/>
      <c r="U114" s="3465" t="str">
        <f>'1_入力シート【基本情報】'!$U452</f>
        <v>屋内と階段との間の防火区画の確保の状況</v>
      </c>
      <c r="V114" s="3466"/>
      <c r="W114" s="3467"/>
      <c r="X114" s="3467"/>
      <c r="Y114" s="3467"/>
      <c r="Z114" s="3467"/>
      <c r="AA114" s="3467"/>
      <c r="AB114" s="3467"/>
      <c r="AC114" s="3467"/>
      <c r="AD114" s="3467"/>
      <c r="AE114" s="3467"/>
      <c r="AF114" s="3467"/>
      <c r="AG114" s="3467"/>
      <c r="AH114" s="3467"/>
      <c r="AI114" s="3467"/>
      <c r="AJ114" s="3467"/>
      <c r="AK114" s="3468"/>
      <c r="AL114" s="1082"/>
      <c r="AM114" s="1088" t="str">
        <f>'1_入力シート【基本情報】'!FK452</f>
        <v/>
      </c>
      <c r="AN114" s="1088" t="str">
        <f>'1_入力シート【基本情報】'!FL452</f>
        <v/>
      </c>
      <c r="AO114" s="1088" t="str">
        <f>'1_入力シート【基本情報】'!FM452</f>
        <v/>
      </c>
      <c r="AP114" s="1084">
        <f>'1_入力シート【基本情報】'!FN452</f>
        <v>0</v>
      </c>
    </row>
    <row r="115" spans="2:42" ht="11.25" customHeight="1" x14ac:dyDescent="0.15">
      <c r="B115" s="3423" t="s">
        <v>935</v>
      </c>
      <c r="C115" s="3424"/>
      <c r="D115" s="3424"/>
      <c r="E115" s="3481"/>
      <c r="F115" s="3482"/>
      <c r="G115" s="3507"/>
      <c r="H115" s="3508"/>
      <c r="I115" s="3508"/>
      <c r="J115" s="3508"/>
      <c r="K115" s="3508"/>
      <c r="L115" s="3508"/>
      <c r="M115" s="3508"/>
      <c r="N115" s="3508"/>
      <c r="O115" s="3508"/>
      <c r="P115" s="3508"/>
      <c r="Q115" s="3508"/>
      <c r="R115" s="3508"/>
      <c r="S115" s="3508"/>
      <c r="T115" s="3509"/>
      <c r="U115" s="3465" t="str">
        <f>'1_入力シート【基本情報】'!$U453</f>
        <v>開放性の確保の状況</v>
      </c>
      <c r="V115" s="3466"/>
      <c r="W115" s="3467"/>
      <c r="X115" s="3467"/>
      <c r="Y115" s="3467"/>
      <c r="Z115" s="3467"/>
      <c r="AA115" s="3467"/>
      <c r="AB115" s="3467"/>
      <c r="AC115" s="3467"/>
      <c r="AD115" s="3467"/>
      <c r="AE115" s="3467"/>
      <c r="AF115" s="3467"/>
      <c r="AG115" s="3467"/>
      <c r="AH115" s="3467"/>
      <c r="AI115" s="3467"/>
      <c r="AJ115" s="3467"/>
      <c r="AK115" s="3468"/>
      <c r="AL115" s="1082"/>
      <c r="AM115" s="1088" t="str">
        <f>'1_入力シート【基本情報】'!FK453</f>
        <v/>
      </c>
      <c r="AN115" s="1088" t="str">
        <f>'1_入力シート【基本情報】'!FL453</f>
        <v/>
      </c>
      <c r="AO115" s="1088" t="str">
        <f>'1_入力シート【基本情報】'!FM453</f>
        <v/>
      </c>
      <c r="AP115" s="1084">
        <f>'1_入力シート【基本情報】'!FN453</f>
        <v>0</v>
      </c>
    </row>
    <row r="116" spans="2:42" ht="12" customHeight="1" x14ac:dyDescent="0.15">
      <c r="B116" s="3423" t="s">
        <v>937</v>
      </c>
      <c r="C116" s="3424"/>
      <c r="D116" s="3424"/>
      <c r="E116" s="3481"/>
      <c r="F116" s="3482"/>
      <c r="G116" s="3485" t="s">
        <v>127</v>
      </c>
      <c r="H116" s="3486"/>
      <c r="I116" s="3486"/>
      <c r="J116" s="3486"/>
      <c r="K116" s="3486"/>
      <c r="L116" s="3486"/>
      <c r="M116" s="3486"/>
      <c r="N116" s="3486"/>
      <c r="O116" s="3486"/>
      <c r="P116" s="3486"/>
      <c r="Q116" s="3486"/>
      <c r="R116" s="3486"/>
      <c r="S116" s="3486"/>
      <c r="T116" s="3487"/>
      <c r="U116" s="3465" t="str">
        <f>'1_入力シート【基本情報】'!$U454</f>
        <v>バルコニー又は付室の構造及び面積の確保の状況</v>
      </c>
      <c r="V116" s="3466"/>
      <c r="W116" s="3467"/>
      <c r="X116" s="3467"/>
      <c r="Y116" s="3467"/>
      <c r="Z116" s="3467"/>
      <c r="AA116" s="3467"/>
      <c r="AB116" s="3467"/>
      <c r="AC116" s="3467"/>
      <c r="AD116" s="3467"/>
      <c r="AE116" s="3467"/>
      <c r="AF116" s="3467"/>
      <c r="AG116" s="3467"/>
      <c r="AH116" s="3467"/>
      <c r="AI116" s="3467"/>
      <c r="AJ116" s="3467"/>
      <c r="AK116" s="3468"/>
      <c r="AL116" s="1082"/>
      <c r="AM116" s="1088" t="str">
        <f>'1_入力シート【基本情報】'!FK454</f>
        <v/>
      </c>
      <c r="AN116" s="1088" t="str">
        <f>'1_入力シート【基本情報】'!FL454</f>
        <v/>
      </c>
      <c r="AO116" s="1088" t="str">
        <f>'1_入力シート【基本情報】'!FM454</f>
        <v/>
      </c>
      <c r="AP116" s="1084">
        <f>'1_入力シート【基本情報】'!FN454</f>
        <v>0</v>
      </c>
    </row>
    <row r="117" spans="2:42" ht="12" customHeight="1" x14ac:dyDescent="0.15">
      <c r="B117" s="3423" t="s">
        <v>938</v>
      </c>
      <c r="C117" s="3424"/>
      <c r="D117" s="3424"/>
      <c r="E117" s="3481"/>
      <c r="F117" s="3482"/>
      <c r="G117" s="3488"/>
      <c r="H117" s="3489"/>
      <c r="I117" s="3489"/>
      <c r="J117" s="3489"/>
      <c r="K117" s="3489"/>
      <c r="L117" s="3489"/>
      <c r="M117" s="3489"/>
      <c r="N117" s="3489"/>
      <c r="O117" s="3489"/>
      <c r="P117" s="3489"/>
      <c r="Q117" s="3489"/>
      <c r="R117" s="3489"/>
      <c r="S117" s="3489"/>
      <c r="T117" s="3490"/>
      <c r="U117" s="3465" t="str">
        <f>'1_入力シート【基本情報】'!$U455</f>
        <v>付室等の排煙設備の設置の状況</v>
      </c>
      <c r="V117" s="3466"/>
      <c r="W117" s="3467"/>
      <c r="X117" s="3467"/>
      <c r="Y117" s="3467"/>
      <c r="Z117" s="3467"/>
      <c r="AA117" s="3467"/>
      <c r="AB117" s="3467"/>
      <c r="AC117" s="3467"/>
      <c r="AD117" s="3467"/>
      <c r="AE117" s="3467"/>
      <c r="AF117" s="3467"/>
      <c r="AG117" s="3467"/>
      <c r="AH117" s="3467"/>
      <c r="AI117" s="3467"/>
      <c r="AJ117" s="3467"/>
      <c r="AK117" s="3468"/>
      <c r="AL117" s="1082"/>
      <c r="AM117" s="1088" t="str">
        <f>'1_入力シート【基本情報】'!FK455</f>
        <v/>
      </c>
      <c r="AN117" s="1088" t="str">
        <f>'1_入力シート【基本情報】'!FL455</f>
        <v/>
      </c>
      <c r="AO117" s="1088" t="str">
        <f>'1_入力シート【基本情報】'!FM455</f>
        <v/>
      </c>
      <c r="AP117" s="1084">
        <f>'1_入力シート【基本情報】'!FN455</f>
        <v>0</v>
      </c>
    </row>
    <row r="118" spans="2:42" ht="21" customHeight="1" x14ac:dyDescent="0.15">
      <c r="B118" s="3423" t="s">
        <v>3028</v>
      </c>
      <c r="C118" s="3424"/>
      <c r="D118" s="3424"/>
      <c r="E118" s="3481"/>
      <c r="F118" s="3482"/>
      <c r="G118" s="3488"/>
      <c r="H118" s="3489"/>
      <c r="I118" s="3489"/>
      <c r="J118" s="3489"/>
      <c r="K118" s="3489"/>
      <c r="L118" s="3489"/>
      <c r="M118" s="3489"/>
      <c r="N118" s="3489"/>
      <c r="O118" s="3489"/>
      <c r="P118" s="3489"/>
      <c r="Q118" s="3489"/>
      <c r="R118" s="3489"/>
      <c r="S118" s="3489"/>
      <c r="T118" s="3490"/>
      <c r="U118" s="3516" t="str">
        <f>'1_入力シート【基本情報】'!$U456</f>
        <v>付室等の外気に向かって開くことができる窓の状況</v>
      </c>
      <c r="V118" s="3517"/>
      <c r="W118" s="3518"/>
      <c r="X118" s="3518"/>
      <c r="Y118" s="3518"/>
      <c r="Z118" s="3518"/>
      <c r="AA118" s="3518"/>
      <c r="AB118" s="3518"/>
      <c r="AC118" s="3518"/>
      <c r="AD118" s="3518"/>
      <c r="AE118" s="3518"/>
      <c r="AF118" s="3518"/>
      <c r="AG118" s="3518"/>
      <c r="AH118" s="3518"/>
      <c r="AI118" s="3518"/>
      <c r="AJ118" s="3518"/>
      <c r="AK118" s="3519"/>
      <c r="AL118" s="1082"/>
      <c r="AM118" s="1088" t="str">
        <f>'1_入力シート【基本情報】'!FK456</f>
        <v/>
      </c>
      <c r="AN118" s="1088" t="str">
        <f>'1_入力シート【基本情報】'!FL456</f>
        <v/>
      </c>
      <c r="AO118" s="1088" t="str">
        <f>'1_入力シート【基本情報】'!FM456</f>
        <v/>
      </c>
      <c r="AP118" s="1084">
        <f>'1_入力シート【基本情報】'!FN456</f>
        <v>0</v>
      </c>
    </row>
    <row r="119" spans="2:42" ht="12" customHeight="1" x14ac:dyDescent="0.15">
      <c r="B119" s="3423" t="s">
        <v>3029</v>
      </c>
      <c r="C119" s="3424"/>
      <c r="D119" s="3424"/>
      <c r="E119" s="3483"/>
      <c r="F119" s="3484"/>
      <c r="G119" s="3622"/>
      <c r="H119" s="3623"/>
      <c r="I119" s="3623"/>
      <c r="J119" s="3623"/>
      <c r="K119" s="3623"/>
      <c r="L119" s="3623"/>
      <c r="M119" s="3623"/>
      <c r="N119" s="3623"/>
      <c r="O119" s="3623"/>
      <c r="P119" s="3623"/>
      <c r="Q119" s="3623"/>
      <c r="R119" s="3623"/>
      <c r="S119" s="3623"/>
      <c r="T119" s="3624"/>
      <c r="U119" s="3465" t="str">
        <f>'1_入力シート【基本情報】'!$U457</f>
        <v>物品の放置の状況</v>
      </c>
      <c r="V119" s="3466"/>
      <c r="W119" s="3467"/>
      <c r="X119" s="3467"/>
      <c r="Y119" s="3467"/>
      <c r="Z119" s="3467"/>
      <c r="AA119" s="3467"/>
      <c r="AB119" s="3467"/>
      <c r="AC119" s="3467"/>
      <c r="AD119" s="3467"/>
      <c r="AE119" s="3467"/>
      <c r="AF119" s="3467"/>
      <c r="AG119" s="3467"/>
      <c r="AH119" s="3467"/>
      <c r="AI119" s="3467"/>
      <c r="AJ119" s="3467"/>
      <c r="AK119" s="3468"/>
      <c r="AL119" s="1082"/>
      <c r="AM119" s="1088" t="str">
        <f>'1_入力シート【基本情報】'!FK457</f>
        <v/>
      </c>
      <c r="AN119" s="1088" t="str">
        <f>'1_入力シート【基本情報】'!FL457</f>
        <v/>
      </c>
      <c r="AO119" s="1088" t="str">
        <f>'1_入力シート【基本情報】'!FM457</f>
        <v/>
      </c>
      <c r="AP119" s="1084">
        <f>'1_入力シート【基本情報】'!FN457</f>
        <v>0</v>
      </c>
    </row>
    <row r="120" spans="2:42" ht="12" customHeight="1" x14ac:dyDescent="0.15">
      <c r="B120" s="3423" t="s">
        <v>3030</v>
      </c>
      <c r="C120" s="3424"/>
      <c r="D120" s="3424"/>
      <c r="E120" s="3479" t="s">
        <v>129</v>
      </c>
      <c r="F120" s="3480"/>
      <c r="G120" s="3457" t="s">
        <v>130</v>
      </c>
      <c r="H120" s="3458"/>
      <c r="I120" s="3459"/>
      <c r="J120" s="3459"/>
      <c r="K120" s="3459"/>
      <c r="L120" s="3459"/>
      <c r="M120" s="3459"/>
      <c r="N120" s="3459"/>
      <c r="O120" s="3459"/>
      <c r="P120" s="3459"/>
      <c r="Q120" s="3459"/>
      <c r="R120" s="3459"/>
      <c r="S120" s="3459"/>
      <c r="T120" s="3460"/>
      <c r="U120" s="3465" t="str">
        <f>'1_入力シート【基本情報】'!$U458</f>
        <v>防煙区画の設置の状況</v>
      </c>
      <c r="V120" s="3466"/>
      <c r="W120" s="3467"/>
      <c r="X120" s="3467"/>
      <c r="Y120" s="3467"/>
      <c r="Z120" s="3467"/>
      <c r="AA120" s="3467"/>
      <c r="AB120" s="3467"/>
      <c r="AC120" s="3467"/>
      <c r="AD120" s="3467"/>
      <c r="AE120" s="3467"/>
      <c r="AF120" s="3467"/>
      <c r="AG120" s="3467"/>
      <c r="AH120" s="3467"/>
      <c r="AI120" s="3467"/>
      <c r="AJ120" s="3467"/>
      <c r="AK120" s="3468"/>
      <c r="AL120" s="1082"/>
      <c r="AM120" s="1088" t="str">
        <f>'1_入力シート【基本情報】'!FK458</f>
        <v/>
      </c>
      <c r="AN120" s="1088" t="str">
        <f>'1_入力シート【基本情報】'!FL458</f>
        <v/>
      </c>
      <c r="AO120" s="1088" t="str">
        <f>'1_入力シート【基本情報】'!FM458</f>
        <v/>
      </c>
      <c r="AP120" s="1084">
        <f>'1_入力シート【基本情報】'!FN458</f>
        <v>0</v>
      </c>
    </row>
    <row r="121" spans="2:42" ht="12" customHeight="1" x14ac:dyDescent="0.15">
      <c r="B121" s="3423" t="s">
        <v>3031</v>
      </c>
      <c r="C121" s="3424"/>
      <c r="D121" s="3424"/>
      <c r="E121" s="3481"/>
      <c r="F121" s="3482"/>
      <c r="G121" s="3501"/>
      <c r="H121" s="3502"/>
      <c r="I121" s="3503"/>
      <c r="J121" s="3503"/>
      <c r="K121" s="3503"/>
      <c r="L121" s="3503"/>
      <c r="M121" s="3503"/>
      <c r="N121" s="3503"/>
      <c r="O121" s="3503"/>
      <c r="P121" s="3503"/>
      <c r="Q121" s="3503"/>
      <c r="R121" s="3503"/>
      <c r="S121" s="3503"/>
      <c r="T121" s="3504"/>
      <c r="U121" s="3465" t="str">
        <f>'1_入力シート【基本情報】'!$U459</f>
        <v>防煙壁の劣化及び損傷の状況</v>
      </c>
      <c r="V121" s="3466"/>
      <c r="W121" s="3467"/>
      <c r="X121" s="3467"/>
      <c r="Y121" s="3467"/>
      <c r="Z121" s="3467"/>
      <c r="AA121" s="3467"/>
      <c r="AB121" s="3467"/>
      <c r="AC121" s="3467"/>
      <c r="AD121" s="3467"/>
      <c r="AE121" s="3467"/>
      <c r="AF121" s="3467"/>
      <c r="AG121" s="3467"/>
      <c r="AH121" s="3467"/>
      <c r="AI121" s="3467"/>
      <c r="AJ121" s="3467"/>
      <c r="AK121" s="3468"/>
      <c r="AL121" s="1082"/>
      <c r="AM121" s="1088" t="str">
        <f>'1_入力シート【基本情報】'!FK459</f>
        <v/>
      </c>
      <c r="AN121" s="1088" t="str">
        <f>'1_入力シート【基本情報】'!FL459</f>
        <v/>
      </c>
      <c r="AO121" s="1088" t="str">
        <f>'1_入力シート【基本情報】'!FM459</f>
        <v/>
      </c>
      <c r="AP121" s="1084">
        <f>'1_入力シート【基本情報】'!FN459</f>
        <v>0</v>
      </c>
    </row>
    <row r="122" spans="2:42" ht="12" customHeight="1" x14ac:dyDescent="0.15">
      <c r="B122" s="3423" t="s">
        <v>3032</v>
      </c>
      <c r="C122" s="3424"/>
      <c r="D122" s="3424"/>
      <c r="E122" s="3481"/>
      <c r="F122" s="3482"/>
      <c r="G122" s="3457" t="s">
        <v>132</v>
      </c>
      <c r="H122" s="3458"/>
      <c r="I122" s="3459"/>
      <c r="J122" s="3459"/>
      <c r="K122" s="3459"/>
      <c r="L122" s="3459"/>
      <c r="M122" s="3459"/>
      <c r="N122" s="3459"/>
      <c r="O122" s="3459"/>
      <c r="P122" s="3459"/>
      <c r="Q122" s="3459"/>
      <c r="R122" s="3459"/>
      <c r="S122" s="3459"/>
      <c r="T122" s="3460"/>
      <c r="U122" s="3465" t="str">
        <f>'1_入力シート【基本情報】'!$U460</f>
        <v>排煙設備の設置の状況</v>
      </c>
      <c r="V122" s="3466"/>
      <c r="W122" s="3467"/>
      <c r="X122" s="3467"/>
      <c r="Y122" s="3467"/>
      <c r="Z122" s="3467"/>
      <c r="AA122" s="3467"/>
      <c r="AB122" s="3467"/>
      <c r="AC122" s="3467"/>
      <c r="AD122" s="3467"/>
      <c r="AE122" s="3467"/>
      <c r="AF122" s="3467"/>
      <c r="AG122" s="3467"/>
      <c r="AH122" s="3467"/>
      <c r="AI122" s="3467"/>
      <c r="AJ122" s="3467"/>
      <c r="AK122" s="3468"/>
      <c r="AL122" s="1082"/>
      <c r="AM122" s="1088" t="str">
        <f>'1_入力シート【基本情報】'!FK460</f>
        <v/>
      </c>
      <c r="AN122" s="1088" t="str">
        <f>'1_入力シート【基本情報】'!FL460</f>
        <v/>
      </c>
      <c r="AO122" s="1088" t="str">
        <f>'1_入力シート【基本情報】'!FM460</f>
        <v/>
      </c>
      <c r="AP122" s="1084">
        <f>'1_入力シート【基本情報】'!FN460</f>
        <v>0</v>
      </c>
    </row>
    <row r="123" spans="2:42" ht="12" customHeight="1" x14ac:dyDescent="0.15">
      <c r="B123" s="3423" t="s">
        <v>3033</v>
      </c>
      <c r="C123" s="3424"/>
      <c r="D123" s="3424"/>
      <c r="E123" s="3483"/>
      <c r="F123" s="3484"/>
      <c r="G123" s="3475"/>
      <c r="H123" s="3476"/>
      <c r="I123" s="3477"/>
      <c r="J123" s="3477"/>
      <c r="K123" s="3477"/>
      <c r="L123" s="3477"/>
      <c r="M123" s="3477"/>
      <c r="N123" s="3477"/>
      <c r="O123" s="3477"/>
      <c r="P123" s="3477"/>
      <c r="Q123" s="3477"/>
      <c r="R123" s="3477"/>
      <c r="S123" s="3477"/>
      <c r="T123" s="3478"/>
      <c r="U123" s="3465" t="str">
        <f>'1_入力シート【基本情報】'!$U461</f>
        <v>排煙口の維持保全の状況</v>
      </c>
      <c r="V123" s="3466"/>
      <c r="W123" s="3467"/>
      <c r="X123" s="3467"/>
      <c r="Y123" s="3467"/>
      <c r="Z123" s="3467"/>
      <c r="AA123" s="3467"/>
      <c r="AB123" s="3467"/>
      <c r="AC123" s="3467"/>
      <c r="AD123" s="3467"/>
      <c r="AE123" s="3467"/>
      <c r="AF123" s="3467"/>
      <c r="AG123" s="3467"/>
      <c r="AH123" s="3467"/>
      <c r="AI123" s="3467"/>
      <c r="AJ123" s="3467"/>
      <c r="AK123" s="3468"/>
      <c r="AL123" s="1082"/>
      <c r="AM123" s="1088" t="str">
        <f>'1_入力シート【基本情報】'!FK461</f>
        <v/>
      </c>
      <c r="AN123" s="1088" t="str">
        <f>'1_入力シート【基本情報】'!FL461</f>
        <v/>
      </c>
      <c r="AO123" s="1088" t="str">
        <f>'1_入力シート【基本情報】'!FM461</f>
        <v/>
      </c>
      <c r="AP123" s="1084">
        <f>'1_入力シート【基本情報】'!FN461</f>
        <v>0</v>
      </c>
    </row>
    <row r="124" spans="2:42" ht="12" customHeight="1" x14ac:dyDescent="0.15">
      <c r="B124" s="3423" t="s">
        <v>3034</v>
      </c>
      <c r="C124" s="3424"/>
      <c r="D124" s="3424"/>
      <c r="E124" s="3479" t="s">
        <v>165</v>
      </c>
      <c r="F124" s="3592"/>
      <c r="G124" s="3485" t="s">
        <v>1254</v>
      </c>
      <c r="H124" s="3486"/>
      <c r="I124" s="3486"/>
      <c r="J124" s="3486"/>
      <c r="K124" s="3486"/>
      <c r="L124" s="3486"/>
      <c r="M124" s="3486"/>
      <c r="N124" s="3486"/>
      <c r="O124" s="3486"/>
      <c r="P124" s="3486"/>
      <c r="Q124" s="3486"/>
      <c r="R124" s="3486"/>
      <c r="S124" s="3486"/>
      <c r="T124" s="3486"/>
      <c r="U124" s="3465" t="str">
        <f>'1_入力シート【基本情報】'!$U462</f>
        <v>非常用の進入口等の設置の状況</v>
      </c>
      <c r="V124" s="3466"/>
      <c r="W124" s="3467"/>
      <c r="X124" s="3467"/>
      <c r="Y124" s="3467"/>
      <c r="Z124" s="3467"/>
      <c r="AA124" s="3467"/>
      <c r="AB124" s="3467"/>
      <c r="AC124" s="3467"/>
      <c r="AD124" s="3467"/>
      <c r="AE124" s="3467"/>
      <c r="AF124" s="3467"/>
      <c r="AG124" s="3467"/>
      <c r="AH124" s="3467"/>
      <c r="AI124" s="3467"/>
      <c r="AJ124" s="3467"/>
      <c r="AK124" s="3468"/>
      <c r="AL124" s="1082"/>
      <c r="AM124" s="1088" t="str">
        <f>'1_入力シート【基本情報】'!FK462</f>
        <v/>
      </c>
      <c r="AN124" s="1088" t="str">
        <f>'1_入力シート【基本情報】'!FL462</f>
        <v/>
      </c>
      <c r="AO124" s="1088" t="str">
        <f>'1_入力シート【基本情報】'!FM462</f>
        <v/>
      </c>
      <c r="AP124" s="1084">
        <f>'1_入力シート【基本情報】'!FN462</f>
        <v>0</v>
      </c>
    </row>
    <row r="125" spans="2:42" ht="12" customHeight="1" x14ac:dyDescent="0.15">
      <c r="B125" s="3423" t="s">
        <v>3035</v>
      </c>
      <c r="C125" s="3424"/>
      <c r="D125" s="3424"/>
      <c r="E125" s="3481"/>
      <c r="F125" s="3593"/>
      <c r="G125" s="3622"/>
      <c r="H125" s="3623"/>
      <c r="I125" s="3623"/>
      <c r="J125" s="3623"/>
      <c r="K125" s="3623"/>
      <c r="L125" s="3623"/>
      <c r="M125" s="3623"/>
      <c r="N125" s="3623"/>
      <c r="O125" s="3623"/>
      <c r="P125" s="3623"/>
      <c r="Q125" s="3623"/>
      <c r="R125" s="3623"/>
      <c r="S125" s="3623"/>
      <c r="T125" s="3623"/>
      <c r="U125" s="3465" t="str">
        <f>'1_入力シート【基本情報】'!$U463</f>
        <v>非常用の進入口等の維持保全の状況</v>
      </c>
      <c r="V125" s="3466"/>
      <c r="W125" s="3467"/>
      <c r="X125" s="3467"/>
      <c r="Y125" s="3467"/>
      <c r="Z125" s="3467"/>
      <c r="AA125" s="3467"/>
      <c r="AB125" s="3467"/>
      <c r="AC125" s="3467"/>
      <c r="AD125" s="3467"/>
      <c r="AE125" s="3467"/>
      <c r="AF125" s="3467"/>
      <c r="AG125" s="3467"/>
      <c r="AH125" s="3467"/>
      <c r="AI125" s="3467"/>
      <c r="AJ125" s="3467"/>
      <c r="AK125" s="3468"/>
      <c r="AL125" s="1082"/>
      <c r="AM125" s="1088" t="str">
        <f>'1_入力シート【基本情報】'!FK463</f>
        <v/>
      </c>
      <c r="AN125" s="1088" t="str">
        <f>'1_入力シート【基本情報】'!FL463</f>
        <v/>
      </c>
      <c r="AO125" s="1088" t="str">
        <f>'1_入力シート【基本情報】'!FM463</f>
        <v/>
      </c>
      <c r="AP125" s="1084">
        <f>'1_入力シート【基本情報】'!FN463</f>
        <v>0</v>
      </c>
    </row>
    <row r="126" spans="2:42" ht="12" customHeight="1" x14ac:dyDescent="0.15">
      <c r="B126" s="3423" t="s">
        <v>3036</v>
      </c>
      <c r="C126" s="3424"/>
      <c r="D126" s="3424"/>
      <c r="E126" s="3594"/>
      <c r="F126" s="3593"/>
      <c r="G126" s="3485" t="s">
        <v>1255</v>
      </c>
      <c r="H126" s="3486"/>
      <c r="I126" s="3486"/>
      <c r="J126" s="3486"/>
      <c r="K126" s="3486"/>
      <c r="L126" s="3486"/>
      <c r="M126" s="3486"/>
      <c r="N126" s="3486"/>
      <c r="O126" s="3486"/>
      <c r="P126" s="3486"/>
      <c r="Q126" s="3486"/>
      <c r="R126" s="3486"/>
      <c r="S126" s="3486"/>
      <c r="T126" s="3487"/>
      <c r="U126" s="3465" t="str">
        <f>'1_入力シート【基本情報】'!$U464</f>
        <v>乗降ロビーの構造及び面積の確保の状況</v>
      </c>
      <c r="V126" s="3466"/>
      <c r="W126" s="3467"/>
      <c r="X126" s="3467"/>
      <c r="Y126" s="3467"/>
      <c r="Z126" s="3467"/>
      <c r="AA126" s="3467"/>
      <c r="AB126" s="3467"/>
      <c r="AC126" s="3467"/>
      <c r="AD126" s="3467"/>
      <c r="AE126" s="3467"/>
      <c r="AF126" s="3467"/>
      <c r="AG126" s="3467"/>
      <c r="AH126" s="3467"/>
      <c r="AI126" s="3467"/>
      <c r="AJ126" s="3467"/>
      <c r="AK126" s="3468"/>
      <c r="AL126" s="1082"/>
      <c r="AM126" s="1088" t="str">
        <f>'1_入力シート【基本情報】'!FK464</f>
        <v/>
      </c>
      <c r="AN126" s="1088" t="str">
        <f>'1_入力シート【基本情報】'!FL464</f>
        <v/>
      </c>
      <c r="AO126" s="1088" t="str">
        <f>'1_入力シート【基本情報】'!FM464</f>
        <v/>
      </c>
      <c r="AP126" s="1084">
        <f>'1_入力シート【基本情報】'!FN464</f>
        <v>0</v>
      </c>
    </row>
    <row r="127" spans="2:42" ht="12" customHeight="1" x14ac:dyDescent="0.15">
      <c r="B127" s="3423" t="s">
        <v>3037</v>
      </c>
      <c r="C127" s="3424"/>
      <c r="D127" s="3424"/>
      <c r="E127" s="3594"/>
      <c r="F127" s="3593"/>
      <c r="G127" s="3488"/>
      <c r="H127" s="3489"/>
      <c r="I127" s="3489"/>
      <c r="J127" s="3489"/>
      <c r="K127" s="3489"/>
      <c r="L127" s="3489"/>
      <c r="M127" s="3489"/>
      <c r="N127" s="3489"/>
      <c r="O127" s="3489"/>
      <c r="P127" s="3489"/>
      <c r="Q127" s="3489"/>
      <c r="R127" s="3489"/>
      <c r="S127" s="3489"/>
      <c r="T127" s="3490"/>
      <c r="U127" s="3465" t="str">
        <f>'1_入力シート【基本情報】'!$U465</f>
        <v>乗降ロビー等の排煙設備の設置の状況</v>
      </c>
      <c r="V127" s="3466"/>
      <c r="W127" s="3467"/>
      <c r="X127" s="3467"/>
      <c r="Y127" s="3467"/>
      <c r="Z127" s="3467"/>
      <c r="AA127" s="3467"/>
      <c r="AB127" s="3467"/>
      <c r="AC127" s="3467"/>
      <c r="AD127" s="3467"/>
      <c r="AE127" s="3467"/>
      <c r="AF127" s="3467"/>
      <c r="AG127" s="3467"/>
      <c r="AH127" s="3467"/>
      <c r="AI127" s="3467"/>
      <c r="AJ127" s="3467"/>
      <c r="AK127" s="3468"/>
      <c r="AL127" s="1082"/>
      <c r="AM127" s="1088" t="str">
        <f>'1_入力シート【基本情報】'!FK465</f>
        <v/>
      </c>
      <c r="AN127" s="1088" t="str">
        <f>'1_入力シート【基本情報】'!FL465</f>
        <v/>
      </c>
      <c r="AO127" s="1088" t="str">
        <f>'1_入力シート【基本情報】'!FM465</f>
        <v/>
      </c>
      <c r="AP127" s="1084">
        <f>'1_入力シート【基本情報】'!FN465</f>
        <v>0</v>
      </c>
    </row>
    <row r="128" spans="2:42" ht="23.25" customHeight="1" x14ac:dyDescent="0.15">
      <c r="B128" s="3423" t="s">
        <v>3038</v>
      </c>
      <c r="C128" s="3424"/>
      <c r="D128" s="3424"/>
      <c r="E128" s="3594"/>
      <c r="F128" s="3593"/>
      <c r="G128" s="3488"/>
      <c r="H128" s="3489"/>
      <c r="I128" s="3489"/>
      <c r="J128" s="3489"/>
      <c r="K128" s="3489"/>
      <c r="L128" s="3489"/>
      <c r="M128" s="3489"/>
      <c r="N128" s="3489"/>
      <c r="O128" s="3489"/>
      <c r="P128" s="3489"/>
      <c r="Q128" s="3489"/>
      <c r="R128" s="3489"/>
      <c r="S128" s="3489"/>
      <c r="T128" s="3490"/>
      <c r="U128" s="3465" t="str">
        <f>'1_入力シート【基本情報】'!$U466</f>
        <v>乗降ロビー等の外気に向かって開くことができる窓の状況</v>
      </c>
      <c r="V128" s="3466"/>
      <c r="W128" s="3467"/>
      <c r="X128" s="3467"/>
      <c r="Y128" s="3467"/>
      <c r="Z128" s="3467"/>
      <c r="AA128" s="3467"/>
      <c r="AB128" s="3467"/>
      <c r="AC128" s="3467"/>
      <c r="AD128" s="3467"/>
      <c r="AE128" s="3467"/>
      <c r="AF128" s="3467"/>
      <c r="AG128" s="3467"/>
      <c r="AH128" s="3467"/>
      <c r="AI128" s="3467"/>
      <c r="AJ128" s="3467"/>
      <c r="AK128" s="3468"/>
      <c r="AL128" s="1082"/>
      <c r="AM128" s="1088" t="str">
        <f>'1_入力シート【基本情報】'!FK466</f>
        <v/>
      </c>
      <c r="AN128" s="1088" t="str">
        <f>'1_入力シート【基本情報】'!FL466</f>
        <v/>
      </c>
      <c r="AO128" s="1088" t="str">
        <f>'1_入力シート【基本情報】'!FM466</f>
        <v/>
      </c>
      <c r="AP128" s="1084">
        <f>'1_入力シート【基本情報】'!FN466</f>
        <v>0</v>
      </c>
    </row>
    <row r="129" spans="1:44" ht="12" customHeight="1" x14ac:dyDescent="0.15">
      <c r="B129" s="3423" t="s">
        <v>3039</v>
      </c>
      <c r="C129" s="3424"/>
      <c r="D129" s="3424"/>
      <c r="E129" s="3594"/>
      <c r="F129" s="3593"/>
      <c r="G129" s="3488"/>
      <c r="H129" s="3489"/>
      <c r="I129" s="3489"/>
      <c r="J129" s="3489"/>
      <c r="K129" s="3489"/>
      <c r="L129" s="3489"/>
      <c r="M129" s="3489"/>
      <c r="N129" s="3489"/>
      <c r="O129" s="3489"/>
      <c r="P129" s="3489"/>
      <c r="Q129" s="3489"/>
      <c r="R129" s="3489"/>
      <c r="S129" s="3489"/>
      <c r="T129" s="3490"/>
      <c r="U129" s="3465" t="str">
        <f>'1_入力シート【基本情報】'!$U467</f>
        <v>物品の放置の状況</v>
      </c>
      <c r="V129" s="3466"/>
      <c r="W129" s="3467"/>
      <c r="X129" s="3467"/>
      <c r="Y129" s="3467"/>
      <c r="Z129" s="3467"/>
      <c r="AA129" s="3467"/>
      <c r="AB129" s="3467"/>
      <c r="AC129" s="3467"/>
      <c r="AD129" s="3467"/>
      <c r="AE129" s="3467"/>
      <c r="AF129" s="3467"/>
      <c r="AG129" s="3467"/>
      <c r="AH129" s="3467"/>
      <c r="AI129" s="3467"/>
      <c r="AJ129" s="3467"/>
      <c r="AK129" s="3468"/>
      <c r="AL129" s="1082"/>
      <c r="AM129" s="1088" t="str">
        <f>'1_入力シート【基本情報】'!FK467</f>
        <v/>
      </c>
      <c r="AN129" s="1088" t="str">
        <f>'1_入力シート【基本情報】'!FL467</f>
        <v/>
      </c>
      <c r="AO129" s="1088" t="str">
        <f>'1_入力シート【基本情報】'!FM467</f>
        <v/>
      </c>
      <c r="AP129" s="1084">
        <f>'1_入力シート【基本情報】'!FN467</f>
        <v>0</v>
      </c>
    </row>
    <row r="130" spans="1:44" ht="12" customHeight="1" thickBot="1" x14ac:dyDescent="0.2">
      <c r="B130" s="3423" t="s">
        <v>3004</v>
      </c>
      <c r="C130" s="3424"/>
      <c r="D130" s="3424"/>
      <c r="E130" s="3594"/>
      <c r="F130" s="3593"/>
      <c r="G130" s="3457" t="s">
        <v>181</v>
      </c>
      <c r="H130" s="3458"/>
      <c r="I130" s="3459"/>
      <c r="J130" s="3459"/>
      <c r="K130" s="3459"/>
      <c r="L130" s="3459"/>
      <c r="M130" s="3459"/>
      <c r="N130" s="3459"/>
      <c r="O130" s="3459"/>
      <c r="P130" s="3459"/>
      <c r="Q130" s="3459"/>
      <c r="R130" s="3459"/>
      <c r="S130" s="3459"/>
      <c r="T130" s="3460"/>
      <c r="U130" s="3465" t="str">
        <f>'1_入力シート【基本情報】'!$U468</f>
        <v>非常用の照明装置の設置の状況</v>
      </c>
      <c r="V130" s="3466"/>
      <c r="W130" s="3467"/>
      <c r="X130" s="3467"/>
      <c r="Y130" s="3467"/>
      <c r="Z130" s="3467"/>
      <c r="AA130" s="3467"/>
      <c r="AB130" s="3467"/>
      <c r="AC130" s="3467"/>
      <c r="AD130" s="3467"/>
      <c r="AE130" s="3467"/>
      <c r="AF130" s="3467"/>
      <c r="AG130" s="3467"/>
      <c r="AH130" s="3467"/>
      <c r="AI130" s="3467"/>
      <c r="AJ130" s="3467"/>
      <c r="AK130" s="3468"/>
      <c r="AL130" s="1082"/>
      <c r="AM130" s="1088" t="str">
        <f>'1_入力シート【基本情報】'!FK468</f>
        <v/>
      </c>
      <c r="AN130" s="1088" t="str">
        <f>'1_入力シート【基本情報】'!FL468</f>
        <v/>
      </c>
      <c r="AO130" s="1088" t="str">
        <f>'1_入力シート【基本情報】'!FM468</f>
        <v/>
      </c>
      <c r="AP130" s="1084">
        <f>'1_入力シート【基本情報】'!FN468</f>
        <v>0</v>
      </c>
    </row>
    <row r="131" spans="1:44" ht="12" customHeight="1" x14ac:dyDescent="0.15">
      <c r="B131" s="3472">
        <v>6</v>
      </c>
      <c r="C131" s="3473"/>
      <c r="D131" s="3474"/>
      <c r="E131" s="3469" t="s">
        <v>137</v>
      </c>
      <c r="F131" s="3469"/>
      <c r="G131" s="3469"/>
      <c r="H131" s="3469"/>
      <c r="I131" s="3469"/>
      <c r="J131" s="3469"/>
      <c r="K131" s="3469"/>
      <c r="L131" s="3469"/>
      <c r="M131" s="3469"/>
      <c r="N131" s="3469"/>
      <c r="O131" s="3469"/>
      <c r="P131" s="3469"/>
      <c r="Q131" s="3469"/>
      <c r="R131" s="3469"/>
      <c r="S131" s="3469"/>
      <c r="T131" s="3469"/>
      <c r="U131" s="3469"/>
      <c r="V131" s="3469"/>
      <c r="W131" s="3469"/>
      <c r="X131" s="3469"/>
      <c r="Y131" s="3469"/>
      <c r="Z131" s="3469"/>
      <c r="AA131" s="3469"/>
      <c r="AB131" s="3469"/>
      <c r="AC131" s="3469"/>
      <c r="AD131" s="3469"/>
      <c r="AE131" s="3469"/>
      <c r="AF131" s="3469"/>
      <c r="AG131" s="3469"/>
      <c r="AH131" s="3469"/>
      <c r="AI131" s="3469"/>
      <c r="AJ131" s="3469"/>
      <c r="AK131" s="3469"/>
      <c r="AL131" s="3469"/>
      <c r="AM131" s="3469"/>
      <c r="AN131" s="3469"/>
      <c r="AO131" s="3469"/>
      <c r="AP131" s="3470"/>
    </row>
    <row r="132" spans="1:44" ht="12" customHeight="1" x14ac:dyDescent="0.15">
      <c r="B132" s="3423" t="s">
        <v>35</v>
      </c>
      <c r="C132" s="3424"/>
      <c r="D132" s="3425"/>
      <c r="E132" s="3479" t="s">
        <v>183</v>
      </c>
      <c r="F132" s="3592"/>
      <c r="G132" s="3520" t="s">
        <v>138</v>
      </c>
      <c r="H132" s="3613"/>
      <c r="I132" s="3614"/>
      <c r="J132" s="3614"/>
      <c r="K132" s="3614"/>
      <c r="L132" s="3614"/>
      <c r="M132" s="3614"/>
      <c r="N132" s="3614"/>
      <c r="O132" s="3614"/>
      <c r="P132" s="3614"/>
      <c r="Q132" s="3614"/>
      <c r="R132" s="3614"/>
      <c r="S132" s="3614"/>
      <c r="T132" s="3615"/>
      <c r="U132" s="3465" t="str">
        <f>'1_入力シート【基本情報】'!$U478</f>
        <v>膜体及び取付部材の劣化及び損傷の状況</v>
      </c>
      <c r="V132" s="3466"/>
      <c r="W132" s="3467"/>
      <c r="X132" s="3467"/>
      <c r="Y132" s="3467"/>
      <c r="Z132" s="3467"/>
      <c r="AA132" s="3467"/>
      <c r="AB132" s="3467"/>
      <c r="AC132" s="3467"/>
      <c r="AD132" s="3467"/>
      <c r="AE132" s="3467"/>
      <c r="AF132" s="3467"/>
      <c r="AG132" s="3467"/>
      <c r="AH132" s="3467"/>
      <c r="AI132" s="3467"/>
      <c r="AJ132" s="3467"/>
      <c r="AK132" s="3468"/>
      <c r="AL132" s="1082"/>
      <c r="AM132" s="1088" t="str">
        <f>'1_入力シート【基本情報】'!FK478</f>
        <v/>
      </c>
      <c r="AN132" s="1088" t="str">
        <f>'1_入力シート【基本情報】'!FL478</f>
        <v/>
      </c>
      <c r="AO132" s="1088" t="str">
        <f>'1_入力シート【基本情報】'!FM478</f>
        <v/>
      </c>
      <c r="AP132" s="1084">
        <f>'1_入力シート【基本情報】'!FN478</f>
        <v>0</v>
      </c>
    </row>
    <row r="133" spans="1:44" ht="12" customHeight="1" x14ac:dyDescent="0.15">
      <c r="B133" s="3423" t="s">
        <v>920</v>
      </c>
      <c r="C133" s="3424"/>
      <c r="D133" s="3425"/>
      <c r="E133" s="3481"/>
      <c r="F133" s="3593"/>
      <c r="G133" s="3524"/>
      <c r="H133" s="3616"/>
      <c r="I133" s="3617"/>
      <c r="J133" s="3617"/>
      <c r="K133" s="3617"/>
      <c r="L133" s="3617"/>
      <c r="M133" s="3617"/>
      <c r="N133" s="3617"/>
      <c r="O133" s="3617"/>
      <c r="P133" s="3617"/>
      <c r="Q133" s="3617"/>
      <c r="R133" s="3617"/>
      <c r="S133" s="3617"/>
      <c r="T133" s="3618"/>
      <c r="U133" s="3465" t="str">
        <f>'1_入力シート【基本情報】'!$U479</f>
        <v>膜張力及びケーブル張力の状況</v>
      </c>
      <c r="V133" s="3466"/>
      <c r="W133" s="3467"/>
      <c r="X133" s="3467"/>
      <c r="Y133" s="3467"/>
      <c r="Z133" s="3467"/>
      <c r="AA133" s="3467"/>
      <c r="AB133" s="3467"/>
      <c r="AC133" s="3467"/>
      <c r="AD133" s="3467"/>
      <c r="AE133" s="3467"/>
      <c r="AF133" s="3467"/>
      <c r="AG133" s="3467"/>
      <c r="AH133" s="3467"/>
      <c r="AI133" s="3467"/>
      <c r="AJ133" s="3467"/>
      <c r="AK133" s="3468"/>
      <c r="AL133" s="1082"/>
      <c r="AM133" s="1088" t="str">
        <f>'1_入力シート【基本情報】'!FK479</f>
        <v/>
      </c>
      <c r="AN133" s="1088" t="str">
        <f>'1_入力シート【基本情報】'!FL479</f>
        <v/>
      </c>
      <c r="AO133" s="1088" t="str">
        <f>'1_入力シート【基本情報】'!FM479</f>
        <v/>
      </c>
      <c r="AP133" s="1084">
        <f>'1_入力シート【基本情報】'!FN479</f>
        <v>0</v>
      </c>
    </row>
    <row r="134" spans="1:44" ht="21" customHeight="1" x14ac:dyDescent="0.15">
      <c r="B134" s="3423" t="s">
        <v>921</v>
      </c>
      <c r="C134" s="3424"/>
      <c r="D134" s="3425"/>
      <c r="E134" s="3594"/>
      <c r="F134" s="3593"/>
      <c r="G134" s="3520" t="s">
        <v>185</v>
      </c>
      <c r="H134" s="3521"/>
      <c r="I134" s="3521"/>
      <c r="J134" s="3521"/>
      <c r="K134" s="3521"/>
      <c r="L134" s="3521"/>
      <c r="M134" s="3521"/>
      <c r="N134" s="3521"/>
      <c r="O134" s="3521"/>
      <c r="P134" s="3521"/>
      <c r="Q134" s="3521"/>
      <c r="R134" s="3521"/>
      <c r="S134" s="3521"/>
      <c r="T134" s="3619"/>
      <c r="U134" s="3465" t="str">
        <f>'1_入力シート【基本情報】'!$U480</f>
        <v>免震装置の劣化及び損傷の状況（免震装置が可視状態にある場合に限る。）</v>
      </c>
      <c r="V134" s="3466"/>
      <c r="W134" s="3467"/>
      <c r="X134" s="3467"/>
      <c r="Y134" s="3467"/>
      <c r="Z134" s="3467"/>
      <c r="AA134" s="3467"/>
      <c r="AB134" s="3467"/>
      <c r="AC134" s="3467"/>
      <c r="AD134" s="3467"/>
      <c r="AE134" s="3467"/>
      <c r="AF134" s="3467"/>
      <c r="AG134" s="3467"/>
      <c r="AH134" s="3467"/>
      <c r="AI134" s="3467"/>
      <c r="AJ134" s="3467"/>
      <c r="AK134" s="3468"/>
      <c r="AL134" s="1082"/>
      <c r="AM134" s="1088" t="str">
        <f>'1_入力シート【基本情報】'!FK480</f>
        <v/>
      </c>
      <c r="AN134" s="1088" t="str">
        <f>'1_入力シート【基本情報】'!FL480</f>
        <v/>
      </c>
      <c r="AO134" s="1088" t="str">
        <f>'1_入力シート【基本情報】'!FM480</f>
        <v/>
      </c>
      <c r="AP134" s="1084">
        <f>'1_入力シート【基本情報】'!FN480</f>
        <v>0</v>
      </c>
    </row>
    <row r="135" spans="1:44" ht="12" customHeight="1" x14ac:dyDescent="0.15">
      <c r="B135" s="3423" t="s">
        <v>922</v>
      </c>
      <c r="C135" s="3424"/>
      <c r="D135" s="3425"/>
      <c r="E135" s="3599"/>
      <c r="F135" s="3600"/>
      <c r="G135" s="3524"/>
      <c r="H135" s="3525"/>
      <c r="I135" s="3525"/>
      <c r="J135" s="3525"/>
      <c r="K135" s="3525"/>
      <c r="L135" s="3525"/>
      <c r="M135" s="3525"/>
      <c r="N135" s="3525"/>
      <c r="O135" s="3525"/>
      <c r="P135" s="3525"/>
      <c r="Q135" s="3525"/>
      <c r="R135" s="3525"/>
      <c r="S135" s="3525"/>
      <c r="T135" s="3620"/>
      <c r="U135" s="3465" t="str">
        <f>'1_入力シート【基本情報】'!$U481</f>
        <v>上部構造の可動の状況</v>
      </c>
      <c r="V135" s="3466"/>
      <c r="W135" s="3467"/>
      <c r="X135" s="3467"/>
      <c r="Y135" s="3467"/>
      <c r="Z135" s="3467"/>
      <c r="AA135" s="3467"/>
      <c r="AB135" s="3467"/>
      <c r="AC135" s="3467"/>
      <c r="AD135" s="3467"/>
      <c r="AE135" s="3467"/>
      <c r="AF135" s="3467"/>
      <c r="AG135" s="3467"/>
      <c r="AH135" s="3467"/>
      <c r="AI135" s="3467"/>
      <c r="AJ135" s="3467"/>
      <c r="AK135" s="3468"/>
      <c r="AL135" s="1082"/>
      <c r="AM135" s="1088" t="str">
        <f>'1_入力シート【基本情報】'!FK481</f>
        <v/>
      </c>
      <c r="AN135" s="1088" t="str">
        <f>'1_入力シート【基本情報】'!FL481</f>
        <v/>
      </c>
      <c r="AO135" s="1088" t="str">
        <f>'1_入力シート【基本情報】'!FM481</f>
        <v/>
      </c>
      <c r="AP135" s="1084">
        <f>'1_入力シート【基本情報】'!FN481</f>
        <v>0</v>
      </c>
    </row>
    <row r="136" spans="1:44" ht="11.25" customHeight="1" x14ac:dyDescent="0.15">
      <c r="B136" s="3423" t="s">
        <v>923</v>
      </c>
      <c r="C136" s="3424"/>
      <c r="D136" s="3425"/>
      <c r="E136" s="3494" t="s">
        <v>141</v>
      </c>
      <c r="F136" s="3526"/>
      <c r="G136" s="3466"/>
      <c r="H136" s="3467"/>
      <c r="I136" s="3467"/>
      <c r="J136" s="3467"/>
      <c r="K136" s="3467"/>
      <c r="L136" s="3467"/>
      <c r="M136" s="3467"/>
      <c r="N136" s="3467"/>
      <c r="O136" s="3467"/>
      <c r="P136" s="3467"/>
      <c r="Q136" s="3467"/>
      <c r="R136" s="3467"/>
      <c r="S136" s="3467"/>
      <c r="T136" s="3468"/>
      <c r="U136" s="3465" t="str">
        <f>'1_入力シート【基本情報】'!$U482</f>
        <v>避雷針、避雷導線等の劣化及び損傷の状況</v>
      </c>
      <c r="V136" s="3466"/>
      <c r="W136" s="3467"/>
      <c r="X136" s="3467"/>
      <c r="Y136" s="3467"/>
      <c r="Z136" s="3467"/>
      <c r="AA136" s="3467"/>
      <c r="AB136" s="3467"/>
      <c r="AC136" s="3467"/>
      <c r="AD136" s="3467"/>
      <c r="AE136" s="3467"/>
      <c r="AF136" s="3467"/>
      <c r="AG136" s="3467"/>
      <c r="AH136" s="3467"/>
      <c r="AI136" s="3467"/>
      <c r="AJ136" s="3467"/>
      <c r="AK136" s="3468"/>
      <c r="AL136" s="1082"/>
      <c r="AM136" s="1088" t="str">
        <f>'1_入力シート【基本情報】'!FK482</f>
        <v/>
      </c>
      <c r="AN136" s="1088" t="str">
        <f>'1_入力シート【基本情報】'!FL482</f>
        <v/>
      </c>
      <c r="AO136" s="1088" t="str">
        <f>'1_入力シート【基本情報】'!FM482</f>
        <v/>
      </c>
      <c r="AP136" s="1084">
        <f>'1_入力シート【基本情報】'!FN482</f>
        <v>0</v>
      </c>
    </row>
    <row r="137" spans="1:44" ht="24" customHeight="1" x14ac:dyDescent="0.15">
      <c r="B137" s="3423" t="s">
        <v>43</v>
      </c>
      <c r="C137" s="3424"/>
      <c r="D137" s="3425"/>
      <c r="E137" s="3598" t="s">
        <v>143</v>
      </c>
      <c r="F137" s="3592"/>
      <c r="G137" s="3457" t="s">
        <v>144</v>
      </c>
      <c r="H137" s="3458"/>
      <c r="I137" s="3459"/>
      <c r="J137" s="3459"/>
      <c r="K137" s="3459"/>
      <c r="L137" s="3459"/>
      <c r="M137" s="3459"/>
      <c r="N137" s="3459"/>
      <c r="O137" s="3459"/>
      <c r="P137" s="3459"/>
      <c r="Q137" s="3459"/>
      <c r="R137" s="3459"/>
      <c r="S137" s="3459"/>
      <c r="T137" s="3460"/>
      <c r="U137" s="3465" t="str">
        <f>'1_入力シート【基本情報】'!$U483</f>
        <v>煙突本体及び建築物との接合部の劣化及び損傷の状況</v>
      </c>
      <c r="V137" s="3601"/>
      <c r="W137" s="3495"/>
      <c r="X137" s="3495"/>
      <c r="Y137" s="3495"/>
      <c r="Z137" s="3495"/>
      <c r="AA137" s="3495"/>
      <c r="AB137" s="3495"/>
      <c r="AC137" s="3495"/>
      <c r="AD137" s="3495"/>
      <c r="AE137" s="3495"/>
      <c r="AF137" s="3495"/>
      <c r="AG137" s="3495"/>
      <c r="AH137" s="3495"/>
      <c r="AI137" s="3495"/>
      <c r="AJ137" s="3495"/>
      <c r="AK137" s="3602"/>
      <c r="AL137" s="1082"/>
      <c r="AM137" s="1088" t="str">
        <f>'1_入力シート【基本情報】'!FK483</f>
        <v/>
      </c>
      <c r="AN137" s="1088" t="str">
        <f>'1_入力シート【基本情報】'!FL483</f>
        <v/>
      </c>
      <c r="AO137" s="1088" t="str">
        <f>'1_入力シート【基本情報】'!FM483</f>
        <v/>
      </c>
      <c r="AP137" s="1084">
        <f>'1_入力シート【基本情報】'!FN483</f>
        <v>0</v>
      </c>
    </row>
    <row r="138" spans="1:44" ht="12" customHeight="1" x14ac:dyDescent="0.15">
      <c r="B138" s="3423" t="s">
        <v>924</v>
      </c>
      <c r="C138" s="3424"/>
      <c r="D138" s="3425"/>
      <c r="E138" s="3594"/>
      <c r="F138" s="3593"/>
      <c r="G138" s="3597"/>
      <c r="H138" s="3476"/>
      <c r="I138" s="3477"/>
      <c r="J138" s="3477"/>
      <c r="K138" s="3477"/>
      <c r="L138" s="3477"/>
      <c r="M138" s="3477"/>
      <c r="N138" s="3477"/>
      <c r="O138" s="3477"/>
      <c r="P138" s="3477"/>
      <c r="Q138" s="3477"/>
      <c r="R138" s="3477"/>
      <c r="S138" s="3477"/>
      <c r="T138" s="3478"/>
      <c r="U138" s="3461" t="str">
        <f>'1_入力シート【基本情報】'!$U484</f>
        <v>付帯金物の劣化及び損傷の状況</v>
      </c>
      <c r="V138" s="3462"/>
      <c r="W138" s="3463"/>
      <c r="X138" s="3463"/>
      <c r="Y138" s="3463"/>
      <c r="Z138" s="3463"/>
      <c r="AA138" s="3463"/>
      <c r="AB138" s="3463"/>
      <c r="AC138" s="3463"/>
      <c r="AD138" s="3463"/>
      <c r="AE138" s="3463"/>
      <c r="AF138" s="3463"/>
      <c r="AG138" s="3463"/>
      <c r="AH138" s="3463"/>
      <c r="AI138" s="3463"/>
      <c r="AJ138" s="3463"/>
      <c r="AK138" s="3464"/>
      <c r="AL138" s="1082"/>
      <c r="AM138" s="1088" t="str">
        <f>'1_入力シート【基本情報】'!FK484</f>
        <v/>
      </c>
      <c r="AN138" s="1088" t="str">
        <f>'1_入力シート【基本情報】'!FL484</f>
        <v/>
      </c>
      <c r="AO138" s="1088" t="str">
        <f>'1_入力シート【基本情報】'!FM484</f>
        <v/>
      </c>
      <c r="AP138" s="1084">
        <f>'1_入力シート【基本情報】'!FN484</f>
        <v>0</v>
      </c>
    </row>
    <row r="139" spans="1:44" ht="12" customHeight="1" x14ac:dyDescent="0.15">
      <c r="B139" s="3423" t="s">
        <v>925</v>
      </c>
      <c r="C139" s="3424"/>
      <c r="D139" s="3425"/>
      <c r="E139" s="3594"/>
      <c r="F139" s="3593"/>
      <c r="G139" s="3457" t="s">
        <v>188</v>
      </c>
      <c r="H139" s="3458"/>
      <c r="I139" s="3459"/>
      <c r="J139" s="3459"/>
      <c r="K139" s="3459"/>
      <c r="L139" s="3459"/>
      <c r="M139" s="3459"/>
      <c r="N139" s="3459"/>
      <c r="O139" s="3459"/>
      <c r="P139" s="3459"/>
      <c r="Q139" s="3459"/>
      <c r="R139" s="3459"/>
      <c r="S139" s="3459"/>
      <c r="T139" s="3460"/>
      <c r="U139" s="3461" t="str">
        <f>'1_入力シート【基本情報】'!$U485</f>
        <v>煙突本体の劣化及び損傷の状況</v>
      </c>
      <c r="V139" s="3462"/>
      <c r="W139" s="3463"/>
      <c r="X139" s="3463"/>
      <c r="Y139" s="3463"/>
      <c r="Z139" s="3463"/>
      <c r="AA139" s="3463"/>
      <c r="AB139" s="3463"/>
      <c r="AC139" s="3463"/>
      <c r="AD139" s="3463"/>
      <c r="AE139" s="3463"/>
      <c r="AF139" s="3463"/>
      <c r="AG139" s="3463"/>
      <c r="AH139" s="3463"/>
      <c r="AI139" s="3463"/>
      <c r="AJ139" s="3463"/>
      <c r="AK139" s="3464"/>
      <c r="AL139" s="1082"/>
      <c r="AM139" s="1088" t="str">
        <f>'1_入力シート【基本情報】'!FK485</f>
        <v/>
      </c>
      <c r="AN139" s="1088" t="str">
        <f>'1_入力シート【基本情報】'!FL485</f>
        <v/>
      </c>
      <c r="AO139" s="1088" t="str">
        <f>'1_入力シート【基本情報】'!FM485</f>
        <v/>
      </c>
      <c r="AP139" s="1084">
        <f>'1_入力シート【基本情報】'!FN485</f>
        <v>0</v>
      </c>
    </row>
    <row r="140" spans="1:44" ht="12" customHeight="1" thickBot="1" x14ac:dyDescent="0.2">
      <c r="B140" s="3560" t="s">
        <v>926</v>
      </c>
      <c r="C140" s="3561"/>
      <c r="D140" s="3562"/>
      <c r="E140" s="3595"/>
      <c r="F140" s="3596"/>
      <c r="G140" s="3603"/>
      <c r="H140" s="3604"/>
      <c r="I140" s="3605"/>
      <c r="J140" s="3605"/>
      <c r="K140" s="3605"/>
      <c r="L140" s="3605"/>
      <c r="M140" s="3605"/>
      <c r="N140" s="3605"/>
      <c r="O140" s="3605"/>
      <c r="P140" s="3605"/>
      <c r="Q140" s="3605"/>
      <c r="R140" s="3605"/>
      <c r="S140" s="3605"/>
      <c r="T140" s="3606"/>
      <c r="U140" s="3609" t="str">
        <f>'1_入力シート【基本情報】'!$U486</f>
        <v>付帯金物の劣化及び損傷の状況</v>
      </c>
      <c r="V140" s="3610"/>
      <c r="W140" s="3611"/>
      <c r="X140" s="3611"/>
      <c r="Y140" s="3611"/>
      <c r="Z140" s="3611"/>
      <c r="AA140" s="3611"/>
      <c r="AB140" s="3611"/>
      <c r="AC140" s="3611"/>
      <c r="AD140" s="3611"/>
      <c r="AE140" s="3611"/>
      <c r="AF140" s="3611"/>
      <c r="AG140" s="3611"/>
      <c r="AH140" s="3611"/>
      <c r="AI140" s="3611"/>
      <c r="AJ140" s="3611"/>
      <c r="AK140" s="3612"/>
      <c r="AL140" s="1085"/>
      <c r="AM140" s="1089" t="str">
        <f>'1_入力シート【基本情報】'!FK486</f>
        <v/>
      </c>
      <c r="AN140" s="1089" t="str">
        <f>'1_入力シート【基本情報】'!FL486</f>
        <v/>
      </c>
      <c r="AO140" s="1089" t="str">
        <f>'1_入力シート【基本情報】'!FM486</f>
        <v/>
      </c>
      <c r="AP140" s="1087">
        <f>'1_入力シート【基本情報】'!FN486</f>
        <v>0</v>
      </c>
    </row>
    <row r="141" spans="1:44" ht="11.25" customHeight="1" x14ac:dyDescent="0.15">
      <c r="B141" s="3626">
        <v>7</v>
      </c>
      <c r="C141" s="3627"/>
      <c r="D141" s="3628"/>
      <c r="E141" s="3607" t="s">
        <v>148</v>
      </c>
      <c r="F141" s="3607"/>
      <c r="G141" s="3607"/>
      <c r="H141" s="3607"/>
      <c r="I141" s="3607"/>
      <c r="J141" s="3607"/>
      <c r="K141" s="3607"/>
      <c r="L141" s="3607"/>
      <c r="M141" s="3607"/>
      <c r="N141" s="3607"/>
      <c r="O141" s="3607"/>
      <c r="P141" s="3607"/>
      <c r="Q141" s="3607"/>
      <c r="R141" s="3607"/>
      <c r="S141" s="3607"/>
      <c r="T141" s="3607"/>
      <c r="U141" s="3607"/>
      <c r="V141" s="3607"/>
      <c r="W141" s="3607"/>
      <c r="X141" s="3607"/>
      <c r="Y141" s="3607"/>
      <c r="Z141" s="3607"/>
      <c r="AA141" s="3607"/>
      <c r="AB141" s="3607"/>
      <c r="AC141" s="3607"/>
      <c r="AD141" s="3607"/>
      <c r="AE141" s="3607"/>
      <c r="AF141" s="3607"/>
      <c r="AG141" s="3607"/>
      <c r="AH141" s="3607"/>
      <c r="AI141" s="3607"/>
      <c r="AJ141" s="3607"/>
      <c r="AK141" s="3607"/>
      <c r="AL141" s="3607"/>
      <c r="AM141" s="3607"/>
      <c r="AN141" s="3607"/>
      <c r="AO141" s="3607"/>
      <c r="AP141" s="3608"/>
    </row>
    <row r="142" spans="1:44" ht="32.1" customHeight="1" x14ac:dyDescent="0.15">
      <c r="B142" s="3423" t="s">
        <v>35</v>
      </c>
      <c r="C142" s="3424"/>
      <c r="D142" s="3425"/>
      <c r="E142" s="3446" t="str">
        <f>'1_入力シート【基本情報】'!P497</f>
        <v>随時閉鎖又は作動をできる防火設備（防火扉、防火シャッターその他これらに類するものに限り、令第１６条第３項第２号又は細則第２９条第１項第１号に規定するものを除く。以下「随閉防火設備」という。）</v>
      </c>
      <c r="F142" s="3447"/>
      <c r="G142" s="3447"/>
      <c r="H142" s="3447"/>
      <c r="I142" s="3447"/>
      <c r="J142" s="3447"/>
      <c r="K142" s="3683"/>
      <c r="L142" s="3443" t="str">
        <f>'1_入力シート【基本情報】'!$U497</f>
        <v>各階の主要な随閉防火設備（人の通行の用に供する部分に設けるものに限る。）の昭和４８年建設省告示第２５６３号第１第二号イに規定する基準についての適合の状況</v>
      </c>
      <c r="M142" s="3444"/>
      <c r="N142" s="3444"/>
      <c r="O142" s="3444"/>
      <c r="P142" s="3444"/>
      <c r="Q142" s="3444"/>
      <c r="R142" s="3444"/>
      <c r="S142" s="3444"/>
      <c r="T142" s="3444"/>
      <c r="U142" s="3444"/>
      <c r="V142" s="3444"/>
      <c r="W142" s="3444"/>
      <c r="X142" s="3444"/>
      <c r="Y142" s="3444"/>
      <c r="Z142" s="3444"/>
      <c r="AA142" s="3444"/>
      <c r="AB142" s="3444"/>
      <c r="AC142" s="3444"/>
      <c r="AD142" s="3444"/>
      <c r="AE142" s="3444"/>
      <c r="AF142" s="3444"/>
      <c r="AG142" s="3444"/>
      <c r="AH142" s="3444"/>
      <c r="AI142" s="3444"/>
      <c r="AJ142" s="3444"/>
      <c r="AK142" s="3445"/>
      <c r="AL142" s="1082"/>
      <c r="AM142" s="1083" t="str">
        <f>'1_入力シート【基本情報】'!FK497</f>
        <v/>
      </c>
      <c r="AN142" s="1083" t="str">
        <f>'1_入力シート【基本情報】'!FL497</f>
        <v/>
      </c>
      <c r="AO142" s="1083" t="str">
        <f>'1_入力シート【基本情報】'!FM497</f>
        <v/>
      </c>
      <c r="AP142" s="1084">
        <f>'1_入力シート【基本情報】'!FN497</f>
        <v>0</v>
      </c>
    </row>
    <row r="143" spans="1:44" ht="24" customHeight="1" x14ac:dyDescent="0.15">
      <c r="B143" s="3423" t="s">
        <v>920</v>
      </c>
      <c r="C143" s="3424"/>
      <c r="D143" s="3425"/>
      <c r="E143" s="3684"/>
      <c r="F143" s="3685"/>
      <c r="G143" s="3685"/>
      <c r="H143" s="3685"/>
      <c r="I143" s="3685"/>
      <c r="J143" s="3685"/>
      <c r="K143" s="3686"/>
      <c r="L143" s="3443" t="str">
        <f>'1_入力シート【基本情報】'!$U498</f>
        <v>煙又は熱を感知し自動的に閉鎖又は作動させる装置の設置の状況</v>
      </c>
      <c r="M143" s="3444"/>
      <c r="N143" s="3444"/>
      <c r="O143" s="3444"/>
      <c r="P143" s="3444"/>
      <c r="Q143" s="3444"/>
      <c r="R143" s="3444"/>
      <c r="S143" s="3444"/>
      <c r="T143" s="3444"/>
      <c r="U143" s="3444"/>
      <c r="V143" s="3444"/>
      <c r="W143" s="3444"/>
      <c r="X143" s="3444"/>
      <c r="Y143" s="3444"/>
      <c r="Z143" s="3444"/>
      <c r="AA143" s="3444"/>
      <c r="AB143" s="3444"/>
      <c r="AC143" s="3444"/>
      <c r="AD143" s="3444"/>
      <c r="AE143" s="3444"/>
      <c r="AF143" s="3444"/>
      <c r="AG143" s="3444"/>
      <c r="AH143" s="3444"/>
      <c r="AI143" s="3444"/>
      <c r="AJ143" s="3444"/>
      <c r="AK143" s="3445"/>
      <c r="AL143" s="1082"/>
      <c r="AM143" s="1083" t="str">
        <f>'1_入力シート【基本情報】'!FK498</f>
        <v/>
      </c>
      <c r="AN143" s="1083" t="str">
        <f>'1_入力シート【基本情報】'!FL498</f>
        <v/>
      </c>
      <c r="AO143" s="1083" t="str">
        <f>'1_入力シート【基本情報】'!FM498</f>
        <v/>
      </c>
      <c r="AP143" s="1084">
        <f>'1_入力シート【基本情報】'!FN498</f>
        <v>0</v>
      </c>
    </row>
    <row r="144" spans="1:44" s="1092" customFormat="1" ht="24" customHeight="1" x14ac:dyDescent="0.15">
      <c r="A144" s="470"/>
      <c r="B144" s="3423" t="s">
        <v>921</v>
      </c>
      <c r="C144" s="3424"/>
      <c r="D144" s="3425"/>
      <c r="E144" s="3684"/>
      <c r="F144" s="3685"/>
      <c r="G144" s="3685"/>
      <c r="H144" s="3685"/>
      <c r="I144" s="3685"/>
      <c r="J144" s="3685"/>
      <c r="K144" s="3686"/>
      <c r="L144" s="3443" t="str">
        <f>'1_入力シート【基本情報】'!$U499</f>
        <v>本体、枠及び金物の劣化及び損傷の状況</v>
      </c>
      <c r="M144" s="3444"/>
      <c r="N144" s="3444"/>
      <c r="O144" s="3444"/>
      <c r="P144" s="3444"/>
      <c r="Q144" s="3444"/>
      <c r="R144" s="3444"/>
      <c r="S144" s="3444"/>
      <c r="T144" s="3444"/>
      <c r="U144" s="3444"/>
      <c r="V144" s="3444"/>
      <c r="W144" s="3444"/>
      <c r="X144" s="3444"/>
      <c r="Y144" s="3444"/>
      <c r="Z144" s="3444"/>
      <c r="AA144" s="3444"/>
      <c r="AB144" s="3444"/>
      <c r="AC144" s="3444"/>
      <c r="AD144" s="3444"/>
      <c r="AE144" s="3444"/>
      <c r="AF144" s="3444"/>
      <c r="AG144" s="3444"/>
      <c r="AH144" s="3444"/>
      <c r="AI144" s="3444"/>
      <c r="AJ144" s="3444"/>
      <c r="AK144" s="3445"/>
      <c r="AL144" s="1091"/>
      <c r="AM144" s="1083" t="str">
        <f>'1_入力シート【基本情報】'!FK499</f>
        <v/>
      </c>
      <c r="AN144" s="1083" t="str">
        <f>'1_入力シート【基本情報】'!FL499</f>
        <v/>
      </c>
      <c r="AO144" s="1083" t="str">
        <f>'1_入力シート【基本情報】'!FM499</f>
        <v/>
      </c>
      <c r="AP144" s="1084">
        <f>'1_入力シート【基本情報】'!FN499</f>
        <v>0</v>
      </c>
      <c r="AQ144" s="470"/>
      <c r="AR144" s="1588"/>
    </row>
    <row r="145" spans="1:44" s="1092" customFormat="1" ht="24" customHeight="1" x14ac:dyDescent="0.15">
      <c r="A145" s="470"/>
      <c r="B145" s="3423" t="s">
        <v>922</v>
      </c>
      <c r="C145" s="3424"/>
      <c r="D145" s="3425"/>
      <c r="E145" s="3684"/>
      <c r="F145" s="3685"/>
      <c r="G145" s="3685"/>
      <c r="H145" s="3685"/>
      <c r="I145" s="3685"/>
      <c r="J145" s="3685"/>
      <c r="K145" s="3686"/>
      <c r="L145" s="3443" t="str">
        <f>'1_入力シート【基本情報】'!$U500</f>
        <v>各階の主要な随閉防火設備の閉鎖又は作動の状況</v>
      </c>
      <c r="M145" s="3444"/>
      <c r="N145" s="3444"/>
      <c r="O145" s="3444"/>
      <c r="P145" s="3444"/>
      <c r="Q145" s="3444"/>
      <c r="R145" s="3444"/>
      <c r="S145" s="3444"/>
      <c r="T145" s="3444"/>
      <c r="U145" s="3444"/>
      <c r="V145" s="3444"/>
      <c r="W145" s="3444"/>
      <c r="X145" s="3444"/>
      <c r="Y145" s="3444"/>
      <c r="Z145" s="3444"/>
      <c r="AA145" s="3444"/>
      <c r="AB145" s="3444"/>
      <c r="AC145" s="3444"/>
      <c r="AD145" s="3444"/>
      <c r="AE145" s="3444"/>
      <c r="AF145" s="3444"/>
      <c r="AG145" s="3444"/>
      <c r="AH145" s="3444"/>
      <c r="AI145" s="3444"/>
      <c r="AJ145" s="3444"/>
      <c r="AK145" s="3445"/>
      <c r="AL145" s="1093"/>
      <c r="AM145" s="1083" t="str">
        <f>'1_入力シート【基本情報】'!FK500</f>
        <v/>
      </c>
      <c r="AN145" s="1083" t="str">
        <f>'1_入力シート【基本情報】'!FL500</f>
        <v/>
      </c>
      <c r="AO145" s="1083" t="str">
        <f>'1_入力シート【基本情報】'!FM500</f>
        <v/>
      </c>
      <c r="AP145" s="1084">
        <f>'1_入力シート【基本情報】'!FN500</f>
        <v>0</v>
      </c>
      <c r="AQ145" s="470"/>
      <c r="AR145" s="1588"/>
    </row>
    <row r="146" spans="1:44" s="1092" customFormat="1" ht="24" customHeight="1" x14ac:dyDescent="0.15">
      <c r="A146" s="470"/>
      <c r="B146" s="3423" t="s">
        <v>923</v>
      </c>
      <c r="C146" s="3424"/>
      <c r="D146" s="3425"/>
      <c r="E146" s="3448"/>
      <c r="F146" s="3449"/>
      <c r="G146" s="3449"/>
      <c r="H146" s="3449"/>
      <c r="I146" s="3449"/>
      <c r="J146" s="3449"/>
      <c r="K146" s="3687"/>
      <c r="L146" s="3443" t="str">
        <f>'1_入力シート【基本情報】'!$U501</f>
        <v>閉鎖又は作動の障害となる物品の放置並びに照明器具及び懸垂物等の状況</v>
      </c>
      <c r="M146" s="3444"/>
      <c r="N146" s="3444"/>
      <c r="O146" s="3444"/>
      <c r="P146" s="3444"/>
      <c r="Q146" s="3444"/>
      <c r="R146" s="3444"/>
      <c r="S146" s="3444"/>
      <c r="T146" s="3444"/>
      <c r="U146" s="3444"/>
      <c r="V146" s="3444"/>
      <c r="W146" s="3444"/>
      <c r="X146" s="3444"/>
      <c r="Y146" s="3444"/>
      <c r="Z146" s="3444"/>
      <c r="AA146" s="3444"/>
      <c r="AB146" s="3444"/>
      <c r="AC146" s="3444"/>
      <c r="AD146" s="3444"/>
      <c r="AE146" s="3444"/>
      <c r="AF146" s="3444"/>
      <c r="AG146" s="3444"/>
      <c r="AH146" s="3444"/>
      <c r="AI146" s="3444"/>
      <c r="AJ146" s="3444"/>
      <c r="AK146" s="3445"/>
      <c r="AL146" s="1093"/>
      <c r="AM146" s="1083" t="str">
        <f>'1_入力シート【基本情報】'!FK501</f>
        <v/>
      </c>
      <c r="AN146" s="1083" t="str">
        <f>'1_入力シート【基本情報】'!FL501</f>
        <v/>
      </c>
      <c r="AO146" s="1083" t="str">
        <f>'1_入力シート【基本情報】'!FM501</f>
        <v/>
      </c>
      <c r="AP146" s="1084">
        <f>'1_入力シート【基本情報】'!FN501</f>
        <v>0</v>
      </c>
      <c r="AQ146" s="470"/>
      <c r="AR146" s="1588"/>
    </row>
    <row r="147" spans="1:44" s="1092" customFormat="1" ht="30" customHeight="1" x14ac:dyDescent="0.15">
      <c r="A147" s="470"/>
      <c r="B147" s="3423" t="s">
        <v>43</v>
      </c>
      <c r="C147" s="3424"/>
      <c r="D147" s="3425"/>
      <c r="E147" s="3446" t="str">
        <f>'1_入力シート【基本情報】'!P502</f>
        <v>常時閉鎖又は作動した状態にある防火扉（各階の主要なものに限る。）</v>
      </c>
      <c r="F147" s="3447"/>
      <c r="G147" s="3447"/>
      <c r="H147" s="3447"/>
      <c r="I147" s="3447"/>
      <c r="J147" s="3447"/>
      <c r="K147" s="3683"/>
      <c r="L147" s="3443" t="str">
        <f>'1_入力シート【基本情報】'!$U502</f>
        <v>防火扉（人の通行の用に供する部分に設けるものに限る。）の昭和４８年建設省告示第２５６３号第１第一号に規定する基準についての適合の状況</v>
      </c>
      <c r="M147" s="3444"/>
      <c r="N147" s="3444"/>
      <c r="O147" s="3444"/>
      <c r="P147" s="3444"/>
      <c r="Q147" s="3444"/>
      <c r="R147" s="3444"/>
      <c r="S147" s="3444"/>
      <c r="T147" s="3444"/>
      <c r="U147" s="3444"/>
      <c r="V147" s="3444"/>
      <c r="W147" s="3444"/>
      <c r="X147" s="3444"/>
      <c r="Y147" s="3444"/>
      <c r="Z147" s="3444"/>
      <c r="AA147" s="3444"/>
      <c r="AB147" s="3444"/>
      <c r="AC147" s="3444"/>
      <c r="AD147" s="3444"/>
      <c r="AE147" s="3444"/>
      <c r="AF147" s="3444"/>
      <c r="AG147" s="3444"/>
      <c r="AH147" s="3444"/>
      <c r="AI147" s="3444"/>
      <c r="AJ147" s="3444"/>
      <c r="AK147" s="3445"/>
      <c r="AL147" s="1093"/>
      <c r="AM147" s="1083" t="str">
        <f>'1_入力シート【基本情報】'!FK502</f>
        <v/>
      </c>
      <c r="AN147" s="1083" t="str">
        <f>'1_入力シート【基本情報】'!FL502</f>
        <v/>
      </c>
      <c r="AO147" s="1083" t="str">
        <f>'1_入力シート【基本情報】'!FM502</f>
        <v/>
      </c>
      <c r="AP147" s="1084">
        <f>'1_入力シート【基本情報】'!FN502</f>
        <v>0</v>
      </c>
      <c r="AQ147" s="470"/>
      <c r="AR147" s="1588"/>
    </row>
    <row r="148" spans="1:44" s="1092" customFormat="1" ht="12" customHeight="1" x14ac:dyDescent="0.15">
      <c r="A148" s="470"/>
      <c r="B148" s="3423" t="s">
        <v>924</v>
      </c>
      <c r="C148" s="3424"/>
      <c r="D148" s="3425"/>
      <c r="E148" s="3684"/>
      <c r="F148" s="3685"/>
      <c r="G148" s="3685"/>
      <c r="H148" s="3685"/>
      <c r="I148" s="3685"/>
      <c r="J148" s="3685"/>
      <c r="K148" s="3686"/>
      <c r="L148" s="3443" t="str">
        <f>'1_入力シート【基本情報】'!$U503</f>
        <v>扉、枠及び金物の劣化及び損傷の状況</v>
      </c>
      <c r="M148" s="3444"/>
      <c r="N148" s="3444"/>
      <c r="O148" s="3444"/>
      <c r="P148" s="3444"/>
      <c r="Q148" s="3444"/>
      <c r="R148" s="3444"/>
      <c r="S148" s="3444"/>
      <c r="T148" s="3444"/>
      <c r="U148" s="3444"/>
      <c r="V148" s="3444"/>
      <c r="W148" s="3444"/>
      <c r="X148" s="3444"/>
      <c r="Y148" s="3444"/>
      <c r="Z148" s="3444"/>
      <c r="AA148" s="3444"/>
      <c r="AB148" s="3444"/>
      <c r="AC148" s="3444"/>
      <c r="AD148" s="3444"/>
      <c r="AE148" s="3444"/>
      <c r="AF148" s="3444"/>
      <c r="AG148" s="3444"/>
      <c r="AH148" s="3444"/>
      <c r="AI148" s="3444"/>
      <c r="AJ148" s="3444"/>
      <c r="AK148" s="3445"/>
      <c r="AL148" s="1093"/>
      <c r="AM148" s="1083" t="str">
        <f>'1_入力シート【基本情報】'!FK503</f>
        <v/>
      </c>
      <c r="AN148" s="1083" t="str">
        <f>'1_入力シート【基本情報】'!FL503</f>
        <v/>
      </c>
      <c r="AO148" s="1083" t="str">
        <f>'1_入力シート【基本情報】'!FM503</f>
        <v/>
      </c>
      <c r="AP148" s="1084">
        <f>'1_入力シート【基本情報】'!FN503</f>
        <v>0</v>
      </c>
      <c r="AQ148" s="470"/>
      <c r="AR148" s="1588"/>
    </row>
    <row r="149" spans="1:44" s="1092" customFormat="1" ht="12" customHeight="1" x14ac:dyDescent="0.15">
      <c r="A149" s="470"/>
      <c r="B149" s="3423" t="s">
        <v>925</v>
      </c>
      <c r="C149" s="3424"/>
      <c r="D149" s="3425"/>
      <c r="E149" s="3684"/>
      <c r="F149" s="3685"/>
      <c r="G149" s="3685"/>
      <c r="H149" s="3685"/>
      <c r="I149" s="3685"/>
      <c r="J149" s="3685"/>
      <c r="K149" s="3686"/>
      <c r="L149" s="3443" t="str">
        <f>'1_入力シート【基本情報】'!$U504</f>
        <v>閉鎖又は作動の障害となる物品の放置並びに照明器具及び懸垂物等の状況</v>
      </c>
      <c r="M149" s="3444"/>
      <c r="N149" s="3444"/>
      <c r="O149" s="3444"/>
      <c r="P149" s="3444"/>
      <c r="Q149" s="3444"/>
      <c r="R149" s="3444"/>
      <c r="S149" s="3444"/>
      <c r="T149" s="3444"/>
      <c r="U149" s="3444"/>
      <c r="V149" s="3444"/>
      <c r="W149" s="3444"/>
      <c r="X149" s="3444"/>
      <c r="Y149" s="3444"/>
      <c r="Z149" s="3444"/>
      <c r="AA149" s="3444"/>
      <c r="AB149" s="3444"/>
      <c r="AC149" s="3444"/>
      <c r="AD149" s="3444"/>
      <c r="AE149" s="3444"/>
      <c r="AF149" s="3444"/>
      <c r="AG149" s="3444"/>
      <c r="AH149" s="3444"/>
      <c r="AI149" s="3444"/>
      <c r="AJ149" s="3444"/>
      <c r="AK149" s="3445"/>
      <c r="AL149" s="1093"/>
      <c r="AM149" s="1083" t="str">
        <f>'1_入力シート【基本情報】'!FK504</f>
        <v/>
      </c>
      <c r="AN149" s="1083" t="str">
        <f>'1_入力シート【基本情報】'!FL504</f>
        <v/>
      </c>
      <c r="AO149" s="1083" t="str">
        <f>'1_入力シート【基本情報】'!FM504</f>
        <v/>
      </c>
      <c r="AP149" s="1084">
        <f>'1_入力シート【基本情報】'!FN504</f>
        <v>0</v>
      </c>
      <c r="AQ149" s="470"/>
      <c r="AR149" s="1588"/>
    </row>
    <row r="150" spans="1:44" s="1092" customFormat="1" ht="12" customHeight="1" x14ac:dyDescent="0.15">
      <c r="A150" s="470"/>
      <c r="B150" s="3440" t="s">
        <v>926</v>
      </c>
      <c r="C150" s="3441"/>
      <c r="D150" s="3442"/>
      <c r="E150" s="3684"/>
      <c r="F150" s="3685"/>
      <c r="G150" s="3685"/>
      <c r="H150" s="3685"/>
      <c r="I150" s="3685"/>
      <c r="J150" s="3685"/>
      <c r="K150" s="3686"/>
      <c r="L150" s="3443" t="str">
        <f>'1_入力シート【基本情報】'!$U505</f>
        <v>扉の取付けの状況</v>
      </c>
      <c r="M150" s="3444"/>
      <c r="N150" s="3444"/>
      <c r="O150" s="3444"/>
      <c r="P150" s="3444"/>
      <c r="Q150" s="3444"/>
      <c r="R150" s="3444"/>
      <c r="S150" s="3444"/>
      <c r="T150" s="3444"/>
      <c r="U150" s="3444"/>
      <c r="V150" s="3444"/>
      <c r="W150" s="3444"/>
      <c r="X150" s="3444"/>
      <c r="Y150" s="3444"/>
      <c r="Z150" s="3444"/>
      <c r="AA150" s="3444"/>
      <c r="AB150" s="3444"/>
      <c r="AC150" s="3444"/>
      <c r="AD150" s="3444"/>
      <c r="AE150" s="3444"/>
      <c r="AF150" s="3444"/>
      <c r="AG150" s="3444"/>
      <c r="AH150" s="3444"/>
      <c r="AI150" s="3444"/>
      <c r="AJ150" s="3444"/>
      <c r="AK150" s="3445"/>
      <c r="AL150" s="1093"/>
      <c r="AM150" s="1083" t="str">
        <f>'1_入力シート【基本情報】'!FK505</f>
        <v/>
      </c>
      <c r="AN150" s="1083" t="str">
        <f>'1_入力シート【基本情報】'!FL505</f>
        <v/>
      </c>
      <c r="AO150" s="1083" t="str">
        <f>'1_入力シート【基本情報】'!FM505</f>
        <v/>
      </c>
      <c r="AP150" s="1084">
        <f>'1_入力シート【基本情報】'!FN505</f>
        <v>0</v>
      </c>
      <c r="AQ150" s="470"/>
      <c r="AR150" s="1588"/>
    </row>
    <row r="151" spans="1:44" s="1092" customFormat="1" ht="12" customHeight="1" x14ac:dyDescent="0.15">
      <c r="A151" s="470"/>
      <c r="B151" s="3440" t="s">
        <v>927</v>
      </c>
      <c r="C151" s="3441"/>
      <c r="D151" s="3442"/>
      <c r="E151" s="3448"/>
      <c r="F151" s="3449"/>
      <c r="G151" s="3449"/>
      <c r="H151" s="3449"/>
      <c r="I151" s="3449"/>
      <c r="J151" s="3449"/>
      <c r="K151" s="3687"/>
      <c r="L151" s="3443" t="str">
        <f>'1_入力シート【基本情報】'!$U506</f>
        <v>固定の状況</v>
      </c>
      <c r="M151" s="3444"/>
      <c r="N151" s="3444"/>
      <c r="O151" s="3444"/>
      <c r="P151" s="3444"/>
      <c r="Q151" s="3444"/>
      <c r="R151" s="3444"/>
      <c r="S151" s="3444"/>
      <c r="T151" s="3444"/>
      <c r="U151" s="3444"/>
      <c r="V151" s="3444"/>
      <c r="W151" s="3444"/>
      <c r="X151" s="3444"/>
      <c r="Y151" s="3444"/>
      <c r="Z151" s="3444"/>
      <c r="AA151" s="3444"/>
      <c r="AB151" s="3444"/>
      <c r="AC151" s="3444"/>
      <c r="AD151" s="3444"/>
      <c r="AE151" s="3444"/>
      <c r="AF151" s="3444"/>
      <c r="AG151" s="3444"/>
      <c r="AH151" s="3444"/>
      <c r="AI151" s="3444"/>
      <c r="AJ151" s="3444"/>
      <c r="AK151" s="3445"/>
      <c r="AL151" s="1093"/>
      <c r="AM151" s="1083" t="str">
        <f>'1_入力シート【基本情報】'!FK506</f>
        <v/>
      </c>
      <c r="AN151" s="1083" t="str">
        <f>'1_入力シート【基本情報】'!FL506</f>
        <v/>
      </c>
      <c r="AO151" s="1083" t="str">
        <f>'1_入力シート【基本情報】'!FM506</f>
        <v/>
      </c>
      <c r="AP151" s="1084">
        <f>'1_入力シート【基本情報】'!FN506</f>
        <v>0</v>
      </c>
      <c r="AQ151" s="470"/>
      <c r="AR151" s="1588"/>
    </row>
    <row r="152" spans="1:44" s="1092" customFormat="1" ht="21" customHeight="1" x14ac:dyDescent="0.15">
      <c r="A152" s="470"/>
      <c r="B152" s="3440" t="s">
        <v>3042</v>
      </c>
      <c r="C152" s="3441"/>
      <c r="D152" s="3442"/>
      <c r="E152" s="3446" t="str">
        <f>'1_入力シート【基本情報】'!P507</f>
        <v>換気設備（細則第29条第1項第2号に規定するものを除く。）</v>
      </c>
      <c r="F152" s="3447"/>
      <c r="G152" s="3447"/>
      <c r="H152" s="3447"/>
      <c r="I152" s="3447"/>
      <c r="J152" s="3447"/>
      <c r="K152" s="3447"/>
      <c r="L152" s="3443" t="str">
        <f>'1_入力シート【基本情報】'!$U507</f>
        <v>換気設備の作動の状況</v>
      </c>
      <c r="M152" s="3444"/>
      <c r="N152" s="3444"/>
      <c r="O152" s="3444"/>
      <c r="P152" s="3444"/>
      <c r="Q152" s="3444"/>
      <c r="R152" s="3444"/>
      <c r="S152" s="3444"/>
      <c r="T152" s="3444"/>
      <c r="U152" s="3444"/>
      <c r="V152" s="3444"/>
      <c r="W152" s="3444"/>
      <c r="X152" s="3444"/>
      <c r="Y152" s="3444"/>
      <c r="Z152" s="3444"/>
      <c r="AA152" s="3444"/>
      <c r="AB152" s="3444"/>
      <c r="AC152" s="3444"/>
      <c r="AD152" s="3444"/>
      <c r="AE152" s="3444"/>
      <c r="AF152" s="3444"/>
      <c r="AG152" s="3444"/>
      <c r="AH152" s="3444"/>
      <c r="AI152" s="3444"/>
      <c r="AJ152" s="3444"/>
      <c r="AK152" s="3445"/>
      <c r="AL152" s="1093"/>
      <c r="AM152" s="1083" t="str">
        <f>'1_入力シート【基本情報】'!FK507</f>
        <v/>
      </c>
      <c r="AN152" s="1083" t="str">
        <f>'1_入力シート【基本情報】'!FL507</f>
        <v/>
      </c>
      <c r="AO152" s="1083" t="str">
        <f>'1_入力シート【基本情報】'!FM507</f>
        <v/>
      </c>
      <c r="AP152" s="1084">
        <f>'1_入力シート【基本情報】'!FN507</f>
        <v>0</v>
      </c>
      <c r="AQ152" s="470"/>
      <c r="AR152" s="1588"/>
    </row>
    <row r="153" spans="1:44" s="1092" customFormat="1" ht="21" customHeight="1" x14ac:dyDescent="0.15">
      <c r="A153" s="470"/>
      <c r="B153" s="3440" t="s">
        <v>3043</v>
      </c>
      <c r="C153" s="3441"/>
      <c r="D153" s="3442"/>
      <c r="E153" s="3448"/>
      <c r="F153" s="3449"/>
      <c r="G153" s="3449"/>
      <c r="H153" s="3449"/>
      <c r="I153" s="3449"/>
      <c r="J153" s="3449"/>
      <c r="K153" s="3449"/>
      <c r="L153" s="3443" t="str">
        <f>'1_入力シート【基本情報】'!$U508</f>
        <v>換気の妨げとなる物品の放置の状況</v>
      </c>
      <c r="M153" s="3444"/>
      <c r="N153" s="3444"/>
      <c r="O153" s="3444"/>
      <c r="P153" s="3444"/>
      <c r="Q153" s="3444"/>
      <c r="R153" s="3444"/>
      <c r="S153" s="3444"/>
      <c r="T153" s="3444"/>
      <c r="U153" s="3444"/>
      <c r="V153" s="3444"/>
      <c r="W153" s="3444"/>
      <c r="X153" s="3444"/>
      <c r="Y153" s="3444"/>
      <c r="Z153" s="3444"/>
      <c r="AA153" s="3444"/>
      <c r="AB153" s="3444"/>
      <c r="AC153" s="3444"/>
      <c r="AD153" s="3444"/>
      <c r="AE153" s="3444"/>
      <c r="AF153" s="3444"/>
      <c r="AG153" s="3444"/>
      <c r="AH153" s="3444"/>
      <c r="AI153" s="3444"/>
      <c r="AJ153" s="3444"/>
      <c r="AK153" s="3445"/>
      <c r="AL153" s="1093"/>
      <c r="AM153" s="1083" t="str">
        <f>'1_入力シート【基本情報】'!FK508</f>
        <v/>
      </c>
      <c r="AN153" s="1083" t="str">
        <f>'1_入力シート【基本情報】'!FL508</f>
        <v/>
      </c>
      <c r="AO153" s="1083" t="str">
        <f>'1_入力シート【基本情報】'!FM508</f>
        <v/>
      </c>
      <c r="AP153" s="1084">
        <f>'1_入力シート【基本情報】'!FN508</f>
        <v>0</v>
      </c>
      <c r="AQ153" s="470"/>
      <c r="AR153" s="1588"/>
    </row>
    <row r="154" spans="1:44" s="1092" customFormat="1" ht="21" customHeight="1" x14ac:dyDescent="0.15">
      <c r="A154" s="470"/>
      <c r="B154" s="3440" t="s">
        <v>3044</v>
      </c>
      <c r="C154" s="3441"/>
      <c r="D154" s="3442"/>
      <c r="E154" s="3450" t="str">
        <f>'1_入力シート【基本情報】'!P509</f>
        <v>可動式防煙壁</v>
      </c>
      <c r="F154" s="3451"/>
      <c r="G154" s="3451"/>
      <c r="H154" s="3451"/>
      <c r="I154" s="3451"/>
      <c r="J154" s="3451"/>
      <c r="K154" s="3451"/>
      <c r="L154" s="3443" t="str">
        <f>'1_入力シート【基本情報】'!$U509</f>
        <v>可動式防煙壁の作動の状況</v>
      </c>
      <c r="M154" s="3444"/>
      <c r="N154" s="3444"/>
      <c r="O154" s="3444"/>
      <c r="P154" s="3444"/>
      <c r="Q154" s="3444"/>
      <c r="R154" s="3444"/>
      <c r="S154" s="3444"/>
      <c r="T154" s="3444"/>
      <c r="U154" s="3444"/>
      <c r="V154" s="3444"/>
      <c r="W154" s="3444"/>
      <c r="X154" s="3444"/>
      <c r="Y154" s="3444"/>
      <c r="Z154" s="3444"/>
      <c r="AA154" s="3444"/>
      <c r="AB154" s="3444"/>
      <c r="AC154" s="3444"/>
      <c r="AD154" s="3444"/>
      <c r="AE154" s="3444"/>
      <c r="AF154" s="3444"/>
      <c r="AG154" s="3444"/>
      <c r="AH154" s="3444"/>
      <c r="AI154" s="3444"/>
      <c r="AJ154" s="3444"/>
      <c r="AK154" s="3445"/>
      <c r="AL154" s="1093"/>
      <c r="AM154" s="1083" t="str">
        <f>'1_入力シート【基本情報】'!FK509</f>
        <v/>
      </c>
      <c r="AN154" s="1083" t="str">
        <f>'1_入力シート【基本情報】'!FL509</f>
        <v/>
      </c>
      <c r="AO154" s="1083" t="str">
        <f>'1_入力シート【基本情報】'!FM509</f>
        <v/>
      </c>
      <c r="AP154" s="1084">
        <f>'1_入力シート【基本情報】'!FN509</f>
        <v>0</v>
      </c>
      <c r="AQ154" s="470"/>
      <c r="AR154" s="1588"/>
    </row>
    <row r="155" spans="1:44" s="1092" customFormat="1" ht="45.75" customHeight="1" x14ac:dyDescent="0.15">
      <c r="A155" s="470"/>
      <c r="B155" s="3440" t="s">
        <v>3045</v>
      </c>
      <c r="C155" s="3441"/>
      <c r="D155" s="3442"/>
      <c r="E155" s="3450" t="str">
        <f>'1_入力シート【基本情報】'!P510</f>
        <v>排煙設備（細則第29条第1項第2号に規定するものを除く。以下同じ。）</v>
      </c>
      <c r="F155" s="3451"/>
      <c r="G155" s="3451"/>
      <c r="H155" s="3451"/>
      <c r="I155" s="3451"/>
      <c r="J155" s="3451"/>
      <c r="K155" s="3451"/>
      <c r="L155" s="3443" t="str">
        <f>'1_入力シート【基本情報】'!$U510</f>
        <v>排煙設備の作動の状況</v>
      </c>
      <c r="M155" s="3444"/>
      <c r="N155" s="3444"/>
      <c r="O155" s="3444"/>
      <c r="P155" s="3444"/>
      <c r="Q155" s="3444"/>
      <c r="R155" s="3444"/>
      <c r="S155" s="3444"/>
      <c r="T155" s="3444"/>
      <c r="U155" s="3444"/>
      <c r="V155" s="3444"/>
      <c r="W155" s="3444"/>
      <c r="X155" s="3444"/>
      <c r="Y155" s="3444"/>
      <c r="Z155" s="3444"/>
      <c r="AA155" s="3444"/>
      <c r="AB155" s="3444"/>
      <c r="AC155" s="3444"/>
      <c r="AD155" s="3444"/>
      <c r="AE155" s="3444"/>
      <c r="AF155" s="3444"/>
      <c r="AG155" s="3444"/>
      <c r="AH155" s="3444"/>
      <c r="AI155" s="3444"/>
      <c r="AJ155" s="3444"/>
      <c r="AK155" s="3445"/>
      <c r="AL155" s="1093"/>
      <c r="AM155" s="1083" t="str">
        <f>'1_入力シート【基本情報】'!FK510</f>
        <v/>
      </c>
      <c r="AN155" s="1083" t="str">
        <f>'1_入力シート【基本情報】'!FL510</f>
        <v/>
      </c>
      <c r="AO155" s="1083" t="str">
        <f>'1_入力シート【基本情報】'!FM510</f>
        <v/>
      </c>
      <c r="AP155" s="1084">
        <f>'1_入力シート【基本情報】'!FN510</f>
        <v>0</v>
      </c>
      <c r="AQ155" s="470"/>
      <c r="AR155" s="1588"/>
    </row>
    <row r="156" spans="1:44" s="1092" customFormat="1" ht="21" customHeight="1" x14ac:dyDescent="0.15">
      <c r="A156" s="470"/>
      <c r="B156" s="3440" t="s">
        <v>3046</v>
      </c>
      <c r="C156" s="3441"/>
      <c r="D156" s="3442"/>
      <c r="E156" s="3450" t="str">
        <f>'1_入力シート【基本情報】'!P511</f>
        <v>特別避難階段</v>
      </c>
      <c r="F156" s="3451"/>
      <c r="G156" s="3451"/>
      <c r="H156" s="3451"/>
      <c r="I156" s="3451"/>
      <c r="J156" s="3451"/>
      <c r="K156" s="3451"/>
      <c r="L156" s="3443" t="str">
        <f>'1_入力シート【基本情報】'!$U511</f>
        <v>階段室又は令123条第3項第1号に規定する付室の排煙設備の作動の状況</v>
      </c>
      <c r="M156" s="3444"/>
      <c r="N156" s="3444"/>
      <c r="O156" s="3444"/>
      <c r="P156" s="3444"/>
      <c r="Q156" s="3444"/>
      <c r="R156" s="3444"/>
      <c r="S156" s="3444"/>
      <c r="T156" s="3444"/>
      <c r="U156" s="3444"/>
      <c r="V156" s="3444"/>
      <c r="W156" s="3444"/>
      <c r="X156" s="3444"/>
      <c r="Y156" s="3444"/>
      <c r="Z156" s="3444"/>
      <c r="AA156" s="3444"/>
      <c r="AB156" s="3444"/>
      <c r="AC156" s="3444"/>
      <c r="AD156" s="3444"/>
      <c r="AE156" s="3444"/>
      <c r="AF156" s="3444"/>
      <c r="AG156" s="3444"/>
      <c r="AH156" s="3444"/>
      <c r="AI156" s="3444"/>
      <c r="AJ156" s="3444"/>
      <c r="AK156" s="3445"/>
      <c r="AL156" s="1093"/>
      <c r="AM156" s="1083" t="str">
        <f>'1_入力シート【基本情報】'!FK511</f>
        <v/>
      </c>
      <c r="AN156" s="1083" t="str">
        <f>'1_入力シート【基本情報】'!FL511</f>
        <v/>
      </c>
      <c r="AO156" s="1083" t="str">
        <f>'1_入力シート【基本情報】'!FM511</f>
        <v/>
      </c>
      <c r="AP156" s="1084">
        <f>'1_入力シート【基本情報】'!FN511</f>
        <v>0</v>
      </c>
      <c r="AQ156" s="470"/>
      <c r="AR156" s="1588"/>
    </row>
    <row r="157" spans="1:44" s="1092" customFormat="1" ht="21" customHeight="1" x14ac:dyDescent="0.15">
      <c r="A157" s="470"/>
      <c r="B157" s="3440" t="s">
        <v>3047</v>
      </c>
      <c r="C157" s="3441"/>
      <c r="D157" s="3442"/>
      <c r="E157" s="3450" t="str">
        <f>'1_入力シート【基本情報】'!P512</f>
        <v>非常用エレベーター</v>
      </c>
      <c r="F157" s="3451"/>
      <c r="G157" s="3451"/>
      <c r="H157" s="3451"/>
      <c r="I157" s="3451"/>
      <c r="J157" s="3451"/>
      <c r="K157" s="3451"/>
      <c r="L157" s="3443" t="str">
        <f>'1_入力シート【基本情報】'!$U512</f>
        <v>昇降路又は令129条の13の3第3項に規定する乗降ロビーの排煙設備の作動の状況</v>
      </c>
      <c r="M157" s="3444"/>
      <c r="N157" s="3444"/>
      <c r="O157" s="3444"/>
      <c r="P157" s="3444"/>
      <c r="Q157" s="3444"/>
      <c r="R157" s="3444"/>
      <c r="S157" s="3444"/>
      <c r="T157" s="3444"/>
      <c r="U157" s="3444"/>
      <c r="V157" s="3444"/>
      <c r="W157" s="3444"/>
      <c r="X157" s="3444"/>
      <c r="Y157" s="3444"/>
      <c r="Z157" s="3444"/>
      <c r="AA157" s="3444"/>
      <c r="AB157" s="3444"/>
      <c r="AC157" s="3444"/>
      <c r="AD157" s="3444"/>
      <c r="AE157" s="3444"/>
      <c r="AF157" s="3444"/>
      <c r="AG157" s="3444"/>
      <c r="AH157" s="3444"/>
      <c r="AI157" s="3444"/>
      <c r="AJ157" s="3444"/>
      <c r="AK157" s="3445"/>
      <c r="AL157" s="1093"/>
      <c r="AM157" s="1083" t="str">
        <f>'1_入力シート【基本情報】'!FK512</f>
        <v/>
      </c>
      <c r="AN157" s="1083" t="str">
        <f>'1_入力シート【基本情報】'!FL512</f>
        <v/>
      </c>
      <c r="AO157" s="1083" t="str">
        <f>'1_入力シート【基本情報】'!FM512</f>
        <v/>
      </c>
      <c r="AP157" s="1084">
        <f>'1_入力シート【基本情報】'!FN512</f>
        <v>0</v>
      </c>
      <c r="AQ157" s="470"/>
      <c r="AR157" s="1588"/>
    </row>
    <row r="158" spans="1:44" s="1092" customFormat="1" ht="21" customHeight="1" x14ac:dyDescent="0.15">
      <c r="A158" s="470"/>
      <c r="B158" s="3440" t="s">
        <v>3048</v>
      </c>
      <c r="C158" s="3441"/>
      <c r="D158" s="3442"/>
      <c r="E158" s="3446" t="str">
        <f>'1_入力シート【基本情報】'!P513</f>
        <v>非常用の照明装置（細則第29条第1項第2号に規定するものを除く。）</v>
      </c>
      <c r="F158" s="3447"/>
      <c r="G158" s="3447"/>
      <c r="H158" s="3447"/>
      <c r="I158" s="3447"/>
      <c r="J158" s="3447"/>
      <c r="K158" s="3447"/>
      <c r="L158" s="3443" t="str">
        <f>'1_入力シート【基本情報】'!$U513</f>
        <v>非常用の照明装置の作動の状況</v>
      </c>
      <c r="M158" s="3444"/>
      <c r="N158" s="3444"/>
      <c r="O158" s="3444"/>
      <c r="P158" s="3444"/>
      <c r="Q158" s="3444"/>
      <c r="R158" s="3444"/>
      <c r="S158" s="3444"/>
      <c r="T158" s="3444"/>
      <c r="U158" s="3444"/>
      <c r="V158" s="3444"/>
      <c r="W158" s="3444"/>
      <c r="X158" s="3444"/>
      <c r="Y158" s="3444"/>
      <c r="Z158" s="3444"/>
      <c r="AA158" s="3444"/>
      <c r="AB158" s="3444"/>
      <c r="AC158" s="3444"/>
      <c r="AD158" s="3444"/>
      <c r="AE158" s="3444"/>
      <c r="AF158" s="3444"/>
      <c r="AG158" s="3444"/>
      <c r="AH158" s="3444"/>
      <c r="AI158" s="3444"/>
      <c r="AJ158" s="3444"/>
      <c r="AK158" s="3445"/>
      <c r="AL158" s="1093"/>
      <c r="AM158" s="1083" t="str">
        <f>'1_入力シート【基本情報】'!FK513</f>
        <v/>
      </c>
      <c r="AN158" s="1083" t="str">
        <f>'1_入力シート【基本情報】'!FL513</f>
        <v/>
      </c>
      <c r="AO158" s="1083" t="str">
        <f>'1_入力シート【基本情報】'!FM513</f>
        <v/>
      </c>
      <c r="AP158" s="1084">
        <f>'1_入力シート【基本情報】'!FN513</f>
        <v>0</v>
      </c>
      <c r="AQ158" s="470"/>
      <c r="AR158" s="1588"/>
    </row>
    <row r="159" spans="1:44" s="1092" customFormat="1" ht="21" customHeight="1" x14ac:dyDescent="0.15">
      <c r="A159" s="470"/>
      <c r="B159" s="3440" t="s">
        <v>3049</v>
      </c>
      <c r="C159" s="3441"/>
      <c r="D159" s="3442"/>
      <c r="E159" s="3448"/>
      <c r="F159" s="3449"/>
      <c r="G159" s="3449"/>
      <c r="H159" s="3449"/>
      <c r="I159" s="3449"/>
      <c r="J159" s="3449"/>
      <c r="K159" s="3449"/>
      <c r="L159" s="3443" t="str">
        <f>'1_入力シート【基本情報】'!$U514</f>
        <v>照明の妨げとなる物品の放置の状況</v>
      </c>
      <c r="M159" s="3444"/>
      <c r="N159" s="3444"/>
      <c r="O159" s="3444"/>
      <c r="P159" s="3444"/>
      <c r="Q159" s="3444"/>
      <c r="R159" s="3444"/>
      <c r="S159" s="3444"/>
      <c r="T159" s="3444"/>
      <c r="U159" s="3444"/>
      <c r="V159" s="3444"/>
      <c r="W159" s="3444"/>
      <c r="X159" s="3444"/>
      <c r="Y159" s="3444"/>
      <c r="Z159" s="3444"/>
      <c r="AA159" s="3444"/>
      <c r="AB159" s="3444"/>
      <c r="AC159" s="3444"/>
      <c r="AD159" s="3444"/>
      <c r="AE159" s="3444"/>
      <c r="AF159" s="3444"/>
      <c r="AG159" s="3444"/>
      <c r="AH159" s="3444"/>
      <c r="AI159" s="3444"/>
      <c r="AJ159" s="3444"/>
      <c r="AK159" s="3445"/>
      <c r="AL159" s="1093"/>
      <c r="AM159" s="1083" t="str">
        <f>'1_入力シート【基本情報】'!FK514</f>
        <v/>
      </c>
      <c r="AN159" s="1083" t="str">
        <f>'1_入力シート【基本情報】'!FL514</f>
        <v/>
      </c>
      <c r="AO159" s="1083" t="str">
        <f>'1_入力シート【基本情報】'!FM514</f>
        <v/>
      </c>
      <c r="AP159" s="1084">
        <f>'1_入力シート【基本情報】'!FN514</f>
        <v>0</v>
      </c>
      <c r="AQ159" s="470"/>
      <c r="AR159" s="1588"/>
    </row>
    <row r="160" spans="1:44" ht="12" customHeight="1" x14ac:dyDescent="0.15">
      <c r="B160" s="1094"/>
      <c r="C160" s="3692" t="s">
        <v>1256</v>
      </c>
      <c r="D160" s="3692"/>
      <c r="E160" s="3692"/>
      <c r="F160" s="3692"/>
      <c r="G160" s="3692"/>
      <c r="H160" s="3692"/>
      <c r="I160" s="3692"/>
      <c r="J160" s="3692"/>
      <c r="K160" s="3692"/>
      <c r="L160" s="3692"/>
      <c r="M160" s="3692"/>
      <c r="N160" s="3692"/>
      <c r="O160" s="3692"/>
      <c r="P160" s="3692"/>
      <c r="Q160" s="3692"/>
      <c r="R160" s="3692"/>
      <c r="S160" s="3692"/>
      <c r="T160" s="3692"/>
      <c r="U160" s="3692"/>
      <c r="V160" s="3692"/>
      <c r="W160" s="3692"/>
      <c r="X160" s="3692"/>
      <c r="Y160" s="3692"/>
      <c r="Z160" s="3692"/>
      <c r="AA160" s="3692"/>
      <c r="AB160" s="3692"/>
      <c r="AC160" s="3692"/>
      <c r="AD160" s="3692"/>
      <c r="AE160" s="3692"/>
      <c r="AF160" s="3692"/>
      <c r="AG160" s="3692"/>
      <c r="AH160" s="3692"/>
      <c r="AI160" s="3692"/>
      <c r="AJ160" s="3692"/>
      <c r="AK160" s="3692"/>
      <c r="AL160" s="3692"/>
      <c r="AM160" s="3692"/>
      <c r="AN160" s="3692"/>
      <c r="AO160" s="3692"/>
      <c r="AP160" s="3693"/>
    </row>
    <row r="161" spans="1:43" ht="12" customHeight="1" x14ac:dyDescent="0.15">
      <c r="B161" s="1095" t="s">
        <v>1770</v>
      </c>
      <c r="C161" s="1096" t="s">
        <v>957</v>
      </c>
      <c r="D161" s="1096"/>
      <c r="E161" s="1096"/>
      <c r="F161" s="1096"/>
      <c r="G161" s="1096"/>
      <c r="H161" s="1096"/>
      <c r="I161" s="1096"/>
      <c r="J161" s="1096"/>
      <c r="K161" s="1096"/>
      <c r="L161" s="1096"/>
      <c r="M161" s="1096"/>
      <c r="N161" s="1096"/>
      <c r="O161" s="1096"/>
      <c r="P161" s="1096"/>
      <c r="Q161" s="1096"/>
      <c r="R161" s="1096"/>
      <c r="S161" s="1096"/>
      <c r="T161" s="1096"/>
      <c r="U161" s="1096"/>
      <c r="V161" s="1096"/>
      <c r="W161" s="1096"/>
      <c r="X161" s="1096"/>
      <c r="Y161" s="1096"/>
      <c r="Z161" s="1096"/>
      <c r="AA161" s="1096"/>
      <c r="AB161" s="1096"/>
      <c r="AC161" s="1096"/>
      <c r="AD161" s="1096"/>
      <c r="AE161" s="1096"/>
      <c r="AF161" s="1096"/>
      <c r="AG161" s="1096"/>
      <c r="AH161" s="1096"/>
      <c r="AI161" s="1096"/>
      <c r="AJ161" s="1096"/>
      <c r="AK161" s="1096"/>
      <c r="AL161" s="1096"/>
      <c r="AM161" s="1096"/>
      <c r="AN161" s="1096"/>
      <c r="AO161" s="1096"/>
      <c r="AP161" s="1097"/>
    </row>
    <row r="162" spans="1:43" ht="12" customHeight="1" x14ac:dyDescent="0.15">
      <c r="B162" s="1098"/>
      <c r="C162" s="1099"/>
      <c r="D162" s="1100" t="str">
        <f>'1_入力シート【基本情報】'!$DO$289</f>
        <v/>
      </c>
      <c r="E162" s="1099" t="s">
        <v>454</v>
      </c>
      <c r="F162" s="1099" t="s">
        <v>25</v>
      </c>
      <c r="G162" s="3452" t="str">
        <f>'1_入力シート【基本情報】'!$DM$289</f>
        <v/>
      </c>
      <c r="H162" s="3453"/>
      <c r="I162" s="3454"/>
      <c r="J162" s="3454"/>
      <c r="K162" s="3454"/>
      <c r="L162" s="3454"/>
      <c r="M162" s="3454"/>
      <c r="N162" s="3454"/>
      <c r="O162" s="3454"/>
      <c r="P162" s="3454"/>
      <c r="Q162" s="3454"/>
      <c r="R162" s="3454"/>
      <c r="S162" s="3454"/>
      <c r="T162" s="1099"/>
      <c r="U162" s="1099" t="s">
        <v>1249</v>
      </c>
      <c r="V162" s="1099"/>
      <c r="W162" s="1101" t="str">
        <f>'1_入力シート【基本情報】'!$DP$289</f>
        <v/>
      </c>
      <c r="X162" s="1099" t="s">
        <v>211</v>
      </c>
      <c r="Y162" s="1099"/>
      <c r="Z162" s="1099"/>
      <c r="AA162" s="1099"/>
      <c r="AB162" s="1099"/>
      <c r="AC162" s="1099"/>
      <c r="AD162" s="1099"/>
      <c r="AE162" s="1099"/>
      <c r="AF162" s="1099"/>
      <c r="AG162" s="1099"/>
      <c r="AH162" s="1099"/>
      <c r="AI162" s="1099"/>
      <c r="AJ162" s="1099"/>
      <c r="AK162" s="1099"/>
      <c r="AL162" s="1099"/>
      <c r="AM162" s="1099"/>
      <c r="AN162" s="1099"/>
      <c r="AO162" s="1099"/>
      <c r="AP162" s="1102"/>
    </row>
    <row r="163" spans="1:43" ht="2.25" customHeight="1" thickBot="1" x14ac:dyDescent="0.2">
      <c r="B163" s="3429"/>
      <c r="C163" s="3430"/>
      <c r="D163" s="3430"/>
      <c r="E163" s="3430"/>
      <c r="F163" s="3430"/>
      <c r="G163" s="3430"/>
      <c r="H163" s="3430"/>
      <c r="I163" s="3430"/>
      <c r="J163" s="3430"/>
      <c r="K163" s="3430"/>
      <c r="L163" s="3430"/>
      <c r="M163" s="3430"/>
      <c r="N163" s="3430"/>
      <c r="O163" s="3430"/>
      <c r="P163" s="3430"/>
      <c r="Q163" s="3430"/>
      <c r="R163" s="3430"/>
      <c r="S163" s="3430"/>
      <c r="T163" s="3430"/>
      <c r="U163" s="3430"/>
      <c r="V163" s="3430"/>
      <c r="W163" s="3430"/>
      <c r="X163" s="3430"/>
      <c r="Y163" s="3430"/>
      <c r="Z163" s="3430"/>
      <c r="AA163" s="3430"/>
      <c r="AB163" s="3430"/>
      <c r="AC163" s="3430"/>
      <c r="AD163" s="3430"/>
      <c r="AE163" s="3430"/>
      <c r="AF163" s="3430"/>
      <c r="AG163" s="3430"/>
      <c r="AH163" s="3430"/>
      <c r="AI163" s="3430"/>
      <c r="AJ163" s="3430"/>
      <c r="AK163" s="3430"/>
      <c r="AL163" s="3430"/>
      <c r="AM163" s="3430"/>
      <c r="AN163" s="3430"/>
      <c r="AO163" s="3430"/>
      <c r="AP163" s="3431"/>
    </row>
    <row r="164" spans="1:43" ht="12" customHeight="1" x14ac:dyDescent="0.15">
      <c r="B164" s="1103"/>
      <c r="C164" s="3455" t="s">
        <v>1257</v>
      </c>
      <c r="D164" s="3455"/>
      <c r="E164" s="3455"/>
      <c r="F164" s="3455"/>
      <c r="G164" s="3455"/>
      <c r="H164" s="3455"/>
      <c r="I164" s="3455"/>
      <c r="J164" s="3455"/>
      <c r="K164" s="3455"/>
      <c r="L164" s="3455"/>
      <c r="M164" s="3455"/>
      <c r="N164" s="3455"/>
      <c r="O164" s="3455"/>
      <c r="P164" s="3455"/>
      <c r="Q164" s="3455"/>
      <c r="R164" s="3455"/>
      <c r="S164" s="3455"/>
      <c r="T164" s="3455"/>
      <c r="U164" s="3455"/>
      <c r="V164" s="3455"/>
      <c r="W164" s="3455"/>
      <c r="X164" s="3455"/>
      <c r="Y164" s="3455"/>
      <c r="Z164" s="3455"/>
      <c r="AA164" s="3455"/>
      <c r="AB164" s="3455"/>
      <c r="AC164" s="3455"/>
      <c r="AD164" s="3455"/>
      <c r="AE164" s="3455"/>
      <c r="AF164" s="3455"/>
      <c r="AG164" s="3455"/>
      <c r="AH164" s="3455"/>
      <c r="AI164" s="3455"/>
      <c r="AJ164" s="3455"/>
      <c r="AK164" s="3455"/>
      <c r="AL164" s="3455"/>
      <c r="AM164" s="3455"/>
      <c r="AN164" s="3455"/>
      <c r="AO164" s="3455"/>
      <c r="AP164" s="3456"/>
    </row>
    <row r="165" spans="1:43" ht="30" customHeight="1" x14ac:dyDescent="0.15">
      <c r="B165" s="3426" t="s">
        <v>31</v>
      </c>
      <c r="C165" s="3427"/>
      <c r="D165" s="3428"/>
      <c r="E165" s="3437" t="s">
        <v>958</v>
      </c>
      <c r="F165" s="3438"/>
      <c r="G165" s="3438"/>
      <c r="H165" s="3438"/>
      <c r="I165" s="3438"/>
      <c r="J165" s="3438"/>
      <c r="K165" s="3438"/>
      <c r="L165" s="3438"/>
      <c r="M165" s="3438"/>
      <c r="N165" s="3439"/>
      <c r="O165" s="3432" t="s">
        <v>149</v>
      </c>
      <c r="P165" s="3433"/>
      <c r="Q165" s="3433"/>
      <c r="R165" s="3433"/>
      <c r="S165" s="3433"/>
      <c r="T165" s="3433"/>
      <c r="U165" s="3433"/>
      <c r="V165" s="3433"/>
      <c r="W165" s="3433"/>
      <c r="X165" s="3433"/>
      <c r="Y165" s="3433"/>
      <c r="Z165" s="3433"/>
      <c r="AA165" s="3433"/>
      <c r="AB165" s="3433"/>
      <c r="AC165" s="3433"/>
      <c r="AD165" s="3434"/>
      <c r="AE165" s="3435" t="s">
        <v>187</v>
      </c>
      <c r="AF165" s="3436"/>
      <c r="AG165" s="3436"/>
      <c r="AH165" s="3436"/>
      <c r="AI165" s="3436"/>
      <c r="AJ165" s="3427"/>
      <c r="AK165" s="3427"/>
      <c r="AL165" s="3427"/>
      <c r="AM165" s="3427"/>
      <c r="AN165" s="3427"/>
      <c r="AO165" s="3428"/>
      <c r="AP165" s="1104" t="s">
        <v>352</v>
      </c>
    </row>
    <row r="166" spans="1:43" ht="65.099999999999994" customHeight="1" x14ac:dyDescent="0.15">
      <c r="A166" s="574"/>
      <c r="B166" s="3416" t="str">
        <f>IFERROR(INDEX('1_入力シート【基本情報】'!$DW$319:$DW$534,MATCH(ROW(A1),'1_入力シート【基本情報】'!$HX$319:$HX$534,0)),"")</f>
        <v/>
      </c>
      <c r="C166" s="3417"/>
      <c r="D166" s="3418"/>
      <c r="E166" s="3419" t="str">
        <f>IFERROR(INDEX('1_入力シート【基本情報】'!$DR$319:$DR$534,MATCH(ROW(A1),'1_入力シート【基本情報】'!$HX$319:$HX$534,0)),"")</f>
        <v/>
      </c>
      <c r="F166" s="3419"/>
      <c r="G166" s="3419"/>
      <c r="H166" s="3419"/>
      <c r="I166" s="3419"/>
      <c r="J166" s="3419"/>
      <c r="K166" s="3419"/>
      <c r="L166" s="3419"/>
      <c r="M166" s="3419"/>
      <c r="N166" s="3420"/>
      <c r="O166" s="3420" t="str">
        <f>IFERROR(INDEX('1_入力シート【基本情報】'!$FW$319:$FW$534,MATCH(ROW(A1),'1_入力シート【基本情報】'!$HX$319:$HX$534,0)),"")</f>
        <v/>
      </c>
      <c r="P166" s="3421"/>
      <c r="Q166" s="3421"/>
      <c r="R166" s="3421"/>
      <c r="S166" s="3421"/>
      <c r="T166" s="3421"/>
      <c r="U166" s="3421"/>
      <c r="V166" s="3421"/>
      <c r="W166" s="3421"/>
      <c r="X166" s="3421"/>
      <c r="Y166" s="3421"/>
      <c r="Z166" s="3421"/>
      <c r="AA166" s="3421"/>
      <c r="AB166" s="3421"/>
      <c r="AC166" s="3421"/>
      <c r="AD166" s="3422"/>
      <c r="AE166" s="3420" t="str">
        <f>IFERROR(INDEX('1_入力シート【基本情報】'!$BD$319:$BD$534,MATCH(ROW(A1),'1_入力シート【基本情報】'!$HX$319:$HX$534,0)),"")</f>
        <v/>
      </c>
      <c r="AF166" s="3421"/>
      <c r="AG166" s="3421"/>
      <c r="AH166" s="3421"/>
      <c r="AI166" s="3421"/>
      <c r="AJ166" s="3421"/>
      <c r="AK166" s="3421"/>
      <c r="AL166" s="3421"/>
      <c r="AM166" s="3421"/>
      <c r="AN166" s="3421"/>
      <c r="AO166" s="3422"/>
      <c r="AP166" s="1105" t="str">
        <f>IFERROR(INDEX('1_入力シート【基本情報】'!$EA$319:$EA$534,MATCH(ROW(A1),'1_入力シート【基本情報】'!$HX$319:$HX$534,0)),"")</f>
        <v/>
      </c>
      <c r="AQ166" s="574"/>
    </row>
    <row r="167" spans="1:43" ht="65.099999999999994" customHeight="1" x14ac:dyDescent="0.15">
      <c r="A167" s="574"/>
      <c r="B167" s="3416" t="str">
        <f>IFERROR(INDEX('1_入力シート【基本情報】'!$DW$319:$DW$534,MATCH(ROW(A2),'1_入力シート【基本情報】'!$HX$319:$HX$534,0)),"")</f>
        <v/>
      </c>
      <c r="C167" s="3417"/>
      <c r="D167" s="3418"/>
      <c r="E167" s="3419" t="str">
        <f>IFERROR(INDEX('1_入力シート【基本情報】'!$DR$319:$DR$534,MATCH(ROW(A2),'1_入力シート【基本情報】'!$HX$319:$HX$534,0)),"")</f>
        <v/>
      </c>
      <c r="F167" s="3419"/>
      <c r="G167" s="3419"/>
      <c r="H167" s="3419"/>
      <c r="I167" s="3419"/>
      <c r="J167" s="3419"/>
      <c r="K167" s="3419"/>
      <c r="L167" s="3419"/>
      <c r="M167" s="3419"/>
      <c r="N167" s="3420"/>
      <c r="O167" s="3420" t="str">
        <f>IFERROR(INDEX('1_入力シート【基本情報】'!$FW$319:$FW$534,MATCH(ROW(A2),'1_入力シート【基本情報】'!$HX$319:$HX$534,0)),"")</f>
        <v/>
      </c>
      <c r="P167" s="3421"/>
      <c r="Q167" s="3421"/>
      <c r="R167" s="3421"/>
      <c r="S167" s="3421"/>
      <c r="T167" s="3421"/>
      <c r="U167" s="3421"/>
      <c r="V167" s="3421"/>
      <c r="W167" s="3421"/>
      <c r="X167" s="3421"/>
      <c r="Y167" s="3421"/>
      <c r="Z167" s="3421"/>
      <c r="AA167" s="3421"/>
      <c r="AB167" s="3421"/>
      <c r="AC167" s="3421"/>
      <c r="AD167" s="3422"/>
      <c r="AE167" s="3420" t="str">
        <f>IFERROR(INDEX('1_入力シート【基本情報】'!$BD$319:$BD$534,MATCH(ROW(A2),'1_入力シート【基本情報】'!$HX$319:$HX$534,0)),"")</f>
        <v/>
      </c>
      <c r="AF167" s="3421"/>
      <c r="AG167" s="3421"/>
      <c r="AH167" s="3421"/>
      <c r="AI167" s="3421"/>
      <c r="AJ167" s="3421"/>
      <c r="AK167" s="3421"/>
      <c r="AL167" s="3421"/>
      <c r="AM167" s="3421"/>
      <c r="AN167" s="3421"/>
      <c r="AO167" s="3422"/>
      <c r="AP167" s="1105" t="str">
        <f>IFERROR(INDEX('1_入力シート【基本情報】'!$EA$319:$EA$534,MATCH(ROW(A2),'1_入力シート【基本情報】'!$HX$319:$HX$534,0)),"")</f>
        <v/>
      </c>
      <c r="AQ167" s="574"/>
    </row>
    <row r="168" spans="1:43" ht="65.099999999999994" customHeight="1" x14ac:dyDescent="0.15">
      <c r="A168" s="574"/>
      <c r="B168" s="3416" t="str">
        <f>IFERROR(INDEX('1_入力シート【基本情報】'!$DW$319:$DW$534,MATCH(ROW(A3),'1_入力シート【基本情報】'!$HX$319:$HX$534,0)),"")</f>
        <v/>
      </c>
      <c r="C168" s="3417"/>
      <c r="D168" s="3418"/>
      <c r="E168" s="3419" t="str">
        <f>IFERROR(INDEX('1_入力シート【基本情報】'!$DR$319:$DR$534,MATCH(ROW(A3),'1_入力シート【基本情報】'!$HX$319:$HX$534,0)),"")</f>
        <v/>
      </c>
      <c r="F168" s="3419"/>
      <c r="G168" s="3419"/>
      <c r="H168" s="3419"/>
      <c r="I168" s="3419"/>
      <c r="J168" s="3419"/>
      <c r="K168" s="3419"/>
      <c r="L168" s="3419"/>
      <c r="M168" s="3419"/>
      <c r="N168" s="3420"/>
      <c r="O168" s="3420" t="str">
        <f>IFERROR(INDEX('1_入力シート【基本情報】'!$FW$319:$FW$534,MATCH(ROW(A3),'1_入力シート【基本情報】'!$HX$319:$HX$534,0)),"")</f>
        <v/>
      </c>
      <c r="P168" s="3421"/>
      <c r="Q168" s="3421"/>
      <c r="R168" s="3421"/>
      <c r="S168" s="3421"/>
      <c r="T168" s="3421"/>
      <c r="U168" s="3421"/>
      <c r="V168" s="3421"/>
      <c r="W168" s="3421"/>
      <c r="X168" s="3421"/>
      <c r="Y168" s="3421"/>
      <c r="Z168" s="3421"/>
      <c r="AA168" s="3421"/>
      <c r="AB168" s="3421"/>
      <c r="AC168" s="3421"/>
      <c r="AD168" s="3422"/>
      <c r="AE168" s="3420" t="str">
        <f>IFERROR(INDEX('1_入力シート【基本情報】'!$BD$319:$BD$534,MATCH(ROW(A3),'1_入力シート【基本情報】'!$HX$319:$HX$534,0)),"")</f>
        <v/>
      </c>
      <c r="AF168" s="3421"/>
      <c r="AG168" s="3421"/>
      <c r="AH168" s="3421"/>
      <c r="AI168" s="3421"/>
      <c r="AJ168" s="3421"/>
      <c r="AK168" s="3421"/>
      <c r="AL168" s="3421"/>
      <c r="AM168" s="3421"/>
      <c r="AN168" s="3421"/>
      <c r="AO168" s="3422"/>
      <c r="AP168" s="1105" t="str">
        <f>IFERROR(INDEX('1_入力シート【基本情報】'!$EA$319:$EA$534,MATCH(ROW(A3),'1_入力シート【基本情報】'!$HX$319:$HX$534,0)),"")</f>
        <v/>
      </c>
      <c r="AQ168" s="574"/>
    </row>
    <row r="169" spans="1:43" ht="65.099999999999994" customHeight="1" x14ac:dyDescent="0.15">
      <c r="A169" s="574"/>
      <c r="B169" s="3416" t="str">
        <f>IFERROR(INDEX('1_入力シート【基本情報】'!$DW$319:$DW$534,MATCH(ROW(A4),'1_入力シート【基本情報】'!$HX$319:$HX$534,0)),"")</f>
        <v/>
      </c>
      <c r="C169" s="3417"/>
      <c r="D169" s="3418"/>
      <c r="E169" s="3419" t="str">
        <f>IFERROR(INDEX('1_入力シート【基本情報】'!$DR$319:$DR$534,MATCH(ROW(A4),'1_入力シート【基本情報】'!$HX$319:$HX$534,0)),"")</f>
        <v/>
      </c>
      <c r="F169" s="3419"/>
      <c r="G169" s="3419"/>
      <c r="H169" s="3419"/>
      <c r="I169" s="3419"/>
      <c r="J169" s="3419"/>
      <c r="K169" s="3419"/>
      <c r="L169" s="3419"/>
      <c r="M169" s="3419"/>
      <c r="N169" s="3420"/>
      <c r="O169" s="3420" t="str">
        <f>IFERROR(INDEX('1_入力シート【基本情報】'!$FW$319:$FW$534,MATCH(ROW(A4),'1_入力シート【基本情報】'!$HX$319:$HX$534,0)),"")</f>
        <v/>
      </c>
      <c r="P169" s="3421"/>
      <c r="Q169" s="3421"/>
      <c r="R169" s="3421"/>
      <c r="S169" s="3421"/>
      <c r="T169" s="3421"/>
      <c r="U169" s="3421"/>
      <c r="V169" s="3421"/>
      <c r="W169" s="3421"/>
      <c r="X169" s="3421"/>
      <c r="Y169" s="3421"/>
      <c r="Z169" s="3421"/>
      <c r="AA169" s="3421"/>
      <c r="AB169" s="3421"/>
      <c r="AC169" s="3421"/>
      <c r="AD169" s="3422"/>
      <c r="AE169" s="3420" t="str">
        <f>IFERROR(INDEX('1_入力シート【基本情報】'!$BD$319:$BD$534,MATCH(ROW(A4),'1_入力シート【基本情報】'!$HX$319:$HX$534,0)),"")</f>
        <v/>
      </c>
      <c r="AF169" s="3421"/>
      <c r="AG169" s="3421"/>
      <c r="AH169" s="3421"/>
      <c r="AI169" s="3421"/>
      <c r="AJ169" s="3421"/>
      <c r="AK169" s="3421"/>
      <c r="AL169" s="3421"/>
      <c r="AM169" s="3421"/>
      <c r="AN169" s="3421"/>
      <c r="AO169" s="3422"/>
      <c r="AP169" s="1105" t="str">
        <f>IFERROR(INDEX('1_入力シート【基本情報】'!$EA$319:$EA$534,MATCH(ROW(A4),'1_入力シート【基本情報】'!$HX$319:$HX$534,0)),"")</f>
        <v/>
      </c>
      <c r="AQ169" s="574"/>
    </row>
    <row r="170" spans="1:43" ht="65.099999999999994" customHeight="1" x14ac:dyDescent="0.15">
      <c r="A170" s="574"/>
      <c r="B170" s="3416" t="str">
        <f>IFERROR(INDEX('1_入力シート【基本情報】'!$DW$319:$DW$534,MATCH(ROW(A5),'1_入力シート【基本情報】'!$HX$319:$HX$534,0)),"")</f>
        <v/>
      </c>
      <c r="C170" s="3417"/>
      <c r="D170" s="3418"/>
      <c r="E170" s="3419" t="str">
        <f>IFERROR(INDEX('1_入力シート【基本情報】'!$DR$319:$DR$534,MATCH(ROW(A5),'1_入力シート【基本情報】'!$HX$319:$HX$534,0)),"")</f>
        <v/>
      </c>
      <c r="F170" s="3419"/>
      <c r="G170" s="3419"/>
      <c r="H170" s="3419"/>
      <c r="I170" s="3419"/>
      <c r="J170" s="3419"/>
      <c r="K170" s="3419"/>
      <c r="L170" s="3419"/>
      <c r="M170" s="3419"/>
      <c r="N170" s="3420"/>
      <c r="O170" s="3420" t="str">
        <f>IFERROR(INDEX('1_入力シート【基本情報】'!$FW$319:$FW$534,MATCH(ROW(A5),'1_入力シート【基本情報】'!$HX$319:$HX$534,0)),"")</f>
        <v/>
      </c>
      <c r="P170" s="3421"/>
      <c r="Q170" s="3421"/>
      <c r="R170" s="3421"/>
      <c r="S170" s="3421"/>
      <c r="T170" s="3421"/>
      <c r="U170" s="3421"/>
      <c r="V170" s="3421"/>
      <c r="W170" s="3421"/>
      <c r="X170" s="3421"/>
      <c r="Y170" s="3421"/>
      <c r="Z170" s="3421"/>
      <c r="AA170" s="3421"/>
      <c r="AB170" s="3421"/>
      <c r="AC170" s="3421"/>
      <c r="AD170" s="3422"/>
      <c r="AE170" s="3420" t="str">
        <f>IFERROR(INDEX('1_入力シート【基本情報】'!$BD$319:$BD$534,MATCH(ROW(A5),'1_入力シート【基本情報】'!$HX$319:$HX$534,0)),"")</f>
        <v/>
      </c>
      <c r="AF170" s="3421"/>
      <c r="AG170" s="3421"/>
      <c r="AH170" s="3421"/>
      <c r="AI170" s="3421"/>
      <c r="AJ170" s="3421"/>
      <c r="AK170" s="3421"/>
      <c r="AL170" s="3421"/>
      <c r="AM170" s="3421"/>
      <c r="AN170" s="3421"/>
      <c r="AO170" s="3422"/>
      <c r="AP170" s="1105" t="str">
        <f>IFERROR(INDEX('1_入力シート【基本情報】'!$EA$319:$EA$534,MATCH(ROW(A5),'1_入力シート【基本情報】'!$HX$319:$HX$534,0)),"")</f>
        <v/>
      </c>
      <c r="AQ170" s="574"/>
    </row>
    <row r="171" spans="1:43" ht="65.099999999999994" customHeight="1" x14ac:dyDescent="0.15">
      <c r="A171" s="574"/>
      <c r="B171" s="3416" t="str">
        <f>IFERROR(INDEX('1_入力シート【基本情報】'!$DW$319:$DW$534,MATCH(ROW(A6),'1_入力シート【基本情報】'!$HX$319:$HX$534,0)),"")</f>
        <v/>
      </c>
      <c r="C171" s="3417"/>
      <c r="D171" s="3418"/>
      <c r="E171" s="3419" t="str">
        <f>IFERROR(INDEX('1_入力シート【基本情報】'!$DR$319:$DR$534,MATCH(ROW(A6),'1_入力シート【基本情報】'!$HX$319:$HX$534,0)),"")</f>
        <v/>
      </c>
      <c r="F171" s="3419"/>
      <c r="G171" s="3419"/>
      <c r="H171" s="3419"/>
      <c r="I171" s="3419"/>
      <c r="J171" s="3419"/>
      <c r="K171" s="3419"/>
      <c r="L171" s="3419"/>
      <c r="M171" s="3419"/>
      <c r="N171" s="3420"/>
      <c r="O171" s="3420" t="str">
        <f>IFERROR(INDEX('1_入力シート【基本情報】'!$FW$319:$FW$534,MATCH(ROW(A6),'1_入力シート【基本情報】'!$HX$319:$HX$534,0)),"")</f>
        <v/>
      </c>
      <c r="P171" s="3421"/>
      <c r="Q171" s="3421"/>
      <c r="R171" s="3421"/>
      <c r="S171" s="3421"/>
      <c r="T171" s="3421"/>
      <c r="U171" s="3421"/>
      <c r="V171" s="3421"/>
      <c r="W171" s="3421"/>
      <c r="X171" s="3421"/>
      <c r="Y171" s="3421"/>
      <c r="Z171" s="3421"/>
      <c r="AA171" s="3421"/>
      <c r="AB171" s="3421"/>
      <c r="AC171" s="3421"/>
      <c r="AD171" s="3422"/>
      <c r="AE171" s="3420" t="str">
        <f>IFERROR(INDEX('1_入力シート【基本情報】'!$BD$319:$BD$534,MATCH(ROW(A6),'1_入力シート【基本情報】'!$HX$319:$HX$534,0)),"")</f>
        <v/>
      </c>
      <c r="AF171" s="3421"/>
      <c r="AG171" s="3421"/>
      <c r="AH171" s="3421"/>
      <c r="AI171" s="3421"/>
      <c r="AJ171" s="3421"/>
      <c r="AK171" s="3421"/>
      <c r="AL171" s="3421"/>
      <c r="AM171" s="3421"/>
      <c r="AN171" s="3421"/>
      <c r="AO171" s="3422"/>
      <c r="AP171" s="1105" t="str">
        <f>IFERROR(INDEX('1_入力シート【基本情報】'!$EA$319:$EA$534,MATCH(ROW(A6),'1_入力シート【基本情報】'!$HX$319:$HX$534,0)),"")</f>
        <v/>
      </c>
      <c r="AQ171" s="574"/>
    </row>
    <row r="172" spans="1:43" ht="65.099999999999994" customHeight="1" x14ac:dyDescent="0.15">
      <c r="A172" s="574"/>
      <c r="B172" s="3416" t="str">
        <f>IFERROR(INDEX('1_入力シート【基本情報】'!$DW$319:$DW$534,MATCH(ROW(A7),'1_入力シート【基本情報】'!$HX$319:$HX$534,0)),"")</f>
        <v/>
      </c>
      <c r="C172" s="3417"/>
      <c r="D172" s="3418"/>
      <c r="E172" s="3419" t="str">
        <f>IFERROR(INDEX('1_入力シート【基本情報】'!$DR$319:$DR$534,MATCH(ROW(A7),'1_入力シート【基本情報】'!$HX$319:$HX$534,0)),"")</f>
        <v/>
      </c>
      <c r="F172" s="3419"/>
      <c r="G172" s="3419"/>
      <c r="H172" s="3419"/>
      <c r="I172" s="3419"/>
      <c r="J172" s="3419"/>
      <c r="K172" s="3419"/>
      <c r="L172" s="3419"/>
      <c r="M172" s="3419"/>
      <c r="N172" s="3420"/>
      <c r="O172" s="3420" t="str">
        <f>IFERROR(INDEX('1_入力シート【基本情報】'!$FW$319:$FW$534,MATCH(ROW(A7),'1_入力シート【基本情報】'!$HX$319:$HX$534,0)),"")</f>
        <v/>
      </c>
      <c r="P172" s="3421"/>
      <c r="Q172" s="3421"/>
      <c r="R172" s="3421"/>
      <c r="S172" s="3421"/>
      <c r="T172" s="3421"/>
      <c r="U172" s="3421"/>
      <c r="V172" s="3421"/>
      <c r="W172" s="3421"/>
      <c r="X172" s="3421"/>
      <c r="Y172" s="3421"/>
      <c r="Z172" s="3421"/>
      <c r="AA172" s="3421"/>
      <c r="AB172" s="3421"/>
      <c r="AC172" s="3421"/>
      <c r="AD172" s="3422"/>
      <c r="AE172" s="3420" t="str">
        <f>IFERROR(INDEX('1_入力シート【基本情報】'!$BD$319:$BD$534,MATCH(ROW(A7),'1_入力シート【基本情報】'!$HX$319:$HX$534,0)),"")</f>
        <v/>
      </c>
      <c r="AF172" s="3421"/>
      <c r="AG172" s="3421"/>
      <c r="AH172" s="3421"/>
      <c r="AI172" s="3421"/>
      <c r="AJ172" s="3421"/>
      <c r="AK172" s="3421"/>
      <c r="AL172" s="3421"/>
      <c r="AM172" s="3421"/>
      <c r="AN172" s="3421"/>
      <c r="AO172" s="3422"/>
      <c r="AP172" s="1105" t="str">
        <f>IFERROR(INDEX('1_入力シート【基本情報】'!$EA$319:$EA$534,MATCH(ROW(A7),'1_入力シート【基本情報】'!$HX$319:$HX$534,0)),"")</f>
        <v/>
      </c>
      <c r="AQ172" s="574"/>
    </row>
    <row r="173" spans="1:43" ht="65.099999999999994" customHeight="1" x14ac:dyDescent="0.15">
      <c r="A173" s="574"/>
      <c r="B173" s="3416" t="str">
        <f>IFERROR(INDEX('1_入力シート【基本情報】'!$DW$319:$DW$534,MATCH(ROW(A8),'1_入力シート【基本情報】'!$HX$319:$HX$534,0)),"")</f>
        <v/>
      </c>
      <c r="C173" s="3417"/>
      <c r="D173" s="3418"/>
      <c r="E173" s="3419" t="str">
        <f>IFERROR(INDEX('1_入力シート【基本情報】'!$DR$319:$DR$534,MATCH(ROW(A8),'1_入力シート【基本情報】'!$HX$319:$HX$534,0)),"")</f>
        <v/>
      </c>
      <c r="F173" s="3419"/>
      <c r="G173" s="3419"/>
      <c r="H173" s="3419"/>
      <c r="I173" s="3419"/>
      <c r="J173" s="3419"/>
      <c r="K173" s="3419"/>
      <c r="L173" s="3419"/>
      <c r="M173" s="3419"/>
      <c r="N173" s="3420"/>
      <c r="O173" s="3420" t="str">
        <f>IFERROR(INDEX('1_入力シート【基本情報】'!$FW$319:$FW$534,MATCH(ROW(A8),'1_入力シート【基本情報】'!$HX$319:$HX$534,0)),"")</f>
        <v/>
      </c>
      <c r="P173" s="3421"/>
      <c r="Q173" s="3421"/>
      <c r="R173" s="3421"/>
      <c r="S173" s="3421"/>
      <c r="T173" s="3421"/>
      <c r="U173" s="3421"/>
      <c r="V173" s="3421"/>
      <c r="W173" s="3421"/>
      <c r="X173" s="3421"/>
      <c r="Y173" s="3421"/>
      <c r="Z173" s="3421"/>
      <c r="AA173" s="3421"/>
      <c r="AB173" s="3421"/>
      <c r="AC173" s="3421"/>
      <c r="AD173" s="3422"/>
      <c r="AE173" s="3420" t="str">
        <f>IFERROR(INDEX('1_入力シート【基本情報】'!$BD$319:$BD$534,MATCH(ROW(A8),'1_入力シート【基本情報】'!$HX$319:$HX$534,0)),"")</f>
        <v/>
      </c>
      <c r="AF173" s="3421"/>
      <c r="AG173" s="3421"/>
      <c r="AH173" s="3421"/>
      <c r="AI173" s="3421"/>
      <c r="AJ173" s="3421"/>
      <c r="AK173" s="3421"/>
      <c r="AL173" s="3421"/>
      <c r="AM173" s="3421"/>
      <c r="AN173" s="3421"/>
      <c r="AO173" s="3422"/>
      <c r="AP173" s="1105" t="str">
        <f>IFERROR(INDEX('1_入力シート【基本情報】'!$EA$319:$EA$534,MATCH(ROW(A8),'1_入力シート【基本情報】'!$HX$319:$HX$534,0)),"")</f>
        <v/>
      </c>
      <c r="AQ173" s="574"/>
    </row>
    <row r="174" spans="1:43" ht="65.099999999999994" customHeight="1" x14ac:dyDescent="0.15">
      <c r="A174" s="574"/>
      <c r="B174" s="3416" t="str">
        <f>IFERROR(INDEX('1_入力シート【基本情報】'!$DW$319:$DW$534,MATCH(ROW(A9),'1_入力シート【基本情報】'!$HX$319:$HX$534,0)),"")</f>
        <v/>
      </c>
      <c r="C174" s="3417"/>
      <c r="D174" s="3418"/>
      <c r="E174" s="3419" t="str">
        <f>IFERROR(INDEX('1_入力シート【基本情報】'!$DR$319:$DR$534,MATCH(ROW(A9),'1_入力シート【基本情報】'!$HX$319:$HX$534,0)),"")</f>
        <v/>
      </c>
      <c r="F174" s="3419"/>
      <c r="G174" s="3419"/>
      <c r="H174" s="3419"/>
      <c r="I174" s="3419"/>
      <c r="J174" s="3419"/>
      <c r="K174" s="3419"/>
      <c r="L174" s="3419"/>
      <c r="M174" s="3419"/>
      <c r="N174" s="3420"/>
      <c r="O174" s="3420" t="str">
        <f>IFERROR(INDEX('1_入力シート【基本情報】'!$FW$319:$FW$534,MATCH(ROW(A9),'1_入力シート【基本情報】'!$HX$319:$HX$534,0)),"")</f>
        <v/>
      </c>
      <c r="P174" s="3421"/>
      <c r="Q174" s="3421"/>
      <c r="R174" s="3421"/>
      <c r="S174" s="3421"/>
      <c r="T174" s="3421"/>
      <c r="U174" s="3421"/>
      <c r="V174" s="3421"/>
      <c r="W174" s="3421"/>
      <c r="X174" s="3421"/>
      <c r="Y174" s="3421"/>
      <c r="Z174" s="3421"/>
      <c r="AA174" s="3421"/>
      <c r="AB174" s="3421"/>
      <c r="AC174" s="3421"/>
      <c r="AD174" s="3422"/>
      <c r="AE174" s="3420" t="str">
        <f>IFERROR(INDEX('1_入力シート【基本情報】'!$BD$319:$BD$534,MATCH(ROW(A9),'1_入力シート【基本情報】'!$HX$319:$HX$534,0)),"")</f>
        <v/>
      </c>
      <c r="AF174" s="3421"/>
      <c r="AG174" s="3421"/>
      <c r="AH174" s="3421"/>
      <c r="AI174" s="3421"/>
      <c r="AJ174" s="3421"/>
      <c r="AK174" s="3421"/>
      <c r="AL174" s="3421"/>
      <c r="AM174" s="3421"/>
      <c r="AN174" s="3421"/>
      <c r="AO174" s="3422"/>
      <c r="AP174" s="1105" t="str">
        <f>IFERROR(INDEX('1_入力シート【基本情報】'!$EA$319:$EA$534,MATCH(ROW(A9),'1_入力シート【基本情報】'!$HX$319:$HX$534,0)),"")</f>
        <v/>
      </c>
      <c r="AQ174" s="574"/>
    </row>
    <row r="175" spans="1:43" ht="65.099999999999994" customHeight="1" x14ac:dyDescent="0.15">
      <c r="A175" s="574"/>
      <c r="B175" s="3416" t="str">
        <f>IFERROR(INDEX('1_入力シート【基本情報】'!$DW$319:$DW$534,MATCH(ROW(A10),'1_入力シート【基本情報】'!$HX$319:$HX$534,0)),"")</f>
        <v/>
      </c>
      <c r="C175" s="3417"/>
      <c r="D175" s="3418"/>
      <c r="E175" s="3419" t="str">
        <f>IFERROR(INDEX('1_入力シート【基本情報】'!$DR$319:$DR$534,MATCH(ROW(A10),'1_入力シート【基本情報】'!$HX$319:$HX$534,0)),"")</f>
        <v/>
      </c>
      <c r="F175" s="3419"/>
      <c r="G175" s="3419"/>
      <c r="H175" s="3419"/>
      <c r="I175" s="3419"/>
      <c r="J175" s="3419"/>
      <c r="K175" s="3419"/>
      <c r="L175" s="3419"/>
      <c r="M175" s="3419"/>
      <c r="N175" s="3420"/>
      <c r="O175" s="3420" t="str">
        <f>IFERROR(INDEX('1_入力シート【基本情報】'!$FW$319:$FW$534,MATCH(ROW(A10),'1_入力シート【基本情報】'!$HX$319:$HX$534,0)),"")</f>
        <v/>
      </c>
      <c r="P175" s="3421"/>
      <c r="Q175" s="3421"/>
      <c r="R175" s="3421"/>
      <c r="S175" s="3421"/>
      <c r="T175" s="3421"/>
      <c r="U175" s="3421"/>
      <c r="V175" s="3421"/>
      <c r="W175" s="3421"/>
      <c r="X175" s="3421"/>
      <c r="Y175" s="3421"/>
      <c r="Z175" s="3421"/>
      <c r="AA175" s="3421"/>
      <c r="AB175" s="3421"/>
      <c r="AC175" s="3421"/>
      <c r="AD175" s="3422"/>
      <c r="AE175" s="3420" t="str">
        <f>IFERROR(INDEX('1_入力シート【基本情報】'!$BD$319:$BD$534,MATCH(ROW(A10),'1_入力シート【基本情報】'!$HX$319:$HX$534,0)),"")</f>
        <v/>
      </c>
      <c r="AF175" s="3421"/>
      <c r="AG175" s="3421"/>
      <c r="AH175" s="3421"/>
      <c r="AI175" s="3421"/>
      <c r="AJ175" s="3421"/>
      <c r="AK175" s="3421"/>
      <c r="AL175" s="3421"/>
      <c r="AM175" s="3421"/>
      <c r="AN175" s="3421"/>
      <c r="AO175" s="3422"/>
      <c r="AP175" s="1105" t="str">
        <f>IFERROR(INDEX('1_入力シート【基本情報】'!$EA$319:$EA$534,MATCH(ROW(A10),'1_入力シート【基本情報】'!$HX$319:$HX$534,0)),"")</f>
        <v/>
      </c>
      <c r="AQ175" s="574"/>
    </row>
    <row r="176" spans="1:43" ht="65.099999999999994" customHeight="1" x14ac:dyDescent="0.15">
      <c r="A176" s="574"/>
      <c r="B176" s="3416" t="str">
        <f>IFERROR(INDEX('1_入力シート【基本情報】'!$DW$319:$DW$534,MATCH(ROW(A11),'1_入力シート【基本情報】'!$HX$319:$HX$534,0)),"")</f>
        <v/>
      </c>
      <c r="C176" s="3417"/>
      <c r="D176" s="3418"/>
      <c r="E176" s="3419" t="str">
        <f>IFERROR(INDEX('1_入力シート【基本情報】'!$DR$319:$DR$534,MATCH(ROW(A11),'1_入力シート【基本情報】'!$HX$319:$HX$534,0)),"")</f>
        <v/>
      </c>
      <c r="F176" s="3419"/>
      <c r="G176" s="3419"/>
      <c r="H176" s="3419"/>
      <c r="I176" s="3419"/>
      <c r="J176" s="3419"/>
      <c r="K176" s="3419"/>
      <c r="L176" s="3419"/>
      <c r="M176" s="3419"/>
      <c r="N176" s="3420"/>
      <c r="O176" s="3420" t="str">
        <f>IFERROR(INDEX('1_入力シート【基本情報】'!$FW$319:$FW$534,MATCH(ROW(A11),'1_入力シート【基本情報】'!$HX$319:$HX$534,0)),"")</f>
        <v/>
      </c>
      <c r="P176" s="3421"/>
      <c r="Q176" s="3421"/>
      <c r="R176" s="3421"/>
      <c r="S176" s="3421"/>
      <c r="T176" s="3421"/>
      <c r="U176" s="3421"/>
      <c r="V176" s="3421"/>
      <c r="W176" s="3421"/>
      <c r="X176" s="3421"/>
      <c r="Y176" s="3421"/>
      <c r="Z176" s="3421"/>
      <c r="AA176" s="3421"/>
      <c r="AB176" s="3421"/>
      <c r="AC176" s="3421"/>
      <c r="AD176" s="3422"/>
      <c r="AE176" s="3420" t="str">
        <f>IFERROR(INDEX('1_入力シート【基本情報】'!$BD$319:$BD$534,MATCH(ROW(A11),'1_入力シート【基本情報】'!$HX$319:$HX$534,0)),"")</f>
        <v/>
      </c>
      <c r="AF176" s="3421"/>
      <c r="AG176" s="3421"/>
      <c r="AH176" s="3421"/>
      <c r="AI176" s="3421"/>
      <c r="AJ176" s="3421"/>
      <c r="AK176" s="3421"/>
      <c r="AL176" s="3421"/>
      <c r="AM176" s="3421"/>
      <c r="AN176" s="3421"/>
      <c r="AO176" s="3422"/>
      <c r="AP176" s="1105" t="str">
        <f>IFERROR(INDEX('1_入力シート【基本情報】'!$EA$319:$EA$534,MATCH(ROW(A11),'1_入力シート【基本情報】'!$HX$319:$HX$534,0)),"")</f>
        <v/>
      </c>
      <c r="AQ176" s="574"/>
    </row>
    <row r="177" spans="1:43" ht="65.099999999999994" customHeight="1" x14ac:dyDescent="0.15">
      <c r="A177" s="574"/>
      <c r="B177" s="3416" t="str">
        <f>IFERROR(INDEX('1_入力シート【基本情報】'!$DW$319:$DW$534,MATCH(ROW(A12),'1_入力シート【基本情報】'!$HX$319:$HX$534,0)),"")</f>
        <v/>
      </c>
      <c r="C177" s="3417"/>
      <c r="D177" s="3418"/>
      <c r="E177" s="3419" t="str">
        <f>IFERROR(INDEX('1_入力シート【基本情報】'!$DR$319:$DR$534,MATCH(ROW(A12),'1_入力シート【基本情報】'!$HX$319:$HX$534,0)),"")</f>
        <v/>
      </c>
      <c r="F177" s="3419"/>
      <c r="G177" s="3419"/>
      <c r="H177" s="3419"/>
      <c r="I177" s="3419"/>
      <c r="J177" s="3419"/>
      <c r="K177" s="3419"/>
      <c r="L177" s="3419"/>
      <c r="M177" s="3419"/>
      <c r="N177" s="3420"/>
      <c r="O177" s="3420" t="str">
        <f>IFERROR(INDEX('1_入力シート【基本情報】'!$FW$319:$FW$534,MATCH(ROW(A12),'1_入力シート【基本情報】'!$HX$319:$HX$534,0)),"")</f>
        <v/>
      </c>
      <c r="P177" s="3421"/>
      <c r="Q177" s="3421"/>
      <c r="R177" s="3421"/>
      <c r="S177" s="3421"/>
      <c r="T177" s="3421"/>
      <c r="U177" s="3421"/>
      <c r="V177" s="3421"/>
      <c r="W177" s="3421"/>
      <c r="X177" s="3421"/>
      <c r="Y177" s="3421"/>
      <c r="Z177" s="3421"/>
      <c r="AA177" s="3421"/>
      <c r="AB177" s="3421"/>
      <c r="AC177" s="3421"/>
      <c r="AD177" s="3422"/>
      <c r="AE177" s="3420" t="str">
        <f>IFERROR(INDEX('1_入力シート【基本情報】'!$BD$319:$BD$534,MATCH(ROW(A12),'1_入力シート【基本情報】'!$HX$319:$HX$534,0)),"")</f>
        <v/>
      </c>
      <c r="AF177" s="3421"/>
      <c r="AG177" s="3421"/>
      <c r="AH177" s="3421"/>
      <c r="AI177" s="3421"/>
      <c r="AJ177" s="3421"/>
      <c r="AK177" s="3421"/>
      <c r="AL177" s="3421"/>
      <c r="AM177" s="3421"/>
      <c r="AN177" s="3421"/>
      <c r="AO177" s="3422"/>
      <c r="AP177" s="1105" t="str">
        <f>IFERROR(INDEX('1_入力シート【基本情報】'!$EA$319:$EA$534,MATCH(ROW(A12),'1_入力シート【基本情報】'!$HX$319:$HX$534,0)),"")</f>
        <v/>
      </c>
      <c r="AQ177" s="574"/>
    </row>
    <row r="178" spans="1:43" ht="65.099999999999994" customHeight="1" x14ac:dyDescent="0.15">
      <c r="A178" s="574"/>
      <c r="B178" s="3416" t="str">
        <f>IFERROR(INDEX('1_入力シート【基本情報】'!$DW$319:$DW$534,MATCH(ROW(A13),'1_入力シート【基本情報】'!$HX$319:$HX$534,0)),"")</f>
        <v/>
      </c>
      <c r="C178" s="3417"/>
      <c r="D178" s="3418"/>
      <c r="E178" s="3419" t="str">
        <f>IFERROR(INDEX('1_入力シート【基本情報】'!$DR$319:$DR$534,MATCH(ROW(A13),'1_入力シート【基本情報】'!$HX$319:$HX$534,0)),"")</f>
        <v/>
      </c>
      <c r="F178" s="3419"/>
      <c r="G178" s="3419"/>
      <c r="H178" s="3419"/>
      <c r="I178" s="3419"/>
      <c r="J178" s="3419"/>
      <c r="K178" s="3419"/>
      <c r="L178" s="3419"/>
      <c r="M178" s="3419"/>
      <c r="N178" s="3420"/>
      <c r="O178" s="3420" t="str">
        <f>IFERROR(INDEX('1_入力シート【基本情報】'!$FW$319:$FW$534,MATCH(ROW(A13),'1_入力シート【基本情報】'!$HX$319:$HX$534,0)),"")</f>
        <v/>
      </c>
      <c r="P178" s="3421"/>
      <c r="Q178" s="3421"/>
      <c r="R178" s="3421"/>
      <c r="S178" s="3421"/>
      <c r="T178" s="3421"/>
      <c r="U178" s="3421"/>
      <c r="V178" s="3421"/>
      <c r="W178" s="3421"/>
      <c r="X178" s="3421"/>
      <c r="Y178" s="3421"/>
      <c r="Z178" s="3421"/>
      <c r="AA178" s="3421"/>
      <c r="AB178" s="3421"/>
      <c r="AC178" s="3421"/>
      <c r="AD178" s="3422"/>
      <c r="AE178" s="3420" t="str">
        <f>IFERROR(INDEX('1_入力シート【基本情報】'!$BD$319:$BD$534,MATCH(ROW(A13),'1_入力シート【基本情報】'!$HX$319:$HX$534,0)),"")</f>
        <v/>
      </c>
      <c r="AF178" s="3421"/>
      <c r="AG178" s="3421"/>
      <c r="AH178" s="3421"/>
      <c r="AI178" s="3421"/>
      <c r="AJ178" s="3421"/>
      <c r="AK178" s="3421"/>
      <c r="AL178" s="3421"/>
      <c r="AM178" s="3421"/>
      <c r="AN178" s="3421"/>
      <c r="AO178" s="3422"/>
      <c r="AP178" s="1105" t="str">
        <f>IFERROR(INDEX('1_入力シート【基本情報】'!$EA$319:$EA$534,MATCH(ROW(A13),'1_入力シート【基本情報】'!$HX$319:$HX$534,0)),"")</f>
        <v/>
      </c>
      <c r="AQ178" s="574"/>
    </row>
    <row r="179" spans="1:43" ht="65.099999999999994" customHeight="1" x14ac:dyDescent="0.15">
      <c r="A179" s="574"/>
      <c r="B179" s="3416" t="str">
        <f>IFERROR(INDEX('1_入力シート【基本情報】'!$DW$319:$DW$534,MATCH(ROW(A14),'1_入力シート【基本情報】'!$HX$319:$HX$534,0)),"")</f>
        <v/>
      </c>
      <c r="C179" s="3417"/>
      <c r="D179" s="3418"/>
      <c r="E179" s="3419" t="str">
        <f>IFERROR(INDEX('1_入力シート【基本情報】'!$DR$319:$DR$534,MATCH(ROW(A14),'1_入力シート【基本情報】'!$HX$319:$HX$534,0)),"")</f>
        <v/>
      </c>
      <c r="F179" s="3419"/>
      <c r="G179" s="3419"/>
      <c r="H179" s="3419"/>
      <c r="I179" s="3419"/>
      <c r="J179" s="3419"/>
      <c r="K179" s="3419"/>
      <c r="L179" s="3419"/>
      <c r="M179" s="3419"/>
      <c r="N179" s="3420"/>
      <c r="O179" s="3420" t="str">
        <f>IFERROR(INDEX('1_入力シート【基本情報】'!$FW$319:$FW$534,MATCH(ROW(A14),'1_入力シート【基本情報】'!$HX$319:$HX$534,0)),"")</f>
        <v/>
      </c>
      <c r="P179" s="3421"/>
      <c r="Q179" s="3421"/>
      <c r="R179" s="3421"/>
      <c r="S179" s="3421"/>
      <c r="T179" s="3421"/>
      <c r="U179" s="3421"/>
      <c r="V179" s="3421"/>
      <c r="W179" s="3421"/>
      <c r="X179" s="3421"/>
      <c r="Y179" s="3421"/>
      <c r="Z179" s="3421"/>
      <c r="AA179" s="3421"/>
      <c r="AB179" s="3421"/>
      <c r="AC179" s="3421"/>
      <c r="AD179" s="3422"/>
      <c r="AE179" s="3420" t="str">
        <f>IFERROR(INDEX('1_入力シート【基本情報】'!$BD$319:$BD$534,MATCH(ROW(A14),'1_入力シート【基本情報】'!$HX$319:$HX$534,0)),"")</f>
        <v/>
      </c>
      <c r="AF179" s="3421"/>
      <c r="AG179" s="3421"/>
      <c r="AH179" s="3421"/>
      <c r="AI179" s="3421"/>
      <c r="AJ179" s="3421"/>
      <c r="AK179" s="3421"/>
      <c r="AL179" s="3421"/>
      <c r="AM179" s="3421"/>
      <c r="AN179" s="3421"/>
      <c r="AO179" s="3422"/>
      <c r="AP179" s="1105" t="str">
        <f>IFERROR(INDEX('1_入力シート【基本情報】'!$EA$319:$EA$534,MATCH(ROW(A14),'1_入力シート【基本情報】'!$HX$319:$HX$534,0)),"")</f>
        <v/>
      </c>
      <c r="AQ179" s="574"/>
    </row>
    <row r="180" spans="1:43" ht="65.099999999999994" customHeight="1" x14ac:dyDescent="0.15">
      <c r="A180" s="574"/>
      <c r="B180" s="3416" t="str">
        <f>IFERROR(INDEX('1_入力シート【基本情報】'!$DW$319:$DW$534,MATCH(ROW(A15),'1_入力シート【基本情報】'!$HX$319:$HX$534,0)),"")</f>
        <v/>
      </c>
      <c r="C180" s="3417"/>
      <c r="D180" s="3418"/>
      <c r="E180" s="3419" t="str">
        <f>IFERROR(INDEX('1_入力シート【基本情報】'!$DR$319:$DR$534,MATCH(ROW(A15),'1_入力シート【基本情報】'!$HX$319:$HX$534,0)),"")</f>
        <v/>
      </c>
      <c r="F180" s="3419"/>
      <c r="G180" s="3419"/>
      <c r="H180" s="3419"/>
      <c r="I180" s="3419"/>
      <c r="J180" s="3419"/>
      <c r="K180" s="3419"/>
      <c r="L180" s="3419"/>
      <c r="M180" s="3419"/>
      <c r="N180" s="3420"/>
      <c r="O180" s="3420" t="str">
        <f>IFERROR(INDEX('1_入力シート【基本情報】'!$FW$319:$FW$534,MATCH(ROW(A15),'1_入力シート【基本情報】'!$HX$319:$HX$534,0)),"")</f>
        <v/>
      </c>
      <c r="P180" s="3421"/>
      <c r="Q180" s="3421"/>
      <c r="R180" s="3421"/>
      <c r="S180" s="3421"/>
      <c r="T180" s="3421"/>
      <c r="U180" s="3421"/>
      <c r="V180" s="3421"/>
      <c r="W180" s="3421"/>
      <c r="X180" s="3421"/>
      <c r="Y180" s="3421"/>
      <c r="Z180" s="3421"/>
      <c r="AA180" s="3421"/>
      <c r="AB180" s="3421"/>
      <c r="AC180" s="3421"/>
      <c r="AD180" s="3422"/>
      <c r="AE180" s="3420" t="str">
        <f>IFERROR(INDEX('1_入力シート【基本情報】'!$BD$319:$BD$534,MATCH(ROW(A15),'1_入力シート【基本情報】'!$HX$319:$HX$534,0)),"")</f>
        <v/>
      </c>
      <c r="AF180" s="3421"/>
      <c r="AG180" s="3421"/>
      <c r="AH180" s="3421"/>
      <c r="AI180" s="3421"/>
      <c r="AJ180" s="3421"/>
      <c r="AK180" s="3421"/>
      <c r="AL180" s="3421"/>
      <c r="AM180" s="3421"/>
      <c r="AN180" s="3421"/>
      <c r="AO180" s="3422"/>
      <c r="AP180" s="1105" t="str">
        <f>IFERROR(INDEX('1_入力シート【基本情報】'!$EA$319:$EA$534,MATCH(ROW(A15),'1_入力シート【基本情報】'!$HX$319:$HX$534,0)),"")</f>
        <v/>
      </c>
      <c r="AQ180" s="574"/>
    </row>
    <row r="181" spans="1:43" ht="65.099999999999994" customHeight="1" x14ac:dyDescent="0.15">
      <c r="A181" s="574"/>
      <c r="B181" s="3416" t="str">
        <f>IFERROR(INDEX('1_入力シート【基本情報】'!$DW$319:$DW$534,MATCH(ROW(A16),'1_入力シート【基本情報】'!$HX$319:$HX$534,0)),"")</f>
        <v/>
      </c>
      <c r="C181" s="3417"/>
      <c r="D181" s="3418"/>
      <c r="E181" s="3419" t="str">
        <f>IFERROR(INDEX('1_入力シート【基本情報】'!$DR$319:$DR$534,MATCH(ROW(A16),'1_入力シート【基本情報】'!$HX$319:$HX$534,0)),"")</f>
        <v/>
      </c>
      <c r="F181" s="3419"/>
      <c r="G181" s="3419"/>
      <c r="H181" s="3419"/>
      <c r="I181" s="3419"/>
      <c r="J181" s="3419"/>
      <c r="K181" s="3419"/>
      <c r="L181" s="3419"/>
      <c r="M181" s="3419"/>
      <c r="N181" s="3420"/>
      <c r="O181" s="3420" t="str">
        <f>IFERROR(INDEX('1_入力シート【基本情報】'!$FW$319:$FW$534,MATCH(ROW(A16),'1_入力シート【基本情報】'!$HX$319:$HX$534,0)),"")</f>
        <v/>
      </c>
      <c r="P181" s="3421"/>
      <c r="Q181" s="3421"/>
      <c r="R181" s="3421"/>
      <c r="S181" s="3421"/>
      <c r="T181" s="3421"/>
      <c r="U181" s="3421"/>
      <c r="V181" s="3421"/>
      <c r="W181" s="3421"/>
      <c r="X181" s="3421"/>
      <c r="Y181" s="3421"/>
      <c r="Z181" s="3421"/>
      <c r="AA181" s="3421"/>
      <c r="AB181" s="3421"/>
      <c r="AC181" s="3421"/>
      <c r="AD181" s="3422"/>
      <c r="AE181" s="3420" t="str">
        <f>IFERROR(INDEX('1_入力シート【基本情報】'!$BD$319:$BD$534,MATCH(ROW(A16),'1_入力シート【基本情報】'!$HX$319:$HX$534,0)),"")</f>
        <v/>
      </c>
      <c r="AF181" s="3421"/>
      <c r="AG181" s="3421"/>
      <c r="AH181" s="3421"/>
      <c r="AI181" s="3421"/>
      <c r="AJ181" s="3421"/>
      <c r="AK181" s="3421"/>
      <c r="AL181" s="3421"/>
      <c r="AM181" s="3421"/>
      <c r="AN181" s="3421"/>
      <c r="AO181" s="3422"/>
      <c r="AP181" s="1105" t="str">
        <f>IFERROR(INDEX('1_入力シート【基本情報】'!$EA$319:$EA$534,MATCH(ROW(A16),'1_入力シート【基本情報】'!$HX$319:$HX$534,0)),"")</f>
        <v/>
      </c>
      <c r="AQ181" s="574"/>
    </row>
    <row r="182" spans="1:43" ht="65.099999999999994" customHeight="1" x14ac:dyDescent="0.15">
      <c r="A182" s="574"/>
      <c r="B182" s="3416" t="str">
        <f>IFERROR(INDEX('1_入力シート【基本情報】'!$DW$319:$DW$534,MATCH(ROW(A17),'1_入力シート【基本情報】'!$HX$319:$HX$534,0)),"")</f>
        <v/>
      </c>
      <c r="C182" s="3417"/>
      <c r="D182" s="3418"/>
      <c r="E182" s="3419" t="str">
        <f>IFERROR(INDEX('1_入力シート【基本情報】'!$DR$319:$DR$534,MATCH(ROW(A17),'1_入力シート【基本情報】'!$HX$319:$HX$534,0)),"")</f>
        <v/>
      </c>
      <c r="F182" s="3419"/>
      <c r="G182" s="3419"/>
      <c r="H182" s="3419"/>
      <c r="I182" s="3419"/>
      <c r="J182" s="3419"/>
      <c r="K182" s="3419"/>
      <c r="L182" s="3419"/>
      <c r="M182" s="3419"/>
      <c r="N182" s="3420"/>
      <c r="O182" s="3420" t="str">
        <f>IFERROR(INDEX('1_入力シート【基本情報】'!$FW$319:$FW$534,MATCH(ROW(A17),'1_入力シート【基本情報】'!$HX$319:$HX$534,0)),"")</f>
        <v/>
      </c>
      <c r="P182" s="3421"/>
      <c r="Q182" s="3421"/>
      <c r="R182" s="3421"/>
      <c r="S182" s="3421"/>
      <c r="T182" s="3421"/>
      <c r="U182" s="3421"/>
      <c r="V182" s="3421"/>
      <c r="W182" s="3421"/>
      <c r="X182" s="3421"/>
      <c r="Y182" s="3421"/>
      <c r="Z182" s="3421"/>
      <c r="AA182" s="3421"/>
      <c r="AB182" s="3421"/>
      <c r="AC182" s="3421"/>
      <c r="AD182" s="3422"/>
      <c r="AE182" s="3420" t="str">
        <f>IFERROR(INDEX('1_入力シート【基本情報】'!$BD$319:$BD$534,MATCH(ROW(A17),'1_入力シート【基本情報】'!$HX$319:$HX$534,0)),"")</f>
        <v/>
      </c>
      <c r="AF182" s="3421"/>
      <c r="AG182" s="3421"/>
      <c r="AH182" s="3421"/>
      <c r="AI182" s="3421"/>
      <c r="AJ182" s="3421"/>
      <c r="AK182" s="3421"/>
      <c r="AL182" s="3421"/>
      <c r="AM182" s="3421"/>
      <c r="AN182" s="3421"/>
      <c r="AO182" s="3422"/>
      <c r="AP182" s="1105" t="str">
        <f>IFERROR(INDEX('1_入力シート【基本情報】'!$EA$319:$EA$534,MATCH(ROW(A17),'1_入力シート【基本情報】'!$HX$319:$HX$534,0)),"")</f>
        <v/>
      </c>
      <c r="AQ182" s="574"/>
    </row>
    <row r="183" spans="1:43" ht="65.099999999999994" customHeight="1" x14ac:dyDescent="0.15">
      <c r="A183" s="574"/>
      <c r="B183" s="3416" t="str">
        <f>IFERROR(INDEX('1_入力シート【基本情報】'!$DW$319:$DW$534,MATCH(ROW(A18),'1_入力シート【基本情報】'!$HX$319:$HX$534,0)),"")</f>
        <v/>
      </c>
      <c r="C183" s="3417"/>
      <c r="D183" s="3418"/>
      <c r="E183" s="3419" t="str">
        <f>IFERROR(INDEX('1_入力シート【基本情報】'!$DR$319:$DR$534,MATCH(ROW(A18),'1_入力シート【基本情報】'!$HX$319:$HX$534,0)),"")</f>
        <v/>
      </c>
      <c r="F183" s="3419"/>
      <c r="G183" s="3419"/>
      <c r="H183" s="3419"/>
      <c r="I183" s="3419"/>
      <c r="J183" s="3419"/>
      <c r="K183" s="3419"/>
      <c r="L183" s="3419"/>
      <c r="M183" s="3419"/>
      <c r="N183" s="3420"/>
      <c r="O183" s="3420" t="str">
        <f>IFERROR(INDEX('1_入力シート【基本情報】'!$FW$319:$FW$534,MATCH(ROW(A18),'1_入力シート【基本情報】'!$HX$319:$HX$534,0)),"")</f>
        <v/>
      </c>
      <c r="P183" s="3421"/>
      <c r="Q183" s="3421"/>
      <c r="R183" s="3421"/>
      <c r="S183" s="3421"/>
      <c r="T183" s="3421"/>
      <c r="U183" s="3421"/>
      <c r="V183" s="3421"/>
      <c r="W183" s="3421"/>
      <c r="X183" s="3421"/>
      <c r="Y183" s="3421"/>
      <c r="Z183" s="3421"/>
      <c r="AA183" s="3421"/>
      <c r="AB183" s="3421"/>
      <c r="AC183" s="3421"/>
      <c r="AD183" s="3422"/>
      <c r="AE183" s="3420" t="str">
        <f>IFERROR(INDEX('1_入力シート【基本情報】'!$BD$319:$BD$534,MATCH(ROW(A18),'1_入力シート【基本情報】'!$HX$319:$HX$534,0)),"")</f>
        <v/>
      </c>
      <c r="AF183" s="3421"/>
      <c r="AG183" s="3421"/>
      <c r="AH183" s="3421"/>
      <c r="AI183" s="3421"/>
      <c r="AJ183" s="3421"/>
      <c r="AK183" s="3421"/>
      <c r="AL183" s="3421"/>
      <c r="AM183" s="3421"/>
      <c r="AN183" s="3421"/>
      <c r="AO183" s="3422"/>
      <c r="AP183" s="1105" t="str">
        <f>IFERROR(INDEX('1_入力シート【基本情報】'!$EA$319:$EA$534,MATCH(ROW(A18),'1_入力シート【基本情報】'!$HX$319:$HX$534,0)),"")</f>
        <v/>
      </c>
      <c r="AQ183" s="574"/>
    </row>
    <row r="184" spans="1:43" ht="65.099999999999994" customHeight="1" x14ac:dyDescent="0.15">
      <c r="A184" s="574"/>
      <c r="B184" s="3416" t="str">
        <f>IFERROR(INDEX('1_入力シート【基本情報】'!$DW$319:$DW$534,MATCH(ROW(A19),'1_入力シート【基本情報】'!$HX$319:$HX$534,0)),"")</f>
        <v/>
      </c>
      <c r="C184" s="3417"/>
      <c r="D184" s="3418"/>
      <c r="E184" s="3419" t="str">
        <f>IFERROR(INDEX('1_入力シート【基本情報】'!$DR$319:$DR$534,MATCH(ROW(A19),'1_入力シート【基本情報】'!$HX$319:$HX$534,0)),"")</f>
        <v/>
      </c>
      <c r="F184" s="3419"/>
      <c r="G184" s="3419"/>
      <c r="H184" s="3419"/>
      <c r="I184" s="3419"/>
      <c r="J184" s="3419"/>
      <c r="K184" s="3419"/>
      <c r="L184" s="3419"/>
      <c r="M184" s="3419"/>
      <c r="N184" s="3420"/>
      <c r="O184" s="3420" t="str">
        <f>IFERROR(INDEX('1_入力シート【基本情報】'!$FW$319:$FW$534,MATCH(ROW(A19),'1_入力シート【基本情報】'!$HX$319:$HX$534,0)),"")</f>
        <v/>
      </c>
      <c r="P184" s="3421"/>
      <c r="Q184" s="3421"/>
      <c r="R184" s="3421"/>
      <c r="S184" s="3421"/>
      <c r="T184" s="3421"/>
      <c r="U184" s="3421"/>
      <c r="V184" s="3421"/>
      <c r="W184" s="3421"/>
      <c r="X184" s="3421"/>
      <c r="Y184" s="3421"/>
      <c r="Z184" s="3421"/>
      <c r="AA184" s="3421"/>
      <c r="AB184" s="3421"/>
      <c r="AC184" s="3421"/>
      <c r="AD184" s="3422"/>
      <c r="AE184" s="3420" t="str">
        <f>IFERROR(INDEX('1_入力シート【基本情報】'!$BD$319:$BD$534,MATCH(ROW(A19),'1_入力シート【基本情報】'!$HX$319:$HX$534,0)),"")</f>
        <v/>
      </c>
      <c r="AF184" s="3421"/>
      <c r="AG184" s="3421"/>
      <c r="AH184" s="3421"/>
      <c r="AI184" s="3421"/>
      <c r="AJ184" s="3421"/>
      <c r="AK184" s="3421"/>
      <c r="AL184" s="3421"/>
      <c r="AM184" s="3421"/>
      <c r="AN184" s="3421"/>
      <c r="AO184" s="3422"/>
      <c r="AP184" s="1105" t="str">
        <f>IFERROR(INDEX('1_入力シート【基本情報】'!$EA$319:$EA$534,MATCH(ROW(A19),'1_入力シート【基本情報】'!$HX$319:$HX$534,0)),"")</f>
        <v/>
      </c>
      <c r="AQ184" s="574"/>
    </row>
    <row r="185" spans="1:43" ht="65.099999999999994" customHeight="1" x14ac:dyDescent="0.15">
      <c r="A185" s="574"/>
      <c r="B185" s="3416" t="str">
        <f>IFERROR(INDEX('1_入力シート【基本情報】'!$DW$319:$DW$534,MATCH(ROW(A20),'1_入力シート【基本情報】'!$HX$319:$HX$534,0)),"")</f>
        <v/>
      </c>
      <c r="C185" s="3417"/>
      <c r="D185" s="3418"/>
      <c r="E185" s="3419" t="str">
        <f>IFERROR(INDEX('1_入力シート【基本情報】'!$DR$319:$DR$534,MATCH(ROW(A20),'1_入力シート【基本情報】'!$HX$319:$HX$534,0)),"")</f>
        <v/>
      </c>
      <c r="F185" s="3419"/>
      <c r="G185" s="3419"/>
      <c r="H185" s="3419"/>
      <c r="I185" s="3419"/>
      <c r="J185" s="3419"/>
      <c r="K185" s="3419"/>
      <c r="L185" s="3419"/>
      <c r="M185" s="3419"/>
      <c r="N185" s="3420"/>
      <c r="O185" s="3420" t="str">
        <f>IFERROR(INDEX('1_入力シート【基本情報】'!$FW$319:$FW$534,MATCH(ROW(A20),'1_入力シート【基本情報】'!$HX$319:$HX$534,0)),"")</f>
        <v/>
      </c>
      <c r="P185" s="3421"/>
      <c r="Q185" s="3421"/>
      <c r="R185" s="3421"/>
      <c r="S185" s="3421"/>
      <c r="T185" s="3421"/>
      <c r="U185" s="3421"/>
      <c r="V185" s="3421"/>
      <c r="W185" s="3421"/>
      <c r="X185" s="3421"/>
      <c r="Y185" s="3421"/>
      <c r="Z185" s="3421"/>
      <c r="AA185" s="3421"/>
      <c r="AB185" s="3421"/>
      <c r="AC185" s="3421"/>
      <c r="AD185" s="3422"/>
      <c r="AE185" s="3420" t="str">
        <f>IFERROR(INDEX('1_入力シート【基本情報】'!$BD$319:$BD$534,MATCH(ROW(A20),'1_入力シート【基本情報】'!$HX$319:$HX$534,0)),"")</f>
        <v/>
      </c>
      <c r="AF185" s="3421"/>
      <c r="AG185" s="3421"/>
      <c r="AH185" s="3421"/>
      <c r="AI185" s="3421"/>
      <c r="AJ185" s="3421"/>
      <c r="AK185" s="3421"/>
      <c r="AL185" s="3421"/>
      <c r="AM185" s="3421"/>
      <c r="AN185" s="3421"/>
      <c r="AO185" s="3422"/>
      <c r="AP185" s="1105" t="str">
        <f>IFERROR(INDEX('1_入力シート【基本情報】'!$EA$319:$EA$534,MATCH(ROW(A20),'1_入力シート【基本情報】'!$HX$319:$HX$534,0)),"")</f>
        <v/>
      </c>
      <c r="AQ185" s="574"/>
    </row>
    <row r="186" spans="1:43" ht="65.099999999999994" customHeight="1" x14ac:dyDescent="0.15">
      <c r="A186" s="574"/>
      <c r="B186" s="3416" t="str">
        <f>IFERROR(INDEX('1_入力シート【基本情報】'!$DW$319:$DW$534,MATCH(ROW(A21),'1_入力シート【基本情報】'!$HX$319:$HX$534,0)),"")</f>
        <v/>
      </c>
      <c r="C186" s="3417"/>
      <c r="D186" s="3418"/>
      <c r="E186" s="3419" t="str">
        <f>IFERROR(INDEX('1_入力シート【基本情報】'!$DR$319:$DR$534,MATCH(ROW(A21),'1_入力シート【基本情報】'!$HX$319:$HX$534,0)),"")</f>
        <v/>
      </c>
      <c r="F186" s="3419"/>
      <c r="G186" s="3419"/>
      <c r="H186" s="3419"/>
      <c r="I186" s="3419"/>
      <c r="J186" s="3419"/>
      <c r="K186" s="3419"/>
      <c r="L186" s="3419"/>
      <c r="M186" s="3419"/>
      <c r="N186" s="3420"/>
      <c r="O186" s="3420" t="str">
        <f>IFERROR(INDEX('1_入力シート【基本情報】'!$FW$319:$FW$534,MATCH(ROW(A21),'1_入力シート【基本情報】'!$HX$319:$HX$534,0)),"")</f>
        <v/>
      </c>
      <c r="P186" s="3421"/>
      <c r="Q186" s="3421"/>
      <c r="R186" s="3421"/>
      <c r="S186" s="3421"/>
      <c r="T186" s="3421"/>
      <c r="U186" s="3421"/>
      <c r="V186" s="3421"/>
      <c r="W186" s="3421"/>
      <c r="X186" s="3421"/>
      <c r="Y186" s="3421"/>
      <c r="Z186" s="3421"/>
      <c r="AA186" s="3421"/>
      <c r="AB186" s="3421"/>
      <c r="AC186" s="3421"/>
      <c r="AD186" s="3422"/>
      <c r="AE186" s="3420" t="str">
        <f>IFERROR(INDEX('1_入力シート【基本情報】'!$BD$319:$BD$534,MATCH(ROW(A21),'1_入力シート【基本情報】'!$HX$319:$HX$534,0)),"")</f>
        <v/>
      </c>
      <c r="AF186" s="3421"/>
      <c r="AG186" s="3421"/>
      <c r="AH186" s="3421"/>
      <c r="AI186" s="3421"/>
      <c r="AJ186" s="3421"/>
      <c r="AK186" s="3421"/>
      <c r="AL186" s="3421"/>
      <c r="AM186" s="3421"/>
      <c r="AN186" s="3421"/>
      <c r="AO186" s="3422"/>
      <c r="AP186" s="1105" t="str">
        <f>IFERROR(INDEX('1_入力シート【基本情報】'!$EA$319:$EA$534,MATCH(ROW(A21),'1_入力シート【基本情報】'!$HX$319:$HX$534,0)),"")</f>
        <v/>
      </c>
      <c r="AQ186" s="574"/>
    </row>
    <row r="187" spans="1:43" ht="65.099999999999994" customHeight="1" x14ac:dyDescent="0.15">
      <c r="A187" s="574"/>
      <c r="B187" s="3416" t="str">
        <f>IFERROR(INDEX('1_入力シート【基本情報】'!$DW$319:$DW$534,MATCH(ROW(A22),'1_入力シート【基本情報】'!$HX$319:$HX$534,0)),"")</f>
        <v/>
      </c>
      <c r="C187" s="3417"/>
      <c r="D187" s="3418"/>
      <c r="E187" s="3419" t="str">
        <f>IFERROR(INDEX('1_入力シート【基本情報】'!$DR$319:$DR$534,MATCH(ROW(A22),'1_入力シート【基本情報】'!$HX$319:$HX$534,0)),"")</f>
        <v/>
      </c>
      <c r="F187" s="3419"/>
      <c r="G187" s="3419"/>
      <c r="H187" s="3419"/>
      <c r="I187" s="3419"/>
      <c r="J187" s="3419"/>
      <c r="K187" s="3419"/>
      <c r="L187" s="3419"/>
      <c r="M187" s="3419"/>
      <c r="N187" s="3420"/>
      <c r="O187" s="3420" t="str">
        <f>IFERROR(INDEX('1_入力シート【基本情報】'!$FW$319:$FW$534,MATCH(ROW(A22),'1_入力シート【基本情報】'!$HX$319:$HX$534,0)),"")</f>
        <v/>
      </c>
      <c r="P187" s="3421"/>
      <c r="Q187" s="3421"/>
      <c r="R187" s="3421"/>
      <c r="S187" s="3421"/>
      <c r="T187" s="3421"/>
      <c r="U187" s="3421"/>
      <c r="V187" s="3421"/>
      <c r="W187" s="3421"/>
      <c r="X187" s="3421"/>
      <c r="Y187" s="3421"/>
      <c r="Z187" s="3421"/>
      <c r="AA187" s="3421"/>
      <c r="AB187" s="3421"/>
      <c r="AC187" s="3421"/>
      <c r="AD187" s="3422"/>
      <c r="AE187" s="3420" t="str">
        <f>IFERROR(INDEX('1_入力シート【基本情報】'!$BD$319:$BD$534,MATCH(ROW(A22),'1_入力シート【基本情報】'!$HX$319:$HX$534,0)),"")</f>
        <v/>
      </c>
      <c r="AF187" s="3421"/>
      <c r="AG187" s="3421"/>
      <c r="AH187" s="3421"/>
      <c r="AI187" s="3421"/>
      <c r="AJ187" s="3421"/>
      <c r="AK187" s="3421"/>
      <c r="AL187" s="3421"/>
      <c r="AM187" s="3421"/>
      <c r="AN187" s="3421"/>
      <c r="AO187" s="3422"/>
      <c r="AP187" s="1105" t="str">
        <f>IFERROR(INDEX('1_入力シート【基本情報】'!$EA$319:$EA$534,MATCH(ROW(A22),'1_入力シート【基本情報】'!$HX$319:$HX$534,0)),"")</f>
        <v/>
      </c>
      <c r="AQ187" s="574"/>
    </row>
    <row r="188" spans="1:43" ht="65.099999999999994" customHeight="1" x14ac:dyDescent="0.15">
      <c r="A188" s="574"/>
      <c r="B188" s="3416" t="str">
        <f>IFERROR(INDEX('1_入力シート【基本情報】'!$DW$319:$DW$534,MATCH(ROW(A23),'1_入力シート【基本情報】'!$HX$319:$HX$534,0)),"")</f>
        <v/>
      </c>
      <c r="C188" s="3417"/>
      <c r="D188" s="3418"/>
      <c r="E188" s="3419" t="str">
        <f>IFERROR(INDEX('1_入力シート【基本情報】'!$DR$319:$DR$534,MATCH(ROW(A23),'1_入力シート【基本情報】'!$HX$319:$HX$534,0)),"")</f>
        <v/>
      </c>
      <c r="F188" s="3419"/>
      <c r="G188" s="3419"/>
      <c r="H188" s="3419"/>
      <c r="I188" s="3419"/>
      <c r="J188" s="3419"/>
      <c r="K188" s="3419"/>
      <c r="L188" s="3419"/>
      <c r="M188" s="3419"/>
      <c r="N188" s="3420"/>
      <c r="O188" s="3420" t="str">
        <f>IFERROR(INDEX('1_入力シート【基本情報】'!$FW$319:$FW$534,MATCH(ROW(A23),'1_入力シート【基本情報】'!$HX$319:$HX$534,0)),"")</f>
        <v/>
      </c>
      <c r="P188" s="3421"/>
      <c r="Q188" s="3421"/>
      <c r="R188" s="3421"/>
      <c r="S188" s="3421"/>
      <c r="T188" s="3421"/>
      <c r="U188" s="3421"/>
      <c r="V188" s="3421"/>
      <c r="W188" s="3421"/>
      <c r="X188" s="3421"/>
      <c r="Y188" s="3421"/>
      <c r="Z188" s="3421"/>
      <c r="AA188" s="3421"/>
      <c r="AB188" s="3421"/>
      <c r="AC188" s="3421"/>
      <c r="AD188" s="3422"/>
      <c r="AE188" s="3420" t="str">
        <f>IFERROR(INDEX('1_入力シート【基本情報】'!$BD$319:$BD$534,MATCH(ROW(A23),'1_入力シート【基本情報】'!$HX$319:$HX$534,0)),"")</f>
        <v/>
      </c>
      <c r="AF188" s="3421"/>
      <c r="AG188" s="3421"/>
      <c r="AH188" s="3421"/>
      <c r="AI188" s="3421"/>
      <c r="AJ188" s="3421"/>
      <c r="AK188" s="3421"/>
      <c r="AL188" s="3421"/>
      <c r="AM188" s="3421"/>
      <c r="AN188" s="3421"/>
      <c r="AO188" s="3422"/>
      <c r="AP188" s="1105" t="str">
        <f>IFERROR(INDEX('1_入力シート【基本情報】'!$EA$319:$EA$534,MATCH(ROW(A23),'1_入力シート【基本情報】'!$HX$319:$HX$534,0)),"")</f>
        <v/>
      </c>
      <c r="AQ188" s="574"/>
    </row>
    <row r="189" spans="1:43" ht="65.099999999999994" customHeight="1" x14ac:dyDescent="0.15">
      <c r="A189" s="574"/>
      <c r="B189" s="3416" t="str">
        <f>IFERROR(INDEX('1_入力シート【基本情報】'!$DW$319:$DW$534,MATCH(ROW(A24),'1_入力シート【基本情報】'!$HX$319:$HX$534,0)),"")</f>
        <v/>
      </c>
      <c r="C189" s="3417"/>
      <c r="D189" s="3418"/>
      <c r="E189" s="3419" t="str">
        <f>IFERROR(INDEX('1_入力シート【基本情報】'!$DR$319:$DR$534,MATCH(ROW(A24),'1_入力シート【基本情報】'!$HX$319:$HX$534,0)),"")</f>
        <v/>
      </c>
      <c r="F189" s="3419"/>
      <c r="G189" s="3419"/>
      <c r="H189" s="3419"/>
      <c r="I189" s="3419"/>
      <c r="J189" s="3419"/>
      <c r="K189" s="3419"/>
      <c r="L189" s="3419"/>
      <c r="M189" s="3419"/>
      <c r="N189" s="3420"/>
      <c r="O189" s="3420" t="str">
        <f>IFERROR(INDEX('1_入力シート【基本情報】'!$FW$319:$FW$534,MATCH(ROW(A24),'1_入力シート【基本情報】'!$HX$319:$HX$534,0)),"")</f>
        <v/>
      </c>
      <c r="P189" s="3421"/>
      <c r="Q189" s="3421"/>
      <c r="R189" s="3421"/>
      <c r="S189" s="3421"/>
      <c r="T189" s="3421"/>
      <c r="U189" s="3421"/>
      <c r="V189" s="3421"/>
      <c r="W189" s="3421"/>
      <c r="X189" s="3421"/>
      <c r="Y189" s="3421"/>
      <c r="Z189" s="3421"/>
      <c r="AA189" s="3421"/>
      <c r="AB189" s="3421"/>
      <c r="AC189" s="3421"/>
      <c r="AD189" s="3422"/>
      <c r="AE189" s="3420" t="str">
        <f>IFERROR(INDEX('1_入力シート【基本情報】'!$BD$319:$BD$534,MATCH(ROW(A24),'1_入力シート【基本情報】'!$HX$319:$HX$534,0)),"")</f>
        <v/>
      </c>
      <c r="AF189" s="3421"/>
      <c r="AG189" s="3421"/>
      <c r="AH189" s="3421"/>
      <c r="AI189" s="3421"/>
      <c r="AJ189" s="3421"/>
      <c r="AK189" s="3421"/>
      <c r="AL189" s="3421"/>
      <c r="AM189" s="3421"/>
      <c r="AN189" s="3421"/>
      <c r="AO189" s="3422"/>
      <c r="AP189" s="1105" t="str">
        <f>IFERROR(INDEX('1_入力シート【基本情報】'!$EA$319:$EA$534,MATCH(ROW(A24),'1_入力シート【基本情報】'!$HX$319:$HX$534,0)),"")</f>
        <v/>
      </c>
      <c r="AQ189" s="574"/>
    </row>
    <row r="190" spans="1:43" ht="65.099999999999994" customHeight="1" x14ac:dyDescent="0.15">
      <c r="A190" s="574"/>
      <c r="B190" s="3416" t="str">
        <f>IFERROR(INDEX('1_入力シート【基本情報】'!$DW$319:$DW$534,MATCH(ROW(A25),'1_入力シート【基本情報】'!$HX$319:$HX$534,0)),"")</f>
        <v/>
      </c>
      <c r="C190" s="3417"/>
      <c r="D190" s="3418"/>
      <c r="E190" s="3419" t="str">
        <f>IFERROR(INDEX('1_入力シート【基本情報】'!$DR$319:$DR$534,MATCH(ROW(A25),'1_入力シート【基本情報】'!$HX$319:$HX$534,0)),"")</f>
        <v/>
      </c>
      <c r="F190" s="3419"/>
      <c r="G190" s="3419"/>
      <c r="H190" s="3419"/>
      <c r="I190" s="3419"/>
      <c r="J190" s="3419"/>
      <c r="K190" s="3419"/>
      <c r="L190" s="3419"/>
      <c r="M190" s="3419"/>
      <c r="N190" s="3420"/>
      <c r="O190" s="3420" t="str">
        <f>IFERROR(INDEX('1_入力シート【基本情報】'!$FW$319:$FW$534,MATCH(ROW(A25),'1_入力シート【基本情報】'!$HX$319:$HX$534,0)),"")</f>
        <v/>
      </c>
      <c r="P190" s="3421"/>
      <c r="Q190" s="3421"/>
      <c r="R190" s="3421"/>
      <c r="S190" s="3421"/>
      <c r="T190" s="3421"/>
      <c r="U190" s="3421"/>
      <c r="V190" s="3421"/>
      <c r="W190" s="3421"/>
      <c r="X190" s="3421"/>
      <c r="Y190" s="3421"/>
      <c r="Z190" s="3421"/>
      <c r="AA190" s="3421"/>
      <c r="AB190" s="3421"/>
      <c r="AC190" s="3421"/>
      <c r="AD190" s="3422"/>
      <c r="AE190" s="3420" t="str">
        <f>IFERROR(INDEX('1_入力シート【基本情報】'!$BD$319:$BD$534,MATCH(ROW(A25),'1_入力シート【基本情報】'!$HX$319:$HX$534,0)),"")</f>
        <v/>
      </c>
      <c r="AF190" s="3421"/>
      <c r="AG190" s="3421"/>
      <c r="AH190" s="3421"/>
      <c r="AI190" s="3421"/>
      <c r="AJ190" s="3421"/>
      <c r="AK190" s="3421"/>
      <c r="AL190" s="3421"/>
      <c r="AM190" s="3421"/>
      <c r="AN190" s="3421"/>
      <c r="AO190" s="3422"/>
      <c r="AP190" s="1105" t="str">
        <f>IFERROR(INDEX('1_入力シート【基本情報】'!$EA$319:$EA$534,MATCH(ROW(A25),'1_入力シート【基本情報】'!$HX$319:$HX$534,0)),"")</f>
        <v/>
      </c>
      <c r="AQ190" s="574"/>
    </row>
    <row r="191" spans="1:43" ht="65.099999999999994" customHeight="1" x14ac:dyDescent="0.15">
      <c r="A191" s="574"/>
      <c r="B191" s="3416" t="str">
        <f>IFERROR(INDEX('1_入力シート【基本情報】'!$DW$319:$DW$534,MATCH(ROW(A26),'1_入力シート【基本情報】'!$HX$319:$HX$534,0)),"")</f>
        <v/>
      </c>
      <c r="C191" s="3417"/>
      <c r="D191" s="3418"/>
      <c r="E191" s="3419" t="str">
        <f>IFERROR(INDEX('1_入力シート【基本情報】'!$DR$319:$DR$534,MATCH(ROW(A26),'1_入力シート【基本情報】'!$HX$319:$HX$534,0)),"")</f>
        <v/>
      </c>
      <c r="F191" s="3419"/>
      <c r="G191" s="3419"/>
      <c r="H191" s="3419"/>
      <c r="I191" s="3419"/>
      <c r="J191" s="3419"/>
      <c r="K191" s="3419"/>
      <c r="L191" s="3419"/>
      <c r="M191" s="3419"/>
      <c r="N191" s="3420"/>
      <c r="O191" s="3420" t="str">
        <f>IFERROR(INDEX('1_入力シート【基本情報】'!$FW$319:$FW$534,MATCH(ROW(A26),'1_入力シート【基本情報】'!$HX$319:$HX$534,0)),"")</f>
        <v/>
      </c>
      <c r="P191" s="3421"/>
      <c r="Q191" s="3421"/>
      <c r="R191" s="3421"/>
      <c r="S191" s="3421"/>
      <c r="T191" s="3421"/>
      <c r="U191" s="3421"/>
      <c r="V191" s="3421"/>
      <c r="W191" s="3421"/>
      <c r="X191" s="3421"/>
      <c r="Y191" s="3421"/>
      <c r="Z191" s="3421"/>
      <c r="AA191" s="3421"/>
      <c r="AB191" s="3421"/>
      <c r="AC191" s="3421"/>
      <c r="AD191" s="3422"/>
      <c r="AE191" s="3420" t="str">
        <f>IFERROR(INDEX('1_入力シート【基本情報】'!$BD$319:$BD$534,MATCH(ROW(A26),'1_入力シート【基本情報】'!$HX$319:$HX$534,0)),"")</f>
        <v/>
      </c>
      <c r="AF191" s="3421"/>
      <c r="AG191" s="3421"/>
      <c r="AH191" s="3421"/>
      <c r="AI191" s="3421"/>
      <c r="AJ191" s="3421"/>
      <c r="AK191" s="3421"/>
      <c r="AL191" s="3421"/>
      <c r="AM191" s="3421"/>
      <c r="AN191" s="3421"/>
      <c r="AO191" s="3422"/>
      <c r="AP191" s="1105" t="str">
        <f>IFERROR(INDEX('1_入力シート【基本情報】'!$EA$319:$EA$534,MATCH(ROW(A26),'1_入力シート【基本情報】'!$HX$319:$HX$534,0)),"")</f>
        <v/>
      </c>
      <c r="AQ191" s="574"/>
    </row>
    <row r="192" spans="1:43" ht="65.099999999999994" customHeight="1" x14ac:dyDescent="0.15">
      <c r="A192" s="574"/>
      <c r="B192" s="3416" t="str">
        <f>IFERROR(INDEX('1_入力シート【基本情報】'!$DW$319:$DW$534,MATCH(ROW(A27),'1_入力シート【基本情報】'!$HX$319:$HX$534,0)),"")</f>
        <v/>
      </c>
      <c r="C192" s="3417"/>
      <c r="D192" s="3418"/>
      <c r="E192" s="3419" t="str">
        <f>IFERROR(INDEX('1_入力シート【基本情報】'!$DR$319:$DR$534,MATCH(ROW(A27),'1_入力シート【基本情報】'!$HX$319:$HX$534,0)),"")</f>
        <v/>
      </c>
      <c r="F192" s="3419"/>
      <c r="G192" s="3419"/>
      <c r="H192" s="3419"/>
      <c r="I192" s="3419"/>
      <c r="J192" s="3419"/>
      <c r="K192" s="3419"/>
      <c r="L192" s="3419"/>
      <c r="M192" s="3419"/>
      <c r="N192" s="3420"/>
      <c r="O192" s="3420" t="str">
        <f>IFERROR(INDEX('1_入力シート【基本情報】'!$FW$319:$FW$534,MATCH(ROW(A27),'1_入力シート【基本情報】'!$HX$319:$HX$534,0)),"")</f>
        <v/>
      </c>
      <c r="P192" s="3421"/>
      <c r="Q192" s="3421"/>
      <c r="R192" s="3421"/>
      <c r="S192" s="3421"/>
      <c r="T192" s="3421"/>
      <c r="U192" s="3421"/>
      <c r="V192" s="3421"/>
      <c r="W192" s="3421"/>
      <c r="X192" s="3421"/>
      <c r="Y192" s="3421"/>
      <c r="Z192" s="3421"/>
      <c r="AA192" s="3421"/>
      <c r="AB192" s="3421"/>
      <c r="AC192" s="3421"/>
      <c r="AD192" s="3422"/>
      <c r="AE192" s="3420" t="str">
        <f>IFERROR(INDEX('1_入力シート【基本情報】'!$BD$319:$BD$534,MATCH(ROW(A27),'1_入力シート【基本情報】'!$HX$319:$HX$534,0)),"")</f>
        <v/>
      </c>
      <c r="AF192" s="3421"/>
      <c r="AG192" s="3421"/>
      <c r="AH192" s="3421"/>
      <c r="AI192" s="3421"/>
      <c r="AJ192" s="3421"/>
      <c r="AK192" s="3421"/>
      <c r="AL192" s="3421"/>
      <c r="AM192" s="3421"/>
      <c r="AN192" s="3421"/>
      <c r="AO192" s="3422"/>
      <c r="AP192" s="1105" t="str">
        <f>IFERROR(INDEX('1_入力シート【基本情報】'!$EA$319:$EA$534,MATCH(ROW(A27),'1_入力シート【基本情報】'!$HX$319:$HX$534,0)),"")</f>
        <v/>
      </c>
      <c r="AQ192" s="574"/>
    </row>
    <row r="193" spans="1:43" ht="65.099999999999994" customHeight="1" x14ac:dyDescent="0.15">
      <c r="A193" s="574"/>
      <c r="B193" s="3416" t="str">
        <f>IFERROR(INDEX('1_入力シート【基本情報】'!$DW$319:$DW$534,MATCH(ROW(A28),'1_入力シート【基本情報】'!$HX$319:$HX$534,0)),"")</f>
        <v/>
      </c>
      <c r="C193" s="3417"/>
      <c r="D193" s="3418"/>
      <c r="E193" s="3419" t="str">
        <f>IFERROR(INDEX('1_入力シート【基本情報】'!$DR$319:$DR$534,MATCH(ROW(A28),'1_入力シート【基本情報】'!$HX$319:$HX$534,0)),"")</f>
        <v/>
      </c>
      <c r="F193" s="3419"/>
      <c r="G193" s="3419"/>
      <c r="H193" s="3419"/>
      <c r="I193" s="3419"/>
      <c r="J193" s="3419"/>
      <c r="K193" s="3419"/>
      <c r="L193" s="3419"/>
      <c r="M193" s="3419"/>
      <c r="N193" s="3420"/>
      <c r="O193" s="3420" t="str">
        <f>IFERROR(INDEX('1_入力シート【基本情報】'!$FW$319:$FW$534,MATCH(ROW(A28),'1_入力シート【基本情報】'!$HX$319:$HX$534,0)),"")</f>
        <v/>
      </c>
      <c r="P193" s="3421"/>
      <c r="Q193" s="3421"/>
      <c r="R193" s="3421"/>
      <c r="S193" s="3421"/>
      <c r="T193" s="3421"/>
      <c r="U193" s="3421"/>
      <c r="V193" s="3421"/>
      <c r="W193" s="3421"/>
      <c r="X193" s="3421"/>
      <c r="Y193" s="3421"/>
      <c r="Z193" s="3421"/>
      <c r="AA193" s="3421"/>
      <c r="AB193" s="3421"/>
      <c r="AC193" s="3421"/>
      <c r="AD193" s="3422"/>
      <c r="AE193" s="3420" t="str">
        <f>IFERROR(INDEX('1_入力シート【基本情報】'!$BD$319:$BD$534,MATCH(ROW(A28),'1_入力シート【基本情報】'!$HX$319:$HX$534,0)),"")</f>
        <v/>
      </c>
      <c r="AF193" s="3421"/>
      <c r="AG193" s="3421"/>
      <c r="AH193" s="3421"/>
      <c r="AI193" s="3421"/>
      <c r="AJ193" s="3421"/>
      <c r="AK193" s="3421"/>
      <c r="AL193" s="3421"/>
      <c r="AM193" s="3421"/>
      <c r="AN193" s="3421"/>
      <c r="AO193" s="3422"/>
      <c r="AP193" s="1105" t="str">
        <f>IFERROR(INDEX('1_入力シート【基本情報】'!$EA$319:$EA$534,MATCH(ROW(A28),'1_入力シート【基本情報】'!$HX$319:$HX$534,0)),"")</f>
        <v/>
      </c>
      <c r="AQ193" s="574"/>
    </row>
    <row r="194" spans="1:43" ht="65.099999999999994" customHeight="1" x14ac:dyDescent="0.15">
      <c r="A194" s="574"/>
      <c r="B194" s="3416" t="str">
        <f>IFERROR(INDEX('1_入力シート【基本情報】'!$DW$319:$DW$534,MATCH(ROW(A29),'1_入力シート【基本情報】'!$HX$319:$HX$534,0)),"")</f>
        <v/>
      </c>
      <c r="C194" s="3417"/>
      <c r="D194" s="3418"/>
      <c r="E194" s="3419" t="str">
        <f>IFERROR(INDEX('1_入力シート【基本情報】'!$DR$319:$DR$534,MATCH(ROW(A29),'1_入力シート【基本情報】'!$HX$319:$HX$534,0)),"")</f>
        <v/>
      </c>
      <c r="F194" s="3419"/>
      <c r="G194" s="3419"/>
      <c r="H194" s="3419"/>
      <c r="I194" s="3419"/>
      <c r="J194" s="3419"/>
      <c r="K194" s="3419"/>
      <c r="L194" s="3419"/>
      <c r="M194" s="3419"/>
      <c r="N194" s="3420"/>
      <c r="O194" s="3420" t="str">
        <f>IFERROR(INDEX('1_入力シート【基本情報】'!$FW$319:$FW$534,MATCH(ROW(A29),'1_入力シート【基本情報】'!$HX$319:$HX$534,0)),"")</f>
        <v/>
      </c>
      <c r="P194" s="3421"/>
      <c r="Q194" s="3421"/>
      <c r="R194" s="3421"/>
      <c r="S194" s="3421"/>
      <c r="T194" s="3421"/>
      <c r="U194" s="3421"/>
      <c r="V194" s="3421"/>
      <c r="W194" s="3421"/>
      <c r="X194" s="3421"/>
      <c r="Y194" s="3421"/>
      <c r="Z194" s="3421"/>
      <c r="AA194" s="3421"/>
      <c r="AB194" s="3421"/>
      <c r="AC194" s="3421"/>
      <c r="AD194" s="3422"/>
      <c r="AE194" s="3420" t="str">
        <f>IFERROR(INDEX('1_入力シート【基本情報】'!$BD$319:$BD$534,MATCH(ROW(A29),'1_入力シート【基本情報】'!$HX$319:$HX$534,0)),"")</f>
        <v/>
      </c>
      <c r="AF194" s="3421"/>
      <c r="AG194" s="3421"/>
      <c r="AH194" s="3421"/>
      <c r="AI194" s="3421"/>
      <c r="AJ194" s="3421"/>
      <c r="AK194" s="3421"/>
      <c r="AL194" s="3421"/>
      <c r="AM194" s="3421"/>
      <c r="AN194" s="3421"/>
      <c r="AO194" s="3422"/>
      <c r="AP194" s="1105" t="str">
        <f>IFERROR(INDEX('1_入力シート【基本情報】'!$EA$319:$EA$534,MATCH(ROW(A29),'1_入力シート【基本情報】'!$HX$319:$HX$534,0)),"")</f>
        <v/>
      </c>
      <c r="AQ194" s="574"/>
    </row>
    <row r="195" spans="1:43" ht="65.099999999999994" customHeight="1" x14ac:dyDescent="0.15">
      <c r="A195" s="574"/>
      <c r="B195" s="3416" t="str">
        <f>IFERROR(INDEX('1_入力シート【基本情報】'!$DW$319:$DW$534,MATCH(ROW(A30),'1_入力シート【基本情報】'!$HX$319:$HX$534,0)),"")</f>
        <v/>
      </c>
      <c r="C195" s="3417"/>
      <c r="D195" s="3418"/>
      <c r="E195" s="3419" t="str">
        <f>IFERROR(INDEX('1_入力シート【基本情報】'!$DR$319:$DR$534,MATCH(ROW(A30),'1_入力シート【基本情報】'!$HX$319:$HX$534,0)),"")</f>
        <v/>
      </c>
      <c r="F195" s="3419"/>
      <c r="G195" s="3419"/>
      <c r="H195" s="3419"/>
      <c r="I195" s="3419"/>
      <c r="J195" s="3419"/>
      <c r="K195" s="3419"/>
      <c r="L195" s="3419"/>
      <c r="M195" s="3419"/>
      <c r="N195" s="3420"/>
      <c r="O195" s="3420" t="str">
        <f>IFERROR(INDEX('1_入力シート【基本情報】'!$FW$319:$FW$534,MATCH(ROW(A30),'1_入力シート【基本情報】'!$HX$319:$HX$534,0)),"")</f>
        <v/>
      </c>
      <c r="P195" s="3421"/>
      <c r="Q195" s="3421"/>
      <c r="R195" s="3421"/>
      <c r="S195" s="3421"/>
      <c r="T195" s="3421"/>
      <c r="U195" s="3421"/>
      <c r="V195" s="3421"/>
      <c r="W195" s="3421"/>
      <c r="X195" s="3421"/>
      <c r="Y195" s="3421"/>
      <c r="Z195" s="3421"/>
      <c r="AA195" s="3421"/>
      <c r="AB195" s="3421"/>
      <c r="AC195" s="3421"/>
      <c r="AD195" s="3422"/>
      <c r="AE195" s="3420" t="str">
        <f>IFERROR(INDEX('1_入力シート【基本情報】'!$BD$319:$BD$534,MATCH(ROW(A30),'1_入力シート【基本情報】'!$HX$319:$HX$534,0)),"")</f>
        <v/>
      </c>
      <c r="AF195" s="3421"/>
      <c r="AG195" s="3421"/>
      <c r="AH195" s="3421"/>
      <c r="AI195" s="3421"/>
      <c r="AJ195" s="3421"/>
      <c r="AK195" s="3421"/>
      <c r="AL195" s="3421"/>
      <c r="AM195" s="3421"/>
      <c r="AN195" s="3421"/>
      <c r="AO195" s="3422"/>
      <c r="AP195" s="1105" t="str">
        <f>IFERROR(INDEX('1_入力シート【基本情報】'!$EA$319:$EA$534,MATCH(ROW(A30),'1_入力シート【基本情報】'!$HX$319:$HX$534,0)),"")</f>
        <v/>
      </c>
      <c r="AQ195" s="574"/>
    </row>
    <row r="196" spans="1:43" ht="65.099999999999994" customHeight="1" x14ac:dyDescent="0.15">
      <c r="A196" s="574"/>
      <c r="B196" s="3416" t="str">
        <f>IFERROR(INDEX('1_入力シート【基本情報】'!$DW$319:$DW$534,MATCH(ROW(A31),'1_入力シート【基本情報】'!$HX$319:$HX$534,0)),"")</f>
        <v/>
      </c>
      <c r="C196" s="3417"/>
      <c r="D196" s="3418"/>
      <c r="E196" s="3419" t="str">
        <f>IFERROR(INDEX('1_入力シート【基本情報】'!$DR$319:$DR$534,MATCH(ROW(A31),'1_入力シート【基本情報】'!$HX$319:$HX$534,0)),"")</f>
        <v/>
      </c>
      <c r="F196" s="3419"/>
      <c r="G196" s="3419"/>
      <c r="H196" s="3419"/>
      <c r="I196" s="3419"/>
      <c r="J196" s="3419"/>
      <c r="K196" s="3419"/>
      <c r="L196" s="3419"/>
      <c r="M196" s="3419"/>
      <c r="N196" s="3420"/>
      <c r="O196" s="3420" t="str">
        <f>IFERROR(INDEX('1_入力シート【基本情報】'!$FW$319:$FW$534,MATCH(ROW(A31),'1_入力シート【基本情報】'!$HX$319:$HX$534,0)),"")</f>
        <v/>
      </c>
      <c r="P196" s="3421"/>
      <c r="Q196" s="3421"/>
      <c r="R196" s="3421"/>
      <c r="S196" s="3421"/>
      <c r="T196" s="3421"/>
      <c r="U196" s="3421"/>
      <c r="V196" s="3421"/>
      <c r="W196" s="3421"/>
      <c r="X196" s="3421"/>
      <c r="Y196" s="3421"/>
      <c r="Z196" s="3421"/>
      <c r="AA196" s="3421"/>
      <c r="AB196" s="3421"/>
      <c r="AC196" s="3421"/>
      <c r="AD196" s="3422"/>
      <c r="AE196" s="3420" t="str">
        <f>IFERROR(INDEX('1_入力シート【基本情報】'!$BD$319:$BD$534,MATCH(ROW(A31),'1_入力シート【基本情報】'!$HX$319:$HX$534,0)),"")</f>
        <v/>
      </c>
      <c r="AF196" s="3421"/>
      <c r="AG196" s="3421"/>
      <c r="AH196" s="3421"/>
      <c r="AI196" s="3421"/>
      <c r="AJ196" s="3421"/>
      <c r="AK196" s="3421"/>
      <c r="AL196" s="3421"/>
      <c r="AM196" s="3421"/>
      <c r="AN196" s="3421"/>
      <c r="AO196" s="3422"/>
      <c r="AP196" s="1105" t="str">
        <f>IFERROR(INDEX('1_入力シート【基本情報】'!$EA$319:$EA$534,MATCH(ROW(A31),'1_入力シート【基本情報】'!$HX$319:$HX$534,0)),"")</f>
        <v/>
      </c>
      <c r="AQ196" s="574"/>
    </row>
    <row r="197" spans="1:43" ht="65.099999999999994" customHeight="1" x14ac:dyDescent="0.15">
      <c r="A197" s="574"/>
      <c r="B197" s="3416" t="str">
        <f>IFERROR(INDEX('1_入力シート【基本情報】'!$DW$319:$DW$534,MATCH(ROW(A32),'1_入力シート【基本情報】'!$HX$319:$HX$534,0)),"")</f>
        <v/>
      </c>
      <c r="C197" s="3417"/>
      <c r="D197" s="3418"/>
      <c r="E197" s="3419" t="str">
        <f>IFERROR(INDEX('1_入力シート【基本情報】'!$DR$319:$DR$534,MATCH(ROW(A32),'1_入力シート【基本情報】'!$HX$319:$HX$534,0)),"")</f>
        <v/>
      </c>
      <c r="F197" s="3419"/>
      <c r="G197" s="3419"/>
      <c r="H197" s="3419"/>
      <c r="I197" s="3419"/>
      <c r="J197" s="3419"/>
      <c r="K197" s="3419"/>
      <c r="L197" s="3419"/>
      <c r="M197" s="3419"/>
      <c r="N197" s="3420"/>
      <c r="O197" s="3420" t="str">
        <f>IFERROR(INDEX('1_入力シート【基本情報】'!$FW$319:$FW$534,MATCH(ROW(A32),'1_入力シート【基本情報】'!$HX$319:$HX$534,0)),"")</f>
        <v/>
      </c>
      <c r="P197" s="3421"/>
      <c r="Q197" s="3421"/>
      <c r="R197" s="3421"/>
      <c r="S197" s="3421"/>
      <c r="T197" s="3421"/>
      <c r="U197" s="3421"/>
      <c r="V197" s="3421"/>
      <c r="W197" s="3421"/>
      <c r="X197" s="3421"/>
      <c r="Y197" s="3421"/>
      <c r="Z197" s="3421"/>
      <c r="AA197" s="3421"/>
      <c r="AB197" s="3421"/>
      <c r="AC197" s="3421"/>
      <c r="AD197" s="3422"/>
      <c r="AE197" s="3420" t="str">
        <f>IFERROR(INDEX('1_入力シート【基本情報】'!$BD$319:$BD$534,MATCH(ROW(A32),'1_入力シート【基本情報】'!$HX$319:$HX$534,0)),"")</f>
        <v/>
      </c>
      <c r="AF197" s="3421"/>
      <c r="AG197" s="3421"/>
      <c r="AH197" s="3421"/>
      <c r="AI197" s="3421"/>
      <c r="AJ197" s="3421"/>
      <c r="AK197" s="3421"/>
      <c r="AL197" s="3421"/>
      <c r="AM197" s="3421"/>
      <c r="AN197" s="3421"/>
      <c r="AO197" s="3422"/>
      <c r="AP197" s="1105" t="str">
        <f>IFERROR(INDEX('1_入力シート【基本情報】'!$EA$319:$EA$534,MATCH(ROW(A32),'1_入力シート【基本情報】'!$HX$319:$HX$534,0)),"")</f>
        <v/>
      </c>
      <c r="AQ197" s="574"/>
    </row>
    <row r="198" spans="1:43" ht="65.099999999999994" customHeight="1" x14ac:dyDescent="0.15">
      <c r="A198" s="574"/>
      <c r="B198" s="3416" t="str">
        <f>IFERROR(INDEX('1_入力シート【基本情報】'!$DW$319:$DW$534,MATCH(ROW(A33),'1_入力シート【基本情報】'!$HX$319:$HX$534,0)),"")</f>
        <v/>
      </c>
      <c r="C198" s="3417"/>
      <c r="D198" s="3418"/>
      <c r="E198" s="3419" t="str">
        <f>IFERROR(INDEX('1_入力シート【基本情報】'!$DR$319:$DR$534,MATCH(ROW(A33),'1_入力シート【基本情報】'!$HX$319:$HX$534,0)),"")</f>
        <v/>
      </c>
      <c r="F198" s="3419"/>
      <c r="G198" s="3419"/>
      <c r="H198" s="3419"/>
      <c r="I198" s="3419"/>
      <c r="J198" s="3419"/>
      <c r="K198" s="3419"/>
      <c r="L198" s="3419"/>
      <c r="M198" s="3419"/>
      <c r="N198" s="3420"/>
      <c r="O198" s="3420" t="str">
        <f>IFERROR(INDEX('1_入力シート【基本情報】'!$FW$319:$FW$534,MATCH(ROW(A33),'1_入力シート【基本情報】'!$HX$319:$HX$534,0)),"")</f>
        <v/>
      </c>
      <c r="P198" s="3421"/>
      <c r="Q198" s="3421"/>
      <c r="R198" s="3421"/>
      <c r="S198" s="3421"/>
      <c r="T198" s="3421"/>
      <c r="U198" s="3421"/>
      <c r="V198" s="3421"/>
      <c r="W198" s="3421"/>
      <c r="X198" s="3421"/>
      <c r="Y198" s="3421"/>
      <c r="Z198" s="3421"/>
      <c r="AA198" s="3421"/>
      <c r="AB198" s="3421"/>
      <c r="AC198" s="3421"/>
      <c r="AD198" s="3422"/>
      <c r="AE198" s="3420" t="str">
        <f>IFERROR(INDEX('1_入力シート【基本情報】'!$BD$319:$BD$534,MATCH(ROW(A33),'1_入力シート【基本情報】'!$HX$319:$HX$534,0)),"")</f>
        <v/>
      </c>
      <c r="AF198" s="3421"/>
      <c r="AG198" s="3421"/>
      <c r="AH198" s="3421"/>
      <c r="AI198" s="3421"/>
      <c r="AJ198" s="3421"/>
      <c r="AK198" s="3421"/>
      <c r="AL198" s="3421"/>
      <c r="AM198" s="3421"/>
      <c r="AN198" s="3421"/>
      <c r="AO198" s="3422"/>
      <c r="AP198" s="1105" t="str">
        <f>IFERROR(INDEX('1_入力シート【基本情報】'!$EA$319:$EA$534,MATCH(ROW(A33),'1_入力シート【基本情報】'!$HX$319:$HX$534,0)),"")</f>
        <v/>
      </c>
      <c r="AQ198" s="574"/>
    </row>
    <row r="199" spans="1:43" ht="65.099999999999994" customHeight="1" x14ac:dyDescent="0.15">
      <c r="A199" s="574"/>
      <c r="B199" s="3416" t="str">
        <f>IFERROR(INDEX('1_入力シート【基本情報】'!$DW$319:$DW$534,MATCH(ROW(A34),'1_入力シート【基本情報】'!$HX$319:$HX$534,0)),"")</f>
        <v/>
      </c>
      <c r="C199" s="3417"/>
      <c r="D199" s="3418"/>
      <c r="E199" s="3419" t="str">
        <f>IFERROR(INDEX('1_入力シート【基本情報】'!$DR$319:$DR$534,MATCH(ROW(A34),'1_入力シート【基本情報】'!$HX$319:$HX$534,0)),"")</f>
        <v/>
      </c>
      <c r="F199" s="3419"/>
      <c r="G199" s="3419"/>
      <c r="H199" s="3419"/>
      <c r="I199" s="3419"/>
      <c r="J199" s="3419"/>
      <c r="K199" s="3419"/>
      <c r="L199" s="3419"/>
      <c r="M199" s="3419"/>
      <c r="N199" s="3420"/>
      <c r="O199" s="3420" t="str">
        <f>IFERROR(INDEX('1_入力シート【基本情報】'!$FW$319:$FW$534,MATCH(ROW(A34),'1_入力シート【基本情報】'!$HX$319:$HX$534,0)),"")</f>
        <v/>
      </c>
      <c r="P199" s="3421"/>
      <c r="Q199" s="3421"/>
      <c r="R199" s="3421"/>
      <c r="S199" s="3421"/>
      <c r="T199" s="3421"/>
      <c r="U199" s="3421"/>
      <c r="V199" s="3421"/>
      <c r="W199" s="3421"/>
      <c r="X199" s="3421"/>
      <c r="Y199" s="3421"/>
      <c r="Z199" s="3421"/>
      <c r="AA199" s="3421"/>
      <c r="AB199" s="3421"/>
      <c r="AC199" s="3421"/>
      <c r="AD199" s="3422"/>
      <c r="AE199" s="3420" t="str">
        <f>IFERROR(INDEX('1_入力シート【基本情報】'!$BD$319:$BD$534,MATCH(ROW(A34),'1_入力シート【基本情報】'!$HX$319:$HX$534,0)),"")</f>
        <v/>
      </c>
      <c r="AF199" s="3421"/>
      <c r="AG199" s="3421"/>
      <c r="AH199" s="3421"/>
      <c r="AI199" s="3421"/>
      <c r="AJ199" s="3421"/>
      <c r="AK199" s="3421"/>
      <c r="AL199" s="3421"/>
      <c r="AM199" s="3421"/>
      <c r="AN199" s="3421"/>
      <c r="AO199" s="3422"/>
      <c r="AP199" s="1105" t="str">
        <f>IFERROR(INDEX('1_入力シート【基本情報】'!$EA$319:$EA$534,MATCH(ROW(A34),'1_入力シート【基本情報】'!$HX$319:$HX$534,0)),"")</f>
        <v/>
      </c>
      <c r="AQ199" s="574"/>
    </row>
    <row r="200" spans="1:43" ht="65.099999999999994" customHeight="1" x14ac:dyDescent="0.15">
      <c r="A200" s="574"/>
      <c r="B200" s="3416" t="str">
        <f>IFERROR(INDEX('1_入力シート【基本情報】'!$DW$319:$DW$534,MATCH(ROW(A35),'1_入力シート【基本情報】'!$HX$319:$HX$534,0)),"")</f>
        <v/>
      </c>
      <c r="C200" s="3417"/>
      <c r="D200" s="3418"/>
      <c r="E200" s="3419" t="str">
        <f>IFERROR(INDEX('1_入力シート【基本情報】'!$DR$319:$DR$534,MATCH(ROW(A35),'1_入力シート【基本情報】'!$HX$319:$HX$534,0)),"")</f>
        <v/>
      </c>
      <c r="F200" s="3419"/>
      <c r="G200" s="3419"/>
      <c r="H200" s="3419"/>
      <c r="I200" s="3419"/>
      <c r="J200" s="3419"/>
      <c r="K200" s="3419"/>
      <c r="L200" s="3419"/>
      <c r="M200" s="3419"/>
      <c r="N200" s="3420"/>
      <c r="O200" s="3420" t="str">
        <f>IFERROR(INDEX('1_入力シート【基本情報】'!$FW$319:$FW$534,MATCH(ROW(A35),'1_入力シート【基本情報】'!$HX$319:$HX$534,0)),"")</f>
        <v/>
      </c>
      <c r="P200" s="3421"/>
      <c r="Q200" s="3421"/>
      <c r="R200" s="3421"/>
      <c r="S200" s="3421"/>
      <c r="T200" s="3421"/>
      <c r="U200" s="3421"/>
      <c r="V200" s="3421"/>
      <c r="W200" s="3421"/>
      <c r="X200" s="3421"/>
      <c r="Y200" s="3421"/>
      <c r="Z200" s="3421"/>
      <c r="AA200" s="3421"/>
      <c r="AB200" s="3421"/>
      <c r="AC200" s="3421"/>
      <c r="AD200" s="3422"/>
      <c r="AE200" s="3420" t="str">
        <f>IFERROR(INDEX('1_入力シート【基本情報】'!$BD$319:$BD$534,MATCH(ROW(A35),'1_入力シート【基本情報】'!$HX$319:$HX$534,0)),"")</f>
        <v/>
      </c>
      <c r="AF200" s="3421"/>
      <c r="AG200" s="3421"/>
      <c r="AH200" s="3421"/>
      <c r="AI200" s="3421"/>
      <c r="AJ200" s="3421"/>
      <c r="AK200" s="3421"/>
      <c r="AL200" s="3421"/>
      <c r="AM200" s="3421"/>
      <c r="AN200" s="3421"/>
      <c r="AO200" s="3422"/>
      <c r="AP200" s="1105" t="str">
        <f>IFERROR(INDEX('1_入力シート【基本情報】'!$EA$319:$EA$534,MATCH(ROW(A35),'1_入力シート【基本情報】'!$HX$319:$HX$534,0)),"")</f>
        <v/>
      </c>
      <c r="AQ200" s="574"/>
    </row>
    <row r="201" spans="1:43" ht="65.099999999999994" customHeight="1" x14ac:dyDescent="0.15">
      <c r="A201" s="574"/>
      <c r="B201" s="3416" t="str">
        <f>IFERROR(INDEX('1_入力シート【基本情報】'!$DW$319:$DW$534,MATCH(ROW(A36),'1_入力シート【基本情報】'!$HX$319:$HX$534,0)),"")</f>
        <v/>
      </c>
      <c r="C201" s="3417"/>
      <c r="D201" s="3418"/>
      <c r="E201" s="3419" t="str">
        <f>IFERROR(INDEX('1_入力シート【基本情報】'!$DR$319:$DR$534,MATCH(ROW(A36),'1_入力シート【基本情報】'!$HX$319:$HX$534,0)),"")</f>
        <v/>
      </c>
      <c r="F201" s="3419"/>
      <c r="G201" s="3419"/>
      <c r="H201" s="3419"/>
      <c r="I201" s="3419"/>
      <c r="J201" s="3419"/>
      <c r="K201" s="3419"/>
      <c r="L201" s="3419"/>
      <c r="M201" s="3419"/>
      <c r="N201" s="3420"/>
      <c r="O201" s="3420" t="str">
        <f>IFERROR(INDEX('1_入力シート【基本情報】'!$FW$319:$FW$534,MATCH(ROW(A36),'1_入力シート【基本情報】'!$HX$319:$HX$534,0)),"")</f>
        <v/>
      </c>
      <c r="P201" s="3421"/>
      <c r="Q201" s="3421"/>
      <c r="R201" s="3421"/>
      <c r="S201" s="3421"/>
      <c r="T201" s="3421"/>
      <c r="U201" s="3421"/>
      <c r="V201" s="3421"/>
      <c r="W201" s="3421"/>
      <c r="X201" s="3421"/>
      <c r="Y201" s="3421"/>
      <c r="Z201" s="3421"/>
      <c r="AA201" s="3421"/>
      <c r="AB201" s="3421"/>
      <c r="AC201" s="3421"/>
      <c r="AD201" s="3422"/>
      <c r="AE201" s="3420" t="str">
        <f>IFERROR(INDEX('1_入力シート【基本情報】'!$BD$319:$BD$534,MATCH(ROW(A36),'1_入力シート【基本情報】'!$HX$319:$HX$534,0)),"")</f>
        <v/>
      </c>
      <c r="AF201" s="3421"/>
      <c r="AG201" s="3421"/>
      <c r="AH201" s="3421"/>
      <c r="AI201" s="3421"/>
      <c r="AJ201" s="3421"/>
      <c r="AK201" s="3421"/>
      <c r="AL201" s="3421"/>
      <c r="AM201" s="3421"/>
      <c r="AN201" s="3421"/>
      <c r="AO201" s="3422"/>
      <c r="AP201" s="1105" t="str">
        <f>IFERROR(INDEX('1_入力シート【基本情報】'!$EA$319:$EA$534,MATCH(ROW(A36),'1_入力シート【基本情報】'!$HX$319:$HX$534,0)),"")</f>
        <v/>
      </c>
      <c r="AQ201" s="574"/>
    </row>
    <row r="202" spans="1:43" ht="65.099999999999994" customHeight="1" x14ac:dyDescent="0.15">
      <c r="A202" s="574"/>
      <c r="B202" s="3416" t="str">
        <f>IFERROR(INDEX('1_入力シート【基本情報】'!$DW$319:$DW$534,MATCH(ROW(A37),'1_入力シート【基本情報】'!$HX$319:$HX$534,0)),"")</f>
        <v/>
      </c>
      <c r="C202" s="3417"/>
      <c r="D202" s="3418"/>
      <c r="E202" s="3419" t="str">
        <f>IFERROR(INDEX('1_入力シート【基本情報】'!$DR$319:$DR$534,MATCH(ROW(A37),'1_入力シート【基本情報】'!$HX$319:$HX$534,0)),"")</f>
        <v/>
      </c>
      <c r="F202" s="3419"/>
      <c r="G202" s="3419"/>
      <c r="H202" s="3419"/>
      <c r="I202" s="3419"/>
      <c r="J202" s="3419"/>
      <c r="K202" s="3419"/>
      <c r="L202" s="3419"/>
      <c r="M202" s="3419"/>
      <c r="N202" s="3420"/>
      <c r="O202" s="3420" t="str">
        <f>IFERROR(INDEX('1_入力シート【基本情報】'!$FW$319:$FW$534,MATCH(ROW(A37),'1_入力シート【基本情報】'!$HX$319:$HX$534,0)),"")</f>
        <v/>
      </c>
      <c r="P202" s="3421"/>
      <c r="Q202" s="3421"/>
      <c r="R202" s="3421"/>
      <c r="S202" s="3421"/>
      <c r="T202" s="3421"/>
      <c r="U202" s="3421"/>
      <c r="V202" s="3421"/>
      <c r="W202" s="3421"/>
      <c r="X202" s="3421"/>
      <c r="Y202" s="3421"/>
      <c r="Z202" s="3421"/>
      <c r="AA202" s="3421"/>
      <c r="AB202" s="3421"/>
      <c r="AC202" s="3421"/>
      <c r="AD202" s="3422"/>
      <c r="AE202" s="3420" t="str">
        <f>IFERROR(INDEX('1_入力シート【基本情報】'!$BD$319:$BD$534,MATCH(ROW(A37),'1_入力シート【基本情報】'!$HX$319:$HX$534,0)),"")</f>
        <v/>
      </c>
      <c r="AF202" s="3421"/>
      <c r="AG202" s="3421"/>
      <c r="AH202" s="3421"/>
      <c r="AI202" s="3421"/>
      <c r="AJ202" s="3421"/>
      <c r="AK202" s="3421"/>
      <c r="AL202" s="3421"/>
      <c r="AM202" s="3421"/>
      <c r="AN202" s="3421"/>
      <c r="AO202" s="3422"/>
      <c r="AP202" s="1105" t="str">
        <f>IFERROR(INDEX('1_入力シート【基本情報】'!$EA$319:$EA$534,MATCH(ROW(A37),'1_入力シート【基本情報】'!$HX$319:$HX$534,0)),"")</f>
        <v/>
      </c>
      <c r="AQ202" s="574"/>
    </row>
    <row r="203" spans="1:43" ht="65.099999999999994" customHeight="1" x14ac:dyDescent="0.15">
      <c r="A203" s="574"/>
      <c r="B203" s="3416" t="str">
        <f>IFERROR(INDEX('1_入力シート【基本情報】'!$DW$319:$DW$534,MATCH(ROW(A38),'1_入力シート【基本情報】'!$HX$319:$HX$534,0)),"")</f>
        <v/>
      </c>
      <c r="C203" s="3417"/>
      <c r="D203" s="3418"/>
      <c r="E203" s="3419" t="str">
        <f>IFERROR(INDEX('1_入力シート【基本情報】'!$DR$319:$DR$534,MATCH(ROW(A38),'1_入力シート【基本情報】'!$HX$319:$HX$534,0)),"")</f>
        <v/>
      </c>
      <c r="F203" s="3419"/>
      <c r="G203" s="3419"/>
      <c r="H203" s="3419"/>
      <c r="I203" s="3419"/>
      <c r="J203" s="3419"/>
      <c r="K203" s="3419"/>
      <c r="L203" s="3419"/>
      <c r="M203" s="3419"/>
      <c r="N203" s="3420"/>
      <c r="O203" s="3420" t="str">
        <f>IFERROR(INDEX('1_入力シート【基本情報】'!$FW$319:$FW$534,MATCH(ROW(A38),'1_入力シート【基本情報】'!$HX$319:$HX$534,0)),"")</f>
        <v/>
      </c>
      <c r="P203" s="3421"/>
      <c r="Q203" s="3421"/>
      <c r="R203" s="3421"/>
      <c r="S203" s="3421"/>
      <c r="T203" s="3421"/>
      <c r="U203" s="3421"/>
      <c r="V203" s="3421"/>
      <c r="W203" s="3421"/>
      <c r="X203" s="3421"/>
      <c r="Y203" s="3421"/>
      <c r="Z203" s="3421"/>
      <c r="AA203" s="3421"/>
      <c r="AB203" s="3421"/>
      <c r="AC203" s="3421"/>
      <c r="AD203" s="3422"/>
      <c r="AE203" s="3420" t="str">
        <f>IFERROR(INDEX('1_入力シート【基本情報】'!$BD$319:$BD$534,MATCH(ROW(A38),'1_入力シート【基本情報】'!$HX$319:$HX$534,0)),"")</f>
        <v/>
      </c>
      <c r="AF203" s="3421"/>
      <c r="AG203" s="3421"/>
      <c r="AH203" s="3421"/>
      <c r="AI203" s="3421"/>
      <c r="AJ203" s="3421"/>
      <c r="AK203" s="3421"/>
      <c r="AL203" s="3421"/>
      <c r="AM203" s="3421"/>
      <c r="AN203" s="3421"/>
      <c r="AO203" s="3422"/>
      <c r="AP203" s="1105" t="str">
        <f>IFERROR(INDEX('1_入力シート【基本情報】'!$EA$319:$EA$534,MATCH(ROW(A38),'1_入力シート【基本情報】'!$HX$319:$HX$534,0)),"")</f>
        <v/>
      </c>
      <c r="AQ203" s="574"/>
    </row>
    <row r="204" spans="1:43" ht="65.099999999999994" customHeight="1" x14ac:dyDescent="0.15">
      <c r="A204" s="574"/>
      <c r="B204" s="3416" t="str">
        <f>IFERROR(INDEX('1_入力シート【基本情報】'!$DW$319:$DW$534,MATCH(ROW(A39),'1_入力シート【基本情報】'!$HX$319:$HX$534,0)),"")</f>
        <v/>
      </c>
      <c r="C204" s="3417"/>
      <c r="D204" s="3418"/>
      <c r="E204" s="3419" t="str">
        <f>IFERROR(INDEX('1_入力シート【基本情報】'!$DR$319:$DR$534,MATCH(ROW(A39),'1_入力シート【基本情報】'!$HX$319:$HX$534,0)),"")</f>
        <v/>
      </c>
      <c r="F204" s="3419"/>
      <c r="G204" s="3419"/>
      <c r="H204" s="3419"/>
      <c r="I204" s="3419"/>
      <c r="J204" s="3419"/>
      <c r="K204" s="3419"/>
      <c r="L204" s="3419"/>
      <c r="M204" s="3419"/>
      <c r="N204" s="3420"/>
      <c r="O204" s="3420" t="str">
        <f>IFERROR(INDEX('1_入力シート【基本情報】'!$FW$319:$FW$534,MATCH(ROW(A39),'1_入力シート【基本情報】'!$HX$319:$HX$534,0)),"")</f>
        <v/>
      </c>
      <c r="P204" s="3421"/>
      <c r="Q204" s="3421"/>
      <c r="R204" s="3421"/>
      <c r="S204" s="3421"/>
      <c r="T204" s="3421"/>
      <c r="U204" s="3421"/>
      <c r="V204" s="3421"/>
      <c r="W204" s="3421"/>
      <c r="X204" s="3421"/>
      <c r="Y204" s="3421"/>
      <c r="Z204" s="3421"/>
      <c r="AA204" s="3421"/>
      <c r="AB204" s="3421"/>
      <c r="AC204" s="3421"/>
      <c r="AD204" s="3422"/>
      <c r="AE204" s="3420" t="str">
        <f>IFERROR(INDEX('1_入力シート【基本情報】'!$BD$319:$BD$534,MATCH(ROW(A39),'1_入力シート【基本情報】'!$HX$319:$HX$534,0)),"")</f>
        <v/>
      </c>
      <c r="AF204" s="3421"/>
      <c r="AG204" s="3421"/>
      <c r="AH204" s="3421"/>
      <c r="AI204" s="3421"/>
      <c r="AJ204" s="3421"/>
      <c r="AK204" s="3421"/>
      <c r="AL204" s="3421"/>
      <c r="AM204" s="3421"/>
      <c r="AN204" s="3421"/>
      <c r="AO204" s="3422"/>
      <c r="AP204" s="1105" t="str">
        <f>IFERROR(INDEX('1_入力シート【基本情報】'!$EA$319:$EA$534,MATCH(ROW(A39),'1_入力シート【基本情報】'!$HX$319:$HX$534,0)),"")</f>
        <v/>
      </c>
      <c r="AQ204" s="574"/>
    </row>
    <row r="205" spans="1:43" ht="65.099999999999994" customHeight="1" x14ac:dyDescent="0.15">
      <c r="A205" s="574"/>
      <c r="B205" s="3416" t="str">
        <f>IFERROR(INDEX('1_入力シート【基本情報】'!$DW$319:$DW$534,MATCH(ROW(A40),'1_入力シート【基本情報】'!$HX$319:$HX$534,0)),"")</f>
        <v/>
      </c>
      <c r="C205" s="3417"/>
      <c r="D205" s="3418"/>
      <c r="E205" s="3419" t="str">
        <f>IFERROR(INDEX('1_入力シート【基本情報】'!$DR$319:$DR$534,MATCH(ROW(A40),'1_入力シート【基本情報】'!$HX$319:$HX$534,0)),"")</f>
        <v/>
      </c>
      <c r="F205" s="3419"/>
      <c r="G205" s="3419"/>
      <c r="H205" s="3419"/>
      <c r="I205" s="3419"/>
      <c r="J205" s="3419"/>
      <c r="K205" s="3419"/>
      <c r="L205" s="3419"/>
      <c r="M205" s="3419"/>
      <c r="N205" s="3420"/>
      <c r="O205" s="3420" t="str">
        <f>IFERROR(INDEX('1_入力シート【基本情報】'!$FW$319:$FW$534,MATCH(ROW(A40),'1_入力シート【基本情報】'!$HX$319:$HX$534,0)),"")</f>
        <v/>
      </c>
      <c r="P205" s="3421"/>
      <c r="Q205" s="3421"/>
      <c r="R205" s="3421"/>
      <c r="S205" s="3421"/>
      <c r="T205" s="3421"/>
      <c r="U205" s="3421"/>
      <c r="V205" s="3421"/>
      <c r="W205" s="3421"/>
      <c r="X205" s="3421"/>
      <c r="Y205" s="3421"/>
      <c r="Z205" s="3421"/>
      <c r="AA205" s="3421"/>
      <c r="AB205" s="3421"/>
      <c r="AC205" s="3421"/>
      <c r="AD205" s="3422"/>
      <c r="AE205" s="3420" t="str">
        <f>IFERROR(INDEX('1_入力シート【基本情報】'!$BD$319:$BD$534,MATCH(ROW(A40),'1_入力シート【基本情報】'!$HX$319:$HX$534,0)),"")</f>
        <v/>
      </c>
      <c r="AF205" s="3421"/>
      <c r="AG205" s="3421"/>
      <c r="AH205" s="3421"/>
      <c r="AI205" s="3421"/>
      <c r="AJ205" s="3421"/>
      <c r="AK205" s="3421"/>
      <c r="AL205" s="3421"/>
      <c r="AM205" s="3421"/>
      <c r="AN205" s="3421"/>
      <c r="AO205" s="3422"/>
      <c r="AP205" s="1105" t="str">
        <f>IFERROR(INDEX('1_入力シート【基本情報】'!$EA$319:$EA$534,MATCH(ROW(A40),'1_入力シート【基本情報】'!$HX$319:$HX$534,0)),"")</f>
        <v/>
      </c>
      <c r="AQ205" s="574"/>
    </row>
    <row r="206" spans="1:43" ht="65.099999999999994" customHeight="1" x14ac:dyDescent="0.15">
      <c r="A206" s="574"/>
      <c r="B206" s="3416" t="str">
        <f>IFERROR(INDEX('1_入力シート【基本情報】'!$DW$319:$DW$534,MATCH(ROW(A41),'1_入力シート【基本情報】'!$HX$319:$HX$534,0)),"")</f>
        <v/>
      </c>
      <c r="C206" s="3417"/>
      <c r="D206" s="3418"/>
      <c r="E206" s="3419" t="str">
        <f>IFERROR(INDEX('1_入力シート【基本情報】'!$DR$319:$DR$534,MATCH(ROW(A41),'1_入力シート【基本情報】'!$HX$319:$HX$534,0)),"")</f>
        <v/>
      </c>
      <c r="F206" s="3419"/>
      <c r="G206" s="3419"/>
      <c r="H206" s="3419"/>
      <c r="I206" s="3419"/>
      <c r="J206" s="3419"/>
      <c r="K206" s="3419"/>
      <c r="L206" s="3419"/>
      <c r="M206" s="3419"/>
      <c r="N206" s="3420"/>
      <c r="O206" s="3420" t="str">
        <f>IFERROR(INDEX('1_入力シート【基本情報】'!$FW$319:$FW$534,MATCH(ROW(A41),'1_入力シート【基本情報】'!$HX$319:$HX$534,0)),"")</f>
        <v/>
      </c>
      <c r="P206" s="3421"/>
      <c r="Q206" s="3421"/>
      <c r="R206" s="3421"/>
      <c r="S206" s="3421"/>
      <c r="T206" s="3421"/>
      <c r="U206" s="3421"/>
      <c r="V206" s="3421"/>
      <c r="W206" s="3421"/>
      <c r="X206" s="3421"/>
      <c r="Y206" s="3421"/>
      <c r="Z206" s="3421"/>
      <c r="AA206" s="3421"/>
      <c r="AB206" s="3421"/>
      <c r="AC206" s="3421"/>
      <c r="AD206" s="3422"/>
      <c r="AE206" s="3420" t="str">
        <f>IFERROR(INDEX('1_入力シート【基本情報】'!$BD$319:$BD$534,MATCH(ROW(A41),'1_入力シート【基本情報】'!$HX$319:$HX$534,0)),"")</f>
        <v/>
      </c>
      <c r="AF206" s="3421"/>
      <c r="AG206" s="3421"/>
      <c r="AH206" s="3421"/>
      <c r="AI206" s="3421"/>
      <c r="AJ206" s="3421"/>
      <c r="AK206" s="3421"/>
      <c r="AL206" s="3421"/>
      <c r="AM206" s="3421"/>
      <c r="AN206" s="3421"/>
      <c r="AO206" s="3422"/>
      <c r="AP206" s="1105" t="str">
        <f>IFERROR(INDEX('1_入力シート【基本情報】'!$EA$319:$EA$534,MATCH(ROW(A41),'1_入力シート【基本情報】'!$HX$319:$HX$534,0)),"")</f>
        <v/>
      </c>
      <c r="AQ206" s="574"/>
    </row>
    <row r="207" spans="1:43" ht="65.099999999999994" customHeight="1" x14ac:dyDescent="0.15">
      <c r="A207" s="574"/>
      <c r="B207" s="3416" t="str">
        <f>IFERROR(INDEX('1_入力シート【基本情報】'!$DW$319:$DW$534,MATCH(ROW(A42),'1_入力シート【基本情報】'!$HX$319:$HX$534,0)),"")</f>
        <v/>
      </c>
      <c r="C207" s="3417"/>
      <c r="D207" s="3418"/>
      <c r="E207" s="3419" t="str">
        <f>IFERROR(INDEX('1_入力シート【基本情報】'!$DR$319:$DR$534,MATCH(ROW(A42),'1_入力シート【基本情報】'!$HX$319:$HX$534,0)),"")</f>
        <v/>
      </c>
      <c r="F207" s="3419"/>
      <c r="G207" s="3419"/>
      <c r="H207" s="3419"/>
      <c r="I207" s="3419"/>
      <c r="J207" s="3419"/>
      <c r="K207" s="3419"/>
      <c r="L207" s="3419"/>
      <c r="M207" s="3419"/>
      <c r="N207" s="3420"/>
      <c r="O207" s="3420" t="str">
        <f>IFERROR(INDEX('1_入力シート【基本情報】'!$FW$319:$FW$534,MATCH(ROW(A42),'1_入力シート【基本情報】'!$HX$319:$HX$534,0)),"")</f>
        <v/>
      </c>
      <c r="P207" s="3421"/>
      <c r="Q207" s="3421"/>
      <c r="R207" s="3421"/>
      <c r="S207" s="3421"/>
      <c r="T207" s="3421"/>
      <c r="U207" s="3421"/>
      <c r="V207" s="3421"/>
      <c r="W207" s="3421"/>
      <c r="X207" s="3421"/>
      <c r="Y207" s="3421"/>
      <c r="Z207" s="3421"/>
      <c r="AA207" s="3421"/>
      <c r="AB207" s="3421"/>
      <c r="AC207" s="3421"/>
      <c r="AD207" s="3422"/>
      <c r="AE207" s="3420" t="str">
        <f>IFERROR(INDEX('1_入力シート【基本情報】'!$BD$319:$BD$534,MATCH(ROW(A42),'1_入力シート【基本情報】'!$HX$319:$HX$534,0)),"")</f>
        <v/>
      </c>
      <c r="AF207" s="3421"/>
      <c r="AG207" s="3421"/>
      <c r="AH207" s="3421"/>
      <c r="AI207" s="3421"/>
      <c r="AJ207" s="3421"/>
      <c r="AK207" s="3421"/>
      <c r="AL207" s="3421"/>
      <c r="AM207" s="3421"/>
      <c r="AN207" s="3421"/>
      <c r="AO207" s="3422"/>
      <c r="AP207" s="1105" t="str">
        <f>IFERROR(INDEX('1_入力シート【基本情報】'!$EA$319:$EA$534,MATCH(ROW(A42),'1_入力シート【基本情報】'!$HX$319:$HX$534,0)),"")</f>
        <v/>
      </c>
      <c r="AQ207" s="574"/>
    </row>
    <row r="208" spans="1:43" ht="65.099999999999994" customHeight="1" x14ac:dyDescent="0.15">
      <c r="A208" s="574"/>
      <c r="B208" s="3416" t="str">
        <f>IFERROR(INDEX('1_入力シート【基本情報】'!$DW$319:$DW$534,MATCH(ROW(A43),'1_入力シート【基本情報】'!$HX$319:$HX$534,0)),"")</f>
        <v/>
      </c>
      <c r="C208" s="3417"/>
      <c r="D208" s="3418"/>
      <c r="E208" s="3419" t="str">
        <f>IFERROR(INDEX('1_入力シート【基本情報】'!$DR$319:$DR$534,MATCH(ROW(A43),'1_入力シート【基本情報】'!$HX$319:$HX$534,0)),"")</f>
        <v/>
      </c>
      <c r="F208" s="3419"/>
      <c r="G208" s="3419"/>
      <c r="H208" s="3419"/>
      <c r="I208" s="3419"/>
      <c r="J208" s="3419"/>
      <c r="K208" s="3419"/>
      <c r="L208" s="3419"/>
      <c r="M208" s="3419"/>
      <c r="N208" s="3420"/>
      <c r="O208" s="3420" t="str">
        <f>IFERROR(INDEX('1_入力シート【基本情報】'!$FW$319:$FW$534,MATCH(ROW(A43),'1_入力シート【基本情報】'!$HX$319:$HX$534,0)),"")</f>
        <v/>
      </c>
      <c r="P208" s="3421"/>
      <c r="Q208" s="3421"/>
      <c r="R208" s="3421"/>
      <c r="S208" s="3421"/>
      <c r="T208" s="3421"/>
      <c r="U208" s="3421"/>
      <c r="V208" s="3421"/>
      <c r="W208" s="3421"/>
      <c r="X208" s="3421"/>
      <c r="Y208" s="3421"/>
      <c r="Z208" s="3421"/>
      <c r="AA208" s="3421"/>
      <c r="AB208" s="3421"/>
      <c r="AC208" s="3421"/>
      <c r="AD208" s="3422"/>
      <c r="AE208" s="3420" t="str">
        <f>IFERROR(INDEX('1_入力シート【基本情報】'!$BD$319:$BD$534,MATCH(ROW(A43),'1_入力シート【基本情報】'!$HX$319:$HX$534,0)),"")</f>
        <v/>
      </c>
      <c r="AF208" s="3421"/>
      <c r="AG208" s="3421"/>
      <c r="AH208" s="3421"/>
      <c r="AI208" s="3421"/>
      <c r="AJ208" s="3421"/>
      <c r="AK208" s="3421"/>
      <c r="AL208" s="3421"/>
      <c r="AM208" s="3421"/>
      <c r="AN208" s="3421"/>
      <c r="AO208" s="3422"/>
      <c r="AP208" s="1105" t="str">
        <f>IFERROR(INDEX('1_入力シート【基本情報】'!$EA$319:$EA$534,MATCH(ROW(A43),'1_入力シート【基本情報】'!$HX$319:$HX$534,0)),"")</f>
        <v/>
      </c>
      <c r="AQ208" s="574"/>
    </row>
    <row r="209" spans="1:43" ht="65.099999999999994" customHeight="1" x14ac:dyDescent="0.15">
      <c r="A209" s="574"/>
      <c r="B209" s="3416" t="str">
        <f>IFERROR(INDEX('1_入力シート【基本情報】'!$DW$319:$DW$534,MATCH(ROW(A44),'1_入力シート【基本情報】'!$HX$319:$HX$534,0)),"")</f>
        <v/>
      </c>
      <c r="C209" s="3417"/>
      <c r="D209" s="3418"/>
      <c r="E209" s="3419" t="str">
        <f>IFERROR(INDEX('1_入力シート【基本情報】'!$DR$319:$DR$534,MATCH(ROW(A44),'1_入力シート【基本情報】'!$HX$319:$HX$534,0)),"")</f>
        <v/>
      </c>
      <c r="F209" s="3419"/>
      <c r="G209" s="3419"/>
      <c r="H209" s="3419"/>
      <c r="I209" s="3419"/>
      <c r="J209" s="3419"/>
      <c r="K209" s="3419"/>
      <c r="L209" s="3419"/>
      <c r="M209" s="3419"/>
      <c r="N209" s="3420"/>
      <c r="O209" s="3420" t="str">
        <f>IFERROR(INDEX('1_入力シート【基本情報】'!$FW$319:$FW$534,MATCH(ROW(A44),'1_入力シート【基本情報】'!$HX$319:$HX$534,0)),"")</f>
        <v/>
      </c>
      <c r="P209" s="3421"/>
      <c r="Q209" s="3421"/>
      <c r="R209" s="3421"/>
      <c r="S209" s="3421"/>
      <c r="T209" s="3421"/>
      <c r="U209" s="3421"/>
      <c r="V209" s="3421"/>
      <c r="W209" s="3421"/>
      <c r="X209" s="3421"/>
      <c r="Y209" s="3421"/>
      <c r="Z209" s="3421"/>
      <c r="AA209" s="3421"/>
      <c r="AB209" s="3421"/>
      <c r="AC209" s="3421"/>
      <c r="AD209" s="3422"/>
      <c r="AE209" s="3420" t="str">
        <f>IFERROR(INDEX('1_入力シート【基本情報】'!$BD$319:$BD$534,MATCH(ROW(A44),'1_入力シート【基本情報】'!$HX$319:$HX$534,0)),"")</f>
        <v/>
      </c>
      <c r="AF209" s="3421"/>
      <c r="AG209" s="3421"/>
      <c r="AH209" s="3421"/>
      <c r="AI209" s="3421"/>
      <c r="AJ209" s="3421"/>
      <c r="AK209" s="3421"/>
      <c r="AL209" s="3421"/>
      <c r="AM209" s="3421"/>
      <c r="AN209" s="3421"/>
      <c r="AO209" s="3422"/>
      <c r="AP209" s="1105" t="str">
        <f>IFERROR(INDEX('1_入力シート【基本情報】'!$EA$319:$EA$534,MATCH(ROW(A44),'1_入力シート【基本情報】'!$HX$319:$HX$534,0)),"")</f>
        <v/>
      </c>
      <c r="AQ209" s="574"/>
    </row>
    <row r="210" spans="1:43" ht="65.099999999999994" customHeight="1" x14ac:dyDescent="0.15">
      <c r="A210" s="574"/>
      <c r="B210" s="3416" t="str">
        <f>IFERROR(INDEX('1_入力シート【基本情報】'!$DW$319:$DW$534,MATCH(ROW(A45),'1_入力シート【基本情報】'!$HX$319:$HX$534,0)),"")</f>
        <v/>
      </c>
      <c r="C210" s="3417"/>
      <c r="D210" s="3418"/>
      <c r="E210" s="3419" t="str">
        <f>IFERROR(INDEX('1_入力シート【基本情報】'!$DR$319:$DR$534,MATCH(ROW(A45),'1_入力シート【基本情報】'!$HX$319:$HX$534,0)),"")</f>
        <v/>
      </c>
      <c r="F210" s="3419"/>
      <c r="G210" s="3419"/>
      <c r="H210" s="3419"/>
      <c r="I210" s="3419"/>
      <c r="J210" s="3419"/>
      <c r="K210" s="3419"/>
      <c r="L210" s="3419"/>
      <c r="M210" s="3419"/>
      <c r="N210" s="3420"/>
      <c r="O210" s="3420" t="str">
        <f>IFERROR(INDEX('1_入力シート【基本情報】'!$FW$319:$FW$534,MATCH(ROW(A45),'1_入力シート【基本情報】'!$HX$319:$HX$534,0)),"")</f>
        <v/>
      </c>
      <c r="P210" s="3421"/>
      <c r="Q210" s="3421"/>
      <c r="R210" s="3421"/>
      <c r="S210" s="3421"/>
      <c r="T210" s="3421"/>
      <c r="U210" s="3421"/>
      <c r="V210" s="3421"/>
      <c r="W210" s="3421"/>
      <c r="X210" s="3421"/>
      <c r="Y210" s="3421"/>
      <c r="Z210" s="3421"/>
      <c r="AA210" s="3421"/>
      <c r="AB210" s="3421"/>
      <c r="AC210" s="3421"/>
      <c r="AD210" s="3422"/>
      <c r="AE210" s="3420" t="str">
        <f>IFERROR(INDEX('1_入力シート【基本情報】'!$BD$319:$BD$534,MATCH(ROW(A45),'1_入力シート【基本情報】'!$HX$319:$HX$534,0)),"")</f>
        <v/>
      </c>
      <c r="AF210" s="3421"/>
      <c r="AG210" s="3421"/>
      <c r="AH210" s="3421"/>
      <c r="AI210" s="3421"/>
      <c r="AJ210" s="3421"/>
      <c r="AK210" s="3421"/>
      <c r="AL210" s="3421"/>
      <c r="AM210" s="3421"/>
      <c r="AN210" s="3421"/>
      <c r="AO210" s="3422"/>
      <c r="AP210" s="1105" t="str">
        <f>IFERROR(INDEX('1_入力シート【基本情報】'!$EA$319:$EA$534,MATCH(ROW(A45),'1_入力シート【基本情報】'!$HX$319:$HX$534,0)),"")</f>
        <v/>
      </c>
      <c r="AQ210" s="574"/>
    </row>
    <row r="211" spans="1:43" ht="65.099999999999994" customHeight="1" x14ac:dyDescent="0.15">
      <c r="A211" s="574"/>
      <c r="B211" s="3416" t="str">
        <f>IFERROR(INDEX('1_入力シート【基本情報】'!$DW$319:$DW$534,MATCH(ROW(A46),'1_入力シート【基本情報】'!$HX$319:$HX$534,0)),"")</f>
        <v/>
      </c>
      <c r="C211" s="3417"/>
      <c r="D211" s="3418"/>
      <c r="E211" s="3419" t="str">
        <f>IFERROR(INDEX('1_入力シート【基本情報】'!$DR$319:$DR$534,MATCH(ROW(A46),'1_入力シート【基本情報】'!$HX$319:$HX$534,0)),"")</f>
        <v/>
      </c>
      <c r="F211" s="3419"/>
      <c r="G211" s="3419"/>
      <c r="H211" s="3419"/>
      <c r="I211" s="3419"/>
      <c r="J211" s="3419"/>
      <c r="K211" s="3419"/>
      <c r="L211" s="3419"/>
      <c r="M211" s="3419"/>
      <c r="N211" s="3420"/>
      <c r="O211" s="3420" t="str">
        <f>IFERROR(INDEX('1_入力シート【基本情報】'!$FW$319:$FW$534,MATCH(ROW(A46),'1_入力シート【基本情報】'!$HX$319:$HX$534,0)),"")</f>
        <v/>
      </c>
      <c r="P211" s="3421"/>
      <c r="Q211" s="3421"/>
      <c r="R211" s="3421"/>
      <c r="S211" s="3421"/>
      <c r="T211" s="3421"/>
      <c r="U211" s="3421"/>
      <c r="V211" s="3421"/>
      <c r="W211" s="3421"/>
      <c r="X211" s="3421"/>
      <c r="Y211" s="3421"/>
      <c r="Z211" s="3421"/>
      <c r="AA211" s="3421"/>
      <c r="AB211" s="3421"/>
      <c r="AC211" s="3421"/>
      <c r="AD211" s="3422"/>
      <c r="AE211" s="3420" t="str">
        <f>IFERROR(INDEX('1_入力シート【基本情報】'!$BD$319:$BD$534,MATCH(ROW(A46),'1_入力シート【基本情報】'!$HX$319:$HX$534,0)),"")</f>
        <v/>
      </c>
      <c r="AF211" s="3421"/>
      <c r="AG211" s="3421"/>
      <c r="AH211" s="3421"/>
      <c r="AI211" s="3421"/>
      <c r="AJ211" s="3421"/>
      <c r="AK211" s="3421"/>
      <c r="AL211" s="3421"/>
      <c r="AM211" s="3421"/>
      <c r="AN211" s="3421"/>
      <c r="AO211" s="3422"/>
      <c r="AP211" s="1105" t="str">
        <f>IFERROR(INDEX('1_入力シート【基本情報】'!$EA$319:$EA$534,MATCH(ROW(A46),'1_入力シート【基本情報】'!$HX$319:$HX$534,0)),"")</f>
        <v/>
      </c>
      <c r="AQ211" s="574"/>
    </row>
    <row r="212" spans="1:43" ht="65.099999999999994" customHeight="1" x14ac:dyDescent="0.15">
      <c r="A212" s="574"/>
      <c r="B212" s="3416" t="str">
        <f>IFERROR(INDEX('1_入力シート【基本情報】'!$DW$319:$DW$534,MATCH(ROW(A47),'1_入力シート【基本情報】'!$HX$319:$HX$534,0)),"")</f>
        <v/>
      </c>
      <c r="C212" s="3417"/>
      <c r="D212" s="3418"/>
      <c r="E212" s="3419" t="str">
        <f>IFERROR(INDEX('1_入力シート【基本情報】'!$DR$319:$DR$534,MATCH(ROW(A47),'1_入力シート【基本情報】'!$HX$319:$HX$534,0)),"")</f>
        <v/>
      </c>
      <c r="F212" s="3419"/>
      <c r="G212" s="3419"/>
      <c r="H212" s="3419"/>
      <c r="I212" s="3419"/>
      <c r="J212" s="3419"/>
      <c r="K212" s="3419"/>
      <c r="L212" s="3419"/>
      <c r="M212" s="3419"/>
      <c r="N212" s="3420"/>
      <c r="O212" s="3420" t="str">
        <f>IFERROR(INDEX('1_入力シート【基本情報】'!$FW$319:$FW$534,MATCH(ROW(A47),'1_入力シート【基本情報】'!$HX$319:$HX$534,0)),"")</f>
        <v/>
      </c>
      <c r="P212" s="3421"/>
      <c r="Q212" s="3421"/>
      <c r="R212" s="3421"/>
      <c r="S212" s="3421"/>
      <c r="T212" s="3421"/>
      <c r="U212" s="3421"/>
      <c r="V212" s="3421"/>
      <c r="W212" s="3421"/>
      <c r="X212" s="3421"/>
      <c r="Y212" s="3421"/>
      <c r="Z212" s="3421"/>
      <c r="AA212" s="3421"/>
      <c r="AB212" s="3421"/>
      <c r="AC212" s="3421"/>
      <c r="AD212" s="3422"/>
      <c r="AE212" s="3420" t="str">
        <f>IFERROR(INDEX('1_入力シート【基本情報】'!$BD$319:$BD$534,MATCH(ROW(A47),'1_入力シート【基本情報】'!$HX$319:$HX$534,0)),"")</f>
        <v/>
      </c>
      <c r="AF212" s="3421"/>
      <c r="AG212" s="3421"/>
      <c r="AH212" s="3421"/>
      <c r="AI212" s="3421"/>
      <c r="AJ212" s="3421"/>
      <c r="AK212" s="3421"/>
      <c r="AL212" s="3421"/>
      <c r="AM212" s="3421"/>
      <c r="AN212" s="3421"/>
      <c r="AO212" s="3422"/>
      <c r="AP212" s="1105" t="str">
        <f>IFERROR(INDEX('1_入力シート【基本情報】'!$EA$319:$EA$534,MATCH(ROW(A47),'1_入力シート【基本情報】'!$HX$319:$HX$534,0)),"")</f>
        <v/>
      </c>
      <c r="AQ212" s="574"/>
    </row>
    <row r="213" spans="1:43" ht="65.099999999999994" customHeight="1" x14ac:dyDescent="0.15">
      <c r="A213" s="574"/>
      <c r="B213" s="3416" t="str">
        <f>IFERROR(INDEX('1_入力シート【基本情報】'!$DW$319:$DW$534,MATCH(ROW(A48),'1_入力シート【基本情報】'!$HX$319:$HX$534,0)),"")</f>
        <v/>
      </c>
      <c r="C213" s="3417"/>
      <c r="D213" s="3418"/>
      <c r="E213" s="3419" t="str">
        <f>IFERROR(INDEX('1_入力シート【基本情報】'!$DR$319:$DR$534,MATCH(ROW(A48),'1_入力シート【基本情報】'!$HX$319:$HX$534,0)),"")</f>
        <v/>
      </c>
      <c r="F213" s="3419"/>
      <c r="G213" s="3419"/>
      <c r="H213" s="3419"/>
      <c r="I213" s="3419"/>
      <c r="J213" s="3419"/>
      <c r="K213" s="3419"/>
      <c r="L213" s="3419"/>
      <c r="M213" s="3419"/>
      <c r="N213" s="3420"/>
      <c r="O213" s="3420" t="str">
        <f>IFERROR(INDEX('1_入力シート【基本情報】'!$FW$319:$FW$534,MATCH(ROW(A48),'1_入力シート【基本情報】'!$HX$319:$HX$534,0)),"")</f>
        <v/>
      </c>
      <c r="P213" s="3421"/>
      <c r="Q213" s="3421"/>
      <c r="R213" s="3421"/>
      <c r="S213" s="3421"/>
      <c r="T213" s="3421"/>
      <c r="U213" s="3421"/>
      <c r="V213" s="3421"/>
      <c r="W213" s="3421"/>
      <c r="X213" s="3421"/>
      <c r="Y213" s="3421"/>
      <c r="Z213" s="3421"/>
      <c r="AA213" s="3421"/>
      <c r="AB213" s="3421"/>
      <c r="AC213" s="3421"/>
      <c r="AD213" s="3422"/>
      <c r="AE213" s="3420" t="str">
        <f>IFERROR(INDEX('1_入力シート【基本情報】'!$BD$319:$BD$534,MATCH(ROW(A48),'1_入力シート【基本情報】'!$HX$319:$HX$534,0)),"")</f>
        <v/>
      </c>
      <c r="AF213" s="3421"/>
      <c r="AG213" s="3421"/>
      <c r="AH213" s="3421"/>
      <c r="AI213" s="3421"/>
      <c r="AJ213" s="3421"/>
      <c r="AK213" s="3421"/>
      <c r="AL213" s="3421"/>
      <c r="AM213" s="3421"/>
      <c r="AN213" s="3421"/>
      <c r="AO213" s="3422"/>
      <c r="AP213" s="1105" t="str">
        <f>IFERROR(INDEX('1_入力シート【基本情報】'!$EA$319:$EA$534,MATCH(ROW(A48),'1_入力シート【基本情報】'!$HX$319:$HX$534,0)),"")</f>
        <v/>
      </c>
      <c r="AQ213" s="574"/>
    </row>
    <row r="214" spans="1:43" ht="65.099999999999994" customHeight="1" x14ac:dyDescent="0.15">
      <c r="A214" s="574"/>
      <c r="B214" s="3416" t="str">
        <f>IFERROR(INDEX('1_入力シート【基本情報】'!$DW$319:$DW$534,MATCH(ROW(A49),'1_入力シート【基本情報】'!$HX$319:$HX$534,0)),"")</f>
        <v/>
      </c>
      <c r="C214" s="3417"/>
      <c r="D214" s="3418"/>
      <c r="E214" s="3419" t="str">
        <f>IFERROR(INDEX('1_入力シート【基本情報】'!$DR$319:$DR$534,MATCH(ROW(A49),'1_入力シート【基本情報】'!$HX$319:$HX$534,0)),"")</f>
        <v/>
      </c>
      <c r="F214" s="3419"/>
      <c r="G214" s="3419"/>
      <c r="H214" s="3419"/>
      <c r="I214" s="3419"/>
      <c r="J214" s="3419"/>
      <c r="K214" s="3419"/>
      <c r="L214" s="3419"/>
      <c r="M214" s="3419"/>
      <c r="N214" s="3420"/>
      <c r="O214" s="3420" t="str">
        <f>IFERROR(INDEX('1_入力シート【基本情報】'!$FW$319:$FW$534,MATCH(ROW(A49),'1_入力シート【基本情報】'!$HX$319:$HX$534,0)),"")</f>
        <v/>
      </c>
      <c r="P214" s="3421"/>
      <c r="Q214" s="3421"/>
      <c r="R214" s="3421"/>
      <c r="S214" s="3421"/>
      <c r="T214" s="3421"/>
      <c r="U214" s="3421"/>
      <c r="V214" s="3421"/>
      <c r="W214" s="3421"/>
      <c r="X214" s="3421"/>
      <c r="Y214" s="3421"/>
      <c r="Z214" s="3421"/>
      <c r="AA214" s="3421"/>
      <c r="AB214" s="3421"/>
      <c r="AC214" s="3421"/>
      <c r="AD214" s="3422"/>
      <c r="AE214" s="3420" t="str">
        <f>IFERROR(INDEX('1_入力シート【基本情報】'!$BD$319:$BD$534,MATCH(ROW(A49),'1_入力シート【基本情報】'!$HX$319:$HX$534,0)),"")</f>
        <v/>
      </c>
      <c r="AF214" s="3421"/>
      <c r="AG214" s="3421"/>
      <c r="AH214" s="3421"/>
      <c r="AI214" s="3421"/>
      <c r="AJ214" s="3421"/>
      <c r="AK214" s="3421"/>
      <c r="AL214" s="3421"/>
      <c r="AM214" s="3421"/>
      <c r="AN214" s="3421"/>
      <c r="AO214" s="3422"/>
      <c r="AP214" s="1105" t="str">
        <f>IFERROR(INDEX('1_入力シート【基本情報】'!$EA$319:$EA$534,MATCH(ROW(A49),'1_入力シート【基本情報】'!$HX$319:$HX$534,0)),"")</f>
        <v/>
      </c>
      <c r="AQ214" s="574"/>
    </row>
    <row r="215" spans="1:43" ht="65.099999999999994" customHeight="1" x14ac:dyDescent="0.15">
      <c r="A215" s="574"/>
      <c r="B215" s="3416" t="str">
        <f>IFERROR(INDEX('1_入力シート【基本情報】'!$DW$319:$DW$534,MATCH(ROW(A50),'1_入力シート【基本情報】'!$HX$319:$HX$534,0)),"")</f>
        <v/>
      </c>
      <c r="C215" s="3417"/>
      <c r="D215" s="3418"/>
      <c r="E215" s="3419" t="str">
        <f>IFERROR(INDEX('1_入力シート【基本情報】'!$DR$319:$DR$534,MATCH(ROW(A50),'1_入力シート【基本情報】'!$HX$319:$HX$534,0)),"")</f>
        <v/>
      </c>
      <c r="F215" s="3419"/>
      <c r="G215" s="3419"/>
      <c r="H215" s="3419"/>
      <c r="I215" s="3419"/>
      <c r="J215" s="3419"/>
      <c r="K215" s="3419"/>
      <c r="L215" s="3419"/>
      <c r="M215" s="3419"/>
      <c r="N215" s="3420"/>
      <c r="O215" s="3420" t="str">
        <f>IFERROR(INDEX('1_入力シート【基本情報】'!$FW$319:$FW$534,MATCH(ROW(A50),'1_入力シート【基本情報】'!$HX$319:$HX$534,0)),"")</f>
        <v/>
      </c>
      <c r="P215" s="3421"/>
      <c r="Q215" s="3421"/>
      <c r="R215" s="3421"/>
      <c r="S215" s="3421"/>
      <c r="T215" s="3421"/>
      <c r="U215" s="3421"/>
      <c r="V215" s="3421"/>
      <c r="W215" s="3421"/>
      <c r="X215" s="3421"/>
      <c r="Y215" s="3421"/>
      <c r="Z215" s="3421"/>
      <c r="AA215" s="3421"/>
      <c r="AB215" s="3421"/>
      <c r="AC215" s="3421"/>
      <c r="AD215" s="3422"/>
      <c r="AE215" s="3420" t="str">
        <f>IFERROR(INDEX('1_入力シート【基本情報】'!$BD$319:$BD$534,MATCH(ROW(A50),'1_入力シート【基本情報】'!$HX$319:$HX$534,0)),"")</f>
        <v/>
      </c>
      <c r="AF215" s="3421"/>
      <c r="AG215" s="3421"/>
      <c r="AH215" s="3421"/>
      <c r="AI215" s="3421"/>
      <c r="AJ215" s="3421"/>
      <c r="AK215" s="3421"/>
      <c r="AL215" s="3421"/>
      <c r="AM215" s="3421"/>
      <c r="AN215" s="3421"/>
      <c r="AO215" s="3422"/>
      <c r="AP215" s="1105" t="str">
        <f>IFERROR(INDEX('1_入力シート【基本情報】'!$EA$319:$EA$534,MATCH(ROW(A50),'1_入力シート【基本情報】'!$HX$319:$HX$534,0)),"")</f>
        <v/>
      </c>
      <c r="AQ215" s="574"/>
    </row>
    <row r="216" spans="1:43" ht="65.099999999999994" customHeight="1" x14ac:dyDescent="0.15">
      <c r="A216" s="574"/>
      <c r="B216" s="3416" t="str">
        <f>IFERROR(INDEX('1_入力シート【基本情報】'!$DW$319:$DW$534,MATCH(ROW(A51),'1_入力シート【基本情報】'!$HX$319:$HX$534,0)),"")</f>
        <v/>
      </c>
      <c r="C216" s="3417"/>
      <c r="D216" s="3418"/>
      <c r="E216" s="3419" t="str">
        <f>IFERROR(INDEX('1_入力シート【基本情報】'!$DR$319:$DR$534,MATCH(ROW(A51),'1_入力シート【基本情報】'!$HX$319:$HX$534,0)),"")</f>
        <v/>
      </c>
      <c r="F216" s="3419"/>
      <c r="G216" s="3419"/>
      <c r="H216" s="3419"/>
      <c r="I216" s="3419"/>
      <c r="J216" s="3419"/>
      <c r="K216" s="3419"/>
      <c r="L216" s="3419"/>
      <c r="M216" s="3419"/>
      <c r="N216" s="3420"/>
      <c r="O216" s="3420" t="str">
        <f>IFERROR(INDEX('1_入力シート【基本情報】'!$FW$319:$FW$534,MATCH(ROW(A51),'1_入力シート【基本情報】'!$HX$319:$HX$534,0)),"")</f>
        <v/>
      </c>
      <c r="P216" s="3421"/>
      <c r="Q216" s="3421"/>
      <c r="R216" s="3421"/>
      <c r="S216" s="3421"/>
      <c r="T216" s="3421"/>
      <c r="U216" s="3421"/>
      <c r="V216" s="3421"/>
      <c r="W216" s="3421"/>
      <c r="X216" s="3421"/>
      <c r="Y216" s="3421"/>
      <c r="Z216" s="3421"/>
      <c r="AA216" s="3421"/>
      <c r="AB216" s="3421"/>
      <c r="AC216" s="3421"/>
      <c r="AD216" s="3422"/>
      <c r="AE216" s="3420" t="str">
        <f>IFERROR(INDEX('1_入力シート【基本情報】'!$BD$319:$BD$534,MATCH(ROW(A51),'1_入力シート【基本情報】'!$HX$319:$HX$534,0)),"")</f>
        <v/>
      </c>
      <c r="AF216" s="3421"/>
      <c r="AG216" s="3421"/>
      <c r="AH216" s="3421"/>
      <c r="AI216" s="3421"/>
      <c r="AJ216" s="3421"/>
      <c r="AK216" s="3421"/>
      <c r="AL216" s="3421"/>
      <c r="AM216" s="3421"/>
      <c r="AN216" s="3421"/>
      <c r="AO216" s="3422"/>
      <c r="AP216" s="1105" t="str">
        <f>IFERROR(INDEX('1_入力シート【基本情報】'!$EA$319:$EA$534,MATCH(ROW(A51),'1_入力シート【基本情報】'!$HX$319:$HX$534,0)),"")</f>
        <v/>
      </c>
      <c r="AQ216" s="574"/>
    </row>
    <row r="217" spans="1:43" ht="65.099999999999994" customHeight="1" x14ac:dyDescent="0.15">
      <c r="A217" s="574"/>
      <c r="B217" s="3416" t="str">
        <f>IFERROR(INDEX('1_入力シート【基本情報】'!$DW$319:$DW$534,MATCH(ROW(A52),'1_入力シート【基本情報】'!$HX$319:$HX$534,0)),"")</f>
        <v/>
      </c>
      <c r="C217" s="3417"/>
      <c r="D217" s="3418"/>
      <c r="E217" s="3419" t="str">
        <f>IFERROR(INDEX('1_入力シート【基本情報】'!$DR$319:$DR$534,MATCH(ROW(A52),'1_入力シート【基本情報】'!$HX$319:$HX$534,0)),"")</f>
        <v/>
      </c>
      <c r="F217" s="3419"/>
      <c r="G217" s="3419"/>
      <c r="H217" s="3419"/>
      <c r="I217" s="3419"/>
      <c r="J217" s="3419"/>
      <c r="K217" s="3419"/>
      <c r="L217" s="3419"/>
      <c r="M217" s="3419"/>
      <c r="N217" s="3420"/>
      <c r="O217" s="3420" t="str">
        <f>IFERROR(INDEX('1_入力シート【基本情報】'!$FW$319:$FW$534,MATCH(ROW(A52),'1_入力シート【基本情報】'!$HX$319:$HX$534,0)),"")</f>
        <v/>
      </c>
      <c r="P217" s="3421"/>
      <c r="Q217" s="3421"/>
      <c r="R217" s="3421"/>
      <c r="S217" s="3421"/>
      <c r="T217" s="3421"/>
      <c r="U217" s="3421"/>
      <c r="V217" s="3421"/>
      <c r="W217" s="3421"/>
      <c r="X217" s="3421"/>
      <c r="Y217" s="3421"/>
      <c r="Z217" s="3421"/>
      <c r="AA217" s="3421"/>
      <c r="AB217" s="3421"/>
      <c r="AC217" s="3421"/>
      <c r="AD217" s="3422"/>
      <c r="AE217" s="3420" t="str">
        <f>IFERROR(INDEX('1_入力シート【基本情報】'!$BD$319:$BD$534,MATCH(ROW(A52),'1_入力シート【基本情報】'!$HX$319:$HX$534,0)),"")</f>
        <v/>
      </c>
      <c r="AF217" s="3421"/>
      <c r="AG217" s="3421"/>
      <c r="AH217" s="3421"/>
      <c r="AI217" s="3421"/>
      <c r="AJ217" s="3421"/>
      <c r="AK217" s="3421"/>
      <c r="AL217" s="3421"/>
      <c r="AM217" s="3421"/>
      <c r="AN217" s="3421"/>
      <c r="AO217" s="3422"/>
      <c r="AP217" s="1105" t="str">
        <f>IFERROR(INDEX('1_入力シート【基本情報】'!$EA$319:$EA$534,MATCH(ROW(A52),'1_入力シート【基本情報】'!$HX$319:$HX$534,0)),"")</f>
        <v/>
      </c>
      <c r="AQ217" s="574"/>
    </row>
    <row r="218" spans="1:43" ht="65.099999999999994" customHeight="1" x14ac:dyDescent="0.15">
      <c r="A218" s="574"/>
      <c r="B218" s="3416" t="str">
        <f>IFERROR(INDEX('1_入力シート【基本情報】'!$DW$319:$DW$534,MATCH(ROW(A53),'1_入力シート【基本情報】'!$HX$319:$HX$534,0)),"")</f>
        <v/>
      </c>
      <c r="C218" s="3417"/>
      <c r="D218" s="3418"/>
      <c r="E218" s="3419" t="str">
        <f>IFERROR(INDEX('1_入力シート【基本情報】'!$DR$319:$DR$534,MATCH(ROW(A53),'1_入力シート【基本情報】'!$HX$319:$HX$534,0)),"")</f>
        <v/>
      </c>
      <c r="F218" s="3419"/>
      <c r="G218" s="3419"/>
      <c r="H218" s="3419"/>
      <c r="I218" s="3419"/>
      <c r="J218" s="3419"/>
      <c r="K218" s="3419"/>
      <c r="L218" s="3419"/>
      <c r="M218" s="3419"/>
      <c r="N218" s="3420"/>
      <c r="O218" s="3420" t="str">
        <f>IFERROR(INDEX('1_入力シート【基本情報】'!$FW$319:$FW$534,MATCH(ROW(A53),'1_入力シート【基本情報】'!$HX$319:$HX$534,0)),"")</f>
        <v/>
      </c>
      <c r="P218" s="3421"/>
      <c r="Q218" s="3421"/>
      <c r="R218" s="3421"/>
      <c r="S218" s="3421"/>
      <c r="T218" s="3421"/>
      <c r="U218" s="3421"/>
      <c r="V218" s="3421"/>
      <c r="W218" s="3421"/>
      <c r="X218" s="3421"/>
      <c r="Y218" s="3421"/>
      <c r="Z218" s="3421"/>
      <c r="AA218" s="3421"/>
      <c r="AB218" s="3421"/>
      <c r="AC218" s="3421"/>
      <c r="AD218" s="3422"/>
      <c r="AE218" s="3420" t="str">
        <f>IFERROR(INDEX('1_入力シート【基本情報】'!$BD$319:$BD$534,MATCH(ROW(A53),'1_入力シート【基本情報】'!$HX$319:$HX$534,0)),"")</f>
        <v/>
      </c>
      <c r="AF218" s="3421"/>
      <c r="AG218" s="3421"/>
      <c r="AH218" s="3421"/>
      <c r="AI218" s="3421"/>
      <c r="AJ218" s="3421"/>
      <c r="AK218" s="3421"/>
      <c r="AL218" s="3421"/>
      <c r="AM218" s="3421"/>
      <c r="AN218" s="3421"/>
      <c r="AO218" s="3422"/>
      <c r="AP218" s="1105" t="str">
        <f>IFERROR(INDEX('1_入力シート【基本情報】'!$EA$319:$EA$534,MATCH(ROW(A53),'1_入力シート【基本情報】'!$HX$319:$HX$534,0)),"")</f>
        <v/>
      </c>
      <c r="AQ218" s="574"/>
    </row>
    <row r="219" spans="1:43" ht="65.099999999999994" customHeight="1" x14ac:dyDescent="0.15">
      <c r="A219" s="574"/>
      <c r="B219" s="3416" t="str">
        <f>IFERROR(INDEX('1_入力シート【基本情報】'!$DW$319:$DW$534,MATCH(ROW(A54),'1_入力シート【基本情報】'!$HX$319:$HX$534,0)),"")</f>
        <v/>
      </c>
      <c r="C219" s="3417"/>
      <c r="D219" s="3418"/>
      <c r="E219" s="3419" t="str">
        <f>IFERROR(INDEX('1_入力シート【基本情報】'!$DR$319:$DR$534,MATCH(ROW(A54),'1_入力シート【基本情報】'!$HX$319:$HX$534,0)),"")</f>
        <v/>
      </c>
      <c r="F219" s="3419"/>
      <c r="G219" s="3419"/>
      <c r="H219" s="3419"/>
      <c r="I219" s="3419"/>
      <c r="J219" s="3419"/>
      <c r="K219" s="3419"/>
      <c r="L219" s="3419"/>
      <c r="M219" s="3419"/>
      <c r="N219" s="3420"/>
      <c r="O219" s="3420" t="str">
        <f>IFERROR(INDEX('1_入力シート【基本情報】'!$FW$319:$FW$534,MATCH(ROW(A54),'1_入力シート【基本情報】'!$HX$319:$HX$534,0)),"")</f>
        <v/>
      </c>
      <c r="P219" s="3421"/>
      <c r="Q219" s="3421"/>
      <c r="R219" s="3421"/>
      <c r="S219" s="3421"/>
      <c r="T219" s="3421"/>
      <c r="U219" s="3421"/>
      <c r="V219" s="3421"/>
      <c r="W219" s="3421"/>
      <c r="X219" s="3421"/>
      <c r="Y219" s="3421"/>
      <c r="Z219" s="3421"/>
      <c r="AA219" s="3421"/>
      <c r="AB219" s="3421"/>
      <c r="AC219" s="3421"/>
      <c r="AD219" s="3422"/>
      <c r="AE219" s="3420" t="str">
        <f>IFERROR(INDEX('1_入力シート【基本情報】'!$BD$319:$BD$534,MATCH(ROW(A54),'1_入力シート【基本情報】'!$HX$319:$HX$534,0)),"")</f>
        <v/>
      </c>
      <c r="AF219" s="3421"/>
      <c r="AG219" s="3421"/>
      <c r="AH219" s="3421"/>
      <c r="AI219" s="3421"/>
      <c r="AJ219" s="3421"/>
      <c r="AK219" s="3421"/>
      <c r="AL219" s="3421"/>
      <c r="AM219" s="3421"/>
      <c r="AN219" s="3421"/>
      <c r="AO219" s="3422"/>
      <c r="AP219" s="1105" t="str">
        <f>IFERROR(INDEX('1_入力シート【基本情報】'!$EA$319:$EA$534,MATCH(ROW(A54),'1_入力シート【基本情報】'!$HX$319:$HX$534,0)),"")</f>
        <v/>
      </c>
      <c r="AQ219" s="574"/>
    </row>
    <row r="220" spans="1:43" ht="65.099999999999994" customHeight="1" x14ac:dyDescent="0.15">
      <c r="A220" s="574"/>
      <c r="B220" s="3416" t="str">
        <f>IFERROR(INDEX('1_入力シート【基本情報】'!$DW$319:$DW$534,MATCH(ROW(A55),'1_入力シート【基本情報】'!$HX$319:$HX$534,0)),"")</f>
        <v/>
      </c>
      <c r="C220" s="3417"/>
      <c r="D220" s="3418"/>
      <c r="E220" s="3419" t="str">
        <f>IFERROR(INDEX('1_入力シート【基本情報】'!$DR$319:$DR$534,MATCH(ROW(A55),'1_入力シート【基本情報】'!$HX$319:$HX$534,0)),"")</f>
        <v/>
      </c>
      <c r="F220" s="3419"/>
      <c r="G220" s="3419"/>
      <c r="H220" s="3419"/>
      <c r="I220" s="3419"/>
      <c r="J220" s="3419"/>
      <c r="K220" s="3419"/>
      <c r="L220" s="3419"/>
      <c r="M220" s="3419"/>
      <c r="N220" s="3420"/>
      <c r="O220" s="3420" t="str">
        <f>IFERROR(INDEX('1_入力シート【基本情報】'!$FW$319:$FW$534,MATCH(ROW(A55),'1_入力シート【基本情報】'!$HX$319:$HX$534,0)),"")</f>
        <v/>
      </c>
      <c r="P220" s="3421"/>
      <c r="Q220" s="3421"/>
      <c r="R220" s="3421"/>
      <c r="S220" s="3421"/>
      <c r="T220" s="3421"/>
      <c r="U220" s="3421"/>
      <c r="V220" s="3421"/>
      <c r="W220" s="3421"/>
      <c r="X220" s="3421"/>
      <c r="Y220" s="3421"/>
      <c r="Z220" s="3421"/>
      <c r="AA220" s="3421"/>
      <c r="AB220" s="3421"/>
      <c r="AC220" s="3421"/>
      <c r="AD220" s="3422"/>
      <c r="AE220" s="3420" t="str">
        <f>IFERROR(INDEX('1_入力シート【基本情報】'!$BD$319:$BD$534,MATCH(ROW(A55),'1_入力シート【基本情報】'!$HX$319:$HX$534,0)),"")</f>
        <v/>
      </c>
      <c r="AF220" s="3421"/>
      <c r="AG220" s="3421"/>
      <c r="AH220" s="3421"/>
      <c r="AI220" s="3421"/>
      <c r="AJ220" s="3421"/>
      <c r="AK220" s="3421"/>
      <c r="AL220" s="3421"/>
      <c r="AM220" s="3421"/>
      <c r="AN220" s="3421"/>
      <c r="AO220" s="3422"/>
      <c r="AP220" s="1105" t="str">
        <f>IFERROR(INDEX('1_入力シート【基本情報】'!$EA$319:$EA$534,MATCH(ROW(A55),'1_入力シート【基本情報】'!$HX$319:$HX$534,0)),"")</f>
        <v/>
      </c>
      <c r="AQ220" s="574"/>
    </row>
    <row r="221" spans="1:43" ht="65.099999999999994" customHeight="1" x14ac:dyDescent="0.15">
      <c r="A221" s="574"/>
      <c r="B221" s="3416" t="str">
        <f>IFERROR(INDEX('1_入力シート【基本情報】'!$DW$319:$DW$534,MATCH(ROW(A56),'1_入力シート【基本情報】'!$HX$319:$HX$534,0)),"")</f>
        <v/>
      </c>
      <c r="C221" s="3417"/>
      <c r="D221" s="3418"/>
      <c r="E221" s="3419" t="str">
        <f>IFERROR(INDEX('1_入力シート【基本情報】'!$DR$319:$DR$534,MATCH(ROW(A56),'1_入力シート【基本情報】'!$HX$319:$HX$534,0)),"")</f>
        <v/>
      </c>
      <c r="F221" s="3419"/>
      <c r="G221" s="3419"/>
      <c r="H221" s="3419"/>
      <c r="I221" s="3419"/>
      <c r="J221" s="3419"/>
      <c r="K221" s="3419"/>
      <c r="L221" s="3419"/>
      <c r="M221" s="3419"/>
      <c r="N221" s="3420"/>
      <c r="O221" s="3420" t="str">
        <f>IFERROR(INDEX('1_入力シート【基本情報】'!$FW$319:$FW$534,MATCH(ROW(A56),'1_入力シート【基本情報】'!$HX$319:$HX$534,0)),"")</f>
        <v/>
      </c>
      <c r="P221" s="3421"/>
      <c r="Q221" s="3421"/>
      <c r="R221" s="3421"/>
      <c r="S221" s="3421"/>
      <c r="T221" s="3421"/>
      <c r="U221" s="3421"/>
      <c r="V221" s="3421"/>
      <c r="W221" s="3421"/>
      <c r="X221" s="3421"/>
      <c r="Y221" s="3421"/>
      <c r="Z221" s="3421"/>
      <c r="AA221" s="3421"/>
      <c r="AB221" s="3421"/>
      <c r="AC221" s="3421"/>
      <c r="AD221" s="3422"/>
      <c r="AE221" s="3420" t="str">
        <f>IFERROR(INDEX('1_入力シート【基本情報】'!$BD$319:$BD$534,MATCH(ROW(A56),'1_入力シート【基本情報】'!$HX$319:$HX$534,0)),"")</f>
        <v/>
      </c>
      <c r="AF221" s="3421"/>
      <c r="AG221" s="3421"/>
      <c r="AH221" s="3421"/>
      <c r="AI221" s="3421"/>
      <c r="AJ221" s="3421"/>
      <c r="AK221" s="3421"/>
      <c r="AL221" s="3421"/>
      <c r="AM221" s="3421"/>
      <c r="AN221" s="3421"/>
      <c r="AO221" s="3422"/>
      <c r="AP221" s="1105" t="str">
        <f>IFERROR(INDEX('1_入力シート【基本情報】'!$EA$319:$EA$534,MATCH(ROW(A56),'1_入力シート【基本情報】'!$HX$319:$HX$534,0)),"")</f>
        <v/>
      </c>
      <c r="AQ221" s="574"/>
    </row>
    <row r="222" spans="1:43" ht="65.099999999999994" customHeight="1" x14ac:dyDescent="0.15">
      <c r="A222" s="574"/>
      <c r="B222" s="3416" t="str">
        <f>IFERROR(INDEX('1_入力シート【基本情報】'!$DW$319:$DW$534,MATCH(ROW(A57),'1_入力シート【基本情報】'!$HX$319:$HX$534,0)),"")</f>
        <v/>
      </c>
      <c r="C222" s="3417"/>
      <c r="D222" s="3418"/>
      <c r="E222" s="3419" t="str">
        <f>IFERROR(INDEX('1_入力シート【基本情報】'!$DR$319:$DR$534,MATCH(ROW(A57),'1_入力シート【基本情報】'!$HX$319:$HX$534,0)),"")</f>
        <v/>
      </c>
      <c r="F222" s="3419"/>
      <c r="G222" s="3419"/>
      <c r="H222" s="3419"/>
      <c r="I222" s="3419"/>
      <c r="J222" s="3419"/>
      <c r="K222" s="3419"/>
      <c r="L222" s="3419"/>
      <c r="M222" s="3419"/>
      <c r="N222" s="3420"/>
      <c r="O222" s="3420" t="str">
        <f>IFERROR(INDEX('1_入力シート【基本情報】'!$FW$319:$FW$534,MATCH(ROW(A57),'1_入力シート【基本情報】'!$HX$319:$HX$534,0)),"")</f>
        <v/>
      </c>
      <c r="P222" s="3421"/>
      <c r="Q222" s="3421"/>
      <c r="R222" s="3421"/>
      <c r="S222" s="3421"/>
      <c r="T222" s="3421"/>
      <c r="U222" s="3421"/>
      <c r="V222" s="3421"/>
      <c r="W222" s="3421"/>
      <c r="X222" s="3421"/>
      <c r="Y222" s="3421"/>
      <c r="Z222" s="3421"/>
      <c r="AA222" s="3421"/>
      <c r="AB222" s="3421"/>
      <c r="AC222" s="3421"/>
      <c r="AD222" s="3422"/>
      <c r="AE222" s="3420" t="str">
        <f>IFERROR(INDEX('1_入力シート【基本情報】'!$BD$319:$BD$534,MATCH(ROW(A57),'1_入力シート【基本情報】'!$HX$319:$HX$534,0)),"")</f>
        <v/>
      </c>
      <c r="AF222" s="3421"/>
      <c r="AG222" s="3421"/>
      <c r="AH222" s="3421"/>
      <c r="AI222" s="3421"/>
      <c r="AJ222" s="3421"/>
      <c r="AK222" s="3421"/>
      <c r="AL222" s="3421"/>
      <c r="AM222" s="3421"/>
      <c r="AN222" s="3421"/>
      <c r="AO222" s="3422"/>
      <c r="AP222" s="1105" t="str">
        <f>IFERROR(INDEX('1_入力シート【基本情報】'!$EA$319:$EA$534,MATCH(ROW(A57),'1_入力シート【基本情報】'!$HX$319:$HX$534,0)),"")</f>
        <v/>
      </c>
      <c r="AQ222" s="574"/>
    </row>
    <row r="223" spans="1:43" ht="65.099999999999994" customHeight="1" x14ac:dyDescent="0.15">
      <c r="A223" s="574"/>
      <c r="B223" s="3416" t="str">
        <f>IFERROR(INDEX('1_入力シート【基本情報】'!$DW$319:$DW$534,MATCH(ROW(A58),'1_入力シート【基本情報】'!$HX$319:$HX$534,0)),"")</f>
        <v/>
      </c>
      <c r="C223" s="3417"/>
      <c r="D223" s="3418"/>
      <c r="E223" s="3419" t="str">
        <f>IFERROR(INDEX('1_入力シート【基本情報】'!$DR$319:$DR$534,MATCH(ROW(A58),'1_入力シート【基本情報】'!$HX$319:$HX$534,0)),"")</f>
        <v/>
      </c>
      <c r="F223" s="3419"/>
      <c r="G223" s="3419"/>
      <c r="H223" s="3419"/>
      <c r="I223" s="3419"/>
      <c r="J223" s="3419"/>
      <c r="K223" s="3419"/>
      <c r="L223" s="3419"/>
      <c r="M223" s="3419"/>
      <c r="N223" s="3420"/>
      <c r="O223" s="3420" t="str">
        <f>IFERROR(INDEX('1_入力シート【基本情報】'!$FW$319:$FW$534,MATCH(ROW(A58),'1_入力シート【基本情報】'!$HX$319:$HX$534,0)),"")</f>
        <v/>
      </c>
      <c r="P223" s="3421"/>
      <c r="Q223" s="3421"/>
      <c r="R223" s="3421"/>
      <c r="S223" s="3421"/>
      <c r="T223" s="3421"/>
      <c r="U223" s="3421"/>
      <c r="V223" s="3421"/>
      <c r="W223" s="3421"/>
      <c r="X223" s="3421"/>
      <c r="Y223" s="3421"/>
      <c r="Z223" s="3421"/>
      <c r="AA223" s="3421"/>
      <c r="AB223" s="3421"/>
      <c r="AC223" s="3421"/>
      <c r="AD223" s="3422"/>
      <c r="AE223" s="3420" t="str">
        <f>IFERROR(INDEX('1_入力シート【基本情報】'!$BD$319:$BD$534,MATCH(ROW(A58),'1_入力シート【基本情報】'!$HX$319:$HX$534,0)),"")</f>
        <v/>
      </c>
      <c r="AF223" s="3421"/>
      <c r="AG223" s="3421"/>
      <c r="AH223" s="3421"/>
      <c r="AI223" s="3421"/>
      <c r="AJ223" s="3421"/>
      <c r="AK223" s="3421"/>
      <c r="AL223" s="3421"/>
      <c r="AM223" s="3421"/>
      <c r="AN223" s="3421"/>
      <c r="AO223" s="3422"/>
      <c r="AP223" s="1105" t="str">
        <f>IFERROR(INDEX('1_入力シート【基本情報】'!$EA$319:$EA$534,MATCH(ROW(A58),'1_入力シート【基本情報】'!$HX$319:$HX$534,0)),"")</f>
        <v/>
      </c>
      <c r="AQ223" s="574"/>
    </row>
    <row r="224" spans="1:43" ht="65.099999999999994" customHeight="1" x14ac:dyDescent="0.15">
      <c r="A224" s="574"/>
      <c r="B224" s="3416" t="str">
        <f>IFERROR(INDEX('1_入力シート【基本情報】'!$DW$319:$DW$534,MATCH(ROW(A59),'1_入力シート【基本情報】'!$HX$319:$HX$534,0)),"")</f>
        <v/>
      </c>
      <c r="C224" s="3417"/>
      <c r="D224" s="3418"/>
      <c r="E224" s="3419" t="str">
        <f>IFERROR(INDEX('1_入力シート【基本情報】'!$DR$319:$DR$534,MATCH(ROW(A59),'1_入力シート【基本情報】'!$HX$319:$HX$534,0)),"")</f>
        <v/>
      </c>
      <c r="F224" s="3419"/>
      <c r="G224" s="3419"/>
      <c r="H224" s="3419"/>
      <c r="I224" s="3419"/>
      <c r="J224" s="3419"/>
      <c r="K224" s="3419"/>
      <c r="L224" s="3419"/>
      <c r="M224" s="3419"/>
      <c r="N224" s="3420"/>
      <c r="O224" s="3420" t="str">
        <f>IFERROR(INDEX('1_入力シート【基本情報】'!$FW$319:$FW$534,MATCH(ROW(A59),'1_入力シート【基本情報】'!$HX$319:$HX$534,0)),"")</f>
        <v/>
      </c>
      <c r="P224" s="3421"/>
      <c r="Q224" s="3421"/>
      <c r="R224" s="3421"/>
      <c r="S224" s="3421"/>
      <c r="T224" s="3421"/>
      <c r="U224" s="3421"/>
      <c r="V224" s="3421"/>
      <c r="W224" s="3421"/>
      <c r="X224" s="3421"/>
      <c r="Y224" s="3421"/>
      <c r="Z224" s="3421"/>
      <c r="AA224" s="3421"/>
      <c r="AB224" s="3421"/>
      <c r="AC224" s="3421"/>
      <c r="AD224" s="3422"/>
      <c r="AE224" s="3420" t="str">
        <f>IFERROR(INDEX('1_入力シート【基本情報】'!$BD$319:$BD$534,MATCH(ROW(A59),'1_入力シート【基本情報】'!$HX$319:$HX$534,0)),"")</f>
        <v/>
      </c>
      <c r="AF224" s="3421"/>
      <c r="AG224" s="3421"/>
      <c r="AH224" s="3421"/>
      <c r="AI224" s="3421"/>
      <c r="AJ224" s="3421"/>
      <c r="AK224" s="3421"/>
      <c r="AL224" s="3421"/>
      <c r="AM224" s="3421"/>
      <c r="AN224" s="3421"/>
      <c r="AO224" s="3422"/>
      <c r="AP224" s="1105" t="str">
        <f>IFERROR(INDEX('1_入力シート【基本情報】'!$EA$319:$EA$534,MATCH(ROW(A59),'1_入力シート【基本情報】'!$HX$319:$HX$534,0)),"")</f>
        <v/>
      </c>
      <c r="AQ224" s="574"/>
    </row>
    <row r="225" spans="1:43" ht="65.099999999999994" customHeight="1" x14ac:dyDescent="0.15">
      <c r="A225" s="574"/>
      <c r="B225" s="3416" t="str">
        <f>IFERROR(INDEX('1_入力シート【基本情報】'!$DW$319:$DW$534,MATCH(ROW(A60),'1_入力シート【基本情報】'!$HX$319:$HX$534,0)),"")</f>
        <v/>
      </c>
      <c r="C225" s="3417"/>
      <c r="D225" s="3418"/>
      <c r="E225" s="3419" t="str">
        <f>IFERROR(INDEX('1_入力シート【基本情報】'!$DR$319:$DR$534,MATCH(ROW(A60),'1_入力シート【基本情報】'!$HX$319:$HX$534,0)),"")</f>
        <v/>
      </c>
      <c r="F225" s="3419"/>
      <c r="G225" s="3419"/>
      <c r="H225" s="3419"/>
      <c r="I225" s="3419"/>
      <c r="J225" s="3419"/>
      <c r="K225" s="3419"/>
      <c r="L225" s="3419"/>
      <c r="M225" s="3419"/>
      <c r="N225" s="3420"/>
      <c r="O225" s="3420" t="str">
        <f>IFERROR(INDEX('1_入力シート【基本情報】'!$FW$319:$FW$534,MATCH(ROW(A60),'1_入力シート【基本情報】'!$HX$319:$HX$534,0)),"")</f>
        <v/>
      </c>
      <c r="P225" s="3421"/>
      <c r="Q225" s="3421"/>
      <c r="R225" s="3421"/>
      <c r="S225" s="3421"/>
      <c r="T225" s="3421"/>
      <c r="U225" s="3421"/>
      <c r="V225" s="3421"/>
      <c r="W225" s="3421"/>
      <c r="X225" s="3421"/>
      <c r="Y225" s="3421"/>
      <c r="Z225" s="3421"/>
      <c r="AA225" s="3421"/>
      <c r="AB225" s="3421"/>
      <c r="AC225" s="3421"/>
      <c r="AD225" s="3422"/>
      <c r="AE225" s="3420" t="str">
        <f>IFERROR(INDEX('1_入力シート【基本情報】'!$BD$319:$BD$534,MATCH(ROW(A60),'1_入力シート【基本情報】'!$HX$319:$HX$534,0)),"")</f>
        <v/>
      </c>
      <c r="AF225" s="3421"/>
      <c r="AG225" s="3421"/>
      <c r="AH225" s="3421"/>
      <c r="AI225" s="3421"/>
      <c r="AJ225" s="3421"/>
      <c r="AK225" s="3421"/>
      <c r="AL225" s="3421"/>
      <c r="AM225" s="3421"/>
      <c r="AN225" s="3421"/>
      <c r="AO225" s="3422"/>
      <c r="AP225" s="1105" t="str">
        <f>IFERROR(INDEX('1_入力シート【基本情報】'!$EA$319:$EA$534,MATCH(ROW(A60),'1_入力シート【基本情報】'!$HX$319:$HX$534,0)),"")</f>
        <v/>
      </c>
      <c r="AQ225" s="574"/>
    </row>
    <row r="226" spans="1:43" ht="65.099999999999994" customHeight="1" x14ac:dyDescent="0.15">
      <c r="A226" s="574"/>
      <c r="B226" s="3416" t="str">
        <f>IFERROR(INDEX('1_入力シート【基本情報】'!$DW$319:$DW$534,MATCH(ROW(A61),'1_入力シート【基本情報】'!$HX$319:$HX$534,0)),"")</f>
        <v/>
      </c>
      <c r="C226" s="3417"/>
      <c r="D226" s="3418"/>
      <c r="E226" s="3419" t="str">
        <f>IFERROR(INDEX('1_入力シート【基本情報】'!$DR$319:$DR$534,MATCH(ROW(A61),'1_入力シート【基本情報】'!$HX$319:$HX$534,0)),"")</f>
        <v/>
      </c>
      <c r="F226" s="3419"/>
      <c r="G226" s="3419"/>
      <c r="H226" s="3419"/>
      <c r="I226" s="3419"/>
      <c r="J226" s="3419"/>
      <c r="K226" s="3419"/>
      <c r="L226" s="3419"/>
      <c r="M226" s="3419"/>
      <c r="N226" s="3420"/>
      <c r="O226" s="3420" t="str">
        <f>IFERROR(INDEX('1_入力シート【基本情報】'!$FW$319:$FW$534,MATCH(ROW(A61),'1_入力シート【基本情報】'!$HX$319:$HX$534,0)),"")</f>
        <v/>
      </c>
      <c r="P226" s="3421"/>
      <c r="Q226" s="3421"/>
      <c r="R226" s="3421"/>
      <c r="S226" s="3421"/>
      <c r="T226" s="3421"/>
      <c r="U226" s="3421"/>
      <c r="V226" s="3421"/>
      <c r="W226" s="3421"/>
      <c r="X226" s="3421"/>
      <c r="Y226" s="3421"/>
      <c r="Z226" s="3421"/>
      <c r="AA226" s="3421"/>
      <c r="AB226" s="3421"/>
      <c r="AC226" s="3421"/>
      <c r="AD226" s="3422"/>
      <c r="AE226" s="3420" t="str">
        <f>IFERROR(INDEX('1_入力シート【基本情報】'!$BD$319:$BD$534,MATCH(ROW(A61),'1_入力シート【基本情報】'!$HX$319:$HX$534,0)),"")</f>
        <v/>
      </c>
      <c r="AF226" s="3421"/>
      <c r="AG226" s="3421"/>
      <c r="AH226" s="3421"/>
      <c r="AI226" s="3421"/>
      <c r="AJ226" s="3421"/>
      <c r="AK226" s="3421"/>
      <c r="AL226" s="3421"/>
      <c r="AM226" s="3421"/>
      <c r="AN226" s="3421"/>
      <c r="AO226" s="3422"/>
      <c r="AP226" s="1105" t="str">
        <f>IFERROR(INDEX('1_入力シート【基本情報】'!$EA$319:$EA$534,MATCH(ROW(A61),'1_入力シート【基本情報】'!$HX$319:$HX$534,0)),"")</f>
        <v/>
      </c>
      <c r="AQ226" s="574"/>
    </row>
    <row r="227" spans="1:43" ht="65.099999999999994" customHeight="1" x14ac:dyDescent="0.15">
      <c r="A227" s="574"/>
      <c r="B227" s="3416" t="str">
        <f>IFERROR(INDEX('1_入力シート【基本情報】'!$DW$319:$DW$534,MATCH(ROW(A62),'1_入力シート【基本情報】'!$HX$319:$HX$534,0)),"")</f>
        <v/>
      </c>
      <c r="C227" s="3417"/>
      <c r="D227" s="3418"/>
      <c r="E227" s="3419" t="str">
        <f>IFERROR(INDEX('1_入力シート【基本情報】'!$DR$319:$DR$534,MATCH(ROW(A62),'1_入力シート【基本情報】'!$HX$319:$HX$534,0)),"")</f>
        <v/>
      </c>
      <c r="F227" s="3419"/>
      <c r="G227" s="3419"/>
      <c r="H227" s="3419"/>
      <c r="I227" s="3419"/>
      <c r="J227" s="3419"/>
      <c r="K227" s="3419"/>
      <c r="L227" s="3419"/>
      <c r="M227" s="3419"/>
      <c r="N227" s="3420"/>
      <c r="O227" s="3420" t="str">
        <f>IFERROR(INDEX('1_入力シート【基本情報】'!$FW$319:$FW$534,MATCH(ROW(A62),'1_入力シート【基本情報】'!$HX$319:$HX$534,0)),"")</f>
        <v/>
      </c>
      <c r="P227" s="3421"/>
      <c r="Q227" s="3421"/>
      <c r="R227" s="3421"/>
      <c r="S227" s="3421"/>
      <c r="T227" s="3421"/>
      <c r="U227" s="3421"/>
      <c r="V227" s="3421"/>
      <c r="W227" s="3421"/>
      <c r="X227" s="3421"/>
      <c r="Y227" s="3421"/>
      <c r="Z227" s="3421"/>
      <c r="AA227" s="3421"/>
      <c r="AB227" s="3421"/>
      <c r="AC227" s="3421"/>
      <c r="AD227" s="3422"/>
      <c r="AE227" s="3420" t="str">
        <f>IFERROR(INDEX('1_入力シート【基本情報】'!$BD$319:$BD$534,MATCH(ROW(A62),'1_入力シート【基本情報】'!$HX$319:$HX$534,0)),"")</f>
        <v/>
      </c>
      <c r="AF227" s="3421"/>
      <c r="AG227" s="3421"/>
      <c r="AH227" s="3421"/>
      <c r="AI227" s="3421"/>
      <c r="AJ227" s="3421"/>
      <c r="AK227" s="3421"/>
      <c r="AL227" s="3421"/>
      <c r="AM227" s="3421"/>
      <c r="AN227" s="3421"/>
      <c r="AO227" s="3422"/>
      <c r="AP227" s="1105" t="str">
        <f>IFERROR(INDEX('1_入力シート【基本情報】'!$EA$319:$EA$534,MATCH(ROW(A62),'1_入力シート【基本情報】'!$HX$319:$HX$534,0)),"")</f>
        <v/>
      </c>
      <c r="AQ227" s="574"/>
    </row>
    <row r="228" spans="1:43" ht="65.099999999999994" customHeight="1" x14ac:dyDescent="0.15">
      <c r="A228" s="574"/>
      <c r="B228" s="3416" t="str">
        <f>IFERROR(INDEX('1_入力シート【基本情報】'!$DW$319:$DW$534,MATCH(ROW(A63),'1_入力シート【基本情報】'!$HX$319:$HX$534,0)),"")</f>
        <v/>
      </c>
      <c r="C228" s="3417"/>
      <c r="D228" s="3418"/>
      <c r="E228" s="3419" t="str">
        <f>IFERROR(INDEX('1_入力シート【基本情報】'!$DR$319:$DR$534,MATCH(ROW(A63),'1_入力シート【基本情報】'!$HX$319:$HX$534,0)),"")</f>
        <v/>
      </c>
      <c r="F228" s="3419"/>
      <c r="G228" s="3419"/>
      <c r="H228" s="3419"/>
      <c r="I228" s="3419"/>
      <c r="J228" s="3419"/>
      <c r="K228" s="3419"/>
      <c r="L228" s="3419"/>
      <c r="M228" s="3419"/>
      <c r="N228" s="3420"/>
      <c r="O228" s="3420" t="str">
        <f>IFERROR(INDEX('1_入力シート【基本情報】'!$FW$319:$FW$534,MATCH(ROW(A63),'1_入力シート【基本情報】'!$HX$319:$HX$534,0)),"")</f>
        <v/>
      </c>
      <c r="P228" s="3421"/>
      <c r="Q228" s="3421"/>
      <c r="R228" s="3421"/>
      <c r="S228" s="3421"/>
      <c r="T228" s="3421"/>
      <c r="U228" s="3421"/>
      <c r="V228" s="3421"/>
      <c r="W228" s="3421"/>
      <c r="X228" s="3421"/>
      <c r="Y228" s="3421"/>
      <c r="Z228" s="3421"/>
      <c r="AA228" s="3421"/>
      <c r="AB228" s="3421"/>
      <c r="AC228" s="3421"/>
      <c r="AD228" s="3422"/>
      <c r="AE228" s="3420" t="str">
        <f>IFERROR(INDEX('1_入力シート【基本情報】'!$BD$319:$BD$534,MATCH(ROW(A63),'1_入力シート【基本情報】'!$HX$319:$HX$534,0)),"")</f>
        <v/>
      </c>
      <c r="AF228" s="3421"/>
      <c r="AG228" s="3421"/>
      <c r="AH228" s="3421"/>
      <c r="AI228" s="3421"/>
      <c r="AJ228" s="3421"/>
      <c r="AK228" s="3421"/>
      <c r="AL228" s="3421"/>
      <c r="AM228" s="3421"/>
      <c r="AN228" s="3421"/>
      <c r="AO228" s="3422"/>
      <c r="AP228" s="1105" t="str">
        <f>IFERROR(INDEX('1_入力シート【基本情報】'!$EA$319:$EA$534,MATCH(ROW(A63),'1_入力シート【基本情報】'!$HX$319:$HX$534,0)),"")</f>
        <v/>
      </c>
      <c r="AQ228" s="574"/>
    </row>
    <row r="229" spans="1:43" ht="65.099999999999994" customHeight="1" x14ac:dyDescent="0.15">
      <c r="A229" s="574"/>
      <c r="B229" s="3416" t="str">
        <f>IFERROR(INDEX('1_入力シート【基本情報】'!$DW$319:$DW$534,MATCH(ROW(A64),'1_入力シート【基本情報】'!$HX$319:$HX$534,0)),"")</f>
        <v/>
      </c>
      <c r="C229" s="3417"/>
      <c r="D229" s="3418"/>
      <c r="E229" s="3419" t="str">
        <f>IFERROR(INDEX('1_入力シート【基本情報】'!$DR$319:$DR$534,MATCH(ROW(A64),'1_入力シート【基本情報】'!$HX$319:$HX$534,0)),"")</f>
        <v/>
      </c>
      <c r="F229" s="3419"/>
      <c r="G229" s="3419"/>
      <c r="H229" s="3419"/>
      <c r="I229" s="3419"/>
      <c r="J229" s="3419"/>
      <c r="K229" s="3419"/>
      <c r="L229" s="3419"/>
      <c r="M229" s="3419"/>
      <c r="N229" s="3420"/>
      <c r="O229" s="3420" t="str">
        <f>IFERROR(INDEX('1_入力シート【基本情報】'!$FW$319:$FW$534,MATCH(ROW(A64),'1_入力シート【基本情報】'!$HX$319:$HX$534,0)),"")</f>
        <v/>
      </c>
      <c r="P229" s="3421"/>
      <c r="Q229" s="3421"/>
      <c r="R229" s="3421"/>
      <c r="S229" s="3421"/>
      <c r="T229" s="3421"/>
      <c r="U229" s="3421"/>
      <c r="V229" s="3421"/>
      <c r="W229" s="3421"/>
      <c r="X229" s="3421"/>
      <c r="Y229" s="3421"/>
      <c r="Z229" s="3421"/>
      <c r="AA229" s="3421"/>
      <c r="AB229" s="3421"/>
      <c r="AC229" s="3421"/>
      <c r="AD229" s="3422"/>
      <c r="AE229" s="3420" t="str">
        <f>IFERROR(INDEX('1_入力シート【基本情報】'!$BD$319:$BD$534,MATCH(ROW(A64),'1_入力シート【基本情報】'!$HX$319:$HX$534,0)),"")</f>
        <v/>
      </c>
      <c r="AF229" s="3421"/>
      <c r="AG229" s="3421"/>
      <c r="AH229" s="3421"/>
      <c r="AI229" s="3421"/>
      <c r="AJ229" s="3421"/>
      <c r="AK229" s="3421"/>
      <c r="AL229" s="3421"/>
      <c r="AM229" s="3421"/>
      <c r="AN229" s="3421"/>
      <c r="AO229" s="3422"/>
      <c r="AP229" s="1105" t="str">
        <f>IFERROR(INDEX('1_入力シート【基本情報】'!$EA$319:$EA$534,MATCH(ROW(A64),'1_入力シート【基本情報】'!$HX$319:$HX$534,0)),"")</f>
        <v/>
      </c>
      <c r="AQ229" s="574"/>
    </row>
    <row r="230" spans="1:43" ht="65.099999999999994" customHeight="1" x14ac:dyDescent="0.15">
      <c r="A230" s="574"/>
      <c r="B230" s="3416" t="str">
        <f>IFERROR(INDEX('1_入力シート【基本情報】'!$DW$319:$DW$534,MATCH(ROW(A65),'1_入力シート【基本情報】'!$HX$319:$HX$534,0)),"")</f>
        <v/>
      </c>
      <c r="C230" s="3417"/>
      <c r="D230" s="3418"/>
      <c r="E230" s="3419" t="str">
        <f>IFERROR(INDEX('1_入力シート【基本情報】'!$DR$319:$DR$534,MATCH(ROW(A65),'1_入力シート【基本情報】'!$HX$319:$HX$534,0)),"")</f>
        <v/>
      </c>
      <c r="F230" s="3419"/>
      <c r="G230" s="3419"/>
      <c r="H230" s="3419"/>
      <c r="I230" s="3419"/>
      <c r="J230" s="3419"/>
      <c r="K230" s="3419"/>
      <c r="L230" s="3419"/>
      <c r="M230" s="3419"/>
      <c r="N230" s="3420"/>
      <c r="O230" s="3420" t="str">
        <f>IFERROR(INDEX('1_入力シート【基本情報】'!$FW$319:$FW$534,MATCH(ROW(A65),'1_入力シート【基本情報】'!$HX$319:$HX$534,0)),"")</f>
        <v/>
      </c>
      <c r="P230" s="3421"/>
      <c r="Q230" s="3421"/>
      <c r="R230" s="3421"/>
      <c r="S230" s="3421"/>
      <c r="T230" s="3421"/>
      <c r="U230" s="3421"/>
      <c r="V230" s="3421"/>
      <c r="W230" s="3421"/>
      <c r="X230" s="3421"/>
      <c r="Y230" s="3421"/>
      <c r="Z230" s="3421"/>
      <c r="AA230" s="3421"/>
      <c r="AB230" s="3421"/>
      <c r="AC230" s="3421"/>
      <c r="AD230" s="3422"/>
      <c r="AE230" s="3420" t="str">
        <f>IFERROR(INDEX('1_入力シート【基本情報】'!$BD$319:$BD$534,MATCH(ROW(A65),'1_入力シート【基本情報】'!$HX$319:$HX$534,0)),"")</f>
        <v/>
      </c>
      <c r="AF230" s="3421"/>
      <c r="AG230" s="3421"/>
      <c r="AH230" s="3421"/>
      <c r="AI230" s="3421"/>
      <c r="AJ230" s="3421"/>
      <c r="AK230" s="3421"/>
      <c r="AL230" s="3421"/>
      <c r="AM230" s="3421"/>
      <c r="AN230" s="3421"/>
      <c r="AO230" s="3422"/>
      <c r="AP230" s="1105" t="str">
        <f>IFERROR(INDEX('1_入力シート【基本情報】'!$EA$319:$EA$534,MATCH(ROW(A65),'1_入力シート【基本情報】'!$HX$319:$HX$534,0)),"")</f>
        <v/>
      </c>
      <c r="AQ230" s="574"/>
    </row>
    <row r="231" spans="1:43" ht="65.099999999999994" customHeight="1" x14ac:dyDescent="0.15">
      <c r="A231" s="574"/>
      <c r="B231" s="3416" t="str">
        <f>IFERROR(INDEX('1_入力シート【基本情報】'!$DW$319:$DW$534,MATCH(ROW(A66),'1_入力シート【基本情報】'!$HX$319:$HX$534,0)),"")</f>
        <v/>
      </c>
      <c r="C231" s="3417"/>
      <c r="D231" s="3418"/>
      <c r="E231" s="3419" t="str">
        <f>IFERROR(INDEX('1_入力シート【基本情報】'!$DR$319:$DR$534,MATCH(ROW(A66),'1_入力シート【基本情報】'!$HX$319:$HX$534,0)),"")</f>
        <v/>
      </c>
      <c r="F231" s="3419"/>
      <c r="G231" s="3419"/>
      <c r="H231" s="3419"/>
      <c r="I231" s="3419"/>
      <c r="J231" s="3419"/>
      <c r="K231" s="3419"/>
      <c r="L231" s="3419"/>
      <c r="M231" s="3419"/>
      <c r="N231" s="3420"/>
      <c r="O231" s="3420" t="str">
        <f>IFERROR(INDEX('1_入力シート【基本情報】'!$FW$319:$FW$534,MATCH(ROW(A66),'1_入力シート【基本情報】'!$HX$319:$HX$534,0)),"")</f>
        <v/>
      </c>
      <c r="P231" s="3421"/>
      <c r="Q231" s="3421"/>
      <c r="R231" s="3421"/>
      <c r="S231" s="3421"/>
      <c r="T231" s="3421"/>
      <c r="U231" s="3421"/>
      <c r="V231" s="3421"/>
      <c r="W231" s="3421"/>
      <c r="X231" s="3421"/>
      <c r="Y231" s="3421"/>
      <c r="Z231" s="3421"/>
      <c r="AA231" s="3421"/>
      <c r="AB231" s="3421"/>
      <c r="AC231" s="3421"/>
      <c r="AD231" s="3422"/>
      <c r="AE231" s="3420" t="str">
        <f>IFERROR(INDEX('1_入力シート【基本情報】'!$BD$319:$BD$534,MATCH(ROW(A66),'1_入力シート【基本情報】'!$HX$319:$HX$534,0)),"")</f>
        <v/>
      </c>
      <c r="AF231" s="3421"/>
      <c r="AG231" s="3421"/>
      <c r="AH231" s="3421"/>
      <c r="AI231" s="3421"/>
      <c r="AJ231" s="3421"/>
      <c r="AK231" s="3421"/>
      <c r="AL231" s="3421"/>
      <c r="AM231" s="3421"/>
      <c r="AN231" s="3421"/>
      <c r="AO231" s="3422"/>
      <c r="AP231" s="1105" t="str">
        <f>IFERROR(INDEX('1_入力シート【基本情報】'!$EA$319:$EA$534,MATCH(ROW(A66),'1_入力シート【基本情報】'!$HX$319:$HX$534,0)),"")</f>
        <v/>
      </c>
      <c r="AQ231" s="574"/>
    </row>
    <row r="232" spans="1:43" ht="65.099999999999994" customHeight="1" x14ac:dyDescent="0.15">
      <c r="A232" s="574"/>
      <c r="B232" s="3416" t="str">
        <f>IFERROR(INDEX('1_入力シート【基本情報】'!$DW$319:$DW$534,MATCH(ROW(A67),'1_入力シート【基本情報】'!$HX$319:$HX$534,0)),"")</f>
        <v/>
      </c>
      <c r="C232" s="3417"/>
      <c r="D232" s="3418"/>
      <c r="E232" s="3419" t="str">
        <f>IFERROR(INDEX('1_入力シート【基本情報】'!$DR$319:$DR$534,MATCH(ROW(A67),'1_入力シート【基本情報】'!$HX$319:$HX$534,0)),"")</f>
        <v/>
      </c>
      <c r="F232" s="3419"/>
      <c r="G232" s="3419"/>
      <c r="H232" s="3419"/>
      <c r="I232" s="3419"/>
      <c r="J232" s="3419"/>
      <c r="K232" s="3419"/>
      <c r="L232" s="3419"/>
      <c r="M232" s="3419"/>
      <c r="N232" s="3420"/>
      <c r="O232" s="3420" t="str">
        <f>IFERROR(INDEX('1_入力シート【基本情報】'!$FW$319:$FW$534,MATCH(ROW(A67),'1_入力シート【基本情報】'!$HX$319:$HX$534,0)),"")</f>
        <v/>
      </c>
      <c r="P232" s="3421"/>
      <c r="Q232" s="3421"/>
      <c r="R232" s="3421"/>
      <c r="S232" s="3421"/>
      <c r="T232" s="3421"/>
      <c r="U232" s="3421"/>
      <c r="V232" s="3421"/>
      <c r="W232" s="3421"/>
      <c r="X232" s="3421"/>
      <c r="Y232" s="3421"/>
      <c r="Z232" s="3421"/>
      <c r="AA232" s="3421"/>
      <c r="AB232" s="3421"/>
      <c r="AC232" s="3421"/>
      <c r="AD232" s="3422"/>
      <c r="AE232" s="3420" t="str">
        <f>IFERROR(INDEX('1_入力シート【基本情報】'!$BD$319:$BD$534,MATCH(ROW(A67),'1_入力シート【基本情報】'!$HX$319:$HX$534,0)),"")</f>
        <v/>
      </c>
      <c r="AF232" s="3421"/>
      <c r="AG232" s="3421"/>
      <c r="AH232" s="3421"/>
      <c r="AI232" s="3421"/>
      <c r="AJ232" s="3421"/>
      <c r="AK232" s="3421"/>
      <c r="AL232" s="3421"/>
      <c r="AM232" s="3421"/>
      <c r="AN232" s="3421"/>
      <c r="AO232" s="3422"/>
      <c r="AP232" s="1105" t="str">
        <f>IFERROR(INDEX('1_入力シート【基本情報】'!$EA$319:$EA$534,MATCH(ROW(A67),'1_入力シート【基本情報】'!$HX$319:$HX$534,0)),"")</f>
        <v/>
      </c>
      <c r="AQ232" s="574"/>
    </row>
    <row r="233" spans="1:43" ht="65.099999999999994" customHeight="1" x14ac:dyDescent="0.15">
      <c r="A233" s="574"/>
      <c r="B233" s="3416" t="str">
        <f>IFERROR(INDEX('1_入力シート【基本情報】'!$DW$319:$DW$534,MATCH(ROW(A68),'1_入力シート【基本情報】'!$HX$319:$HX$534,0)),"")</f>
        <v/>
      </c>
      <c r="C233" s="3417"/>
      <c r="D233" s="3418"/>
      <c r="E233" s="3419" t="str">
        <f>IFERROR(INDEX('1_入力シート【基本情報】'!$DR$319:$DR$534,MATCH(ROW(A68),'1_入力シート【基本情報】'!$HX$319:$HX$534,0)),"")</f>
        <v/>
      </c>
      <c r="F233" s="3419"/>
      <c r="G233" s="3419"/>
      <c r="H233" s="3419"/>
      <c r="I233" s="3419"/>
      <c r="J233" s="3419"/>
      <c r="K233" s="3419"/>
      <c r="L233" s="3419"/>
      <c r="M233" s="3419"/>
      <c r="N233" s="3420"/>
      <c r="O233" s="3420" t="str">
        <f>IFERROR(INDEX('1_入力シート【基本情報】'!$FW$319:$FW$534,MATCH(ROW(A68),'1_入力シート【基本情報】'!$HX$319:$HX$534,0)),"")</f>
        <v/>
      </c>
      <c r="P233" s="3421"/>
      <c r="Q233" s="3421"/>
      <c r="R233" s="3421"/>
      <c r="S233" s="3421"/>
      <c r="T233" s="3421"/>
      <c r="U233" s="3421"/>
      <c r="V233" s="3421"/>
      <c r="W233" s="3421"/>
      <c r="X233" s="3421"/>
      <c r="Y233" s="3421"/>
      <c r="Z233" s="3421"/>
      <c r="AA233" s="3421"/>
      <c r="AB233" s="3421"/>
      <c r="AC233" s="3421"/>
      <c r="AD233" s="3422"/>
      <c r="AE233" s="3420" t="str">
        <f>IFERROR(INDEX('1_入力シート【基本情報】'!$BD$319:$BD$534,MATCH(ROW(A68),'1_入力シート【基本情報】'!$HX$319:$HX$534,0)),"")</f>
        <v/>
      </c>
      <c r="AF233" s="3421"/>
      <c r="AG233" s="3421"/>
      <c r="AH233" s="3421"/>
      <c r="AI233" s="3421"/>
      <c r="AJ233" s="3421"/>
      <c r="AK233" s="3421"/>
      <c r="AL233" s="3421"/>
      <c r="AM233" s="3421"/>
      <c r="AN233" s="3421"/>
      <c r="AO233" s="3422"/>
      <c r="AP233" s="1105" t="str">
        <f>IFERROR(INDEX('1_入力シート【基本情報】'!$EA$319:$EA$534,MATCH(ROW(A68),'1_入力シート【基本情報】'!$HX$319:$HX$534,0)),"")</f>
        <v/>
      </c>
      <c r="AQ233" s="574"/>
    </row>
    <row r="234" spans="1:43" ht="65.099999999999994" customHeight="1" x14ac:dyDescent="0.15">
      <c r="A234" s="574"/>
      <c r="B234" s="3416" t="str">
        <f>IFERROR(INDEX('1_入力シート【基本情報】'!$DW$319:$DW$534,MATCH(ROW(A69),'1_入力シート【基本情報】'!$HX$319:$HX$534,0)),"")</f>
        <v/>
      </c>
      <c r="C234" s="3417"/>
      <c r="D234" s="3418"/>
      <c r="E234" s="3419" t="str">
        <f>IFERROR(INDEX('1_入力シート【基本情報】'!$DR$319:$DR$534,MATCH(ROW(A69),'1_入力シート【基本情報】'!$HX$319:$HX$534,0)),"")</f>
        <v/>
      </c>
      <c r="F234" s="3419"/>
      <c r="G234" s="3419"/>
      <c r="H234" s="3419"/>
      <c r="I234" s="3419"/>
      <c r="J234" s="3419"/>
      <c r="K234" s="3419"/>
      <c r="L234" s="3419"/>
      <c r="M234" s="3419"/>
      <c r="N234" s="3420"/>
      <c r="O234" s="3420" t="str">
        <f>IFERROR(INDEX('1_入力シート【基本情報】'!$FW$319:$FW$534,MATCH(ROW(A69),'1_入力シート【基本情報】'!$HX$319:$HX$534,0)),"")</f>
        <v/>
      </c>
      <c r="P234" s="3421"/>
      <c r="Q234" s="3421"/>
      <c r="R234" s="3421"/>
      <c r="S234" s="3421"/>
      <c r="T234" s="3421"/>
      <c r="U234" s="3421"/>
      <c r="V234" s="3421"/>
      <c r="W234" s="3421"/>
      <c r="X234" s="3421"/>
      <c r="Y234" s="3421"/>
      <c r="Z234" s="3421"/>
      <c r="AA234" s="3421"/>
      <c r="AB234" s="3421"/>
      <c r="AC234" s="3421"/>
      <c r="AD234" s="3422"/>
      <c r="AE234" s="3420" t="str">
        <f>IFERROR(INDEX('1_入力シート【基本情報】'!$BD$319:$BD$534,MATCH(ROW(A69),'1_入力シート【基本情報】'!$HX$319:$HX$534,0)),"")</f>
        <v/>
      </c>
      <c r="AF234" s="3421"/>
      <c r="AG234" s="3421"/>
      <c r="AH234" s="3421"/>
      <c r="AI234" s="3421"/>
      <c r="AJ234" s="3421"/>
      <c r="AK234" s="3421"/>
      <c r="AL234" s="3421"/>
      <c r="AM234" s="3421"/>
      <c r="AN234" s="3421"/>
      <c r="AO234" s="3422"/>
      <c r="AP234" s="1105" t="str">
        <f>IFERROR(INDEX('1_入力シート【基本情報】'!$EA$319:$EA$534,MATCH(ROW(A69),'1_入力シート【基本情報】'!$HX$319:$HX$534,0)),"")</f>
        <v/>
      </c>
      <c r="AQ234" s="574"/>
    </row>
    <row r="235" spans="1:43" ht="65.099999999999994" customHeight="1" x14ac:dyDescent="0.15">
      <c r="A235" s="574"/>
      <c r="B235" s="3416" t="str">
        <f>IFERROR(INDEX('1_入力シート【基本情報】'!$DW$319:$DW$534,MATCH(ROW(A70),'1_入力シート【基本情報】'!$HX$319:$HX$534,0)),"")</f>
        <v/>
      </c>
      <c r="C235" s="3417"/>
      <c r="D235" s="3418"/>
      <c r="E235" s="3419" t="str">
        <f>IFERROR(INDEX('1_入力シート【基本情報】'!$DR$319:$DR$534,MATCH(ROW(A70),'1_入力シート【基本情報】'!$HX$319:$HX$534,0)),"")</f>
        <v/>
      </c>
      <c r="F235" s="3419"/>
      <c r="G235" s="3419"/>
      <c r="H235" s="3419"/>
      <c r="I235" s="3419"/>
      <c r="J235" s="3419"/>
      <c r="K235" s="3419"/>
      <c r="L235" s="3419"/>
      <c r="M235" s="3419"/>
      <c r="N235" s="3420"/>
      <c r="O235" s="3420" t="str">
        <f>IFERROR(INDEX('1_入力シート【基本情報】'!$FW$319:$FW$534,MATCH(ROW(A70),'1_入力シート【基本情報】'!$HX$319:$HX$534,0)),"")</f>
        <v/>
      </c>
      <c r="P235" s="3421"/>
      <c r="Q235" s="3421"/>
      <c r="R235" s="3421"/>
      <c r="S235" s="3421"/>
      <c r="T235" s="3421"/>
      <c r="U235" s="3421"/>
      <c r="V235" s="3421"/>
      <c r="W235" s="3421"/>
      <c r="X235" s="3421"/>
      <c r="Y235" s="3421"/>
      <c r="Z235" s="3421"/>
      <c r="AA235" s="3421"/>
      <c r="AB235" s="3421"/>
      <c r="AC235" s="3421"/>
      <c r="AD235" s="3422"/>
      <c r="AE235" s="3420" t="str">
        <f>IFERROR(INDEX('1_入力シート【基本情報】'!$BD$319:$BD$534,MATCH(ROW(A70),'1_入力シート【基本情報】'!$HX$319:$HX$534,0)),"")</f>
        <v/>
      </c>
      <c r="AF235" s="3421"/>
      <c r="AG235" s="3421"/>
      <c r="AH235" s="3421"/>
      <c r="AI235" s="3421"/>
      <c r="AJ235" s="3421"/>
      <c r="AK235" s="3421"/>
      <c r="AL235" s="3421"/>
      <c r="AM235" s="3421"/>
      <c r="AN235" s="3421"/>
      <c r="AO235" s="3422"/>
      <c r="AP235" s="1105" t="str">
        <f>IFERROR(INDEX('1_入力シート【基本情報】'!$EA$319:$EA$534,MATCH(ROW(A70),'1_入力シート【基本情報】'!$HX$319:$HX$534,0)),"")</f>
        <v/>
      </c>
      <c r="AQ235" s="574"/>
    </row>
    <row r="236" spans="1:43" ht="65.099999999999994" customHeight="1" x14ac:dyDescent="0.15">
      <c r="A236" s="574"/>
      <c r="B236" s="3416" t="str">
        <f>IFERROR(INDEX('1_入力シート【基本情報】'!$DW$319:$DW$534,MATCH(ROW(A71),'1_入力シート【基本情報】'!$HX$319:$HX$534,0)),"")</f>
        <v/>
      </c>
      <c r="C236" s="3417"/>
      <c r="D236" s="3418"/>
      <c r="E236" s="3419" t="str">
        <f>IFERROR(INDEX('1_入力シート【基本情報】'!$DR$319:$DR$534,MATCH(ROW(A71),'1_入力シート【基本情報】'!$HX$319:$HX$534,0)),"")</f>
        <v/>
      </c>
      <c r="F236" s="3419"/>
      <c r="G236" s="3419"/>
      <c r="H236" s="3419"/>
      <c r="I236" s="3419"/>
      <c r="J236" s="3419"/>
      <c r="K236" s="3419"/>
      <c r="L236" s="3419"/>
      <c r="M236" s="3419"/>
      <c r="N236" s="3420"/>
      <c r="O236" s="3420" t="str">
        <f>IFERROR(INDEX('1_入力シート【基本情報】'!$FW$319:$FW$534,MATCH(ROW(A71),'1_入力シート【基本情報】'!$HX$319:$HX$534,0)),"")</f>
        <v/>
      </c>
      <c r="P236" s="3421"/>
      <c r="Q236" s="3421"/>
      <c r="R236" s="3421"/>
      <c r="S236" s="3421"/>
      <c r="T236" s="3421"/>
      <c r="U236" s="3421"/>
      <c r="V236" s="3421"/>
      <c r="W236" s="3421"/>
      <c r="X236" s="3421"/>
      <c r="Y236" s="3421"/>
      <c r="Z236" s="3421"/>
      <c r="AA236" s="3421"/>
      <c r="AB236" s="3421"/>
      <c r="AC236" s="3421"/>
      <c r="AD236" s="3422"/>
      <c r="AE236" s="3420" t="str">
        <f>IFERROR(INDEX('1_入力シート【基本情報】'!$BD$319:$BD$534,MATCH(ROW(A71),'1_入力シート【基本情報】'!$HX$319:$HX$534,0)),"")</f>
        <v/>
      </c>
      <c r="AF236" s="3421"/>
      <c r="AG236" s="3421"/>
      <c r="AH236" s="3421"/>
      <c r="AI236" s="3421"/>
      <c r="AJ236" s="3421"/>
      <c r="AK236" s="3421"/>
      <c r="AL236" s="3421"/>
      <c r="AM236" s="3421"/>
      <c r="AN236" s="3421"/>
      <c r="AO236" s="3422"/>
      <c r="AP236" s="1105" t="str">
        <f>IFERROR(INDEX('1_入力シート【基本情報】'!$EA$319:$EA$534,MATCH(ROW(A71),'1_入力シート【基本情報】'!$HX$319:$HX$534,0)),"")</f>
        <v/>
      </c>
      <c r="AQ236" s="574"/>
    </row>
    <row r="237" spans="1:43" ht="65.099999999999994" customHeight="1" x14ac:dyDescent="0.15">
      <c r="A237" s="574"/>
      <c r="B237" s="3416" t="str">
        <f>IFERROR(INDEX('1_入力シート【基本情報】'!$DW$319:$DW$534,MATCH(ROW(A72),'1_入力シート【基本情報】'!$HX$319:$HX$534,0)),"")</f>
        <v/>
      </c>
      <c r="C237" s="3417"/>
      <c r="D237" s="3418"/>
      <c r="E237" s="3419" t="str">
        <f>IFERROR(INDEX('1_入力シート【基本情報】'!$DR$319:$DR$534,MATCH(ROW(A72),'1_入力シート【基本情報】'!$HX$319:$HX$534,0)),"")</f>
        <v/>
      </c>
      <c r="F237" s="3419"/>
      <c r="G237" s="3419"/>
      <c r="H237" s="3419"/>
      <c r="I237" s="3419"/>
      <c r="J237" s="3419"/>
      <c r="K237" s="3419"/>
      <c r="L237" s="3419"/>
      <c r="M237" s="3419"/>
      <c r="N237" s="3420"/>
      <c r="O237" s="3420" t="str">
        <f>IFERROR(INDEX('1_入力シート【基本情報】'!$FW$319:$FW$534,MATCH(ROW(A72),'1_入力シート【基本情報】'!$HX$319:$HX$534,0)),"")</f>
        <v/>
      </c>
      <c r="P237" s="3421"/>
      <c r="Q237" s="3421"/>
      <c r="R237" s="3421"/>
      <c r="S237" s="3421"/>
      <c r="T237" s="3421"/>
      <c r="U237" s="3421"/>
      <c r="V237" s="3421"/>
      <c r="W237" s="3421"/>
      <c r="X237" s="3421"/>
      <c r="Y237" s="3421"/>
      <c r="Z237" s="3421"/>
      <c r="AA237" s="3421"/>
      <c r="AB237" s="3421"/>
      <c r="AC237" s="3421"/>
      <c r="AD237" s="3422"/>
      <c r="AE237" s="3420" t="str">
        <f>IFERROR(INDEX('1_入力シート【基本情報】'!$BD$319:$BD$534,MATCH(ROW(A72),'1_入力シート【基本情報】'!$HX$319:$HX$534,0)),"")</f>
        <v/>
      </c>
      <c r="AF237" s="3421"/>
      <c r="AG237" s="3421"/>
      <c r="AH237" s="3421"/>
      <c r="AI237" s="3421"/>
      <c r="AJ237" s="3421"/>
      <c r="AK237" s="3421"/>
      <c r="AL237" s="3421"/>
      <c r="AM237" s="3421"/>
      <c r="AN237" s="3421"/>
      <c r="AO237" s="3422"/>
      <c r="AP237" s="1105" t="str">
        <f>IFERROR(INDEX('1_入力シート【基本情報】'!$EA$319:$EA$534,MATCH(ROW(A72),'1_入力シート【基本情報】'!$HX$319:$HX$534,0)),"")</f>
        <v/>
      </c>
      <c r="AQ237" s="574"/>
    </row>
    <row r="238" spans="1:43" ht="65.099999999999994" customHeight="1" x14ac:dyDescent="0.15">
      <c r="A238" s="574"/>
      <c r="B238" s="3416" t="str">
        <f>IFERROR(INDEX('1_入力シート【基本情報】'!$DW$319:$DW$534,MATCH(ROW(A73),'1_入力シート【基本情報】'!$HX$319:$HX$534,0)),"")</f>
        <v/>
      </c>
      <c r="C238" s="3417"/>
      <c r="D238" s="3418"/>
      <c r="E238" s="3419" t="str">
        <f>IFERROR(INDEX('1_入力シート【基本情報】'!$DR$319:$DR$534,MATCH(ROW(A73),'1_入力シート【基本情報】'!$HX$319:$HX$534,0)),"")</f>
        <v/>
      </c>
      <c r="F238" s="3419"/>
      <c r="G238" s="3419"/>
      <c r="H238" s="3419"/>
      <c r="I238" s="3419"/>
      <c r="J238" s="3419"/>
      <c r="K238" s="3419"/>
      <c r="L238" s="3419"/>
      <c r="M238" s="3419"/>
      <c r="N238" s="3420"/>
      <c r="O238" s="3420" t="str">
        <f>IFERROR(INDEX('1_入力シート【基本情報】'!$FW$319:$FW$534,MATCH(ROW(A73),'1_入力シート【基本情報】'!$HX$319:$HX$534,0)),"")</f>
        <v/>
      </c>
      <c r="P238" s="3421"/>
      <c r="Q238" s="3421"/>
      <c r="R238" s="3421"/>
      <c r="S238" s="3421"/>
      <c r="T238" s="3421"/>
      <c r="U238" s="3421"/>
      <c r="V238" s="3421"/>
      <c r="W238" s="3421"/>
      <c r="X238" s="3421"/>
      <c r="Y238" s="3421"/>
      <c r="Z238" s="3421"/>
      <c r="AA238" s="3421"/>
      <c r="AB238" s="3421"/>
      <c r="AC238" s="3421"/>
      <c r="AD238" s="3422"/>
      <c r="AE238" s="3420" t="str">
        <f>IFERROR(INDEX('1_入力シート【基本情報】'!$BD$319:$BD$534,MATCH(ROW(A73),'1_入力シート【基本情報】'!$HX$319:$HX$534,0)),"")</f>
        <v/>
      </c>
      <c r="AF238" s="3421"/>
      <c r="AG238" s="3421"/>
      <c r="AH238" s="3421"/>
      <c r="AI238" s="3421"/>
      <c r="AJ238" s="3421"/>
      <c r="AK238" s="3421"/>
      <c r="AL238" s="3421"/>
      <c r="AM238" s="3421"/>
      <c r="AN238" s="3421"/>
      <c r="AO238" s="3422"/>
      <c r="AP238" s="1105" t="str">
        <f>IFERROR(INDEX('1_入力シート【基本情報】'!$EA$319:$EA$534,MATCH(ROW(A73),'1_入力シート【基本情報】'!$HX$319:$HX$534,0)),"")</f>
        <v/>
      </c>
      <c r="AQ238" s="574"/>
    </row>
    <row r="239" spans="1:43" ht="65.099999999999994" customHeight="1" x14ac:dyDescent="0.15">
      <c r="A239" s="574"/>
      <c r="B239" s="3416" t="str">
        <f>IFERROR(INDEX('1_入力シート【基本情報】'!$DW$319:$DW$534,MATCH(ROW(A74),'1_入力シート【基本情報】'!$HX$319:$HX$534,0)),"")</f>
        <v/>
      </c>
      <c r="C239" s="3417"/>
      <c r="D239" s="3418"/>
      <c r="E239" s="3419" t="str">
        <f>IFERROR(INDEX('1_入力シート【基本情報】'!$DR$319:$DR$534,MATCH(ROW(A74),'1_入力シート【基本情報】'!$HX$319:$HX$534,0)),"")</f>
        <v/>
      </c>
      <c r="F239" s="3419"/>
      <c r="G239" s="3419"/>
      <c r="H239" s="3419"/>
      <c r="I239" s="3419"/>
      <c r="J239" s="3419"/>
      <c r="K239" s="3419"/>
      <c r="L239" s="3419"/>
      <c r="M239" s="3419"/>
      <c r="N239" s="3420"/>
      <c r="O239" s="3420" t="str">
        <f>IFERROR(INDEX('1_入力シート【基本情報】'!$FW$319:$FW$534,MATCH(ROW(A74),'1_入力シート【基本情報】'!$HX$319:$HX$534,0)),"")</f>
        <v/>
      </c>
      <c r="P239" s="3421"/>
      <c r="Q239" s="3421"/>
      <c r="R239" s="3421"/>
      <c r="S239" s="3421"/>
      <c r="T239" s="3421"/>
      <c r="U239" s="3421"/>
      <c r="V239" s="3421"/>
      <c r="W239" s="3421"/>
      <c r="X239" s="3421"/>
      <c r="Y239" s="3421"/>
      <c r="Z239" s="3421"/>
      <c r="AA239" s="3421"/>
      <c r="AB239" s="3421"/>
      <c r="AC239" s="3421"/>
      <c r="AD239" s="3422"/>
      <c r="AE239" s="3420" t="str">
        <f>IFERROR(INDEX('1_入力シート【基本情報】'!$BD$319:$BD$534,MATCH(ROW(A74),'1_入力シート【基本情報】'!$HX$319:$HX$534,0)),"")</f>
        <v/>
      </c>
      <c r="AF239" s="3421"/>
      <c r="AG239" s="3421"/>
      <c r="AH239" s="3421"/>
      <c r="AI239" s="3421"/>
      <c r="AJ239" s="3421"/>
      <c r="AK239" s="3421"/>
      <c r="AL239" s="3421"/>
      <c r="AM239" s="3421"/>
      <c r="AN239" s="3421"/>
      <c r="AO239" s="3422"/>
      <c r="AP239" s="1105" t="str">
        <f>IFERROR(INDEX('1_入力シート【基本情報】'!$EA$319:$EA$534,MATCH(ROW(A74),'1_入力シート【基本情報】'!$HX$319:$HX$534,0)),"")</f>
        <v/>
      </c>
      <c r="AQ239" s="574"/>
    </row>
    <row r="240" spans="1:43" ht="65.099999999999994" customHeight="1" x14ac:dyDescent="0.15">
      <c r="A240" s="574"/>
      <c r="B240" s="3416" t="str">
        <f>IFERROR(INDEX('1_入力シート【基本情報】'!$DW$319:$DW$534,MATCH(ROW(A75),'1_入力シート【基本情報】'!$HX$319:$HX$534,0)),"")</f>
        <v/>
      </c>
      <c r="C240" s="3417"/>
      <c r="D240" s="3418"/>
      <c r="E240" s="3419" t="str">
        <f>IFERROR(INDEX('1_入力シート【基本情報】'!$DR$319:$DR$534,MATCH(ROW(A75),'1_入力シート【基本情報】'!$HX$319:$HX$534,0)),"")</f>
        <v/>
      </c>
      <c r="F240" s="3419"/>
      <c r="G240" s="3419"/>
      <c r="H240" s="3419"/>
      <c r="I240" s="3419"/>
      <c r="J240" s="3419"/>
      <c r="K240" s="3419"/>
      <c r="L240" s="3419"/>
      <c r="M240" s="3419"/>
      <c r="N240" s="3420"/>
      <c r="O240" s="3420" t="str">
        <f>IFERROR(INDEX('1_入力シート【基本情報】'!$FW$319:$FW$534,MATCH(ROW(A75),'1_入力シート【基本情報】'!$HX$319:$HX$534,0)),"")</f>
        <v/>
      </c>
      <c r="P240" s="3421"/>
      <c r="Q240" s="3421"/>
      <c r="R240" s="3421"/>
      <c r="S240" s="3421"/>
      <c r="T240" s="3421"/>
      <c r="U240" s="3421"/>
      <c r="V240" s="3421"/>
      <c r="W240" s="3421"/>
      <c r="X240" s="3421"/>
      <c r="Y240" s="3421"/>
      <c r="Z240" s="3421"/>
      <c r="AA240" s="3421"/>
      <c r="AB240" s="3421"/>
      <c r="AC240" s="3421"/>
      <c r="AD240" s="3422"/>
      <c r="AE240" s="3420" t="str">
        <f>IFERROR(INDEX('1_入力シート【基本情報】'!$BD$319:$BD$534,MATCH(ROW(A75),'1_入力シート【基本情報】'!$HX$319:$HX$534,0)),"")</f>
        <v/>
      </c>
      <c r="AF240" s="3421"/>
      <c r="AG240" s="3421"/>
      <c r="AH240" s="3421"/>
      <c r="AI240" s="3421"/>
      <c r="AJ240" s="3421"/>
      <c r="AK240" s="3421"/>
      <c r="AL240" s="3421"/>
      <c r="AM240" s="3421"/>
      <c r="AN240" s="3421"/>
      <c r="AO240" s="3422"/>
      <c r="AP240" s="1105" t="str">
        <f>IFERROR(INDEX('1_入力シート【基本情報】'!$EA$319:$EA$534,MATCH(ROW(A75),'1_入力シート【基本情報】'!$HX$319:$HX$534,0)),"")</f>
        <v/>
      </c>
      <c r="AQ240" s="574"/>
    </row>
    <row r="241" spans="2:44" s="470" customFormat="1" x14ac:dyDescent="0.15">
      <c r="AR241" s="1589"/>
    </row>
    <row r="242" spans="2:44" ht="11.25" customHeight="1" x14ac:dyDescent="0.15">
      <c r="B242" s="1106"/>
      <c r="C242" s="3678" t="s">
        <v>150</v>
      </c>
      <c r="D242" s="3678"/>
      <c r="E242" s="3678"/>
      <c r="F242" s="3678"/>
      <c r="G242" s="3678"/>
      <c r="H242" s="3678"/>
      <c r="I242" s="3678"/>
      <c r="J242" s="3678"/>
      <c r="K242" s="3678"/>
      <c r="L242" s="3678"/>
      <c r="M242" s="3678"/>
      <c r="N242" s="3678"/>
      <c r="O242" s="3678"/>
      <c r="P242" s="3678"/>
      <c r="Q242" s="3678"/>
      <c r="R242" s="3678"/>
      <c r="S242" s="3678"/>
      <c r="T242" s="3678"/>
      <c r="U242" s="3678"/>
      <c r="V242" s="3678"/>
      <c r="W242" s="3678"/>
      <c r="X242" s="3678"/>
      <c r="Y242" s="3678"/>
      <c r="Z242" s="3678"/>
      <c r="AA242" s="3678"/>
      <c r="AB242" s="3678"/>
      <c r="AC242" s="3678"/>
      <c r="AD242" s="3678"/>
      <c r="AE242" s="3678"/>
      <c r="AF242" s="3678"/>
      <c r="AG242" s="3678"/>
      <c r="AH242" s="3678"/>
      <c r="AI242" s="3678"/>
      <c r="AJ242" s="3678"/>
      <c r="AK242" s="3678"/>
      <c r="AL242" s="3678"/>
      <c r="AM242" s="3678"/>
      <c r="AN242" s="3678"/>
      <c r="AO242" s="3678"/>
      <c r="AP242" s="3678"/>
    </row>
    <row r="243" spans="2:44" ht="12.95" customHeight="1" x14ac:dyDescent="0.15">
      <c r="B243" s="1107"/>
      <c r="C243" s="1108" t="s">
        <v>1258</v>
      </c>
      <c r="D243" s="1590" t="s">
        <v>151</v>
      </c>
      <c r="E243" s="3688" t="s">
        <v>3359</v>
      </c>
      <c r="F243" s="3688"/>
      <c r="G243" s="3688"/>
      <c r="H243" s="3688"/>
      <c r="I243" s="3688"/>
      <c r="J243" s="3688"/>
      <c r="K243" s="3688"/>
      <c r="L243" s="3688"/>
      <c r="M243" s="3688"/>
      <c r="N243" s="3688"/>
      <c r="O243" s="3688"/>
      <c r="P243" s="3688"/>
      <c r="Q243" s="3688"/>
      <c r="R243" s="3688"/>
      <c r="S243" s="3688"/>
      <c r="T243" s="3688"/>
      <c r="U243" s="3688"/>
      <c r="V243" s="3688"/>
      <c r="W243" s="3688"/>
      <c r="X243" s="3688"/>
      <c r="Y243" s="3688"/>
      <c r="Z243" s="3688"/>
      <c r="AA243" s="3688"/>
      <c r="AB243" s="3688"/>
      <c r="AC243" s="3688"/>
      <c r="AD243" s="3688"/>
      <c r="AE243" s="3688"/>
      <c r="AF243" s="3688"/>
      <c r="AG243" s="3688"/>
      <c r="AH243" s="3688"/>
      <c r="AI243" s="3688"/>
      <c r="AJ243" s="3688"/>
      <c r="AK243" s="3688"/>
      <c r="AL243" s="3688"/>
      <c r="AM243" s="3688"/>
      <c r="AN243" s="3688"/>
      <c r="AO243" s="3688"/>
      <c r="AP243" s="3688"/>
    </row>
    <row r="244" spans="2:44" ht="12.95" customHeight="1" x14ac:dyDescent="0.15">
      <c r="B244" s="1107"/>
      <c r="C244" s="1108" t="s">
        <v>1259</v>
      </c>
      <c r="D244" s="1590" t="s">
        <v>158</v>
      </c>
      <c r="E244" s="3688" t="s">
        <v>959</v>
      </c>
      <c r="F244" s="3688"/>
      <c r="G244" s="3688"/>
      <c r="H244" s="3688"/>
      <c r="I244" s="3688"/>
      <c r="J244" s="3688"/>
      <c r="K244" s="3688"/>
      <c r="L244" s="3688"/>
      <c r="M244" s="3688"/>
      <c r="N244" s="3688"/>
      <c r="O244" s="3688"/>
      <c r="P244" s="3688"/>
      <c r="Q244" s="3688"/>
      <c r="R244" s="3688"/>
      <c r="S244" s="3688"/>
      <c r="T244" s="3688"/>
      <c r="U244" s="3688"/>
      <c r="V244" s="3688"/>
      <c r="W244" s="3688"/>
      <c r="X244" s="3688"/>
      <c r="Y244" s="3688"/>
      <c r="Z244" s="3688"/>
      <c r="AA244" s="3688"/>
      <c r="AB244" s="3688"/>
      <c r="AC244" s="3688"/>
      <c r="AD244" s="3688"/>
      <c r="AE244" s="3688"/>
      <c r="AF244" s="3688"/>
      <c r="AG244" s="3688"/>
      <c r="AH244" s="3688"/>
      <c r="AI244" s="3688"/>
      <c r="AJ244" s="3688"/>
      <c r="AK244" s="3688"/>
      <c r="AL244" s="3688"/>
      <c r="AM244" s="3688"/>
      <c r="AN244" s="3688"/>
      <c r="AO244" s="3688"/>
      <c r="AP244" s="3688"/>
    </row>
    <row r="245" spans="2:44" ht="32.1" customHeight="1" x14ac:dyDescent="0.15">
      <c r="B245" s="1107"/>
      <c r="C245" s="1108" t="s">
        <v>1260</v>
      </c>
      <c r="D245" s="1590" t="s">
        <v>152</v>
      </c>
      <c r="E245" s="3688" t="s">
        <v>3005</v>
      </c>
      <c r="F245" s="3688"/>
      <c r="G245" s="3688"/>
      <c r="H245" s="3688"/>
      <c r="I245" s="3688"/>
      <c r="J245" s="3688"/>
      <c r="K245" s="3688"/>
      <c r="L245" s="3688"/>
      <c r="M245" s="3688"/>
      <c r="N245" s="3688"/>
      <c r="O245" s="3688"/>
      <c r="P245" s="3688"/>
      <c r="Q245" s="3688"/>
      <c r="R245" s="3688"/>
      <c r="S245" s="3688"/>
      <c r="T245" s="3688"/>
      <c r="U245" s="3688"/>
      <c r="V245" s="3688"/>
      <c r="W245" s="3688"/>
      <c r="X245" s="3688"/>
      <c r="Y245" s="3688"/>
      <c r="Z245" s="3688"/>
      <c r="AA245" s="3688"/>
      <c r="AB245" s="3688"/>
      <c r="AC245" s="3688"/>
      <c r="AD245" s="3688"/>
      <c r="AE245" s="3688"/>
      <c r="AF245" s="3688"/>
      <c r="AG245" s="3688"/>
      <c r="AH245" s="3688"/>
      <c r="AI245" s="3688"/>
      <c r="AJ245" s="3688"/>
      <c r="AK245" s="3688"/>
      <c r="AL245" s="3688"/>
      <c r="AM245" s="3688"/>
      <c r="AN245" s="3688"/>
      <c r="AO245" s="3688"/>
      <c r="AP245" s="3688"/>
    </row>
    <row r="246" spans="2:44" ht="12.95" customHeight="1" x14ac:dyDescent="0.15">
      <c r="B246" s="1107"/>
      <c r="C246" s="1108" t="s">
        <v>1261</v>
      </c>
      <c r="D246" s="1590" t="s">
        <v>160</v>
      </c>
      <c r="E246" s="3688" t="s">
        <v>3360</v>
      </c>
      <c r="F246" s="3688"/>
      <c r="G246" s="3688"/>
      <c r="H246" s="3688"/>
      <c r="I246" s="3688"/>
      <c r="J246" s="3688"/>
      <c r="K246" s="3688"/>
      <c r="L246" s="3688"/>
      <c r="M246" s="3688"/>
      <c r="N246" s="3688"/>
      <c r="O246" s="3688"/>
      <c r="P246" s="3688"/>
      <c r="Q246" s="3688"/>
      <c r="R246" s="3688"/>
      <c r="S246" s="3688"/>
      <c r="T246" s="3688"/>
      <c r="U246" s="3688"/>
      <c r="V246" s="3688"/>
      <c r="W246" s="3688"/>
      <c r="X246" s="3688"/>
      <c r="Y246" s="3688"/>
      <c r="Z246" s="3688"/>
      <c r="AA246" s="3688"/>
      <c r="AB246" s="3688"/>
      <c r="AC246" s="3688"/>
      <c r="AD246" s="3688"/>
      <c r="AE246" s="3688"/>
      <c r="AF246" s="3688"/>
      <c r="AG246" s="3688"/>
      <c r="AH246" s="3688"/>
      <c r="AI246" s="3688"/>
      <c r="AJ246" s="3688"/>
      <c r="AK246" s="3688"/>
      <c r="AL246" s="3688"/>
      <c r="AM246" s="3688"/>
      <c r="AN246" s="3688"/>
      <c r="AO246" s="3688"/>
      <c r="AP246" s="3688"/>
    </row>
    <row r="247" spans="2:44" ht="12.95" customHeight="1" x14ac:dyDescent="0.15">
      <c r="B247" s="1107"/>
      <c r="C247" s="1108" t="s">
        <v>1262</v>
      </c>
      <c r="D247" s="1590" t="s">
        <v>1</v>
      </c>
      <c r="E247" s="3688" t="s">
        <v>3006</v>
      </c>
      <c r="F247" s="3688"/>
      <c r="G247" s="3688"/>
      <c r="H247" s="3688"/>
      <c r="I247" s="3688"/>
      <c r="J247" s="3688"/>
      <c r="K247" s="3688"/>
      <c r="L247" s="3688"/>
      <c r="M247" s="3688"/>
      <c r="N247" s="3688"/>
      <c r="O247" s="3688"/>
      <c r="P247" s="3688"/>
      <c r="Q247" s="3688"/>
      <c r="R247" s="3688"/>
      <c r="S247" s="3688"/>
      <c r="T247" s="3688"/>
      <c r="U247" s="3688"/>
      <c r="V247" s="3688"/>
      <c r="W247" s="3688"/>
      <c r="X247" s="3688"/>
      <c r="Y247" s="3688"/>
      <c r="Z247" s="3688"/>
      <c r="AA247" s="3688"/>
      <c r="AB247" s="3688"/>
      <c r="AC247" s="3688"/>
      <c r="AD247" s="3688"/>
      <c r="AE247" s="3688"/>
      <c r="AF247" s="3688"/>
      <c r="AG247" s="3688"/>
      <c r="AH247" s="3688"/>
      <c r="AI247" s="3688"/>
      <c r="AJ247" s="3688"/>
      <c r="AK247" s="3688"/>
      <c r="AL247" s="3688"/>
      <c r="AM247" s="3688"/>
      <c r="AN247" s="3688"/>
      <c r="AO247" s="3688"/>
      <c r="AP247" s="3688"/>
    </row>
    <row r="248" spans="2:44" ht="21" customHeight="1" x14ac:dyDescent="0.15">
      <c r="B248" s="1107"/>
      <c r="C248" s="1108" t="s">
        <v>1263</v>
      </c>
      <c r="D248" s="1590" t="s">
        <v>3007</v>
      </c>
      <c r="E248" s="3688" t="s">
        <v>3008</v>
      </c>
      <c r="F248" s="3688"/>
      <c r="G248" s="3688"/>
      <c r="H248" s="3688"/>
      <c r="I248" s="3688"/>
      <c r="J248" s="3688"/>
      <c r="K248" s="3688"/>
      <c r="L248" s="3688"/>
      <c r="M248" s="3688"/>
      <c r="N248" s="3688"/>
      <c r="O248" s="3688"/>
      <c r="P248" s="3688"/>
      <c r="Q248" s="3688"/>
      <c r="R248" s="3688"/>
      <c r="S248" s="3688"/>
      <c r="T248" s="3688"/>
      <c r="U248" s="3688"/>
      <c r="V248" s="3688"/>
      <c r="W248" s="3688"/>
      <c r="X248" s="3688"/>
      <c r="Y248" s="3688"/>
      <c r="Z248" s="3688"/>
      <c r="AA248" s="3688"/>
      <c r="AB248" s="3688"/>
      <c r="AC248" s="3688"/>
      <c r="AD248" s="3688"/>
      <c r="AE248" s="3688"/>
      <c r="AF248" s="3688"/>
      <c r="AG248" s="3688"/>
      <c r="AH248" s="3688"/>
      <c r="AI248" s="3688"/>
      <c r="AJ248" s="3688"/>
      <c r="AK248" s="3688"/>
      <c r="AL248" s="3688"/>
      <c r="AM248" s="3688"/>
      <c r="AN248" s="3688"/>
      <c r="AO248" s="3688"/>
      <c r="AP248" s="3688"/>
    </row>
    <row r="249" spans="2:44" ht="12.95" customHeight="1" x14ac:dyDescent="0.15">
      <c r="B249" s="1107"/>
      <c r="C249" s="1108" t="s">
        <v>1264</v>
      </c>
      <c r="D249" s="1590" t="s">
        <v>3009</v>
      </c>
      <c r="E249" s="3688" t="s">
        <v>960</v>
      </c>
      <c r="F249" s="3688"/>
      <c r="G249" s="3688"/>
      <c r="H249" s="3688"/>
      <c r="I249" s="3688"/>
      <c r="J249" s="3688"/>
      <c r="K249" s="3688"/>
      <c r="L249" s="3688"/>
      <c r="M249" s="3688"/>
      <c r="N249" s="3688"/>
      <c r="O249" s="3688"/>
      <c r="P249" s="3688"/>
      <c r="Q249" s="3688"/>
      <c r="R249" s="3688"/>
      <c r="S249" s="3688"/>
      <c r="T249" s="3688"/>
      <c r="U249" s="3688"/>
      <c r="V249" s="3688"/>
      <c r="W249" s="3688"/>
      <c r="X249" s="3688"/>
      <c r="Y249" s="3688"/>
      <c r="Z249" s="3688"/>
      <c r="AA249" s="3688"/>
      <c r="AB249" s="3688"/>
      <c r="AC249" s="3688"/>
      <c r="AD249" s="3688"/>
      <c r="AE249" s="3688"/>
      <c r="AF249" s="3688"/>
      <c r="AG249" s="3688"/>
      <c r="AH249" s="3688"/>
      <c r="AI249" s="3688"/>
      <c r="AJ249" s="3688"/>
      <c r="AK249" s="3688"/>
      <c r="AL249" s="3688"/>
      <c r="AM249" s="3688"/>
      <c r="AN249" s="3688"/>
      <c r="AO249" s="3688"/>
      <c r="AP249" s="3688"/>
    </row>
    <row r="250" spans="2:44" ht="21" customHeight="1" x14ac:dyDescent="0.15">
      <c r="B250" s="1107"/>
      <c r="C250" s="1108" t="s">
        <v>1265</v>
      </c>
      <c r="D250" s="1590" t="s">
        <v>3010</v>
      </c>
      <c r="E250" s="3688" t="s">
        <v>961</v>
      </c>
      <c r="F250" s="3688"/>
      <c r="G250" s="3688"/>
      <c r="H250" s="3688"/>
      <c r="I250" s="3688"/>
      <c r="J250" s="3688"/>
      <c r="K250" s="3688"/>
      <c r="L250" s="3688"/>
      <c r="M250" s="3688"/>
      <c r="N250" s="3688"/>
      <c r="O250" s="3688"/>
      <c r="P250" s="3688"/>
      <c r="Q250" s="3688"/>
      <c r="R250" s="3688"/>
      <c r="S250" s="3688"/>
      <c r="T250" s="3688"/>
      <c r="U250" s="3688"/>
      <c r="V250" s="3688"/>
      <c r="W250" s="3688"/>
      <c r="X250" s="3688"/>
      <c r="Y250" s="3688"/>
      <c r="Z250" s="3688"/>
      <c r="AA250" s="3688"/>
      <c r="AB250" s="3688"/>
      <c r="AC250" s="3688"/>
      <c r="AD250" s="3688"/>
      <c r="AE250" s="3688"/>
      <c r="AF250" s="3688"/>
      <c r="AG250" s="3688"/>
      <c r="AH250" s="3688"/>
      <c r="AI250" s="3688"/>
      <c r="AJ250" s="3688"/>
      <c r="AK250" s="3688"/>
      <c r="AL250" s="3688"/>
      <c r="AM250" s="3688"/>
      <c r="AN250" s="3688"/>
      <c r="AO250" s="3688"/>
      <c r="AP250" s="3688"/>
    </row>
    <row r="251" spans="2:44" ht="21" customHeight="1" x14ac:dyDescent="0.15">
      <c r="B251" s="1107"/>
      <c r="C251" s="1108" t="s">
        <v>1266</v>
      </c>
      <c r="D251" s="1590" t="s">
        <v>3011</v>
      </c>
      <c r="E251" s="3688" t="s">
        <v>3012</v>
      </c>
      <c r="F251" s="3688"/>
      <c r="G251" s="3688"/>
      <c r="H251" s="3688"/>
      <c r="I251" s="3688"/>
      <c r="J251" s="3688"/>
      <c r="K251" s="3688"/>
      <c r="L251" s="3688"/>
      <c r="M251" s="3688"/>
      <c r="N251" s="3688"/>
      <c r="O251" s="3688"/>
      <c r="P251" s="3688"/>
      <c r="Q251" s="3688"/>
      <c r="R251" s="3688"/>
      <c r="S251" s="3688"/>
      <c r="T251" s="3688"/>
      <c r="U251" s="3688"/>
      <c r="V251" s="3688"/>
      <c r="W251" s="3688"/>
      <c r="X251" s="3688"/>
      <c r="Y251" s="3688"/>
      <c r="Z251" s="3688"/>
      <c r="AA251" s="3688"/>
      <c r="AB251" s="3688"/>
      <c r="AC251" s="3688"/>
      <c r="AD251" s="3688"/>
      <c r="AE251" s="3688"/>
      <c r="AF251" s="3688"/>
      <c r="AG251" s="3688"/>
      <c r="AH251" s="3688"/>
      <c r="AI251" s="3688"/>
      <c r="AJ251" s="3688"/>
      <c r="AK251" s="3688"/>
      <c r="AL251" s="3688"/>
      <c r="AM251" s="3688"/>
      <c r="AN251" s="3688"/>
      <c r="AO251" s="3688"/>
      <c r="AP251" s="3688"/>
    </row>
    <row r="252" spans="2:44" ht="21" customHeight="1" x14ac:dyDescent="0.15">
      <c r="B252" s="1107"/>
      <c r="C252" s="1108" t="s">
        <v>1267</v>
      </c>
      <c r="D252" s="1590" t="s">
        <v>3013</v>
      </c>
      <c r="E252" s="3688" t="s">
        <v>3014</v>
      </c>
      <c r="F252" s="3688"/>
      <c r="G252" s="3688"/>
      <c r="H252" s="3688"/>
      <c r="I252" s="3688"/>
      <c r="J252" s="3688"/>
      <c r="K252" s="3688"/>
      <c r="L252" s="3688"/>
      <c r="M252" s="3688"/>
      <c r="N252" s="3688"/>
      <c r="O252" s="3688"/>
      <c r="P252" s="3688"/>
      <c r="Q252" s="3688"/>
      <c r="R252" s="3688"/>
      <c r="S252" s="3688"/>
      <c r="T252" s="3688"/>
      <c r="U252" s="3688"/>
      <c r="V252" s="3688"/>
      <c r="W252" s="3688"/>
      <c r="X252" s="3688"/>
      <c r="Y252" s="3688"/>
      <c r="Z252" s="3688"/>
      <c r="AA252" s="3688"/>
      <c r="AB252" s="3688"/>
      <c r="AC252" s="3688"/>
      <c r="AD252" s="3688"/>
      <c r="AE252" s="3688"/>
      <c r="AF252" s="3688"/>
      <c r="AG252" s="3688"/>
      <c r="AH252" s="3688"/>
      <c r="AI252" s="3688"/>
      <c r="AJ252" s="3688"/>
      <c r="AK252" s="3688"/>
      <c r="AL252" s="3688"/>
      <c r="AM252" s="3688"/>
      <c r="AN252" s="3688"/>
      <c r="AO252" s="3688"/>
      <c r="AP252" s="3688"/>
    </row>
    <row r="253" spans="2:44" ht="32.1" customHeight="1" x14ac:dyDescent="0.15">
      <c r="B253" s="1107"/>
      <c r="C253" s="1108" t="s">
        <v>1268</v>
      </c>
      <c r="D253" s="1590" t="s">
        <v>3015</v>
      </c>
      <c r="E253" s="3688" t="s">
        <v>3017</v>
      </c>
      <c r="F253" s="3688"/>
      <c r="G253" s="3688"/>
      <c r="H253" s="3688"/>
      <c r="I253" s="3688"/>
      <c r="J253" s="3688"/>
      <c r="K253" s="3688"/>
      <c r="L253" s="3688"/>
      <c r="M253" s="3688"/>
      <c r="N253" s="3688"/>
      <c r="O253" s="3688"/>
      <c r="P253" s="3688"/>
      <c r="Q253" s="3688"/>
      <c r="R253" s="3688"/>
      <c r="S253" s="3688"/>
      <c r="T253" s="3688"/>
      <c r="U253" s="3688"/>
      <c r="V253" s="3688"/>
      <c r="W253" s="3688"/>
      <c r="X253" s="3688"/>
      <c r="Y253" s="3688"/>
      <c r="Z253" s="3688"/>
      <c r="AA253" s="3688"/>
      <c r="AB253" s="3688"/>
      <c r="AC253" s="3688"/>
      <c r="AD253" s="3688"/>
      <c r="AE253" s="3688"/>
      <c r="AF253" s="3688"/>
      <c r="AG253" s="3688"/>
      <c r="AH253" s="3688"/>
      <c r="AI253" s="3688"/>
      <c r="AJ253" s="3688"/>
      <c r="AK253" s="3688"/>
      <c r="AL253" s="3688"/>
      <c r="AM253" s="3688"/>
      <c r="AN253" s="3688"/>
      <c r="AO253" s="3688"/>
      <c r="AP253" s="3688"/>
    </row>
    <row r="254" spans="2:44" ht="43.5" customHeight="1" x14ac:dyDescent="0.15">
      <c r="B254" s="1109"/>
      <c r="C254" s="1108" t="s">
        <v>1269</v>
      </c>
      <c r="D254" s="1590" t="s">
        <v>3016</v>
      </c>
      <c r="E254" s="3688" t="s">
        <v>962</v>
      </c>
      <c r="F254" s="3688"/>
      <c r="G254" s="3688"/>
      <c r="H254" s="3688"/>
      <c r="I254" s="3688"/>
      <c r="J254" s="3688"/>
      <c r="K254" s="3688"/>
      <c r="L254" s="3688"/>
      <c r="M254" s="3688"/>
      <c r="N254" s="3688"/>
      <c r="O254" s="3688"/>
      <c r="P254" s="3688"/>
      <c r="Q254" s="3688"/>
      <c r="R254" s="3688"/>
      <c r="S254" s="3688"/>
      <c r="T254" s="3688"/>
      <c r="U254" s="3688"/>
      <c r="V254" s="3688"/>
      <c r="W254" s="3688"/>
      <c r="X254" s="3688"/>
      <c r="Y254" s="3688"/>
      <c r="Z254" s="3688"/>
      <c r="AA254" s="3688"/>
      <c r="AB254" s="3688"/>
      <c r="AC254" s="3688"/>
      <c r="AD254" s="3688"/>
      <c r="AE254" s="3688"/>
      <c r="AF254" s="3688"/>
      <c r="AG254" s="3688"/>
      <c r="AH254" s="3688"/>
      <c r="AI254" s="3688"/>
      <c r="AJ254" s="3688"/>
      <c r="AK254" s="3688"/>
      <c r="AL254" s="3688"/>
      <c r="AM254" s="3688"/>
      <c r="AN254" s="3688"/>
      <c r="AO254" s="3688"/>
      <c r="AP254" s="3688"/>
    </row>
    <row r="255" spans="2:44" ht="12.95" customHeight="1" x14ac:dyDescent="0.15">
      <c r="B255" s="1109"/>
      <c r="C255" s="1108" t="s">
        <v>1270</v>
      </c>
      <c r="D255" s="1590" t="s">
        <v>3018</v>
      </c>
      <c r="E255" s="3688" t="s">
        <v>3019</v>
      </c>
      <c r="F255" s="3688"/>
      <c r="G255" s="3688"/>
      <c r="H255" s="3688"/>
      <c r="I255" s="3688"/>
      <c r="J255" s="3688"/>
      <c r="K255" s="3688"/>
      <c r="L255" s="3688"/>
      <c r="M255" s="3688"/>
      <c r="N255" s="3688"/>
      <c r="O255" s="3688"/>
      <c r="P255" s="3688"/>
      <c r="Q255" s="3688"/>
      <c r="R255" s="3688"/>
      <c r="S255" s="3688"/>
      <c r="T255" s="3688"/>
      <c r="U255" s="3688"/>
      <c r="V255" s="3688"/>
      <c r="W255" s="3688"/>
      <c r="X255" s="3688"/>
      <c r="Y255" s="3688"/>
      <c r="Z255" s="3688"/>
      <c r="AA255" s="3688"/>
      <c r="AB255" s="3688"/>
      <c r="AC255" s="3688"/>
      <c r="AD255" s="3688"/>
      <c r="AE255" s="3688"/>
      <c r="AF255" s="3688"/>
      <c r="AG255" s="3688"/>
      <c r="AH255" s="3688"/>
      <c r="AI255" s="3688"/>
      <c r="AJ255" s="3688"/>
      <c r="AK255" s="3688"/>
      <c r="AL255" s="3688"/>
      <c r="AM255" s="3688"/>
      <c r="AN255" s="3688"/>
      <c r="AO255" s="3688"/>
      <c r="AP255" s="3688"/>
    </row>
    <row r="256" spans="2:44" ht="21" customHeight="1" x14ac:dyDescent="0.15">
      <c r="B256" s="1109"/>
      <c r="C256" s="1108" t="s">
        <v>1271</v>
      </c>
      <c r="D256" s="1590" t="s">
        <v>3020</v>
      </c>
      <c r="E256" s="3688" t="s">
        <v>963</v>
      </c>
      <c r="F256" s="3688"/>
      <c r="G256" s="3688"/>
      <c r="H256" s="3688"/>
      <c r="I256" s="3688"/>
      <c r="J256" s="3688"/>
      <c r="K256" s="3688"/>
      <c r="L256" s="3688"/>
      <c r="M256" s="3688"/>
      <c r="N256" s="3688"/>
      <c r="O256" s="3688"/>
      <c r="P256" s="3688"/>
      <c r="Q256" s="3688"/>
      <c r="R256" s="3688"/>
      <c r="S256" s="3688"/>
      <c r="T256" s="3688"/>
      <c r="U256" s="3688"/>
      <c r="V256" s="3688"/>
      <c r="W256" s="3688"/>
      <c r="X256" s="3688"/>
      <c r="Y256" s="3688"/>
      <c r="Z256" s="3688"/>
      <c r="AA256" s="3688"/>
      <c r="AB256" s="3688"/>
      <c r="AC256" s="3688"/>
      <c r="AD256" s="3688"/>
      <c r="AE256" s="3688"/>
      <c r="AF256" s="3688"/>
      <c r="AG256" s="3688"/>
      <c r="AH256" s="3688"/>
      <c r="AI256" s="3688"/>
      <c r="AJ256" s="3688"/>
      <c r="AK256" s="3688"/>
      <c r="AL256" s="3688"/>
      <c r="AM256" s="3688"/>
      <c r="AN256" s="3688"/>
      <c r="AO256" s="3688"/>
      <c r="AP256" s="3688"/>
    </row>
  </sheetData>
  <sheetProtection algorithmName="SHA-512" hashValue="7eSXeH2Q3co6zlMGx948B0SVIyt/yA0K12R9QobBlqJ9Grlb34A6lYQfG5PgCL3/2oUvvk7CWUOGeiZS88+TYA==" saltValue="WPlErV7gBrbwpRkmFTyIsw==" spinCount="100000" sheet="1"/>
  <dataConsolidate/>
  <mergeCells count="708">
    <mergeCell ref="E254:AP254"/>
    <mergeCell ref="E255:AP255"/>
    <mergeCell ref="E256:AP256"/>
    <mergeCell ref="E87:F88"/>
    <mergeCell ref="G87:T88"/>
    <mergeCell ref="B152:D152"/>
    <mergeCell ref="B153:D153"/>
    <mergeCell ref="B154:D154"/>
    <mergeCell ref="B155:D155"/>
    <mergeCell ref="B156:D156"/>
    <mergeCell ref="B158:D158"/>
    <mergeCell ref="B159:D159"/>
    <mergeCell ref="B157:D157"/>
    <mergeCell ref="C160:AP160"/>
    <mergeCell ref="E89:T92"/>
    <mergeCell ref="B87:D87"/>
    <mergeCell ref="U87:AK87"/>
    <mergeCell ref="B88:D88"/>
    <mergeCell ref="U88:AK88"/>
    <mergeCell ref="E243:AP243"/>
    <mergeCell ref="E244:AP244"/>
    <mergeCell ref="E245:AP245"/>
    <mergeCell ref="E246:AP246"/>
    <mergeCell ref="E247:AP247"/>
    <mergeCell ref="E248:AP248"/>
    <mergeCell ref="E249:AP249"/>
    <mergeCell ref="E250:AP250"/>
    <mergeCell ref="E251:AP251"/>
    <mergeCell ref="E252:AP252"/>
    <mergeCell ref="E253:AP253"/>
    <mergeCell ref="E142:K146"/>
    <mergeCell ref="L142:AK142"/>
    <mergeCell ref="L143:AK143"/>
    <mergeCell ref="L144:AK144"/>
    <mergeCell ref="AE193:AO193"/>
    <mergeCell ref="AE235:AO235"/>
    <mergeCell ref="E196:N196"/>
    <mergeCell ref="O196:AD196"/>
    <mergeCell ref="AE196:AO196"/>
    <mergeCell ref="O173:AD173"/>
    <mergeCell ref="AE172:AO172"/>
    <mergeCell ref="O191:AD191"/>
    <mergeCell ref="AE191:AO191"/>
    <mergeCell ref="E191:N191"/>
    <mergeCell ref="O197:AD197"/>
    <mergeCell ref="AE197:AO197"/>
    <mergeCell ref="O211:AD211"/>
    <mergeCell ref="AE211:AO211"/>
    <mergeCell ref="AO1:AP1"/>
    <mergeCell ref="O189:AD189"/>
    <mergeCell ref="AE189:AO189"/>
    <mergeCell ref="B190:D190"/>
    <mergeCell ref="E190:N190"/>
    <mergeCell ref="O190:AD190"/>
    <mergeCell ref="AE190:AO190"/>
    <mergeCell ref="B191:D191"/>
    <mergeCell ref="B185:D185"/>
    <mergeCell ref="E185:N185"/>
    <mergeCell ref="AE187:AO187"/>
    <mergeCell ref="B188:D188"/>
    <mergeCell ref="E188:N188"/>
    <mergeCell ref="O188:AD188"/>
    <mergeCell ref="AE188:AO188"/>
    <mergeCell ref="E181:N181"/>
    <mergeCell ref="AM10:AM11"/>
    <mergeCell ref="L145:AK145"/>
    <mergeCell ref="L146:AK146"/>
    <mergeCell ref="E147:K151"/>
    <mergeCell ref="L147:AK147"/>
    <mergeCell ref="L148:AK148"/>
    <mergeCell ref="L149:AK149"/>
    <mergeCell ref="L150:AK150"/>
    <mergeCell ref="B194:D194"/>
    <mergeCell ref="E194:N194"/>
    <mergeCell ref="O194:AD194"/>
    <mergeCell ref="AE194:AO194"/>
    <mergeCell ref="B195:D195"/>
    <mergeCell ref="E195:N195"/>
    <mergeCell ref="O195:AD195"/>
    <mergeCell ref="B229:D229"/>
    <mergeCell ref="B198:D198"/>
    <mergeCell ref="E198:N198"/>
    <mergeCell ref="O198:AD198"/>
    <mergeCell ref="AE198:AO198"/>
    <mergeCell ref="B199:D199"/>
    <mergeCell ref="E199:N199"/>
    <mergeCell ref="O199:AD199"/>
    <mergeCell ref="AE199:AO199"/>
    <mergeCell ref="O203:AD203"/>
    <mergeCell ref="B203:D203"/>
    <mergeCell ref="E203:N203"/>
    <mergeCell ref="AE203:AO203"/>
    <mergeCell ref="B205:D205"/>
    <mergeCell ref="E205:N205"/>
    <mergeCell ref="O205:AD205"/>
    <mergeCell ref="AE205:AO205"/>
    <mergeCell ref="C242:AP242"/>
    <mergeCell ref="B230:D230"/>
    <mergeCell ref="AE195:AO195"/>
    <mergeCell ref="B221:D221"/>
    <mergeCell ref="E221:N221"/>
    <mergeCell ref="O221:AD221"/>
    <mergeCell ref="AE221:AO221"/>
    <mergeCell ref="E230:N230"/>
    <mergeCell ref="O230:AD230"/>
    <mergeCell ref="AE230:AO230"/>
    <mergeCell ref="AE239:AO239"/>
    <mergeCell ref="O218:AD218"/>
    <mergeCell ref="AE218:AO218"/>
    <mergeCell ref="B219:D219"/>
    <mergeCell ref="E219:N219"/>
    <mergeCell ref="O219:AD219"/>
    <mergeCell ref="B204:D204"/>
    <mergeCell ref="E204:N204"/>
    <mergeCell ref="O204:AD204"/>
    <mergeCell ref="AE204:AO204"/>
    <mergeCell ref="B196:D196"/>
    <mergeCell ref="B227:D227"/>
    <mergeCell ref="E227:N227"/>
    <mergeCell ref="B234:D234"/>
    <mergeCell ref="B175:D175"/>
    <mergeCell ref="B176:D176"/>
    <mergeCell ref="B177:D177"/>
    <mergeCell ref="O174:AD174"/>
    <mergeCell ref="E175:N175"/>
    <mergeCell ref="E176:N176"/>
    <mergeCell ref="B192:D192"/>
    <mergeCell ref="E192:N192"/>
    <mergeCell ref="O192:AD192"/>
    <mergeCell ref="E182:N182"/>
    <mergeCell ref="O187:AD187"/>
    <mergeCell ref="O179:AD179"/>
    <mergeCell ref="E240:N240"/>
    <mergeCell ref="B239:D239"/>
    <mergeCell ref="E239:N239"/>
    <mergeCell ref="O239:AD239"/>
    <mergeCell ref="E234:N234"/>
    <mergeCell ref="O234:AD234"/>
    <mergeCell ref="B181:D181"/>
    <mergeCell ref="B182:D182"/>
    <mergeCell ref="B240:D240"/>
    <mergeCell ref="B193:D193"/>
    <mergeCell ref="E193:N193"/>
    <mergeCell ref="O193:AD193"/>
    <mergeCell ref="B208:D208"/>
    <mergeCell ref="E208:N208"/>
    <mergeCell ref="O208:AD208"/>
    <mergeCell ref="B206:D206"/>
    <mergeCell ref="E206:N206"/>
    <mergeCell ref="O206:AD206"/>
    <mergeCell ref="B213:D213"/>
    <mergeCell ref="B216:D216"/>
    <mergeCell ref="E216:N216"/>
    <mergeCell ref="O216:AD216"/>
    <mergeCell ref="E226:N226"/>
    <mergeCell ref="O226:AD226"/>
    <mergeCell ref="B166:D166"/>
    <mergeCell ref="B167:D167"/>
    <mergeCell ref="B168:D168"/>
    <mergeCell ref="B169:D169"/>
    <mergeCell ref="B171:D171"/>
    <mergeCell ref="B172:D172"/>
    <mergeCell ref="B173:D173"/>
    <mergeCell ref="B174:D174"/>
    <mergeCell ref="U38:AK38"/>
    <mergeCell ref="U39:AK39"/>
    <mergeCell ref="B58:D58"/>
    <mergeCell ref="B59:D59"/>
    <mergeCell ref="B38:D38"/>
    <mergeCell ref="B117:D117"/>
    <mergeCell ref="B107:D107"/>
    <mergeCell ref="B66:D66"/>
    <mergeCell ref="B67:D67"/>
    <mergeCell ref="B68:D68"/>
    <mergeCell ref="B69:D69"/>
    <mergeCell ref="B70:D70"/>
    <mergeCell ref="B71:D71"/>
    <mergeCell ref="B74:D74"/>
    <mergeCell ref="B113:D113"/>
    <mergeCell ref="B114:D114"/>
    <mergeCell ref="AO4:AP4"/>
    <mergeCell ref="AO5:AP5"/>
    <mergeCell ref="AO6:AP6"/>
    <mergeCell ref="U13:AK13"/>
    <mergeCell ref="U14:AK14"/>
    <mergeCell ref="U15:AK15"/>
    <mergeCell ref="U16:AK16"/>
    <mergeCell ref="U17:AK17"/>
    <mergeCell ref="E22:AP22"/>
    <mergeCell ref="O6:AN6"/>
    <mergeCell ref="E13:T13"/>
    <mergeCell ref="E12:AP12"/>
    <mergeCell ref="AO7:AP7"/>
    <mergeCell ref="AL9:AL10"/>
    <mergeCell ref="AM9:AO9"/>
    <mergeCell ref="AP9:AP11"/>
    <mergeCell ref="G6:N7"/>
    <mergeCell ref="E18:T19"/>
    <mergeCell ref="B4:F7"/>
    <mergeCell ref="O4:AN4"/>
    <mergeCell ref="U18:AK18"/>
    <mergeCell ref="U19:AK19"/>
    <mergeCell ref="U21:AK21"/>
    <mergeCell ref="U33:AK33"/>
    <mergeCell ref="U34:AK34"/>
    <mergeCell ref="U35:AK35"/>
    <mergeCell ref="U36:AK36"/>
    <mergeCell ref="E20:T21"/>
    <mergeCell ref="B24:D24"/>
    <mergeCell ref="B25:D25"/>
    <mergeCell ref="B26:D26"/>
    <mergeCell ref="B27:D27"/>
    <mergeCell ref="B28:D28"/>
    <mergeCell ref="B23:D23"/>
    <mergeCell ref="B22:D22"/>
    <mergeCell ref="U32:AK32"/>
    <mergeCell ref="U23:AK23"/>
    <mergeCell ref="U24:AK24"/>
    <mergeCell ref="U25:AK25"/>
    <mergeCell ref="U26:AK26"/>
    <mergeCell ref="U27:AK27"/>
    <mergeCell ref="U28:AK28"/>
    <mergeCell ref="U29:AK29"/>
    <mergeCell ref="B29:D29"/>
    <mergeCell ref="E23:T24"/>
    <mergeCell ref="E25:T26"/>
    <mergeCell ref="U20:AK20"/>
    <mergeCell ref="B73:D73"/>
    <mergeCell ref="B72:D72"/>
    <mergeCell ref="B126:D126"/>
    <mergeCell ref="B109:D109"/>
    <mergeCell ref="B110:D110"/>
    <mergeCell ref="B12:D12"/>
    <mergeCell ref="B9:D11"/>
    <mergeCell ref="B13:D13"/>
    <mergeCell ref="B14:D14"/>
    <mergeCell ref="B15:D15"/>
    <mergeCell ref="B16:D16"/>
    <mergeCell ref="B17:D17"/>
    <mergeCell ref="B18:D18"/>
    <mergeCell ref="B21:D21"/>
    <mergeCell ref="B19:D19"/>
    <mergeCell ref="B20:D20"/>
    <mergeCell ref="B60:D60"/>
    <mergeCell ref="B61:D61"/>
    <mergeCell ref="B62:D62"/>
    <mergeCell ref="B63:D63"/>
    <mergeCell ref="B64:D64"/>
    <mergeCell ref="B65:D65"/>
    <mergeCell ref="B100:D100"/>
    <mergeCell ref="B118:D118"/>
    <mergeCell ref="B85:D85"/>
    <mergeCell ref="B86:D86"/>
    <mergeCell ref="B89:D89"/>
    <mergeCell ref="B90:D90"/>
    <mergeCell ref="B91:D91"/>
    <mergeCell ref="B92:D92"/>
    <mergeCell ref="B115:D115"/>
    <mergeCell ref="B116:D116"/>
    <mergeCell ref="B95:D95"/>
    <mergeCell ref="B98:D98"/>
    <mergeCell ref="B101:D101"/>
    <mergeCell ref="B93:D93"/>
    <mergeCell ref="B94:D94"/>
    <mergeCell ref="B102:D102"/>
    <mergeCell ref="B103:D103"/>
    <mergeCell ref="B112:D112"/>
    <mergeCell ref="B96:D96"/>
    <mergeCell ref="B108:D108"/>
    <mergeCell ref="B84:D84"/>
    <mergeCell ref="B129:D129"/>
    <mergeCell ref="B125:D125"/>
    <mergeCell ref="B137:D137"/>
    <mergeCell ref="B138:D138"/>
    <mergeCell ref="B139:D139"/>
    <mergeCell ref="B140:D140"/>
    <mergeCell ref="B141:D141"/>
    <mergeCell ref="B75:D75"/>
    <mergeCell ref="B76:D76"/>
    <mergeCell ref="B77:D77"/>
    <mergeCell ref="B78:D78"/>
    <mergeCell ref="B79:D79"/>
    <mergeCell ref="B80:D80"/>
    <mergeCell ref="B81:D81"/>
    <mergeCell ref="B82:D82"/>
    <mergeCell ref="B83:D83"/>
    <mergeCell ref="B133:D133"/>
    <mergeCell ref="B111:D111"/>
    <mergeCell ref="B104:D104"/>
    <mergeCell ref="B105:D105"/>
    <mergeCell ref="B106:D106"/>
    <mergeCell ref="B97:D97"/>
    <mergeCell ref="B99:D99"/>
    <mergeCell ref="U92:AK92"/>
    <mergeCell ref="U93:AK93"/>
    <mergeCell ref="B134:D134"/>
    <mergeCell ref="B135:D135"/>
    <mergeCell ref="B136:D136"/>
    <mergeCell ref="E104:T107"/>
    <mergeCell ref="G108:T112"/>
    <mergeCell ref="B123:D123"/>
    <mergeCell ref="U122:AK122"/>
    <mergeCell ref="B119:D119"/>
    <mergeCell ref="B120:D120"/>
    <mergeCell ref="B121:D121"/>
    <mergeCell ref="B122:D122"/>
    <mergeCell ref="B127:D127"/>
    <mergeCell ref="B128:D128"/>
    <mergeCell ref="B132:D132"/>
    <mergeCell ref="U105:AK105"/>
    <mergeCell ref="U106:AK106"/>
    <mergeCell ref="G124:T125"/>
    <mergeCell ref="G116:T119"/>
    <mergeCell ref="U134:AK134"/>
    <mergeCell ref="U130:AK130"/>
    <mergeCell ref="U132:AK132"/>
    <mergeCell ref="U133:AK133"/>
    <mergeCell ref="E137:F140"/>
    <mergeCell ref="E132:F135"/>
    <mergeCell ref="E124:F130"/>
    <mergeCell ref="U126:AK126"/>
    <mergeCell ref="U136:AK136"/>
    <mergeCell ref="U137:AK137"/>
    <mergeCell ref="G139:T140"/>
    <mergeCell ref="E141:AP141"/>
    <mergeCell ref="U139:AK139"/>
    <mergeCell ref="U140:AK140"/>
    <mergeCell ref="G132:T133"/>
    <mergeCell ref="G134:T135"/>
    <mergeCell ref="E136:T136"/>
    <mergeCell ref="G137:T138"/>
    <mergeCell ref="G126:T129"/>
    <mergeCell ref="U40:AK40"/>
    <mergeCell ref="U42:AK42"/>
    <mergeCell ref="U43:AK43"/>
    <mergeCell ref="U44:AK44"/>
    <mergeCell ref="U45:AK45"/>
    <mergeCell ref="U84:AK84"/>
    <mergeCell ref="U46:AK46"/>
    <mergeCell ref="U47:AK47"/>
    <mergeCell ref="U48:AK48"/>
    <mergeCell ref="U49:AK49"/>
    <mergeCell ref="U50:AK50"/>
    <mergeCell ref="G52:AK52"/>
    <mergeCell ref="U80:AK80"/>
    <mergeCell ref="U81:AK81"/>
    <mergeCell ref="E51:AP51"/>
    <mergeCell ref="U69:AK69"/>
    <mergeCell ref="E27:F40"/>
    <mergeCell ref="U75:AK75"/>
    <mergeCell ref="G27:T32"/>
    <mergeCell ref="G33:T36"/>
    <mergeCell ref="G37:T38"/>
    <mergeCell ref="U68:AK68"/>
    <mergeCell ref="U61:AK61"/>
    <mergeCell ref="U62:AK62"/>
    <mergeCell ref="E85:T86"/>
    <mergeCell ref="E84:T84"/>
    <mergeCell ref="E68:F73"/>
    <mergeCell ref="G76:T76"/>
    <mergeCell ref="E41:AP41"/>
    <mergeCell ref="E42:T42"/>
    <mergeCell ref="E43:T46"/>
    <mergeCell ref="G57:T61"/>
    <mergeCell ref="G62:T65"/>
    <mergeCell ref="G67:T67"/>
    <mergeCell ref="G68:T70"/>
    <mergeCell ref="U82:AK82"/>
    <mergeCell ref="G54:AK54"/>
    <mergeCell ref="E77:T83"/>
    <mergeCell ref="U76:AK76"/>
    <mergeCell ref="U66:AK66"/>
    <mergeCell ref="U67:AK67"/>
    <mergeCell ref="E49:T50"/>
    <mergeCell ref="E52:F56"/>
    <mergeCell ref="E57:F67"/>
    <mergeCell ref="G55:T56"/>
    <mergeCell ref="U55:AK55"/>
    <mergeCell ref="U56:AK56"/>
    <mergeCell ref="U74:AK74"/>
    <mergeCell ref="U63:AK63"/>
    <mergeCell ref="U70:AK70"/>
    <mergeCell ref="U71:AK71"/>
    <mergeCell ref="G71:T73"/>
    <mergeCell ref="G74:T75"/>
    <mergeCell ref="G66:T66"/>
    <mergeCell ref="U57:AK57"/>
    <mergeCell ref="U58:AK58"/>
    <mergeCell ref="G53:AK53"/>
    <mergeCell ref="B33:D33"/>
    <mergeCell ref="B34:D34"/>
    <mergeCell ref="B35:D35"/>
    <mergeCell ref="B36:D36"/>
    <mergeCell ref="B37:D37"/>
    <mergeCell ref="B39:D39"/>
    <mergeCell ref="B40:D40"/>
    <mergeCell ref="B41:D41"/>
    <mergeCell ref="B57:D57"/>
    <mergeCell ref="B54:D54"/>
    <mergeCell ref="B55:D55"/>
    <mergeCell ref="B42:D42"/>
    <mergeCell ref="B43:D43"/>
    <mergeCell ref="B44:D44"/>
    <mergeCell ref="B45:D45"/>
    <mergeCell ref="B47:D47"/>
    <mergeCell ref="B48:D48"/>
    <mergeCell ref="B49:D49"/>
    <mergeCell ref="B50:D50"/>
    <mergeCell ref="B51:D51"/>
    <mergeCell ref="B52:D52"/>
    <mergeCell ref="B53:D53"/>
    <mergeCell ref="B46:D46"/>
    <mergeCell ref="B56:D56"/>
    <mergeCell ref="B30:D30"/>
    <mergeCell ref="B31:D31"/>
    <mergeCell ref="B32:D32"/>
    <mergeCell ref="U83:AK83"/>
    <mergeCell ref="E15:T17"/>
    <mergeCell ref="E14:T14"/>
    <mergeCell ref="G4:N4"/>
    <mergeCell ref="U77:AK77"/>
    <mergeCell ref="U78:AK78"/>
    <mergeCell ref="U79:AK79"/>
    <mergeCell ref="G5:N5"/>
    <mergeCell ref="E9:AK11"/>
    <mergeCell ref="U37:AK37"/>
    <mergeCell ref="U30:AK30"/>
    <mergeCell ref="U72:AK72"/>
    <mergeCell ref="U73:AK73"/>
    <mergeCell ref="E74:F76"/>
    <mergeCell ref="O5:AN5"/>
    <mergeCell ref="O7:AN7"/>
    <mergeCell ref="G39:T40"/>
    <mergeCell ref="E47:T48"/>
    <mergeCell ref="U59:AK59"/>
    <mergeCell ref="U60:AK60"/>
    <mergeCell ref="U31:AK31"/>
    <mergeCell ref="U123:AK123"/>
    <mergeCell ref="U121:AK121"/>
    <mergeCell ref="U116:AK116"/>
    <mergeCell ref="U117:AK117"/>
    <mergeCell ref="U114:AK114"/>
    <mergeCell ref="U110:AK110"/>
    <mergeCell ref="U85:AK85"/>
    <mergeCell ref="U86:AK86"/>
    <mergeCell ref="U89:AK89"/>
    <mergeCell ref="U107:AK107"/>
    <mergeCell ref="U108:AK108"/>
    <mergeCell ref="U109:AK109"/>
    <mergeCell ref="U118:AK118"/>
    <mergeCell ref="U119:AK119"/>
    <mergeCell ref="U120:AK120"/>
    <mergeCell ref="U90:AK90"/>
    <mergeCell ref="U91:AK91"/>
    <mergeCell ref="U98:AK98"/>
    <mergeCell ref="U99:AK99"/>
    <mergeCell ref="U100:AK100"/>
    <mergeCell ref="U101:AK101"/>
    <mergeCell ref="U102:AK102"/>
    <mergeCell ref="U103:AK103"/>
    <mergeCell ref="U104:AK104"/>
    <mergeCell ref="E97:AP97"/>
    <mergeCell ref="E98:T98"/>
    <mergeCell ref="E103:T103"/>
    <mergeCell ref="U94:AK94"/>
    <mergeCell ref="U95:AK95"/>
    <mergeCell ref="U115:AK115"/>
    <mergeCell ref="G120:T121"/>
    <mergeCell ref="G113:T113"/>
    <mergeCell ref="G114:T115"/>
    <mergeCell ref="U111:AK111"/>
    <mergeCell ref="U112:AK112"/>
    <mergeCell ref="U96:AK96"/>
    <mergeCell ref="B143:D143"/>
    <mergeCell ref="B144:D144"/>
    <mergeCell ref="G130:T130"/>
    <mergeCell ref="U138:AK138"/>
    <mergeCell ref="U128:AK128"/>
    <mergeCell ref="U129:AK129"/>
    <mergeCell ref="E131:AP131"/>
    <mergeCell ref="U64:AK64"/>
    <mergeCell ref="U65:AK65"/>
    <mergeCell ref="E99:T100"/>
    <mergeCell ref="E101:T102"/>
    <mergeCell ref="B142:D142"/>
    <mergeCell ref="B130:D130"/>
    <mergeCell ref="U135:AK135"/>
    <mergeCell ref="U124:AK124"/>
    <mergeCell ref="U125:AK125"/>
    <mergeCell ref="B131:D131"/>
    <mergeCell ref="B124:D124"/>
    <mergeCell ref="U127:AK127"/>
    <mergeCell ref="G122:T123"/>
    <mergeCell ref="E120:F123"/>
    <mergeCell ref="E108:F119"/>
    <mergeCell ref="E93:T96"/>
    <mergeCell ref="U113:AK113"/>
    <mergeCell ref="B145:D145"/>
    <mergeCell ref="B146:D146"/>
    <mergeCell ref="G162:S162"/>
    <mergeCell ref="C164:AP164"/>
    <mergeCell ref="AE240:AO240"/>
    <mergeCell ref="O240:AD240"/>
    <mergeCell ref="AE182:AO182"/>
    <mergeCell ref="O182:AD182"/>
    <mergeCell ref="O175:AD175"/>
    <mergeCell ref="AE175:AO175"/>
    <mergeCell ref="O176:AD176"/>
    <mergeCell ref="E169:N169"/>
    <mergeCell ref="B183:D183"/>
    <mergeCell ref="E183:N183"/>
    <mergeCell ref="O183:AD183"/>
    <mergeCell ref="AE183:AO183"/>
    <mergeCell ref="B184:D184"/>
    <mergeCell ref="E184:N184"/>
    <mergeCell ref="O184:AD184"/>
    <mergeCell ref="AE184:AO184"/>
    <mergeCell ref="B189:D189"/>
    <mergeCell ref="E189:N189"/>
    <mergeCell ref="B197:D197"/>
    <mergeCell ref="E197:N197"/>
    <mergeCell ref="E155:K155"/>
    <mergeCell ref="E156:K156"/>
    <mergeCell ref="E157:K157"/>
    <mergeCell ref="E158:K159"/>
    <mergeCell ref="L154:AK154"/>
    <mergeCell ref="L155:AK155"/>
    <mergeCell ref="L156:AK156"/>
    <mergeCell ref="L157:AK157"/>
    <mergeCell ref="L158:AK158"/>
    <mergeCell ref="L159:AK159"/>
    <mergeCell ref="AE176:AO176"/>
    <mergeCell ref="O177:AD177"/>
    <mergeCell ref="AE177:AO177"/>
    <mergeCell ref="E177:N177"/>
    <mergeCell ref="AE169:AO169"/>
    <mergeCell ref="AE167:AO167"/>
    <mergeCell ref="AE173:AO173"/>
    <mergeCell ref="E171:N171"/>
    <mergeCell ref="E172:N172"/>
    <mergeCell ref="AE174:AO174"/>
    <mergeCell ref="E173:N173"/>
    <mergeCell ref="O171:AD171"/>
    <mergeCell ref="AE168:AO168"/>
    <mergeCell ref="AE170:AO170"/>
    <mergeCell ref="AE171:AO171"/>
    <mergeCell ref="O172:AD172"/>
    <mergeCell ref="E174:N174"/>
    <mergeCell ref="E170:N170"/>
    <mergeCell ref="E168:N168"/>
    <mergeCell ref="AE192:AO192"/>
    <mergeCell ref="O185:AD185"/>
    <mergeCell ref="AE178:AO178"/>
    <mergeCell ref="AE180:AO180"/>
    <mergeCell ref="B178:D178"/>
    <mergeCell ref="B179:D179"/>
    <mergeCell ref="B180:D180"/>
    <mergeCell ref="O181:AD181"/>
    <mergeCell ref="AE181:AO181"/>
    <mergeCell ref="O178:AD178"/>
    <mergeCell ref="AE185:AO185"/>
    <mergeCell ref="B186:D186"/>
    <mergeCell ref="E186:N186"/>
    <mergeCell ref="O186:AD186"/>
    <mergeCell ref="AE186:AO186"/>
    <mergeCell ref="B187:D187"/>
    <mergeCell ref="E187:N187"/>
    <mergeCell ref="AE179:AO179"/>
    <mergeCell ref="O180:AD180"/>
    <mergeCell ref="E178:N178"/>
    <mergeCell ref="E179:N179"/>
    <mergeCell ref="E180:N180"/>
    <mergeCell ref="B147:D147"/>
    <mergeCell ref="B148:D148"/>
    <mergeCell ref="B149:D149"/>
    <mergeCell ref="O170:AD170"/>
    <mergeCell ref="B165:D165"/>
    <mergeCell ref="O169:AD169"/>
    <mergeCell ref="E166:N166"/>
    <mergeCell ref="E167:N167"/>
    <mergeCell ref="B163:AP163"/>
    <mergeCell ref="O165:AD165"/>
    <mergeCell ref="AE165:AO165"/>
    <mergeCell ref="O166:AD166"/>
    <mergeCell ref="AE166:AO166"/>
    <mergeCell ref="O167:AD167"/>
    <mergeCell ref="E165:N165"/>
    <mergeCell ref="O168:AD168"/>
    <mergeCell ref="B170:D170"/>
    <mergeCell ref="B150:D150"/>
    <mergeCell ref="B151:D151"/>
    <mergeCell ref="L151:AK151"/>
    <mergeCell ref="E152:K153"/>
    <mergeCell ref="L152:AK152"/>
    <mergeCell ref="L153:AK153"/>
    <mergeCell ref="E154:K154"/>
    <mergeCell ref="B200:D200"/>
    <mergeCell ref="E200:N200"/>
    <mergeCell ref="O200:AD200"/>
    <mergeCell ref="AE200:AO200"/>
    <mergeCell ref="B201:D201"/>
    <mergeCell ref="E201:N201"/>
    <mergeCell ref="O201:AD201"/>
    <mergeCell ref="AE201:AO201"/>
    <mergeCell ref="B202:D202"/>
    <mergeCell ref="E202:N202"/>
    <mergeCell ref="O202:AD202"/>
    <mergeCell ref="AE202:AO202"/>
    <mergeCell ref="B235:D235"/>
    <mergeCell ref="E235:N235"/>
    <mergeCell ref="O235:AD235"/>
    <mergeCell ref="B212:D212"/>
    <mergeCell ref="E212:N212"/>
    <mergeCell ref="O212:AD212"/>
    <mergeCell ref="AE212:AO212"/>
    <mergeCell ref="B215:D215"/>
    <mergeCell ref="E215:N215"/>
    <mergeCell ref="O215:AD215"/>
    <mergeCell ref="AE215:AO215"/>
    <mergeCell ref="E229:N229"/>
    <mergeCell ref="O229:AD229"/>
    <mergeCell ref="AE229:AO229"/>
    <mergeCell ref="B228:D228"/>
    <mergeCell ref="E217:N217"/>
    <mergeCell ref="O217:AD217"/>
    <mergeCell ref="AE217:AO217"/>
    <mergeCell ref="AE226:AO226"/>
    <mergeCell ref="AE234:AO234"/>
    <mergeCell ref="B233:D233"/>
    <mergeCell ref="E233:N233"/>
    <mergeCell ref="O233:AD233"/>
    <mergeCell ref="AE233:AO233"/>
    <mergeCell ref="O220:AD220"/>
    <mergeCell ref="AE220:AO220"/>
    <mergeCell ref="B226:D226"/>
    <mergeCell ref="AE206:AO206"/>
    <mergeCell ref="B207:D207"/>
    <mergeCell ref="E207:N207"/>
    <mergeCell ref="O207:AD207"/>
    <mergeCell ref="AE207:AO207"/>
    <mergeCell ref="AE208:AO208"/>
    <mergeCell ref="B209:D209"/>
    <mergeCell ref="E209:N209"/>
    <mergeCell ref="O209:AD209"/>
    <mergeCell ref="AE209:AO209"/>
    <mergeCell ref="B214:D214"/>
    <mergeCell ref="E214:N214"/>
    <mergeCell ref="O214:AD214"/>
    <mergeCell ref="AE214:AO214"/>
    <mergeCell ref="AE222:AO222"/>
    <mergeCell ref="B218:D218"/>
    <mergeCell ref="E218:N218"/>
    <mergeCell ref="AE219:AO219"/>
    <mergeCell ref="B222:D222"/>
    <mergeCell ref="E222:N222"/>
    <mergeCell ref="B238:D238"/>
    <mergeCell ref="E238:N238"/>
    <mergeCell ref="O238:AD238"/>
    <mergeCell ref="AE238:AO238"/>
    <mergeCell ref="B237:D237"/>
    <mergeCell ref="E237:N237"/>
    <mergeCell ref="O237:AD237"/>
    <mergeCell ref="AE237:AO237"/>
    <mergeCell ref="B236:D236"/>
    <mergeCell ref="E236:N236"/>
    <mergeCell ref="O236:AD236"/>
    <mergeCell ref="AE236:AO236"/>
    <mergeCell ref="B232:D232"/>
    <mergeCell ref="E232:N232"/>
    <mergeCell ref="O232:AD232"/>
    <mergeCell ref="AE232:AO232"/>
    <mergeCell ref="B231:D231"/>
    <mergeCell ref="E231:N231"/>
    <mergeCell ref="O231:AD231"/>
    <mergeCell ref="AE231:AO231"/>
    <mergeCell ref="B225:D225"/>
    <mergeCell ref="E225:N225"/>
    <mergeCell ref="O225:AD225"/>
    <mergeCell ref="AE225:AO225"/>
    <mergeCell ref="E228:N228"/>
    <mergeCell ref="O228:AD228"/>
    <mergeCell ref="AE228:AO228"/>
    <mergeCell ref="O227:AD227"/>
    <mergeCell ref="AE227:AO227"/>
    <mergeCell ref="B3:AP3"/>
    <mergeCell ref="B2:F2"/>
    <mergeCell ref="B224:D224"/>
    <mergeCell ref="E224:N224"/>
    <mergeCell ref="O224:AD224"/>
    <mergeCell ref="AE224:AO224"/>
    <mergeCell ref="B210:D210"/>
    <mergeCell ref="E210:N210"/>
    <mergeCell ref="O210:AD210"/>
    <mergeCell ref="AE210:AO210"/>
    <mergeCell ref="B211:D211"/>
    <mergeCell ref="E211:N211"/>
    <mergeCell ref="AE216:AO216"/>
    <mergeCell ref="B217:D217"/>
    <mergeCell ref="E213:N213"/>
    <mergeCell ref="O213:AD213"/>
    <mergeCell ref="AE213:AO213"/>
    <mergeCell ref="O222:AD222"/>
    <mergeCell ref="B220:D220"/>
    <mergeCell ref="B223:D223"/>
    <mergeCell ref="E223:N223"/>
    <mergeCell ref="O223:AD223"/>
    <mergeCell ref="AE223:AO223"/>
    <mergeCell ref="E220:N220"/>
  </mergeCells>
  <phoneticPr fontId="3"/>
  <printOptions horizontalCentered="1"/>
  <pageMargins left="0.70866141732283472" right="0.70866141732283472" top="0.74803149606299213" bottom="0.74803149606299213" header="0.31496062992125984" footer="0.31496062992125984"/>
  <pageSetup paperSize="9" scale="89" fitToHeight="0" orientation="portrait" r:id="rId1"/>
  <headerFooter alignWithMargins="0">
    <oddFooter xml:space="preserve">&amp;C
</oddFooter>
  </headerFooter>
  <rowBreaks count="4" manualBreakCount="4">
    <brk id="50" max="41" man="1"/>
    <brk id="96" max="41" man="1"/>
    <brk id="140" max="41" man="1"/>
    <brk id="163" max="41" man="1"/>
  </rowBreaks>
  <colBreaks count="1" manualBreakCount="1">
    <brk id="42" max="227"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15F0F-02E1-4756-8572-6563E269AC0B}">
  <dimension ref="A1:JT2"/>
  <sheetViews>
    <sheetView workbookViewId="0"/>
  </sheetViews>
  <sheetFormatPr defaultRowHeight="13.5" x14ac:dyDescent="0.15"/>
  <cols>
    <col min="8" max="8" width="10" customWidth="1"/>
  </cols>
  <sheetData>
    <row r="1" spans="1:280" ht="51.75" customHeight="1" x14ac:dyDescent="0.15">
      <c r="A1" t="str" cm="1">
        <f t="array" ref="A1:JT1">TRANSPOSE(リンクシート_台帳取込用!S4:S283)</f>
        <v>チェック用_報告対象年_和暦年</v>
      </c>
      <c r="B1" t="str">
        <v>報告対象年_西暦</v>
      </c>
      <c r="C1" t="str">
        <v>ID用途記号</v>
      </c>
      <c r="D1" t="str">
        <v>ID種別番号</v>
      </c>
      <c r="E1" t="str">
        <v>建物ID</v>
      </c>
      <c r="F1" t="str">
        <v>建物名称</v>
      </c>
      <c r="G1" t="str">
        <v>建物所在地_区</v>
      </c>
      <c r="H1" t="str">
        <v>建物所在地_区以降</v>
      </c>
      <c r="I1" t="str">
        <v>報告書作成者_法人名</v>
      </c>
      <c r="J1" t="str">
        <v>報告書作成者_氏名</v>
      </c>
      <c r="K1" t="str">
        <v>報告書作成者_電話番号</v>
      </c>
      <c r="L1" t="str">
        <v>報告書作成者_メールアドレス（半角）</v>
      </c>
      <c r="M1" t="str">
        <v>所有者_法人名</v>
      </c>
      <c r="N1" t="str">
        <v>所有者_肩書</v>
      </c>
      <c r="O1" t="str">
        <v>所有者_氏名</v>
      </c>
      <c r="P1" t="str">
        <v>所有者_郵便番号</v>
      </c>
      <c r="Q1" t="str">
        <v>所有者_住所</v>
      </c>
      <c r="R1" t="str">
        <v>所有者_電話番号</v>
      </c>
      <c r="S1" t="str">
        <v>所有者2_法人名</v>
      </c>
      <c r="T1" t="str">
        <v>所有者2_肩書</v>
      </c>
      <c r="U1" t="str">
        <v>所有者2_氏名</v>
      </c>
      <c r="V1" t="str">
        <v>管理者_法人名</v>
      </c>
      <c r="W1" t="str">
        <v>管理者_肩書</v>
      </c>
      <c r="X1" t="str">
        <v>管理者_氏名</v>
      </c>
      <c r="Y1" t="str">
        <v>管理者_郵便番号</v>
      </c>
      <c r="Z1" t="str">
        <v>管理者_住所</v>
      </c>
      <c r="AA1" t="str">
        <v>管理者_電話番号</v>
      </c>
      <c r="AB1" t="str">
        <v>管理者_メールアドレス</v>
      </c>
      <c r="AC1" t="str">
        <v>代表調査者_資格種別</v>
      </c>
      <c r="AD1" t="str">
        <v>代表調査者_氏名</v>
      </c>
      <c r="AE1" t="str">
        <v>代表調査者_勤務先</v>
      </c>
      <c r="AF1" t="str">
        <v>防火地域等_1</v>
      </c>
      <c r="AG1" t="str">
        <v>防火地域等_2</v>
      </c>
      <c r="AH1" t="str">
        <v>防火地域等_3</v>
      </c>
      <c r="AI1" t="str">
        <v>防火地域等_その他</v>
      </c>
      <c r="AJ1" t="str">
        <v>用途地域_1</v>
      </c>
      <c r="AK1" t="str">
        <v>用途地域_2</v>
      </c>
      <c r="AL1" t="str">
        <v>用途地域_3</v>
      </c>
      <c r="AM1" t="str">
        <v>構造_1</v>
      </c>
      <c r="AN1" t="str">
        <v>構造_2</v>
      </c>
      <c r="AO1" t="str">
        <v>構造_3</v>
      </c>
      <c r="AP1" t="str">
        <v>構造_その他</v>
      </c>
      <c r="AQ1" t="str">
        <v>階数_地上</v>
      </c>
      <c r="AR1" t="str">
        <v>階数_地下</v>
      </c>
      <c r="AS1" t="str">
        <v>敷地面積</v>
      </c>
      <c r="AT1" t="str">
        <v>建築面積</v>
      </c>
      <c r="AU1" t="str">
        <v>確認済_日付</v>
      </c>
      <c r="AV1" t="str">
        <v>確認済_番号</v>
      </c>
      <c r="AW1" t="str">
        <v>検査済_日付</v>
      </c>
      <c r="AX1" t="str">
        <v>検査済_番号</v>
      </c>
      <c r="AY1" t="str">
        <v>維持保全計画[有]</v>
      </c>
      <c r="AZ1" t="str">
        <v>維持保全計画[無]</v>
      </c>
      <c r="BA1" t="str">
        <v>石綿[有（飛散防止無）]</v>
      </c>
      <c r="BB1" t="str">
        <v>石綿[有（飛散防止有）]</v>
      </c>
      <c r="BC1" t="str">
        <v>石綿[無]</v>
      </c>
      <c r="BD1" t="str">
        <v>石綿_有（飛散防止無）該当する室</v>
      </c>
      <c r="BE1" t="str">
        <v>石綿_有（飛散防止有）該当する室</v>
      </c>
      <c r="BF1" t="str">
        <v>石綿_措置予定[有]</v>
      </c>
      <c r="BG1" t="str">
        <v>石綿_措置予定[無]</v>
      </c>
      <c r="BH1" t="str">
        <v>石綿_措置予定_有_元号</v>
      </c>
      <c r="BI1" t="str">
        <v>石綿_措置予定_有_和暦年</v>
      </c>
      <c r="BJ1" t="str">
        <v>石綿_措置予定_有_月</v>
      </c>
      <c r="BK1" t="str">
        <v>耐震診断[有]</v>
      </c>
      <c r="BL1" t="str">
        <v>耐震診断[無]</v>
      </c>
      <c r="BM1" t="str">
        <v>耐震診断[対象外]</v>
      </c>
      <c r="BN1" t="str">
        <v>耐震診断_実施_元号</v>
      </c>
      <c r="BO1" t="str">
        <v>耐震診断_実施_和暦年</v>
      </c>
      <c r="BP1" t="str">
        <v>耐震診断_実施_月</v>
      </c>
      <c r="BQ1" t="str">
        <v>耐震改修[有]</v>
      </c>
      <c r="BR1" t="str">
        <v>耐震改修[無]</v>
      </c>
      <c r="BS1" t="str">
        <v>耐震改修[対象外]</v>
      </c>
      <c r="BT1" t="str">
        <v>耐震改修_実施_元号</v>
      </c>
      <c r="BU1" t="str">
        <v>耐震改修_実施_和暦年</v>
      </c>
      <c r="BV1" t="str">
        <v>耐震改修_実施_月</v>
      </c>
      <c r="BW1" t="str">
        <v>全面打診[使用有]</v>
      </c>
      <c r="BX1" t="str">
        <v>全面打診[使用無]</v>
      </c>
      <c r="BY1" t="str">
        <v>全面打診_状況</v>
      </c>
      <c r="BZ1" t="str">
        <v>全面打診_元号</v>
      </c>
      <c r="CA1" t="str">
        <v>全面打診_和暦年</v>
      </c>
      <c r="CB1" t="str">
        <v>全面打診_月</v>
      </c>
      <c r="CC1" t="str">
        <v>全面打診_備考</v>
      </c>
      <c r="CD1" t="str">
        <v>直通階段の数</v>
      </c>
      <c r="CE1" t="str">
        <v>チェック用_建築設備_有無</v>
      </c>
      <c r="CF1" t="str">
        <v>チェック用_建築設備_定期報告対象</v>
      </c>
      <c r="CG1" t="str">
        <v>チェック用_防火設備_有無</v>
      </c>
      <c r="CH1" t="str">
        <v>チェック用_防火設備_定期報告対象</v>
      </c>
      <c r="CI1" t="str">
        <v>チェック用_用途_対象用途ID記号（全て）</v>
      </c>
      <c r="CJ1" t="str">
        <v>チェック用_用途_対象種別ID分類番号</v>
      </c>
      <c r="CK1" t="str">
        <v>チェック用_用途対象用途（建築物）</v>
      </c>
      <c r="CL1" t="str">
        <v>照合用_①ID用途面積</v>
      </c>
      <c r="CM1" t="str">
        <v>照合用_②建築設備対象面積</v>
      </c>
      <c r="CN1" t="str">
        <v>建築設備対象用途</v>
      </c>
      <c r="CO1" t="str">
        <v>照合用_③特殊建築物面積</v>
      </c>
      <c r="CP1" t="str">
        <v>チェック用_用途_指定根拠分類</v>
      </c>
      <c r="CQ1" t="str">
        <v>延床面積</v>
      </c>
      <c r="CR1" t="str">
        <v>特記用途</v>
      </c>
      <c r="CS1" t="str">
        <v>用途1</v>
      </c>
      <c r="CT1" t="str">
        <v>用途2</v>
      </c>
      <c r="CU1" t="str">
        <v>延床面積</v>
      </c>
      <c r="CV1" t="str">
        <v>用途3</v>
      </c>
      <c r="CW1" t="str">
        <v>調査結果_指摘の概要</v>
      </c>
      <c r="CX1" t="str">
        <v>調査結果まとめ</v>
      </c>
      <c r="CY1" t="str">
        <v>1</v>
      </c>
      <c r="CZ1" t="str">
        <v>2</v>
      </c>
      <c r="DA1" t="str">
        <v>3</v>
      </c>
      <c r="DB1" t="str">
        <v>4</v>
      </c>
      <c r="DC1" t="str">
        <v>5</v>
      </c>
      <c r="DD1" t="str">
        <v>6</v>
      </c>
      <c r="DE1" t="str">
        <v>7</v>
      </c>
      <c r="DF1" t="str">
        <v>1(1)</v>
      </c>
      <c r="DG1" t="str">
        <v>1(2)</v>
      </c>
      <c r="DH1" t="str">
        <v>1(3)</v>
      </c>
      <c r="DI1" t="str">
        <v>1(4)</v>
      </c>
      <c r="DJ1" t="str">
        <v>1(5)</v>
      </c>
      <c r="DK1" t="str">
        <v>1(6)</v>
      </c>
      <c r="DL1" t="str">
        <v>1(7)</v>
      </c>
      <c r="DM1" t="str">
        <v>1(8)</v>
      </c>
      <c r="DN1" t="str">
        <v>1(9)</v>
      </c>
      <c r="DO1" t="str">
        <v>1(10)</v>
      </c>
      <c r="DP1" t="str">
        <v>1(11)</v>
      </c>
      <c r="DQ1" t="str">
        <v>1(12)</v>
      </c>
      <c r="DR1" t="str">
        <v>1(13)</v>
      </c>
      <c r="DS1" t="str">
        <v>1(14)</v>
      </c>
      <c r="DT1" t="str">
        <v>2(1)</v>
      </c>
      <c r="DU1" t="str">
        <v>2(2)</v>
      </c>
      <c r="DV1" t="str">
        <v>2(3)</v>
      </c>
      <c r="DW1" t="str">
        <v>2(4)</v>
      </c>
      <c r="DX1" t="str">
        <v>2(5)</v>
      </c>
      <c r="DY1" t="str">
        <v>2(6)</v>
      </c>
      <c r="DZ1" t="str">
        <v>2(7)</v>
      </c>
      <c r="EA1" t="str">
        <v>2(8)</v>
      </c>
      <c r="EB1" t="str">
        <v>2(9)</v>
      </c>
      <c r="EC1" t="str">
        <v>2(10)</v>
      </c>
      <c r="ED1" t="str">
        <v>2(11)</v>
      </c>
      <c r="EE1" t="str">
        <v>2(12)</v>
      </c>
      <c r="EF1" t="str">
        <v>2(13)</v>
      </c>
      <c r="EG1" t="str">
        <v>2(14)</v>
      </c>
      <c r="EH1" t="str">
        <v>2(15)</v>
      </c>
      <c r="EI1" t="str">
        <v>2(16)</v>
      </c>
      <c r="EJ1" t="str">
        <v>2(17)</v>
      </c>
      <c r="EK1" t="str">
        <v>2(18)</v>
      </c>
      <c r="EL1" t="str">
        <v>2(19)</v>
      </c>
      <c r="EM1" t="str">
        <v>2(20)</v>
      </c>
      <c r="EN1" t="str">
        <v>2(21)</v>
      </c>
      <c r="EO1" t="str">
        <v>2(22)</v>
      </c>
      <c r="EP1" t="str">
        <v>2(23)</v>
      </c>
      <c r="EQ1" t="str">
        <v>3(1)</v>
      </c>
      <c r="ER1" t="str">
        <v>3(2)</v>
      </c>
      <c r="ES1" t="str">
        <v>3(3)</v>
      </c>
      <c r="ET1" t="str">
        <v>3(4)</v>
      </c>
      <c r="EU1" t="str">
        <v>3(5)</v>
      </c>
      <c r="EV1" t="str">
        <v>3(6)</v>
      </c>
      <c r="EW1" t="str">
        <v>3(7)</v>
      </c>
      <c r="EX1" t="str">
        <v>3(8)</v>
      </c>
      <c r="EY1" t="str">
        <v>3(9)</v>
      </c>
      <c r="EZ1" t="str">
        <v>3(10)</v>
      </c>
      <c r="FA1" t="str">
        <v>3(11)</v>
      </c>
      <c r="FB1" t="str">
        <v>3(12)</v>
      </c>
      <c r="FC1" t="str">
        <v>3(13)</v>
      </c>
      <c r="FD1" t="str">
        <v>3(14)</v>
      </c>
      <c r="FE1" t="str">
        <v>4(1)</v>
      </c>
      <c r="FF1" t="str">
        <v>4(2)</v>
      </c>
      <c r="FG1" t="str">
        <v>4(3)</v>
      </c>
      <c r="FH1" t="str">
        <v>4(4)</v>
      </c>
      <c r="FI1" t="str">
        <v>4(5)</v>
      </c>
      <c r="FJ1" t="str">
        <v>4(6)</v>
      </c>
      <c r="FK1" t="str">
        <v>4(7)</v>
      </c>
      <c r="FL1" t="str">
        <v>4(8)</v>
      </c>
      <c r="FM1" t="str">
        <v>4(9)</v>
      </c>
      <c r="FN1" t="str">
        <v>4(10)</v>
      </c>
      <c r="FO1" t="str">
        <v>4(11)</v>
      </c>
      <c r="FP1" t="str">
        <v>4(12)</v>
      </c>
      <c r="FQ1" t="str">
        <v>4(13)</v>
      </c>
      <c r="FR1" t="str">
        <v>4(14)</v>
      </c>
      <c r="FS1" t="str">
        <v>4(15)</v>
      </c>
      <c r="FT1" t="str">
        <v>4(16)</v>
      </c>
      <c r="FU1" t="str">
        <v>4(17)</v>
      </c>
      <c r="FV1" t="str">
        <v>4(18)</v>
      </c>
      <c r="FW1" t="str">
        <v>4(19)</v>
      </c>
      <c r="FX1" t="str">
        <v>4(20)</v>
      </c>
      <c r="FY1" t="str">
        <v>4(21)</v>
      </c>
      <c r="FZ1" t="str">
        <v>4(22)</v>
      </c>
      <c r="GA1" t="str">
        <v>4(23)</v>
      </c>
      <c r="GB1" t="str">
        <v>4(24)</v>
      </c>
      <c r="GC1" t="str">
        <v>4(25)</v>
      </c>
      <c r="GD1" t="str">
        <v>4(26)</v>
      </c>
      <c r="GE1" t="str">
        <v>4(27)</v>
      </c>
      <c r="GF1" t="str">
        <v>4(28)</v>
      </c>
      <c r="GG1" t="str">
        <v>4(29)</v>
      </c>
      <c r="GH1" t="str">
        <v>4(30)</v>
      </c>
      <c r="GI1" t="str">
        <v>4(31)</v>
      </c>
      <c r="GJ1" t="str">
        <v>4(32)</v>
      </c>
      <c r="GK1" t="str">
        <v>4(33)</v>
      </c>
      <c r="GL1" t="str">
        <v>4(34)</v>
      </c>
      <c r="GM1" t="str">
        <v>4(35)</v>
      </c>
      <c r="GN1" t="str">
        <v>4(36)</v>
      </c>
      <c r="GO1" t="str">
        <v>4(37)</v>
      </c>
      <c r="GP1" t="str">
        <v>4(38)</v>
      </c>
      <c r="GQ1" t="str">
        <v>4(39)</v>
      </c>
      <c r="GR1" t="str">
        <v>4(40)</v>
      </c>
      <c r="GS1" t="str">
        <v>4(41)</v>
      </c>
      <c r="GT1" t="str">
        <v>4(42)</v>
      </c>
      <c r="GU1" t="str">
        <v>4(43)</v>
      </c>
      <c r="GV1" t="str">
        <v>4(44)</v>
      </c>
      <c r="GW1" t="str">
        <v>4(45)</v>
      </c>
      <c r="GX1" t="str">
        <v>4(46)</v>
      </c>
      <c r="GY1" t="str">
        <v>4(47)</v>
      </c>
      <c r="GZ1" t="str">
        <v>4(48)</v>
      </c>
      <c r="HA1" t="str">
        <v>4(49)</v>
      </c>
      <c r="HB1" t="str">
        <v>4(50)</v>
      </c>
      <c r="HC1" t="str">
        <v>5(1)</v>
      </c>
      <c r="HD1" t="str">
        <v>5(2)</v>
      </c>
      <c r="HE1" t="str">
        <v>5(3)</v>
      </c>
      <c r="HF1" t="str">
        <v>5(4)</v>
      </c>
      <c r="HG1" t="str">
        <v>5(5)</v>
      </c>
      <c r="HH1" t="str">
        <v>5(6)</v>
      </c>
      <c r="HI1" t="str">
        <v>5(7)</v>
      </c>
      <c r="HJ1" t="str">
        <v>5(8)</v>
      </c>
      <c r="HK1" t="str">
        <v>5(9)</v>
      </c>
      <c r="HL1" t="str">
        <v>5(10)</v>
      </c>
      <c r="HM1" t="str">
        <v>5(11)</v>
      </c>
      <c r="HN1" t="str">
        <v>5(12)</v>
      </c>
      <c r="HO1" t="str">
        <v>5(13)</v>
      </c>
      <c r="HP1" t="str">
        <v>5(14)</v>
      </c>
      <c r="HQ1" t="str">
        <v>5(15)</v>
      </c>
      <c r="HR1" t="str">
        <v>5(16)</v>
      </c>
      <c r="HS1" t="str">
        <v>5(17)</v>
      </c>
      <c r="HT1" t="str">
        <v>5(18)</v>
      </c>
      <c r="HU1" t="str">
        <v>5(19)</v>
      </c>
      <c r="HV1" t="str">
        <v>5(20)</v>
      </c>
      <c r="HW1" t="str">
        <v>5(21)</v>
      </c>
      <c r="HX1" t="str">
        <v>5(22)</v>
      </c>
      <c r="HY1" t="str">
        <v>5(23)</v>
      </c>
      <c r="HZ1" t="str">
        <v>5(24)</v>
      </c>
      <c r="IA1" t="str">
        <v>5(25)</v>
      </c>
      <c r="IB1" t="str">
        <v>5(26)</v>
      </c>
      <c r="IC1" t="str">
        <v>5(27)</v>
      </c>
      <c r="ID1" t="str">
        <v>5(28)</v>
      </c>
      <c r="IE1" t="str">
        <v>5(29)</v>
      </c>
      <c r="IF1" t="str">
        <v>5(30)</v>
      </c>
      <c r="IG1" t="str">
        <v>5(31)</v>
      </c>
      <c r="IH1" t="str">
        <v>5(32)</v>
      </c>
      <c r="II1" t="str">
        <v>5(33)</v>
      </c>
      <c r="IJ1" t="str">
        <v>5(34)</v>
      </c>
      <c r="IK1" t="str">
        <v>5(35)</v>
      </c>
      <c r="IL1" t="str">
        <v>5(36)</v>
      </c>
      <c r="IM1" t="str">
        <v>5(37)</v>
      </c>
      <c r="IN1" t="str">
        <v>5(38)</v>
      </c>
      <c r="IO1" t="str">
        <v>6(1)</v>
      </c>
      <c r="IP1" t="str">
        <v>6(2)</v>
      </c>
      <c r="IQ1" t="str">
        <v>6(3)</v>
      </c>
      <c r="IR1" t="str">
        <v>6(4)</v>
      </c>
      <c r="IS1" t="str">
        <v>6(5)</v>
      </c>
      <c r="IT1" t="str">
        <v>6(6)</v>
      </c>
      <c r="IU1" t="str">
        <v>6(7)</v>
      </c>
      <c r="IV1" t="str">
        <v>6(8)</v>
      </c>
      <c r="IW1" t="str">
        <v>6(9)</v>
      </c>
      <c r="IX1" t="str">
        <v>6(10)</v>
      </c>
      <c r="IY1" t="str">
        <v>6(11)</v>
      </c>
      <c r="IZ1" t="str">
        <v>6(12)</v>
      </c>
      <c r="JA1" t="str">
        <v>6(13)</v>
      </c>
      <c r="JB1" t="str">
        <v>6(14)</v>
      </c>
      <c r="JC1" t="str">
        <v>7(1)</v>
      </c>
      <c r="JD1" t="str">
        <v>7(2)</v>
      </c>
      <c r="JE1" t="str">
        <v>7(3)</v>
      </c>
      <c r="JF1" t="str">
        <v>7(4)</v>
      </c>
      <c r="JG1" t="str">
        <v>7(5)</v>
      </c>
      <c r="JH1" t="str">
        <v>7(6)</v>
      </c>
      <c r="JI1" t="str">
        <v>7(7)</v>
      </c>
      <c r="JJ1" t="str">
        <v>7(8)</v>
      </c>
      <c r="JK1" t="str">
        <v>7(9)</v>
      </c>
      <c r="JL1" t="str">
        <v>7(10)</v>
      </c>
      <c r="JM1" t="str">
        <v>7(11)</v>
      </c>
      <c r="JN1" t="str">
        <v>7(12)</v>
      </c>
      <c r="JO1" t="str">
        <v>7(13)</v>
      </c>
      <c r="JP1" t="str">
        <v>7(14)</v>
      </c>
      <c r="JQ1" t="str">
        <v>7(15)</v>
      </c>
      <c r="JR1" t="str">
        <v>7(16)</v>
      </c>
      <c r="JS1" t="str">
        <v>7(17)</v>
      </c>
      <c r="JT1" t="str">
        <v>7(18)</v>
      </c>
    </row>
    <row r="2" spans="1:280" x14ac:dyDescent="0.15">
      <c r="A2" t="str" cm="1">
        <f t="array" ref="A2:JT2">TRANSPOSE(リンクシート_台帳取込用!G4:G283)</f>
        <v>0</v>
      </c>
      <c r="B2" t="str">
        <v>2018</v>
      </c>
      <c r="C2" t="str">
        <v>0</v>
      </c>
      <c r="D2" t="str">
        <v>0</v>
      </c>
      <c r="E2" t="str">
        <v>0000</v>
      </c>
      <c r="F2" t="str">
        <v>0</v>
      </c>
      <c r="G2" t="str">
        <v>0</v>
      </c>
      <c r="H2" t="str">
        <v/>
      </c>
      <c r="I2" t="str">
        <v/>
      </c>
      <c r="J2" t="str">
        <v/>
      </c>
      <c r="K2" t="str">
        <v/>
      </c>
      <c r="L2" t="str">
        <v>0</v>
      </c>
      <c r="M2" t="str">
        <v/>
      </c>
      <c r="N2" t="str">
        <v/>
      </c>
      <c r="O2" t="str">
        <v/>
      </c>
      <c r="P2" t="str">
        <v/>
      </c>
      <c r="Q2" t="str">
        <v>0</v>
      </c>
      <c r="R2" t="str">
        <v/>
      </c>
      <c r="S2" t="str">
        <v/>
      </c>
      <c r="T2" t="str">
        <v/>
      </c>
      <c r="U2" t="str">
        <v/>
      </c>
      <c r="V2" t="str">
        <v/>
      </c>
      <c r="W2" t="str">
        <v/>
      </c>
      <c r="X2" t="str">
        <v/>
      </c>
      <c r="Y2" t="str">
        <v/>
      </c>
      <c r="Z2" t="str">
        <v/>
      </c>
      <c r="AA2" t="str">
        <v/>
      </c>
      <c r="AB2" t="str">
        <v/>
      </c>
      <c r="AC2" t="str">
        <v>0</v>
      </c>
      <c r="AD2" t="str">
        <v/>
      </c>
      <c r="AE2" t="str">
        <v/>
      </c>
      <c r="AF2" t="str">
        <v/>
      </c>
      <c r="AG2" t="str">
        <v/>
      </c>
      <c r="AH2" t="str">
        <v/>
      </c>
      <c r="AI2" t="str">
        <v/>
      </c>
      <c r="AJ2" t="str">
        <v/>
      </c>
      <c r="AK2" t="str">
        <v/>
      </c>
      <c r="AL2" t="str">
        <v/>
      </c>
      <c r="AM2" t="str">
        <v/>
      </c>
      <c r="AN2" t="str">
        <v/>
      </c>
      <c r="AO2" t="str">
        <v/>
      </c>
      <c r="AP2" t="str">
        <v/>
      </c>
      <c r="AQ2" t="str">
        <v>0</v>
      </c>
      <c r="AR2" t="str">
        <v>0</v>
      </c>
      <c r="AS2" t="str">
        <v>0</v>
      </c>
      <c r="AT2" t="str">
        <v>0</v>
      </c>
      <c r="AU2" t="str">
        <v/>
      </c>
      <c r="AV2" t="str">
        <v/>
      </c>
      <c r="AW2" t="str">
        <v/>
      </c>
      <c r="AX2" t="str">
        <v/>
      </c>
      <c r="AY2" t="str">
        <v/>
      </c>
      <c r="AZ2" t="str">
        <v/>
      </c>
      <c r="BA2" t="str">
        <v/>
      </c>
      <c r="BB2" t="str">
        <v/>
      </c>
      <c r="BC2" t="str">
        <v/>
      </c>
      <c r="BD2" t="str">
        <v/>
      </c>
      <c r="BE2" t="str">
        <v/>
      </c>
      <c r="BF2" t="str">
        <v/>
      </c>
      <c r="BG2" t="str">
        <v/>
      </c>
      <c r="BH2" t="str">
        <v/>
      </c>
      <c r="BI2" t="str">
        <v/>
      </c>
      <c r="BJ2" t="str">
        <v/>
      </c>
      <c r="BK2" t="str">
        <v/>
      </c>
      <c r="BL2" t="str">
        <v/>
      </c>
      <c r="BM2" t="str">
        <v/>
      </c>
      <c r="BN2" t="str">
        <v/>
      </c>
      <c r="BO2" t="str">
        <v/>
      </c>
      <c r="BP2" t="str">
        <v/>
      </c>
      <c r="BQ2" t="str">
        <v/>
      </c>
      <c r="BR2" t="str">
        <v/>
      </c>
      <c r="BS2" t="str">
        <v/>
      </c>
      <c r="BT2" t="str">
        <v/>
      </c>
      <c r="BU2" t="str">
        <v/>
      </c>
      <c r="BV2" t="str">
        <v/>
      </c>
      <c r="BW2" t="str">
        <v/>
      </c>
      <c r="BX2" t="str">
        <v/>
      </c>
      <c r="BY2" t="str">
        <v/>
      </c>
      <c r="BZ2" t="str">
        <v/>
      </c>
      <c r="CA2" t="str">
        <v/>
      </c>
      <c r="CB2" t="str">
        <v/>
      </c>
      <c r="CC2" t="str">
        <v/>
      </c>
      <c r="CD2" t="str">
        <v>0</v>
      </c>
      <c r="CE2" t="str">
        <v>0</v>
      </c>
      <c r="CF2" t="str">
        <v>0</v>
      </c>
      <c r="CG2" t="str">
        <v>0</v>
      </c>
      <c r="CH2" t="str">
        <v>0</v>
      </c>
      <c r="CI2" t="str">
        <v/>
      </c>
      <c r="CJ2" t="str">
        <v/>
      </c>
      <c r="CK2" t="str">
        <v/>
      </c>
      <c r="CL2" t="str">
        <v>0</v>
      </c>
      <c r="CM2" t="str">
        <v>0</v>
      </c>
      <c r="CN2" t="str">
        <v/>
      </c>
      <c r="CO2" t="str">
        <v>0</v>
      </c>
      <c r="CP2" t="str">
        <v/>
      </c>
      <c r="CQ2" t="str">
        <v>0</v>
      </c>
      <c r="CR2" t="str">
        <v/>
      </c>
      <c r="CS2" t="str">
        <v>0</v>
      </c>
      <c r="CT2" t="str">
        <v/>
      </c>
      <c r="CU2" t="str">
        <v>0</v>
      </c>
      <c r="CV2" t="str">
        <v/>
      </c>
      <c r="CW2" t="str">
        <v/>
      </c>
      <c r="CX2" t="str">
        <v>？</v>
      </c>
      <c r="CY2" t="str">
        <v>？</v>
      </c>
      <c r="CZ2" t="str">
        <v>？</v>
      </c>
      <c r="DA2" t="str">
        <v>？</v>
      </c>
      <c r="DB2" t="str">
        <v>？</v>
      </c>
      <c r="DC2" t="str">
        <v>？</v>
      </c>
      <c r="DD2" t="str">
        <v>？</v>
      </c>
      <c r="DE2" t="str">
        <v>？</v>
      </c>
      <c r="DF2" t="str">
        <v>？</v>
      </c>
      <c r="DG2" t="str">
        <v>？</v>
      </c>
      <c r="DH2" t="str">
        <v>？</v>
      </c>
      <c r="DI2" t="str">
        <v>？</v>
      </c>
      <c r="DJ2" t="str">
        <v>？</v>
      </c>
      <c r="DK2" t="str">
        <v>？</v>
      </c>
      <c r="DL2" t="str">
        <v>？</v>
      </c>
      <c r="DM2" t="str">
        <v>？</v>
      </c>
      <c r="DN2" t="str">
        <v>？</v>
      </c>
      <c r="DO2" t="str">
        <v/>
      </c>
      <c r="DP2" t="str">
        <v/>
      </c>
      <c r="DQ2" t="str">
        <v/>
      </c>
      <c r="DR2" t="str">
        <v/>
      </c>
      <c r="DS2" t="str">
        <v/>
      </c>
      <c r="DT2" t="str">
        <v>？</v>
      </c>
      <c r="DU2" t="str">
        <v>？</v>
      </c>
      <c r="DV2" t="str">
        <v>？</v>
      </c>
      <c r="DW2" t="str">
        <v>？</v>
      </c>
      <c r="DX2" t="str">
        <v>？</v>
      </c>
      <c r="DY2" t="str">
        <v>？</v>
      </c>
      <c r="DZ2" t="str">
        <v>？</v>
      </c>
      <c r="EA2" t="str">
        <v>？</v>
      </c>
      <c r="EB2" t="str">
        <v>？</v>
      </c>
      <c r="EC2" t="str">
        <v>？</v>
      </c>
      <c r="ED2" t="str">
        <v>？</v>
      </c>
      <c r="EE2" t="str">
        <v>？</v>
      </c>
      <c r="EF2" t="str">
        <v>？</v>
      </c>
      <c r="EG2" t="str">
        <v>？</v>
      </c>
      <c r="EH2" t="str">
        <v>？</v>
      </c>
      <c r="EI2" t="str">
        <v>？</v>
      </c>
      <c r="EJ2" t="str">
        <v>？</v>
      </c>
      <c r="EK2" t="str">
        <v>？</v>
      </c>
      <c r="EL2" t="str">
        <v/>
      </c>
      <c r="EM2" t="str">
        <v/>
      </c>
      <c r="EN2" t="str">
        <v/>
      </c>
      <c r="EO2" t="str">
        <v/>
      </c>
      <c r="EP2" t="str">
        <v/>
      </c>
      <c r="EQ2" t="str">
        <v>？</v>
      </c>
      <c r="ER2" t="str">
        <v>？</v>
      </c>
      <c r="ES2" t="str">
        <v>？</v>
      </c>
      <c r="ET2" t="str">
        <v>？</v>
      </c>
      <c r="EU2" t="str">
        <v>？</v>
      </c>
      <c r="EV2" t="str">
        <v>？</v>
      </c>
      <c r="EW2" t="str">
        <v>？</v>
      </c>
      <c r="EX2" t="str">
        <v>？</v>
      </c>
      <c r="EY2" t="str">
        <v>？</v>
      </c>
      <c r="EZ2" t="str">
        <v/>
      </c>
      <c r="FA2" t="str">
        <v/>
      </c>
      <c r="FB2" t="str">
        <v/>
      </c>
      <c r="FC2" t="str">
        <v/>
      </c>
      <c r="FD2" t="str">
        <v/>
      </c>
      <c r="FE2" t="str">
        <v>？</v>
      </c>
      <c r="FF2" t="str">
        <v>？</v>
      </c>
      <c r="FG2" t="str">
        <v>？</v>
      </c>
      <c r="FH2" t="str">
        <v>？</v>
      </c>
      <c r="FI2" t="str">
        <v>？</v>
      </c>
      <c r="FJ2" t="str">
        <v>？</v>
      </c>
      <c r="FK2" t="str">
        <v>？</v>
      </c>
      <c r="FL2" t="str">
        <v>？</v>
      </c>
      <c r="FM2" t="str">
        <v>？</v>
      </c>
      <c r="FN2" t="str">
        <v>？</v>
      </c>
      <c r="FO2" t="str">
        <v>？</v>
      </c>
      <c r="FP2" t="str">
        <v>？</v>
      </c>
      <c r="FQ2" t="str">
        <v>？</v>
      </c>
      <c r="FR2" t="str">
        <v>？</v>
      </c>
      <c r="FS2" t="str">
        <v>？</v>
      </c>
      <c r="FT2" t="str">
        <v>？</v>
      </c>
      <c r="FU2" t="str">
        <v>？</v>
      </c>
      <c r="FV2" t="str">
        <v>？</v>
      </c>
      <c r="FW2" t="str">
        <v>？</v>
      </c>
      <c r="FX2" t="str">
        <v>？</v>
      </c>
      <c r="FY2" t="str">
        <v>？</v>
      </c>
      <c r="FZ2" t="str">
        <v>？</v>
      </c>
      <c r="GA2" t="str">
        <v>？</v>
      </c>
      <c r="GB2" t="str">
        <v>？</v>
      </c>
      <c r="GC2" t="str">
        <v>？</v>
      </c>
      <c r="GD2" t="str">
        <v>？</v>
      </c>
      <c r="GE2" t="str">
        <v>？</v>
      </c>
      <c r="GF2" t="str">
        <v>？</v>
      </c>
      <c r="GG2" t="str">
        <v>？</v>
      </c>
      <c r="GH2" t="str">
        <v>？</v>
      </c>
      <c r="GI2" t="str">
        <v>？</v>
      </c>
      <c r="GJ2" t="str">
        <v>？</v>
      </c>
      <c r="GK2" t="str">
        <v>？</v>
      </c>
      <c r="GL2" t="str">
        <v>？</v>
      </c>
      <c r="GM2" t="str">
        <v>？</v>
      </c>
      <c r="GN2" t="str">
        <v>？</v>
      </c>
      <c r="GO2" t="str">
        <v>？</v>
      </c>
      <c r="GP2" t="str">
        <v>？</v>
      </c>
      <c r="GQ2" t="str">
        <v>？</v>
      </c>
      <c r="GR2" t="str">
        <v>？</v>
      </c>
      <c r="GS2" t="str">
        <v>？</v>
      </c>
      <c r="GT2" t="str">
        <v>？</v>
      </c>
      <c r="GU2" t="str">
        <v>？</v>
      </c>
      <c r="GV2" t="str">
        <v>？</v>
      </c>
      <c r="GW2" t="str">
        <v>？</v>
      </c>
      <c r="GX2" t="str">
        <v/>
      </c>
      <c r="GY2" t="str">
        <v/>
      </c>
      <c r="GZ2" t="str">
        <v/>
      </c>
      <c r="HA2" t="str">
        <v/>
      </c>
      <c r="HB2" t="str">
        <v/>
      </c>
      <c r="HC2" t="str">
        <v>？</v>
      </c>
      <c r="HD2" t="str">
        <v>？</v>
      </c>
      <c r="HE2" t="str">
        <v>？</v>
      </c>
      <c r="HF2" t="str">
        <v>？</v>
      </c>
      <c r="HG2" t="str">
        <v>？</v>
      </c>
      <c r="HH2" t="str">
        <v>？</v>
      </c>
      <c r="HI2" t="str">
        <v>？</v>
      </c>
      <c r="HJ2" t="str">
        <v>？</v>
      </c>
      <c r="HK2" t="str">
        <v>？</v>
      </c>
      <c r="HL2" t="str">
        <v>？</v>
      </c>
      <c r="HM2" t="str">
        <v>？</v>
      </c>
      <c r="HN2" t="str">
        <v>？</v>
      </c>
      <c r="HO2" t="str">
        <v>？</v>
      </c>
      <c r="HP2" t="str">
        <v>？</v>
      </c>
      <c r="HQ2" t="str">
        <v>？</v>
      </c>
      <c r="HR2" t="str">
        <v>？</v>
      </c>
      <c r="HS2" t="str">
        <v>？</v>
      </c>
      <c r="HT2" t="str">
        <v>？</v>
      </c>
      <c r="HU2" t="str">
        <v>？</v>
      </c>
      <c r="HV2" t="str">
        <v>？</v>
      </c>
      <c r="HW2" t="str">
        <v>？</v>
      </c>
      <c r="HX2" t="str">
        <v>？</v>
      </c>
      <c r="HY2" t="str">
        <v>？</v>
      </c>
      <c r="HZ2" t="str">
        <v>？</v>
      </c>
      <c r="IA2" t="str">
        <v>？</v>
      </c>
      <c r="IB2" t="str">
        <v>？</v>
      </c>
      <c r="IC2" t="str">
        <v>？</v>
      </c>
      <c r="ID2" t="str">
        <v>？</v>
      </c>
      <c r="IE2" t="str">
        <v>？</v>
      </c>
      <c r="IF2" t="str">
        <v>？</v>
      </c>
      <c r="IG2" t="str">
        <v>？</v>
      </c>
      <c r="IH2" t="str">
        <v>？</v>
      </c>
      <c r="II2" t="str">
        <v>？</v>
      </c>
      <c r="IJ2" t="str">
        <v/>
      </c>
      <c r="IK2" t="str">
        <v/>
      </c>
      <c r="IL2" t="str">
        <v/>
      </c>
      <c r="IM2" t="str">
        <v/>
      </c>
      <c r="IN2" t="str">
        <v/>
      </c>
      <c r="IO2" t="str">
        <v>？</v>
      </c>
      <c r="IP2" t="str">
        <v>？</v>
      </c>
      <c r="IQ2" t="str">
        <v>？</v>
      </c>
      <c r="IR2" t="str">
        <v>？</v>
      </c>
      <c r="IS2" t="str">
        <v>？</v>
      </c>
      <c r="IT2" t="str">
        <v>？</v>
      </c>
      <c r="IU2" t="str">
        <v>？</v>
      </c>
      <c r="IV2" t="str">
        <v>？</v>
      </c>
      <c r="IW2" t="str">
        <v>？</v>
      </c>
      <c r="IX2" t="str">
        <v/>
      </c>
      <c r="IY2" t="str">
        <v/>
      </c>
      <c r="IZ2" t="str">
        <v/>
      </c>
      <c r="JA2" t="str">
        <v/>
      </c>
      <c r="JB2" t="str">
        <v/>
      </c>
      <c r="JC2" t="str">
        <v>？</v>
      </c>
      <c r="JD2" t="str">
        <v>？</v>
      </c>
      <c r="JE2" t="str">
        <v>？</v>
      </c>
      <c r="JF2" t="str">
        <v>？</v>
      </c>
      <c r="JG2" t="str">
        <v>？</v>
      </c>
      <c r="JH2" t="str">
        <v>？</v>
      </c>
      <c r="JI2" t="str">
        <v>？</v>
      </c>
      <c r="JJ2" t="str">
        <v>？</v>
      </c>
      <c r="JK2" t="str">
        <v>？</v>
      </c>
      <c r="JL2" t="str">
        <v>？</v>
      </c>
      <c r="JM2" t="str">
        <v>？</v>
      </c>
      <c r="JN2" t="str">
        <v>？</v>
      </c>
      <c r="JO2" t="str">
        <v>？</v>
      </c>
      <c r="JP2" t="str">
        <v>？</v>
      </c>
      <c r="JQ2" t="str">
        <v>？</v>
      </c>
      <c r="JR2" t="str">
        <v>？</v>
      </c>
      <c r="JS2" t="str">
        <v>？</v>
      </c>
      <c r="JT2" t="str">
        <v>？</v>
      </c>
    </row>
  </sheetData>
  <phoneticPr fontId="3"/>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D66A0-BFE4-47EE-AFBB-F6DC63F0592F}">
  <dimension ref="A1:AO284"/>
  <sheetViews>
    <sheetView zoomScale="85" zoomScaleNormal="85" workbookViewId="0">
      <pane ySplit="3" topLeftCell="A4" activePane="bottomLeft" state="frozen"/>
      <selection pane="bottomLeft"/>
    </sheetView>
  </sheetViews>
  <sheetFormatPr defaultColWidth="9" defaultRowHeight="18.75" customHeight="1" x14ac:dyDescent="0.15"/>
  <cols>
    <col min="1" max="1" width="2.75" style="1449" customWidth="1"/>
    <col min="2" max="2" width="6.75" style="1451" customWidth="1"/>
    <col min="3" max="3" width="13.375" style="1451" customWidth="1"/>
    <col min="4" max="7" width="11.75" style="1669" customWidth="1"/>
    <col min="8" max="8" width="11.75" style="1538" customWidth="1"/>
    <col min="9" max="9" width="4.5" style="1451" customWidth="1"/>
    <col min="10" max="10" width="2.375" style="1528" customWidth="1"/>
    <col min="11" max="11" width="6" style="1451" customWidth="1"/>
    <col min="12" max="12" width="2.25" style="1451" customWidth="1"/>
    <col min="13" max="13" width="5.5" style="1548" customWidth="1"/>
    <col min="14" max="14" width="1.75" style="1451" customWidth="1"/>
    <col min="15" max="15" width="5.375" style="1451" customWidth="1"/>
    <col min="16" max="16" width="1.875" style="1451" customWidth="1"/>
    <col min="17" max="17" width="5.75" style="1451" customWidth="1"/>
    <col min="18" max="18" width="1.875" style="1451" customWidth="1"/>
    <col min="19" max="19" width="24.625" style="1451" customWidth="1"/>
    <col min="20" max="20" width="3.25" style="1451" customWidth="1"/>
    <col min="21" max="21" width="4.125" style="1523" bestFit="1" customWidth="1"/>
    <col min="22" max="22" width="24.125" style="1457" customWidth="1"/>
    <col min="23" max="23" width="5.125" style="1524" customWidth="1"/>
    <col min="24" max="24" width="23.625" style="1457" customWidth="1"/>
    <col min="25" max="25" width="5.625" style="1524" customWidth="1"/>
    <col min="26" max="26" width="18.5" style="1457" customWidth="1"/>
    <col min="27" max="27" width="5.625" style="1524" customWidth="1"/>
    <col min="28" max="28" width="16.125" style="1458" bestFit="1" customWidth="1"/>
    <col min="29" max="29" width="5.625" style="1457" customWidth="1"/>
    <col min="30" max="30" width="38.125" style="1458" customWidth="1"/>
    <col min="31" max="32" width="5.875" style="1457" customWidth="1"/>
    <col min="33" max="41" width="9" style="1457"/>
    <col min="42" max="16384" width="9" style="1451"/>
  </cols>
  <sheetData>
    <row r="1" spans="1:37" ht="24" customHeight="1" x14ac:dyDescent="0.15">
      <c r="A1" s="1808"/>
      <c r="B1" s="1451" t="s">
        <v>2992</v>
      </c>
      <c r="E1" s="1669" t="s">
        <v>3309</v>
      </c>
      <c r="G1" s="1669" t="s">
        <v>2927</v>
      </c>
      <c r="S1" s="1669" t="s">
        <v>2927</v>
      </c>
      <c r="U1" s="1448"/>
      <c r="V1" s="1452"/>
      <c r="W1" s="1453"/>
      <c r="X1" s="1454"/>
      <c r="Y1" s="1455"/>
      <c r="Z1" s="1456"/>
      <c r="AA1" s="1455"/>
      <c r="AB1" s="1452"/>
      <c r="AI1" s="1459"/>
      <c r="AJ1" s="1459"/>
      <c r="AK1" s="1459"/>
    </row>
    <row r="2" spans="1:37" ht="18.75" customHeight="1" x14ac:dyDescent="0.15">
      <c r="C2" s="1451" t="s">
        <v>2993</v>
      </c>
      <c r="D2" s="1460" t="s">
        <v>2921</v>
      </c>
      <c r="E2" s="1460" t="s">
        <v>158</v>
      </c>
      <c r="F2" s="1460" t="s">
        <v>152</v>
      </c>
      <c r="G2" s="1670" t="s">
        <v>160</v>
      </c>
      <c r="S2" s="1839"/>
      <c r="U2" s="1461" t="s">
        <v>1295</v>
      </c>
      <c r="W2" s="1453"/>
      <c r="X2" s="1454"/>
      <c r="Y2" s="1455"/>
      <c r="AA2" s="1456"/>
      <c r="AB2" s="1452"/>
      <c r="AG2" s="1457" t="s">
        <v>3308</v>
      </c>
      <c r="AH2" s="1459"/>
      <c r="AI2" s="1459"/>
      <c r="AJ2" s="1459"/>
      <c r="AK2" s="1459"/>
    </row>
    <row r="3" spans="1:37" ht="66" x14ac:dyDescent="0.15">
      <c r="A3" s="1478"/>
      <c r="B3" s="1462" t="s">
        <v>2923</v>
      </c>
      <c r="C3" s="1464" t="s">
        <v>2994</v>
      </c>
      <c r="D3" s="1463" t="s">
        <v>2908</v>
      </c>
      <c r="E3" s="1463" t="s">
        <v>2995</v>
      </c>
      <c r="F3" s="1463" t="s">
        <v>2996</v>
      </c>
      <c r="G3" s="1838" t="s">
        <v>3084</v>
      </c>
      <c r="H3" s="1539" t="s">
        <v>2801</v>
      </c>
      <c r="I3" s="1464" t="s">
        <v>3086</v>
      </c>
      <c r="J3" s="1529"/>
      <c r="K3" s="1493" t="s">
        <v>718</v>
      </c>
      <c r="L3" s="1464"/>
      <c r="M3" s="1493"/>
      <c r="N3" s="1464"/>
      <c r="O3" s="1464"/>
      <c r="P3" s="1464"/>
      <c r="Q3" s="1464"/>
      <c r="R3" s="1464"/>
      <c r="S3" s="1810" t="s">
        <v>3082</v>
      </c>
      <c r="T3" s="1464"/>
      <c r="U3" s="1465"/>
      <c r="V3" s="1452"/>
      <c r="W3" s="1453"/>
      <c r="X3" s="1454"/>
      <c r="Y3" s="1455"/>
      <c r="Z3" s="1456"/>
      <c r="AA3" s="1455"/>
      <c r="AB3" s="1452"/>
      <c r="AI3" s="1459"/>
      <c r="AJ3" s="1459"/>
      <c r="AK3" s="1459"/>
    </row>
    <row r="4" spans="1:37" ht="18.75" customHeight="1" x14ac:dyDescent="0.15">
      <c r="A4" s="1578"/>
      <c r="B4" s="1462"/>
      <c r="C4" s="1462">
        <v>1</v>
      </c>
      <c r="D4" s="1460">
        <f>'1_入力シート【基本情報】'!$M$4</f>
        <v>0</v>
      </c>
      <c r="E4" s="1671" t="str">
        <f t="shared" ref="E4:E8" si="0">ASC($D4)</f>
        <v>0</v>
      </c>
      <c r="F4" s="1650" t="str">
        <f t="shared" ref="F4:F34" si="1">SUBSTITUTE(E4,CHAR(10),"")</f>
        <v>0</v>
      </c>
      <c r="G4" s="1650" t="str">
        <f t="shared" ref="G4:G10" si="2">TRIM(F4)</f>
        <v>0</v>
      </c>
      <c r="H4" s="1468" t="s">
        <v>3212</v>
      </c>
      <c r="I4" s="1644"/>
      <c r="J4" s="1531"/>
      <c r="K4" s="1462" t="s">
        <v>3212</v>
      </c>
      <c r="L4" s="1462" t="s">
        <v>1307</v>
      </c>
      <c r="M4" s="1462" t="s">
        <v>2922</v>
      </c>
      <c r="N4" s="1462" t="s">
        <v>1307</v>
      </c>
      <c r="O4" s="1493" t="s">
        <v>3137</v>
      </c>
      <c r="P4" s="1462"/>
      <c r="Q4" s="1462"/>
      <c r="R4" s="1462"/>
      <c r="S4" s="1462" t="str">
        <f t="shared" ref="S4:S34" si="3">CONCATENATE(K4,L4,M4,N4,O4,P4,Q4)</f>
        <v>チェック用_報告対象年_和暦年</v>
      </c>
      <c r="T4" s="1462"/>
      <c r="U4" s="1469" t="s">
        <v>1296</v>
      </c>
      <c r="V4" s="1470" t="s">
        <v>2999</v>
      </c>
      <c r="W4" s="1471" t="s">
        <v>1306</v>
      </c>
      <c r="X4" s="1472" t="s">
        <v>12</v>
      </c>
      <c r="Y4" s="1473"/>
      <c r="Z4" s="1474"/>
      <c r="AA4" s="1473"/>
      <c r="AB4" s="1470"/>
      <c r="AC4" s="1475"/>
      <c r="AD4" s="1476"/>
      <c r="AE4" s="1477"/>
      <c r="AF4" s="1477"/>
      <c r="AG4" s="1457" t="str">
        <f t="shared" ref="AG4:AG34" si="4">CONCATENATE(U4,V4,W4,X4,Y4,Z4,AA4,AB4,AC4,AD4)</f>
        <v>0報告年-年</v>
      </c>
      <c r="AI4" s="1459"/>
      <c r="AJ4" s="1459"/>
      <c r="AK4" s="1459"/>
    </row>
    <row r="5" spans="1:37" ht="18.75" customHeight="1" x14ac:dyDescent="0.15">
      <c r="A5" s="1578"/>
      <c r="B5" s="1536" t="s">
        <v>2928</v>
      </c>
      <c r="C5" s="1462">
        <v>2</v>
      </c>
      <c r="D5" s="1650">
        <f>'1_入力シート【基本情報】'!$DS$4</f>
        <v>2018</v>
      </c>
      <c r="E5" s="1671" t="str">
        <f t="shared" si="0"/>
        <v>2018</v>
      </c>
      <c r="F5" s="1650" t="str">
        <f t="shared" si="1"/>
        <v>2018</v>
      </c>
      <c r="G5" s="1650" t="str">
        <f t="shared" si="2"/>
        <v>2018</v>
      </c>
      <c r="H5" s="1468" t="s">
        <v>3000</v>
      </c>
      <c r="I5" s="1644"/>
      <c r="J5" s="1531"/>
      <c r="K5" s="1462" t="s">
        <v>2922</v>
      </c>
      <c r="L5" s="1462" t="s">
        <v>1307</v>
      </c>
      <c r="M5" s="1493" t="s">
        <v>2924</v>
      </c>
      <c r="N5" s="1462"/>
      <c r="O5" s="1462"/>
      <c r="P5" s="1462"/>
      <c r="Q5" s="1462"/>
      <c r="R5" s="1462"/>
      <c r="S5" s="1462" t="str">
        <f t="shared" si="3"/>
        <v>報告対象年_西暦</v>
      </c>
      <c r="T5" s="1462"/>
      <c r="U5" s="1469" t="s">
        <v>1296</v>
      </c>
      <c r="V5" s="1470" t="s">
        <v>2999</v>
      </c>
      <c r="W5" s="1471" t="s">
        <v>1306</v>
      </c>
      <c r="X5" s="1472" t="s">
        <v>2924</v>
      </c>
      <c r="Y5" s="1473"/>
      <c r="Z5" s="1474"/>
      <c r="AA5" s="1473"/>
      <c r="AB5" s="1470"/>
      <c r="AC5" s="1475"/>
      <c r="AD5" s="1476"/>
      <c r="AE5" s="1477"/>
      <c r="AF5" s="1477"/>
      <c r="AG5" s="1457" t="str">
        <f t="shared" si="4"/>
        <v>0報告年-西暦</v>
      </c>
      <c r="AI5" s="1459"/>
      <c r="AJ5" s="1459"/>
      <c r="AK5" s="1459"/>
    </row>
    <row r="6" spans="1:37" ht="18.75" customHeight="1" x14ac:dyDescent="0.15">
      <c r="A6" s="1579"/>
      <c r="B6" s="1468"/>
      <c r="C6" s="1462">
        <v>1</v>
      </c>
      <c r="D6" s="1483">
        <f>'1_入力シート【基本情報】'!$AB$7</f>
        <v>0</v>
      </c>
      <c r="E6" s="1671" t="str">
        <f t="shared" si="0"/>
        <v>0</v>
      </c>
      <c r="F6" s="1650" t="str">
        <f t="shared" si="1"/>
        <v>0</v>
      </c>
      <c r="G6" s="1650" t="str">
        <f t="shared" si="2"/>
        <v>0</v>
      </c>
      <c r="H6" s="1468" t="s">
        <v>2805</v>
      </c>
      <c r="I6" s="1660"/>
      <c r="J6" s="1530"/>
      <c r="K6" s="1462" t="s">
        <v>2929</v>
      </c>
      <c r="L6" s="1462"/>
      <c r="M6" s="1493"/>
      <c r="N6" s="1462"/>
      <c r="O6" s="1462"/>
      <c r="P6" s="1462"/>
      <c r="Q6" s="1462"/>
      <c r="R6" s="1462"/>
      <c r="S6" s="1462" t="str">
        <f t="shared" si="3"/>
        <v>ID用途記号</v>
      </c>
      <c r="T6" s="1462"/>
      <c r="U6" s="1469">
        <v>1</v>
      </c>
      <c r="V6" s="1470" t="s">
        <v>1317</v>
      </c>
      <c r="W6" s="1471" t="s">
        <v>1306</v>
      </c>
      <c r="X6" s="1472" t="s">
        <v>1318</v>
      </c>
      <c r="Y6" s="1473" t="s">
        <v>1306</v>
      </c>
      <c r="Z6" s="1474" t="s">
        <v>1297</v>
      </c>
      <c r="AA6" s="1473"/>
      <c r="AB6" s="1470"/>
      <c r="AC6" s="1475"/>
      <c r="AD6" s="1476"/>
      <c r="AE6" s="1477"/>
      <c r="AF6" s="1477"/>
      <c r="AG6" s="1457" t="str">
        <f t="shared" si="4"/>
        <v>1報告対象建築物-ID-1</v>
      </c>
      <c r="AI6" s="1459"/>
      <c r="AJ6" s="1459"/>
      <c r="AK6" s="1459"/>
    </row>
    <row r="7" spans="1:37" ht="18.75" customHeight="1" x14ac:dyDescent="0.15">
      <c r="A7" s="1579"/>
      <c r="B7" s="1468"/>
      <c r="C7" s="1462">
        <v>1</v>
      </c>
      <c r="D7" s="1483">
        <f>'1_入力シート【基本情報】'!$AK$7</f>
        <v>0</v>
      </c>
      <c r="E7" s="1671" t="str">
        <f t="shared" si="0"/>
        <v>0</v>
      </c>
      <c r="F7" s="1650" t="str">
        <f t="shared" si="1"/>
        <v>0</v>
      </c>
      <c r="G7" s="1650" t="str">
        <f t="shared" si="2"/>
        <v>0</v>
      </c>
      <c r="H7" s="1468" t="s">
        <v>2805</v>
      </c>
      <c r="I7" s="1660"/>
      <c r="J7" s="1530"/>
      <c r="K7" s="1462" t="s">
        <v>2930</v>
      </c>
      <c r="L7" s="1462"/>
      <c r="M7" s="1493"/>
      <c r="N7" s="1462"/>
      <c r="O7" s="1462"/>
      <c r="P7" s="1462"/>
      <c r="Q7" s="1462"/>
      <c r="R7" s="1462"/>
      <c r="S7" s="1462" t="str">
        <f t="shared" si="3"/>
        <v>ID種別番号</v>
      </c>
      <c r="T7" s="1462"/>
      <c r="U7" s="1469">
        <v>1</v>
      </c>
      <c r="V7" s="1470" t="s">
        <v>1317</v>
      </c>
      <c r="W7" s="1471" t="s">
        <v>1306</v>
      </c>
      <c r="X7" s="1472" t="s">
        <v>1318</v>
      </c>
      <c r="Y7" s="1473" t="s">
        <v>1306</v>
      </c>
      <c r="Z7" s="1474" t="s">
        <v>1298</v>
      </c>
      <c r="AA7" s="1473"/>
      <c r="AB7" s="1470"/>
      <c r="AC7" s="1475"/>
      <c r="AD7" s="1476"/>
      <c r="AE7" s="1477"/>
      <c r="AF7" s="1477"/>
      <c r="AG7" s="1457" t="str">
        <f t="shared" si="4"/>
        <v>1報告対象建築物-ID-2</v>
      </c>
      <c r="AI7" s="1459"/>
      <c r="AJ7" s="1459"/>
      <c r="AK7" s="1459"/>
    </row>
    <row r="8" spans="1:37" ht="18.75" customHeight="1" x14ac:dyDescent="0.15">
      <c r="A8" s="1581"/>
      <c r="B8" s="1480"/>
      <c r="C8" s="1462">
        <v>2</v>
      </c>
      <c r="D8" s="1650" t="str">
        <f>'1_入力シート【基本情報】'!$DN$7</f>
        <v>0000</v>
      </c>
      <c r="E8" s="1671" t="str">
        <f t="shared" si="0"/>
        <v>0000</v>
      </c>
      <c r="F8" s="1650" t="str">
        <f t="shared" si="1"/>
        <v>0000</v>
      </c>
      <c r="G8" s="1650" t="str">
        <f t="shared" si="2"/>
        <v>0000</v>
      </c>
      <c r="H8" s="1468" t="s">
        <v>3083</v>
      </c>
      <c r="I8" s="1660"/>
      <c r="J8" s="1531"/>
      <c r="K8" s="1462" t="s">
        <v>2931</v>
      </c>
      <c r="L8" s="1462"/>
      <c r="M8" s="1493"/>
      <c r="N8" s="1462"/>
      <c r="O8" s="1462"/>
      <c r="P8" s="1462"/>
      <c r="Q8" s="1462"/>
      <c r="R8" s="1462"/>
      <c r="S8" s="1462" t="str">
        <f t="shared" si="3"/>
        <v>建物ID</v>
      </c>
      <c r="T8" s="1462"/>
      <c r="U8" s="1469">
        <v>1</v>
      </c>
      <c r="V8" s="1470" t="s">
        <v>1317</v>
      </c>
      <c r="W8" s="1471" t="s">
        <v>1306</v>
      </c>
      <c r="X8" s="1472" t="s">
        <v>1318</v>
      </c>
      <c r="Y8" s="1473" t="s">
        <v>1306</v>
      </c>
      <c r="Z8" s="1474" t="s">
        <v>1299</v>
      </c>
      <c r="AA8" s="1473"/>
      <c r="AB8" s="1470"/>
      <c r="AC8" s="1475"/>
      <c r="AD8" s="1476"/>
      <c r="AE8" s="1477"/>
      <c r="AF8" s="1477"/>
      <c r="AG8" s="1457" t="str">
        <f t="shared" si="4"/>
        <v>1報告対象建築物-ID-3</v>
      </c>
      <c r="AI8" s="1459"/>
      <c r="AJ8" s="1459"/>
      <c r="AK8" s="1459"/>
    </row>
    <row r="9" spans="1:37" ht="18.75" customHeight="1" x14ac:dyDescent="0.15">
      <c r="A9" s="1582"/>
      <c r="B9" s="1448"/>
      <c r="C9" s="1451">
        <v>1</v>
      </c>
      <c r="D9" s="1483">
        <f>'1_入力シート【基本情報】'!$AB$9</f>
        <v>0</v>
      </c>
      <c r="E9" s="1650">
        <f>D9</f>
        <v>0</v>
      </c>
      <c r="F9" s="1650" t="str">
        <f t="shared" si="1"/>
        <v>0</v>
      </c>
      <c r="G9" s="1669" t="str">
        <f>TRIM(F9)</f>
        <v>0</v>
      </c>
      <c r="I9" s="1661"/>
      <c r="J9" s="1532"/>
      <c r="K9" s="1451" t="s">
        <v>244</v>
      </c>
      <c r="L9" s="1462"/>
      <c r="S9" s="1462" t="str">
        <f t="shared" si="3"/>
        <v>建物名称</v>
      </c>
      <c r="T9" s="1462"/>
      <c r="U9" s="1469">
        <v>1</v>
      </c>
      <c r="V9" s="1470" t="s">
        <v>1317</v>
      </c>
      <c r="W9" s="1471" t="s">
        <v>1306</v>
      </c>
      <c r="X9" s="1472" t="s">
        <v>1319</v>
      </c>
      <c r="Y9" s="1473" t="s">
        <v>1306</v>
      </c>
      <c r="Z9" s="1474" t="s">
        <v>1319</v>
      </c>
      <c r="AA9" s="1473"/>
      <c r="AB9" s="1470"/>
      <c r="AC9" s="1475"/>
      <c r="AD9" s="1476"/>
      <c r="AE9" s="1477"/>
      <c r="AF9" s="1477"/>
      <c r="AG9" s="1457" t="str">
        <f t="shared" si="4"/>
        <v>1報告対象建築物-建築名称-建築名称</v>
      </c>
      <c r="AI9" s="1459"/>
      <c r="AJ9" s="1459"/>
      <c r="AK9" s="1459"/>
    </row>
    <row r="10" spans="1:37" ht="18.75" customHeight="1" x14ac:dyDescent="0.15">
      <c r="A10" s="1579"/>
      <c r="B10" s="1468"/>
      <c r="C10" s="1462">
        <v>1</v>
      </c>
      <c r="D10" s="1483">
        <f>'1_入力シート【基本情報】'!$AB$12</f>
        <v>0</v>
      </c>
      <c r="E10" s="1650">
        <f t="shared" ref="E10:E34" si="5">D10</f>
        <v>0</v>
      </c>
      <c r="F10" s="1650" t="str">
        <f t="shared" si="1"/>
        <v>0</v>
      </c>
      <c r="G10" s="1650" t="str">
        <f t="shared" si="2"/>
        <v>0</v>
      </c>
      <c r="H10" s="1468" t="s">
        <v>2805</v>
      </c>
      <c r="I10" s="1660"/>
      <c r="J10" s="1530"/>
      <c r="K10" s="1462" t="s">
        <v>2932</v>
      </c>
      <c r="L10" s="1462" t="s">
        <v>1307</v>
      </c>
      <c r="M10" s="1493" t="s">
        <v>2933</v>
      </c>
      <c r="N10" s="1462"/>
      <c r="O10" s="1462"/>
      <c r="P10" s="1462"/>
      <c r="Q10" s="1462"/>
      <c r="R10" s="1462"/>
      <c r="S10" s="1462" t="str">
        <f t="shared" si="3"/>
        <v>建物所在地_区</v>
      </c>
      <c r="T10" s="1462"/>
      <c r="U10" s="1469">
        <v>1</v>
      </c>
      <c r="V10" s="1470" t="s">
        <v>1317</v>
      </c>
      <c r="W10" s="1471" t="s">
        <v>1306</v>
      </c>
      <c r="X10" s="1472" t="s">
        <v>1320</v>
      </c>
      <c r="Y10" s="1473" t="s">
        <v>1306</v>
      </c>
      <c r="Z10" s="1474" t="s">
        <v>1321</v>
      </c>
      <c r="AA10" s="1473"/>
      <c r="AB10" s="1470"/>
      <c r="AC10" s="1475"/>
      <c r="AD10" s="1476"/>
      <c r="AE10" s="1477"/>
      <c r="AF10" s="1477"/>
      <c r="AG10" s="1457" t="str">
        <f t="shared" si="4"/>
        <v>1報告対象建築物-建物所在地-区町村</v>
      </c>
      <c r="AI10" s="1459"/>
      <c r="AJ10" s="1459"/>
      <c r="AK10" s="1459"/>
    </row>
    <row r="11" spans="1:37" ht="18.75" customHeight="1" x14ac:dyDescent="0.15">
      <c r="A11" s="1579"/>
      <c r="B11" s="1536" t="s">
        <v>2928</v>
      </c>
      <c r="C11" s="1462">
        <v>2</v>
      </c>
      <c r="D11" s="1483" t="str">
        <f>'1_入力シート【基本情報】'!$DN$12</f>
        <v/>
      </c>
      <c r="E11" s="1650" t="str">
        <f t="shared" ref="E11" si="6">D11</f>
        <v/>
      </c>
      <c r="F11" s="1650" t="str">
        <f t="shared" ref="F11" si="7">SUBSTITUTE(E11,CHAR(10),"")</f>
        <v/>
      </c>
      <c r="G11" s="1650" t="str">
        <f t="shared" ref="G11" si="8">TRIM(F11)</f>
        <v/>
      </c>
      <c r="H11" s="1468"/>
      <c r="I11" s="1660"/>
      <c r="J11" s="1530"/>
      <c r="K11" s="1462" t="s">
        <v>2932</v>
      </c>
      <c r="L11" s="1462" t="s">
        <v>1307</v>
      </c>
      <c r="M11" s="1493" t="s">
        <v>3334</v>
      </c>
      <c r="N11" s="1462"/>
      <c r="O11" s="1462"/>
      <c r="P11" s="1462"/>
      <c r="Q11" s="1462"/>
      <c r="R11" s="1462"/>
      <c r="S11" s="1462" t="str">
        <f t="shared" si="3"/>
        <v>建物所在地_区以降</v>
      </c>
      <c r="T11" s="1462"/>
      <c r="U11" s="1469">
        <v>1</v>
      </c>
      <c r="V11" s="1470" t="s">
        <v>1317</v>
      </c>
      <c r="W11" s="1471" t="s">
        <v>1306</v>
      </c>
      <c r="X11" s="1472" t="s">
        <v>1320</v>
      </c>
      <c r="Y11" s="1473" t="s">
        <v>1306</v>
      </c>
      <c r="Z11" s="1474" t="s">
        <v>3334</v>
      </c>
      <c r="AA11" s="1473"/>
      <c r="AB11" s="1470"/>
      <c r="AC11" s="1475"/>
      <c r="AD11" s="1476"/>
      <c r="AE11" s="1477"/>
      <c r="AF11" s="1477"/>
      <c r="AG11" s="1457" t="str">
        <f t="shared" si="4"/>
        <v>1報告対象建築物-建物所在地-区以降</v>
      </c>
      <c r="AI11" s="1459"/>
      <c r="AJ11" s="1459"/>
      <c r="AK11" s="1459"/>
    </row>
    <row r="12" spans="1:37" ht="18.75" customHeight="1" x14ac:dyDescent="0.15">
      <c r="A12" s="1581"/>
      <c r="B12" s="1665"/>
      <c r="C12" s="1462">
        <v>2</v>
      </c>
      <c r="D12" s="1650" t="str">
        <f>'1_入力シート【基本情報】'!$DW$18</f>
        <v/>
      </c>
      <c r="E12" s="1650" t="str">
        <f t="shared" si="5"/>
        <v/>
      </c>
      <c r="F12" s="1650" t="str">
        <f t="shared" si="1"/>
        <v/>
      </c>
      <c r="G12" s="1650" t="str">
        <f t="shared" ref="G12:G40" si="9">TRIM(F12)</f>
        <v/>
      </c>
      <c r="H12" s="1482"/>
      <c r="I12" s="1644"/>
      <c r="J12" s="1531"/>
      <c r="K12" s="1462" t="s">
        <v>2937</v>
      </c>
      <c r="L12" s="1462" t="s">
        <v>1307</v>
      </c>
      <c r="M12" s="1493" t="s">
        <v>2893</v>
      </c>
      <c r="N12" s="1462"/>
      <c r="O12" s="1462"/>
      <c r="P12" s="1462"/>
      <c r="Q12" s="1462"/>
      <c r="R12" s="1462"/>
      <c r="S12" s="1462" t="str">
        <f t="shared" si="3"/>
        <v>報告書作成者_法人名</v>
      </c>
      <c r="T12" s="1462"/>
      <c r="U12" s="1469" t="s">
        <v>1298</v>
      </c>
      <c r="V12" s="1470" t="s">
        <v>1322</v>
      </c>
      <c r="W12" s="1471" t="s">
        <v>1306</v>
      </c>
      <c r="X12" s="1472" t="s">
        <v>1323</v>
      </c>
      <c r="Y12" s="1473" t="s">
        <v>1306</v>
      </c>
      <c r="Z12" s="1484" t="s">
        <v>315</v>
      </c>
      <c r="AA12" s="1485"/>
      <c r="AB12" s="1486"/>
      <c r="AC12" s="1475"/>
      <c r="AD12" s="1476"/>
      <c r="AE12" s="1477"/>
      <c r="AF12" s="1477"/>
      <c r="AG12" s="1457" t="str">
        <f t="shared" si="4"/>
        <v>2報告内容に関する問合せ先-法人名-法人名</v>
      </c>
      <c r="AI12" s="1459"/>
      <c r="AJ12" s="1459"/>
      <c r="AK12" s="1459"/>
    </row>
    <row r="13" spans="1:37" ht="18.75" customHeight="1" x14ac:dyDescent="0.15">
      <c r="A13" s="1581"/>
      <c r="B13" s="1665"/>
      <c r="C13" s="1462">
        <v>2</v>
      </c>
      <c r="D13" s="1650" t="str">
        <f>'1_入力シート【基本情報】'!$DW$22</f>
        <v/>
      </c>
      <c r="E13" s="1650" t="str">
        <f t="shared" si="5"/>
        <v/>
      </c>
      <c r="F13" s="1650" t="str">
        <f t="shared" si="1"/>
        <v/>
      </c>
      <c r="G13" s="1650" t="str">
        <f t="shared" si="9"/>
        <v/>
      </c>
      <c r="H13" s="1468"/>
      <c r="I13" s="1644"/>
      <c r="J13" s="1531"/>
      <c r="K13" s="1462" t="s">
        <v>2937</v>
      </c>
      <c r="L13" s="1462" t="s">
        <v>1307</v>
      </c>
      <c r="M13" s="1493" t="s">
        <v>1325</v>
      </c>
      <c r="N13" s="1462"/>
      <c r="O13" s="1462"/>
      <c r="P13" s="1462"/>
      <c r="Q13" s="1462"/>
      <c r="R13" s="1462"/>
      <c r="S13" s="1462" t="str">
        <f t="shared" si="3"/>
        <v>報告書作成者_氏名</v>
      </c>
      <c r="T13" s="1462"/>
      <c r="U13" s="1469" t="s">
        <v>1298</v>
      </c>
      <c r="V13" s="1470" t="s">
        <v>1322</v>
      </c>
      <c r="W13" s="1471" t="s">
        <v>1306</v>
      </c>
      <c r="X13" s="1472" t="s">
        <v>1325</v>
      </c>
      <c r="Y13" s="1473" t="s">
        <v>1306</v>
      </c>
      <c r="Z13" s="1484" t="s">
        <v>318</v>
      </c>
      <c r="AA13" s="1485"/>
      <c r="AB13" s="1486"/>
      <c r="AC13" s="1475"/>
      <c r="AD13" s="1476"/>
      <c r="AE13" s="1477"/>
      <c r="AF13" s="1477"/>
      <c r="AG13" s="1457" t="str">
        <f t="shared" si="4"/>
        <v>2報告内容に関する問合せ先-氏名-氏名</v>
      </c>
      <c r="AI13" s="1459"/>
      <c r="AJ13" s="1459"/>
      <c r="AK13" s="1459"/>
    </row>
    <row r="14" spans="1:37" ht="18.75" customHeight="1" x14ac:dyDescent="0.15">
      <c r="A14" s="1583"/>
      <c r="B14" s="1665"/>
      <c r="C14" s="1488">
        <v>2</v>
      </c>
      <c r="D14" s="1650" t="str">
        <f>'1_入力シート【基本情報】'!$DW$25</f>
        <v/>
      </c>
      <c r="E14" s="1650" t="str">
        <f t="shared" si="5"/>
        <v/>
      </c>
      <c r="F14" s="1650" t="str">
        <f t="shared" si="1"/>
        <v/>
      </c>
      <c r="G14" s="1650" t="str">
        <f t="shared" si="9"/>
        <v/>
      </c>
      <c r="H14" s="1540"/>
      <c r="I14" s="1657"/>
      <c r="J14" s="1533"/>
      <c r="K14" s="1462" t="s">
        <v>2937</v>
      </c>
      <c r="L14" s="1462" t="s">
        <v>1307</v>
      </c>
      <c r="M14" s="1493" t="s">
        <v>1327</v>
      </c>
      <c r="N14" s="1488"/>
      <c r="O14" s="1488"/>
      <c r="P14" s="1488"/>
      <c r="Q14" s="1488"/>
      <c r="R14" s="1488"/>
      <c r="S14" s="1462" t="str">
        <f t="shared" si="3"/>
        <v>報告書作成者_電話番号</v>
      </c>
      <c r="T14" s="1488"/>
      <c r="U14" s="1469" t="s">
        <v>1298</v>
      </c>
      <c r="V14" s="1470" t="s">
        <v>1322</v>
      </c>
      <c r="W14" s="1471" t="s">
        <v>1306</v>
      </c>
      <c r="X14" s="1481" t="s">
        <v>1327</v>
      </c>
      <c r="Y14" s="1473"/>
      <c r="Z14" s="1484"/>
      <c r="AA14" s="1485"/>
      <c r="AB14" s="1487"/>
      <c r="AC14" s="1475"/>
      <c r="AD14" s="1476"/>
      <c r="AE14" s="1477"/>
      <c r="AF14" s="1477"/>
      <c r="AG14" s="1457" t="str">
        <f t="shared" si="4"/>
        <v>2報告内容に関する問合せ先-電話番号</v>
      </c>
      <c r="AI14" s="1459"/>
      <c r="AJ14" s="1459"/>
      <c r="AK14" s="1459"/>
    </row>
    <row r="15" spans="1:37" s="1457" customFormat="1" ht="18.75" customHeight="1" x14ac:dyDescent="0.15">
      <c r="A15" s="1578"/>
      <c r="B15" s="1478"/>
      <c r="C15" s="1462">
        <v>1</v>
      </c>
      <c r="D15" s="1483">
        <f>'1_入力シート【基本情報】'!$AB$27</f>
        <v>0</v>
      </c>
      <c r="E15" s="1650">
        <f t="shared" si="5"/>
        <v>0</v>
      </c>
      <c r="F15" s="1650" t="str">
        <f t="shared" si="1"/>
        <v>0</v>
      </c>
      <c r="G15" s="1650" t="str">
        <f t="shared" si="9"/>
        <v>0</v>
      </c>
      <c r="H15" s="1468"/>
      <c r="I15" s="1644"/>
      <c r="J15" s="1531"/>
      <c r="K15" s="1462" t="s">
        <v>2937</v>
      </c>
      <c r="L15" s="1462" t="s">
        <v>1307</v>
      </c>
      <c r="M15" s="1493" t="s">
        <v>967</v>
      </c>
      <c r="N15" s="1462"/>
      <c r="O15" s="1462"/>
      <c r="P15" s="1462"/>
      <c r="Q15" s="1462"/>
      <c r="R15" s="1462"/>
      <c r="S15" s="1462" t="str">
        <f t="shared" si="3"/>
        <v>報告書作成者_メールアドレス（半角）</v>
      </c>
      <c r="T15" s="1462"/>
      <c r="U15" s="1469" t="s">
        <v>1298</v>
      </c>
      <c r="V15" s="1470" t="s">
        <v>1322</v>
      </c>
      <c r="W15" s="1471" t="s">
        <v>1306</v>
      </c>
      <c r="X15" s="1481" t="s">
        <v>967</v>
      </c>
      <c r="Y15" s="1473"/>
      <c r="Z15" s="1484"/>
      <c r="AA15" s="1485"/>
      <c r="AB15" s="1487"/>
      <c r="AC15" s="1475"/>
      <c r="AD15" s="1476"/>
      <c r="AE15" s="1477"/>
      <c r="AF15" s="1477"/>
      <c r="AG15" s="1457" t="str">
        <f t="shared" si="4"/>
        <v>2報告内容に関する問合せ先-メールアドレス（半角）</v>
      </c>
      <c r="AI15" s="1459"/>
      <c r="AJ15" s="1459"/>
      <c r="AK15" s="1459"/>
    </row>
    <row r="16" spans="1:37" s="1457" customFormat="1" ht="18.75" customHeight="1" x14ac:dyDescent="0.15">
      <c r="A16" s="1578"/>
      <c r="B16" s="1665"/>
      <c r="C16" s="1462">
        <v>2</v>
      </c>
      <c r="D16" s="1483" t="str">
        <f>'1_入力シート【基本情報】'!$DW$34</f>
        <v/>
      </c>
      <c r="E16" s="1650" t="str">
        <f>D16</f>
        <v/>
      </c>
      <c r="F16" s="1650" t="str">
        <f t="shared" si="1"/>
        <v/>
      </c>
      <c r="G16" s="1650" t="str">
        <f t="shared" si="9"/>
        <v/>
      </c>
      <c r="H16" s="1468"/>
      <c r="I16" s="1660"/>
      <c r="J16" s="1531"/>
      <c r="K16" s="1462" t="s">
        <v>1328</v>
      </c>
      <c r="L16" s="1462" t="s">
        <v>1307</v>
      </c>
      <c r="M16" s="1493" t="s">
        <v>2893</v>
      </c>
      <c r="N16" s="1462"/>
      <c r="O16" s="1462"/>
      <c r="P16" s="1462"/>
      <c r="Q16" s="1462"/>
      <c r="R16" s="1462"/>
      <c r="S16" s="1462" t="str">
        <f t="shared" si="3"/>
        <v>所有者_法人名</v>
      </c>
      <c r="T16" s="1462"/>
      <c r="U16" s="1469" t="s">
        <v>1299</v>
      </c>
      <c r="V16" s="1470" t="s">
        <v>1328</v>
      </c>
      <c r="W16" s="1471" t="s">
        <v>1306</v>
      </c>
      <c r="X16" s="1481" t="s">
        <v>680</v>
      </c>
      <c r="Y16" s="1473" t="s">
        <v>1306</v>
      </c>
      <c r="Z16" s="1489" t="s">
        <v>1323</v>
      </c>
      <c r="AA16" s="1490"/>
      <c r="AB16" s="1486"/>
      <c r="AC16" s="1475"/>
      <c r="AD16" s="1476"/>
      <c r="AE16" s="1477"/>
      <c r="AF16" s="1477"/>
      <c r="AG16" s="1457" t="str">
        <f t="shared" si="4"/>
        <v>3所有者-所有者氏名-法人名</v>
      </c>
      <c r="AI16" s="1459"/>
      <c r="AJ16" s="1459"/>
      <c r="AK16" s="1459"/>
    </row>
    <row r="17" spans="1:37" s="1457" customFormat="1" ht="18.75" customHeight="1" x14ac:dyDescent="0.15">
      <c r="A17" s="1578"/>
      <c r="B17" s="1665"/>
      <c r="C17" s="1462">
        <v>2</v>
      </c>
      <c r="D17" s="1483" t="str">
        <f>'1_入力シート【基本情報】'!$DW$36</f>
        <v/>
      </c>
      <c r="E17" s="1650" t="str">
        <f t="shared" si="5"/>
        <v/>
      </c>
      <c r="F17" s="1650" t="str">
        <f t="shared" si="1"/>
        <v/>
      </c>
      <c r="G17" s="1650" t="str">
        <f t="shared" si="9"/>
        <v/>
      </c>
      <c r="H17" s="1468"/>
      <c r="I17" s="1660"/>
      <c r="J17" s="1531"/>
      <c r="K17" s="1462" t="s">
        <v>1328</v>
      </c>
      <c r="L17" s="1462" t="s">
        <v>1307</v>
      </c>
      <c r="M17" s="1493" t="s">
        <v>1324</v>
      </c>
      <c r="N17" s="1462"/>
      <c r="O17" s="1462"/>
      <c r="P17" s="1462"/>
      <c r="Q17" s="1462"/>
      <c r="R17" s="1462"/>
      <c r="S17" s="1462" t="str">
        <f t="shared" si="3"/>
        <v>所有者_肩書</v>
      </c>
      <c r="T17" s="1462"/>
      <c r="U17" s="1469" t="s">
        <v>1299</v>
      </c>
      <c r="V17" s="1470" t="s">
        <v>1328</v>
      </c>
      <c r="W17" s="1471" t="s">
        <v>1306</v>
      </c>
      <c r="X17" s="1481" t="s">
        <v>680</v>
      </c>
      <c r="Y17" s="1473" t="s">
        <v>1306</v>
      </c>
      <c r="Z17" s="1474" t="s">
        <v>1324</v>
      </c>
      <c r="AA17" s="1473"/>
      <c r="AB17" s="1470"/>
      <c r="AC17" s="1475"/>
      <c r="AD17" s="1476"/>
      <c r="AE17" s="1477"/>
      <c r="AF17" s="1477"/>
      <c r="AG17" s="1457" t="str">
        <f t="shared" si="4"/>
        <v>3所有者-所有者氏名-肩書</v>
      </c>
      <c r="AI17" s="1459"/>
      <c r="AJ17" s="1459"/>
      <c r="AK17" s="1459"/>
    </row>
    <row r="18" spans="1:37" s="1457" customFormat="1" ht="18.75" customHeight="1" x14ac:dyDescent="0.15">
      <c r="A18" s="1578"/>
      <c r="B18" s="1665"/>
      <c r="C18" s="1550">
        <v>2</v>
      </c>
      <c r="D18" s="1483" t="str">
        <f>'1_入力シート【基本情報】'!$DW$38</f>
        <v/>
      </c>
      <c r="E18" s="1650" t="str">
        <f t="shared" si="5"/>
        <v/>
      </c>
      <c r="F18" s="1650" t="str">
        <f t="shared" si="1"/>
        <v/>
      </c>
      <c r="G18" s="1650" t="str">
        <f t="shared" si="9"/>
        <v/>
      </c>
      <c r="H18" s="1551"/>
      <c r="I18" s="1662"/>
      <c r="J18" s="1531"/>
      <c r="K18" s="1462" t="s">
        <v>1328</v>
      </c>
      <c r="L18" s="1462" t="s">
        <v>1307</v>
      </c>
      <c r="M18" s="1493" t="s">
        <v>1325</v>
      </c>
      <c r="N18" s="1462"/>
      <c r="O18" s="1462"/>
      <c r="P18" s="1462"/>
      <c r="Q18" s="1462"/>
      <c r="R18" s="1462"/>
      <c r="S18" s="1462" t="str">
        <f t="shared" si="3"/>
        <v>所有者_氏名</v>
      </c>
      <c r="T18" s="1462"/>
      <c r="U18" s="1469" t="s">
        <v>1299</v>
      </c>
      <c r="V18" s="1470" t="s">
        <v>1328</v>
      </c>
      <c r="W18" s="1471" t="s">
        <v>1306</v>
      </c>
      <c r="X18" s="1481" t="s">
        <v>680</v>
      </c>
      <c r="Y18" s="1473" t="s">
        <v>1306</v>
      </c>
      <c r="Z18" s="1484" t="s">
        <v>1325</v>
      </c>
      <c r="AA18" s="1485"/>
      <c r="AB18" s="1486"/>
      <c r="AC18" s="1475"/>
      <c r="AD18" s="1476"/>
      <c r="AE18" s="1477"/>
      <c r="AF18" s="1477"/>
      <c r="AG18" s="1457" t="str">
        <f t="shared" si="4"/>
        <v>3所有者-所有者氏名-氏名</v>
      </c>
      <c r="AI18" s="1459"/>
      <c r="AJ18" s="1459"/>
      <c r="AK18" s="1459"/>
    </row>
    <row r="19" spans="1:37" s="1457" customFormat="1" ht="18.75" customHeight="1" x14ac:dyDescent="0.15">
      <c r="A19" s="1578"/>
      <c r="B19" s="1665"/>
      <c r="C19" s="1550">
        <v>2</v>
      </c>
      <c r="D19" s="1650" t="str">
        <f>'1_入力シート【基本情報】'!$DN$39</f>
        <v/>
      </c>
      <c r="E19" s="1650" t="str">
        <f t="shared" si="5"/>
        <v/>
      </c>
      <c r="F19" s="1650" t="str">
        <f t="shared" si="1"/>
        <v/>
      </c>
      <c r="G19" s="1650" t="str">
        <f t="shared" si="9"/>
        <v/>
      </c>
      <c r="H19" s="1551"/>
      <c r="I19" s="1662"/>
      <c r="J19" s="1531"/>
      <c r="K19" s="1462" t="s">
        <v>1328</v>
      </c>
      <c r="L19" s="1462" t="s">
        <v>1307</v>
      </c>
      <c r="M19" s="1493" t="s">
        <v>1334</v>
      </c>
      <c r="N19" s="1462"/>
      <c r="O19" s="1462"/>
      <c r="P19" s="1462"/>
      <c r="Q19" s="1462"/>
      <c r="R19" s="1462"/>
      <c r="S19" s="1462" t="str">
        <f t="shared" si="3"/>
        <v>所有者_郵便番号</v>
      </c>
      <c r="T19" s="1462"/>
      <c r="U19" s="1469" t="s">
        <v>1299</v>
      </c>
      <c r="V19" s="1470" t="s">
        <v>1328</v>
      </c>
      <c r="W19" s="1471" t="s">
        <v>1306</v>
      </c>
      <c r="X19" s="1481" t="s">
        <v>1326</v>
      </c>
      <c r="Y19" s="1473"/>
      <c r="Z19" s="1484"/>
      <c r="AA19" s="1485"/>
      <c r="AB19" s="1486"/>
      <c r="AC19" s="1475"/>
      <c r="AD19" s="1476"/>
      <c r="AE19" s="1477"/>
      <c r="AF19" s="1477"/>
      <c r="AG19" s="1457" t="str">
        <f t="shared" si="4"/>
        <v>3所有者-郵便番号</v>
      </c>
      <c r="AI19" s="1459"/>
      <c r="AJ19" s="1459"/>
      <c r="AK19" s="1459"/>
    </row>
    <row r="20" spans="1:37" s="1457" customFormat="1" ht="18.75" customHeight="1" x14ac:dyDescent="0.15">
      <c r="A20" s="1578"/>
      <c r="B20" s="1665"/>
      <c r="C20" s="1550">
        <v>1</v>
      </c>
      <c r="D20" s="1460">
        <f>'1_入力シート【基本情報】'!$AB$40</f>
        <v>0</v>
      </c>
      <c r="E20" s="1650">
        <f t="shared" si="5"/>
        <v>0</v>
      </c>
      <c r="F20" s="1650" t="str">
        <f t="shared" si="1"/>
        <v>0</v>
      </c>
      <c r="G20" s="1650" t="str">
        <f t="shared" si="9"/>
        <v>0</v>
      </c>
      <c r="H20" s="1551"/>
      <c r="I20" s="1662"/>
      <c r="J20" s="1531"/>
      <c r="K20" s="1462" t="s">
        <v>1328</v>
      </c>
      <c r="L20" s="1462" t="s">
        <v>1307</v>
      </c>
      <c r="M20" s="1493" t="s">
        <v>222</v>
      </c>
      <c r="N20" s="1462"/>
      <c r="O20" s="1462"/>
      <c r="P20" s="1462"/>
      <c r="Q20" s="1462"/>
      <c r="R20" s="1462"/>
      <c r="S20" s="1462" t="str">
        <f t="shared" si="3"/>
        <v>所有者_住所</v>
      </c>
      <c r="T20" s="1462"/>
      <c r="U20" s="1469" t="s">
        <v>1299</v>
      </c>
      <c r="V20" s="1470" t="s">
        <v>1328</v>
      </c>
      <c r="W20" s="1471" t="s">
        <v>1306</v>
      </c>
      <c r="X20" s="1481" t="s">
        <v>222</v>
      </c>
      <c r="Y20" s="1473"/>
      <c r="Z20" s="1484"/>
      <c r="AA20" s="1485"/>
      <c r="AB20" s="1486"/>
      <c r="AC20" s="1475"/>
      <c r="AD20" s="1476"/>
      <c r="AE20" s="1477"/>
      <c r="AF20" s="1477"/>
      <c r="AG20" s="1457" t="str">
        <f t="shared" si="4"/>
        <v>3所有者-住所</v>
      </c>
      <c r="AI20" s="1459"/>
      <c r="AJ20" s="1459"/>
      <c r="AK20" s="1459"/>
    </row>
    <row r="21" spans="1:37" s="1457" customFormat="1" ht="18.75" customHeight="1" x14ac:dyDescent="0.15">
      <c r="A21" s="1578"/>
      <c r="B21" s="1665"/>
      <c r="C21" s="1550">
        <v>2</v>
      </c>
      <c r="D21" s="1650" t="str">
        <f>'1_入力シート【基本情報】'!$DN$41</f>
        <v/>
      </c>
      <c r="E21" s="1650" t="str">
        <f t="shared" si="5"/>
        <v/>
      </c>
      <c r="F21" s="1650" t="str">
        <f t="shared" si="1"/>
        <v/>
      </c>
      <c r="G21" s="1650" t="str">
        <f t="shared" si="9"/>
        <v/>
      </c>
      <c r="H21" s="1551"/>
      <c r="I21" s="1662"/>
      <c r="J21" s="1531"/>
      <c r="K21" s="1462" t="s">
        <v>1328</v>
      </c>
      <c r="L21" s="1462" t="s">
        <v>1307</v>
      </c>
      <c r="M21" s="1493" t="s">
        <v>1327</v>
      </c>
      <c r="N21" s="1462"/>
      <c r="O21" s="1462"/>
      <c r="P21" s="1462"/>
      <c r="Q21" s="1462"/>
      <c r="R21" s="1462"/>
      <c r="S21" s="1462" t="str">
        <f t="shared" si="3"/>
        <v>所有者_電話番号</v>
      </c>
      <c r="T21" s="1462"/>
      <c r="U21" s="1469" t="s">
        <v>1299</v>
      </c>
      <c r="V21" s="1470" t="s">
        <v>1328</v>
      </c>
      <c r="W21" s="1471" t="s">
        <v>1306</v>
      </c>
      <c r="X21" s="1472" t="s">
        <v>1327</v>
      </c>
      <c r="Y21" s="1473"/>
      <c r="Z21" s="1484"/>
      <c r="AA21" s="1485"/>
      <c r="AB21" s="1486"/>
      <c r="AC21" s="1475"/>
      <c r="AD21" s="1476"/>
      <c r="AE21" s="1477"/>
      <c r="AF21" s="1477"/>
      <c r="AG21" s="1457" t="str">
        <f t="shared" si="4"/>
        <v>3所有者-電話番号</v>
      </c>
      <c r="AI21" s="1459"/>
      <c r="AJ21" s="1459"/>
      <c r="AK21" s="1459"/>
    </row>
    <row r="22" spans="1:37" s="1457" customFormat="1" ht="18.75" customHeight="1" x14ac:dyDescent="0.15">
      <c r="A22" s="1578"/>
      <c r="B22" s="1536" t="s">
        <v>2928</v>
      </c>
      <c r="C22" s="1462">
        <v>2</v>
      </c>
      <c r="D22" s="1650" t="str">
        <f>'1_入力シート【基本情報】'!$DW$46</f>
        <v/>
      </c>
      <c r="E22" s="1650" t="str">
        <f t="shared" si="5"/>
        <v/>
      </c>
      <c r="F22" s="1650" t="str">
        <f t="shared" si="1"/>
        <v/>
      </c>
      <c r="G22" s="1650" t="str">
        <f t="shared" si="9"/>
        <v/>
      </c>
      <c r="H22" s="1468"/>
      <c r="I22" s="1660"/>
      <c r="J22" s="1531"/>
      <c r="K22" s="1462" t="s">
        <v>2942</v>
      </c>
      <c r="L22" s="1462" t="s">
        <v>1307</v>
      </c>
      <c r="M22" s="1493" t="s">
        <v>2893</v>
      </c>
      <c r="N22" s="1462"/>
      <c r="O22" s="1462"/>
      <c r="P22" s="1462"/>
      <c r="Q22" s="1462"/>
      <c r="R22" s="1462"/>
      <c r="S22" s="1462" t="str">
        <f t="shared" si="3"/>
        <v>所有者2_法人名</v>
      </c>
      <c r="T22" s="1462"/>
      <c r="U22" s="1469" t="s">
        <v>1299</v>
      </c>
      <c r="V22" s="1470" t="s">
        <v>2942</v>
      </c>
      <c r="W22" s="1471" t="s">
        <v>1306</v>
      </c>
      <c r="X22" s="1481" t="s">
        <v>3089</v>
      </c>
      <c r="Y22" s="1473" t="s">
        <v>1306</v>
      </c>
      <c r="Z22" s="1489" t="s">
        <v>1323</v>
      </c>
      <c r="AA22" s="1485"/>
      <c r="AB22" s="1486"/>
      <c r="AC22" s="1475"/>
      <c r="AD22" s="1476"/>
      <c r="AE22" s="1477"/>
      <c r="AF22" s="1477"/>
      <c r="AG22" s="1457" t="str">
        <f t="shared" si="4"/>
        <v>3所有者2-所有者2氏名-法人名</v>
      </c>
      <c r="AI22" s="1459"/>
      <c r="AJ22" s="1459"/>
      <c r="AK22" s="1459"/>
    </row>
    <row r="23" spans="1:37" s="1457" customFormat="1" ht="18.75" customHeight="1" x14ac:dyDescent="0.15">
      <c r="A23" s="1578"/>
      <c r="B23" s="1536" t="s">
        <v>2928</v>
      </c>
      <c r="C23" s="1462">
        <v>2</v>
      </c>
      <c r="D23" s="1650" t="str">
        <f>'1_入力シート【基本情報】'!$DW$48</f>
        <v/>
      </c>
      <c r="E23" s="1650" t="str">
        <f t="shared" si="5"/>
        <v/>
      </c>
      <c r="F23" s="1650" t="str">
        <f t="shared" si="1"/>
        <v/>
      </c>
      <c r="G23" s="1650" t="str">
        <f t="shared" si="9"/>
        <v/>
      </c>
      <c r="H23" s="1468"/>
      <c r="I23" s="1660"/>
      <c r="J23" s="1531"/>
      <c r="K23" s="1462" t="s">
        <v>2942</v>
      </c>
      <c r="L23" s="1462" t="s">
        <v>1307</v>
      </c>
      <c r="M23" s="1493" t="s">
        <v>1324</v>
      </c>
      <c r="N23" s="1462"/>
      <c r="O23" s="1462"/>
      <c r="P23" s="1462"/>
      <c r="Q23" s="1462"/>
      <c r="R23" s="1462"/>
      <c r="S23" s="1462" t="str">
        <f t="shared" si="3"/>
        <v>所有者2_肩書</v>
      </c>
      <c r="T23" s="1462"/>
      <c r="U23" s="1469" t="s">
        <v>1299</v>
      </c>
      <c r="V23" s="1470" t="s">
        <v>2942</v>
      </c>
      <c r="W23" s="1471" t="s">
        <v>1306</v>
      </c>
      <c r="X23" s="1481" t="s">
        <v>3089</v>
      </c>
      <c r="Y23" s="1473" t="s">
        <v>1306</v>
      </c>
      <c r="Z23" s="1474" t="s">
        <v>1324</v>
      </c>
      <c r="AA23" s="1485"/>
      <c r="AB23" s="1486"/>
      <c r="AC23" s="1475"/>
      <c r="AD23" s="1476"/>
      <c r="AE23" s="1477"/>
      <c r="AF23" s="1477"/>
      <c r="AG23" s="1457" t="str">
        <f t="shared" si="4"/>
        <v>3所有者2-所有者2氏名-肩書</v>
      </c>
      <c r="AI23" s="1459"/>
      <c r="AJ23" s="1459"/>
      <c r="AK23" s="1459"/>
    </row>
    <row r="24" spans="1:37" s="1457" customFormat="1" ht="18.75" customHeight="1" x14ac:dyDescent="0.15">
      <c r="A24" s="1578"/>
      <c r="B24" s="1536" t="s">
        <v>2928</v>
      </c>
      <c r="C24" s="1462">
        <v>2</v>
      </c>
      <c r="D24" s="1650" t="str">
        <f>'1_入力シート【基本情報】'!$DW$50</f>
        <v/>
      </c>
      <c r="E24" s="1650" t="str">
        <f t="shared" si="5"/>
        <v/>
      </c>
      <c r="F24" s="1650" t="str">
        <f t="shared" si="1"/>
        <v/>
      </c>
      <c r="G24" s="1650" t="str">
        <f t="shared" si="9"/>
        <v/>
      </c>
      <c r="H24" s="1468"/>
      <c r="I24" s="1660"/>
      <c r="J24" s="1531"/>
      <c r="K24" s="1462" t="s">
        <v>2942</v>
      </c>
      <c r="L24" s="1462" t="s">
        <v>1307</v>
      </c>
      <c r="M24" s="1493" t="s">
        <v>1325</v>
      </c>
      <c r="N24" s="1462"/>
      <c r="O24" s="1462"/>
      <c r="P24" s="1462"/>
      <c r="Q24" s="1462"/>
      <c r="R24" s="1462"/>
      <c r="S24" s="1462" t="str">
        <f t="shared" si="3"/>
        <v>所有者2_氏名</v>
      </c>
      <c r="T24" s="1462"/>
      <c r="U24" s="1469" t="s">
        <v>1299</v>
      </c>
      <c r="V24" s="1470" t="s">
        <v>2942</v>
      </c>
      <c r="W24" s="1471" t="s">
        <v>1306</v>
      </c>
      <c r="X24" s="1481" t="s">
        <v>3089</v>
      </c>
      <c r="Y24" s="1473" t="s">
        <v>1306</v>
      </c>
      <c r="Z24" s="1484" t="s">
        <v>1325</v>
      </c>
      <c r="AA24" s="1485"/>
      <c r="AB24" s="1486"/>
      <c r="AC24" s="1475"/>
      <c r="AD24" s="1476"/>
      <c r="AE24" s="1477"/>
      <c r="AF24" s="1477"/>
      <c r="AG24" s="1457" t="str">
        <f t="shared" si="4"/>
        <v>3所有者2-所有者2氏名-氏名</v>
      </c>
      <c r="AI24" s="1459"/>
      <c r="AJ24" s="1459"/>
      <c r="AK24" s="1459"/>
    </row>
    <row r="25" spans="1:37" s="1457" customFormat="1" ht="18.75" customHeight="1" x14ac:dyDescent="0.15">
      <c r="A25" s="1578"/>
      <c r="B25" s="1462"/>
      <c r="C25" s="1462">
        <v>2</v>
      </c>
      <c r="D25" s="1650" t="str">
        <f>'1_入力シート【基本情報】'!$EC$60</f>
        <v/>
      </c>
      <c r="E25" s="1650" t="str">
        <f t="shared" si="5"/>
        <v/>
      </c>
      <c r="F25" s="1650" t="str">
        <f t="shared" si="1"/>
        <v/>
      </c>
      <c r="G25" s="1650" t="str">
        <f t="shared" si="9"/>
        <v/>
      </c>
      <c r="H25" s="1468"/>
      <c r="I25" s="1644"/>
      <c r="J25" s="1531"/>
      <c r="K25" s="1462" t="s">
        <v>1329</v>
      </c>
      <c r="L25" s="1462" t="s">
        <v>1307</v>
      </c>
      <c r="M25" s="1493" t="s">
        <v>2893</v>
      </c>
      <c r="N25" s="1462"/>
      <c r="O25" s="1462"/>
      <c r="P25" s="1462"/>
      <c r="Q25" s="1462"/>
      <c r="R25" s="1462"/>
      <c r="S25" s="1462" t="str">
        <f t="shared" si="3"/>
        <v>管理者_法人名</v>
      </c>
      <c r="T25" s="1462"/>
      <c r="U25" s="1469" t="s">
        <v>1301</v>
      </c>
      <c r="V25" s="1470" t="s">
        <v>1329</v>
      </c>
      <c r="W25" s="1471" t="s">
        <v>1306</v>
      </c>
      <c r="X25" s="1481" t="s">
        <v>323</v>
      </c>
      <c r="Y25" s="1485" t="s">
        <v>1306</v>
      </c>
      <c r="Z25" s="1484" t="s">
        <v>1323</v>
      </c>
      <c r="AA25" s="1485"/>
      <c r="AB25" s="1487"/>
      <c r="AC25" s="1475"/>
      <c r="AD25" s="1476"/>
      <c r="AE25" s="1477"/>
      <c r="AF25" s="1477"/>
      <c r="AG25" s="1457" t="str">
        <f t="shared" si="4"/>
        <v>4管理者-管理者氏名-法人名</v>
      </c>
      <c r="AI25" s="1459"/>
      <c r="AJ25" s="1459"/>
      <c r="AK25" s="1459"/>
    </row>
    <row r="26" spans="1:37" s="1457" customFormat="1" ht="18.75" customHeight="1" x14ac:dyDescent="0.15">
      <c r="A26" s="1578"/>
      <c r="B26" s="1462"/>
      <c r="C26" s="1462">
        <v>2</v>
      </c>
      <c r="D26" s="1650" t="str">
        <f>'1_入力シート【基本情報】'!$EC$62</f>
        <v/>
      </c>
      <c r="E26" s="1650" t="str">
        <f t="shared" si="5"/>
        <v/>
      </c>
      <c r="F26" s="1650" t="str">
        <f t="shared" si="1"/>
        <v/>
      </c>
      <c r="G26" s="1650" t="str">
        <f t="shared" si="9"/>
        <v/>
      </c>
      <c r="H26" s="1468"/>
      <c r="I26" s="1644"/>
      <c r="J26" s="1531"/>
      <c r="K26" s="1462" t="s">
        <v>1329</v>
      </c>
      <c r="L26" s="1462" t="s">
        <v>1307</v>
      </c>
      <c r="M26" s="1493" t="s">
        <v>1324</v>
      </c>
      <c r="N26" s="1462"/>
      <c r="O26" s="1462"/>
      <c r="P26" s="1462"/>
      <c r="Q26" s="1462"/>
      <c r="R26" s="1462"/>
      <c r="S26" s="1462" t="str">
        <f t="shared" si="3"/>
        <v>管理者_肩書</v>
      </c>
      <c r="T26" s="1462"/>
      <c r="U26" s="1469" t="s">
        <v>1301</v>
      </c>
      <c r="V26" s="1470" t="s">
        <v>1329</v>
      </c>
      <c r="W26" s="1471" t="s">
        <v>1306</v>
      </c>
      <c r="X26" s="1481" t="s">
        <v>323</v>
      </c>
      <c r="Y26" s="1485" t="s">
        <v>1306</v>
      </c>
      <c r="Z26" s="1474" t="s">
        <v>1324</v>
      </c>
      <c r="AA26" s="1473"/>
      <c r="AB26" s="1470"/>
      <c r="AC26" s="1475"/>
      <c r="AD26" s="1476"/>
      <c r="AE26" s="1477"/>
      <c r="AF26" s="1477"/>
      <c r="AG26" s="1457" t="str">
        <f t="shared" si="4"/>
        <v>4管理者-管理者氏名-肩書</v>
      </c>
      <c r="AI26" s="1459"/>
      <c r="AJ26" s="1459"/>
      <c r="AK26" s="1459"/>
    </row>
    <row r="27" spans="1:37" ht="18.75" customHeight="1" x14ac:dyDescent="0.15">
      <c r="A27" s="1578"/>
      <c r="B27" s="1462"/>
      <c r="C27" s="1462">
        <v>2</v>
      </c>
      <c r="D27" s="1650" t="str">
        <f>'1_入力シート【基本情報】'!$EC$64</f>
        <v/>
      </c>
      <c r="E27" s="1650" t="str">
        <f t="shared" si="5"/>
        <v/>
      </c>
      <c r="F27" s="1650" t="str">
        <f t="shared" si="1"/>
        <v/>
      </c>
      <c r="G27" s="1650" t="str">
        <f t="shared" si="9"/>
        <v/>
      </c>
      <c r="H27" s="1468"/>
      <c r="I27" s="1644"/>
      <c r="J27" s="1531"/>
      <c r="K27" s="1462" t="s">
        <v>1329</v>
      </c>
      <c r="L27" s="1462" t="s">
        <v>1307</v>
      </c>
      <c r="M27" s="1493" t="s">
        <v>1325</v>
      </c>
      <c r="N27" s="1462"/>
      <c r="O27" s="1462"/>
      <c r="P27" s="1462"/>
      <c r="Q27" s="1462"/>
      <c r="R27" s="1462"/>
      <c r="S27" s="1462" t="str">
        <f t="shared" si="3"/>
        <v>管理者_氏名</v>
      </c>
      <c r="T27" s="1462"/>
      <c r="U27" s="1469" t="s">
        <v>1301</v>
      </c>
      <c r="V27" s="1470" t="s">
        <v>1329</v>
      </c>
      <c r="W27" s="1471" t="s">
        <v>1306</v>
      </c>
      <c r="X27" s="1481" t="s">
        <v>323</v>
      </c>
      <c r="Y27" s="1485" t="s">
        <v>1306</v>
      </c>
      <c r="Z27" s="1474" t="s">
        <v>1325</v>
      </c>
      <c r="AA27" s="1473"/>
      <c r="AB27" s="1470"/>
      <c r="AC27" s="1475"/>
      <c r="AD27" s="1476"/>
      <c r="AE27" s="1477"/>
      <c r="AF27" s="1477"/>
      <c r="AG27" s="1457" t="str">
        <f t="shared" si="4"/>
        <v>4管理者-管理者氏名-氏名</v>
      </c>
      <c r="AI27" s="1459"/>
      <c r="AJ27" s="1459"/>
      <c r="AK27" s="1459"/>
    </row>
    <row r="28" spans="1:37" ht="18.75" customHeight="1" x14ac:dyDescent="0.15">
      <c r="A28" s="1580"/>
      <c r="B28" s="1479"/>
      <c r="C28" s="1462">
        <v>2</v>
      </c>
      <c r="D28" s="1650" t="str">
        <f>'1_入力シート【基本情報】'!$EC$65</f>
        <v/>
      </c>
      <c r="E28" s="1650" t="str">
        <f t="shared" si="5"/>
        <v/>
      </c>
      <c r="F28" s="1650" t="str">
        <f t="shared" si="1"/>
        <v/>
      </c>
      <c r="G28" s="1650" t="str">
        <f t="shared" si="9"/>
        <v/>
      </c>
      <c r="H28" s="1468"/>
      <c r="I28" s="1644"/>
      <c r="J28" s="1531"/>
      <c r="K28" s="1462" t="s">
        <v>1329</v>
      </c>
      <c r="L28" s="1462" t="s">
        <v>1307</v>
      </c>
      <c r="M28" s="1493" t="s">
        <v>1334</v>
      </c>
      <c r="N28" s="1462"/>
      <c r="O28" s="1462"/>
      <c r="P28" s="1462"/>
      <c r="Q28" s="1462"/>
      <c r="R28" s="1462"/>
      <c r="S28" s="1462" t="str">
        <f t="shared" si="3"/>
        <v>管理者_郵便番号</v>
      </c>
      <c r="T28" s="1462"/>
      <c r="U28" s="1469" t="s">
        <v>1301</v>
      </c>
      <c r="V28" s="1470" t="s">
        <v>1329</v>
      </c>
      <c r="W28" s="1471" t="s">
        <v>1306</v>
      </c>
      <c r="X28" s="1472" t="s">
        <v>1326</v>
      </c>
      <c r="Y28" s="1473"/>
      <c r="Z28" s="1474"/>
      <c r="AA28" s="1473"/>
      <c r="AB28" s="1470"/>
      <c r="AC28" s="1475"/>
      <c r="AD28" s="1476"/>
      <c r="AE28" s="1477"/>
      <c r="AF28" s="1477"/>
      <c r="AG28" s="1457" t="str">
        <f t="shared" si="4"/>
        <v>4管理者-郵便番号</v>
      </c>
      <c r="AI28" s="1459"/>
      <c r="AJ28" s="1459"/>
      <c r="AK28" s="1459"/>
    </row>
    <row r="29" spans="1:37" ht="18.75" customHeight="1" x14ac:dyDescent="0.15">
      <c r="A29" s="1584"/>
      <c r="B29" s="1491"/>
      <c r="C29" s="1462">
        <v>2</v>
      </c>
      <c r="D29" s="1650" t="str">
        <f>'1_入力シート【基本情報】'!$EC$66</f>
        <v/>
      </c>
      <c r="E29" s="1650" t="str">
        <f t="shared" si="5"/>
        <v/>
      </c>
      <c r="F29" s="1650" t="str">
        <f t="shared" si="1"/>
        <v/>
      </c>
      <c r="G29" s="1650" t="str">
        <f t="shared" si="9"/>
        <v/>
      </c>
      <c r="H29" s="1468"/>
      <c r="I29" s="1644"/>
      <c r="J29" s="1531"/>
      <c r="K29" s="1462" t="s">
        <v>1329</v>
      </c>
      <c r="L29" s="1462" t="s">
        <v>1307</v>
      </c>
      <c r="M29" s="1493" t="s">
        <v>222</v>
      </c>
      <c r="N29" s="1462"/>
      <c r="O29" s="1462"/>
      <c r="P29" s="1462"/>
      <c r="Q29" s="1462"/>
      <c r="R29" s="1462"/>
      <c r="S29" s="1462" t="str">
        <f t="shared" si="3"/>
        <v>管理者_住所</v>
      </c>
      <c r="T29" s="1462"/>
      <c r="U29" s="1469" t="s">
        <v>1301</v>
      </c>
      <c r="V29" s="1470" t="s">
        <v>1329</v>
      </c>
      <c r="W29" s="1471" t="s">
        <v>1306</v>
      </c>
      <c r="X29" s="1472" t="s">
        <v>222</v>
      </c>
      <c r="Y29" s="1473"/>
      <c r="Z29" s="1474"/>
      <c r="AA29" s="1473"/>
      <c r="AB29" s="1470"/>
      <c r="AC29" s="1475"/>
      <c r="AD29" s="1476"/>
      <c r="AE29" s="1477"/>
      <c r="AF29" s="1477"/>
      <c r="AG29" s="1457" t="str">
        <f t="shared" si="4"/>
        <v>4管理者-住所</v>
      </c>
      <c r="AI29" s="1459"/>
      <c r="AJ29" s="1459"/>
      <c r="AK29" s="1459"/>
    </row>
    <row r="30" spans="1:37" ht="18.75" customHeight="1" x14ac:dyDescent="0.15">
      <c r="A30" s="1584"/>
      <c r="B30" s="1491"/>
      <c r="C30" s="1462">
        <v>2</v>
      </c>
      <c r="D30" s="1650" t="str">
        <f>'1_入力シート【基本情報】'!$EC$67</f>
        <v/>
      </c>
      <c r="E30" s="1650" t="str">
        <f t="shared" si="5"/>
        <v/>
      </c>
      <c r="F30" s="1650" t="str">
        <f t="shared" si="1"/>
        <v/>
      </c>
      <c r="G30" s="1650" t="str">
        <f t="shared" si="9"/>
        <v/>
      </c>
      <c r="H30" s="1468"/>
      <c r="I30" s="1644"/>
      <c r="J30" s="1531"/>
      <c r="K30" s="1462" t="s">
        <v>1329</v>
      </c>
      <c r="L30" s="1462" t="s">
        <v>1307</v>
      </c>
      <c r="M30" s="1493" t="s">
        <v>1327</v>
      </c>
      <c r="N30" s="1462"/>
      <c r="O30" s="1462"/>
      <c r="P30" s="1462"/>
      <c r="Q30" s="1462"/>
      <c r="R30" s="1462"/>
      <c r="S30" s="1462" t="str">
        <f t="shared" si="3"/>
        <v>管理者_電話番号</v>
      </c>
      <c r="T30" s="1462"/>
      <c r="U30" s="1469" t="s">
        <v>1301</v>
      </c>
      <c r="V30" s="1470" t="s">
        <v>1329</v>
      </c>
      <c r="W30" s="1471" t="s">
        <v>1306</v>
      </c>
      <c r="X30" s="1472" t="s">
        <v>1327</v>
      </c>
      <c r="Y30" s="1473"/>
      <c r="Z30" s="1474"/>
      <c r="AA30" s="1473"/>
      <c r="AB30" s="1470"/>
      <c r="AC30" s="1475"/>
      <c r="AD30" s="1476"/>
      <c r="AE30" s="1477"/>
      <c r="AF30" s="1477"/>
      <c r="AG30" s="1457" t="str">
        <f t="shared" si="4"/>
        <v>4管理者-電話番号</v>
      </c>
      <c r="AI30" s="1459"/>
      <c r="AJ30" s="1459"/>
      <c r="AK30" s="1459"/>
    </row>
    <row r="31" spans="1:37" ht="18.75" customHeight="1" x14ac:dyDescent="0.15">
      <c r="A31" s="1584"/>
      <c r="B31" s="1492"/>
      <c r="C31" s="1462">
        <v>2</v>
      </c>
      <c r="D31" s="1483" t="str">
        <f>'1_入力シート【基本情報】'!$EC$68</f>
        <v/>
      </c>
      <c r="E31" s="1650" t="str">
        <f t="shared" si="5"/>
        <v/>
      </c>
      <c r="F31" s="1650" t="str">
        <f t="shared" si="1"/>
        <v/>
      </c>
      <c r="G31" s="1650" t="str">
        <f t="shared" si="9"/>
        <v/>
      </c>
      <c r="H31" s="1468"/>
      <c r="I31" s="1644"/>
      <c r="J31" s="1531"/>
      <c r="K31" s="1462" t="s">
        <v>1329</v>
      </c>
      <c r="L31" s="1462" t="s">
        <v>1307</v>
      </c>
      <c r="M31" s="1549" t="s">
        <v>2945</v>
      </c>
      <c r="N31" s="1478"/>
      <c r="O31" s="1478"/>
      <c r="P31" s="1478"/>
      <c r="Q31" s="1478"/>
      <c r="R31" s="1478"/>
      <c r="S31" s="1462" t="str">
        <f t="shared" si="3"/>
        <v>管理者_メールアドレス</v>
      </c>
      <c r="T31" s="1478"/>
      <c r="U31" s="1469" t="s">
        <v>2430</v>
      </c>
      <c r="V31" s="1470" t="s">
        <v>1329</v>
      </c>
      <c r="W31" s="1471" t="s">
        <v>1366</v>
      </c>
      <c r="X31" s="1472" t="s">
        <v>2431</v>
      </c>
      <c r="Y31" s="1473"/>
      <c r="Z31" s="1474"/>
      <c r="AA31" s="1473"/>
      <c r="AB31" s="1470"/>
      <c r="AC31" s="1475"/>
      <c r="AD31" s="1476"/>
      <c r="AE31" s="1477"/>
      <c r="AF31" s="1477"/>
      <c r="AG31" s="1457" t="str">
        <f t="shared" si="4"/>
        <v>4管理者-メールアドレス（半角）</v>
      </c>
      <c r="AI31" s="1459"/>
      <c r="AJ31" s="1459"/>
      <c r="AK31" s="1459"/>
    </row>
    <row r="32" spans="1:37" ht="18.75" customHeight="1" x14ac:dyDescent="0.15">
      <c r="A32" s="1584"/>
      <c r="B32" s="1491"/>
      <c r="C32" s="1462">
        <v>1</v>
      </c>
      <c r="D32" s="1673">
        <f>'1_入力シート【基本情報】'!$AB$73</f>
        <v>0</v>
      </c>
      <c r="E32" s="1650">
        <f t="shared" si="5"/>
        <v>0</v>
      </c>
      <c r="F32" s="1650" t="str">
        <f t="shared" si="1"/>
        <v>0</v>
      </c>
      <c r="G32" s="1650" t="str">
        <f t="shared" si="9"/>
        <v>0</v>
      </c>
      <c r="H32" s="1468"/>
      <c r="I32" s="1660"/>
      <c r="J32" s="1531"/>
      <c r="K32" s="1462" t="s">
        <v>2951</v>
      </c>
      <c r="L32" s="1462" t="s">
        <v>1307</v>
      </c>
      <c r="M32" s="1493" t="s">
        <v>2952</v>
      </c>
      <c r="N32" s="1462"/>
      <c r="O32" s="1462"/>
      <c r="P32" s="1462"/>
      <c r="Q32" s="1462"/>
      <c r="R32" s="1462"/>
      <c r="S32" s="1462" t="str">
        <f t="shared" si="3"/>
        <v>代表調査者_資格種別</v>
      </c>
      <c r="T32" s="1462"/>
      <c r="U32" s="1469" t="s">
        <v>1330</v>
      </c>
      <c r="V32" s="1470" t="s">
        <v>1331</v>
      </c>
      <c r="W32" s="1471" t="s">
        <v>1306</v>
      </c>
      <c r="X32" s="1472" t="s">
        <v>887</v>
      </c>
      <c r="Y32" s="1473" t="s">
        <v>1306</v>
      </c>
      <c r="Z32" s="1474" t="s">
        <v>1019</v>
      </c>
      <c r="AA32" s="1473"/>
      <c r="AB32" s="1470"/>
      <c r="AC32" s="1475"/>
      <c r="AD32" s="1476"/>
      <c r="AE32" s="1477"/>
      <c r="AF32" s="1477"/>
      <c r="AG32" s="1457" t="str">
        <f t="shared" si="4"/>
        <v>5代表となる調査者-資格-資格名称</v>
      </c>
      <c r="AI32" s="1459"/>
      <c r="AJ32" s="1459"/>
      <c r="AK32" s="1459"/>
    </row>
    <row r="33" spans="1:37" ht="18.75" customHeight="1" x14ac:dyDescent="0.15">
      <c r="A33" s="1584"/>
      <c r="B33" s="1491"/>
      <c r="C33" s="1462">
        <v>2</v>
      </c>
      <c r="D33" s="1483" t="str">
        <f>'1_入力シート【基本情報】'!$DS78</f>
        <v/>
      </c>
      <c r="E33" s="1650" t="str">
        <f t="shared" si="5"/>
        <v/>
      </c>
      <c r="F33" s="1650" t="str">
        <f t="shared" si="1"/>
        <v/>
      </c>
      <c r="G33" s="1650" t="str">
        <f t="shared" si="9"/>
        <v/>
      </c>
      <c r="H33" s="1468"/>
      <c r="I33" s="1660"/>
      <c r="J33" s="1531"/>
      <c r="K33" s="1462" t="s">
        <v>2951</v>
      </c>
      <c r="L33" s="1462" t="s">
        <v>1307</v>
      </c>
      <c r="M33" s="1493" t="s">
        <v>1325</v>
      </c>
      <c r="N33" s="1462"/>
      <c r="O33" s="1462"/>
      <c r="P33" s="1462"/>
      <c r="Q33" s="1462"/>
      <c r="R33" s="1462"/>
      <c r="S33" s="1462" t="str">
        <f t="shared" si="3"/>
        <v>代表調査者_氏名</v>
      </c>
      <c r="T33" s="1462"/>
      <c r="U33" s="1469" t="s">
        <v>1330</v>
      </c>
      <c r="V33" s="1470" t="s">
        <v>1331</v>
      </c>
      <c r="W33" s="1471" t="s">
        <v>1306</v>
      </c>
      <c r="X33" s="1472" t="s">
        <v>1325</v>
      </c>
      <c r="Y33" s="1485" t="s">
        <v>1306</v>
      </c>
      <c r="Z33" s="1474" t="s">
        <v>1325</v>
      </c>
      <c r="AA33" s="1473"/>
      <c r="AB33" s="1470"/>
      <c r="AC33" s="1475"/>
      <c r="AD33" s="1476"/>
      <c r="AE33" s="1477"/>
      <c r="AF33" s="1477"/>
      <c r="AG33" s="1457" t="str">
        <f t="shared" si="4"/>
        <v>5代表となる調査者-氏名-氏名</v>
      </c>
      <c r="AI33" s="1459"/>
      <c r="AJ33" s="1459"/>
      <c r="AK33" s="1459"/>
    </row>
    <row r="34" spans="1:37" ht="18.75" customHeight="1" x14ac:dyDescent="0.15">
      <c r="A34" s="1584"/>
      <c r="B34" s="1491"/>
      <c r="C34" s="1462">
        <v>2</v>
      </c>
      <c r="D34" s="1483" t="str">
        <f>'1_入力シート【基本情報】'!$DS79</f>
        <v/>
      </c>
      <c r="E34" s="1650" t="str">
        <f t="shared" si="5"/>
        <v/>
      </c>
      <c r="F34" s="1650" t="str">
        <f t="shared" si="1"/>
        <v/>
      </c>
      <c r="G34" s="1650" t="str">
        <f t="shared" si="9"/>
        <v/>
      </c>
      <c r="H34" s="1468"/>
      <c r="I34" s="1660"/>
      <c r="J34" s="1531"/>
      <c r="K34" s="1462" t="s">
        <v>2951</v>
      </c>
      <c r="L34" s="1462" t="s">
        <v>1307</v>
      </c>
      <c r="M34" s="1493" t="s">
        <v>223</v>
      </c>
      <c r="N34" s="1462"/>
      <c r="O34" s="1462"/>
      <c r="P34" s="1462"/>
      <c r="Q34" s="1462"/>
      <c r="R34" s="1462"/>
      <c r="S34" s="1462" t="str">
        <f t="shared" si="3"/>
        <v>代表調査者_勤務先</v>
      </c>
      <c r="T34" s="1462"/>
      <c r="U34" s="1469" t="s">
        <v>1330</v>
      </c>
      <c r="V34" s="1470" t="s">
        <v>1331</v>
      </c>
      <c r="W34" s="1471" t="s">
        <v>1306</v>
      </c>
      <c r="X34" s="1481" t="s">
        <v>223</v>
      </c>
      <c r="Y34" s="1485" t="s">
        <v>1306</v>
      </c>
      <c r="Z34" s="1474" t="s">
        <v>667</v>
      </c>
      <c r="AA34" s="1473"/>
      <c r="AB34" s="1470"/>
      <c r="AC34" s="1475"/>
      <c r="AD34" s="1476"/>
      <c r="AE34" s="1477"/>
      <c r="AF34" s="1477"/>
      <c r="AG34" s="1457" t="str">
        <f t="shared" si="4"/>
        <v>5代表となる調査者-勤務先-名称</v>
      </c>
      <c r="AI34" s="1459"/>
      <c r="AJ34" s="1459"/>
      <c r="AK34" s="1459"/>
    </row>
    <row r="35" spans="1:37" s="1457" customFormat="1" ht="18.75" customHeight="1" x14ac:dyDescent="0.15">
      <c r="A35" s="1581"/>
      <c r="B35" s="1480"/>
      <c r="C35" s="1462">
        <v>2</v>
      </c>
      <c r="D35" s="1650" t="str">
        <f>'1_入力シート【基本情報】'!DW127</f>
        <v/>
      </c>
      <c r="E35" s="1650" t="str">
        <f>D35</f>
        <v/>
      </c>
      <c r="F35" s="1650" t="str">
        <f t="shared" ref="F35:F49" si="10">SUBSTITUTE(E35,CHAR(10),"")</f>
        <v/>
      </c>
      <c r="G35" s="1650" t="str">
        <f t="shared" si="9"/>
        <v/>
      </c>
      <c r="H35" s="1468" t="s">
        <v>2805</v>
      </c>
      <c r="I35" s="1644"/>
      <c r="J35" s="1531"/>
      <c r="K35" s="1462" t="s">
        <v>225</v>
      </c>
      <c r="L35" s="1462" t="s">
        <v>1307</v>
      </c>
      <c r="M35" s="1493">
        <v>1</v>
      </c>
      <c r="N35" s="1462"/>
      <c r="O35" s="1462"/>
      <c r="P35" s="1462"/>
      <c r="Q35" s="1462"/>
      <c r="R35" s="1462"/>
      <c r="S35" s="1462" t="str">
        <f t="shared" ref="S35:S49" si="11">CONCATENATE(K35,L35,M35,N35,O35,P35,Q35)</f>
        <v>防火地域等_1</v>
      </c>
      <c r="T35" s="1462"/>
      <c r="U35" s="1469" t="s">
        <v>1315</v>
      </c>
      <c r="V35" s="1470" t="s">
        <v>245</v>
      </c>
      <c r="W35" s="1471" t="s">
        <v>1306</v>
      </c>
      <c r="X35" s="1472" t="s">
        <v>1340</v>
      </c>
      <c r="Y35" s="1473" t="s">
        <v>1306</v>
      </c>
      <c r="Z35" s="1474" t="s">
        <v>1341</v>
      </c>
      <c r="AA35" s="1473"/>
      <c r="AB35" s="1470"/>
      <c r="AC35" s="1475"/>
      <c r="AD35" s="1476"/>
      <c r="AE35" s="1477"/>
      <c r="AF35" s="1477"/>
      <c r="AG35" s="1457" t="str">
        <f t="shared" ref="AG35:AG49" si="12">CONCATENATE(U35,V35,W35,X35,Y35,Z35,AA35,AB35,AC35,AD35)</f>
        <v>8敷地の位置-防火地域等-防火地域等 1</v>
      </c>
      <c r="AI35" s="1459"/>
      <c r="AJ35" s="1459"/>
      <c r="AK35" s="1459"/>
    </row>
    <row r="36" spans="1:37" s="1457" customFormat="1" ht="18.75" customHeight="1" x14ac:dyDescent="0.15">
      <c r="A36" s="1578"/>
      <c r="B36" s="1462"/>
      <c r="C36" s="1462">
        <v>2</v>
      </c>
      <c r="D36" s="1650" t="str">
        <f>'1_入力シート【基本情報】'!DW128</f>
        <v/>
      </c>
      <c r="E36" s="1650" t="str">
        <f t="shared" ref="E36:E49" si="13">D36</f>
        <v/>
      </c>
      <c r="F36" s="1650" t="str">
        <f t="shared" si="10"/>
        <v/>
      </c>
      <c r="G36" s="1650" t="str">
        <f t="shared" si="9"/>
        <v/>
      </c>
      <c r="H36" s="1468" t="s">
        <v>2805</v>
      </c>
      <c r="I36" s="1644"/>
      <c r="J36" s="1531"/>
      <c r="K36" s="1462" t="s">
        <v>225</v>
      </c>
      <c r="L36" s="1462" t="s">
        <v>1307</v>
      </c>
      <c r="M36" s="1493">
        <v>2</v>
      </c>
      <c r="N36" s="1462"/>
      <c r="O36" s="1462"/>
      <c r="P36" s="1462"/>
      <c r="Q36" s="1462"/>
      <c r="R36" s="1462"/>
      <c r="S36" s="1462" t="str">
        <f t="shared" si="11"/>
        <v>防火地域等_2</v>
      </c>
      <c r="T36" s="1462"/>
      <c r="U36" s="1469" t="s">
        <v>1315</v>
      </c>
      <c r="V36" s="1470" t="s">
        <v>245</v>
      </c>
      <c r="W36" s="1471" t="s">
        <v>1306</v>
      </c>
      <c r="X36" s="1472" t="s">
        <v>1340</v>
      </c>
      <c r="Y36" s="1473" t="s">
        <v>1306</v>
      </c>
      <c r="Z36" s="1474" t="s">
        <v>1342</v>
      </c>
      <c r="AA36" s="1473"/>
      <c r="AB36" s="1470"/>
      <c r="AC36" s="1475"/>
      <c r="AD36" s="1476"/>
      <c r="AE36" s="1477"/>
      <c r="AF36" s="1477"/>
      <c r="AG36" s="1457" t="str">
        <f t="shared" si="12"/>
        <v>8敷地の位置-防火地域等-防火地域等 2</v>
      </c>
      <c r="AI36" s="1459"/>
      <c r="AJ36" s="1459"/>
      <c r="AK36" s="1459"/>
    </row>
    <row r="37" spans="1:37" s="1457" customFormat="1" ht="18.75" customHeight="1" x14ac:dyDescent="0.15">
      <c r="A37" s="1578"/>
      <c r="B37" s="1462"/>
      <c r="C37" s="1462">
        <v>2</v>
      </c>
      <c r="D37" s="1650" t="str">
        <f>'1_入力シート【基本情報】'!DW129</f>
        <v/>
      </c>
      <c r="E37" s="1650" t="str">
        <f t="shared" si="13"/>
        <v/>
      </c>
      <c r="F37" s="1650" t="str">
        <f t="shared" si="10"/>
        <v/>
      </c>
      <c r="G37" s="1650" t="str">
        <f t="shared" si="9"/>
        <v/>
      </c>
      <c r="H37" s="1468" t="s">
        <v>2805</v>
      </c>
      <c r="I37" s="1644"/>
      <c r="J37" s="1531"/>
      <c r="K37" s="1462" t="s">
        <v>225</v>
      </c>
      <c r="L37" s="1462" t="s">
        <v>1307</v>
      </c>
      <c r="M37" s="1493">
        <v>3</v>
      </c>
      <c r="N37" s="1462"/>
      <c r="O37" s="1462"/>
      <c r="P37" s="1462"/>
      <c r="Q37" s="1462"/>
      <c r="R37" s="1462"/>
      <c r="S37" s="1462" t="str">
        <f t="shared" si="11"/>
        <v>防火地域等_3</v>
      </c>
      <c r="T37" s="1462"/>
      <c r="U37" s="1469" t="s">
        <v>1315</v>
      </c>
      <c r="V37" s="1470" t="s">
        <v>245</v>
      </c>
      <c r="W37" s="1471" t="s">
        <v>1306</v>
      </c>
      <c r="X37" s="1472" t="s">
        <v>1340</v>
      </c>
      <c r="Y37" s="1473" t="s">
        <v>1306</v>
      </c>
      <c r="Z37" s="1474" t="s">
        <v>1343</v>
      </c>
      <c r="AA37" s="1473"/>
      <c r="AB37" s="1470"/>
      <c r="AC37" s="1475"/>
      <c r="AD37" s="1476"/>
      <c r="AE37" s="1477"/>
      <c r="AF37" s="1477"/>
      <c r="AG37" s="1457" t="str">
        <f t="shared" si="12"/>
        <v>8敷地の位置-防火地域等-防火地域等 3</v>
      </c>
      <c r="AI37" s="1459"/>
      <c r="AJ37" s="1459"/>
      <c r="AK37" s="1459"/>
    </row>
    <row r="38" spans="1:37" s="1457" customFormat="1" ht="18.75" customHeight="1" x14ac:dyDescent="0.15">
      <c r="A38" s="1578"/>
      <c r="B38" s="1462"/>
      <c r="C38" s="1462">
        <v>2</v>
      </c>
      <c r="D38" s="1650" t="str">
        <f>'1_入力シート【基本情報】'!DW130</f>
        <v/>
      </c>
      <c r="E38" s="1650" t="str">
        <f t="shared" si="13"/>
        <v/>
      </c>
      <c r="F38" s="1650" t="str">
        <f t="shared" si="10"/>
        <v/>
      </c>
      <c r="G38" s="1650" t="str">
        <f t="shared" si="9"/>
        <v/>
      </c>
      <c r="H38" s="1468"/>
      <c r="I38" s="1644"/>
      <c r="J38" s="1531"/>
      <c r="K38" s="1462" t="s">
        <v>225</v>
      </c>
      <c r="L38" s="1462" t="s">
        <v>1307</v>
      </c>
      <c r="M38" s="1493" t="s">
        <v>137</v>
      </c>
      <c r="N38" s="1462"/>
      <c r="O38" s="1462"/>
      <c r="P38" s="1462"/>
      <c r="Q38" s="1462"/>
      <c r="R38" s="1462"/>
      <c r="S38" s="1462" t="str">
        <f t="shared" si="11"/>
        <v>防火地域等_その他</v>
      </c>
      <c r="T38" s="1462"/>
      <c r="U38" s="1469" t="s">
        <v>1315</v>
      </c>
      <c r="V38" s="1470" t="s">
        <v>245</v>
      </c>
      <c r="W38" s="1471" t="s">
        <v>1306</v>
      </c>
      <c r="X38" s="1472" t="s">
        <v>1340</v>
      </c>
      <c r="Y38" s="1473" t="s">
        <v>1306</v>
      </c>
      <c r="Z38" s="1487" t="s">
        <v>137</v>
      </c>
      <c r="AA38" s="1498"/>
      <c r="AB38" s="1486"/>
      <c r="AC38" s="1475"/>
      <c r="AD38" s="1476"/>
      <c r="AE38" s="1477"/>
      <c r="AF38" s="1477"/>
      <c r="AG38" s="1457" t="str">
        <f t="shared" si="12"/>
        <v>8敷地の位置-防火地域等-その他</v>
      </c>
      <c r="AI38" s="1459"/>
      <c r="AJ38" s="1459"/>
      <c r="AK38" s="1459"/>
    </row>
    <row r="39" spans="1:37" s="1457" customFormat="1" ht="18.75" customHeight="1" x14ac:dyDescent="0.15">
      <c r="A39" s="1578"/>
      <c r="B39" s="1462"/>
      <c r="C39" s="1462">
        <v>2</v>
      </c>
      <c r="D39" s="1650" t="str">
        <f>'1_入力シート【基本情報】'!DW131</f>
        <v/>
      </c>
      <c r="E39" s="1650" t="str">
        <f t="shared" si="13"/>
        <v/>
      </c>
      <c r="F39" s="1650" t="str">
        <f t="shared" si="10"/>
        <v/>
      </c>
      <c r="G39" s="1650" t="str">
        <f t="shared" si="9"/>
        <v/>
      </c>
      <c r="H39" s="1468" t="s">
        <v>2805</v>
      </c>
      <c r="I39" s="1644"/>
      <c r="J39" s="1531"/>
      <c r="K39" s="1462" t="s">
        <v>675</v>
      </c>
      <c r="L39" s="1462" t="s">
        <v>1307</v>
      </c>
      <c r="M39" s="1493">
        <v>1</v>
      </c>
      <c r="N39" s="1462"/>
      <c r="O39" s="1462"/>
      <c r="P39" s="1462"/>
      <c r="Q39" s="1462"/>
      <c r="R39" s="1462"/>
      <c r="S39" s="1462" t="str">
        <f t="shared" si="11"/>
        <v>用途地域_1</v>
      </c>
      <c r="T39" s="1462"/>
      <c r="U39" s="1469" t="s">
        <v>1315</v>
      </c>
      <c r="V39" s="1470" t="s">
        <v>245</v>
      </c>
      <c r="W39" s="1471" t="s">
        <v>1306</v>
      </c>
      <c r="X39" s="1472" t="s">
        <v>675</v>
      </c>
      <c r="Y39" s="1473" t="s">
        <v>1306</v>
      </c>
      <c r="Z39" s="1472" t="s">
        <v>1344</v>
      </c>
      <c r="AA39" s="1473"/>
      <c r="AB39" s="1470"/>
      <c r="AC39" s="1475"/>
      <c r="AD39" s="1476"/>
      <c r="AE39" s="1477"/>
      <c r="AF39" s="1477"/>
      <c r="AG39" s="1457" t="str">
        <f t="shared" si="12"/>
        <v>8敷地の位置-用途地域-用途地域 1</v>
      </c>
      <c r="AI39" s="1459"/>
      <c r="AJ39" s="1459"/>
      <c r="AK39" s="1459"/>
    </row>
    <row r="40" spans="1:37" s="1457" customFormat="1" ht="18.75" customHeight="1" x14ac:dyDescent="0.15">
      <c r="A40" s="1578"/>
      <c r="B40" s="1462"/>
      <c r="C40" s="1462">
        <v>2</v>
      </c>
      <c r="D40" s="1650" t="str">
        <f>'1_入力シート【基本情報】'!DW132</f>
        <v/>
      </c>
      <c r="E40" s="1650" t="str">
        <f t="shared" si="13"/>
        <v/>
      </c>
      <c r="F40" s="1650" t="str">
        <f t="shared" si="10"/>
        <v/>
      </c>
      <c r="G40" s="1650" t="str">
        <f t="shared" si="9"/>
        <v/>
      </c>
      <c r="H40" s="1468" t="s">
        <v>2805</v>
      </c>
      <c r="I40" s="1644"/>
      <c r="J40" s="1531"/>
      <c r="K40" s="1462" t="s">
        <v>675</v>
      </c>
      <c r="L40" s="1462" t="s">
        <v>1307</v>
      </c>
      <c r="M40" s="1493">
        <v>2</v>
      </c>
      <c r="N40" s="1462"/>
      <c r="O40" s="1462"/>
      <c r="P40" s="1462"/>
      <c r="Q40" s="1462"/>
      <c r="R40" s="1462"/>
      <c r="S40" s="1462" t="str">
        <f t="shared" si="11"/>
        <v>用途地域_2</v>
      </c>
      <c r="T40" s="1462"/>
      <c r="U40" s="1469" t="s">
        <v>1315</v>
      </c>
      <c r="V40" s="1470" t="s">
        <v>245</v>
      </c>
      <c r="W40" s="1471" t="s">
        <v>1306</v>
      </c>
      <c r="X40" s="1472" t="s">
        <v>675</v>
      </c>
      <c r="Y40" s="1473" t="s">
        <v>1306</v>
      </c>
      <c r="Z40" s="1472" t="s">
        <v>1345</v>
      </c>
      <c r="AA40" s="1473"/>
      <c r="AB40" s="1470"/>
      <c r="AC40" s="1475"/>
      <c r="AD40" s="1476"/>
      <c r="AE40" s="1477"/>
      <c r="AF40" s="1477"/>
      <c r="AG40" s="1457" t="str">
        <f t="shared" si="12"/>
        <v>8敷地の位置-用途地域-用途地域 2</v>
      </c>
      <c r="AI40" s="1459"/>
      <c r="AJ40" s="1459"/>
      <c r="AK40" s="1459"/>
    </row>
    <row r="41" spans="1:37" s="1457" customFormat="1" ht="18.75" customHeight="1" x14ac:dyDescent="0.15">
      <c r="A41" s="1581"/>
      <c r="B41" s="1480"/>
      <c r="C41" s="1462">
        <v>2</v>
      </c>
      <c r="D41" s="1650" t="str">
        <f>'1_入力シート【基本情報】'!DW133</f>
        <v/>
      </c>
      <c r="E41" s="1650" t="str">
        <f t="shared" si="13"/>
        <v/>
      </c>
      <c r="F41" s="1650" t="str">
        <f t="shared" si="10"/>
        <v/>
      </c>
      <c r="G41" s="1650" t="str">
        <f t="shared" ref="G41:G49" si="14">TRIM(F41)</f>
        <v/>
      </c>
      <c r="H41" s="1468" t="s">
        <v>2805</v>
      </c>
      <c r="I41" s="1644"/>
      <c r="J41" s="1531"/>
      <c r="K41" s="1462" t="s">
        <v>675</v>
      </c>
      <c r="L41" s="1462" t="s">
        <v>1307</v>
      </c>
      <c r="M41" s="1493">
        <v>3</v>
      </c>
      <c r="N41" s="1462"/>
      <c r="O41" s="1462"/>
      <c r="P41" s="1462"/>
      <c r="Q41" s="1462"/>
      <c r="R41" s="1462"/>
      <c r="S41" s="1462" t="str">
        <f t="shared" si="11"/>
        <v>用途地域_3</v>
      </c>
      <c r="T41" s="1462"/>
      <c r="U41" s="1469" t="s">
        <v>1315</v>
      </c>
      <c r="V41" s="1470" t="s">
        <v>245</v>
      </c>
      <c r="W41" s="1471" t="s">
        <v>1306</v>
      </c>
      <c r="X41" s="1472" t="s">
        <v>675</v>
      </c>
      <c r="Y41" s="1473" t="s">
        <v>1306</v>
      </c>
      <c r="Z41" s="1472" t="s">
        <v>1346</v>
      </c>
      <c r="AA41" s="1473"/>
      <c r="AB41" s="1470"/>
      <c r="AC41" s="1475"/>
      <c r="AD41" s="1476"/>
      <c r="AE41" s="1477"/>
      <c r="AF41" s="1477"/>
      <c r="AG41" s="1457" t="str">
        <f t="shared" si="12"/>
        <v>8敷地の位置-用途地域-用途地域 3</v>
      </c>
      <c r="AI41" s="1459"/>
      <c r="AJ41" s="1459"/>
      <c r="AK41" s="1459"/>
    </row>
    <row r="42" spans="1:37" s="1457" customFormat="1" ht="18.75" customHeight="1" x14ac:dyDescent="0.15">
      <c r="A42" s="1578"/>
      <c r="B42" s="1462"/>
      <c r="C42" s="1462">
        <v>2</v>
      </c>
      <c r="D42" s="1650" t="str">
        <f>'1_入力シート【基本情報】'!DW139</f>
        <v/>
      </c>
      <c r="E42" s="1650" t="str">
        <f t="shared" si="13"/>
        <v/>
      </c>
      <c r="F42" s="1650" t="str">
        <f t="shared" si="10"/>
        <v/>
      </c>
      <c r="G42" s="1650" t="str">
        <f t="shared" si="14"/>
        <v/>
      </c>
      <c r="H42" s="1468" t="s">
        <v>2805</v>
      </c>
      <c r="I42" s="1660"/>
      <c r="J42" s="1531"/>
      <c r="K42" s="1462" t="s">
        <v>226</v>
      </c>
      <c r="L42" s="1462" t="s">
        <v>1307</v>
      </c>
      <c r="M42" s="1493">
        <v>1</v>
      </c>
      <c r="N42" s="1462"/>
      <c r="O42" s="1462"/>
      <c r="P42" s="1462"/>
      <c r="Q42" s="1462"/>
      <c r="R42" s="1462"/>
      <c r="S42" s="1462" t="str">
        <f t="shared" si="11"/>
        <v>構造_1</v>
      </c>
      <c r="T42" s="1462"/>
      <c r="U42" s="1469" t="s">
        <v>1347</v>
      </c>
      <c r="V42" s="1470" t="s">
        <v>1348</v>
      </c>
      <c r="W42" s="1471" t="s">
        <v>1306</v>
      </c>
      <c r="X42" s="1472" t="s">
        <v>226</v>
      </c>
      <c r="Y42" s="1473" t="s">
        <v>1306</v>
      </c>
      <c r="Z42" s="1474" t="s">
        <v>1349</v>
      </c>
      <c r="AA42" s="1473"/>
      <c r="AB42" s="1470"/>
      <c r="AC42" s="1475"/>
      <c r="AD42" s="1476"/>
      <c r="AE42" s="1477"/>
      <c r="AF42" s="1477"/>
      <c r="AG42" s="1457" t="str">
        <f t="shared" si="12"/>
        <v>9建物及びその敷地の概要-構造-構造 1</v>
      </c>
      <c r="AI42" s="1459"/>
      <c r="AJ42" s="1459"/>
      <c r="AK42" s="1459"/>
    </row>
    <row r="43" spans="1:37" s="1457" customFormat="1" ht="18.75" customHeight="1" x14ac:dyDescent="0.15">
      <c r="A43" s="1578"/>
      <c r="B43" s="1462"/>
      <c r="C43" s="1462">
        <v>2</v>
      </c>
      <c r="D43" s="1650" t="str">
        <f>'1_入力シート【基本情報】'!DW140</f>
        <v/>
      </c>
      <c r="E43" s="1650" t="str">
        <f t="shared" si="13"/>
        <v/>
      </c>
      <c r="F43" s="1650" t="str">
        <f t="shared" si="10"/>
        <v/>
      </c>
      <c r="G43" s="1650" t="str">
        <f t="shared" si="14"/>
        <v/>
      </c>
      <c r="H43" s="1468" t="s">
        <v>2805</v>
      </c>
      <c r="I43" s="1660"/>
      <c r="J43" s="1531"/>
      <c r="K43" s="1462" t="s">
        <v>226</v>
      </c>
      <c r="L43" s="1462" t="s">
        <v>1307</v>
      </c>
      <c r="M43" s="1493">
        <v>2</v>
      </c>
      <c r="N43" s="1462"/>
      <c r="O43" s="1462"/>
      <c r="P43" s="1462"/>
      <c r="Q43" s="1462"/>
      <c r="R43" s="1462"/>
      <c r="S43" s="1462" t="str">
        <f t="shared" si="11"/>
        <v>構造_2</v>
      </c>
      <c r="T43" s="1462"/>
      <c r="U43" s="1469" t="s">
        <v>1347</v>
      </c>
      <c r="V43" s="1470" t="s">
        <v>1348</v>
      </c>
      <c r="W43" s="1471" t="s">
        <v>1306</v>
      </c>
      <c r="X43" s="1472" t="s">
        <v>226</v>
      </c>
      <c r="Y43" s="1473" t="s">
        <v>1306</v>
      </c>
      <c r="Z43" s="1474" t="s">
        <v>1350</v>
      </c>
      <c r="AA43" s="1490"/>
      <c r="AB43" s="1470"/>
      <c r="AC43" s="1475"/>
      <c r="AD43" s="1476"/>
      <c r="AE43" s="1477"/>
      <c r="AF43" s="1477"/>
      <c r="AG43" s="1457" t="str">
        <f t="shared" si="12"/>
        <v>9建物及びその敷地の概要-構造-構造 2</v>
      </c>
      <c r="AI43" s="1459"/>
      <c r="AJ43" s="1459"/>
      <c r="AK43" s="1459"/>
    </row>
    <row r="44" spans="1:37" s="1457" customFormat="1" ht="18.75" customHeight="1" x14ac:dyDescent="0.15">
      <c r="A44" s="1581"/>
      <c r="B44" s="1480"/>
      <c r="C44" s="1462">
        <v>2</v>
      </c>
      <c r="D44" s="1650" t="str">
        <f>'1_入力シート【基本情報】'!DW141</f>
        <v/>
      </c>
      <c r="E44" s="1650" t="str">
        <f t="shared" si="13"/>
        <v/>
      </c>
      <c r="F44" s="1650" t="str">
        <f t="shared" si="10"/>
        <v/>
      </c>
      <c r="G44" s="1650" t="str">
        <f t="shared" si="14"/>
        <v/>
      </c>
      <c r="H44" s="1468" t="s">
        <v>2805</v>
      </c>
      <c r="I44" s="1660"/>
      <c r="J44" s="1531"/>
      <c r="K44" s="1462" t="s">
        <v>226</v>
      </c>
      <c r="L44" s="1462" t="s">
        <v>1307</v>
      </c>
      <c r="M44" s="1493">
        <v>3</v>
      </c>
      <c r="N44" s="1462"/>
      <c r="O44" s="1462"/>
      <c r="P44" s="1462"/>
      <c r="Q44" s="1462"/>
      <c r="R44" s="1462"/>
      <c r="S44" s="1462" t="str">
        <f t="shared" si="11"/>
        <v>構造_3</v>
      </c>
      <c r="T44" s="1462"/>
      <c r="U44" s="1469" t="s">
        <v>1347</v>
      </c>
      <c r="V44" s="1470" t="s">
        <v>1348</v>
      </c>
      <c r="W44" s="1471" t="s">
        <v>1306</v>
      </c>
      <c r="X44" s="1472" t="s">
        <v>226</v>
      </c>
      <c r="Y44" s="1473" t="s">
        <v>1306</v>
      </c>
      <c r="Z44" s="1474" t="s">
        <v>1351</v>
      </c>
      <c r="AA44" s="1490"/>
      <c r="AB44" s="1470"/>
      <c r="AC44" s="1475"/>
      <c r="AD44" s="1476"/>
      <c r="AE44" s="1477"/>
      <c r="AF44" s="1477"/>
      <c r="AG44" s="1457" t="str">
        <f t="shared" si="12"/>
        <v>9建物及びその敷地の概要-構造-構造 3</v>
      </c>
      <c r="AI44" s="1459"/>
      <c r="AJ44" s="1459"/>
      <c r="AK44" s="1459"/>
    </row>
    <row r="45" spans="1:37" s="1457" customFormat="1" ht="18.75" customHeight="1" x14ac:dyDescent="0.15">
      <c r="A45" s="1581"/>
      <c r="B45" s="1480"/>
      <c r="C45" s="1462">
        <v>2</v>
      </c>
      <c r="D45" s="1650" t="str">
        <f>'1_入力シート【基本情報】'!DW142</f>
        <v/>
      </c>
      <c r="E45" s="1650" t="str">
        <f t="shared" si="13"/>
        <v/>
      </c>
      <c r="F45" s="1650" t="str">
        <f t="shared" si="10"/>
        <v/>
      </c>
      <c r="G45" s="1650" t="str">
        <f t="shared" si="14"/>
        <v/>
      </c>
      <c r="H45" s="1468"/>
      <c r="I45" s="1660"/>
      <c r="J45" s="1531"/>
      <c r="K45" s="1462" t="s">
        <v>226</v>
      </c>
      <c r="L45" s="1462" t="s">
        <v>1307</v>
      </c>
      <c r="M45" s="1493" t="s">
        <v>137</v>
      </c>
      <c r="N45" s="1462"/>
      <c r="O45" s="1462"/>
      <c r="P45" s="1462"/>
      <c r="Q45" s="1462"/>
      <c r="R45" s="1462"/>
      <c r="S45" s="1462" t="str">
        <f t="shared" si="11"/>
        <v>構造_その他</v>
      </c>
      <c r="T45" s="1462"/>
      <c r="U45" s="1469" t="s">
        <v>1347</v>
      </c>
      <c r="V45" s="1470" t="s">
        <v>1348</v>
      </c>
      <c r="W45" s="1471" t="s">
        <v>1306</v>
      </c>
      <c r="X45" s="1472" t="s">
        <v>226</v>
      </c>
      <c r="Y45" s="1473" t="s">
        <v>1306</v>
      </c>
      <c r="Z45" s="1474" t="s">
        <v>137</v>
      </c>
      <c r="AA45" s="1490"/>
      <c r="AB45" s="1470"/>
      <c r="AC45" s="1475"/>
      <c r="AD45" s="1476"/>
      <c r="AE45" s="1477"/>
      <c r="AF45" s="1477"/>
      <c r="AG45" s="1457" t="str">
        <f t="shared" si="12"/>
        <v>9建物及びその敷地の概要-構造-その他</v>
      </c>
      <c r="AI45" s="1459"/>
      <c r="AJ45" s="1459"/>
      <c r="AK45" s="1459"/>
    </row>
    <row r="46" spans="1:37" s="1457" customFormat="1" ht="18.75" customHeight="1" x14ac:dyDescent="0.15">
      <c r="A46" s="1581"/>
      <c r="B46" s="1480"/>
      <c r="C46" s="1462">
        <v>1</v>
      </c>
      <c r="D46" s="1700">
        <f>'1_入力シート【基本情報】'!AB143</f>
        <v>0</v>
      </c>
      <c r="E46" s="1700">
        <f t="shared" si="13"/>
        <v>0</v>
      </c>
      <c r="F46" s="1700" t="str">
        <f t="shared" si="10"/>
        <v>0</v>
      </c>
      <c r="G46" s="1700" t="str">
        <f t="shared" si="14"/>
        <v>0</v>
      </c>
      <c r="H46" s="1468"/>
      <c r="I46" s="1660"/>
      <c r="J46" s="1531"/>
      <c r="K46" s="1462" t="s">
        <v>227</v>
      </c>
      <c r="L46" s="1462" t="s">
        <v>1307</v>
      </c>
      <c r="M46" s="1493" t="s">
        <v>262</v>
      </c>
      <c r="N46" s="1462"/>
      <c r="O46" s="1462"/>
      <c r="P46" s="1462"/>
      <c r="Q46" s="1462"/>
      <c r="R46" s="1462"/>
      <c r="S46" s="1462" t="str">
        <f t="shared" si="11"/>
        <v>階数_地上</v>
      </c>
      <c r="T46" s="1462"/>
      <c r="U46" s="1469" t="s">
        <v>1347</v>
      </c>
      <c r="V46" s="1470" t="s">
        <v>1348</v>
      </c>
      <c r="W46" s="1471" t="s">
        <v>1306</v>
      </c>
      <c r="X46" s="1472" t="s">
        <v>227</v>
      </c>
      <c r="Y46" s="1473" t="s">
        <v>1306</v>
      </c>
      <c r="Z46" s="1484" t="s">
        <v>262</v>
      </c>
      <c r="AA46" s="1485" t="s">
        <v>1306</v>
      </c>
      <c r="AB46" s="1486" t="s">
        <v>17</v>
      </c>
      <c r="AC46" s="1475"/>
      <c r="AD46" s="1476"/>
      <c r="AE46" s="1477"/>
      <c r="AF46" s="1477"/>
      <c r="AG46" s="1457" t="str">
        <f t="shared" si="12"/>
        <v>9建物及びその敷地の概要-階数-地上-階</v>
      </c>
      <c r="AI46" s="1459"/>
      <c r="AJ46" s="1459"/>
      <c r="AK46" s="1459"/>
    </row>
    <row r="47" spans="1:37" s="1457" customFormat="1" ht="18.75" customHeight="1" x14ac:dyDescent="0.15">
      <c r="A47" s="1581"/>
      <c r="B47" s="1480"/>
      <c r="C47" s="1462">
        <v>1</v>
      </c>
      <c r="D47" s="1700">
        <f>'1_入力シート【基本情報】'!AB144</f>
        <v>0</v>
      </c>
      <c r="E47" s="1700">
        <f t="shared" si="13"/>
        <v>0</v>
      </c>
      <c r="F47" s="1700" t="str">
        <f t="shared" si="10"/>
        <v>0</v>
      </c>
      <c r="G47" s="1700" t="str">
        <f t="shared" si="14"/>
        <v>0</v>
      </c>
      <c r="H47" s="1468"/>
      <c r="I47" s="1660"/>
      <c r="J47" s="1531"/>
      <c r="K47" s="1462" t="s">
        <v>227</v>
      </c>
      <c r="L47" s="1462" t="s">
        <v>1307</v>
      </c>
      <c r="M47" s="1493" t="s">
        <v>263</v>
      </c>
      <c r="N47" s="1462"/>
      <c r="O47" s="1462"/>
      <c r="P47" s="1462"/>
      <c r="Q47" s="1462"/>
      <c r="R47" s="1462"/>
      <c r="S47" s="1462" t="str">
        <f t="shared" si="11"/>
        <v>階数_地下</v>
      </c>
      <c r="T47" s="1462"/>
      <c r="U47" s="1469" t="s">
        <v>1347</v>
      </c>
      <c r="V47" s="1470" t="s">
        <v>1348</v>
      </c>
      <c r="W47" s="1471" t="s">
        <v>1306</v>
      </c>
      <c r="X47" s="1472" t="s">
        <v>1352</v>
      </c>
      <c r="Y47" s="1473" t="s">
        <v>1306</v>
      </c>
      <c r="Z47" s="1484" t="s">
        <v>263</v>
      </c>
      <c r="AA47" s="1485" t="s">
        <v>1306</v>
      </c>
      <c r="AB47" s="1486" t="s">
        <v>17</v>
      </c>
      <c r="AC47" s="1475"/>
      <c r="AD47" s="1476"/>
      <c r="AE47" s="1477"/>
      <c r="AF47" s="1477"/>
      <c r="AG47" s="1457" t="str">
        <f t="shared" si="12"/>
        <v>9建物及びその敷地の概要-階数-地下-階</v>
      </c>
      <c r="AI47" s="1459"/>
      <c r="AJ47" s="1459"/>
      <c r="AK47" s="1459"/>
    </row>
    <row r="48" spans="1:37" s="1457" customFormat="1" ht="18.75" customHeight="1" x14ac:dyDescent="0.15">
      <c r="A48" s="1578"/>
      <c r="B48" s="1462"/>
      <c r="C48" s="1462">
        <v>1</v>
      </c>
      <c r="D48" s="1694">
        <f>'1_入力シート【基本情報】'!AB145</f>
        <v>0</v>
      </c>
      <c r="E48" s="1694">
        <f t="shared" si="13"/>
        <v>0</v>
      </c>
      <c r="F48" s="1694" t="str">
        <f t="shared" si="10"/>
        <v>0</v>
      </c>
      <c r="G48" s="1694" t="str">
        <f t="shared" si="14"/>
        <v>0</v>
      </c>
      <c r="H48" s="1468"/>
      <c r="I48" s="1660"/>
      <c r="J48" s="1531"/>
      <c r="K48" s="1462" t="s">
        <v>3100</v>
      </c>
      <c r="L48" s="1462"/>
      <c r="M48" s="1493"/>
      <c r="N48" s="1462"/>
      <c r="O48" s="1462"/>
      <c r="P48" s="1462"/>
      <c r="Q48" s="1462"/>
      <c r="R48" s="1462"/>
      <c r="S48" s="1462" t="str">
        <f t="shared" si="11"/>
        <v>敷地面積</v>
      </c>
      <c r="T48" s="1462"/>
      <c r="U48" s="1469" t="s">
        <v>1347</v>
      </c>
      <c r="V48" s="1470" t="s">
        <v>1348</v>
      </c>
      <c r="W48" s="1471" t="s">
        <v>1306</v>
      </c>
      <c r="X48" s="1472" t="s">
        <v>228</v>
      </c>
      <c r="Y48" s="1473"/>
      <c r="Z48" s="1474"/>
      <c r="AA48" s="1485" t="s">
        <v>1306</v>
      </c>
      <c r="AB48" s="1470" t="s">
        <v>28</v>
      </c>
      <c r="AC48" s="1475"/>
      <c r="AD48" s="1476"/>
      <c r="AE48" s="1477"/>
      <c r="AF48" s="1477"/>
      <c r="AG48" s="1457" t="str">
        <f t="shared" si="12"/>
        <v>9建物及びその敷地の概要-敷地面積-㎡</v>
      </c>
      <c r="AI48" s="1459"/>
      <c r="AJ48" s="1459"/>
      <c r="AK48" s="1459"/>
    </row>
    <row r="49" spans="1:41" s="1457" customFormat="1" ht="18.75" customHeight="1" x14ac:dyDescent="0.15">
      <c r="A49" s="1578"/>
      <c r="B49" s="1462"/>
      <c r="C49" s="1462">
        <v>1</v>
      </c>
      <c r="D49" s="1694">
        <f>'1_入力シート【基本情報】'!AB146</f>
        <v>0</v>
      </c>
      <c r="E49" s="1694">
        <f t="shared" si="13"/>
        <v>0</v>
      </c>
      <c r="F49" s="1694" t="str">
        <f t="shared" si="10"/>
        <v>0</v>
      </c>
      <c r="G49" s="1694" t="str">
        <f t="shared" si="14"/>
        <v>0</v>
      </c>
      <c r="H49" s="1468"/>
      <c r="I49" s="1660"/>
      <c r="J49" s="1531"/>
      <c r="K49" s="1462" t="s">
        <v>1353</v>
      </c>
      <c r="L49" s="1462"/>
      <c r="M49" s="1493"/>
      <c r="N49" s="1462"/>
      <c r="O49" s="1462"/>
      <c r="P49" s="1462"/>
      <c r="Q49" s="1462"/>
      <c r="R49" s="1462"/>
      <c r="S49" s="1462" t="str">
        <f t="shared" si="11"/>
        <v>建築面積</v>
      </c>
      <c r="T49" s="1462"/>
      <c r="U49" s="1469" t="s">
        <v>1347</v>
      </c>
      <c r="V49" s="1470" t="s">
        <v>1348</v>
      </c>
      <c r="W49" s="1471" t="s">
        <v>1306</v>
      </c>
      <c r="X49" s="1472" t="s">
        <v>1353</v>
      </c>
      <c r="Y49" s="1473"/>
      <c r="Z49" s="1474"/>
      <c r="AA49" s="1485" t="s">
        <v>1306</v>
      </c>
      <c r="AB49" s="1470" t="s">
        <v>28</v>
      </c>
      <c r="AC49" s="1475"/>
      <c r="AD49" s="1476"/>
      <c r="AE49" s="1477"/>
      <c r="AF49" s="1477"/>
      <c r="AG49" s="1457" t="str">
        <f t="shared" si="12"/>
        <v>9建物及びその敷地の概要-建築面積-㎡</v>
      </c>
      <c r="AI49" s="1459"/>
      <c r="AJ49" s="1459"/>
      <c r="AK49" s="1459"/>
    </row>
    <row r="50" spans="1:41" s="1457" customFormat="1" ht="18.75" customHeight="1" x14ac:dyDescent="0.15">
      <c r="A50" s="1578"/>
      <c r="B50" s="1536" t="s">
        <v>2928</v>
      </c>
      <c r="C50" s="1462">
        <v>2</v>
      </c>
      <c r="D50" s="1650" t="str">
        <f>'1_入力シート【基本情報】'!EA199</f>
        <v/>
      </c>
      <c r="E50" s="1650" t="str">
        <f t="shared" ref="E50:E59" si="15">D50</f>
        <v/>
      </c>
      <c r="F50" s="1650" t="str">
        <f t="shared" ref="F50:F55" si="16">SUBSTITUTE(E50,CHAR(10),"")</f>
        <v/>
      </c>
      <c r="G50" s="1650" t="str">
        <f t="shared" ref="G50:G65" si="17">TRIM(F50)</f>
        <v/>
      </c>
      <c r="H50" s="1468"/>
      <c r="I50" s="1644"/>
      <c r="J50" s="1531"/>
      <c r="K50" s="1462" t="s">
        <v>3112</v>
      </c>
      <c r="L50" s="1462" t="s">
        <v>1307</v>
      </c>
      <c r="M50" s="1493" t="s">
        <v>3113</v>
      </c>
      <c r="N50" s="1462"/>
      <c r="O50" s="1462"/>
      <c r="P50" s="1462"/>
      <c r="Q50" s="1462"/>
      <c r="R50" s="1462"/>
      <c r="S50" s="1462" t="str">
        <f t="shared" ref="S50:S56" si="18">CONCATENATE(K50,L50,M50,N50,O50,P50,Q50)</f>
        <v>確認済_日付</v>
      </c>
      <c r="T50" s="1462"/>
      <c r="U50" s="1469" t="s">
        <v>3110</v>
      </c>
      <c r="V50" s="1486" t="s">
        <v>1360</v>
      </c>
      <c r="W50" s="1471" t="s">
        <v>1366</v>
      </c>
      <c r="X50" s="1472" t="s">
        <v>1365</v>
      </c>
      <c r="Y50" s="1473" t="s">
        <v>1366</v>
      </c>
      <c r="Z50" s="1506" t="s">
        <v>972</v>
      </c>
      <c r="AA50" s="1473" t="s">
        <v>1366</v>
      </c>
      <c r="AB50" s="1470" t="s">
        <v>1302</v>
      </c>
      <c r="AC50" s="1497" t="s">
        <v>1366</v>
      </c>
      <c r="AD50" s="1476" t="s">
        <v>3105</v>
      </c>
      <c r="AE50" s="1496"/>
      <c r="AF50" s="1496"/>
      <c r="AG50" s="1457" t="str">
        <f t="shared" ref="AG50:AG56" si="19">CONCATENATE(U50,V50,W50,X50,Y50,Z50,AA50,AB50,AC50,AD50)</f>
        <v>12関連図書の整備-新築時の確認申請-確認-交付年月日-西暦年月日</v>
      </c>
      <c r="AI50" s="1494"/>
      <c r="AJ50" s="1494"/>
      <c r="AK50" s="1494"/>
      <c r="AL50" s="1495"/>
      <c r="AM50" s="1495"/>
    </row>
    <row r="51" spans="1:41" s="1457" customFormat="1" ht="18.75" customHeight="1" x14ac:dyDescent="0.15">
      <c r="A51" s="1578"/>
      <c r="B51" s="1462"/>
      <c r="C51" s="1462">
        <v>2</v>
      </c>
      <c r="D51" s="1650" t="str">
        <f>'1_入力シート【基本情報】'!$DW199</f>
        <v/>
      </c>
      <c r="E51" s="1650" t="str">
        <f t="shared" si="15"/>
        <v/>
      </c>
      <c r="F51" s="1650" t="str">
        <f t="shared" si="16"/>
        <v/>
      </c>
      <c r="G51" s="1650" t="str">
        <f t="shared" si="17"/>
        <v/>
      </c>
      <c r="H51" s="1468"/>
      <c r="I51" s="1644"/>
      <c r="J51" s="1531"/>
      <c r="K51" s="1462" t="s">
        <v>3112</v>
      </c>
      <c r="L51" s="1462" t="s">
        <v>1307</v>
      </c>
      <c r="M51" s="1493" t="s">
        <v>31</v>
      </c>
      <c r="N51" s="1462"/>
      <c r="O51" s="1462"/>
      <c r="P51" s="1462"/>
      <c r="Q51" s="1462"/>
      <c r="R51" s="1462"/>
      <c r="S51" s="1462" t="str">
        <f t="shared" si="18"/>
        <v>確認済_番号</v>
      </c>
      <c r="T51" s="1462"/>
      <c r="U51" s="1469" t="s">
        <v>1359</v>
      </c>
      <c r="V51" s="1486" t="s">
        <v>1360</v>
      </c>
      <c r="W51" s="1471" t="s">
        <v>1306</v>
      </c>
      <c r="X51" s="1472" t="s">
        <v>1365</v>
      </c>
      <c r="Y51" s="1473" t="s">
        <v>1306</v>
      </c>
      <c r="Z51" s="1506" t="s">
        <v>972</v>
      </c>
      <c r="AA51" s="1473" t="s">
        <v>1306</v>
      </c>
      <c r="AB51" s="1470" t="s">
        <v>229</v>
      </c>
      <c r="AC51" s="1497" t="s">
        <v>1366</v>
      </c>
      <c r="AD51" s="1476" t="s">
        <v>4</v>
      </c>
      <c r="AE51" s="1496"/>
      <c r="AF51" s="1496"/>
      <c r="AG51" s="1457" t="str">
        <f t="shared" si="19"/>
        <v>12関連図書の整備-新築時の確認申請-確認-交付番号-号</v>
      </c>
      <c r="AI51" s="1494"/>
      <c r="AJ51" s="1494"/>
      <c r="AK51" s="1494"/>
      <c r="AL51" s="1495"/>
      <c r="AM51" s="1495"/>
    </row>
    <row r="52" spans="1:41" ht="18.75" customHeight="1" x14ac:dyDescent="0.15">
      <c r="A52" s="1585"/>
      <c r="B52" s="1536" t="s">
        <v>2928</v>
      </c>
      <c r="C52" s="1507">
        <v>2</v>
      </c>
      <c r="D52" s="1650" t="str">
        <f>'1_入力シート【基本情報】'!EA205</f>
        <v/>
      </c>
      <c r="E52" s="1650" t="str">
        <f t="shared" si="15"/>
        <v/>
      </c>
      <c r="F52" s="1650" t="str">
        <f t="shared" si="16"/>
        <v/>
      </c>
      <c r="G52" s="1650" t="str">
        <f t="shared" si="17"/>
        <v/>
      </c>
      <c r="H52" s="1541"/>
      <c r="I52" s="1747"/>
      <c r="J52" s="1534"/>
      <c r="K52" s="1507" t="s">
        <v>3115</v>
      </c>
      <c r="L52" s="1462" t="s">
        <v>1307</v>
      </c>
      <c r="M52" s="1493" t="s">
        <v>3113</v>
      </c>
      <c r="N52" s="1507"/>
      <c r="O52" s="1507"/>
      <c r="P52" s="1507"/>
      <c r="Q52" s="1507"/>
      <c r="R52" s="1507"/>
      <c r="S52" s="1462" t="str">
        <f t="shared" si="18"/>
        <v>検査済_日付</v>
      </c>
      <c r="T52" s="1507"/>
      <c r="U52" s="1469" t="s">
        <v>3110</v>
      </c>
      <c r="V52" s="1486" t="s">
        <v>1360</v>
      </c>
      <c r="W52" s="1471" t="s">
        <v>1366</v>
      </c>
      <c r="X52" s="1472" t="s">
        <v>1365</v>
      </c>
      <c r="Y52" s="1473" t="s">
        <v>1366</v>
      </c>
      <c r="Z52" s="1474" t="s">
        <v>975</v>
      </c>
      <c r="AA52" s="1473" t="s">
        <v>1366</v>
      </c>
      <c r="AB52" s="1470" t="s">
        <v>1302</v>
      </c>
      <c r="AC52" s="1475" t="s">
        <v>1366</v>
      </c>
      <c r="AD52" s="1476" t="s">
        <v>3105</v>
      </c>
      <c r="AE52" s="1477"/>
      <c r="AF52" s="1477"/>
      <c r="AG52" s="1457" t="str">
        <f t="shared" si="19"/>
        <v>12関連図書の整備-新築時の確認申請-完了-交付年月日-西暦年月日</v>
      </c>
      <c r="AI52" s="1496"/>
      <c r="AJ52" s="1496"/>
      <c r="AK52" s="1496"/>
      <c r="AL52" s="1496"/>
      <c r="AM52" s="1496"/>
      <c r="AN52" s="1496"/>
      <c r="AO52" s="1496"/>
    </row>
    <row r="53" spans="1:41" ht="18.75" customHeight="1" x14ac:dyDescent="0.15">
      <c r="A53" s="1578"/>
      <c r="B53" s="1462"/>
      <c r="C53" s="1462">
        <v>2</v>
      </c>
      <c r="D53" s="1650" t="str">
        <f>'1_入力シート【基本情報】'!$DW205</f>
        <v/>
      </c>
      <c r="E53" s="1650" t="str">
        <f t="shared" si="15"/>
        <v/>
      </c>
      <c r="F53" s="1650" t="str">
        <f t="shared" si="16"/>
        <v/>
      </c>
      <c r="G53" s="1650" t="str">
        <f t="shared" si="17"/>
        <v/>
      </c>
      <c r="H53" s="1468"/>
      <c r="I53" s="1644"/>
      <c r="J53" s="1531"/>
      <c r="K53" s="1507" t="s">
        <v>3115</v>
      </c>
      <c r="L53" s="1462" t="s">
        <v>1307</v>
      </c>
      <c r="M53" s="1493" t="s">
        <v>31</v>
      </c>
      <c r="N53" s="1462"/>
      <c r="O53" s="1462"/>
      <c r="P53" s="1462"/>
      <c r="Q53" s="1462"/>
      <c r="R53" s="1462"/>
      <c r="S53" s="1462" t="str">
        <f t="shared" si="18"/>
        <v>検査済_番号</v>
      </c>
      <c r="T53" s="1462"/>
      <c r="U53" s="1469" t="s">
        <v>1359</v>
      </c>
      <c r="V53" s="1486" t="s">
        <v>1360</v>
      </c>
      <c r="W53" s="1471" t="s">
        <v>1306</v>
      </c>
      <c r="X53" s="1472" t="s">
        <v>1365</v>
      </c>
      <c r="Y53" s="1473" t="s">
        <v>1306</v>
      </c>
      <c r="Z53" s="1474" t="s">
        <v>975</v>
      </c>
      <c r="AA53" s="1473" t="s">
        <v>1366</v>
      </c>
      <c r="AB53" s="1487" t="s">
        <v>229</v>
      </c>
      <c r="AC53" s="1475" t="s">
        <v>1366</v>
      </c>
      <c r="AD53" s="1476" t="s">
        <v>4</v>
      </c>
      <c r="AE53" s="1496"/>
      <c r="AF53" s="1496"/>
      <c r="AG53" s="1457" t="str">
        <f t="shared" si="19"/>
        <v>12関連図書の整備-新築時の確認申請-完了-交付番号-号</v>
      </c>
      <c r="AI53" s="1459"/>
      <c r="AJ53" s="1459"/>
      <c r="AK53" s="1459"/>
    </row>
    <row r="54" spans="1:41" ht="18.75" customHeight="1" x14ac:dyDescent="0.15">
      <c r="A54" s="1581"/>
      <c r="B54" s="1536" t="s">
        <v>2928</v>
      </c>
      <c r="C54" s="1462">
        <v>2</v>
      </c>
      <c r="D54" s="1650" t="str">
        <f>'1_入力シート【基本情報】'!DO210</f>
        <v/>
      </c>
      <c r="E54" s="1650" t="str">
        <f t="shared" si="15"/>
        <v/>
      </c>
      <c r="F54" s="1650" t="str">
        <f t="shared" si="16"/>
        <v/>
      </c>
      <c r="G54" s="1650" t="str">
        <f t="shared" si="17"/>
        <v/>
      </c>
      <c r="H54" s="1468"/>
      <c r="I54" s="1644"/>
      <c r="J54" s="1531"/>
      <c r="K54" s="1462" t="s">
        <v>3116</v>
      </c>
      <c r="L54" s="1462"/>
      <c r="M54" s="1493" t="s">
        <v>3117</v>
      </c>
      <c r="N54" s="1462"/>
      <c r="O54" s="1462"/>
      <c r="P54" s="1462"/>
      <c r="Q54" s="1462"/>
      <c r="R54" s="1462"/>
      <c r="S54" s="1462" t="str">
        <f t="shared" si="18"/>
        <v>維持保全計画[有]</v>
      </c>
      <c r="T54" s="1462"/>
      <c r="U54" s="1469" t="s">
        <v>3110</v>
      </c>
      <c r="V54" s="1486" t="s">
        <v>1360</v>
      </c>
      <c r="W54" s="1471" t="s">
        <v>1366</v>
      </c>
      <c r="X54" s="1470" t="s">
        <v>1367</v>
      </c>
      <c r="Y54" s="1473" t="s">
        <v>1306</v>
      </c>
      <c r="Z54" s="1504" t="s">
        <v>454</v>
      </c>
      <c r="AA54" s="1505"/>
      <c r="AB54" s="1487"/>
      <c r="AC54" s="1497"/>
      <c r="AD54" s="1476"/>
      <c r="AE54" s="1477"/>
      <c r="AF54" s="1477"/>
      <c r="AG54" s="1457" t="str">
        <f t="shared" si="19"/>
        <v>12関連図書の整備-維持管理保全に関する準則又は計画-有</v>
      </c>
      <c r="AI54" s="1459"/>
      <c r="AJ54" s="1459"/>
      <c r="AK54" s="1459"/>
    </row>
    <row r="55" spans="1:41" ht="18.75" customHeight="1" x14ac:dyDescent="0.15">
      <c r="A55" s="1581"/>
      <c r="B55" s="1536" t="s">
        <v>2928</v>
      </c>
      <c r="C55" s="1462">
        <v>2</v>
      </c>
      <c r="D55" s="1650" t="str">
        <f>'1_入力シート【基本情報】'!DP210</f>
        <v/>
      </c>
      <c r="E55" s="1650" t="str">
        <f t="shared" si="15"/>
        <v/>
      </c>
      <c r="F55" s="1650" t="str">
        <f t="shared" si="16"/>
        <v/>
      </c>
      <c r="G55" s="1650" t="str">
        <f t="shared" si="17"/>
        <v/>
      </c>
      <c r="H55" s="1468"/>
      <c r="I55" s="1644"/>
      <c r="J55" s="1531"/>
      <c r="K55" s="1462" t="s">
        <v>3116</v>
      </c>
      <c r="L55" s="1462"/>
      <c r="M55" s="1493" t="s">
        <v>3118</v>
      </c>
      <c r="N55" s="1462"/>
      <c r="O55" s="1462"/>
      <c r="P55" s="1462"/>
      <c r="Q55" s="1462"/>
      <c r="R55" s="1462"/>
      <c r="S55" s="1462" t="str">
        <f t="shared" si="18"/>
        <v>維持保全計画[無]</v>
      </c>
      <c r="T55" s="1462"/>
      <c r="U55" s="1469" t="s">
        <v>3110</v>
      </c>
      <c r="V55" s="1486" t="s">
        <v>1360</v>
      </c>
      <c r="W55" s="1471" t="s">
        <v>1366</v>
      </c>
      <c r="X55" s="1470" t="s">
        <v>1367</v>
      </c>
      <c r="Y55" s="1473" t="s">
        <v>1306</v>
      </c>
      <c r="Z55" s="1504" t="s">
        <v>211</v>
      </c>
      <c r="AA55" s="1505"/>
      <c r="AB55" s="1487"/>
      <c r="AC55" s="1497"/>
      <c r="AD55" s="1476"/>
      <c r="AE55" s="1477"/>
      <c r="AF55" s="1477"/>
      <c r="AG55" s="1457" t="str">
        <f t="shared" si="19"/>
        <v>12関連図書の整備-維持管理保全に関する準則又は計画-無</v>
      </c>
      <c r="AI55" s="1459"/>
      <c r="AJ55" s="1459"/>
      <c r="AK55" s="1459"/>
    </row>
    <row r="56" spans="1:41" s="1457" customFormat="1" ht="18.75" customHeight="1" x14ac:dyDescent="0.15">
      <c r="A56" s="1581"/>
      <c r="B56" s="1536" t="s">
        <v>2928</v>
      </c>
      <c r="C56" s="1462">
        <v>2</v>
      </c>
      <c r="D56" s="1650" t="str">
        <f>'1_入力シート【基本情報】'!EB234</f>
        <v/>
      </c>
      <c r="E56" s="1650" t="str">
        <f t="shared" si="15"/>
        <v/>
      </c>
      <c r="F56" s="1650" t="str">
        <f t="shared" ref="F56:F77" si="20">SUBSTITUTE(E56,CHAR(10),"")</f>
        <v/>
      </c>
      <c r="G56" s="1650" t="str">
        <f t="shared" si="17"/>
        <v/>
      </c>
      <c r="H56" s="1468"/>
      <c r="I56" s="1660"/>
      <c r="J56" s="1531"/>
      <c r="K56" s="1462" t="s">
        <v>3139</v>
      </c>
      <c r="L56" s="1462"/>
      <c r="M56" s="1493" t="s">
        <v>3140</v>
      </c>
      <c r="N56" s="1462"/>
      <c r="O56" s="1462"/>
      <c r="P56" s="1462"/>
      <c r="Q56" s="1462"/>
      <c r="R56" s="1462"/>
      <c r="S56" s="1462" t="str">
        <f t="shared" si="18"/>
        <v>石綿[有（飛散防止無）]</v>
      </c>
      <c r="T56" s="1462"/>
      <c r="U56" s="1469" t="s">
        <v>3152</v>
      </c>
      <c r="V56" s="1470" t="s">
        <v>1377</v>
      </c>
      <c r="W56" s="1471" t="s">
        <v>1366</v>
      </c>
      <c r="X56" s="1470" t="s">
        <v>703</v>
      </c>
      <c r="Y56" s="1473" t="s">
        <v>1366</v>
      </c>
      <c r="Z56" s="1474" t="s">
        <v>3153</v>
      </c>
      <c r="AA56" s="1505"/>
      <c r="AB56" s="1470"/>
      <c r="AC56" s="1475"/>
      <c r="AD56" s="1476"/>
      <c r="AE56" s="1477"/>
      <c r="AF56" s="1477"/>
      <c r="AG56" s="1457" t="str">
        <f t="shared" si="19"/>
        <v>15石綿を添加した建築材料の調査状況-該当建築材料-有（飛散防止無）</v>
      </c>
      <c r="AI56" s="1459"/>
      <c r="AJ56" s="1459"/>
      <c r="AK56" s="1459"/>
    </row>
    <row r="57" spans="1:41" s="1457" customFormat="1" ht="18.75" customHeight="1" x14ac:dyDescent="0.15">
      <c r="A57" s="1581"/>
      <c r="B57" s="1536" t="s">
        <v>2928</v>
      </c>
      <c r="C57" s="1462">
        <v>2</v>
      </c>
      <c r="D57" s="1650" t="str">
        <f>'1_入力シート【基本情報】'!EB235</f>
        <v/>
      </c>
      <c r="E57" s="1650" t="str">
        <f t="shared" si="15"/>
        <v/>
      </c>
      <c r="F57" s="1650" t="str">
        <f t="shared" si="20"/>
        <v/>
      </c>
      <c r="G57" s="1650" t="str">
        <f t="shared" si="17"/>
        <v/>
      </c>
      <c r="H57" s="1468"/>
      <c r="I57" s="1660"/>
      <c r="J57" s="1531"/>
      <c r="K57" s="1462" t="s">
        <v>3139</v>
      </c>
      <c r="L57" s="1462"/>
      <c r="M57" s="1493" t="s">
        <v>3141</v>
      </c>
      <c r="N57" s="1462"/>
      <c r="O57" s="1462"/>
      <c r="P57" s="1462"/>
      <c r="Q57" s="1462"/>
      <c r="R57" s="1462"/>
      <c r="S57" s="1462" t="str">
        <f t="shared" ref="S57:S77" si="21">CONCATENATE(K57,L57,M57,N57,O57,P57,Q57)</f>
        <v>石綿[有（飛散防止有）]</v>
      </c>
      <c r="T57" s="1462"/>
      <c r="U57" s="1469" t="s">
        <v>3152</v>
      </c>
      <c r="V57" s="1470" t="s">
        <v>1377</v>
      </c>
      <c r="W57" s="1471" t="s">
        <v>1366</v>
      </c>
      <c r="X57" s="1470" t="s">
        <v>703</v>
      </c>
      <c r="Y57" s="1473" t="s">
        <v>1366</v>
      </c>
      <c r="Z57" s="1474" t="s">
        <v>3154</v>
      </c>
      <c r="AA57" s="1505"/>
      <c r="AB57" s="1470"/>
      <c r="AC57" s="1475"/>
      <c r="AD57" s="1476"/>
      <c r="AE57" s="1477"/>
      <c r="AF57" s="1477"/>
      <c r="AG57" s="1457" t="str">
        <f t="shared" ref="AG57:AG64" si="22">CONCATENATE(U57,V57,W57,X57,Y57,Z57,AA57,AB57,AC57,AD57)</f>
        <v>15石綿を添加した建築材料の調査状況-該当建築材料-有（飛散防止有）</v>
      </c>
      <c r="AI57" s="1459"/>
      <c r="AJ57" s="1459"/>
      <c r="AK57" s="1459"/>
    </row>
    <row r="58" spans="1:41" s="1457" customFormat="1" ht="18.75" customHeight="1" x14ac:dyDescent="0.15">
      <c r="A58" s="1581"/>
      <c r="B58" s="1536" t="s">
        <v>2928</v>
      </c>
      <c r="C58" s="1462">
        <v>2</v>
      </c>
      <c r="D58" s="1650" t="str">
        <f>'1_入力シート【基本情報】'!EB236</f>
        <v/>
      </c>
      <c r="E58" s="1650" t="str">
        <f t="shared" si="15"/>
        <v/>
      </c>
      <c r="F58" s="1650" t="str">
        <f t="shared" si="20"/>
        <v/>
      </c>
      <c r="G58" s="1650" t="str">
        <f t="shared" si="17"/>
        <v/>
      </c>
      <c r="H58" s="1468"/>
      <c r="I58" s="1660"/>
      <c r="J58" s="1531"/>
      <c r="K58" s="1462" t="s">
        <v>3139</v>
      </c>
      <c r="L58" s="1462"/>
      <c r="M58" s="1493" t="s">
        <v>3118</v>
      </c>
      <c r="N58" s="1462"/>
      <c r="O58" s="1462"/>
      <c r="P58" s="1462"/>
      <c r="Q58" s="1462"/>
      <c r="R58" s="1462"/>
      <c r="S58" s="1462" t="str">
        <f t="shared" si="21"/>
        <v>石綿[無]</v>
      </c>
      <c r="T58" s="1462"/>
      <c r="U58" s="1469" t="s">
        <v>3152</v>
      </c>
      <c r="V58" s="1470" t="s">
        <v>1377</v>
      </c>
      <c r="W58" s="1471" t="s">
        <v>1366</v>
      </c>
      <c r="X58" s="1470" t="s">
        <v>703</v>
      </c>
      <c r="Y58" s="1473" t="s">
        <v>1366</v>
      </c>
      <c r="Z58" s="1474" t="s">
        <v>211</v>
      </c>
      <c r="AA58" s="1505"/>
      <c r="AB58" s="1470"/>
      <c r="AC58" s="1475"/>
      <c r="AD58" s="1476"/>
      <c r="AE58" s="1477"/>
      <c r="AF58" s="1477"/>
      <c r="AG58" s="1457" t="str">
        <f t="shared" si="22"/>
        <v>15石綿を添加した建築材料の調査状況-該当建築材料-無</v>
      </c>
      <c r="AI58" s="1459"/>
      <c r="AJ58" s="1459"/>
      <c r="AK58" s="1459"/>
    </row>
    <row r="59" spans="1:41" s="1457" customFormat="1" ht="18.75" customHeight="1" x14ac:dyDescent="0.15">
      <c r="A59" s="1581"/>
      <c r="B59" s="1536" t="s">
        <v>2928</v>
      </c>
      <c r="C59" s="1462">
        <v>2</v>
      </c>
      <c r="D59" s="1650" t="str">
        <f>'1_入力シート【基本情報】'!EE234</f>
        <v/>
      </c>
      <c r="E59" s="1650" t="str">
        <f t="shared" si="15"/>
        <v/>
      </c>
      <c r="F59" s="1650" t="str">
        <f t="shared" si="20"/>
        <v/>
      </c>
      <c r="G59" s="1650" t="str">
        <f t="shared" si="17"/>
        <v/>
      </c>
      <c r="H59" s="1468"/>
      <c r="I59" s="1660"/>
      <c r="J59" s="1531"/>
      <c r="K59" s="1462" t="s">
        <v>3139</v>
      </c>
      <c r="L59" s="1462" t="s">
        <v>1307</v>
      </c>
      <c r="M59" s="1493" t="s">
        <v>3143</v>
      </c>
      <c r="N59" s="1462"/>
      <c r="O59" s="1462"/>
      <c r="P59" s="1462"/>
      <c r="Q59" s="1462"/>
      <c r="R59" s="1462"/>
      <c r="S59" s="1462" t="str">
        <f t="shared" si="21"/>
        <v>石綿_有（飛散防止無）該当する室</v>
      </c>
      <c r="T59" s="1462"/>
      <c r="U59" s="1469" t="s">
        <v>3152</v>
      </c>
      <c r="V59" s="1470" t="s">
        <v>1377</v>
      </c>
      <c r="W59" s="1471" t="s">
        <v>1366</v>
      </c>
      <c r="X59" s="1470" t="s">
        <v>703</v>
      </c>
      <c r="Y59" s="1473" t="s">
        <v>1366</v>
      </c>
      <c r="Z59" s="1474" t="s">
        <v>3156</v>
      </c>
      <c r="AA59" s="1505"/>
      <c r="AB59" s="1470"/>
      <c r="AC59" s="1475"/>
      <c r="AD59" s="1476"/>
      <c r="AE59" s="1477"/>
      <c r="AF59" s="1477"/>
      <c r="AG59" s="1457" t="str">
        <f t="shared" si="22"/>
        <v>15石綿を添加した建築材料の調査状況-該当建築材料-該当する室（飛散防止無）</v>
      </c>
      <c r="AI59" s="1459"/>
      <c r="AJ59" s="1459"/>
      <c r="AK59" s="1459"/>
    </row>
    <row r="60" spans="1:41" s="1457" customFormat="1" ht="18.75" customHeight="1" x14ac:dyDescent="0.15">
      <c r="A60" s="1581"/>
      <c r="B60" s="1536" t="s">
        <v>2928</v>
      </c>
      <c r="C60" s="1462">
        <v>2</v>
      </c>
      <c r="D60" s="1650" t="str">
        <f>'1_入力シート【基本情報】'!EE235</f>
        <v/>
      </c>
      <c r="E60" s="1650" t="str">
        <f t="shared" ref="E60:E77" si="23">D60</f>
        <v/>
      </c>
      <c r="F60" s="1650" t="str">
        <f t="shared" si="20"/>
        <v/>
      </c>
      <c r="G60" s="1650" t="str">
        <f t="shared" si="17"/>
        <v/>
      </c>
      <c r="H60" s="1468"/>
      <c r="I60" s="1660"/>
      <c r="J60" s="1531"/>
      <c r="K60" s="1462" t="s">
        <v>3139</v>
      </c>
      <c r="L60" s="1462" t="s">
        <v>1307</v>
      </c>
      <c r="M60" s="1493" t="s">
        <v>3144</v>
      </c>
      <c r="N60" s="1462"/>
      <c r="O60" s="1462"/>
      <c r="P60" s="1462"/>
      <c r="Q60" s="1462"/>
      <c r="R60" s="1462"/>
      <c r="S60" s="1462" t="str">
        <f t="shared" si="21"/>
        <v>石綿_有（飛散防止有）該当する室</v>
      </c>
      <c r="T60" s="1462"/>
      <c r="U60" s="1469" t="s">
        <v>3152</v>
      </c>
      <c r="V60" s="1470" t="s">
        <v>1377</v>
      </c>
      <c r="W60" s="1471" t="s">
        <v>1366</v>
      </c>
      <c r="X60" s="1470" t="s">
        <v>703</v>
      </c>
      <c r="Y60" s="1473" t="s">
        <v>1366</v>
      </c>
      <c r="Z60" s="1474" t="s">
        <v>3157</v>
      </c>
      <c r="AA60" s="1505"/>
      <c r="AB60" s="1470"/>
      <c r="AC60" s="1475"/>
      <c r="AD60" s="1476"/>
      <c r="AE60" s="1477"/>
      <c r="AF60" s="1477"/>
      <c r="AG60" s="1457" t="str">
        <f t="shared" si="22"/>
        <v>15石綿を添加した建築材料の調査状況-該当建築材料-該当する室（飛散防止有）</v>
      </c>
      <c r="AI60" s="1459"/>
      <c r="AJ60" s="1459"/>
      <c r="AK60" s="1459"/>
    </row>
    <row r="61" spans="1:41" s="1457" customFormat="1" ht="18.75" customHeight="1" x14ac:dyDescent="0.15">
      <c r="A61" s="1581"/>
      <c r="B61" s="1536" t="s">
        <v>2928</v>
      </c>
      <c r="C61" s="1462">
        <v>2</v>
      </c>
      <c r="D61" s="1650" t="str">
        <f>'1_入力シート【基本情報】'!EB237</f>
        <v/>
      </c>
      <c r="E61" s="1650" t="str">
        <f t="shared" si="23"/>
        <v/>
      </c>
      <c r="F61" s="1650" t="str">
        <f t="shared" si="20"/>
        <v/>
      </c>
      <c r="G61" s="1650" t="str">
        <f t="shared" si="17"/>
        <v/>
      </c>
      <c r="H61" s="1468"/>
      <c r="I61" s="1660"/>
      <c r="J61" s="1531"/>
      <c r="K61" s="1462" t="s">
        <v>3139</v>
      </c>
      <c r="L61" s="1462" t="s">
        <v>1307</v>
      </c>
      <c r="M61" s="1493" t="s">
        <v>705</v>
      </c>
      <c r="N61" s="1462"/>
      <c r="O61" s="1462" t="s">
        <v>3147</v>
      </c>
      <c r="P61" s="1462"/>
      <c r="Q61" s="1462"/>
      <c r="R61" s="1462"/>
      <c r="S61" s="1462" t="str">
        <f t="shared" si="21"/>
        <v>石綿_措置予定[有]</v>
      </c>
      <c r="T61" s="1462"/>
      <c r="U61" s="1469" t="s">
        <v>3152</v>
      </c>
      <c r="V61" s="1470" t="s">
        <v>1377</v>
      </c>
      <c r="W61" s="1471" t="s">
        <v>1366</v>
      </c>
      <c r="X61" s="1470" t="s">
        <v>705</v>
      </c>
      <c r="Y61" s="1473" t="s">
        <v>1366</v>
      </c>
      <c r="Z61" s="1474" t="s">
        <v>454</v>
      </c>
      <c r="AA61" s="1505"/>
      <c r="AB61" s="1470"/>
      <c r="AC61" s="1475"/>
      <c r="AD61" s="1476"/>
      <c r="AE61" s="1477"/>
      <c r="AF61" s="1477"/>
      <c r="AG61" s="1457" t="str">
        <f t="shared" si="22"/>
        <v>15石綿を添加した建築材料の調査状況-措置予定-有</v>
      </c>
      <c r="AI61" s="1459"/>
      <c r="AJ61" s="1459"/>
      <c r="AK61" s="1459"/>
    </row>
    <row r="62" spans="1:41" s="1457" customFormat="1" ht="18.75" customHeight="1" x14ac:dyDescent="0.15">
      <c r="A62" s="1581"/>
      <c r="B62" s="1536" t="s">
        <v>2928</v>
      </c>
      <c r="C62" s="1462">
        <v>2</v>
      </c>
      <c r="D62" s="1650" t="str">
        <f>'1_入力シート【基本情報】'!EB238</f>
        <v/>
      </c>
      <c r="E62" s="1650" t="str">
        <f t="shared" si="23"/>
        <v/>
      </c>
      <c r="F62" s="1650" t="str">
        <f t="shared" si="20"/>
        <v/>
      </c>
      <c r="G62" s="1650" t="str">
        <f t="shared" si="17"/>
        <v/>
      </c>
      <c r="H62" s="1468"/>
      <c r="I62" s="1660"/>
      <c r="J62" s="1531"/>
      <c r="K62" s="1462" t="s">
        <v>3139</v>
      </c>
      <c r="L62" s="1462" t="s">
        <v>1307</v>
      </c>
      <c r="M62" s="1493" t="s">
        <v>705</v>
      </c>
      <c r="N62" s="1462"/>
      <c r="O62" s="1462" t="s">
        <v>3133</v>
      </c>
      <c r="P62" s="1462"/>
      <c r="Q62" s="1462"/>
      <c r="R62" s="1462"/>
      <c r="S62" s="1462" t="str">
        <f t="shared" si="21"/>
        <v>石綿_措置予定[無]</v>
      </c>
      <c r="T62" s="1462"/>
      <c r="U62" s="1469" t="s">
        <v>3152</v>
      </c>
      <c r="V62" s="1470" t="s">
        <v>1377</v>
      </c>
      <c r="W62" s="1471" t="s">
        <v>1366</v>
      </c>
      <c r="X62" s="1470" t="s">
        <v>705</v>
      </c>
      <c r="Y62" s="1473" t="s">
        <v>1366</v>
      </c>
      <c r="Z62" s="1474" t="s">
        <v>211</v>
      </c>
      <c r="AA62" s="1505"/>
      <c r="AB62" s="1470"/>
      <c r="AC62" s="1475"/>
      <c r="AD62" s="1476"/>
      <c r="AE62" s="1477"/>
      <c r="AF62" s="1477"/>
      <c r="AG62" s="1457" t="str">
        <f t="shared" si="22"/>
        <v>15石綿を添加した建築材料の調査状況-措置予定-無</v>
      </c>
      <c r="AI62" s="1459"/>
      <c r="AJ62" s="1459"/>
      <c r="AK62" s="1459"/>
    </row>
    <row r="63" spans="1:41" s="1457" customFormat="1" ht="18.75" customHeight="1" x14ac:dyDescent="0.15">
      <c r="A63" s="1581"/>
      <c r="B63" s="1536" t="s">
        <v>2928</v>
      </c>
      <c r="C63" s="1462">
        <v>2</v>
      </c>
      <c r="D63" s="1650" t="str">
        <f>'1_入力シート【基本情報】'!EE237</f>
        <v/>
      </c>
      <c r="E63" s="1650" t="str">
        <f t="shared" si="23"/>
        <v/>
      </c>
      <c r="F63" s="1650" t="str">
        <f t="shared" si="20"/>
        <v/>
      </c>
      <c r="G63" s="1650" t="str">
        <f t="shared" si="17"/>
        <v/>
      </c>
      <c r="H63" s="1468"/>
      <c r="I63" s="1660"/>
      <c r="J63" s="1531"/>
      <c r="K63" s="1462" t="s">
        <v>3139</v>
      </c>
      <c r="L63" s="1462" t="s">
        <v>1307</v>
      </c>
      <c r="M63" s="1493" t="s">
        <v>3145</v>
      </c>
      <c r="N63" s="1462" t="s">
        <v>1307</v>
      </c>
      <c r="O63" s="1462" t="s">
        <v>454</v>
      </c>
      <c r="P63" s="1462" t="s">
        <v>1307</v>
      </c>
      <c r="Q63" s="1462" t="s">
        <v>1102</v>
      </c>
      <c r="R63" s="1462"/>
      <c r="S63" s="1462" t="str">
        <f t="shared" si="21"/>
        <v>石綿_措置予定_有_元号</v>
      </c>
      <c r="T63" s="1462"/>
      <c r="U63" s="1469" t="s">
        <v>3152</v>
      </c>
      <c r="V63" s="1470" t="s">
        <v>1377</v>
      </c>
      <c r="W63" s="1471" t="s">
        <v>1366</v>
      </c>
      <c r="X63" s="1470" t="s">
        <v>705</v>
      </c>
      <c r="Y63" s="1473" t="s">
        <v>1366</v>
      </c>
      <c r="Z63" s="1474" t="s">
        <v>1378</v>
      </c>
      <c r="AA63" s="1473" t="s">
        <v>1366</v>
      </c>
      <c r="AB63" s="1470" t="s">
        <v>1102</v>
      </c>
      <c r="AC63" s="1475"/>
      <c r="AD63" s="1476"/>
      <c r="AE63" s="1477"/>
      <c r="AF63" s="1477"/>
      <c r="AG63" s="1457" t="str">
        <f t="shared" si="22"/>
        <v>15石綿を添加した建築材料の調査状況-措置予定-改善予定年月-元号</v>
      </c>
      <c r="AI63" s="1459"/>
      <c r="AJ63" s="1459"/>
      <c r="AK63" s="1459"/>
    </row>
    <row r="64" spans="1:41" s="1457" customFormat="1" ht="18.75" customHeight="1" x14ac:dyDescent="0.15">
      <c r="A64" s="1581"/>
      <c r="B64" s="1536" t="s">
        <v>2928</v>
      </c>
      <c r="C64" s="1462">
        <v>2</v>
      </c>
      <c r="D64" s="1650" t="str">
        <f>'1_入力シート【基本情報】'!EF237</f>
        <v/>
      </c>
      <c r="E64" s="1650" t="str">
        <f t="shared" si="23"/>
        <v/>
      </c>
      <c r="F64" s="1650" t="str">
        <f t="shared" si="20"/>
        <v/>
      </c>
      <c r="G64" s="1650" t="str">
        <f t="shared" si="17"/>
        <v/>
      </c>
      <c r="H64" s="1468"/>
      <c r="I64" s="1660"/>
      <c r="J64" s="1531"/>
      <c r="K64" s="1462" t="s">
        <v>3139</v>
      </c>
      <c r="L64" s="1462" t="s">
        <v>1307</v>
      </c>
      <c r="M64" s="1493" t="s">
        <v>3145</v>
      </c>
      <c r="N64" s="1462" t="s">
        <v>1307</v>
      </c>
      <c r="O64" s="1462" t="s">
        <v>454</v>
      </c>
      <c r="P64" s="1462" t="s">
        <v>1307</v>
      </c>
      <c r="Q64" s="1462" t="s">
        <v>3137</v>
      </c>
      <c r="R64" s="1462"/>
      <c r="S64" s="1462" t="str">
        <f t="shared" si="21"/>
        <v>石綿_措置予定_有_和暦年</v>
      </c>
      <c r="T64" s="1462"/>
      <c r="U64" s="1469" t="s">
        <v>3152</v>
      </c>
      <c r="V64" s="1470" t="s">
        <v>1377</v>
      </c>
      <c r="W64" s="1471" t="s">
        <v>1366</v>
      </c>
      <c r="X64" s="1470" t="s">
        <v>705</v>
      </c>
      <c r="Y64" s="1473" t="s">
        <v>1366</v>
      </c>
      <c r="Z64" s="1474" t="s">
        <v>1378</v>
      </c>
      <c r="AA64" s="1473" t="s">
        <v>1366</v>
      </c>
      <c r="AB64" s="1470" t="s">
        <v>3158</v>
      </c>
      <c r="AC64" s="1475"/>
      <c r="AD64" s="1476"/>
      <c r="AE64" s="1477"/>
      <c r="AF64" s="1477"/>
      <c r="AG64" s="1457" t="str">
        <f t="shared" si="22"/>
        <v>15石綿を添加した建築材料の調査状況-措置予定-改善予定年月-和暦年</v>
      </c>
      <c r="AI64" s="1459"/>
      <c r="AJ64" s="1459"/>
      <c r="AK64" s="1459"/>
    </row>
    <row r="65" spans="1:37" s="1457" customFormat="1" ht="18.75" customHeight="1" x14ac:dyDescent="0.15">
      <c r="A65" s="1581"/>
      <c r="B65" s="1536" t="s">
        <v>2928</v>
      </c>
      <c r="C65" s="1462">
        <v>2</v>
      </c>
      <c r="D65" s="1650" t="str">
        <f>'1_入力シート【基本情報】'!EG237</f>
        <v/>
      </c>
      <c r="E65" s="1650" t="str">
        <f t="shared" si="23"/>
        <v/>
      </c>
      <c r="F65" s="1650" t="str">
        <f t="shared" si="20"/>
        <v/>
      </c>
      <c r="G65" s="1650" t="str">
        <f t="shared" si="17"/>
        <v/>
      </c>
      <c r="H65" s="1468"/>
      <c r="I65" s="1660"/>
      <c r="J65" s="1531"/>
      <c r="K65" s="1462" t="s">
        <v>3139</v>
      </c>
      <c r="L65" s="1462" t="s">
        <v>1307</v>
      </c>
      <c r="M65" s="1493" t="s">
        <v>3145</v>
      </c>
      <c r="N65" s="1462" t="s">
        <v>1307</v>
      </c>
      <c r="O65" s="1462" t="s">
        <v>454</v>
      </c>
      <c r="P65" s="1462" t="s">
        <v>1307</v>
      </c>
      <c r="Q65" s="1462" t="s">
        <v>348</v>
      </c>
      <c r="R65" s="1462"/>
      <c r="S65" s="1462" t="str">
        <f t="shared" si="21"/>
        <v>石綿_措置予定_有_月</v>
      </c>
      <c r="T65" s="1462"/>
      <c r="U65" s="1469" t="s">
        <v>3152</v>
      </c>
      <c r="V65" s="1470" t="s">
        <v>1377</v>
      </c>
      <c r="W65" s="1471" t="s">
        <v>1366</v>
      </c>
      <c r="X65" s="1470" t="s">
        <v>705</v>
      </c>
      <c r="Y65" s="1473" t="s">
        <v>1366</v>
      </c>
      <c r="Z65" s="1474" t="s">
        <v>1378</v>
      </c>
      <c r="AA65" s="1473" t="s">
        <v>1366</v>
      </c>
      <c r="AB65" s="1470" t="s">
        <v>348</v>
      </c>
      <c r="AC65" s="1475"/>
      <c r="AD65" s="1476"/>
      <c r="AE65" s="1477"/>
      <c r="AF65" s="1477"/>
      <c r="AG65" s="1457" t="str">
        <f>CONCATENATE(U65,V65,W65,X65,Y65,Z65,AA65,AB65,AC65,AD65)</f>
        <v>15石綿を添加した建築材料の調査状況-措置予定-改善予定年月-月</v>
      </c>
      <c r="AI65" s="1459"/>
      <c r="AJ65" s="1459"/>
      <c r="AK65" s="1459"/>
    </row>
    <row r="66" spans="1:37" s="1457" customFormat="1" ht="18.75" customHeight="1" x14ac:dyDescent="0.15">
      <c r="A66" s="1578"/>
      <c r="B66" s="1536" t="s">
        <v>2928</v>
      </c>
      <c r="C66" s="1462">
        <v>2</v>
      </c>
      <c r="D66" s="1650" t="str">
        <f>'1_入力シート【基本情報】'!EB244</f>
        <v/>
      </c>
      <c r="E66" s="1650" t="str">
        <f t="shared" si="23"/>
        <v/>
      </c>
      <c r="F66" s="1650" t="str">
        <f t="shared" si="20"/>
        <v/>
      </c>
      <c r="G66" s="1650" t="str">
        <f t="shared" ref="G66:G81" si="24">TRIM(F66)</f>
        <v/>
      </c>
      <c r="H66" s="1468"/>
      <c r="I66" s="1644"/>
      <c r="J66" s="1531"/>
      <c r="K66" s="1462" t="s">
        <v>277</v>
      </c>
      <c r="L66" s="1462"/>
      <c r="M66" s="1493" t="s">
        <v>3117</v>
      </c>
      <c r="N66" s="1462"/>
      <c r="O66" s="1462"/>
      <c r="P66" s="1462"/>
      <c r="Q66" s="1462"/>
      <c r="R66" s="1462"/>
      <c r="S66" s="1462" t="str">
        <f t="shared" si="21"/>
        <v>耐震診断[有]</v>
      </c>
      <c r="T66" s="1462"/>
      <c r="U66" s="1469" t="s">
        <v>1380</v>
      </c>
      <c r="V66" s="1470" t="s">
        <v>1381</v>
      </c>
      <c r="W66" s="1471" t="s">
        <v>1366</v>
      </c>
      <c r="X66" s="1470" t="s">
        <v>277</v>
      </c>
      <c r="Y66" s="1473" t="s">
        <v>1366</v>
      </c>
      <c r="Z66" s="1474" t="s">
        <v>454</v>
      </c>
      <c r="AA66" s="1505"/>
      <c r="AB66" s="1470"/>
      <c r="AC66" s="1475"/>
      <c r="AD66" s="1476"/>
      <c r="AE66" s="1477"/>
      <c r="AF66" s="1477"/>
      <c r="AG66" s="1457" t="str">
        <f t="shared" ref="AG66:AG130" si="25">CONCATENATE(U66,V66,W66,X66,Y66,Z66,AA66,AB66,AC66,AD66)</f>
        <v>16耐震診断及び耐震改修の調査状況-耐震診断-有</v>
      </c>
      <c r="AI66" s="1459"/>
      <c r="AJ66" s="1459"/>
      <c r="AK66" s="1459"/>
    </row>
    <row r="67" spans="1:37" s="1457" customFormat="1" ht="18.75" customHeight="1" x14ac:dyDescent="0.15">
      <c r="A67" s="1578"/>
      <c r="B67" s="1536" t="s">
        <v>2928</v>
      </c>
      <c r="C67" s="1462">
        <v>2</v>
      </c>
      <c r="D67" s="1650" t="str">
        <f>'1_入力シート【基本情報】'!EB245</f>
        <v/>
      </c>
      <c r="E67" s="1650" t="str">
        <f t="shared" si="23"/>
        <v/>
      </c>
      <c r="F67" s="1650" t="str">
        <f t="shared" si="20"/>
        <v/>
      </c>
      <c r="G67" s="1650" t="str">
        <f t="shared" si="24"/>
        <v/>
      </c>
      <c r="H67" s="1468"/>
      <c r="I67" s="1644"/>
      <c r="J67" s="1531"/>
      <c r="K67" s="1462" t="s">
        <v>277</v>
      </c>
      <c r="L67" s="1462"/>
      <c r="M67" s="1493" t="s">
        <v>3118</v>
      </c>
      <c r="N67" s="1462"/>
      <c r="O67" s="1462"/>
      <c r="P67" s="1462"/>
      <c r="Q67" s="1462"/>
      <c r="R67" s="1462"/>
      <c r="S67" s="1462" t="str">
        <f t="shared" si="21"/>
        <v>耐震診断[無]</v>
      </c>
      <c r="T67" s="1462"/>
      <c r="U67" s="1469" t="s">
        <v>1380</v>
      </c>
      <c r="V67" s="1470" t="s">
        <v>1381</v>
      </c>
      <c r="W67" s="1471" t="s">
        <v>1366</v>
      </c>
      <c r="X67" s="1470" t="s">
        <v>277</v>
      </c>
      <c r="Y67" s="1473" t="s">
        <v>1366</v>
      </c>
      <c r="Z67" s="1474" t="s">
        <v>211</v>
      </c>
      <c r="AA67" s="1505"/>
      <c r="AB67" s="1470"/>
      <c r="AC67" s="1475"/>
      <c r="AD67" s="1476"/>
      <c r="AE67" s="1477"/>
      <c r="AF67" s="1477"/>
      <c r="AG67" s="1457" t="str">
        <f t="shared" si="25"/>
        <v>16耐震診断及び耐震改修の調査状況-耐震診断-無</v>
      </c>
      <c r="AI67" s="1459"/>
      <c r="AJ67" s="1459"/>
      <c r="AK67" s="1459"/>
    </row>
    <row r="68" spans="1:37" s="1457" customFormat="1" ht="18.75" customHeight="1" x14ac:dyDescent="0.15">
      <c r="A68" s="1578"/>
      <c r="B68" s="1536" t="s">
        <v>2928</v>
      </c>
      <c r="C68" s="1462">
        <v>2</v>
      </c>
      <c r="D68" s="1650" t="str">
        <f>'1_入力シート【基本情報】'!EB246</f>
        <v/>
      </c>
      <c r="E68" s="1650" t="str">
        <f t="shared" si="23"/>
        <v/>
      </c>
      <c r="F68" s="1650" t="str">
        <f t="shared" si="20"/>
        <v/>
      </c>
      <c r="G68" s="1650" t="str">
        <f t="shared" si="24"/>
        <v/>
      </c>
      <c r="H68" s="1468"/>
      <c r="I68" s="1644"/>
      <c r="J68" s="1531"/>
      <c r="K68" s="1462" t="s">
        <v>277</v>
      </c>
      <c r="L68" s="1462"/>
      <c r="M68" s="1493" t="s">
        <v>3173</v>
      </c>
      <c r="N68" s="1462"/>
      <c r="O68" s="1462"/>
      <c r="P68" s="1462"/>
      <c r="Q68" s="1462"/>
      <c r="R68" s="1462"/>
      <c r="S68" s="1462" t="str">
        <f t="shared" si="21"/>
        <v>耐震診断[対象外]</v>
      </c>
      <c r="T68" s="1462"/>
      <c r="U68" s="1469" t="s">
        <v>1380</v>
      </c>
      <c r="V68" s="1470" t="s">
        <v>1381</v>
      </c>
      <c r="W68" s="1471" t="s">
        <v>1366</v>
      </c>
      <c r="X68" s="1470" t="s">
        <v>277</v>
      </c>
      <c r="Y68" s="1473" t="s">
        <v>1366</v>
      </c>
      <c r="Z68" s="1474" t="s">
        <v>1239</v>
      </c>
      <c r="AA68" s="1505"/>
      <c r="AB68" s="1470"/>
      <c r="AC68" s="1475"/>
      <c r="AD68" s="1476"/>
      <c r="AE68" s="1477"/>
      <c r="AF68" s="1477"/>
      <c r="AG68" s="1457" t="str">
        <f t="shared" si="25"/>
        <v>16耐震診断及び耐震改修の調査状況-耐震診断-対象外</v>
      </c>
      <c r="AI68" s="1459"/>
      <c r="AJ68" s="1459"/>
      <c r="AK68" s="1459"/>
    </row>
    <row r="69" spans="1:37" s="1457" customFormat="1" ht="18.75" customHeight="1" x14ac:dyDescent="0.15">
      <c r="A69" s="1578"/>
      <c r="B69" s="1536" t="s">
        <v>2928</v>
      </c>
      <c r="C69" s="1462">
        <v>2</v>
      </c>
      <c r="D69" s="1650" t="str">
        <f>'1_入力シート【基本情報】'!EE244</f>
        <v/>
      </c>
      <c r="E69" s="1650" t="str">
        <f t="shared" si="23"/>
        <v/>
      </c>
      <c r="F69" s="1650" t="str">
        <f t="shared" si="20"/>
        <v/>
      </c>
      <c r="G69" s="1650" t="str">
        <f t="shared" si="24"/>
        <v/>
      </c>
      <c r="H69" s="1468"/>
      <c r="I69" s="1644"/>
      <c r="J69" s="1531"/>
      <c r="K69" s="1462" t="s">
        <v>277</v>
      </c>
      <c r="L69" s="1462" t="s">
        <v>1307</v>
      </c>
      <c r="M69" s="1493" t="s">
        <v>843</v>
      </c>
      <c r="N69" s="1462" t="s">
        <v>1307</v>
      </c>
      <c r="O69" s="1462" t="s">
        <v>1102</v>
      </c>
      <c r="P69" s="1462"/>
      <c r="Q69" s="1462"/>
      <c r="R69" s="1462"/>
      <c r="S69" s="1462" t="str">
        <f t="shared" si="21"/>
        <v>耐震診断_実施_元号</v>
      </c>
      <c r="T69" s="1462"/>
      <c r="U69" s="1469" t="s">
        <v>1380</v>
      </c>
      <c r="V69" s="1470" t="s">
        <v>1381</v>
      </c>
      <c r="W69" s="1471" t="s">
        <v>1366</v>
      </c>
      <c r="X69" s="1470" t="s">
        <v>277</v>
      </c>
      <c r="Y69" s="1473" t="s">
        <v>1366</v>
      </c>
      <c r="Z69" s="1474" t="s">
        <v>3182</v>
      </c>
      <c r="AA69" s="1473" t="s">
        <v>1366</v>
      </c>
      <c r="AB69" s="1470" t="s">
        <v>1102</v>
      </c>
      <c r="AC69" s="1475"/>
      <c r="AD69" s="1476"/>
      <c r="AE69" s="1477"/>
      <c r="AF69" s="1477"/>
      <c r="AG69" s="1457" t="str">
        <f t="shared" si="25"/>
        <v>16耐震診断及び耐震改修の調査状況-耐震診断-実施年月-元号</v>
      </c>
      <c r="AI69" s="1459"/>
      <c r="AJ69" s="1459"/>
      <c r="AK69" s="1459"/>
    </row>
    <row r="70" spans="1:37" s="1457" customFormat="1" ht="18.75" customHeight="1" x14ac:dyDescent="0.15">
      <c r="A70" s="1578"/>
      <c r="B70" s="1536" t="s">
        <v>2928</v>
      </c>
      <c r="C70" s="1462">
        <v>2</v>
      </c>
      <c r="D70" s="1650" t="str">
        <f>'1_入力シート【基本情報】'!EF244</f>
        <v/>
      </c>
      <c r="E70" s="1650" t="str">
        <f t="shared" si="23"/>
        <v/>
      </c>
      <c r="F70" s="1650" t="str">
        <f t="shared" si="20"/>
        <v/>
      </c>
      <c r="G70" s="1650" t="str">
        <f t="shared" si="24"/>
        <v/>
      </c>
      <c r="H70" s="1468"/>
      <c r="I70" s="1644"/>
      <c r="J70" s="1531"/>
      <c r="K70" s="1462" t="s">
        <v>277</v>
      </c>
      <c r="L70" s="1462" t="s">
        <v>1307</v>
      </c>
      <c r="M70" s="1493" t="s">
        <v>843</v>
      </c>
      <c r="N70" s="1462" t="s">
        <v>1307</v>
      </c>
      <c r="O70" s="1462" t="s">
        <v>3137</v>
      </c>
      <c r="P70" s="1462"/>
      <c r="Q70" s="1462"/>
      <c r="R70" s="1462"/>
      <c r="S70" s="1462" t="str">
        <f t="shared" si="21"/>
        <v>耐震診断_実施_和暦年</v>
      </c>
      <c r="T70" s="1462"/>
      <c r="U70" s="1469" t="s">
        <v>1380</v>
      </c>
      <c r="V70" s="1470" t="s">
        <v>1381</v>
      </c>
      <c r="W70" s="1471" t="s">
        <v>1366</v>
      </c>
      <c r="X70" s="1470" t="s">
        <v>277</v>
      </c>
      <c r="Y70" s="1473" t="s">
        <v>1366</v>
      </c>
      <c r="Z70" s="1474" t="s">
        <v>3182</v>
      </c>
      <c r="AA70" s="1473" t="s">
        <v>1366</v>
      </c>
      <c r="AB70" s="1470" t="s">
        <v>3158</v>
      </c>
      <c r="AC70" s="1475"/>
      <c r="AD70" s="1476"/>
      <c r="AE70" s="1477"/>
      <c r="AF70" s="1477"/>
      <c r="AG70" s="1457" t="str">
        <f t="shared" si="25"/>
        <v>16耐震診断及び耐震改修の調査状況-耐震診断-実施年月-和暦年</v>
      </c>
      <c r="AI70" s="1459"/>
      <c r="AJ70" s="1459"/>
      <c r="AK70" s="1459"/>
    </row>
    <row r="71" spans="1:37" s="1457" customFormat="1" ht="18.75" customHeight="1" x14ac:dyDescent="0.15">
      <c r="A71" s="1578"/>
      <c r="B71" s="1536" t="s">
        <v>2928</v>
      </c>
      <c r="C71" s="1462">
        <v>2</v>
      </c>
      <c r="D71" s="1650" t="str">
        <f>'1_入力シート【基本情報】'!EG244</f>
        <v/>
      </c>
      <c r="E71" s="1650" t="str">
        <f t="shared" si="23"/>
        <v/>
      </c>
      <c r="F71" s="1650" t="str">
        <f t="shared" si="20"/>
        <v/>
      </c>
      <c r="G71" s="1650" t="str">
        <f t="shared" si="24"/>
        <v/>
      </c>
      <c r="H71" s="1468"/>
      <c r="I71" s="1644"/>
      <c r="J71" s="1531"/>
      <c r="K71" s="1462" t="s">
        <v>277</v>
      </c>
      <c r="L71" s="1462" t="s">
        <v>1307</v>
      </c>
      <c r="M71" s="1493" t="s">
        <v>843</v>
      </c>
      <c r="N71" s="1462" t="s">
        <v>1307</v>
      </c>
      <c r="O71" s="1462" t="s">
        <v>348</v>
      </c>
      <c r="P71" s="1462"/>
      <c r="Q71" s="1462"/>
      <c r="R71" s="1462"/>
      <c r="S71" s="1462" t="str">
        <f t="shared" si="21"/>
        <v>耐震診断_実施_月</v>
      </c>
      <c r="T71" s="1462"/>
      <c r="U71" s="1469" t="s">
        <v>1380</v>
      </c>
      <c r="V71" s="1470" t="s">
        <v>1381</v>
      </c>
      <c r="W71" s="1471" t="s">
        <v>1366</v>
      </c>
      <c r="X71" s="1470" t="s">
        <v>277</v>
      </c>
      <c r="Y71" s="1473" t="s">
        <v>1366</v>
      </c>
      <c r="Z71" s="1474" t="s">
        <v>3182</v>
      </c>
      <c r="AA71" s="1473" t="s">
        <v>1366</v>
      </c>
      <c r="AB71" s="1470" t="s">
        <v>348</v>
      </c>
      <c r="AC71" s="1475"/>
      <c r="AD71" s="1476"/>
      <c r="AE71" s="1477"/>
      <c r="AF71" s="1477"/>
      <c r="AG71" s="1457" t="str">
        <f t="shared" si="25"/>
        <v>16耐震診断及び耐震改修の調査状況-耐震診断-実施年月-月</v>
      </c>
      <c r="AI71" s="1459"/>
      <c r="AJ71" s="1459"/>
      <c r="AK71" s="1459"/>
    </row>
    <row r="72" spans="1:37" s="1457" customFormat="1" ht="18.75" customHeight="1" x14ac:dyDescent="0.15">
      <c r="A72" s="1578"/>
      <c r="B72" s="1536" t="s">
        <v>2928</v>
      </c>
      <c r="C72" s="1462">
        <v>2</v>
      </c>
      <c r="D72" s="1650" t="str">
        <f>'1_入力シート【基本情報】'!EJ244</f>
        <v/>
      </c>
      <c r="E72" s="1650" t="str">
        <f t="shared" si="23"/>
        <v/>
      </c>
      <c r="F72" s="1650" t="str">
        <f t="shared" si="20"/>
        <v/>
      </c>
      <c r="G72" s="1650" t="str">
        <f t="shared" si="24"/>
        <v/>
      </c>
      <c r="H72" s="1468"/>
      <c r="I72" s="1644"/>
      <c r="J72" s="1531"/>
      <c r="K72" s="1462" t="s">
        <v>278</v>
      </c>
      <c r="L72" s="1462"/>
      <c r="M72" s="1493" t="s">
        <v>3117</v>
      </c>
      <c r="N72" s="1462"/>
      <c r="O72" s="1462"/>
      <c r="P72" s="1462"/>
      <c r="Q72" s="1462"/>
      <c r="R72" s="1462"/>
      <c r="S72" s="1462" t="str">
        <f t="shared" si="21"/>
        <v>耐震改修[有]</v>
      </c>
      <c r="T72" s="1462"/>
      <c r="U72" s="1469" t="s">
        <v>1380</v>
      </c>
      <c r="V72" s="1470" t="s">
        <v>1381</v>
      </c>
      <c r="W72" s="1471" t="s">
        <v>1366</v>
      </c>
      <c r="X72" s="1470" t="s">
        <v>278</v>
      </c>
      <c r="Y72" s="1473" t="s">
        <v>1366</v>
      </c>
      <c r="Z72" s="1474" t="s">
        <v>454</v>
      </c>
      <c r="AA72" s="1505"/>
      <c r="AB72" s="1470"/>
      <c r="AC72" s="1475"/>
      <c r="AD72" s="1476"/>
      <c r="AE72" s="1477"/>
      <c r="AF72" s="1477"/>
      <c r="AG72" s="1457" t="str">
        <f t="shared" si="25"/>
        <v>16耐震診断及び耐震改修の調査状況-耐震改修-有</v>
      </c>
      <c r="AI72" s="1459"/>
      <c r="AJ72" s="1459"/>
      <c r="AK72" s="1459"/>
    </row>
    <row r="73" spans="1:37" s="1457" customFormat="1" ht="18.75" customHeight="1" x14ac:dyDescent="0.15">
      <c r="A73" s="1578"/>
      <c r="B73" s="1536" t="s">
        <v>2928</v>
      </c>
      <c r="C73" s="1462">
        <v>2</v>
      </c>
      <c r="D73" s="1650" t="str">
        <f>'1_入力シート【基本情報】'!EJ245</f>
        <v/>
      </c>
      <c r="E73" s="1650" t="str">
        <f t="shared" si="23"/>
        <v/>
      </c>
      <c r="F73" s="1650" t="str">
        <f t="shared" si="20"/>
        <v/>
      </c>
      <c r="G73" s="1650" t="str">
        <f t="shared" si="24"/>
        <v/>
      </c>
      <c r="H73" s="1468"/>
      <c r="I73" s="1644"/>
      <c r="J73" s="1531"/>
      <c r="K73" s="1462" t="s">
        <v>278</v>
      </c>
      <c r="L73" s="1462"/>
      <c r="M73" s="1493" t="s">
        <v>3118</v>
      </c>
      <c r="N73" s="1462"/>
      <c r="O73" s="1462"/>
      <c r="P73" s="1462"/>
      <c r="Q73" s="1462"/>
      <c r="R73" s="1462"/>
      <c r="S73" s="1462" t="str">
        <f t="shared" si="21"/>
        <v>耐震改修[無]</v>
      </c>
      <c r="T73" s="1462"/>
      <c r="U73" s="1469" t="s">
        <v>1380</v>
      </c>
      <c r="V73" s="1470" t="s">
        <v>1381</v>
      </c>
      <c r="W73" s="1471" t="s">
        <v>1366</v>
      </c>
      <c r="X73" s="1470" t="s">
        <v>278</v>
      </c>
      <c r="Y73" s="1473" t="s">
        <v>1366</v>
      </c>
      <c r="Z73" s="1474" t="s">
        <v>211</v>
      </c>
      <c r="AA73" s="1505"/>
      <c r="AB73" s="1470"/>
      <c r="AC73" s="1475"/>
      <c r="AD73" s="1476"/>
      <c r="AE73" s="1477"/>
      <c r="AF73" s="1477"/>
      <c r="AG73" s="1457" t="str">
        <f t="shared" si="25"/>
        <v>16耐震診断及び耐震改修の調査状況-耐震改修-無</v>
      </c>
      <c r="AI73" s="1459"/>
      <c r="AJ73" s="1459"/>
      <c r="AK73" s="1459"/>
    </row>
    <row r="74" spans="1:37" s="1457" customFormat="1" ht="18.75" customHeight="1" x14ac:dyDescent="0.15">
      <c r="A74" s="1578"/>
      <c r="B74" s="1536" t="s">
        <v>2928</v>
      </c>
      <c r="C74" s="1462">
        <v>2</v>
      </c>
      <c r="D74" s="1650" t="str">
        <f>'1_入力シート【基本情報】'!EJ246</f>
        <v/>
      </c>
      <c r="E74" s="1650" t="str">
        <f t="shared" si="23"/>
        <v/>
      </c>
      <c r="F74" s="1650" t="str">
        <f t="shared" si="20"/>
        <v/>
      </c>
      <c r="G74" s="1650" t="str">
        <f t="shared" si="24"/>
        <v/>
      </c>
      <c r="H74" s="1468"/>
      <c r="I74" s="1644"/>
      <c r="J74" s="1531"/>
      <c r="K74" s="1462" t="s">
        <v>278</v>
      </c>
      <c r="L74" s="1462"/>
      <c r="M74" s="1493" t="s">
        <v>3173</v>
      </c>
      <c r="N74" s="1462"/>
      <c r="O74" s="1462"/>
      <c r="P74" s="1462"/>
      <c r="Q74" s="1462"/>
      <c r="R74" s="1462"/>
      <c r="S74" s="1462" t="str">
        <f t="shared" si="21"/>
        <v>耐震改修[対象外]</v>
      </c>
      <c r="T74" s="1462"/>
      <c r="U74" s="1469" t="s">
        <v>1380</v>
      </c>
      <c r="V74" s="1470" t="s">
        <v>1381</v>
      </c>
      <c r="W74" s="1471" t="s">
        <v>1366</v>
      </c>
      <c r="X74" s="1470" t="s">
        <v>278</v>
      </c>
      <c r="Y74" s="1473" t="s">
        <v>1366</v>
      </c>
      <c r="Z74" s="1474" t="s">
        <v>1239</v>
      </c>
      <c r="AA74" s="1505"/>
      <c r="AB74" s="1470"/>
      <c r="AC74" s="1475"/>
      <c r="AD74" s="1476"/>
      <c r="AE74" s="1477"/>
      <c r="AF74" s="1477"/>
      <c r="AG74" s="1457" t="str">
        <f t="shared" si="25"/>
        <v>16耐震診断及び耐震改修の調査状況-耐震改修-対象外</v>
      </c>
      <c r="AI74" s="1459"/>
      <c r="AJ74" s="1459"/>
      <c r="AK74" s="1459"/>
    </row>
    <row r="75" spans="1:37" s="1457" customFormat="1" ht="18.75" customHeight="1" x14ac:dyDescent="0.15">
      <c r="A75" s="1578"/>
      <c r="B75" s="1536" t="s">
        <v>2928</v>
      </c>
      <c r="C75" s="1462">
        <v>2</v>
      </c>
      <c r="D75" s="1650" t="str">
        <f>'1_入力シート【基本情報】'!EN244</f>
        <v/>
      </c>
      <c r="E75" s="1650" t="str">
        <f t="shared" si="23"/>
        <v/>
      </c>
      <c r="F75" s="1650" t="str">
        <f t="shared" si="20"/>
        <v/>
      </c>
      <c r="G75" s="1650" t="str">
        <f t="shared" si="24"/>
        <v/>
      </c>
      <c r="H75" s="1468"/>
      <c r="I75" s="1644"/>
      <c r="J75" s="1531"/>
      <c r="K75" s="1462" t="s">
        <v>278</v>
      </c>
      <c r="L75" s="1462" t="s">
        <v>1307</v>
      </c>
      <c r="M75" s="1493" t="s">
        <v>843</v>
      </c>
      <c r="N75" s="1462" t="s">
        <v>1307</v>
      </c>
      <c r="O75" s="1462" t="s">
        <v>1102</v>
      </c>
      <c r="P75" s="1462"/>
      <c r="Q75" s="1462"/>
      <c r="R75" s="1462"/>
      <c r="S75" s="1462" t="str">
        <f t="shared" si="21"/>
        <v>耐震改修_実施_元号</v>
      </c>
      <c r="T75" s="1462"/>
      <c r="U75" s="1469" t="s">
        <v>1380</v>
      </c>
      <c r="V75" s="1470" t="s">
        <v>1381</v>
      </c>
      <c r="W75" s="1471" t="s">
        <v>1366</v>
      </c>
      <c r="X75" s="1470" t="s">
        <v>278</v>
      </c>
      <c r="Y75" s="1473" t="s">
        <v>1366</v>
      </c>
      <c r="Z75" s="1474" t="s">
        <v>3183</v>
      </c>
      <c r="AA75" s="1473" t="s">
        <v>1366</v>
      </c>
      <c r="AB75" s="1470" t="s">
        <v>1102</v>
      </c>
      <c r="AC75" s="1475"/>
      <c r="AD75" s="1476"/>
      <c r="AE75" s="1477"/>
      <c r="AF75" s="1477"/>
      <c r="AG75" s="1457" t="str">
        <f t="shared" si="25"/>
        <v>16耐震診断及び耐震改修の調査状況-耐震改修-実施年月-元号</v>
      </c>
      <c r="AI75" s="1459"/>
      <c r="AJ75" s="1459"/>
      <c r="AK75" s="1459"/>
    </row>
    <row r="76" spans="1:37" s="1457" customFormat="1" ht="18.75" customHeight="1" x14ac:dyDescent="0.15">
      <c r="A76" s="1578"/>
      <c r="B76" s="1536" t="s">
        <v>2928</v>
      </c>
      <c r="C76" s="1462">
        <v>2</v>
      </c>
      <c r="D76" s="1650" t="str">
        <f>'1_入力シート【基本情報】'!EO244</f>
        <v/>
      </c>
      <c r="E76" s="1650" t="str">
        <f t="shared" si="23"/>
        <v/>
      </c>
      <c r="F76" s="1650" t="str">
        <f t="shared" si="20"/>
        <v/>
      </c>
      <c r="G76" s="1650" t="str">
        <f t="shared" si="24"/>
        <v/>
      </c>
      <c r="H76" s="1468"/>
      <c r="I76" s="1644"/>
      <c r="J76" s="1531"/>
      <c r="K76" s="1462" t="s">
        <v>278</v>
      </c>
      <c r="L76" s="1462" t="s">
        <v>1307</v>
      </c>
      <c r="M76" s="1493" t="s">
        <v>843</v>
      </c>
      <c r="N76" s="1462" t="s">
        <v>1307</v>
      </c>
      <c r="O76" s="1462" t="s">
        <v>3137</v>
      </c>
      <c r="P76" s="1462"/>
      <c r="Q76" s="1462"/>
      <c r="R76" s="1462"/>
      <c r="S76" s="1462" t="str">
        <f t="shared" si="21"/>
        <v>耐震改修_実施_和暦年</v>
      </c>
      <c r="T76" s="1462"/>
      <c r="U76" s="1469" t="s">
        <v>1380</v>
      </c>
      <c r="V76" s="1470" t="s">
        <v>1381</v>
      </c>
      <c r="W76" s="1471" t="s">
        <v>1366</v>
      </c>
      <c r="X76" s="1470" t="s">
        <v>278</v>
      </c>
      <c r="Y76" s="1473" t="s">
        <v>1366</v>
      </c>
      <c r="Z76" s="1474" t="s">
        <v>3183</v>
      </c>
      <c r="AA76" s="1473" t="s">
        <v>1366</v>
      </c>
      <c r="AB76" s="1470" t="s">
        <v>3158</v>
      </c>
      <c r="AC76" s="1475"/>
      <c r="AD76" s="1476"/>
      <c r="AE76" s="1477"/>
      <c r="AF76" s="1477"/>
      <c r="AG76" s="1457" t="str">
        <f t="shared" si="25"/>
        <v>16耐震診断及び耐震改修の調査状況-耐震改修-実施年月-和暦年</v>
      </c>
      <c r="AI76" s="1459"/>
      <c r="AJ76" s="1459"/>
      <c r="AK76" s="1459"/>
    </row>
    <row r="77" spans="1:37" s="1457" customFormat="1" ht="18.75" customHeight="1" x14ac:dyDescent="0.15">
      <c r="A77" s="1578"/>
      <c r="B77" s="1536" t="s">
        <v>2928</v>
      </c>
      <c r="C77" s="1462">
        <v>2</v>
      </c>
      <c r="D77" s="1650" t="str">
        <f>'1_入力シート【基本情報】'!EP244</f>
        <v/>
      </c>
      <c r="E77" s="1650" t="str">
        <f t="shared" si="23"/>
        <v/>
      </c>
      <c r="F77" s="1650" t="str">
        <f t="shared" si="20"/>
        <v/>
      </c>
      <c r="G77" s="1650" t="str">
        <f t="shared" si="24"/>
        <v/>
      </c>
      <c r="H77" s="1468"/>
      <c r="I77" s="1644"/>
      <c r="J77" s="1531"/>
      <c r="K77" s="1462" t="s">
        <v>278</v>
      </c>
      <c r="L77" s="1462" t="s">
        <v>1307</v>
      </c>
      <c r="M77" s="1493" t="s">
        <v>843</v>
      </c>
      <c r="N77" s="1462" t="s">
        <v>1307</v>
      </c>
      <c r="O77" s="1462" t="s">
        <v>348</v>
      </c>
      <c r="P77" s="1462"/>
      <c r="Q77" s="1462"/>
      <c r="R77" s="1462"/>
      <c r="S77" s="1462" t="str">
        <f t="shared" si="21"/>
        <v>耐震改修_実施_月</v>
      </c>
      <c r="T77" s="1462"/>
      <c r="U77" s="1469" t="s">
        <v>1380</v>
      </c>
      <c r="V77" s="1470" t="s">
        <v>1381</v>
      </c>
      <c r="W77" s="1471" t="s">
        <v>1366</v>
      </c>
      <c r="X77" s="1470" t="s">
        <v>278</v>
      </c>
      <c r="Y77" s="1473" t="s">
        <v>1366</v>
      </c>
      <c r="Z77" s="1474" t="s">
        <v>3183</v>
      </c>
      <c r="AA77" s="1473" t="s">
        <v>1366</v>
      </c>
      <c r="AB77" s="1470" t="s">
        <v>348</v>
      </c>
      <c r="AC77" s="1475"/>
      <c r="AD77" s="1476"/>
      <c r="AE77" s="1477"/>
      <c r="AF77" s="1477"/>
      <c r="AG77" s="1457" t="str">
        <f t="shared" si="25"/>
        <v>16耐震診断及び耐震改修の調査状況-耐震改修-実施年月-月</v>
      </c>
      <c r="AI77" s="1459"/>
      <c r="AJ77" s="1459"/>
      <c r="AK77" s="1459"/>
    </row>
    <row r="78" spans="1:37" s="1457" customFormat="1" ht="18.75" customHeight="1" x14ac:dyDescent="0.15">
      <c r="A78" s="1578"/>
      <c r="B78" s="1536" t="s">
        <v>2928</v>
      </c>
      <c r="C78" s="1462">
        <v>2</v>
      </c>
      <c r="D78" s="1650" t="str">
        <f>'1_入力シート【基本情報】'!$DT$272</f>
        <v/>
      </c>
      <c r="E78" s="1650" t="str">
        <f t="shared" ref="E78:E100" si="26">D78</f>
        <v/>
      </c>
      <c r="F78" s="1650" t="str">
        <f t="shared" ref="F78:F100" si="27">SUBSTITUTE(E78,CHAR(10),"")</f>
        <v/>
      </c>
      <c r="G78" s="1650" t="str">
        <f t="shared" si="24"/>
        <v/>
      </c>
      <c r="H78" s="1468"/>
      <c r="I78" s="1660"/>
      <c r="J78" s="1531"/>
      <c r="K78" s="1462" t="s">
        <v>3186</v>
      </c>
      <c r="L78" s="1462"/>
      <c r="M78" s="1493" t="s">
        <v>3187</v>
      </c>
      <c r="N78" s="1462"/>
      <c r="O78" s="1462"/>
      <c r="P78" s="1462"/>
      <c r="Q78" s="1462"/>
      <c r="R78" s="1462"/>
      <c r="S78" s="1462" t="str">
        <f t="shared" ref="S78:S89" si="28">CONCATENATE(K78,L78,M78,N78,O78,P78,Q78)</f>
        <v>全面打診[使用有]</v>
      </c>
      <c r="T78" s="1462"/>
      <c r="U78" s="1469" t="s">
        <v>1391</v>
      </c>
      <c r="V78" s="1486" t="s">
        <v>1392</v>
      </c>
      <c r="W78" s="1471" t="s">
        <v>1306</v>
      </c>
      <c r="X78" s="1472" t="s">
        <v>2441</v>
      </c>
      <c r="Y78" s="1473" t="s">
        <v>1306</v>
      </c>
      <c r="Z78" s="1474" t="s">
        <v>454</v>
      </c>
      <c r="AA78" s="1473"/>
      <c r="AB78" s="1487"/>
      <c r="AC78" s="1475"/>
      <c r="AD78" s="1476"/>
      <c r="AE78" s="1477"/>
      <c r="AF78" s="1477"/>
      <c r="AG78" s="1457" t="str">
        <f t="shared" si="25"/>
        <v>19外装仕上げ材等について-外装仕上材のタイル・石貼り等、モルタル塗り等の使用-有</v>
      </c>
      <c r="AI78" s="1459"/>
      <c r="AJ78" s="1459"/>
      <c r="AK78" s="1459"/>
    </row>
    <row r="79" spans="1:37" s="1457" customFormat="1" ht="18.75" customHeight="1" x14ac:dyDescent="0.15">
      <c r="A79" s="1578"/>
      <c r="B79" s="1536" t="s">
        <v>2928</v>
      </c>
      <c r="C79" s="1462">
        <v>2</v>
      </c>
      <c r="D79" s="1650" t="str">
        <f>'1_入力シート【基本情報】'!$DT$273</f>
        <v/>
      </c>
      <c r="E79" s="1650" t="str">
        <f t="shared" si="26"/>
        <v/>
      </c>
      <c r="F79" s="1650" t="str">
        <f t="shared" si="27"/>
        <v/>
      </c>
      <c r="G79" s="1650" t="str">
        <f t="shared" si="24"/>
        <v/>
      </c>
      <c r="H79" s="1468"/>
      <c r="I79" s="1660"/>
      <c r="J79" s="1531"/>
      <c r="K79" s="1462" t="s">
        <v>3186</v>
      </c>
      <c r="L79" s="1462"/>
      <c r="M79" s="1493" t="s">
        <v>3188</v>
      </c>
      <c r="N79" s="1462"/>
      <c r="O79" s="1462"/>
      <c r="P79" s="1462"/>
      <c r="Q79" s="1462"/>
      <c r="R79" s="1462"/>
      <c r="S79" s="1462" t="str">
        <f t="shared" si="28"/>
        <v>全面打診[使用無]</v>
      </c>
      <c r="T79" s="1462"/>
      <c r="U79" s="1469" t="s">
        <v>1391</v>
      </c>
      <c r="V79" s="1486" t="s">
        <v>1392</v>
      </c>
      <c r="W79" s="1471" t="s">
        <v>1306</v>
      </c>
      <c r="X79" s="1472" t="s">
        <v>2441</v>
      </c>
      <c r="Y79" s="1473" t="s">
        <v>1306</v>
      </c>
      <c r="Z79" s="1474" t="s">
        <v>211</v>
      </c>
      <c r="AA79" s="1473"/>
      <c r="AB79" s="1487"/>
      <c r="AC79" s="1475"/>
      <c r="AD79" s="1476"/>
      <c r="AE79" s="1477"/>
      <c r="AF79" s="1477"/>
      <c r="AG79" s="1457" t="str">
        <f t="shared" si="25"/>
        <v>19外装仕上げ材等について-外装仕上材のタイル・石貼り等、モルタル塗り等の使用-無</v>
      </c>
      <c r="AI79" s="1459"/>
      <c r="AJ79" s="1459"/>
      <c r="AK79" s="1459"/>
    </row>
    <row r="80" spans="1:37" ht="18.75" customHeight="1" x14ac:dyDescent="0.15">
      <c r="A80" s="1578"/>
      <c r="B80" s="1462"/>
      <c r="C80" s="1462">
        <v>2</v>
      </c>
      <c r="D80" s="1450" t="str">
        <f>'1_入力シート【基本情報】'!DW272</f>
        <v/>
      </c>
      <c r="E80" s="1650" t="str">
        <f t="shared" si="26"/>
        <v/>
      </c>
      <c r="F80" s="1650" t="str">
        <f t="shared" si="27"/>
        <v/>
      </c>
      <c r="G80" s="1650" t="str">
        <f t="shared" si="24"/>
        <v/>
      </c>
      <c r="H80" s="1468"/>
      <c r="I80" s="1660"/>
      <c r="J80" s="1531"/>
      <c r="K80" s="1462" t="s">
        <v>3186</v>
      </c>
      <c r="L80" s="1462" t="s">
        <v>1307</v>
      </c>
      <c r="M80" s="1493" t="s">
        <v>1314</v>
      </c>
      <c r="N80" s="1462"/>
      <c r="O80" s="1462"/>
      <c r="P80" s="1462"/>
      <c r="Q80" s="1462"/>
      <c r="R80" s="1462"/>
      <c r="S80" s="1462" t="str">
        <f t="shared" si="28"/>
        <v>全面打診_状況</v>
      </c>
      <c r="T80" s="1462"/>
      <c r="U80" s="1469" t="s">
        <v>1391</v>
      </c>
      <c r="V80" s="1486" t="s">
        <v>1392</v>
      </c>
      <c r="W80" s="1471"/>
      <c r="X80" s="1472" t="s">
        <v>1714</v>
      </c>
      <c r="Y80" s="1473"/>
      <c r="Z80" s="1474"/>
      <c r="AA80" s="1473"/>
      <c r="AB80" s="1470"/>
      <c r="AC80" s="1475"/>
      <c r="AD80" s="1476"/>
      <c r="AE80" s="1477"/>
      <c r="AF80" s="1477"/>
      <c r="AG80" s="1457" t="str">
        <f t="shared" si="25"/>
        <v>19外装仕上げ材等について全面打診等の実施状況</v>
      </c>
      <c r="AI80" s="1459"/>
      <c r="AJ80" s="1459"/>
      <c r="AK80" s="1459"/>
    </row>
    <row r="81" spans="1:41" ht="18.75" customHeight="1" x14ac:dyDescent="0.15">
      <c r="A81" s="1578"/>
      <c r="B81" s="1462"/>
      <c r="C81" s="1462">
        <v>2</v>
      </c>
      <c r="D81" s="1450" t="str">
        <f>'1_入力シート【基本情報】'!DW273</f>
        <v/>
      </c>
      <c r="E81" s="1650" t="str">
        <f t="shared" si="26"/>
        <v/>
      </c>
      <c r="F81" s="1650" t="str">
        <f t="shared" si="27"/>
        <v/>
      </c>
      <c r="G81" s="1650" t="str">
        <f t="shared" si="24"/>
        <v/>
      </c>
      <c r="H81" s="1468"/>
      <c r="I81" s="1660"/>
      <c r="J81" s="1531"/>
      <c r="K81" s="1462" t="s">
        <v>3186</v>
      </c>
      <c r="L81" s="1462" t="s">
        <v>1307</v>
      </c>
      <c r="M81" s="1493" t="s">
        <v>1102</v>
      </c>
      <c r="N81" s="1462"/>
      <c r="O81" s="1462"/>
      <c r="P81" s="1462"/>
      <c r="Q81" s="1462"/>
      <c r="R81" s="1462"/>
      <c r="S81" s="1462" t="str">
        <f t="shared" si="28"/>
        <v>全面打診_元号</v>
      </c>
      <c r="T81" s="1462"/>
      <c r="U81" s="1469" t="s">
        <v>1391</v>
      </c>
      <c r="V81" s="1486" t="s">
        <v>1392</v>
      </c>
      <c r="W81" s="1471" t="s">
        <v>1306</v>
      </c>
      <c r="X81" s="1472" t="s">
        <v>1714</v>
      </c>
      <c r="Y81" s="1473" t="s">
        <v>1306</v>
      </c>
      <c r="Z81" s="1474" t="s">
        <v>1393</v>
      </c>
      <c r="AA81" s="1473" t="s">
        <v>1306</v>
      </c>
      <c r="AB81" s="1470" t="s">
        <v>1102</v>
      </c>
      <c r="AC81" s="1475"/>
      <c r="AD81" s="1476"/>
      <c r="AE81" s="1477"/>
      <c r="AF81" s="1477"/>
      <c r="AG81" s="1457" t="str">
        <f t="shared" si="25"/>
        <v>19外装仕上げ材等について-全面打診等の実施状況-時期：-元号</v>
      </c>
      <c r="AI81" s="1459"/>
      <c r="AJ81" s="1459"/>
      <c r="AK81" s="1459"/>
    </row>
    <row r="82" spans="1:41" ht="18.75" customHeight="1" x14ac:dyDescent="0.15">
      <c r="A82" s="1578"/>
      <c r="B82" s="1462"/>
      <c r="C82" s="1462">
        <v>2</v>
      </c>
      <c r="D82" s="1450" t="str">
        <f>'1_入力シート【基本情報】'!DW274</f>
        <v/>
      </c>
      <c r="E82" s="1650" t="str">
        <f t="shared" si="26"/>
        <v/>
      </c>
      <c r="F82" s="1650" t="str">
        <f t="shared" si="27"/>
        <v/>
      </c>
      <c r="G82" s="1650" t="str">
        <f t="shared" ref="G82:G100" si="29">TRIM(F82)</f>
        <v/>
      </c>
      <c r="H82" s="1468"/>
      <c r="I82" s="1660"/>
      <c r="J82" s="1531"/>
      <c r="K82" s="1462" t="s">
        <v>3186</v>
      </c>
      <c r="L82" s="1462" t="s">
        <v>1307</v>
      </c>
      <c r="M82" s="1493" t="s">
        <v>3137</v>
      </c>
      <c r="N82" s="1462"/>
      <c r="O82" s="1462"/>
      <c r="P82" s="1462"/>
      <c r="Q82" s="1462"/>
      <c r="R82" s="1462"/>
      <c r="S82" s="1462" t="str">
        <f t="shared" si="28"/>
        <v>全面打診_和暦年</v>
      </c>
      <c r="T82" s="1462"/>
      <c r="U82" s="1469" t="s">
        <v>1391</v>
      </c>
      <c r="V82" s="1486" t="s">
        <v>1392</v>
      </c>
      <c r="W82" s="1471" t="s">
        <v>1306</v>
      </c>
      <c r="X82" s="1472" t="s">
        <v>1714</v>
      </c>
      <c r="Y82" s="1473" t="s">
        <v>1306</v>
      </c>
      <c r="Z82" s="1474" t="s">
        <v>1393</v>
      </c>
      <c r="AA82" s="1505" t="s">
        <v>1306</v>
      </c>
      <c r="AB82" s="1470" t="s">
        <v>12</v>
      </c>
      <c r="AC82" s="1475"/>
      <c r="AD82" s="1476"/>
      <c r="AE82" s="1477"/>
      <c r="AF82" s="1477"/>
      <c r="AG82" s="1457" t="str">
        <f t="shared" si="25"/>
        <v>19外装仕上げ材等について-全面打診等の実施状況-時期：-年</v>
      </c>
      <c r="AI82" s="1459"/>
      <c r="AJ82" s="1459"/>
      <c r="AK82" s="1459"/>
    </row>
    <row r="83" spans="1:41" ht="18.75" customHeight="1" x14ac:dyDescent="0.15">
      <c r="A83" s="1578"/>
      <c r="B83" s="1462"/>
      <c r="C83" s="1462">
        <v>2</v>
      </c>
      <c r="D83" s="1450" t="str">
        <f>'1_入力シート【基本情報】'!DW275</f>
        <v/>
      </c>
      <c r="E83" s="1650" t="str">
        <f t="shared" si="26"/>
        <v/>
      </c>
      <c r="F83" s="1650" t="str">
        <f t="shared" si="27"/>
        <v/>
      </c>
      <c r="G83" s="1650" t="str">
        <f t="shared" si="29"/>
        <v/>
      </c>
      <c r="H83" s="1468"/>
      <c r="I83" s="1660"/>
      <c r="J83" s="1531"/>
      <c r="K83" s="1462" t="s">
        <v>3186</v>
      </c>
      <c r="L83" s="1462" t="s">
        <v>1307</v>
      </c>
      <c r="M83" s="1493" t="s">
        <v>348</v>
      </c>
      <c r="N83" s="1462"/>
      <c r="O83" s="1462"/>
      <c r="P83" s="1462"/>
      <c r="Q83" s="1462"/>
      <c r="R83" s="1462"/>
      <c r="S83" s="1462" t="str">
        <f t="shared" si="28"/>
        <v>全面打診_月</v>
      </c>
      <c r="T83" s="1462"/>
      <c r="U83" s="1469" t="s">
        <v>1391</v>
      </c>
      <c r="V83" s="1486" t="s">
        <v>1392</v>
      </c>
      <c r="W83" s="1471" t="s">
        <v>1306</v>
      </c>
      <c r="X83" s="1472" t="s">
        <v>1714</v>
      </c>
      <c r="Y83" s="1473" t="s">
        <v>1306</v>
      </c>
      <c r="Z83" s="1474" t="s">
        <v>1393</v>
      </c>
      <c r="AA83" s="1505" t="s">
        <v>1306</v>
      </c>
      <c r="AB83" s="1470" t="s">
        <v>1394</v>
      </c>
      <c r="AC83" s="1475"/>
      <c r="AD83" s="1476"/>
      <c r="AE83" s="1477"/>
      <c r="AF83" s="1477"/>
      <c r="AG83" s="1457" t="str">
        <f t="shared" si="25"/>
        <v>19外装仕上げ材等について-全面打診等の実施状況-時期：-月に</v>
      </c>
      <c r="AI83" s="1459"/>
      <c r="AJ83" s="1459"/>
      <c r="AK83" s="1459"/>
    </row>
    <row r="84" spans="1:41" ht="18.75" customHeight="1" x14ac:dyDescent="0.15">
      <c r="A84" s="1578"/>
      <c r="B84" s="1462"/>
      <c r="C84" s="1462">
        <v>2</v>
      </c>
      <c r="D84" s="1450" t="str">
        <f>'1_入力シート【基本情報】'!DW276</f>
        <v/>
      </c>
      <c r="E84" s="1650" t="str">
        <f t="shared" si="26"/>
        <v/>
      </c>
      <c r="F84" s="1650" t="str">
        <f t="shared" si="27"/>
        <v/>
      </c>
      <c r="G84" s="1650" t="str">
        <f t="shared" si="29"/>
        <v/>
      </c>
      <c r="H84" s="1468"/>
      <c r="I84" s="1660"/>
      <c r="J84" s="1531"/>
      <c r="K84" s="1462" t="s">
        <v>3186</v>
      </c>
      <c r="L84" s="1462" t="s">
        <v>1307</v>
      </c>
      <c r="M84" s="1493" t="s">
        <v>1369</v>
      </c>
      <c r="N84" s="1462"/>
      <c r="O84" s="1462"/>
      <c r="P84" s="1462"/>
      <c r="Q84" s="1462"/>
      <c r="R84" s="1462"/>
      <c r="S84" s="1462" t="str">
        <f t="shared" si="28"/>
        <v>全面打診_備考</v>
      </c>
      <c r="T84" s="1462"/>
      <c r="U84" s="1469" t="s">
        <v>1391</v>
      </c>
      <c r="V84" s="1486" t="s">
        <v>1392</v>
      </c>
      <c r="W84" s="1471" t="s">
        <v>1306</v>
      </c>
      <c r="X84" s="1472" t="s">
        <v>1714</v>
      </c>
      <c r="Y84" s="1473" t="s">
        <v>1306</v>
      </c>
      <c r="Z84" s="1474" t="s">
        <v>1395</v>
      </c>
      <c r="AA84" s="1505"/>
      <c r="AB84" s="1470"/>
      <c r="AC84" s="1475"/>
      <c r="AD84" s="1476"/>
      <c r="AE84" s="1477"/>
      <c r="AF84" s="1477"/>
      <c r="AG84" s="1457" t="str">
        <f t="shared" si="25"/>
        <v>19外装仕上げ材等について-全面打診等の実施状況-理由：</v>
      </c>
      <c r="AI84" s="1459"/>
      <c r="AJ84" s="1459"/>
      <c r="AK84" s="1459"/>
    </row>
    <row r="85" spans="1:41" s="1449" customFormat="1" ht="18.75" customHeight="1" x14ac:dyDescent="0.15">
      <c r="A85" s="1578"/>
      <c r="B85" s="1478"/>
      <c r="C85" s="1478">
        <v>1</v>
      </c>
      <c r="D85" s="1467">
        <f>'1_入力シート【基本情報】'!$AB$279</f>
        <v>0</v>
      </c>
      <c r="E85" s="1765">
        <f t="shared" si="26"/>
        <v>0</v>
      </c>
      <c r="F85" s="1765" t="str">
        <f t="shared" si="27"/>
        <v>0</v>
      </c>
      <c r="G85" s="1765" t="str">
        <f t="shared" si="29"/>
        <v>0</v>
      </c>
      <c r="H85" s="1766"/>
      <c r="I85" s="1644"/>
      <c r="J85" s="1531"/>
      <c r="K85" s="1478" t="s">
        <v>2175</v>
      </c>
      <c r="L85" s="1478"/>
      <c r="M85" s="1549"/>
      <c r="N85" s="1478"/>
      <c r="O85" s="1478"/>
      <c r="P85" s="1478"/>
      <c r="Q85" s="1478"/>
      <c r="R85" s="1478"/>
      <c r="S85" s="1462" t="str">
        <f t="shared" si="28"/>
        <v>直通階段の数</v>
      </c>
      <c r="T85" s="1478"/>
      <c r="U85" s="1469" t="s">
        <v>2427</v>
      </c>
      <c r="V85" s="1486" t="s">
        <v>2428</v>
      </c>
      <c r="W85" s="1471" t="s">
        <v>1366</v>
      </c>
      <c r="X85" s="1472" t="s">
        <v>2429</v>
      </c>
      <c r="Y85" s="1473"/>
      <c r="Z85" s="1474"/>
      <c r="AA85" s="1505"/>
      <c r="AB85" s="1470"/>
      <c r="AC85" s="1475"/>
      <c r="AD85" s="1476"/>
      <c r="AE85" s="1477"/>
      <c r="AF85" s="1477"/>
      <c r="AG85" s="1457" t="str">
        <f t="shared" si="25"/>
        <v>20直通階段の数について-直通階段の数</v>
      </c>
      <c r="AH85" s="1466"/>
      <c r="AI85" s="1477"/>
      <c r="AJ85" s="1477"/>
      <c r="AK85" s="1477"/>
      <c r="AL85" s="1466"/>
      <c r="AM85" s="1466"/>
      <c r="AN85" s="1466"/>
      <c r="AO85" s="1466"/>
    </row>
    <row r="86" spans="1:41" ht="18.75" customHeight="1" x14ac:dyDescent="0.15">
      <c r="A86" s="1578"/>
      <c r="B86" s="1462"/>
      <c r="C86" s="1462">
        <v>1</v>
      </c>
      <c r="D86" s="1650">
        <f>'1_入力シート【基本情報】'!$AB$282</f>
        <v>0</v>
      </c>
      <c r="E86" s="1650">
        <f t="shared" si="26"/>
        <v>0</v>
      </c>
      <c r="F86" s="1650" t="str">
        <f t="shared" si="27"/>
        <v>0</v>
      </c>
      <c r="G86" s="1650" t="str">
        <f t="shared" si="29"/>
        <v>0</v>
      </c>
      <c r="H86" s="1468" t="s">
        <v>3211</v>
      </c>
      <c r="I86" s="1660"/>
      <c r="J86" s="1531"/>
      <c r="K86" s="1462" t="s">
        <v>3212</v>
      </c>
      <c r="L86" s="1462" t="s">
        <v>1307</v>
      </c>
      <c r="M86" s="1462" t="s">
        <v>1397</v>
      </c>
      <c r="N86" s="1462" t="s">
        <v>1307</v>
      </c>
      <c r="O86" s="1493" t="s">
        <v>685</v>
      </c>
      <c r="P86" s="1462"/>
      <c r="Q86" s="1462"/>
      <c r="R86" s="1462"/>
      <c r="S86" s="1462" t="str">
        <f t="shared" si="28"/>
        <v>チェック用_建築設備_有無</v>
      </c>
      <c r="T86" s="1462"/>
      <c r="U86" s="1469">
        <v>21</v>
      </c>
      <c r="V86" s="1486" t="s">
        <v>1396</v>
      </c>
      <c r="W86" s="1471" t="s">
        <v>1306</v>
      </c>
      <c r="X86" s="1472" t="s">
        <v>1397</v>
      </c>
      <c r="Y86" s="1473" t="s">
        <v>1306</v>
      </c>
      <c r="Z86" s="1474" t="s">
        <v>685</v>
      </c>
      <c r="AA86" s="1505"/>
      <c r="AB86" s="1476"/>
      <c r="AC86" s="1475"/>
      <c r="AD86" s="1476"/>
      <c r="AE86" s="1477"/>
      <c r="AF86" s="1477"/>
      <c r="AG86" s="1457" t="str">
        <f t="shared" si="25"/>
        <v>21設備（法第12条第三項関係など）-建築設備-有無</v>
      </c>
      <c r="AI86" s="1459"/>
      <c r="AJ86" s="1459"/>
      <c r="AK86" s="1459"/>
    </row>
    <row r="87" spans="1:41" ht="18.75" customHeight="1" x14ac:dyDescent="0.15">
      <c r="A87" s="1581"/>
      <c r="B87" s="1480"/>
      <c r="C87" s="1462">
        <v>1</v>
      </c>
      <c r="D87" s="1650">
        <f>'1_入力シート【基本情報】'!$AB$286</f>
        <v>0</v>
      </c>
      <c r="E87" s="1650">
        <f t="shared" si="26"/>
        <v>0</v>
      </c>
      <c r="F87" s="1650" t="str">
        <f t="shared" si="27"/>
        <v>0</v>
      </c>
      <c r="G87" s="1650" t="str">
        <f t="shared" si="29"/>
        <v>0</v>
      </c>
      <c r="H87" s="1468" t="s">
        <v>3211</v>
      </c>
      <c r="I87" s="1660"/>
      <c r="J87" s="1531"/>
      <c r="K87" s="1462" t="s">
        <v>3212</v>
      </c>
      <c r="L87" s="1462" t="s">
        <v>1307</v>
      </c>
      <c r="M87" s="1462" t="s">
        <v>1397</v>
      </c>
      <c r="N87" s="1462" t="s">
        <v>1307</v>
      </c>
      <c r="O87" s="1493" t="s">
        <v>699</v>
      </c>
      <c r="P87" s="1462"/>
      <c r="Q87" s="1462"/>
      <c r="R87" s="1462"/>
      <c r="S87" s="1462" t="str">
        <f t="shared" si="28"/>
        <v>チェック用_建築設備_定期報告対象</v>
      </c>
      <c r="T87" s="1462"/>
      <c r="U87" s="1469">
        <v>21</v>
      </c>
      <c r="V87" s="1486" t="s">
        <v>1396</v>
      </c>
      <c r="W87" s="1471" t="s">
        <v>1306</v>
      </c>
      <c r="X87" s="1472" t="s">
        <v>1397</v>
      </c>
      <c r="Y87" s="1473" t="s">
        <v>1306</v>
      </c>
      <c r="Z87" s="1474" t="s">
        <v>699</v>
      </c>
      <c r="AA87" s="1473"/>
      <c r="AB87" s="1470"/>
      <c r="AC87" s="1475"/>
      <c r="AD87" s="1476"/>
      <c r="AE87" s="1477"/>
      <c r="AF87" s="1477"/>
      <c r="AG87" s="1457" t="str">
        <f t="shared" si="25"/>
        <v>21設備（法第12条第三項関係など）-建築設備-定期報告対象</v>
      </c>
      <c r="AI87" s="1459"/>
      <c r="AJ87" s="1459"/>
      <c r="AK87" s="1459"/>
    </row>
    <row r="88" spans="1:41" ht="18.75" customHeight="1" x14ac:dyDescent="0.15">
      <c r="A88" s="1581"/>
      <c r="B88" s="1480"/>
      <c r="C88" s="1462">
        <v>1</v>
      </c>
      <c r="D88" s="1650">
        <f>'1_入力シート【基本情報】'!$AB$287</f>
        <v>0</v>
      </c>
      <c r="E88" s="1650">
        <f t="shared" si="26"/>
        <v>0</v>
      </c>
      <c r="F88" s="1650" t="str">
        <f t="shared" si="27"/>
        <v>0</v>
      </c>
      <c r="G88" s="1650" t="str">
        <f t="shared" si="29"/>
        <v>0</v>
      </c>
      <c r="H88" s="1468" t="s">
        <v>3211</v>
      </c>
      <c r="I88" s="1660"/>
      <c r="J88" s="1531"/>
      <c r="K88" s="1462" t="s">
        <v>3212</v>
      </c>
      <c r="L88" s="1462" t="s">
        <v>1307</v>
      </c>
      <c r="M88" s="1462" t="s">
        <v>696</v>
      </c>
      <c r="N88" s="1462" t="s">
        <v>1307</v>
      </c>
      <c r="O88" s="1493" t="s">
        <v>685</v>
      </c>
      <c r="P88" s="1462"/>
      <c r="Q88" s="1462"/>
      <c r="R88" s="1462"/>
      <c r="S88" s="1462" t="str">
        <f t="shared" si="28"/>
        <v>チェック用_防火設備_有無</v>
      </c>
      <c r="T88" s="1462"/>
      <c r="U88" s="1469">
        <v>21</v>
      </c>
      <c r="V88" s="1486" t="s">
        <v>1396</v>
      </c>
      <c r="W88" s="1471" t="s">
        <v>1306</v>
      </c>
      <c r="X88" s="1470" t="s">
        <v>696</v>
      </c>
      <c r="Y88" s="1473" t="s">
        <v>1306</v>
      </c>
      <c r="Z88" s="1474" t="s">
        <v>685</v>
      </c>
      <c r="AA88" s="1473"/>
      <c r="AB88" s="1470"/>
      <c r="AC88" s="1475"/>
      <c r="AD88" s="1476"/>
      <c r="AE88" s="1477"/>
      <c r="AF88" s="1477"/>
      <c r="AG88" s="1457" t="str">
        <f t="shared" si="25"/>
        <v>21設備（法第12条第三項関係など）-防火設備-有無</v>
      </c>
      <c r="AI88" s="1459"/>
      <c r="AJ88" s="1459"/>
      <c r="AK88" s="1459"/>
    </row>
    <row r="89" spans="1:41" ht="18.75" customHeight="1" x14ac:dyDescent="0.15">
      <c r="A89" s="1578"/>
      <c r="B89" s="1462"/>
      <c r="C89" s="1462">
        <v>1</v>
      </c>
      <c r="D89" s="1650">
        <f>'1_入力シート【基本情報】'!$AB$289</f>
        <v>0</v>
      </c>
      <c r="E89" s="1650">
        <f t="shared" si="26"/>
        <v>0</v>
      </c>
      <c r="F89" s="1650" t="str">
        <f t="shared" si="27"/>
        <v>0</v>
      </c>
      <c r="G89" s="1650" t="str">
        <f t="shared" si="29"/>
        <v>0</v>
      </c>
      <c r="H89" s="1468" t="s">
        <v>3211</v>
      </c>
      <c r="I89" s="1660"/>
      <c r="J89" s="1531"/>
      <c r="K89" s="1462" t="s">
        <v>3212</v>
      </c>
      <c r="L89" s="1462" t="s">
        <v>1307</v>
      </c>
      <c r="M89" s="1462" t="s">
        <v>696</v>
      </c>
      <c r="N89" s="1462" t="s">
        <v>1307</v>
      </c>
      <c r="O89" s="1493" t="s">
        <v>699</v>
      </c>
      <c r="P89" s="1462"/>
      <c r="Q89" s="1462"/>
      <c r="R89" s="1462"/>
      <c r="S89" s="1462" t="str">
        <f t="shared" si="28"/>
        <v>チェック用_防火設備_定期報告対象</v>
      </c>
      <c r="T89" s="1462"/>
      <c r="U89" s="1469">
        <v>21</v>
      </c>
      <c r="V89" s="1486" t="s">
        <v>1396</v>
      </c>
      <c r="W89" s="1471" t="s">
        <v>1306</v>
      </c>
      <c r="X89" s="1470" t="s">
        <v>696</v>
      </c>
      <c r="Y89" s="1473" t="s">
        <v>1306</v>
      </c>
      <c r="Z89" s="1474" t="s">
        <v>699</v>
      </c>
      <c r="AA89" s="1505"/>
      <c r="AB89" s="1470"/>
      <c r="AC89" s="1475"/>
      <c r="AD89" s="1476"/>
      <c r="AE89" s="1477"/>
      <c r="AF89" s="1477"/>
      <c r="AG89" s="1457" t="str">
        <f t="shared" si="25"/>
        <v>21設備（法第12条第三項関係など）-防火設備-定期報告対象</v>
      </c>
      <c r="AI89" s="1459"/>
      <c r="AJ89" s="1459"/>
      <c r="AK89" s="1459"/>
    </row>
    <row r="90" spans="1:41" s="1449" customFormat="1" ht="18.75" customHeight="1" x14ac:dyDescent="0.15">
      <c r="A90" s="1578"/>
      <c r="B90" s="1478"/>
      <c r="C90" s="1478"/>
      <c r="D90" s="1467" t="str">
        <f>'2_入力シート【用途面積】'!$CJ$126</f>
        <v/>
      </c>
      <c r="E90" s="1765" t="str">
        <f t="shared" si="26"/>
        <v/>
      </c>
      <c r="F90" s="1765" t="str">
        <f t="shared" si="27"/>
        <v/>
      </c>
      <c r="G90" s="1765" t="str">
        <f t="shared" si="29"/>
        <v/>
      </c>
      <c r="H90" s="1468" t="s">
        <v>3211</v>
      </c>
      <c r="I90" s="1786"/>
      <c r="J90" s="1478"/>
      <c r="K90" s="1462" t="s">
        <v>3212</v>
      </c>
      <c r="L90" s="1462" t="s">
        <v>1307</v>
      </c>
      <c r="M90" s="1549" t="s">
        <v>427</v>
      </c>
      <c r="N90" s="1462" t="s">
        <v>1307</v>
      </c>
      <c r="O90" s="1478" t="s">
        <v>2698</v>
      </c>
      <c r="P90" s="1478"/>
      <c r="Q90" s="1478"/>
      <c r="R90" s="1478"/>
      <c r="S90" s="1462" t="str">
        <f t="shared" ref="S90:S91" si="30">CONCATENATE(K90,L90,M90,N90,O90,P90,Q90)</f>
        <v>チェック用_用途_対象用途ID記号（全て）</v>
      </c>
      <c r="T90" s="1478"/>
      <c r="U90" s="1469"/>
      <c r="V90" s="1828" t="s">
        <v>1602</v>
      </c>
      <c r="W90" s="1471" t="s">
        <v>1366</v>
      </c>
      <c r="X90" s="1470" t="s">
        <v>2698</v>
      </c>
      <c r="Y90" s="1473"/>
      <c r="Z90" s="1474"/>
      <c r="AA90" s="1473"/>
      <c r="AB90" s="1470"/>
      <c r="AC90" s="1475"/>
      <c r="AD90" s="1476"/>
      <c r="AE90" s="1477"/>
      <c r="AF90" s="1477"/>
      <c r="AG90" s="1457" t="str">
        <f t="shared" si="25"/>
        <v>階別用途別床面積-対象用途ID記号（全て）</v>
      </c>
      <c r="AH90" s="1466"/>
      <c r="AI90" s="1477"/>
      <c r="AJ90" s="1477"/>
      <c r="AK90" s="1477"/>
      <c r="AL90" s="1466"/>
      <c r="AM90" s="1466"/>
      <c r="AN90" s="1466"/>
      <c r="AO90" s="1466"/>
    </row>
    <row r="91" spans="1:41" s="1449" customFormat="1" ht="18.75" customHeight="1" x14ac:dyDescent="0.15">
      <c r="A91" s="1578"/>
      <c r="B91" s="1478"/>
      <c r="C91" s="1478"/>
      <c r="D91" s="1467" t="str">
        <f>'2_入力シート【用途面積】'!$BR$177</f>
        <v/>
      </c>
      <c r="E91" s="1765" t="str">
        <f t="shared" si="26"/>
        <v/>
      </c>
      <c r="F91" s="1765" t="str">
        <f t="shared" si="27"/>
        <v/>
      </c>
      <c r="G91" s="1765" t="str">
        <f t="shared" si="29"/>
        <v/>
      </c>
      <c r="H91" s="1468" t="s">
        <v>3211</v>
      </c>
      <c r="I91" s="1786"/>
      <c r="J91" s="1478"/>
      <c r="K91" s="1462" t="s">
        <v>3212</v>
      </c>
      <c r="L91" s="1462" t="s">
        <v>1307</v>
      </c>
      <c r="M91" s="1549" t="s">
        <v>427</v>
      </c>
      <c r="N91" s="1462" t="s">
        <v>1307</v>
      </c>
      <c r="O91" s="1478" t="s">
        <v>2699</v>
      </c>
      <c r="P91" s="1478"/>
      <c r="Q91" s="1478"/>
      <c r="R91" s="1478"/>
      <c r="S91" s="1462" t="str">
        <f t="shared" si="30"/>
        <v>チェック用_用途_対象種別ID分類番号</v>
      </c>
      <c r="T91" s="1478"/>
      <c r="U91" s="1469"/>
      <c r="V91" s="1828" t="s">
        <v>1602</v>
      </c>
      <c r="W91" s="1471" t="s">
        <v>1366</v>
      </c>
      <c r="X91" s="1470" t="s">
        <v>2699</v>
      </c>
      <c r="Y91" s="1473"/>
      <c r="Z91" s="1474"/>
      <c r="AA91" s="1473"/>
      <c r="AB91" s="1470"/>
      <c r="AC91" s="1475"/>
      <c r="AD91" s="1476"/>
      <c r="AE91" s="1477"/>
      <c r="AF91" s="1477"/>
      <c r="AG91" s="1457" t="str">
        <f t="shared" si="25"/>
        <v>階別用途別床面積-対象種別ID分類番号</v>
      </c>
      <c r="AH91" s="1466"/>
      <c r="AI91" s="1477"/>
      <c r="AJ91" s="1477"/>
      <c r="AK91" s="1477"/>
      <c r="AL91" s="1466"/>
      <c r="AM91" s="1466"/>
      <c r="AN91" s="1466"/>
      <c r="AO91" s="1466"/>
    </row>
    <row r="92" spans="1:41" s="1449" customFormat="1" ht="18.75" customHeight="1" x14ac:dyDescent="0.15">
      <c r="A92" s="1578"/>
      <c r="B92" s="1478"/>
      <c r="C92" s="1478"/>
      <c r="D92" s="1467" t="str">
        <f>'2_入力シート【用途面積】'!$CJ$123</f>
        <v/>
      </c>
      <c r="E92" s="1765" t="str">
        <f t="shared" si="26"/>
        <v/>
      </c>
      <c r="F92" s="1765" t="str">
        <f t="shared" si="27"/>
        <v/>
      </c>
      <c r="G92" s="1765" t="str">
        <f t="shared" si="29"/>
        <v/>
      </c>
      <c r="H92" s="1468" t="s">
        <v>3211</v>
      </c>
      <c r="I92" s="1786"/>
      <c r="J92" s="1478"/>
      <c r="K92" s="1462" t="s">
        <v>3212</v>
      </c>
      <c r="L92" s="1462" t="s">
        <v>1307</v>
      </c>
      <c r="M92" s="1549" t="s">
        <v>427</v>
      </c>
      <c r="N92" s="1478"/>
      <c r="O92" s="1478" t="s">
        <v>2704</v>
      </c>
      <c r="P92" s="1478"/>
      <c r="Q92" s="1478"/>
      <c r="R92" s="1478"/>
      <c r="S92" s="1462" t="str">
        <f t="shared" ref="S92" si="31">CONCATENATE(K92,L92,M92,N92,O92,P92,Q92)</f>
        <v>チェック用_用途対象用途（建築物）</v>
      </c>
      <c r="T92" s="1478"/>
      <c r="U92" s="1469"/>
      <c r="V92" s="1828" t="s">
        <v>1602</v>
      </c>
      <c r="W92" s="1471" t="s">
        <v>1366</v>
      </c>
      <c r="X92" s="1470" t="s">
        <v>2704</v>
      </c>
      <c r="Y92" s="1473"/>
      <c r="Z92" s="1474"/>
      <c r="AA92" s="1473"/>
      <c r="AB92" s="1470"/>
      <c r="AC92" s="1475"/>
      <c r="AD92" s="1476"/>
      <c r="AE92" s="1477"/>
      <c r="AF92" s="1477"/>
      <c r="AG92" s="1457" t="str">
        <f t="shared" si="25"/>
        <v>階別用途別床面積-対象用途（建築物）</v>
      </c>
      <c r="AH92" s="1466"/>
      <c r="AI92" s="1477"/>
      <c r="AJ92" s="1477"/>
      <c r="AK92" s="1477"/>
      <c r="AL92" s="1466"/>
      <c r="AM92" s="1466"/>
      <c r="AN92" s="1466"/>
      <c r="AO92" s="1466"/>
    </row>
    <row r="93" spans="1:41" s="1449" customFormat="1" ht="18.75" customHeight="1" x14ac:dyDescent="0.15">
      <c r="A93" s="1578"/>
      <c r="B93" s="1478"/>
      <c r="C93" s="1478"/>
      <c r="D93" s="1467">
        <f>'2_入力シート【用途面積】'!$BS$184</f>
        <v>0</v>
      </c>
      <c r="E93" s="1765">
        <f t="shared" si="26"/>
        <v>0</v>
      </c>
      <c r="F93" s="1765" t="str">
        <f t="shared" si="27"/>
        <v>0</v>
      </c>
      <c r="G93" s="1765" t="str">
        <f t="shared" si="29"/>
        <v>0</v>
      </c>
      <c r="H93" s="1468"/>
      <c r="I93" s="1660"/>
      <c r="J93" s="1478"/>
      <c r="K93" s="1478" t="s">
        <v>3204</v>
      </c>
      <c r="L93" s="1478" t="s">
        <v>1307</v>
      </c>
      <c r="M93" s="1549" t="s">
        <v>3205</v>
      </c>
      <c r="N93" s="1478"/>
      <c r="O93" s="1478"/>
      <c r="P93" s="1478"/>
      <c r="Q93" s="1478"/>
      <c r="R93" s="1478"/>
      <c r="S93" s="1462" t="str">
        <f t="shared" ref="S93:S99" si="32">CONCATENATE(K93,L93,M93,N93,O93,P93,Q93)</f>
        <v>照合用_①ID用途面積</v>
      </c>
      <c r="T93" s="1478"/>
      <c r="U93" s="1469"/>
      <c r="V93" s="1828" t="s">
        <v>1602</v>
      </c>
      <c r="W93" s="1471" t="s">
        <v>1366</v>
      </c>
      <c r="X93" s="1470" t="s">
        <v>2669</v>
      </c>
      <c r="Y93" s="1473"/>
      <c r="Z93" s="1474"/>
      <c r="AA93" s="1473"/>
      <c r="AB93" s="1470"/>
      <c r="AC93" s="1475"/>
      <c r="AD93" s="1476"/>
      <c r="AE93" s="1477"/>
      <c r="AF93" s="1477"/>
      <c r="AG93" s="1457" t="str">
        <f t="shared" si="25"/>
        <v>階別用途別床面積-ID用途面積</v>
      </c>
      <c r="AH93" s="1466"/>
      <c r="AI93" s="1477"/>
      <c r="AJ93" s="1477"/>
      <c r="AK93" s="1477"/>
      <c r="AL93" s="1466"/>
      <c r="AM93" s="1466"/>
      <c r="AN93" s="1466"/>
      <c r="AO93" s="1466"/>
    </row>
    <row r="94" spans="1:41" s="1449" customFormat="1" ht="18.75" customHeight="1" x14ac:dyDescent="0.15">
      <c r="A94" s="1578"/>
      <c r="B94" s="1478"/>
      <c r="C94" s="1478"/>
      <c r="D94" s="1467">
        <f>'2_入力シート【用途面積】'!$BS$185</f>
        <v>0</v>
      </c>
      <c r="E94" s="1765">
        <f t="shared" si="26"/>
        <v>0</v>
      </c>
      <c r="F94" s="1765" t="str">
        <f t="shared" si="27"/>
        <v>0</v>
      </c>
      <c r="G94" s="1765" t="str">
        <f t="shared" si="29"/>
        <v>0</v>
      </c>
      <c r="H94" s="1468"/>
      <c r="I94" s="1660"/>
      <c r="J94" s="1478"/>
      <c r="K94" s="1478" t="s">
        <v>3204</v>
      </c>
      <c r="L94" s="1478" t="s">
        <v>1307</v>
      </c>
      <c r="M94" s="1549" t="s">
        <v>3207</v>
      </c>
      <c r="N94" s="1478"/>
      <c r="O94" s="1478"/>
      <c r="P94" s="1478"/>
      <c r="Q94" s="1478"/>
      <c r="R94" s="1478"/>
      <c r="S94" s="1462" t="str">
        <f t="shared" si="32"/>
        <v>照合用_②建築設備対象面積</v>
      </c>
      <c r="T94" s="1478"/>
      <c r="U94" s="1469"/>
      <c r="V94" s="1828" t="s">
        <v>1602</v>
      </c>
      <c r="W94" s="1471" t="s">
        <v>1366</v>
      </c>
      <c r="X94" s="1470" t="s">
        <v>2671</v>
      </c>
      <c r="Y94" s="1473"/>
      <c r="Z94" s="1474"/>
      <c r="AA94" s="1473"/>
      <c r="AB94" s="1470"/>
      <c r="AC94" s="1475"/>
      <c r="AD94" s="1476"/>
      <c r="AE94" s="1477"/>
      <c r="AF94" s="1477"/>
      <c r="AG94" s="1457" t="str">
        <f t="shared" si="25"/>
        <v>階別用途別床面積-建築設備対象面積</v>
      </c>
      <c r="AH94" s="1466"/>
      <c r="AI94" s="1477"/>
      <c r="AJ94" s="1477"/>
      <c r="AK94" s="1477"/>
      <c r="AL94" s="1466"/>
      <c r="AM94" s="1466"/>
      <c r="AN94" s="1466"/>
      <c r="AO94" s="1466"/>
    </row>
    <row r="95" spans="1:41" s="1449" customFormat="1" ht="18.75" customHeight="1" x14ac:dyDescent="0.15">
      <c r="A95" s="1578"/>
      <c r="B95" s="1478"/>
      <c r="C95" s="1478"/>
      <c r="D95" s="1467" t="str">
        <f>'2_入力シート【用途面積】'!$BS$186</f>
        <v/>
      </c>
      <c r="E95" s="1765" t="str">
        <f t="shared" si="26"/>
        <v/>
      </c>
      <c r="F95" s="1765" t="str">
        <f t="shared" si="27"/>
        <v/>
      </c>
      <c r="G95" s="1765" t="str">
        <f t="shared" si="29"/>
        <v/>
      </c>
      <c r="H95" s="1468"/>
      <c r="I95" s="1660"/>
      <c r="J95" s="1478"/>
      <c r="K95" s="1478" t="s">
        <v>3209</v>
      </c>
      <c r="L95" s="1478"/>
      <c r="M95" s="1549"/>
      <c r="N95" s="1478"/>
      <c r="O95" s="1478"/>
      <c r="P95" s="1478"/>
      <c r="Q95" s="1478"/>
      <c r="R95" s="1478"/>
      <c r="S95" s="1462" t="str">
        <f t="shared" si="32"/>
        <v>建築設備対象用途</v>
      </c>
      <c r="T95" s="1478"/>
      <c r="U95" s="1469"/>
      <c r="V95" s="1828" t="s">
        <v>1602</v>
      </c>
      <c r="W95" s="1471" t="s">
        <v>1366</v>
      </c>
      <c r="X95" s="1470" t="s">
        <v>2709</v>
      </c>
      <c r="Y95" s="1473"/>
      <c r="Z95" s="1474"/>
      <c r="AA95" s="1473"/>
      <c r="AB95" s="1470"/>
      <c r="AC95" s="1475"/>
      <c r="AD95" s="1476"/>
      <c r="AE95" s="1477"/>
      <c r="AF95" s="1477"/>
      <c r="AG95" s="1457" t="str">
        <f t="shared" si="25"/>
        <v>階別用途別床面積-建築設備対象用途ID記号</v>
      </c>
      <c r="AH95" s="1466"/>
      <c r="AI95" s="1477"/>
      <c r="AJ95" s="1477"/>
      <c r="AK95" s="1477"/>
      <c r="AL95" s="1466"/>
      <c r="AM95" s="1466"/>
      <c r="AN95" s="1466"/>
      <c r="AO95" s="1466"/>
    </row>
    <row r="96" spans="1:41" s="1449" customFormat="1" ht="18.75" customHeight="1" x14ac:dyDescent="0.15">
      <c r="A96" s="1578"/>
      <c r="B96" s="1478"/>
      <c r="C96" s="1478"/>
      <c r="D96" s="1467">
        <f>'2_入力シート【用途面積】'!$BS$187</f>
        <v>0</v>
      </c>
      <c r="E96" s="1765">
        <f t="shared" si="26"/>
        <v>0</v>
      </c>
      <c r="F96" s="1765" t="str">
        <f t="shared" si="27"/>
        <v>0</v>
      </c>
      <c r="G96" s="1765" t="str">
        <f t="shared" si="29"/>
        <v>0</v>
      </c>
      <c r="H96" s="1468"/>
      <c r="I96" s="1660"/>
      <c r="J96" s="1478"/>
      <c r="K96" s="1478" t="s">
        <v>3204</v>
      </c>
      <c r="L96" s="1478" t="s">
        <v>1307</v>
      </c>
      <c r="M96" s="1549" t="s">
        <v>3210</v>
      </c>
      <c r="N96" s="1478"/>
      <c r="O96" s="1478"/>
      <c r="P96" s="1478"/>
      <c r="Q96" s="1478"/>
      <c r="R96" s="1478"/>
      <c r="S96" s="1462" t="str">
        <f t="shared" si="32"/>
        <v>照合用_③特殊建築物面積</v>
      </c>
      <c r="T96" s="1478"/>
      <c r="U96" s="1469"/>
      <c r="V96" s="1828" t="s">
        <v>1602</v>
      </c>
      <c r="W96" s="1471" t="s">
        <v>1366</v>
      </c>
      <c r="X96" s="1470" t="s">
        <v>2673</v>
      </c>
      <c r="Y96" s="1473"/>
      <c r="Z96" s="1474"/>
      <c r="AA96" s="1473"/>
      <c r="AB96" s="1470"/>
      <c r="AC96" s="1475"/>
      <c r="AD96" s="1476"/>
      <c r="AE96" s="1477"/>
      <c r="AF96" s="1477"/>
      <c r="AG96" s="1457" t="str">
        <f t="shared" si="25"/>
        <v>階別用途別床面積-特殊建築物面積</v>
      </c>
      <c r="AH96" s="1466"/>
      <c r="AI96" s="1477"/>
      <c r="AJ96" s="1477"/>
      <c r="AK96" s="1477"/>
      <c r="AL96" s="1466"/>
      <c r="AM96" s="1466"/>
      <c r="AN96" s="1466"/>
      <c r="AO96" s="1466"/>
    </row>
    <row r="97" spans="1:41" s="1449" customFormat="1" ht="18.75" customHeight="1" x14ac:dyDescent="0.15">
      <c r="A97" s="1578"/>
      <c r="B97" s="1478"/>
      <c r="C97" s="1478"/>
      <c r="D97" s="1467" t="str">
        <f>'2_入力シート【用途面積】'!$BS$189</f>
        <v/>
      </c>
      <c r="E97" s="1765" t="str">
        <f t="shared" si="26"/>
        <v/>
      </c>
      <c r="F97" s="1765" t="str">
        <f t="shared" si="27"/>
        <v/>
      </c>
      <c r="G97" s="1765" t="str">
        <f t="shared" si="29"/>
        <v/>
      </c>
      <c r="H97" s="1468" t="s">
        <v>3211</v>
      </c>
      <c r="I97" s="1660"/>
      <c r="J97" s="1478"/>
      <c r="K97" s="1462" t="s">
        <v>3212</v>
      </c>
      <c r="L97" s="1462" t="s">
        <v>1307</v>
      </c>
      <c r="M97" s="1549" t="s">
        <v>427</v>
      </c>
      <c r="N97" s="1462" t="s">
        <v>1307</v>
      </c>
      <c r="O97" s="1478" t="s">
        <v>2675</v>
      </c>
      <c r="P97" s="1478"/>
      <c r="Q97" s="1478"/>
      <c r="R97" s="1478"/>
      <c r="S97" s="1462" t="str">
        <f t="shared" si="32"/>
        <v>チェック用_用途_指定根拠分類</v>
      </c>
      <c r="T97" s="1478"/>
      <c r="U97" s="1469"/>
      <c r="V97" s="1828" t="s">
        <v>1602</v>
      </c>
      <c r="W97" s="1471" t="s">
        <v>1366</v>
      </c>
      <c r="X97" s="1470" t="s">
        <v>2675</v>
      </c>
      <c r="Y97" s="1473"/>
      <c r="Z97" s="1474"/>
      <c r="AA97" s="1473"/>
      <c r="AB97" s="1470"/>
      <c r="AC97" s="1475"/>
      <c r="AD97" s="1476"/>
      <c r="AE97" s="1477"/>
      <c r="AF97" s="1477"/>
      <c r="AG97" s="1457" t="str">
        <f t="shared" si="25"/>
        <v>階別用途別床面積-指定根拠分類</v>
      </c>
      <c r="AH97" s="1466"/>
      <c r="AI97" s="1477"/>
      <c r="AJ97" s="1477"/>
      <c r="AK97" s="1477"/>
      <c r="AL97" s="1466"/>
      <c r="AM97" s="1466"/>
      <c r="AN97" s="1466"/>
      <c r="AO97" s="1466"/>
    </row>
    <row r="98" spans="1:41" s="1449" customFormat="1" ht="18.75" customHeight="1" x14ac:dyDescent="0.15">
      <c r="A98" s="1578"/>
      <c r="B98" s="1478"/>
      <c r="C98" s="1478"/>
      <c r="D98" s="1467">
        <f>'2_入力シート【用途面積】'!$E$13</f>
        <v>0</v>
      </c>
      <c r="E98" s="1765">
        <f t="shared" si="26"/>
        <v>0</v>
      </c>
      <c r="F98" s="1765" t="str">
        <f t="shared" si="27"/>
        <v>0</v>
      </c>
      <c r="G98" s="1765" t="str">
        <f t="shared" si="29"/>
        <v>0</v>
      </c>
      <c r="H98" s="1468"/>
      <c r="I98" s="1660"/>
      <c r="J98" s="1478"/>
      <c r="K98" s="1478" t="s">
        <v>2711</v>
      </c>
      <c r="L98" s="1478"/>
      <c r="M98" s="1549"/>
      <c r="N98" s="1478"/>
      <c r="O98" s="1478"/>
      <c r="P98" s="1478"/>
      <c r="Q98" s="1478"/>
      <c r="R98" s="1478"/>
      <c r="S98" s="1462" t="str">
        <f t="shared" si="32"/>
        <v>延床面積</v>
      </c>
      <c r="T98" s="1478"/>
      <c r="U98" s="1469"/>
      <c r="V98" s="1828" t="s">
        <v>1602</v>
      </c>
      <c r="W98" s="1471" t="s">
        <v>1366</v>
      </c>
      <c r="X98" s="1470" t="s">
        <v>2711</v>
      </c>
      <c r="Y98" s="1473"/>
      <c r="Z98" s="1474"/>
      <c r="AA98" s="1473"/>
      <c r="AB98" s="1470"/>
      <c r="AC98" s="1475"/>
      <c r="AD98" s="1476"/>
      <c r="AE98" s="1477"/>
      <c r="AF98" s="1477"/>
      <c r="AG98" s="1457" t="str">
        <f t="shared" si="25"/>
        <v>階別用途別床面積-延床面積</v>
      </c>
      <c r="AH98" s="1466"/>
      <c r="AI98" s="1477"/>
      <c r="AJ98" s="1477"/>
      <c r="AK98" s="1477"/>
      <c r="AL98" s="1466"/>
      <c r="AM98" s="1466"/>
      <c r="AN98" s="1466"/>
      <c r="AO98" s="1466"/>
    </row>
    <row r="99" spans="1:41" s="1449" customFormat="1" ht="18.75" customHeight="1" x14ac:dyDescent="0.15">
      <c r="A99" s="1578"/>
      <c r="B99" s="1478"/>
      <c r="C99" s="1478"/>
      <c r="D99" s="1467" t="str">
        <f>'2_入力シート【用途面積】'!$X$12</f>
        <v/>
      </c>
      <c r="E99" s="1765" t="str">
        <f t="shared" si="26"/>
        <v/>
      </c>
      <c r="F99" s="1765" t="str">
        <f t="shared" si="27"/>
        <v/>
      </c>
      <c r="G99" s="1765" t="str">
        <f t="shared" si="29"/>
        <v/>
      </c>
      <c r="H99" s="1766"/>
      <c r="I99" s="1660"/>
      <c r="J99" s="1478"/>
      <c r="K99" s="1478" t="s">
        <v>2397</v>
      </c>
      <c r="L99" s="1478"/>
      <c r="M99" s="1549"/>
      <c r="N99" s="1478"/>
      <c r="O99" s="1478"/>
      <c r="P99" s="1478"/>
      <c r="Q99" s="1478"/>
      <c r="R99" s="1478"/>
      <c r="S99" s="1462" t="str">
        <f t="shared" si="32"/>
        <v>特記用途</v>
      </c>
      <c r="T99" s="1478"/>
      <c r="U99" s="1469"/>
      <c r="V99" s="1828" t="s">
        <v>1602</v>
      </c>
      <c r="W99" s="1471" t="s">
        <v>1366</v>
      </c>
      <c r="X99" s="1470" t="s">
        <v>2397</v>
      </c>
      <c r="Y99" s="1473"/>
      <c r="Z99" s="1474"/>
      <c r="AA99" s="1473"/>
      <c r="AB99" s="1470"/>
      <c r="AC99" s="1475"/>
      <c r="AD99" s="1476"/>
      <c r="AE99" s="1477"/>
      <c r="AF99" s="1477"/>
      <c r="AG99" s="1457" t="str">
        <f t="shared" si="25"/>
        <v>階別用途別床面積-特記用途</v>
      </c>
      <c r="AH99" s="1466"/>
      <c r="AI99" s="1477"/>
      <c r="AJ99" s="1477"/>
      <c r="AK99" s="1477"/>
      <c r="AL99" s="1466"/>
      <c r="AM99" s="1466"/>
      <c r="AN99" s="1466"/>
      <c r="AO99" s="1466"/>
    </row>
    <row r="100" spans="1:41" s="1449" customFormat="1" ht="18.75" customHeight="1" x14ac:dyDescent="0.15">
      <c r="A100" s="1578"/>
      <c r="B100" s="1478"/>
      <c r="C100" s="1478"/>
      <c r="D100" s="1467">
        <f>'2_入力シート【用途面積】'!$G$7</f>
        <v>0</v>
      </c>
      <c r="E100" s="1765">
        <f t="shared" si="26"/>
        <v>0</v>
      </c>
      <c r="F100" s="1765" t="str">
        <f t="shared" si="27"/>
        <v>0</v>
      </c>
      <c r="G100" s="1765" t="str">
        <f t="shared" si="29"/>
        <v>0</v>
      </c>
      <c r="H100" s="1766"/>
      <c r="I100" s="1660"/>
      <c r="J100" s="1531"/>
      <c r="K100" s="1478" t="s">
        <v>3217</v>
      </c>
      <c r="L100" s="1478"/>
      <c r="M100" s="1549"/>
      <c r="N100" s="1478"/>
      <c r="O100" s="1478"/>
      <c r="P100" s="1478"/>
      <c r="Q100" s="1478"/>
      <c r="R100" s="1478"/>
      <c r="S100" s="1462" t="str">
        <f t="shared" ref="S100" si="33">CONCATENATE(K100,L100,M100,N100,O100,P100,Q100)</f>
        <v>用途1</v>
      </c>
      <c r="T100" s="1478"/>
      <c r="U100" s="1469"/>
      <c r="V100" s="1828" t="s">
        <v>1602</v>
      </c>
      <c r="W100" s="1471" t="s">
        <v>1306</v>
      </c>
      <c r="X100" s="1470">
        <v>1</v>
      </c>
      <c r="Y100" s="1473" t="s">
        <v>1306</v>
      </c>
      <c r="Z100" s="1474" t="s">
        <v>1598</v>
      </c>
      <c r="AA100" s="1473"/>
      <c r="AB100" s="1486"/>
      <c r="AC100" s="1499"/>
      <c r="AD100" s="1500"/>
      <c r="AE100" s="1501"/>
      <c r="AF100" s="1501"/>
      <c r="AG100" s="1457" t="str">
        <f t="shared" si="25"/>
        <v>階別用途別床面積-1-小分類</v>
      </c>
      <c r="AH100" s="1466"/>
      <c r="AI100" s="1477"/>
      <c r="AJ100" s="1477"/>
      <c r="AK100" s="1477"/>
      <c r="AL100" s="1466"/>
      <c r="AM100" s="1466"/>
      <c r="AN100" s="1466"/>
      <c r="AO100" s="1466"/>
    </row>
    <row r="101" spans="1:41" s="1466" customFormat="1" ht="18.75" customHeight="1" x14ac:dyDescent="0.15">
      <c r="A101" s="1578"/>
      <c r="B101" s="1478"/>
      <c r="C101" s="1478"/>
      <c r="D101" s="1467" t="str">
        <f>'2_入力シート【用途面積】'!$W$18</f>
        <v/>
      </c>
      <c r="E101" s="1765" t="str">
        <f t="shared" ref="E101" si="34">D101</f>
        <v/>
      </c>
      <c r="F101" s="1765" t="str">
        <f t="shared" ref="F101" si="35">SUBSTITUTE(E101,CHAR(10),"")</f>
        <v/>
      </c>
      <c r="G101" s="1765" t="str">
        <f t="shared" ref="G101" si="36">TRIM(F101)</f>
        <v/>
      </c>
      <c r="H101" s="1766"/>
      <c r="I101" s="1660"/>
      <c r="J101" s="1531"/>
      <c r="K101" s="1478" t="s">
        <v>3218</v>
      </c>
      <c r="L101" s="1478"/>
      <c r="M101" s="1549"/>
      <c r="N101" s="1478"/>
      <c r="O101" s="1478"/>
      <c r="P101" s="1478"/>
      <c r="Q101" s="1478"/>
      <c r="R101" s="1478"/>
      <c r="S101" s="1462" t="str">
        <f t="shared" ref="S101" si="37">CONCATENATE(K101,L101,M101,N101,O101,P101,Q101)</f>
        <v>用途2</v>
      </c>
      <c r="T101" s="1478"/>
      <c r="U101" s="1469"/>
      <c r="V101" s="1828" t="s">
        <v>1602</v>
      </c>
      <c r="W101" s="1471" t="s">
        <v>1306</v>
      </c>
      <c r="X101" s="1470">
        <v>2</v>
      </c>
      <c r="Y101" s="1473" t="s">
        <v>1306</v>
      </c>
      <c r="Z101" s="1474" t="s">
        <v>1598</v>
      </c>
      <c r="AA101" s="1473"/>
      <c r="AB101" s="1470"/>
      <c r="AC101" s="1499"/>
      <c r="AD101" s="1500"/>
      <c r="AE101" s="1477"/>
      <c r="AF101" s="1477"/>
      <c r="AG101" s="1457" t="str">
        <f t="shared" si="25"/>
        <v>階別用途別床面積-2-小分類</v>
      </c>
      <c r="AI101" s="1477"/>
      <c r="AJ101" s="1477"/>
      <c r="AK101" s="1477"/>
    </row>
    <row r="102" spans="1:41" s="1449" customFormat="1" ht="18.75" customHeight="1" x14ac:dyDescent="0.15">
      <c r="A102" s="1578"/>
      <c r="B102" s="1478"/>
      <c r="C102" s="1478"/>
      <c r="D102" s="1467">
        <f>'2_入力シート【用途面積】'!$E$13</f>
        <v>0</v>
      </c>
      <c r="E102" s="1765">
        <f t="shared" ref="E102" si="38">D102</f>
        <v>0</v>
      </c>
      <c r="F102" s="1765" t="str">
        <f t="shared" ref="F102" si="39">SUBSTITUTE(E102,CHAR(10),"")</f>
        <v>0</v>
      </c>
      <c r="G102" s="1765" t="str">
        <f t="shared" ref="G102" si="40">TRIM(F102)</f>
        <v>0</v>
      </c>
      <c r="H102" s="1766"/>
      <c r="I102" s="1660"/>
      <c r="J102" s="1531"/>
      <c r="K102" s="1478" t="s">
        <v>3219</v>
      </c>
      <c r="L102" s="1478"/>
      <c r="M102" s="1549"/>
      <c r="N102" s="1478"/>
      <c r="O102" s="1478"/>
      <c r="P102" s="1478"/>
      <c r="Q102" s="1478"/>
      <c r="R102" s="1478"/>
      <c r="S102" s="1462" t="str">
        <f t="shared" ref="S102:S166" si="41">CONCATENATE(K102,L102,M102,N102,O102,P102,Q102)</f>
        <v>延床面積</v>
      </c>
      <c r="T102" s="1478"/>
      <c r="U102" s="1517"/>
      <c r="V102" s="1828" t="s">
        <v>2434</v>
      </c>
      <c r="W102" s="1518" t="s">
        <v>1366</v>
      </c>
      <c r="X102" s="1828" t="s">
        <v>2432</v>
      </c>
      <c r="Y102" s="1519"/>
      <c r="Z102" s="1520"/>
      <c r="AA102" s="1519"/>
      <c r="AB102" s="1829"/>
      <c r="AC102" s="1830"/>
      <c r="AD102" s="1831"/>
      <c r="AG102" s="1457" t="str">
        <f t="shared" si="25"/>
        <v>階別用途別床面積-延べ面積</v>
      </c>
      <c r="AH102" s="1466"/>
      <c r="AI102" s="1477"/>
      <c r="AJ102" s="1477"/>
      <c r="AK102" s="1477"/>
      <c r="AL102" s="1466"/>
      <c r="AM102" s="1466"/>
      <c r="AN102" s="1466"/>
      <c r="AO102" s="1466"/>
    </row>
    <row r="103" spans="1:41" ht="18.75" customHeight="1" x14ac:dyDescent="0.15">
      <c r="A103" s="1578"/>
      <c r="B103" s="1462"/>
      <c r="C103" s="1462"/>
      <c r="D103" s="1650" t="str">
        <f>'2_入力シート【用途面積】'!W16</f>
        <v/>
      </c>
      <c r="E103" s="1765" t="str">
        <f t="shared" ref="E103:E166" si="42">D103</f>
        <v/>
      </c>
      <c r="F103" s="1765" t="str">
        <f t="shared" ref="F103:F166" si="43">SUBSTITUTE(E103,CHAR(10),"")</f>
        <v/>
      </c>
      <c r="G103" s="1765" t="str">
        <f t="shared" ref="G103:G166" si="44">TRIM(F103)</f>
        <v/>
      </c>
      <c r="H103" s="1468"/>
      <c r="I103" s="1660"/>
      <c r="J103" s="1531"/>
      <c r="K103" s="1462" t="s">
        <v>3216</v>
      </c>
      <c r="L103" s="1462"/>
      <c r="M103" s="1493"/>
      <c r="N103" s="1462"/>
      <c r="O103" s="1462"/>
      <c r="P103" s="1462"/>
      <c r="Q103" s="1462"/>
      <c r="R103" s="1462"/>
      <c r="S103" s="1462" t="str">
        <f t="shared" si="41"/>
        <v>用途3</v>
      </c>
      <c r="T103" s="1462"/>
      <c r="U103" s="1469"/>
      <c r="V103" s="1828" t="s">
        <v>2434</v>
      </c>
      <c r="W103" s="1518" t="s">
        <v>1366</v>
      </c>
      <c r="X103" s="1472" t="s">
        <v>3220</v>
      </c>
      <c r="Y103" s="1473"/>
      <c r="Z103" s="1474"/>
      <c r="AA103" s="1473"/>
      <c r="AB103" s="1470"/>
      <c r="AC103" s="1832"/>
      <c r="AD103" s="1833"/>
      <c r="AG103" s="1457" t="str">
        <f t="shared" si="25"/>
        <v>階別用途別床面積-小分類3以降</v>
      </c>
      <c r="AI103" s="1459"/>
      <c r="AJ103" s="1459"/>
      <c r="AK103" s="1459"/>
    </row>
    <row r="104" spans="1:41" ht="18.75" customHeight="1" x14ac:dyDescent="0.15">
      <c r="A104" s="1837"/>
      <c r="B104" s="1462"/>
      <c r="C104" s="1462"/>
      <c r="D104" s="1650" t="str">
        <f>'＜入力不要＞報告書'!J135</f>
        <v/>
      </c>
      <c r="E104" s="1765" t="str">
        <f t="shared" si="42"/>
        <v/>
      </c>
      <c r="F104" s="1765" t="str">
        <f t="shared" si="43"/>
        <v/>
      </c>
      <c r="G104" s="1765" t="str">
        <f t="shared" si="44"/>
        <v/>
      </c>
      <c r="H104" s="1468"/>
      <c r="I104" s="1478"/>
      <c r="J104" s="1531"/>
      <c r="K104" s="1462" t="s">
        <v>33</v>
      </c>
      <c r="L104" s="1462" t="s">
        <v>1307</v>
      </c>
      <c r="M104" s="1493" t="s">
        <v>3307</v>
      </c>
      <c r="N104" s="1462"/>
      <c r="O104" s="1462"/>
      <c r="P104" s="1462"/>
      <c r="Q104" s="1462"/>
      <c r="R104" s="1462"/>
      <c r="S104" s="1462" t="str">
        <f t="shared" si="41"/>
        <v>調査結果_指摘の概要</v>
      </c>
      <c r="T104" s="1462"/>
      <c r="U104" s="1510" t="s">
        <v>3306</v>
      </c>
      <c r="V104" s="1470" t="s">
        <v>33</v>
      </c>
      <c r="W104" s="1518" t="s">
        <v>1366</v>
      </c>
      <c r="X104" s="1472" t="s">
        <v>3307</v>
      </c>
      <c r="Y104" s="1473"/>
      <c r="Z104" s="1474"/>
      <c r="AA104" s="1473"/>
      <c r="AB104" s="1470"/>
      <c r="AC104" s="1832"/>
      <c r="AD104" s="1833"/>
      <c r="AG104" s="1457" t="str">
        <f t="shared" si="25"/>
        <v>23調査結果-指摘の概要</v>
      </c>
      <c r="AI104" s="1459"/>
      <c r="AJ104" s="1459"/>
      <c r="AK104" s="1459"/>
    </row>
    <row r="105" spans="1:41" s="1457" customFormat="1" ht="18.75" customHeight="1" x14ac:dyDescent="0.15">
      <c r="A105" s="1836"/>
      <c r="B105" s="1451"/>
      <c r="C105" s="1451"/>
      <c r="D105" s="1669" t="str">
        <f>改善項目管理用!T186</f>
        <v>？</v>
      </c>
      <c r="E105" s="1765" t="str">
        <f t="shared" si="42"/>
        <v>？</v>
      </c>
      <c r="F105" s="1765" t="str">
        <f t="shared" si="43"/>
        <v>？</v>
      </c>
      <c r="G105" s="1765" t="str">
        <f t="shared" si="44"/>
        <v>？</v>
      </c>
      <c r="H105" s="1538"/>
      <c r="I105" s="1451"/>
      <c r="J105" s="1528"/>
      <c r="K105" s="1815" t="s">
        <v>3270</v>
      </c>
      <c r="L105" s="1451"/>
      <c r="M105" s="1548"/>
      <c r="N105" s="1451"/>
      <c r="O105" s="1451"/>
      <c r="P105" s="1451"/>
      <c r="Q105" s="1451"/>
      <c r="R105" s="1451"/>
      <c r="S105" s="1451" t="str">
        <f t="shared" si="41"/>
        <v>調査結果まとめ</v>
      </c>
      <c r="T105" s="1451"/>
      <c r="U105" s="1510" t="s">
        <v>3306</v>
      </c>
      <c r="V105" s="1470" t="s">
        <v>33</v>
      </c>
      <c r="W105" s="1518" t="s">
        <v>1366</v>
      </c>
      <c r="X105" s="1830" t="s">
        <v>3270</v>
      </c>
      <c r="Y105" s="1473"/>
      <c r="Z105" s="1474"/>
      <c r="AA105" s="1473"/>
      <c r="AB105" s="1470"/>
      <c r="AC105" s="1832"/>
      <c r="AD105" s="1833"/>
      <c r="AG105" s="1457" t="str">
        <f t="shared" si="25"/>
        <v>23調査結果-調査結果まとめ</v>
      </c>
      <c r="AI105" s="1459"/>
      <c r="AJ105" s="1459"/>
      <c r="AK105" s="1459"/>
    </row>
    <row r="106" spans="1:41" s="1457" customFormat="1" ht="18.75" customHeight="1" x14ac:dyDescent="0.15">
      <c r="A106" s="1836"/>
      <c r="B106" s="1451"/>
      <c r="C106" s="1451"/>
      <c r="D106" s="1669" t="str">
        <f>改善項目管理用!T177</f>
        <v>？</v>
      </c>
      <c r="E106" s="1765" t="str">
        <f t="shared" si="42"/>
        <v>？</v>
      </c>
      <c r="F106" s="1765" t="str">
        <f t="shared" si="43"/>
        <v>？</v>
      </c>
      <c r="G106" s="1765" t="str">
        <f t="shared" si="44"/>
        <v>？</v>
      </c>
      <c r="H106" s="1538"/>
      <c r="I106" s="1451"/>
      <c r="J106" s="1528"/>
      <c r="K106" s="1451">
        <v>1</v>
      </c>
      <c r="L106" s="1451"/>
      <c r="M106" s="1548"/>
      <c r="N106" s="1451"/>
      <c r="O106" s="1451"/>
      <c r="P106" s="1451"/>
      <c r="Q106" s="1451"/>
      <c r="R106" s="1451"/>
      <c r="S106" s="1451" t="str">
        <f t="shared" si="41"/>
        <v>1</v>
      </c>
      <c r="T106" s="1451"/>
      <c r="U106" s="1510" t="s">
        <v>3306</v>
      </c>
      <c r="V106" s="1470" t="s">
        <v>33</v>
      </c>
      <c r="W106" s="1518" t="s">
        <v>1366</v>
      </c>
      <c r="X106" s="1834">
        <v>1</v>
      </c>
      <c r="Y106" s="1473"/>
      <c r="Z106" s="1474"/>
      <c r="AA106" s="1473"/>
      <c r="AB106" s="1470"/>
      <c r="AC106" s="1832"/>
      <c r="AD106" s="1833"/>
      <c r="AG106" s="1457" t="str">
        <f t="shared" si="25"/>
        <v>23調査結果-1</v>
      </c>
      <c r="AI106" s="1459"/>
      <c r="AJ106" s="1459"/>
      <c r="AK106" s="1459"/>
    </row>
    <row r="107" spans="1:41" s="1457" customFormat="1" ht="18.75" customHeight="1" x14ac:dyDescent="0.15">
      <c r="A107" s="1836"/>
      <c r="B107" s="1451"/>
      <c r="C107" s="1451"/>
      <c r="D107" s="1669" t="str">
        <f>改善項目管理用!T178</f>
        <v>？</v>
      </c>
      <c r="E107" s="1765" t="str">
        <f t="shared" si="42"/>
        <v>？</v>
      </c>
      <c r="F107" s="1765" t="str">
        <f t="shared" si="43"/>
        <v>？</v>
      </c>
      <c r="G107" s="1765" t="str">
        <f t="shared" si="44"/>
        <v>？</v>
      </c>
      <c r="H107" s="1538"/>
      <c r="I107" s="1451"/>
      <c r="J107" s="1528"/>
      <c r="K107" s="1451">
        <v>2</v>
      </c>
      <c r="L107" s="1451"/>
      <c r="M107" s="1548"/>
      <c r="N107" s="1451"/>
      <c r="O107" s="1451"/>
      <c r="P107" s="1451"/>
      <c r="Q107" s="1451"/>
      <c r="R107" s="1451"/>
      <c r="S107" s="1451" t="str">
        <f t="shared" si="41"/>
        <v>2</v>
      </c>
      <c r="T107" s="1451"/>
      <c r="U107" s="1510" t="s">
        <v>3306</v>
      </c>
      <c r="V107" s="1470" t="s">
        <v>33</v>
      </c>
      <c r="W107" s="1518" t="s">
        <v>1366</v>
      </c>
      <c r="X107" s="1834">
        <v>2</v>
      </c>
      <c r="Y107" s="1473"/>
      <c r="Z107" s="1474"/>
      <c r="AA107" s="1473"/>
      <c r="AB107" s="1470"/>
      <c r="AC107" s="1832"/>
      <c r="AD107" s="1833"/>
      <c r="AG107" s="1457" t="str">
        <f t="shared" si="25"/>
        <v>23調査結果-2</v>
      </c>
      <c r="AI107" s="1459"/>
      <c r="AJ107" s="1459"/>
      <c r="AK107" s="1459"/>
    </row>
    <row r="108" spans="1:41" s="1457" customFormat="1" ht="18.75" customHeight="1" x14ac:dyDescent="0.15">
      <c r="A108" s="1836"/>
      <c r="B108" s="1451"/>
      <c r="C108" s="1451"/>
      <c r="D108" s="1669" t="str">
        <f>改善項目管理用!T179</f>
        <v>？</v>
      </c>
      <c r="E108" s="1765" t="str">
        <f t="shared" si="42"/>
        <v>？</v>
      </c>
      <c r="F108" s="1765" t="str">
        <f t="shared" si="43"/>
        <v>？</v>
      </c>
      <c r="G108" s="1765" t="str">
        <f t="shared" si="44"/>
        <v>？</v>
      </c>
      <c r="H108" s="1538"/>
      <c r="I108" s="1451"/>
      <c r="J108" s="1528"/>
      <c r="K108" s="1451">
        <v>3</v>
      </c>
      <c r="L108" s="1451"/>
      <c r="M108" s="1548"/>
      <c r="N108" s="1451"/>
      <c r="O108" s="1451"/>
      <c r="P108" s="1451"/>
      <c r="Q108" s="1451"/>
      <c r="R108" s="1451"/>
      <c r="S108" s="1451" t="str">
        <f t="shared" si="41"/>
        <v>3</v>
      </c>
      <c r="T108" s="1451"/>
      <c r="U108" s="1510" t="s">
        <v>3306</v>
      </c>
      <c r="V108" s="1470" t="s">
        <v>33</v>
      </c>
      <c r="W108" s="1518" t="s">
        <v>1366</v>
      </c>
      <c r="X108" s="1834">
        <v>3</v>
      </c>
      <c r="Y108" s="1473"/>
      <c r="Z108" s="1474"/>
      <c r="AA108" s="1473"/>
      <c r="AB108" s="1470"/>
      <c r="AC108" s="1832"/>
      <c r="AD108" s="1833"/>
      <c r="AG108" s="1457" t="str">
        <f t="shared" si="25"/>
        <v>23調査結果-3</v>
      </c>
      <c r="AI108" s="1459"/>
      <c r="AJ108" s="1459"/>
      <c r="AK108" s="1459"/>
    </row>
    <row r="109" spans="1:41" s="1457" customFormat="1" ht="18.75" customHeight="1" x14ac:dyDescent="0.15">
      <c r="A109" s="1836"/>
      <c r="B109" s="1451"/>
      <c r="C109" s="1451"/>
      <c r="D109" s="1669" t="str">
        <f>改善項目管理用!T180</f>
        <v>？</v>
      </c>
      <c r="E109" s="1765" t="str">
        <f t="shared" si="42"/>
        <v>？</v>
      </c>
      <c r="F109" s="1765" t="str">
        <f t="shared" si="43"/>
        <v>？</v>
      </c>
      <c r="G109" s="1765" t="str">
        <f t="shared" si="44"/>
        <v>？</v>
      </c>
      <c r="H109" s="1538"/>
      <c r="I109" s="1451"/>
      <c r="J109" s="1528"/>
      <c r="K109" s="1451">
        <v>4</v>
      </c>
      <c r="L109" s="1451"/>
      <c r="M109" s="1548"/>
      <c r="N109" s="1451"/>
      <c r="O109" s="1451"/>
      <c r="P109" s="1451"/>
      <c r="Q109" s="1451"/>
      <c r="R109" s="1451"/>
      <c r="S109" s="1451" t="str">
        <f t="shared" si="41"/>
        <v>4</v>
      </c>
      <c r="T109" s="1451"/>
      <c r="U109" s="1510" t="s">
        <v>3306</v>
      </c>
      <c r="V109" s="1470" t="s">
        <v>33</v>
      </c>
      <c r="W109" s="1518" t="s">
        <v>1366</v>
      </c>
      <c r="X109" s="1834">
        <v>4</v>
      </c>
      <c r="Y109" s="1473"/>
      <c r="Z109" s="1474"/>
      <c r="AA109" s="1473"/>
      <c r="AB109" s="1470"/>
      <c r="AC109" s="1832"/>
      <c r="AD109" s="1833"/>
      <c r="AG109" s="1457" t="str">
        <f t="shared" si="25"/>
        <v>23調査結果-4</v>
      </c>
      <c r="AI109" s="1459"/>
      <c r="AJ109" s="1459"/>
      <c r="AK109" s="1459"/>
    </row>
    <row r="110" spans="1:41" s="1457" customFormat="1" ht="18.75" customHeight="1" x14ac:dyDescent="0.15">
      <c r="A110" s="1836"/>
      <c r="B110" s="1451"/>
      <c r="C110" s="1451"/>
      <c r="D110" s="1669" t="str">
        <f>改善項目管理用!T181</f>
        <v>？</v>
      </c>
      <c r="E110" s="1765" t="str">
        <f t="shared" si="42"/>
        <v>？</v>
      </c>
      <c r="F110" s="1765" t="str">
        <f t="shared" si="43"/>
        <v>？</v>
      </c>
      <c r="G110" s="1765" t="str">
        <f t="shared" si="44"/>
        <v>？</v>
      </c>
      <c r="H110" s="1538"/>
      <c r="I110" s="1451"/>
      <c r="J110" s="1528"/>
      <c r="K110" s="1451">
        <v>5</v>
      </c>
      <c r="L110" s="1451"/>
      <c r="M110" s="1548"/>
      <c r="N110" s="1451"/>
      <c r="O110" s="1451"/>
      <c r="P110" s="1451"/>
      <c r="Q110" s="1451"/>
      <c r="R110" s="1451"/>
      <c r="S110" s="1451" t="str">
        <f t="shared" si="41"/>
        <v>5</v>
      </c>
      <c r="T110" s="1451"/>
      <c r="U110" s="1510" t="s">
        <v>3306</v>
      </c>
      <c r="V110" s="1470" t="s">
        <v>33</v>
      </c>
      <c r="W110" s="1518" t="s">
        <v>1366</v>
      </c>
      <c r="X110" s="1834">
        <v>5</v>
      </c>
      <c r="Y110" s="1473"/>
      <c r="Z110" s="1474"/>
      <c r="AA110" s="1473"/>
      <c r="AB110" s="1470"/>
      <c r="AC110" s="1832"/>
      <c r="AD110" s="1833"/>
      <c r="AG110" s="1457" t="str">
        <f t="shared" si="25"/>
        <v>23調査結果-5</v>
      </c>
      <c r="AI110" s="1459"/>
      <c r="AJ110" s="1459"/>
      <c r="AK110" s="1459"/>
    </row>
    <row r="111" spans="1:41" s="1457" customFormat="1" ht="18.75" customHeight="1" x14ac:dyDescent="0.15">
      <c r="A111" s="1836"/>
      <c r="B111" s="1451"/>
      <c r="C111" s="1451"/>
      <c r="D111" s="1669" t="str">
        <f>改善項目管理用!T182</f>
        <v>？</v>
      </c>
      <c r="E111" s="1765" t="str">
        <f t="shared" si="42"/>
        <v>？</v>
      </c>
      <c r="F111" s="1765" t="str">
        <f t="shared" si="43"/>
        <v>？</v>
      </c>
      <c r="G111" s="1765" t="str">
        <f t="shared" si="44"/>
        <v>？</v>
      </c>
      <c r="H111" s="1538"/>
      <c r="I111" s="1451"/>
      <c r="J111" s="1528"/>
      <c r="K111" s="1451">
        <v>6</v>
      </c>
      <c r="L111" s="1451"/>
      <c r="M111" s="1548"/>
      <c r="N111" s="1451"/>
      <c r="O111" s="1451"/>
      <c r="P111" s="1451"/>
      <c r="Q111" s="1451"/>
      <c r="R111" s="1451"/>
      <c r="S111" s="1451" t="str">
        <f t="shared" si="41"/>
        <v>6</v>
      </c>
      <c r="T111" s="1451"/>
      <c r="U111" s="1510" t="s">
        <v>3306</v>
      </c>
      <c r="V111" s="1470" t="s">
        <v>33</v>
      </c>
      <c r="W111" s="1518" t="s">
        <v>1366</v>
      </c>
      <c r="X111" s="1834">
        <v>6</v>
      </c>
      <c r="Y111" s="1473"/>
      <c r="Z111" s="1474"/>
      <c r="AA111" s="1473"/>
      <c r="AB111" s="1470"/>
      <c r="AC111" s="1832"/>
      <c r="AD111" s="1833"/>
      <c r="AG111" s="1457" t="str">
        <f t="shared" si="25"/>
        <v>23調査結果-6</v>
      </c>
      <c r="AI111" s="1459"/>
      <c r="AJ111" s="1459"/>
      <c r="AK111" s="1459"/>
    </row>
    <row r="112" spans="1:41" s="1457" customFormat="1" ht="18.75" customHeight="1" x14ac:dyDescent="0.15">
      <c r="A112" s="1836"/>
      <c r="B112" s="1451"/>
      <c r="C112" s="1451"/>
      <c r="D112" s="1669" t="str">
        <f>改善項目管理用!T183</f>
        <v>？</v>
      </c>
      <c r="E112" s="1765" t="str">
        <f t="shared" si="42"/>
        <v>？</v>
      </c>
      <c r="F112" s="1765" t="str">
        <f t="shared" si="43"/>
        <v>？</v>
      </c>
      <c r="G112" s="1765" t="str">
        <f t="shared" si="44"/>
        <v>？</v>
      </c>
      <c r="H112" s="1538"/>
      <c r="I112" s="1451"/>
      <c r="J112" s="1528"/>
      <c r="K112" s="1451">
        <v>7</v>
      </c>
      <c r="L112" s="1451"/>
      <c r="M112" s="1548"/>
      <c r="N112" s="1451"/>
      <c r="O112" s="1451"/>
      <c r="P112" s="1451"/>
      <c r="Q112" s="1451"/>
      <c r="R112" s="1451"/>
      <c r="S112" s="1451" t="str">
        <f t="shared" si="41"/>
        <v>7</v>
      </c>
      <c r="T112" s="1451"/>
      <c r="U112" s="1510" t="s">
        <v>3306</v>
      </c>
      <c r="V112" s="1470" t="s">
        <v>33</v>
      </c>
      <c r="W112" s="1518" t="s">
        <v>1366</v>
      </c>
      <c r="X112" s="1834">
        <v>7</v>
      </c>
      <c r="Y112" s="1473"/>
      <c r="Z112" s="1474"/>
      <c r="AA112" s="1473"/>
      <c r="AB112" s="1470"/>
      <c r="AC112" s="1832"/>
      <c r="AD112" s="1833"/>
      <c r="AG112" s="1457" t="str">
        <f t="shared" si="25"/>
        <v>23調査結果-7</v>
      </c>
      <c r="AI112" s="1459"/>
      <c r="AJ112" s="1459"/>
      <c r="AK112" s="1459"/>
    </row>
    <row r="113" spans="1:37" s="1457" customFormat="1" ht="18.75" customHeight="1" x14ac:dyDescent="0.15">
      <c r="A113" s="1836"/>
      <c r="B113" s="1451"/>
      <c r="C113" s="1451"/>
      <c r="D113" s="1669" t="str">
        <f>改善項目管理用!T4</f>
        <v>？</v>
      </c>
      <c r="E113" s="1765" t="str">
        <f t="shared" si="42"/>
        <v>？</v>
      </c>
      <c r="F113" s="1765" t="str">
        <f t="shared" si="43"/>
        <v>？</v>
      </c>
      <c r="G113" s="1765" t="str">
        <f t="shared" si="44"/>
        <v>？</v>
      </c>
      <c r="H113" s="1538"/>
      <c r="I113" s="1451"/>
      <c r="J113" s="1528"/>
      <c r="K113" s="1451" t="s">
        <v>719</v>
      </c>
      <c r="L113" s="1451"/>
      <c r="M113" s="1548"/>
      <c r="N113" s="1451"/>
      <c r="O113" s="1451"/>
      <c r="P113" s="1451"/>
      <c r="Q113" s="1451"/>
      <c r="R113" s="1451"/>
      <c r="S113" s="1451" t="str">
        <f t="shared" si="41"/>
        <v>1(1)</v>
      </c>
      <c r="T113" s="1451"/>
      <c r="U113" s="1510" t="s">
        <v>3306</v>
      </c>
      <c r="V113" s="1470" t="s">
        <v>33</v>
      </c>
      <c r="W113" s="1518" t="s">
        <v>1366</v>
      </c>
      <c r="X113" s="1834" t="s">
        <v>719</v>
      </c>
      <c r="Y113" s="1473"/>
      <c r="Z113" s="1474"/>
      <c r="AA113" s="1473"/>
      <c r="AB113" s="1470"/>
      <c r="AC113" s="1832"/>
      <c r="AD113" s="1833"/>
      <c r="AG113" s="1457" t="str">
        <f t="shared" si="25"/>
        <v>23調査結果-1(1)</v>
      </c>
      <c r="AI113" s="1459"/>
      <c r="AJ113" s="1459"/>
      <c r="AK113" s="1459"/>
    </row>
    <row r="114" spans="1:37" s="1457" customFormat="1" ht="18.75" customHeight="1" x14ac:dyDescent="0.15">
      <c r="A114" s="1836"/>
      <c r="B114" s="1451"/>
      <c r="C114" s="1451"/>
      <c r="D114" s="1669" t="str">
        <f>改善項目管理用!T5</f>
        <v>？</v>
      </c>
      <c r="E114" s="1765" t="str">
        <f t="shared" si="42"/>
        <v>？</v>
      </c>
      <c r="F114" s="1765" t="str">
        <f t="shared" si="43"/>
        <v>？</v>
      </c>
      <c r="G114" s="1765" t="str">
        <f t="shared" si="44"/>
        <v>？</v>
      </c>
      <c r="H114" s="1538"/>
      <c r="I114" s="1451"/>
      <c r="J114" s="1528"/>
      <c r="K114" s="1451" t="s">
        <v>720</v>
      </c>
      <c r="L114" s="1451"/>
      <c r="M114" s="1548"/>
      <c r="N114" s="1451"/>
      <c r="O114" s="1451"/>
      <c r="P114" s="1451"/>
      <c r="Q114" s="1451"/>
      <c r="R114" s="1451"/>
      <c r="S114" s="1451" t="str">
        <f t="shared" si="41"/>
        <v>1(2)</v>
      </c>
      <c r="T114" s="1451"/>
      <c r="U114" s="1510" t="s">
        <v>3306</v>
      </c>
      <c r="V114" s="1470" t="s">
        <v>33</v>
      </c>
      <c r="W114" s="1518" t="s">
        <v>1366</v>
      </c>
      <c r="X114" s="1834" t="s">
        <v>720</v>
      </c>
      <c r="Y114" s="1473"/>
      <c r="Z114" s="1474"/>
      <c r="AA114" s="1473"/>
      <c r="AB114" s="1470"/>
      <c r="AC114" s="1832"/>
      <c r="AD114" s="1833"/>
      <c r="AG114" s="1457" t="str">
        <f t="shared" si="25"/>
        <v>23調査結果-1(2)</v>
      </c>
      <c r="AI114" s="1459"/>
      <c r="AJ114" s="1459"/>
      <c r="AK114" s="1459"/>
    </row>
    <row r="115" spans="1:37" s="1457" customFormat="1" ht="18.75" customHeight="1" x14ac:dyDescent="0.15">
      <c r="A115" s="1836"/>
      <c r="B115" s="1451"/>
      <c r="C115" s="1451"/>
      <c r="D115" s="1669" t="str">
        <f>改善項目管理用!T6</f>
        <v>？</v>
      </c>
      <c r="E115" s="1765" t="str">
        <f t="shared" si="42"/>
        <v>？</v>
      </c>
      <c r="F115" s="1765" t="str">
        <f t="shared" si="43"/>
        <v>？</v>
      </c>
      <c r="G115" s="1765" t="str">
        <f t="shared" si="44"/>
        <v>？</v>
      </c>
      <c r="H115" s="1538"/>
      <c r="I115" s="1451"/>
      <c r="J115" s="1528"/>
      <c r="K115" s="1451" t="s">
        <v>721</v>
      </c>
      <c r="L115" s="1451"/>
      <c r="M115" s="1548"/>
      <c r="N115" s="1451"/>
      <c r="O115" s="1451"/>
      <c r="P115" s="1451"/>
      <c r="Q115" s="1451"/>
      <c r="R115" s="1451"/>
      <c r="S115" s="1451" t="str">
        <f t="shared" si="41"/>
        <v>1(3)</v>
      </c>
      <c r="T115" s="1451"/>
      <c r="U115" s="1510" t="s">
        <v>3306</v>
      </c>
      <c r="V115" s="1470" t="s">
        <v>33</v>
      </c>
      <c r="W115" s="1518" t="s">
        <v>1366</v>
      </c>
      <c r="X115" s="1834" t="s">
        <v>721</v>
      </c>
      <c r="Y115" s="1473"/>
      <c r="Z115" s="1474"/>
      <c r="AA115" s="1473"/>
      <c r="AB115" s="1470"/>
      <c r="AC115" s="1832"/>
      <c r="AD115" s="1833"/>
      <c r="AG115" s="1457" t="str">
        <f t="shared" si="25"/>
        <v>23調査結果-1(3)</v>
      </c>
      <c r="AI115" s="1459"/>
      <c r="AJ115" s="1459"/>
      <c r="AK115" s="1459"/>
    </row>
    <row r="116" spans="1:37" s="1457" customFormat="1" ht="18.75" customHeight="1" x14ac:dyDescent="0.15">
      <c r="A116" s="1836"/>
      <c r="B116" s="1451"/>
      <c r="C116" s="1451"/>
      <c r="D116" s="1669" t="str">
        <f>改善項目管理用!T7</f>
        <v>？</v>
      </c>
      <c r="E116" s="1765" t="str">
        <f t="shared" si="42"/>
        <v>？</v>
      </c>
      <c r="F116" s="1765" t="str">
        <f t="shared" si="43"/>
        <v>？</v>
      </c>
      <c r="G116" s="1765" t="str">
        <f t="shared" si="44"/>
        <v>？</v>
      </c>
      <c r="H116" s="1538"/>
      <c r="I116" s="1451"/>
      <c r="J116" s="1528"/>
      <c r="K116" s="1451" t="s">
        <v>722</v>
      </c>
      <c r="L116" s="1451"/>
      <c r="M116" s="1548"/>
      <c r="N116" s="1451"/>
      <c r="O116" s="1451"/>
      <c r="P116" s="1451"/>
      <c r="Q116" s="1451"/>
      <c r="R116" s="1451"/>
      <c r="S116" s="1451" t="str">
        <f t="shared" si="41"/>
        <v>1(4)</v>
      </c>
      <c r="T116" s="1451"/>
      <c r="U116" s="1510" t="s">
        <v>3306</v>
      </c>
      <c r="V116" s="1470" t="s">
        <v>33</v>
      </c>
      <c r="W116" s="1518" t="s">
        <v>1366</v>
      </c>
      <c r="X116" s="1834" t="s">
        <v>722</v>
      </c>
      <c r="Y116" s="1473"/>
      <c r="Z116" s="1474"/>
      <c r="AA116" s="1473"/>
      <c r="AB116" s="1470"/>
      <c r="AC116" s="1832"/>
      <c r="AD116" s="1833"/>
      <c r="AG116" s="1457" t="str">
        <f t="shared" si="25"/>
        <v>23調査結果-1(4)</v>
      </c>
      <c r="AI116" s="1459"/>
      <c r="AJ116" s="1459"/>
      <c r="AK116" s="1459"/>
    </row>
    <row r="117" spans="1:37" s="1457" customFormat="1" ht="18.75" customHeight="1" x14ac:dyDescent="0.15">
      <c r="A117" s="1836"/>
      <c r="B117" s="1451"/>
      <c r="C117" s="1451"/>
      <c r="D117" s="1669" t="str">
        <f>改善項目管理用!T8</f>
        <v>？</v>
      </c>
      <c r="E117" s="1765" t="str">
        <f t="shared" si="42"/>
        <v>？</v>
      </c>
      <c r="F117" s="1765" t="str">
        <f t="shared" si="43"/>
        <v>？</v>
      </c>
      <c r="G117" s="1765" t="str">
        <f t="shared" si="44"/>
        <v>？</v>
      </c>
      <c r="H117" s="1538"/>
      <c r="I117" s="1451"/>
      <c r="J117" s="1528"/>
      <c r="K117" s="1451" t="s">
        <v>723</v>
      </c>
      <c r="L117" s="1451"/>
      <c r="M117" s="1548"/>
      <c r="N117" s="1451"/>
      <c r="O117" s="1451"/>
      <c r="P117" s="1451"/>
      <c r="Q117" s="1451"/>
      <c r="R117" s="1451"/>
      <c r="S117" s="1451" t="str">
        <f t="shared" si="41"/>
        <v>1(5)</v>
      </c>
      <c r="T117" s="1451"/>
      <c r="U117" s="1510" t="s">
        <v>3306</v>
      </c>
      <c r="V117" s="1470" t="s">
        <v>33</v>
      </c>
      <c r="W117" s="1518" t="s">
        <v>1366</v>
      </c>
      <c r="X117" s="1834" t="s">
        <v>723</v>
      </c>
      <c r="Y117" s="1473"/>
      <c r="Z117" s="1474"/>
      <c r="AA117" s="1473"/>
      <c r="AB117" s="1470"/>
      <c r="AC117" s="1832"/>
      <c r="AD117" s="1833"/>
      <c r="AG117" s="1457" t="str">
        <f t="shared" si="25"/>
        <v>23調査結果-1(5)</v>
      </c>
      <c r="AI117" s="1459"/>
      <c r="AJ117" s="1459"/>
      <c r="AK117" s="1459"/>
    </row>
    <row r="118" spans="1:37" s="1457" customFormat="1" ht="18.75" customHeight="1" x14ac:dyDescent="0.15">
      <c r="A118" s="1836"/>
      <c r="B118" s="1451"/>
      <c r="C118" s="1451"/>
      <c r="D118" s="1669" t="str">
        <f>改善項目管理用!T9</f>
        <v>？</v>
      </c>
      <c r="E118" s="1765" t="str">
        <f t="shared" si="42"/>
        <v>？</v>
      </c>
      <c r="F118" s="1765" t="str">
        <f t="shared" si="43"/>
        <v>？</v>
      </c>
      <c r="G118" s="1765" t="str">
        <f t="shared" si="44"/>
        <v>？</v>
      </c>
      <c r="H118" s="1538"/>
      <c r="I118" s="1451"/>
      <c r="J118" s="1528"/>
      <c r="K118" s="1451" t="s">
        <v>724</v>
      </c>
      <c r="L118" s="1451"/>
      <c r="M118" s="1548"/>
      <c r="N118" s="1451"/>
      <c r="O118" s="1451"/>
      <c r="P118" s="1451"/>
      <c r="Q118" s="1451"/>
      <c r="R118" s="1451"/>
      <c r="S118" s="1451" t="str">
        <f t="shared" si="41"/>
        <v>1(6)</v>
      </c>
      <c r="T118" s="1451"/>
      <c r="U118" s="1510" t="s">
        <v>3306</v>
      </c>
      <c r="V118" s="1470" t="s">
        <v>33</v>
      </c>
      <c r="W118" s="1518" t="s">
        <v>1366</v>
      </c>
      <c r="X118" s="1834" t="s">
        <v>724</v>
      </c>
      <c r="Y118" s="1473"/>
      <c r="Z118" s="1474"/>
      <c r="AA118" s="1473"/>
      <c r="AB118" s="1470"/>
      <c r="AC118" s="1832"/>
      <c r="AD118" s="1833"/>
      <c r="AG118" s="1457" t="str">
        <f t="shared" si="25"/>
        <v>23調査結果-1(6)</v>
      </c>
      <c r="AI118" s="1459"/>
      <c r="AJ118" s="1459"/>
      <c r="AK118" s="1459"/>
    </row>
    <row r="119" spans="1:37" s="1457" customFormat="1" ht="18.75" customHeight="1" x14ac:dyDescent="0.15">
      <c r="A119" s="1836"/>
      <c r="B119" s="1451"/>
      <c r="C119" s="1451"/>
      <c r="D119" s="1669" t="str">
        <f>改善項目管理用!T10</f>
        <v>？</v>
      </c>
      <c r="E119" s="1765" t="str">
        <f t="shared" si="42"/>
        <v>？</v>
      </c>
      <c r="F119" s="1765" t="str">
        <f t="shared" si="43"/>
        <v>？</v>
      </c>
      <c r="G119" s="1765" t="str">
        <f t="shared" si="44"/>
        <v>？</v>
      </c>
      <c r="H119" s="1538"/>
      <c r="I119" s="1451"/>
      <c r="J119" s="1528"/>
      <c r="K119" s="1451" t="s">
        <v>725</v>
      </c>
      <c r="L119" s="1451"/>
      <c r="M119" s="1548"/>
      <c r="N119" s="1451"/>
      <c r="O119" s="1451"/>
      <c r="P119" s="1451"/>
      <c r="Q119" s="1451"/>
      <c r="R119" s="1451"/>
      <c r="S119" s="1451" t="str">
        <f t="shared" si="41"/>
        <v>1(7)</v>
      </c>
      <c r="T119" s="1451"/>
      <c r="U119" s="1510" t="s">
        <v>3306</v>
      </c>
      <c r="V119" s="1470" t="s">
        <v>33</v>
      </c>
      <c r="W119" s="1518" t="s">
        <v>1366</v>
      </c>
      <c r="X119" s="1834" t="s">
        <v>725</v>
      </c>
      <c r="Y119" s="1473"/>
      <c r="Z119" s="1474"/>
      <c r="AA119" s="1473"/>
      <c r="AB119" s="1470"/>
      <c r="AC119" s="1832"/>
      <c r="AD119" s="1833"/>
      <c r="AG119" s="1457" t="str">
        <f t="shared" si="25"/>
        <v>23調査結果-1(7)</v>
      </c>
      <c r="AI119" s="1459"/>
      <c r="AJ119" s="1459"/>
      <c r="AK119" s="1459"/>
    </row>
    <row r="120" spans="1:37" s="1457" customFormat="1" ht="18.75" customHeight="1" x14ac:dyDescent="0.15">
      <c r="A120" s="1836"/>
      <c r="B120" s="1451"/>
      <c r="C120" s="1451"/>
      <c r="D120" s="1669" t="str">
        <f>改善項目管理用!T11</f>
        <v>？</v>
      </c>
      <c r="E120" s="1765" t="str">
        <f t="shared" si="42"/>
        <v>？</v>
      </c>
      <c r="F120" s="1765" t="str">
        <f t="shared" si="43"/>
        <v>？</v>
      </c>
      <c r="G120" s="1765" t="str">
        <f t="shared" si="44"/>
        <v>？</v>
      </c>
      <c r="H120" s="1538"/>
      <c r="I120" s="1451"/>
      <c r="J120" s="1528"/>
      <c r="K120" s="1451" t="s">
        <v>726</v>
      </c>
      <c r="L120" s="1451"/>
      <c r="M120" s="1548"/>
      <c r="N120" s="1451"/>
      <c r="O120" s="1451"/>
      <c r="P120" s="1451"/>
      <c r="Q120" s="1451"/>
      <c r="R120" s="1451"/>
      <c r="S120" s="1451" t="str">
        <f t="shared" si="41"/>
        <v>1(8)</v>
      </c>
      <c r="T120" s="1451"/>
      <c r="U120" s="1510" t="s">
        <v>3306</v>
      </c>
      <c r="V120" s="1470" t="s">
        <v>33</v>
      </c>
      <c r="W120" s="1518" t="s">
        <v>1366</v>
      </c>
      <c r="X120" s="1834" t="s">
        <v>726</v>
      </c>
      <c r="Y120" s="1473"/>
      <c r="Z120" s="1474"/>
      <c r="AA120" s="1473"/>
      <c r="AB120" s="1470"/>
      <c r="AC120" s="1832"/>
      <c r="AD120" s="1833"/>
      <c r="AG120" s="1457" t="str">
        <f t="shared" si="25"/>
        <v>23調査結果-1(8)</v>
      </c>
      <c r="AI120" s="1459"/>
      <c r="AJ120" s="1459"/>
      <c r="AK120" s="1459"/>
    </row>
    <row r="121" spans="1:37" s="1457" customFormat="1" ht="18.75" customHeight="1" x14ac:dyDescent="0.15">
      <c r="A121" s="1836"/>
      <c r="B121" s="1451"/>
      <c r="C121" s="1451"/>
      <c r="D121" s="1669" t="str">
        <f>改善項目管理用!T12</f>
        <v>？</v>
      </c>
      <c r="E121" s="1765" t="str">
        <f t="shared" si="42"/>
        <v>？</v>
      </c>
      <c r="F121" s="1765" t="str">
        <f t="shared" si="43"/>
        <v>？</v>
      </c>
      <c r="G121" s="1765" t="str">
        <f t="shared" si="44"/>
        <v>？</v>
      </c>
      <c r="H121" s="1538"/>
      <c r="I121" s="1451"/>
      <c r="J121" s="1528"/>
      <c r="K121" s="1451" t="s">
        <v>727</v>
      </c>
      <c r="L121" s="1451"/>
      <c r="M121" s="1548"/>
      <c r="N121" s="1451"/>
      <c r="O121" s="1451"/>
      <c r="P121" s="1451"/>
      <c r="Q121" s="1451"/>
      <c r="R121" s="1451"/>
      <c r="S121" s="1451" t="str">
        <f t="shared" si="41"/>
        <v>1(9)</v>
      </c>
      <c r="T121" s="1451"/>
      <c r="U121" s="1510" t="s">
        <v>3306</v>
      </c>
      <c r="V121" s="1470" t="s">
        <v>33</v>
      </c>
      <c r="W121" s="1518" t="s">
        <v>1366</v>
      </c>
      <c r="X121" s="1834" t="s">
        <v>727</v>
      </c>
      <c r="Y121" s="1473"/>
      <c r="Z121" s="1474"/>
      <c r="AA121" s="1473"/>
      <c r="AB121" s="1470"/>
      <c r="AC121" s="1832"/>
      <c r="AD121" s="1833"/>
      <c r="AG121" s="1457" t="str">
        <f t="shared" si="25"/>
        <v>23調査結果-1(9)</v>
      </c>
      <c r="AI121" s="1459"/>
      <c r="AJ121" s="1459"/>
      <c r="AK121" s="1459"/>
    </row>
    <row r="122" spans="1:37" s="1457" customFormat="1" ht="18.75" customHeight="1" x14ac:dyDescent="0.15">
      <c r="A122" s="1836"/>
      <c r="B122" s="1451"/>
      <c r="C122" s="1451"/>
      <c r="D122" s="1669" t="str">
        <f>改善項目管理用!T13</f>
        <v/>
      </c>
      <c r="E122" s="1765" t="str">
        <f t="shared" si="42"/>
        <v/>
      </c>
      <c r="F122" s="1765" t="str">
        <f t="shared" si="43"/>
        <v/>
      </c>
      <c r="G122" s="1765" t="str">
        <f t="shared" si="44"/>
        <v/>
      </c>
      <c r="H122" s="1538"/>
      <c r="I122" s="1451"/>
      <c r="J122" s="1528"/>
      <c r="K122" s="1451" t="s">
        <v>1740</v>
      </c>
      <c r="L122" s="1451"/>
      <c r="M122" s="1548"/>
      <c r="N122" s="1451"/>
      <c r="O122" s="1451"/>
      <c r="P122" s="1451"/>
      <c r="Q122" s="1451"/>
      <c r="R122" s="1451"/>
      <c r="S122" s="1451" t="str">
        <f t="shared" si="41"/>
        <v>1(10)</v>
      </c>
      <c r="T122" s="1451"/>
      <c r="U122" s="1510" t="s">
        <v>3306</v>
      </c>
      <c r="V122" s="1470" t="s">
        <v>33</v>
      </c>
      <c r="W122" s="1518" t="s">
        <v>1366</v>
      </c>
      <c r="X122" s="1834" t="s">
        <v>1740</v>
      </c>
      <c r="Y122" s="1473"/>
      <c r="Z122" s="1474"/>
      <c r="AA122" s="1473"/>
      <c r="AB122" s="1470"/>
      <c r="AC122" s="1832"/>
      <c r="AD122" s="1833"/>
      <c r="AG122" s="1457" t="str">
        <f t="shared" si="25"/>
        <v>23調査結果-1(10)</v>
      </c>
      <c r="AI122" s="1459"/>
      <c r="AJ122" s="1459"/>
      <c r="AK122" s="1459"/>
    </row>
    <row r="123" spans="1:37" s="1457" customFormat="1" ht="18.75" customHeight="1" x14ac:dyDescent="0.15">
      <c r="A123" s="1836"/>
      <c r="B123" s="1451"/>
      <c r="C123" s="1451"/>
      <c r="D123" s="1669" t="str">
        <f>改善項目管理用!T14</f>
        <v/>
      </c>
      <c r="E123" s="1765" t="str">
        <f t="shared" si="42"/>
        <v/>
      </c>
      <c r="F123" s="1765" t="str">
        <f t="shared" si="43"/>
        <v/>
      </c>
      <c r="G123" s="1765" t="str">
        <f t="shared" si="44"/>
        <v/>
      </c>
      <c r="H123" s="1538"/>
      <c r="I123" s="1451"/>
      <c r="J123" s="1528"/>
      <c r="K123" s="1451" t="s">
        <v>1741</v>
      </c>
      <c r="L123" s="1451"/>
      <c r="M123" s="1548"/>
      <c r="N123" s="1451"/>
      <c r="O123" s="1451"/>
      <c r="P123" s="1451"/>
      <c r="Q123" s="1451"/>
      <c r="R123" s="1451"/>
      <c r="S123" s="1451" t="str">
        <f t="shared" si="41"/>
        <v>1(11)</v>
      </c>
      <c r="T123" s="1451"/>
      <c r="U123" s="1510" t="s">
        <v>3306</v>
      </c>
      <c r="V123" s="1470" t="s">
        <v>33</v>
      </c>
      <c r="W123" s="1518" t="s">
        <v>1366</v>
      </c>
      <c r="X123" s="1834" t="s">
        <v>1741</v>
      </c>
      <c r="Y123" s="1473"/>
      <c r="Z123" s="1474"/>
      <c r="AA123" s="1473"/>
      <c r="AB123" s="1470"/>
      <c r="AC123" s="1832"/>
      <c r="AD123" s="1833"/>
      <c r="AG123" s="1457" t="str">
        <f t="shared" si="25"/>
        <v>23調査結果-1(11)</v>
      </c>
      <c r="AI123" s="1459"/>
      <c r="AJ123" s="1459"/>
      <c r="AK123" s="1459"/>
    </row>
    <row r="124" spans="1:37" s="1457" customFormat="1" ht="18.75" customHeight="1" x14ac:dyDescent="0.15">
      <c r="A124" s="1836"/>
      <c r="B124" s="1451"/>
      <c r="C124" s="1451"/>
      <c r="D124" s="1669" t="str">
        <f>改善項目管理用!T15</f>
        <v/>
      </c>
      <c r="E124" s="1765" t="str">
        <f t="shared" si="42"/>
        <v/>
      </c>
      <c r="F124" s="1765" t="str">
        <f t="shared" si="43"/>
        <v/>
      </c>
      <c r="G124" s="1765" t="str">
        <f t="shared" si="44"/>
        <v/>
      </c>
      <c r="H124" s="1538"/>
      <c r="I124" s="1451"/>
      <c r="J124" s="1528"/>
      <c r="K124" s="1451" t="s">
        <v>1742</v>
      </c>
      <c r="L124" s="1451"/>
      <c r="M124" s="1548"/>
      <c r="N124" s="1451"/>
      <c r="O124" s="1451"/>
      <c r="P124" s="1451"/>
      <c r="Q124" s="1451"/>
      <c r="R124" s="1451"/>
      <c r="S124" s="1451" t="str">
        <f t="shared" si="41"/>
        <v>1(12)</v>
      </c>
      <c r="T124" s="1451"/>
      <c r="U124" s="1510" t="s">
        <v>3306</v>
      </c>
      <c r="V124" s="1470" t="s">
        <v>33</v>
      </c>
      <c r="W124" s="1518" t="s">
        <v>1366</v>
      </c>
      <c r="X124" s="1834" t="s">
        <v>1742</v>
      </c>
      <c r="Y124" s="1473"/>
      <c r="Z124" s="1474"/>
      <c r="AA124" s="1473"/>
      <c r="AB124" s="1470"/>
      <c r="AC124" s="1832"/>
      <c r="AD124" s="1833"/>
      <c r="AG124" s="1457" t="str">
        <f t="shared" si="25"/>
        <v>23調査結果-1(12)</v>
      </c>
      <c r="AI124" s="1459"/>
      <c r="AJ124" s="1459"/>
      <c r="AK124" s="1459"/>
    </row>
    <row r="125" spans="1:37" s="1457" customFormat="1" ht="18.75" customHeight="1" x14ac:dyDescent="0.15">
      <c r="A125" s="1836"/>
      <c r="B125" s="1451"/>
      <c r="C125" s="1451"/>
      <c r="D125" s="1669" t="str">
        <f>改善項目管理用!T16</f>
        <v/>
      </c>
      <c r="E125" s="1765" t="str">
        <f t="shared" si="42"/>
        <v/>
      </c>
      <c r="F125" s="1765" t="str">
        <f t="shared" si="43"/>
        <v/>
      </c>
      <c r="G125" s="1765" t="str">
        <f t="shared" si="44"/>
        <v/>
      </c>
      <c r="H125" s="1538"/>
      <c r="I125" s="1451"/>
      <c r="J125" s="1528"/>
      <c r="K125" s="1451" t="s">
        <v>1743</v>
      </c>
      <c r="L125" s="1451"/>
      <c r="M125" s="1548"/>
      <c r="N125" s="1451"/>
      <c r="O125" s="1451"/>
      <c r="P125" s="1451"/>
      <c r="Q125" s="1451"/>
      <c r="R125" s="1451"/>
      <c r="S125" s="1451" t="str">
        <f t="shared" si="41"/>
        <v>1(13)</v>
      </c>
      <c r="T125" s="1451"/>
      <c r="U125" s="1510" t="s">
        <v>3306</v>
      </c>
      <c r="V125" s="1470" t="s">
        <v>33</v>
      </c>
      <c r="W125" s="1518" t="s">
        <v>1366</v>
      </c>
      <c r="X125" s="1834" t="s">
        <v>1743</v>
      </c>
      <c r="Y125" s="1473"/>
      <c r="Z125" s="1474"/>
      <c r="AA125" s="1473"/>
      <c r="AB125" s="1470"/>
      <c r="AC125" s="1832"/>
      <c r="AD125" s="1833"/>
      <c r="AG125" s="1457" t="str">
        <f t="shared" si="25"/>
        <v>23調査結果-1(13)</v>
      </c>
      <c r="AI125" s="1459"/>
      <c r="AJ125" s="1459"/>
      <c r="AK125" s="1459"/>
    </row>
    <row r="126" spans="1:37" s="1457" customFormat="1" ht="18.75" customHeight="1" x14ac:dyDescent="0.15">
      <c r="A126" s="1836"/>
      <c r="B126" s="1451"/>
      <c r="C126" s="1451"/>
      <c r="D126" s="1669" t="str">
        <f>改善項目管理用!T17</f>
        <v/>
      </c>
      <c r="E126" s="1765" t="str">
        <f t="shared" si="42"/>
        <v/>
      </c>
      <c r="F126" s="1765" t="str">
        <f t="shared" si="43"/>
        <v/>
      </c>
      <c r="G126" s="1765" t="str">
        <f t="shared" si="44"/>
        <v/>
      </c>
      <c r="H126" s="1538"/>
      <c r="I126" s="1451"/>
      <c r="J126" s="1528"/>
      <c r="K126" s="1451" t="s">
        <v>1744</v>
      </c>
      <c r="L126" s="1451"/>
      <c r="M126" s="1548"/>
      <c r="N126" s="1451"/>
      <c r="O126" s="1451"/>
      <c r="P126" s="1451"/>
      <c r="Q126" s="1451"/>
      <c r="R126" s="1451"/>
      <c r="S126" s="1451" t="str">
        <f t="shared" si="41"/>
        <v>1(14)</v>
      </c>
      <c r="T126" s="1451"/>
      <c r="U126" s="1510" t="s">
        <v>3306</v>
      </c>
      <c r="V126" s="1470" t="s">
        <v>33</v>
      </c>
      <c r="W126" s="1518" t="s">
        <v>1366</v>
      </c>
      <c r="X126" s="1834" t="s">
        <v>1744</v>
      </c>
      <c r="Y126" s="1473"/>
      <c r="Z126" s="1474"/>
      <c r="AA126" s="1473"/>
      <c r="AB126" s="1470"/>
      <c r="AC126" s="1832"/>
      <c r="AD126" s="1833"/>
      <c r="AG126" s="1457" t="str">
        <f t="shared" si="25"/>
        <v>23調査結果-1(14)</v>
      </c>
      <c r="AI126" s="1459"/>
      <c r="AJ126" s="1459"/>
      <c r="AK126" s="1459"/>
    </row>
    <row r="127" spans="1:37" s="1457" customFormat="1" ht="18.75" customHeight="1" x14ac:dyDescent="0.15">
      <c r="A127" s="1836"/>
      <c r="B127" s="1451"/>
      <c r="C127" s="1451"/>
      <c r="D127" s="1669" t="str">
        <f>改善項目管理用!T18</f>
        <v>？</v>
      </c>
      <c r="E127" s="1765" t="str">
        <f t="shared" si="42"/>
        <v>？</v>
      </c>
      <c r="F127" s="1765" t="str">
        <f t="shared" si="43"/>
        <v>？</v>
      </c>
      <c r="G127" s="1765" t="str">
        <f t="shared" si="44"/>
        <v>？</v>
      </c>
      <c r="H127" s="1538"/>
      <c r="I127" s="1451"/>
      <c r="J127" s="1528"/>
      <c r="K127" s="1451" t="s">
        <v>1797</v>
      </c>
      <c r="L127" s="1451"/>
      <c r="M127" s="1548"/>
      <c r="N127" s="1451"/>
      <c r="O127" s="1451"/>
      <c r="P127" s="1451"/>
      <c r="Q127" s="1451"/>
      <c r="R127" s="1451"/>
      <c r="S127" s="1451" t="str">
        <f t="shared" si="41"/>
        <v>2(1)</v>
      </c>
      <c r="T127" s="1451"/>
      <c r="U127" s="1510" t="s">
        <v>3306</v>
      </c>
      <c r="V127" s="1470" t="s">
        <v>33</v>
      </c>
      <c r="W127" s="1518" t="s">
        <v>1366</v>
      </c>
      <c r="X127" s="1834" t="s">
        <v>1797</v>
      </c>
      <c r="Y127" s="1473"/>
      <c r="Z127" s="1474"/>
      <c r="AA127" s="1473"/>
      <c r="AB127" s="1833"/>
      <c r="AC127" s="1832"/>
      <c r="AD127" s="1833"/>
      <c r="AG127" s="1457" t="str">
        <f t="shared" si="25"/>
        <v>23調査結果-2(1)</v>
      </c>
      <c r="AI127" s="1459"/>
      <c r="AJ127" s="1459"/>
      <c r="AK127" s="1459"/>
    </row>
    <row r="128" spans="1:37" s="1457" customFormat="1" ht="18.75" customHeight="1" x14ac:dyDescent="0.15">
      <c r="A128" s="1836"/>
      <c r="B128" s="1451"/>
      <c r="C128" s="1451"/>
      <c r="D128" s="1669" t="str">
        <f>改善項目管理用!T19</f>
        <v>？</v>
      </c>
      <c r="E128" s="1765" t="str">
        <f t="shared" si="42"/>
        <v>？</v>
      </c>
      <c r="F128" s="1765" t="str">
        <f t="shared" si="43"/>
        <v>？</v>
      </c>
      <c r="G128" s="1765" t="str">
        <f t="shared" si="44"/>
        <v>？</v>
      </c>
      <c r="H128" s="1538"/>
      <c r="I128" s="1451"/>
      <c r="J128" s="1528"/>
      <c r="K128" s="1451" t="s">
        <v>1798</v>
      </c>
      <c r="L128" s="1451"/>
      <c r="M128" s="1548"/>
      <c r="N128" s="1451"/>
      <c r="O128" s="1451"/>
      <c r="P128" s="1451"/>
      <c r="Q128" s="1451"/>
      <c r="R128" s="1451"/>
      <c r="S128" s="1451" t="str">
        <f t="shared" si="41"/>
        <v>2(2)</v>
      </c>
      <c r="T128" s="1451"/>
      <c r="U128" s="1510" t="s">
        <v>3306</v>
      </c>
      <c r="V128" s="1470" t="s">
        <v>33</v>
      </c>
      <c r="W128" s="1518" t="s">
        <v>1366</v>
      </c>
      <c r="X128" s="1834" t="s">
        <v>1798</v>
      </c>
      <c r="Y128" s="1835"/>
      <c r="Z128" s="1832"/>
      <c r="AA128" s="1835"/>
      <c r="AB128" s="1833"/>
      <c r="AC128" s="1832"/>
      <c r="AD128" s="1833"/>
      <c r="AG128" s="1457" t="str">
        <f t="shared" si="25"/>
        <v>23調査結果-2(2)</v>
      </c>
    </row>
    <row r="129" spans="1:41" s="1457" customFormat="1" ht="18.75" customHeight="1" x14ac:dyDescent="0.15">
      <c r="A129" s="1836"/>
      <c r="B129" s="1451"/>
      <c r="C129" s="1451"/>
      <c r="D129" s="1669" t="str">
        <f>改善項目管理用!T20</f>
        <v>？</v>
      </c>
      <c r="E129" s="1765" t="str">
        <f t="shared" si="42"/>
        <v>？</v>
      </c>
      <c r="F129" s="1765" t="str">
        <f t="shared" si="43"/>
        <v>？</v>
      </c>
      <c r="G129" s="1765" t="str">
        <f t="shared" si="44"/>
        <v>？</v>
      </c>
      <c r="H129" s="1538"/>
      <c r="I129" s="1451"/>
      <c r="J129" s="1528"/>
      <c r="K129" s="1451" t="s">
        <v>1799</v>
      </c>
      <c r="L129" s="1451"/>
      <c r="M129" s="1548"/>
      <c r="N129" s="1451"/>
      <c r="O129" s="1451"/>
      <c r="P129" s="1451"/>
      <c r="Q129" s="1451"/>
      <c r="R129" s="1451"/>
      <c r="S129" s="1451" t="str">
        <f t="shared" si="41"/>
        <v>2(3)</v>
      </c>
      <c r="T129" s="1451"/>
      <c r="U129" s="1510" t="s">
        <v>3306</v>
      </c>
      <c r="V129" s="1470" t="s">
        <v>33</v>
      </c>
      <c r="W129" s="1518" t="s">
        <v>1366</v>
      </c>
      <c r="X129" s="1834" t="s">
        <v>1799</v>
      </c>
      <c r="Y129" s="1835"/>
      <c r="Z129" s="1832"/>
      <c r="AA129" s="1835"/>
      <c r="AB129" s="1833"/>
      <c r="AC129" s="1832"/>
      <c r="AD129" s="1833"/>
      <c r="AG129" s="1457" t="str">
        <f t="shared" si="25"/>
        <v>23調査結果-2(3)</v>
      </c>
    </row>
    <row r="130" spans="1:41" s="1457" customFormat="1" ht="18.75" customHeight="1" x14ac:dyDescent="0.15">
      <c r="A130" s="1836"/>
      <c r="B130" s="1451"/>
      <c r="C130" s="1451"/>
      <c r="D130" s="1669" t="str">
        <f>改善項目管理用!T21</f>
        <v>？</v>
      </c>
      <c r="E130" s="1765" t="str">
        <f t="shared" si="42"/>
        <v>？</v>
      </c>
      <c r="F130" s="1765" t="str">
        <f t="shared" si="43"/>
        <v>？</v>
      </c>
      <c r="G130" s="1765" t="str">
        <f t="shared" si="44"/>
        <v>？</v>
      </c>
      <c r="H130" s="1538"/>
      <c r="I130" s="1451"/>
      <c r="J130" s="1528"/>
      <c r="K130" s="1451" t="s">
        <v>1800</v>
      </c>
      <c r="L130" s="1451"/>
      <c r="M130" s="1548"/>
      <c r="N130" s="1451"/>
      <c r="O130" s="1451"/>
      <c r="P130" s="1451"/>
      <c r="Q130" s="1451"/>
      <c r="R130" s="1451"/>
      <c r="S130" s="1451" t="str">
        <f t="shared" si="41"/>
        <v>2(4)</v>
      </c>
      <c r="T130" s="1451"/>
      <c r="U130" s="1510" t="s">
        <v>3306</v>
      </c>
      <c r="V130" s="1470" t="s">
        <v>33</v>
      </c>
      <c r="W130" s="1518" t="s">
        <v>1366</v>
      </c>
      <c r="X130" s="1834" t="s">
        <v>1800</v>
      </c>
      <c r="Y130" s="1835"/>
      <c r="Z130" s="1832"/>
      <c r="AA130" s="1835"/>
      <c r="AB130" s="1833"/>
      <c r="AC130" s="1832"/>
      <c r="AD130" s="1833"/>
      <c r="AG130" s="1457" t="str">
        <f t="shared" si="25"/>
        <v>23調査結果-2(4)</v>
      </c>
    </row>
    <row r="131" spans="1:41" s="1457" customFormat="1" ht="18.75" customHeight="1" x14ac:dyDescent="0.15">
      <c r="A131" s="1836"/>
      <c r="B131" s="1451"/>
      <c r="C131" s="1451"/>
      <c r="D131" s="1669" t="str">
        <f>改善項目管理用!T22</f>
        <v>？</v>
      </c>
      <c r="E131" s="1765" t="str">
        <f t="shared" si="42"/>
        <v>？</v>
      </c>
      <c r="F131" s="1765" t="str">
        <f t="shared" si="43"/>
        <v>？</v>
      </c>
      <c r="G131" s="1765" t="str">
        <f t="shared" si="44"/>
        <v>？</v>
      </c>
      <c r="H131" s="1538"/>
      <c r="I131" s="1451"/>
      <c r="J131" s="1528"/>
      <c r="K131" s="1451" t="s">
        <v>1801</v>
      </c>
      <c r="L131" s="1451"/>
      <c r="M131" s="1548"/>
      <c r="N131" s="1451"/>
      <c r="O131" s="1451"/>
      <c r="P131" s="1451"/>
      <c r="Q131" s="1451"/>
      <c r="R131" s="1451"/>
      <c r="S131" s="1451" t="str">
        <f t="shared" si="41"/>
        <v>2(5)</v>
      </c>
      <c r="T131" s="1451"/>
      <c r="U131" s="1510" t="s">
        <v>3306</v>
      </c>
      <c r="V131" s="1470" t="s">
        <v>33</v>
      </c>
      <c r="W131" s="1518" t="s">
        <v>1366</v>
      </c>
      <c r="X131" s="1834" t="s">
        <v>1801</v>
      </c>
      <c r="Y131" s="1835"/>
      <c r="Z131" s="1832"/>
      <c r="AA131" s="1835"/>
      <c r="AB131" s="1833"/>
      <c r="AC131" s="1832"/>
      <c r="AD131" s="1833"/>
      <c r="AG131" s="1457" t="str">
        <f t="shared" ref="AG131:AG194" si="45">CONCATENATE(U131,V131,W131,X131,Y131,Z131,AA131,AB131,AC131,AD131)</f>
        <v>23調査結果-2(5)</v>
      </c>
    </row>
    <row r="132" spans="1:41" s="1523" customFormat="1" ht="18.75" customHeight="1" x14ac:dyDescent="0.15">
      <c r="A132" s="1836"/>
      <c r="B132" s="1451"/>
      <c r="C132" s="1451"/>
      <c r="D132" s="1669" t="str">
        <f>改善項目管理用!T23</f>
        <v>？</v>
      </c>
      <c r="E132" s="1765" t="str">
        <f t="shared" si="42"/>
        <v>？</v>
      </c>
      <c r="F132" s="1765" t="str">
        <f t="shared" si="43"/>
        <v>？</v>
      </c>
      <c r="G132" s="1765" t="str">
        <f t="shared" si="44"/>
        <v>？</v>
      </c>
      <c r="H132" s="1538"/>
      <c r="I132" s="1451"/>
      <c r="J132" s="1528"/>
      <c r="K132" s="1451" t="s">
        <v>1802</v>
      </c>
      <c r="L132" s="1451"/>
      <c r="M132" s="1548"/>
      <c r="N132" s="1451"/>
      <c r="O132" s="1451"/>
      <c r="P132" s="1451"/>
      <c r="Q132" s="1451"/>
      <c r="R132" s="1451"/>
      <c r="S132" s="1451" t="str">
        <f t="shared" si="41"/>
        <v>2(6)</v>
      </c>
      <c r="T132" s="1451"/>
      <c r="U132" s="1510" t="s">
        <v>3306</v>
      </c>
      <c r="V132" s="1470" t="s">
        <v>33</v>
      </c>
      <c r="W132" s="1518" t="s">
        <v>1366</v>
      </c>
      <c r="X132" s="1834" t="s">
        <v>1802</v>
      </c>
      <c r="Y132" s="1835"/>
      <c r="Z132" s="1832"/>
      <c r="AA132" s="1835"/>
      <c r="AB132" s="1833"/>
      <c r="AC132" s="1832"/>
      <c r="AD132" s="1833"/>
      <c r="AE132" s="1457"/>
      <c r="AF132" s="1457"/>
      <c r="AG132" s="1457" t="str">
        <f t="shared" si="45"/>
        <v>23調査結果-2(6)</v>
      </c>
      <c r="AH132" s="1457"/>
      <c r="AI132" s="1457"/>
      <c r="AJ132" s="1457"/>
      <c r="AK132" s="1457"/>
      <c r="AL132" s="1457"/>
      <c r="AM132" s="1457"/>
      <c r="AN132" s="1457"/>
      <c r="AO132" s="1457"/>
    </row>
    <row r="133" spans="1:41" s="1523" customFormat="1" ht="18.75" customHeight="1" x14ac:dyDescent="0.15">
      <c r="A133" s="1836"/>
      <c r="B133" s="1451"/>
      <c r="C133" s="1451"/>
      <c r="D133" s="1669" t="str">
        <f>改善項目管理用!T24</f>
        <v>？</v>
      </c>
      <c r="E133" s="1765" t="str">
        <f t="shared" si="42"/>
        <v>？</v>
      </c>
      <c r="F133" s="1765" t="str">
        <f t="shared" si="43"/>
        <v>？</v>
      </c>
      <c r="G133" s="1765" t="str">
        <f t="shared" si="44"/>
        <v>？</v>
      </c>
      <c r="H133" s="1538"/>
      <c r="I133" s="1451"/>
      <c r="J133" s="1528"/>
      <c r="K133" s="1451" t="s">
        <v>1803</v>
      </c>
      <c r="L133" s="1451"/>
      <c r="M133" s="1548"/>
      <c r="N133" s="1451"/>
      <c r="O133" s="1451"/>
      <c r="P133" s="1451"/>
      <c r="Q133" s="1451"/>
      <c r="R133" s="1451"/>
      <c r="S133" s="1451" t="str">
        <f t="shared" si="41"/>
        <v>2(7)</v>
      </c>
      <c r="T133" s="1451"/>
      <c r="U133" s="1510" t="s">
        <v>3306</v>
      </c>
      <c r="V133" s="1470" t="s">
        <v>33</v>
      </c>
      <c r="W133" s="1518" t="s">
        <v>1366</v>
      </c>
      <c r="X133" s="1834" t="s">
        <v>1803</v>
      </c>
      <c r="Y133" s="1835"/>
      <c r="Z133" s="1832"/>
      <c r="AA133" s="1835"/>
      <c r="AB133" s="1833"/>
      <c r="AC133" s="1832"/>
      <c r="AD133" s="1833"/>
      <c r="AE133" s="1457"/>
      <c r="AF133" s="1457"/>
      <c r="AG133" s="1457" t="str">
        <f t="shared" si="45"/>
        <v>23調査結果-2(7)</v>
      </c>
      <c r="AH133" s="1457"/>
      <c r="AI133" s="1457"/>
      <c r="AJ133" s="1457"/>
      <c r="AK133" s="1457"/>
      <c r="AL133" s="1457"/>
      <c r="AM133" s="1457"/>
      <c r="AN133" s="1457"/>
      <c r="AO133" s="1457"/>
    </row>
    <row r="134" spans="1:41" s="1523" customFormat="1" ht="18.75" customHeight="1" x14ac:dyDescent="0.15">
      <c r="A134" s="1836"/>
      <c r="B134" s="1451"/>
      <c r="C134" s="1451"/>
      <c r="D134" s="1669" t="str">
        <f>改善項目管理用!T25</f>
        <v>？</v>
      </c>
      <c r="E134" s="1765" t="str">
        <f t="shared" si="42"/>
        <v>？</v>
      </c>
      <c r="F134" s="1765" t="str">
        <f t="shared" si="43"/>
        <v>？</v>
      </c>
      <c r="G134" s="1765" t="str">
        <f t="shared" si="44"/>
        <v>？</v>
      </c>
      <c r="H134" s="1538"/>
      <c r="I134" s="1451"/>
      <c r="J134" s="1528"/>
      <c r="K134" s="1451" t="s">
        <v>1804</v>
      </c>
      <c r="L134" s="1451"/>
      <c r="M134" s="1548"/>
      <c r="N134" s="1451"/>
      <c r="O134" s="1451"/>
      <c r="P134" s="1451"/>
      <c r="Q134" s="1451"/>
      <c r="R134" s="1451"/>
      <c r="S134" s="1451" t="str">
        <f t="shared" si="41"/>
        <v>2(8)</v>
      </c>
      <c r="T134" s="1451"/>
      <c r="U134" s="1510" t="s">
        <v>3306</v>
      </c>
      <c r="V134" s="1470" t="s">
        <v>33</v>
      </c>
      <c r="W134" s="1518" t="s">
        <v>1366</v>
      </c>
      <c r="X134" s="1834" t="s">
        <v>1804</v>
      </c>
      <c r="Y134" s="1835"/>
      <c r="Z134" s="1832"/>
      <c r="AA134" s="1835"/>
      <c r="AB134" s="1833"/>
      <c r="AC134" s="1832"/>
      <c r="AD134" s="1833"/>
      <c r="AE134" s="1457"/>
      <c r="AF134" s="1457"/>
      <c r="AG134" s="1457" t="str">
        <f t="shared" si="45"/>
        <v>23調査結果-2(8)</v>
      </c>
      <c r="AH134" s="1457"/>
      <c r="AI134" s="1457"/>
      <c r="AJ134" s="1457"/>
      <c r="AK134" s="1457"/>
      <c r="AL134" s="1457"/>
      <c r="AM134" s="1457"/>
      <c r="AN134" s="1457"/>
      <c r="AO134" s="1457"/>
    </row>
    <row r="135" spans="1:41" s="1523" customFormat="1" ht="18.75" customHeight="1" x14ac:dyDescent="0.15">
      <c r="A135" s="1836"/>
      <c r="B135" s="1451"/>
      <c r="C135" s="1451"/>
      <c r="D135" s="1669" t="str">
        <f>改善項目管理用!T26</f>
        <v>？</v>
      </c>
      <c r="E135" s="1765" t="str">
        <f t="shared" si="42"/>
        <v>？</v>
      </c>
      <c r="F135" s="1765" t="str">
        <f t="shared" si="43"/>
        <v>？</v>
      </c>
      <c r="G135" s="1765" t="str">
        <f t="shared" si="44"/>
        <v>？</v>
      </c>
      <c r="H135" s="1538"/>
      <c r="I135" s="1451"/>
      <c r="J135" s="1528"/>
      <c r="K135" s="1451" t="s">
        <v>1805</v>
      </c>
      <c r="L135" s="1451"/>
      <c r="M135" s="1548"/>
      <c r="N135" s="1451"/>
      <c r="O135" s="1451"/>
      <c r="P135" s="1451"/>
      <c r="Q135" s="1451"/>
      <c r="R135" s="1451"/>
      <c r="S135" s="1451" t="str">
        <f t="shared" si="41"/>
        <v>2(9)</v>
      </c>
      <c r="T135" s="1451"/>
      <c r="U135" s="1510" t="s">
        <v>3306</v>
      </c>
      <c r="V135" s="1470" t="s">
        <v>33</v>
      </c>
      <c r="W135" s="1518" t="s">
        <v>1366</v>
      </c>
      <c r="X135" s="1834" t="s">
        <v>1805</v>
      </c>
      <c r="Y135" s="1835"/>
      <c r="Z135" s="1832"/>
      <c r="AA135" s="1835"/>
      <c r="AB135" s="1833"/>
      <c r="AC135" s="1832"/>
      <c r="AD135" s="1833"/>
      <c r="AE135" s="1457"/>
      <c r="AF135" s="1457"/>
      <c r="AG135" s="1457" t="str">
        <f t="shared" si="45"/>
        <v>23調査結果-2(9)</v>
      </c>
      <c r="AH135" s="1457"/>
      <c r="AI135" s="1457"/>
      <c r="AJ135" s="1457"/>
      <c r="AK135" s="1457"/>
      <c r="AL135" s="1457"/>
      <c r="AM135" s="1457"/>
      <c r="AN135" s="1457"/>
      <c r="AO135" s="1457"/>
    </row>
    <row r="136" spans="1:41" s="1523" customFormat="1" ht="18.75" customHeight="1" x14ac:dyDescent="0.15">
      <c r="A136" s="1836"/>
      <c r="B136" s="1451"/>
      <c r="C136" s="1451"/>
      <c r="D136" s="1669" t="str">
        <f>改善項目管理用!T27</f>
        <v>？</v>
      </c>
      <c r="E136" s="1765" t="str">
        <f t="shared" si="42"/>
        <v>？</v>
      </c>
      <c r="F136" s="1765" t="str">
        <f t="shared" si="43"/>
        <v>？</v>
      </c>
      <c r="G136" s="1765" t="str">
        <f t="shared" si="44"/>
        <v>？</v>
      </c>
      <c r="H136" s="1538"/>
      <c r="I136" s="1451"/>
      <c r="J136" s="1528"/>
      <c r="K136" s="1451" t="s">
        <v>1806</v>
      </c>
      <c r="L136" s="1451"/>
      <c r="M136" s="1548"/>
      <c r="N136" s="1451"/>
      <c r="O136" s="1451"/>
      <c r="P136" s="1451"/>
      <c r="Q136" s="1451"/>
      <c r="R136" s="1451"/>
      <c r="S136" s="1451" t="str">
        <f t="shared" si="41"/>
        <v>2(10)</v>
      </c>
      <c r="T136" s="1451"/>
      <c r="U136" s="1510" t="s">
        <v>3306</v>
      </c>
      <c r="V136" s="1470" t="s">
        <v>33</v>
      </c>
      <c r="W136" s="1518" t="s">
        <v>1366</v>
      </c>
      <c r="X136" s="1834" t="s">
        <v>1806</v>
      </c>
      <c r="Y136" s="1835"/>
      <c r="Z136" s="1832"/>
      <c r="AA136" s="1835"/>
      <c r="AB136" s="1833"/>
      <c r="AC136" s="1832"/>
      <c r="AD136" s="1833"/>
      <c r="AE136" s="1457"/>
      <c r="AF136" s="1457"/>
      <c r="AG136" s="1457" t="str">
        <f t="shared" si="45"/>
        <v>23調査結果-2(10)</v>
      </c>
      <c r="AH136" s="1457"/>
      <c r="AI136" s="1457"/>
      <c r="AJ136" s="1457"/>
      <c r="AK136" s="1457"/>
      <c r="AL136" s="1457"/>
      <c r="AM136" s="1457"/>
      <c r="AN136" s="1457"/>
      <c r="AO136" s="1457"/>
    </row>
    <row r="137" spans="1:41" s="1523" customFormat="1" ht="18.75" customHeight="1" x14ac:dyDescent="0.15">
      <c r="A137" s="1836"/>
      <c r="B137" s="1451"/>
      <c r="C137" s="1451"/>
      <c r="D137" s="1669" t="str">
        <f>改善項目管理用!T28</f>
        <v>？</v>
      </c>
      <c r="E137" s="1765" t="str">
        <f t="shared" si="42"/>
        <v>？</v>
      </c>
      <c r="F137" s="1765" t="str">
        <f t="shared" si="43"/>
        <v>？</v>
      </c>
      <c r="G137" s="1765" t="str">
        <f t="shared" si="44"/>
        <v>？</v>
      </c>
      <c r="H137" s="1538"/>
      <c r="I137" s="1451"/>
      <c r="J137" s="1528"/>
      <c r="K137" s="1451" t="s">
        <v>1807</v>
      </c>
      <c r="L137" s="1451"/>
      <c r="M137" s="1548"/>
      <c r="N137" s="1451"/>
      <c r="O137" s="1451"/>
      <c r="P137" s="1451"/>
      <c r="Q137" s="1451"/>
      <c r="R137" s="1451"/>
      <c r="S137" s="1451" t="str">
        <f t="shared" si="41"/>
        <v>2(11)</v>
      </c>
      <c r="T137" s="1451"/>
      <c r="U137" s="1510" t="s">
        <v>3306</v>
      </c>
      <c r="V137" s="1470" t="s">
        <v>33</v>
      </c>
      <c r="W137" s="1518" t="s">
        <v>1366</v>
      </c>
      <c r="X137" s="1834" t="s">
        <v>1807</v>
      </c>
      <c r="Y137" s="1835"/>
      <c r="Z137" s="1832"/>
      <c r="AA137" s="1835"/>
      <c r="AB137" s="1833"/>
      <c r="AC137" s="1832"/>
      <c r="AD137" s="1833"/>
      <c r="AE137" s="1457"/>
      <c r="AF137" s="1457"/>
      <c r="AG137" s="1457" t="str">
        <f t="shared" si="45"/>
        <v>23調査結果-2(11)</v>
      </c>
      <c r="AH137" s="1457"/>
      <c r="AI137" s="1457"/>
      <c r="AJ137" s="1457"/>
      <c r="AK137" s="1457"/>
      <c r="AL137" s="1457"/>
      <c r="AM137" s="1457"/>
      <c r="AN137" s="1457"/>
      <c r="AO137" s="1457"/>
    </row>
    <row r="138" spans="1:41" ht="18.75" customHeight="1" x14ac:dyDescent="0.15">
      <c r="A138" s="1836"/>
      <c r="D138" s="1669" t="str">
        <f>改善項目管理用!T29</f>
        <v>？</v>
      </c>
      <c r="E138" s="1765" t="str">
        <f t="shared" si="42"/>
        <v>？</v>
      </c>
      <c r="F138" s="1765" t="str">
        <f t="shared" si="43"/>
        <v>？</v>
      </c>
      <c r="G138" s="1765" t="str">
        <f t="shared" si="44"/>
        <v>？</v>
      </c>
      <c r="K138" s="1451" t="s">
        <v>1808</v>
      </c>
      <c r="S138" s="1451" t="str">
        <f t="shared" si="41"/>
        <v>2(12)</v>
      </c>
      <c r="U138" s="1510" t="s">
        <v>3306</v>
      </c>
      <c r="V138" s="1470" t="s">
        <v>33</v>
      </c>
      <c r="W138" s="1518" t="s">
        <v>1366</v>
      </c>
      <c r="X138" s="1834" t="s">
        <v>1808</v>
      </c>
      <c r="Y138" s="1835"/>
      <c r="Z138" s="1832"/>
      <c r="AA138" s="1835"/>
      <c r="AB138" s="1833"/>
      <c r="AC138" s="1832"/>
      <c r="AD138" s="1833"/>
      <c r="AG138" s="1457" t="str">
        <f t="shared" si="45"/>
        <v>23調査結果-2(12)</v>
      </c>
    </row>
    <row r="139" spans="1:41" ht="18.75" customHeight="1" x14ac:dyDescent="0.15">
      <c r="A139" s="1836"/>
      <c r="D139" s="1669" t="str">
        <f>改善項目管理用!T30</f>
        <v>？</v>
      </c>
      <c r="E139" s="1765" t="str">
        <f t="shared" si="42"/>
        <v>？</v>
      </c>
      <c r="F139" s="1765" t="str">
        <f t="shared" si="43"/>
        <v>？</v>
      </c>
      <c r="G139" s="1765" t="str">
        <f t="shared" si="44"/>
        <v>？</v>
      </c>
      <c r="K139" s="1451" t="s">
        <v>1809</v>
      </c>
      <c r="S139" s="1451" t="str">
        <f t="shared" si="41"/>
        <v>2(13)</v>
      </c>
      <c r="U139" s="1510" t="s">
        <v>3306</v>
      </c>
      <c r="V139" s="1470" t="s">
        <v>33</v>
      </c>
      <c r="W139" s="1518" t="s">
        <v>1366</v>
      </c>
      <c r="X139" s="1834" t="s">
        <v>1809</v>
      </c>
      <c r="Y139" s="1835"/>
      <c r="Z139" s="1832"/>
      <c r="AA139" s="1835"/>
      <c r="AB139" s="1833"/>
      <c r="AC139" s="1832"/>
      <c r="AD139" s="1833"/>
      <c r="AG139" s="1457" t="str">
        <f t="shared" si="45"/>
        <v>23調査結果-2(13)</v>
      </c>
    </row>
    <row r="140" spans="1:41" ht="18.75" customHeight="1" x14ac:dyDescent="0.15">
      <c r="A140" s="1836"/>
      <c r="D140" s="1669" t="str">
        <f>改善項目管理用!T31</f>
        <v>？</v>
      </c>
      <c r="E140" s="1765" t="str">
        <f t="shared" si="42"/>
        <v>？</v>
      </c>
      <c r="F140" s="1765" t="str">
        <f t="shared" si="43"/>
        <v>？</v>
      </c>
      <c r="G140" s="1765" t="str">
        <f t="shared" si="44"/>
        <v>？</v>
      </c>
      <c r="K140" s="1451" t="s">
        <v>1810</v>
      </c>
      <c r="S140" s="1451" t="str">
        <f t="shared" si="41"/>
        <v>2(14)</v>
      </c>
      <c r="U140" s="1510" t="s">
        <v>3306</v>
      </c>
      <c r="V140" s="1470" t="s">
        <v>33</v>
      </c>
      <c r="W140" s="1518" t="s">
        <v>1366</v>
      </c>
      <c r="X140" s="1834" t="s">
        <v>1810</v>
      </c>
      <c r="Y140" s="1835"/>
      <c r="Z140" s="1832"/>
      <c r="AA140" s="1835"/>
      <c r="AB140" s="1833"/>
      <c r="AC140" s="1832"/>
      <c r="AD140" s="1833"/>
      <c r="AG140" s="1457" t="str">
        <f t="shared" si="45"/>
        <v>23調査結果-2(14)</v>
      </c>
    </row>
    <row r="141" spans="1:41" ht="18.75" customHeight="1" x14ac:dyDescent="0.15">
      <c r="A141" s="1836"/>
      <c r="D141" s="1669" t="str">
        <f>改善項目管理用!T32</f>
        <v>？</v>
      </c>
      <c r="E141" s="1765" t="str">
        <f t="shared" si="42"/>
        <v>？</v>
      </c>
      <c r="F141" s="1765" t="str">
        <f t="shared" si="43"/>
        <v>？</v>
      </c>
      <c r="G141" s="1765" t="str">
        <f t="shared" si="44"/>
        <v>？</v>
      </c>
      <c r="K141" s="1451" t="s">
        <v>1811</v>
      </c>
      <c r="S141" s="1451" t="str">
        <f t="shared" si="41"/>
        <v>2(15)</v>
      </c>
      <c r="U141" s="1510" t="s">
        <v>3306</v>
      </c>
      <c r="V141" s="1470" t="s">
        <v>33</v>
      </c>
      <c r="W141" s="1518" t="s">
        <v>1366</v>
      </c>
      <c r="X141" s="1834" t="s">
        <v>1811</v>
      </c>
      <c r="Y141" s="1835"/>
      <c r="Z141" s="1832"/>
      <c r="AA141" s="1835"/>
      <c r="AB141" s="1833"/>
      <c r="AC141" s="1832"/>
      <c r="AD141" s="1833"/>
      <c r="AG141" s="1457" t="str">
        <f t="shared" si="45"/>
        <v>23調査結果-2(15)</v>
      </c>
    </row>
    <row r="142" spans="1:41" ht="18.75" customHeight="1" x14ac:dyDescent="0.15">
      <c r="A142" s="1836"/>
      <c r="D142" s="1669" t="str">
        <f>改善項目管理用!T33</f>
        <v>？</v>
      </c>
      <c r="E142" s="1765" t="str">
        <f t="shared" si="42"/>
        <v>？</v>
      </c>
      <c r="F142" s="1765" t="str">
        <f t="shared" si="43"/>
        <v>？</v>
      </c>
      <c r="G142" s="1765" t="str">
        <f t="shared" si="44"/>
        <v>？</v>
      </c>
      <c r="K142" s="1451" t="s">
        <v>1812</v>
      </c>
      <c r="S142" s="1451" t="str">
        <f t="shared" si="41"/>
        <v>2(16)</v>
      </c>
      <c r="U142" s="1510" t="s">
        <v>3306</v>
      </c>
      <c r="V142" s="1470" t="s">
        <v>33</v>
      </c>
      <c r="W142" s="1518" t="s">
        <v>1366</v>
      </c>
      <c r="X142" s="1834" t="s">
        <v>1812</v>
      </c>
      <c r="Y142" s="1835"/>
      <c r="Z142" s="1832"/>
      <c r="AA142" s="1835"/>
      <c r="AB142" s="1833"/>
      <c r="AC142" s="1832"/>
      <c r="AD142" s="1833"/>
      <c r="AG142" s="1457" t="str">
        <f t="shared" si="45"/>
        <v>23調査結果-2(16)</v>
      </c>
    </row>
    <row r="143" spans="1:41" ht="18.75" customHeight="1" x14ac:dyDescent="0.15">
      <c r="A143" s="1836"/>
      <c r="D143" s="1669" t="str">
        <f>改善項目管理用!T34</f>
        <v>？</v>
      </c>
      <c r="E143" s="1765" t="str">
        <f t="shared" si="42"/>
        <v>？</v>
      </c>
      <c r="F143" s="1765" t="str">
        <f t="shared" si="43"/>
        <v>？</v>
      </c>
      <c r="G143" s="1765" t="str">
        <f t="shared" si="44"/>
        <v>？</v>
      </c>
      <c r="K143" s="1451" t="s">
        <v>1813</v>
      </c>
      <c r="S143" s="1451" t="str">
        <f t="shared" si="41"/>
        <v>2(17)</v>
      </c>
      <c r="U143" s="1510" t="s">
        <v>3306</v>
      </c>
      <c r="V143" s="1470" t="s">
        <v>33</v>
      </c>
      <c r="W143" s="1518" t="s">
        <v>1366</v>
      </c>
      <c r="X143" s="1834" t="s">
        <v>1813</v>
      </c>
      <c r="Y143" s="1835"/>
      <c r="Z143" s="1832"/>
      <c r="AA143" s="1835"/>
      <c r="AB143" s="1833"/>
      <c r="AC143" s="1832"/>
      <c r="AD143" s="1833"/>
      <c r="AG143" s="1457" t="str">
        <f t="shared" si="45"/>
        <v>23調査結果-2(17)</v>
      </c>
    </row>
    <row r="144" spans="1:41" ht="18.75" customHeight="1" x14ac:dyDescent="0.15">
      <c r="A144" s="1836"/>
      <c r="D144" s="1669" t="str">
        <f>改善項目管理用!T35</f>
        <v>？</v>
      </c>
      <c r="E144" s="1765" t="str">
        <f t="shared" si="42"/>
        <v>？</v>
      </c>
      <c r="F144" s="1765" t="str">
        <f t="shared" si="43"/>
        <v>？</v>
      </c>
      <c r="G144" s="1765" t="str">
        <f t="shared" si="44"/>
        <v>？</v>
      </c>
      <c r="K144" s="1451" t="s">
        <v>1814</v>
      </c>
      <c r="S144" s="1451" t="str">
        <f t="shared" si="41"/>
        <v>2(18)</v>
      </c>
      <c r="U144" s="1510" t="s">
        <v>3306</v>
      </c>
      <c r="V144" s="1470" t="s">
        <v>33</v>
      </c>
      <c r="W144" s="1518" t="s">
        <v>1366</v>
      </c>
      <c r="X144" s="1834" t="s">
        <v>1814</v>
      </c>
      <c r="Y144" s="1835"/>
      <c r="Z144" s="1832"/>
      <c r="AA144" s="1835"/>
      <c r="AB144" s="1833"/>
      <c r="AC144" s="1832"/>
      <c r="AD144" s="1833"/>
      <c r="AG144" s="1457" t="str">
        <f t="shared" si="45"/>
        <v>23調査結果-2(18)</v>
      </c>
    </row>
    <row r="145" spans="1:33" ht="18.75" customHeight="1" x14ac:dyDescent="0.15">
      <c r="A145" s="1836"/>
      <c r="D145" s="1669" t="str">
        <f>改善項目管理用!T36</f>
        <v/>
      </c>
      <c r="E145" s="1765" t="str">
        <f t="shared" si="42"/>
        <v/>
      </c>
      <c r="F145" s="1765" t="str">
        <f t="shared" si="43"/>
        <v/>
      </c>
      <c r="G145" s="1765" t="str">
        <f t="shared" si="44"/>
        <v/>
      </c>
      <c r="K145" s="1451" t="s">
        <v>3301</v>
      </c>
      <c r="S145" s="1451" t="str">
        <f t="shared" si="41"/>
        <v>2(19)</v>
      </c>
      <c r="U145" s="1510" t="s">
        <v>3306</v>
      </c>
      <c r="V145" s="1470" t="s">
        <v>33</v>
      </c>
      <c r="W145" s="1518" t="s">
        <v>1366</v>
      </c>
      <c r="X145" s="1834" t="s">
        <v>3301</v>
      </c>
      <c r="Y145" s="1835"/>
      <c r="Z145" s="1832"/>
      <c r="AA145" s="1835"/>
      <c r="AB145" s="1833"/>
      <c r="AC145" s="1832"/>
      <c r="AD145" s="1833"/>
      <c r="AG145" s="1457" t="str">
        <f t="shared" si="45"/>
        <v>23調査結果-2(19)</v>
      </c>
    </row>
    <row r="146" spans="1:33" ht="18.75" customHeight="1" x14ac:dyDescent="0.15">
      <c r="A146" s="1836"/>
      <c r="D146" s="1669" t="str">
        <f>改善項目管理用!T37</f>
        <v/>
      </c>
      <c r="E146" s="1765" t="str">
        <f t="shared" si="42"/>
        <v/>
      </c>
      <c r="F146" s="1765" t="str">
        <f t="shared" si="43"/>
        <v/>
      </c>
      <c r="G146" s="1765" t="str">
        <f t="shared" si="44"/>
        <v/>
      </c>
      <c r="K146" s="1451" t="s">
        <v>3302</v>
      </c>
      <c r="S146" s="1451" t="str">
        <f t="shared" si="41"/>
        <v>2(20)</v>
      </c>
      <c r="U146" s="1510" t="s">
        <v>3306</v>
      </c>
      <c r="V146" s="1470" t="s">
        <v>33</v>
      </c>
      <c r="W146" s="1518" t="s">
        <v>1366</v>
      </c>
      <c r="X146" s="1834" t="s">
        <v>3302</v>
      </c>
      <c r="Y146" s="1835"/>
      <c r="Z146" s="1832"/>
      <c r="AA146" s="1835"/>
      <c r="AB146" s="1833"/>
      <c r="AC146" s="1832"/>
      <c r="AD146" s="1833"/>
      <c r="AG146" s="1457" t="str">
        <f t="shared" si="45"/>
        <v>23調査結果-2(20)</v>
      </c>
    </row>
    <row r="147" spans="1:33" ht="18.75" customHeight="1" x14ac:dyDescent="0.15">
      <c r="A147" s="1836"/>
      <c r="D147" s="1669" t="str">
        <f>改善項目管理用!T38</f>
        <v/>
      </c>
      <c r="E147" s="1765" t="str">
        <f t="shared" si="42"/>
        <v/>
      </c>
      <c r="F147" s="1765" t="str">
        <f t="shared" si="43"/>
        <v/>
      </c>
      <c r="G147" s="1765" t="str">
        <f t="shared" si="44"/>
        <v/>
      </c>
      <c r="K147" s="1451" t="s">
        <v>3303</v>
      </c>
      <c r="S147" s="1451" t="str">
        <f t="shared" si="41"/>
        <v>2(21)</v>
      </c>
      <c r="U147" s="1510" t="s">
        <v>3306</v>
      </c>
      <c r="V147" s="1470" t="s">
        <v>33</v>
      </c>
      <c r="W147" s="1518" t="s">
        <v>1366</v>
      </c>
      <c r="X147" s="1834" t="s">
        <v>3303</v>
      </c>
      <c r="Y147" s="1835"/>
      <c r="Z147" s="1832"/>
      <c r="AA147" s="1835"/>
      <c r="AB147" s="1833"/>
      <c r="AC147" s="1832"/>
      <c r="AD147" s="1833"/>
      <c r="AG147" s="1457" t="str">
        <f t="shared" si="45"/>
        <v>23調査結果-2(21)</v>
      </c>
    </row>
    <row r="148" spans="1:33" ht="18.75" customHeight="1" x14ac:dyDescent="0.15">
      <c r="A148" s="1836"/>
      <c r="D148" s="1669" t="str">
        <f>改善項目管理用!T39</f>
        <v/>
      </c>
      <c r="E148" s="1765" t="str">
        <f t="shared" si="42"/>
        <v/>
      </c>
      <c r="F148" s="1765" t="str">
        <f t="shared" si="43"/>
        <v/>
      </c>
      <c r="G148" s="1765" t="str">
        <f t="shared" si="44"/>
        <v/>
      </c>
      <c r="K148" s="1451" t="s">
        <v>3304</v>
      </c>
      <c r="S148" s="1451" t="str">
        <f t="shared" si="41"/>
        <v>2(22)</v>
      </c>
      <c r="U148" s="1510" t="s">
        <v>3306</v>
      </c>
      <c r="V148" s="1470" t="s">
        <v>33</v>
      </c>
      <c r="W148" s="1518" t="s">
        <v>1366</v>
      </c>
      <c r="X148" s="1834" t="s">
        <v>3304</v>
      </c>
      <c r="Y148" s="1835"/>
      <c r="Z148" s="1832"/>
      <c r="AA148" s="1835"/>
      <c r="AB148" s="1833"/>
      <c r="AC148" s="1832"/>
      <c r="AD148" s="1833"/>
      <c r="AG148" s="1457" t="str">
        <f t="shared" si="45"/>
        <v>23調査結果-2(22)</v>
      </c>
    </row>
    <row r="149" spans="1:33" ht="18.75" customHeight="1" x14ac:dyDescent="0.15">
      <c r="A149" s="1836"/>
      <c r="D149" s="1669" t="str">
        <f>改善項目管理用!T40</f>
        <v/>
      </c>
      <c r="E149" s="1765" t="str">
        <f t="shared" si="42"/>
        <v/>
      </c>
      <c r="F149" s="1765" t="str">
        <f t="shared" si="43"/>
        <v/>
      </c>
      <c r="G149" s="1765" t="str">
        <f t="shared" si="44"/>
        <v/>
      </c>
      <c r="K149" s="1451" t="s">
        <v>3305</v>
      </c>
      <c r="S149" s="1451" t="str">
        <f t="shared" si="41"/>
        <v>2(23)</v>
      </c>
      <c r="U149" s="1510" t="s">
        <v>3306</v>
      </c>
      <c r="V149" s="1470" t="s">
        <v>33</v>
      </c>
      <c r="W149" s="1518" t="s">
        <v>1366</v>
      </c>
      <c r="X149" s="1834" t="s">
        <v>3305</v>
      </c>
      <c r="Y149" s="1835"/>
      <c r="Z149" s="1832"/>
      <c r="AA149" s="1835"/>
      <c r="AB149" s="1833"/>
      <c r="AC149" s="1832"/>
      <c r="AD149" s="1833"/>
      <c r="AG149" s="1457" t="str">
        <f t="shared" si="45"/>
        <v>23調査結果-2(23)</v>
      </c>
    </row>
    <row r="150" spans="1:33" ht="18.75" customHeight="1" x14ac:dyDescent="0.15">
      <c r="A150" s="1836"/>
      <c r="D150" s="1669" t="str">
        <f>改善項目管理用!T41</f>
        <v>？</v>
      </c>
      <c r="E150" s="1765" t="str">
        <f t="shared" si="42"/>
        <v>？</v>
      </c>
      <c r="F150" s="1765" t="str">
        <f t="shared" si="43"/>
        <v>？</v>
      </c>
      <c r="G150" s="1765" t="str">
        <f t="shared" si="44"/>
        <v>？</v>
      </c>
      <c r="K150" s="1451" t="s">
        <v>1815</v>
      </c>
      <c r="S150" s="1451" t="str">
        <f t="shared" si="41"/>
        <v>3(1)</v>
      </c>
      <c r="U150" s="1510" t="s">
        <v>3306</v>
      </c>
      <c r="V150" s="1470" t="s">
        <v>33</v>
      </c>
      <c r="W150" s="1518" t="s">
        <v>1366</v>
      </c>
      <c r="X150" s="1834" t="s">
        <v>1815</v>
      </c>
      <c r="Y150" s="1835"/>
      <c r="Z150" s="1832"/>
      <c r="AA150" s="1835"/>
      <c r="AB150" s="1833"/>
      <c r="AC150" s="1832"/>
      <c r="AD150" s="1833"/>
      <c r="AG150" s="1457" t="str">
        <f t="shared" si="45"/>
        <v>23調査結果-3(1)</v>
      </c>
    </row>
    <row r="151" spans="1:33" ht="18.75" customHeight="1" x14ac:dyDescent="0.15">
      <c r="A151" s="1836"/>
      <c r="D151" s="1669" t="str">
        <f>改善項目管理用!T42</f>
        <v>？</v>
      </c>
      <c r="E151" s="1765" t="str">
        <f t="shared" si="42"/>
        <v>？</v>
      </c>
      <c r="F151" s="1765" t="str">
        <f t="shared" si="43"/>
        <v>？</v>
      </c>
      <c r="G151" s="1765" t="str">
        <f t="shared" si="44"/>
        <v>？</v>
      </c>
      <c r="K151" s="1451" t="s">
        <v>1816</v>
      </c>
      <c r="S151" s="1451" t="str">
        <f t="shared" si="41"/>
        <v>3(2)</v>
      </c>
      <c r="U151" s="1510" t="s">
        <v>3306</v>
      </c>
      <c r="V151" s="1470" t="s">
        <v>33</v>
      </c>
      <c r="W151" s="1518" t="s">
        <v>1366</v>
      </c>
      <c r="X151" s="1834" t="s">
        <v>1816</v>
      </c>
      <c r="Y151" s="1835"/>
      <c r="Z151" s="1832"/>
      <c r="AA151" s="1835"/>
      <c r="AB151" s="1833"/>
      <c r="AC151" s="1832"/>
      <c r="AD151" s="1833"/>
      <c r="AG151" s="1457" t="str">
        <f t="shared" si="45"/>
        <v>23調査結果-3(2)</v>
      </c>
    </row>
    <row r="152" spans="1:33" ht="18.75" customHeight="1" x14ac:dyDescent="0.15">
      <c r="A152" s="1836"/>
      <c r="D152" s="1669" t="str">
        <f>改善項目管理用!T43</f>
        <v>？</v>
      </c>
      <c r="E152" s="1765" t="str">
        <f t="shared" si="42"/>
        <v>？</v>
      </c>
      <c r="F152" s="1765" t="str">
        <f t="shared" si="43"/>
        <v>？</v>
      </c>
      <c r="G152" s="1765" t="str">
        <f t="shared" si="44"/>
        <v>？</v>
      </c>
      <c r="K152" s="1451" t="s">
        <v>1817</v>
      </c>
      <c r="S152" s="1451" t="str">
        <f t="shared" si="41"/>
        <v>3(3)</v>
      </c>
      <c r="U152" s="1510" t="s">
        <v>3306</v>
      </c>
      <c r="V152" s="1470" t="s">
        <v>33</v>
      </c>
      <c r="W152" s="1518" t="s">
        <v>1366</v>
      </c>
      <c r="X152" s="1834" t="s">
        <v>1817</v>
      </c>
      <c r="Y152" s="1835"/>
      <c r="Z152" s="1832"/>
      <c r="AA152" s="1835"/>
      <c r="AB152" s="1833"/>
      <c r="AC152" s="1832"/>
      <c r="AD152" s="1833"/>
      <c r="AG152" s="1457" t="str">
        <f t="shared" si="45"/>
        <v>23調査結果-3(3)</v>
      </c>
    </row>
    <row r="153" spans="1:33" ht="18.75" customHeight="1" x14ac:dyDescent="0.15">
      <c r="A153" s="1836"/>
      <c r="D153" s="1669" t="str">
        <f>改善項目管理用!T44</f>
        <v>？</v>
      </c>
      <c r="E153" s="1765" t="str">
        <f t="shared" si="42"/>
        <v>？</v>
      </c>
      <c r="F153" s="1765" t="str">
        <f t="shared" si="43"/>
        <v>？</v>
      </c>
      <c r="G153" s="1765" t="str">
        <f t="shared" si="44"/>
        <v>？</v>
      </c>
      <c r="K153" s="1451" t="s">
        <v>1818</v>
      </c>
      <c r="S153" s="1451" t="str">
        <f t="shared" si="41"/>
        <v>3(4)</v>
      </c>
      <c r="U153" s="1510" t="s">
        <v>3306</v>
      </c>
      <c r="V153" s="1470" t="s">
        <v>33</v>
      </c>
      <c r="W153" s="1518" t="s">
        <v>1366</v>
      </c>
      <c r="X153" s="1834" t="s">
        <v>1818</v>
      </c>
      <c r="Y153" s="1835"/>
      <c r="Z153" s="1832"/>
      <c r="AA153" s="1835"/>
      <c r="AB153" s="1833"/>
      <c r="AC153" s="1832"/>
      <c r="AD153" s="1833"/>
      <c r="AG153" s="1457" t="str">
        <f t="shared" si="45"/>
        <v>23調査結果-3(4)</v>
      </c>
    </row>
    <row r="154" spans="1:33" ht="18.75" customHeight="1" x14ac:dyDescent="0.15">
      <c r="A154" s="1836"/>
      <c r="D154" s="1669" t="str">
        <f>改善項目管理用!T45</f>
        <v>？</v>
      </c>
      <c r="E154" s="1765" t="str">
        <f t="shared" si="42"/>
        <v>？</v>
      </c>
      <c r="F154" s="1765" t="str">
        <f t="shared" si="43"/>
        <v>？</v>
      </c>
      <c r="G154" s="1765" t="str">
        <f t="shared" si="44"/>
        <v>？</v>
      </c>
      <c r="K154" s="1451" t="s">
        <v>1819</v>
      </c>
      <c r="S154" s="1451" t="str">
        <f t="shared" si="41"/>
        <v>3(5)</v>
      </c>
      <c r="U154" s="1510" t="s">
        <v>3306</v>
      </c>
      <c r="V154" s="1470" t="s">
        <v>33</v>
      </c>
      <c r="W154" s="1518" t="s">
        <v>1366</v>
      </c>
      <c r="X154" s="1834" t="s">
        <v>1819</v>
      </c>
      <c r="Y154" s="1835"/>
      <c r="Z154" s="1832"/>
      <c r="AA154" s="1835"/>
      <c r="AB154" s="1833"/>
      <c r="AC154" s="1832"/>
      <c r="AD154" s="1833"/>
      <c r="AG154" s="1457" t="str">
        <f t="shared" si="45"/>
        <v>23調査結果-3(5)</v>
      </c>
    </row>
    <row r="155" spans="1:33" ht="18.75" customHeight="1" x14ac:dyDescent="0.15">
      <c r="A155" s="1836"/>
      <c r="D155" s="1669" t="str">
        <f>改善項目管理用!T46</f>
        <v>？</v>
      </c>
      <c r="E155" s="1765" t="str">
        <f t="shared" si="42"/>
        <v>？</v>
      </c>
      <c r="F155" s="1765" t="str">
        <f t="shared" si="43"/>
        <v>？</v>
      </c>
      <c r="G155" s="1765" t="str">
        <f t="shared" si="44"/>
        <v>？</v>
      </c>
      <c r="K155" s="1451" t="s">
        <v>1820</v>
      </c>
      <c r="S155" s="1451" t="str">
        <f t="shared" si="41"/>
        <v>3(6)</v>
      </c>
      <c r="U155" s="1510" t="s">
        <v>3306</v>
      </c>
      <c r="V155" s="1470" t="s">
        <v>33</v>
      </c>
      <c r="W155" s="1518" t="s">
        <v>1366</v>
      </c>
      <c r="X155" s="1834" t="s">
        <v>1820</v>
      </c>
      <c r="Y155" s="1835"/>
      <c r="Z155" s="1832"/>
      <c r="AA155" s="1835"/>
      <c r="AB155" s="1833"/>
      <c r="AC155" s="1832"/>
      <c r="AD155" s="1833"/>
      <c r="AG155" s="1457" t="str">
        <f t="shared" si="45"/>
        <v>23調査結果-3(6)</v>
      </c>
    </row>
    <row r="156" spans="1:33" ht="18.75" customHeight="1" x14ac:dyDescent="0.15">
      <c r="A156" s="1836"/>
      <c r="D156" s="1669" t="str">
        <f>改善項目管理用!T47</f>
        <v>？</v>
      </c>
      <c r="E156" s="1765" t="str">
        <f t="shared" si="42"/>
        <v>？</v>
      </c>
      <c r="F156" s="1765" t="str">
        <f t="shared" si="43"/>
        <v>？</v>
      </c>
      <c r="G156" s="1765" t="str">
        <f t="shared" si="44"/>
        <v>？</v>
      </c>
      <c r="K156" s="1451" t="s">
        <v>1821</v>
      </c>
      <c r="S156" s="1451" t="str">
        <f t="shared" si="41"/>
        <v>3(7)</v>
      </c>
      <c r="U156" s="1510" t="s">
        <v>3306</v>
      </c>
      <c r="V156" s="1470" t="s">
        <v>33</v>
      </c>
      <c r="W156" s="1518" t="s">
        <v>1366</v>
      </c>
      <c r="X156" s="1834" t="s">
        <v>1821</v>
      </c>
      <c r="Y156" s="1835"/>
      <c r="Z156" s="1832"/>
      <c r="AA156" s="1835"/>
      <c r="AB156" s="1833"/>
      <c r="AC156" s="1832"/>
      <c r="AD156" s="1833"/>
      <c r="AG156" s="1457" t="str">
        <f t="shared" si="45"/>
        <v>23調査結果-3(7)</v>
      </c>
    </row>
    <row r="157" spans="1:33" ht="18.75" customHeight="1" x14ac:dyDescent="0.15">
      <c r="A157" s="1836"/>
      <c r="D157" s="1669" t="str">
        <f>改善項目管理用!T48</f>
        <v>？</v>
      </c>
      <c r="E157" s="1765" t="str">
        <f t="shared" si="42"/>
        <v>？</v>
      </c>
      <c r="F157" s="1765" t="str">
        <f t="shared" si="43"/>
        <v>？</v>
      </c>
      <c r="G157" s="1765" t="str">
        <f t="shared" si="44"/>
        <v>？</v>
      </c>
      <c r="K157" s="1451" t="s">
        <v>1822</v>
      </c>
      <c r="S157" s="1451" t="str">
        <f t="shared" si="41"/>
        <v>3(8)</v>
      </c>
      <c r="U157" s="1510" t="s">
        <v>3306</v>
      </c>
      <c r="V157" s="1470" t="s">
        <v>33</v>
      </c>
      <c r="W157" s="1518" t="s">
        <v>1366</v>
      </c>
      <c r="X157" s="1834" t="s">
        <v>1822</v>
      </c>
      <c r="Y157" s="1835"/>
      <c r="Z157" s="1832"/>
      <c r="AA157" s="1835"/>
      <c r="AB157" s="1833"/>
      <c r="AC157" s="1832"/>
      <c r="AD157" s="1833"/>
      <c r="AG157" s="1457" t="str">
        <f t="shared" si="45"/>
        <v>23調査結果-3(8)</v>
      </c>
    </row>
    <row r="158" spans="1:33" ht="18.75" customHeight="1" x14ac:dyDescent="0.15">
      <c r="A158" s="1836"/>
      <c r="D158" s="1669" t="str">
        <f>改善項目管理用!T49</f>
        <v>？</v>
      </c>
      <c r="E158" s="1765" t="str">
        <f t="shared" si="42"/>
        <v>？</v>
      </c>
      <c r="F158" s="1765" t="str">
        <f t="shared" si="43"/>
        <v>？</v>
      </c>
      <c r="G158" s="1765" t="str">
        <f t="shared" si="44"/>
        <v>？</v>
      </c>
      <c r="K158" s="1451" t="s">
        <v>1823</v>
      </c>
      <c r="S158" s="1451" t="str">
        <f t="shared" si="41"/>
        <v>3(9)</v>
      </c>
      <c r="U158" s="1510" t="s">
        <v>3306</v>
      </c>
      <c r="V158" s="1470" t="s">
        <v>33</v>
      </c>
      <c r="W158" s="1518" t="s">
        <v>1366</v>
      </c>
      <c r="X158" s="1834" t="s">
        <v>1823</v>
      </c>
      <c r="Y158" s="1835"/>
      <c r="Z158" s="1832"/>
      <c r="AA158" s="1835"/>
      <c r="AB158" s="1833"/>
      <c r="AC158" s="1832"/>
      <c r="AD158" s="1833"/>
      <c r="AG158" s="1457" t="str">
        <f t="shared" si="45"/>
        <v>23調査結果-3(9)</v>
      </c>
    </row>
    <row r="159" spans="1:33" ht="18.75" customHeight="1" x14ac:dyDescent="0.15">
      <c r="A159" s="1836"/>
      <c r="D159" s="1669" t="str">
        <f>改善項目管理用!T50</f>
        <v/>
      </c>
      <c r="E159" s="1765" t="str">
        <f t="shared" si="42"/>
        <v/>
      </c>
      <c r="F159" s="1765" t="str">
        <f t="shared" si="43"/>
        <v/>
      </c>
      <c r="G159" s="1765" t="str">
        <f t="shared" si="44"/>
        <v/>
      </c>
      <c r="K159" s="1451" t="s">
        <v>1747</v>
      </c>
      <c r="S159" s="1451" t="str">
        <f t="shared" si="41"/>
        <v>3(10)</v>
      </c>
      <c r="U159" s="1510" t="s">
        <v>3306</v>
      </c>
      <c r="V159" s="1470" t="s">
        <v>33</v>
      </c>
      <c r="W159" s="1518" t="s">
        <v>1366</v>
      </c>
      <c r="X159" s="1834" t="s">
        <v>1747</v>
      </c>
      <c r="Y159" s="1835"/>
      <c r="Z159" s="1832"/>
      <c r="AA159" s="1835"/>
      <c r="AB159" s="1833"/>
      <c r="AC159" s="1832"/>
      <c r="AD159" s="1833"/>
      <c r="AG159" s="1457" t="str">
        <f t="shared" si="45"/>
        <v>23調査結果-3(10)</v>
      </c>
    </row>
    <row r="160" spans="1:33" ht="18.75" customHeight="1" x14ac:dyDescent="0.15">
      <c r="A160" s="1836"/>
      <c r="D160" s="1669" t="str">
        <f>改善項目管理用!T51</f>
        <v/>
      </c>
      <c r="E160" s="1765" t="str">
        <f t="shared" si="42"/>
        <v/>
      </c>
      <c r="F160" s="1765" t="str">
        <f t="shared" si="43"/>
        <v/>
      </c>
      <c r="G160" s="1765" t="str">
        <f t="shared" si="44"/>
        <v/>
      </c>
      <c r="K160" s="1451" t="s">
        <v>1748</v>
      </c>
      <c r="S160" s="1451" t="str">
        <f t="shared" si="41"/>
        <v>3(11)</v>
      </c>
      <c r="U160" s="1510" t="s">
        <v>3306</v>
      </c>
      <c r="V160" s="1470" t="s">
        <v>33</v>
      </c>
      <c r="W160" s="1518" t="s">
        <v>1366</v>
      </c>
      <c r="X160" s="1834" t="s">
        <v>1748</v>
      </c>
      <c r="Y160" s="1835"/>
      <c r="Z160" s="1832"/>
      <c r="AA160" s="1835"/>
      <c r="AB160" s="1833"/>
      <c r="AC160" s="1832"/>
      <c r="AD160" s="1833"/>
      <c r="AG160" s="1457" t="str">
        <f t="shared" si="45"/>
        <v>23調査結果-3(11)</v>
      </c>
    </row>
    <row r="161" spans="1:33" ht="18.75" customHeight="1" x14ac:dyDescent="0.15">
      <c r="A161" s="1836"/>
      <c r="D161" s="1669" t="str">
        <f>改善項目管理用!T52</f>
        <v/>
      </c>
      <c r="E161" s="1765" t="str">
        <f t="shared" si="42"/>
        <v/>
      </c>
      <c r="F161" s="1765" t="str">
        <f t="shared" si="43"/>
        <v/>
      </c>
      <c r="G161" s="1765" t="str">
        <f t="shared" si="44"/>
        <v/>
      </c>
      <c r="K161" s="1451" t="s">
        <v>1749</v>
      </c>
      <c r="S161" s="1451" t="str">
        <f t="shared" si="41"/>
        <v>3(12)</v>
      </c>
      <c r="U161" s="1510" t="s">
        <v>3306</v>
      </c>
      <c r="V161" s="1470" t="s">
        <v>33</v>
      </c>
      <c r="W161" s="1518" t="s">
        <v>1366</v>
      </c>
      <c r="X161" s="1834" t="s">
        <v>1749</v>
      </c>
      <c r="Y161" s="1835"/>
      <c r="Z161" s="1832"/>
      <c r="AA161" s="1835"/>
      <c r="AB161" s="1833"/>
      <c r="AC161" s="1832"/>
      <c r="AD161" s="1833"/>
      <c r="AG161" s="1457" t="str">
        <f t="shared" si="45"/>
        <v>23調査結果-3(12)</v>
      </c>
    </row>
    <row r="162" spans="1:33" ht="18.75" customHeight="1" x14ac:dyDescent="0.15">
      <c r="A162" s="1836"/>
      <c r="D162" s="1669" t="str">
        <f>改善項目管理用!T53</f>
        <v/>
      </c>
      <c r="E162" s="1765" t="str">
        <f t="shared" si="42"/>
        <v/>
      </c>
      <c r="F162" s="1765" t="str">
        <f t="shared" si="43"/>
        <v/>
      </c>
      <c r="G162" s="1765" t="str">
        <f t="shared" si="44"/>
        <v/>
      </c>
      <c r="K162" s="1451" t="s">
        <v>1750</v>
      </c>
      <c r="S162" s="1451" t="str">
        <f t="shared" si="41"/>
        <v>3(13)</v>
      </c>
      <c r="U162" s="1510" t="s">
        <v>3306</v>
      </c>
      <c r="V162" s="1470" t="s">
        <v>33</v>
      </c>
      <c r="W162" s="1518" t="s">
        <v>1366</v>
      </c>
      <c r="X162" s="1834" t="s">
        <v>1750</v>
      </c>
      <c r="Y162" s="1835"/>
      <c r="Z162" s="1832"/>
      <c r="AA162" s="1835"/>
      <c r="AB162" s="1833"/>
      <c r="AC162" s="1832"/>
      <c r="AD162" s="1833"/>
      <c r="AG162" s="1457" t="str">
        <f t="shared" si="45"/>
        <v>23調査結果-3(13)</v>
      </c>
    </row>
    <row r="163" spans="1:33" ht="18.75" customHeight="1" x14ac:dyDescent="0.15">
      <c r="A163" s="1836"/>
      <c r="D163" s="1669" t="str">
        <f>改善項目管理用!T54</f>
        <v/>
      </c>
      <c r="E163" s="1765" t="str">
        <f t="shared" si="42"/>
        <v/>
      </c>
      <c r="F163" s="1765" t="str">
        <f t="shared" si="43"/>
        <v/>
      </c>
      <c r="G163" s="1765" t="str">
        <f t="shared" si="44"/>
        <v/>
      </c>
      <c r="K163" s="1451" t="s">
        <v>1751</v>
      </c>
      <c r="S163" s="1451" t="str">
        <f t="shared" si="41"/>
        <v>3(14)</v>
      </c>
      <c r="U163" s="1510" t="s">
        <v>3306</v>
      </c>
      <c r="V163" s="1470" t="s">
        <v>33</v>
      </c>
      <c r="W163" s="1518" t="s">
        <v>1366</v>
      </c>
      <c r="X163" s="1834" t="s">
        <v>1751</v>
      </c>
      <c r="Y163" s="1835"/>
      <c r="Z163" s="1832"/>
      <c r="AA163" s="1835"/>
      <c r="AB163" s="1833"/>
      <c r="AC163" s="1832"/>
      <c r="AD163" s="1833"/>
      <c r="AG163" s="1457" t="str">
        <f t="shared" si="45"/>
        <v>23調査結果-3(14)</v>
      </c>
    </row>
    <row r="164" spans="1:33" ht="18.75" customHeight="1" x14ac:dyDescent="0.15">
      <c r="A164" s="1836"/>
      <c r="D164" s="1669" t="str">
        <f>改善項目管理用!T55</f>
        <v>？</v>
      </c>
      <c r="E164" s="1765" t="str">
        <f t="shared" si="42"/>
        <v>？</v>
      </c>
      <c r="F164" s="1765" t="str">
        <f t="shared" si="43"/>
        <v>？</v>
      </c>
      <c r="G164" s="1765" t="str">
        <f t="shared" si="44"/>
        <v>？</v>
      </c>
      <c r="K164" s="1451" t="s">
        <v>728</v>
      </c>
      <c r="S164" s="1451" t="str">
        <f t="shared" si="41"/>
        <v>4(1)</v>
      </c>
      <c r="U164" s="1510" t="s">
        <v>3306</v>
      </c>
      <c r="V164" s="1470" t="s">
        <v>33</v>
      </c>
      <c r="W164" s="1518" t="s">
        <v>1366</v>
      </c>
      <c r="X164" s="1834" t="s">
        <v>728</v>
      </c>
      <c r="Y164" s="1835"/>
      <c r="Z164" s="1832"/>
      <c r="AA164" s="1835"/>
      <c r="AB164" s="1833"/>
      <c r="AC164" s="1832"/>
      <c r="AD164" s="1833"/>
      <c r="AG164" s="1457" t="str">
        <f t="shared" si="45"/>
        <v>23調査結果-4(1)</v>
      </c>
    </row>
    <row r="165" spans="1:33" ht="18.75" customHeight="1" x14ac:dyDescent="0.15">
      <c r="A165" s="1836"/>
      <c r="D165" s="1669" t="str">
        <f>改善項目管理用!T56</f>
        <v>？</v>
      </c>
      <c r="E165" s="1765" t="str">
        <f t="shared" si="42"/>
        <v>？</v>
      </c>
      <c r="F165" s="1765" t="str">
        <f t="shared" si="43"/>
        <v>？</v>
      </c>
      <c r="G165" s="1765" t="str">
        <f t="shared" si="44"/>
        <v>？</v>
      </c>
      <c r="K165" s="1451" t="s">
        <v>729</v>
      </c>
      <c r="S165" s="1451" t="str">
        <f t="shared" si="41"/>
        <v>4(2)</v>
      </c>
      <c r="U165" s="1510" t="s">
        <v>3306</v>
      </c>
      <c r="V165" s="1470" t="s">
        <v>33</v>
      </c>
      <c r="W165" s="1518" t="s">
        <v>1366</v>
      </c>
      <c r="X165" s="1834" t="s">
        <v>729</v>
      </c>
      <c r="Y165" s="1835"/>
      <c r="Z165" s="1832"/>
      <c r="AA165" s="1835"/>
      <c r="AB165" s="1833"/>
      <c r="AC165" s="1832"/>
      <c r="AD165" s="1833"/>
      <c r="AG165" s="1457" t="str">
        <f t="shared" si="45"/>
        <v>23調査結果-4(2)</v>
      </c>
    </row>
    <row r="166" spans="1:33" ht="18.75" customHeight="1" x14ac:dyDescent="0.15">
      <c r="A166" s="1836"/>
      <c r="D166" s="1669" t="str">
        <f>改善項目管理用!T57</f>
        <v>？</v>
      </c>
      <c r="E166" s="1765" t="str">
        <f t="shared" si="42"/>
        <v>？</v>
      </c>
      <c r="F166" s="1765" t="str">
        <f t="shared" si="43"/>
        <v>？</v>
      </c>
      <c r="G166" s="1765" t="str">
        <f t="shared" si="44"/>
        <v>？</v>
      </c>
      <c r="K166" s="1451" t="s">
        <v>730</v>
      </c>
      <c r="S166" s="1451" t="str">
        <f t="shared" si="41"/>
        <v>4(3)</v>
      </c>
      <c r="U166" s="1510" t="s">
        <v>3306</v>
      </c>
      <c r="V166" s="1470" t="s">
        <v>33</v>
      </c>
      <c r="W166" s="1518" t="s">
        <v>1366</v>
      </c>
      <c r="X166" s="1834" t="s">
        <v>730</v>
      </c>
      <c r="Y166" s="1835"/>
      <c r="Z166" s="1832"/>
      <c r="AA166" s="1835"/>
      <c r="AB166" s="1833"/>
      <c r="AC166" s="1832"/>
      <c r="AD166" s="1833"/>
      <c r="AG166" s="1457" t="str">
        <f t="shared" si="45"/>
        <v>23調査結果-4(3)</v>
      </c>
    </row>
    <row r="167" spans="1:33" ht="18.75" customHeight="1" x14ac:dyDescent="0.15">
      <c r="A167" s="1836"/>
      <c r="D167" s="1669" t="str">
        <f>改善項目管理用!T58</f>
        <v>？</v>
      </c>
      <c r="E167" s="1765" t="str">
        <f t="shared" ref="E167:E230" si="46">D167</f>
        <v>？</v>
      </c>
      <c r="F167" s="1765" t="str">
        <f t="shared" ref="F167:F230" si="47">SUBSTITUTE(E167,CHAR(10),"")</f>
        <v>？</v>
      </c>
      <c r="G167" s="1765" t="str">
        <f t="shared" ref="G167:G230" si="48">TRIM(F167)</f>
        <v>？</v>
      </c>
      <c r="K167" s="1451" t="s">
        <v>731</v>
      </c>
      <c r="S167" s="1451" t="str">
        <f t="shared" ref="S167:S230" si="49">CONCATENATE(K167,L167,M167,N167,O167,P167,Q167)</f>
        <v>4(4)</v>
      </c>
      <c r="U167" s="1510" t="s">
        <v>3306</v>
      </c>
      <c r="V167" s="1470" t="s">
        <v>33</v>
      </c>
      <c r="W167" s="1518" t="s">
        <v>1366</v>
      </c>
      <c r="X167" s="1834" t="s">
        <v>731</v>
      </c>
      <c r="Y167" s="1835"/>
      <c r="Z167" s="1832"/>
      <c r="AA167" s="1835"/>
      <c r="AB167" s="1833"/>
      <c r="AC167" s="1832"/>
      <c r="AD167" s="1833"/>
      <c r="AG167" s="1457" t="str">
        <f t="shared" si="45"/>
        <v>23調査結果-4(4)</v>
      </c>
    </row>
    <row r="168" spans="1:33" ht="18.75" customHeight="1" x14ac:dyDescent="0.15">
      <c r="A168" s="1836"/>
      <c r="D168" s="1669" t="str">
        <f>改善項目管理用!T59</f>
        <v>？</v>
      </c>
      <c r="E168" s="1765" t="str">
        <f t="shared" si="46"/>
        <v>？</v>
      </c>
      <c r="F168" s="1765" t="str">
        <f t="shared" si="47"/>
        <v>？</v>
      </c>
      <c r="G168" s="1765" t="str">
        <f t="shared" si="48"/>
        <v>？</v>
      </c>
      <c r="K168" s="1451" t="s">
        <v>732</v>
      </c>
      <c r="S168" s="1451" t="str">
        <f t="shared" si="49"/>
        <v>4(5)</v>
      </c>
      <c r="U168" s="1510" t="s">
        <v>3306</v>
      </c>
      <c r="V168" s="1470" t="s">
        <v>33</v>
      </c>
      <c r="W168" s="1518" t="s">
        <v>1366</v>
      </c>
      <c r="X168" s="1834" t="s">
        <v>732</v>
      </c>
      <c r="Y168" s="1835"/>
      <c r="Z168" s="1832"/>
      <c r="AA168" s="1835"/>
      <c r="AB168" s="1833"/>
      <c r="AC168" s="1832"/>
      <c r="AD168" s="1833"/>
      <c r="AG168" s="1457" t="str">
        <f t="shared" si="45"/>
        <v>23調査結果-4(5)</v>
      </c>
    </row>
    <row r="169" spans="1:33" ht="18.75" customHeight="1" x14ac:dyDescent="0.15">
      <c r="A169" s="1836"/>
      <c r="D169" s="1669" t="str">
        <f>改善項目管理用!T60</f>
        <v>？</v>
      </c>
      <c r="E169" s="1765" t="str">
        <f t="shared" si="46"/>
        <v>？</v>
      </c>
      <c r="F169" s="1765" t="str">
        <f t="shared" si="47"/>
        <v>？</v>
      </c>
      <c r="G169" s="1765" t="str">
        <f t="shared" si="48"/>
        <v>？</v>
      </c>
      <c r="K169" s="1451" t="s">
        <v>733</v>
      </c>
      <c r="S169" s="1451" t="str">
        <f t="shared" si="49"/>
        <v>4(6)</v>
      </c>
      <c r="U169" s="1510" t="s">
        <v>3306</v>
      </c>
      <c r="V169" s="1470" t="s">
        <v>33</v>
      </c>
      <c r="W169" s="1518" t="s">
        <v>1366</v>
      </c>
      <c r="X169" s="1834" t="s">
        <v>733</v>
      </c>
      <c r="Y169" s="1835"/>
      <c r="Z169" s="1832"/>
      <c r="AA169" s="1835"/>
      <c r="AB169" s="1833"/>
      <c r="AC169" s="1832"/>
      <c r="AD169" s="1833"/>
      <c r="AG169" s="1457" t="str">
        <f t="shared" si="45"/>
        <v>23調査結果-4(6)</v>
      </c>
    </row>
    <row r="170" spans="1:33" ht="18.75" customHeight="1" x14ac:dyDescent="0.15">
      <c r="A170" s="1836"/>
      <c r="D170" s="1669" t="str">
        <f>改善項目管理用!T61</f>
        <v>？</v>
      </c>
      <c r="E170" s="1765" t="str">
        <f t="shared" si="46"/>
        <v>？</v>
      </c>
      <c r="F170" s="1765" t="str">
        <f t="shared" si="47"/>
        <v>？</v>
      </c>
      <c r="G170" s="1765" t="str">
        <f t="shared" si="48"/>
        <v>？</v>
      </c>
      <c r="K170" s="1451" t="s">
        <v>734</v>
      </c>
      <c r="S170" s="1451" t="str">
        <f t="shared" si="49"/>
        <v>4(7)</v>
      </c>
      <c r="U170" s="1510" t="s">
        <v>3306</v>
      </c>
      <c r="V170" s="1470" t="s">
        <v>33</v>
      </c>
      <c r="W170" s="1518" t="s">
        <v>1366</v>
      </c>
      <c r="X170" s="1834" t="s">
        <v>734</v>
      </c>
      <c r="Y170" s="1835"/>
      <c r="Z170" s="1832"/>
      <c r="AA170" s="1835"/>
      <c r="AB170" s="1833"/>
      <c r="AC170" s="1832"/>
      <c r="AD170" s="1833"/>
      <c r="AG170" s="1457" t="str">
        <f t="shared" si="45"/>
        <v>23調査結果-4(7)</v>
      </c>
    </row>
    <row r="171" spans="1:33" ht="18.75" customHeight="1" x14ac:dyDescent="0.15">
      <c r="A171" s="1836"/>
      <c r="D171" s="1669" t="str">
        <f>改善項目管理用!T62</f>
        <v>？</v>
      </c>
      <c r="E171" s="1765" t="str">
        <f t="shared" si="46"/>
        <v>？</v>
      </c>
      <c r="F171" s="1765" t="str">
        <f t="shared" si="47"/>
        <v>？</v>
      </c>
      <c r="G171" s="1765" t="str">
        <f t="shared" si="48"/>
        <v>？</v>
      </c>
      <c r="K171" s="1451" t="s">
        <v>735</v>
      </c>
      <c r="S171" s="1451" t="str">
        <f t="shared" si="49"/>
        <v>4(8)</v>
      </c>
      <c r="U171" s="1510" t="s">
        <v>3306</v>
      </c>
      <c r="V171" s="1470" t="s">
        <v>33</v>
      </c>
      <c r="W171" s="1518" t="s">
        <v>1366</v>
      </c>
      <c r="X171" s="1834" t="s">
        <v>735</v>
      </c>
      <c r="Y171" s="1835"/>
      <c r="Z171" s="1832"/>
      <c r="AA171" s="1835"/>
      <c r="AB171" s="1833"/>
      <c r="AC171" s="1832"/>
      <c r="AD171" s="1833"/>
      <c r="AG171" s="1457" t="str">
        <f t="shared" si="45"/>
        <v>23調査結果-4(8)</v>
      </c>
    </row>
    <row r="172" spans="1:33" ht="18.75" customHeight="1" x14ac:dyDescent="0.15">
      <c r="A172" s="1836"/>
      <c r="D172" s="1669" t="str">
        <f>改善項目管理用!T63</f>
        <v>？</v>
      </c>
      <c r="E172" s="1765" t="str">
        <f t="shared" si="46"/>
        <v>？</v>
      </c>
      <c r="F172" s="1765" t="str">
        <f t="shared" si="47"/>
        <v>？</v>
      </c>
      <c r="G172" s="1765" t="str">
        <f t="shared" si="48"/>
        <v>？</v>
      </c>
      <c r="K172" s="1451" t="s">
        <v>736</v>
      </c>
      <c r="S172" s="1451" t="str">
        <f t="shared" si="49"/>
        <v>4(9)</v>
      </c>
      <c r="U172" s="1510" t="s">
        <v>3306</v>
      </c>
      <c r="V172" s="1470" t="s">
        <v>33</v>
      </c>
      <c r="W172" s="1518" t="s">
        <v>1366</v>
      </c>
      <c r="X172" s="1834" t="s">
        <v>736</v>
      </c>
      <c r="Y172" s="1835"/>
      <c r="Z172" s="1832"/>
      <c r="AA172" s="1835"/>
      <c r="AB172" s="1833"/>
      <c r="AC172" s="1832"/>
      <c r="AD172" s="1833"/>
      <c r="AG172" s="1457" t="str">
        <f t="shared" si="45"/>
        <v>23調査結果-4(9)</v>
      </c>
    </row>
    <row r="173" spans="1:33" ht="18.75" customHeight="1" x14ac:dyDescent="0.15">
      <c r="A173" s="1836"/>
      <c r="D173" s="1669" t="str">
        <f>改善項目管理用!T64</f>
        <v>？</v>
      </c>
      <c r="E173" s="1765" t="str">
        <f t="shared" si="46"/>
        <v>？</v>
      </c>
      <c r="F173" s="1765" t="str">
        <f t="shared" si="47"/>
        <v>？</v>
      </c>
      <c r="G173" s="1765" t="str">
        <f t="shared" si="48"/>
        <v>？</v>
      </c>
      <c r="K173" s="1451" t="s">
        <v>737</v>
      </c>
      <c r="S173" s="1451" t="str">
        <f t="shared" si="49"/>
        <v>4(10)</v>
      </c>
      <c r="U173" s="1510" t="s">
        <v>3306</v>
      </c>
      <c r="V173" s="1470" t="s">
        <v>33</v>
      </c>
      <c r="W173" s="1518" t="s">
        <v>1366</v>
      </c>
      <c r="X173" s="1834" t="s">
        <v>737</v>
      </c>
      <c r="Y173" s="1835"/>
      <c r="Z173" s="1832"/>
      <c r="AA173" s="1835"/>
      <c r="AB173" s="1833"/>
      <c r="AC173" s="1832"/>
      <c r="AD173" s="1833"/>
      <c r="AG173" s="1457" t="str">
        <f t="shared" si="45"/>
        <v>23調査結果-4(10)</v>
      </c>
    </row>
    <row r="174" spans="1:33" ht="18.75" customHeight="1" x14ac:dyDescent="0.15">
      <c r="A174" s="1836"/>
      <c r="D174" s="1669" t="str">
        <f>改善項目管理用!T65</f>
        <v>？</v>
      </c>
      <c r="E174" s="1765" t="str">
        <f t="shared" si="46"/>
        <v>？</v>
      </c>
      <c r="F174" s="1765" t="str">
        <f t="shared" si="47"/>
        <v>？</v>
      </c>
      <c r="G174" s="1765" t="str">
        <f t="shared" si="48"/>
        <v>？</v>
      </c>
      <c r="K174" s="1451" t="s">
        <v>738</v>
      </c>
      <c r="S174" s="1451" t="str">
        <f t="shared" si="49"/>
        <v>4(11)</v>
      </c>
      <c r="U174" s="1510" t="s">
        <v>3306</v>
      </c>
      <c r="V174" s="1470" t="s">
        <v>33</v>
      </c>
      <c r="W174" s="1518" t="s">
        <v>1366</v>
      </c>
      <c r="X174" s="1834" t="s">
        <v>738</v>
      </c>
      <c r="Y174" s="1835"/>
      <c r="Z174" s="1832"/>
      <c r="AA174" s="1835"/>
      <c r="AB174" s="1833"/>
      <c r="AC174" s="1832"/>
      <c r="AD174" s="1833"/>
      <c r="AG174" s="1457" t="str">
        <f t="shared" si="45"/>
        <v>23調査結果-4(11)</v>
      </c>
    </row>
    <row r="175" spans="1:33" ht="18.75" customHeight="1" x14ac:dyDescent="0.15">
      <c r="A175" s="1836"/>
      <c r="D175" s="1669" t="str">
        <f>改善項目管理用!T66</f>
        <v>？</v>
      </c>
      <c r="E175" s="1765" t="str">
        <f t="shared" si="46"/>
        <v>？</v>
      </c>
      <c r="F175" s="1765" t="str">
        <f t="shared" si="47"/>
        <v>？</v>
      </c>
      <c r="G175" s="1765" t="str">
        <f t="shared" si="48"/>
        <v>？</v>
      </c>
      <c r="K175" s="1451" t="s">
        <v>739</v>
      </c>
      <c r="S175" s="1451" t="str">
        <f t="shared" si="49"/>
        <v>4(12)</v>
      </c>
      <c r="U175" s="1510" t="s">
        <v>3306</v>
      </c>
      <c r="V175" s="1470" t="s">
        <v>33</v>
      </c>
      <c r="W175" s="1518" t="s">
        <v>1366</v>
      </c>
      <c r="X175" s="1834" t="s">
        <v>739</v>
      </c>
      <c r="Y175" s="1835"/>
      <c r="Z175" s="1832"/>
      <c r="AA175" s="1835"/>
      <c r="AB175" s="1833"/>
      <c r="AC175" s="1832"/>
      <c r="AD175" s="1833"/>
      <c r="AG175" s="1457" t="str">
        <f t="shared" si="45"/>
        <v>23調査結果-4(12)</v>
      </c>
    </row>
    <row r="176" spans="1:33" ht="18.75" customHeight="1" x14ac:dyDescent="0.15">
      <c r="A176" s="1836"/>
      <c r="D176" s="1669" t="str">
        <f>改善項目管理用!T67</f>
        <v>？</v>
      </c>
      <c r="E176" s="1765" t="str">
        <f t="shared" si="46"/>
        <v>？</v>
      </c>
      <c r="F176" s="1765" t="str">
        <f t="shared" si="47"/>
        <v>？</v>
      </c>
      <c r="G176" s="1765" t="str">
        <f t="shared" si="48"/>
        <v>？</v>
      </c>
      <c r="K176" s="1451" t="s">
        <v>740</v>
      </c>
      <c r="S176" s="1451" t="str">
        <f t="shared" si="49"/>
        <v>4(13)</v>
      </c>
      <c r="U176" s="1510" t="s">
        <v>3306</v>
      </c>
      <c r="V176" s="1470" t="s">
        <v>33</v>
      </c>
      <c r="W176" s="1518" t="s">
        <v>1366</v>
      </c>
      <c r="X176" s="1834" t="s">
        <v>740</v>
      </c>
      <c r="Y176" s="1835"/>
      <c r="Z176" s="1832"/>
      <c r="AA176" s="1835"/>
      <c r="AB176" s="1833"/>
      <c r="AC176" s="1832"/>
      <c r="AD176" s="1833"/>
      <c r="AG176" s="1457" t="str">
        <f t="shared" si="45"/>
        <v>23調査結果-4(13)</v>
      </c>
    </row>
    <row r="177" spans="1:33" ht="18.75" customHeight="1" x14ac:dyDescent="0.15">
      <c r="A177" s="1836"/>
      <c r="D177" s="1669" t="str">
        <f>改善項目管理用!T68</f>
        <v>？</v>
      </c>
      <c r="E177" s="1765" t="str">
        <f t="shared" si="46"/>
        <v>？</v>
      </c>
      <c r="F177" s="1765" t="str">
        <f t="shared" si="47"/>
        <v>？</v>
      </c>
      <c r="G177" s="1765" t="str">
        <f t="shared" si="48"/>
        <v>？</v>
      </c>
      <c r="K177" s="1451" t="s">
        <v>741</v>
      </c>
      <c r="S177" s="1451" t="str">
        <f t="shared" si="49"/>
        <v>4(14)</v>
      </c>
      <c r="U177" s="1510" t="s">
        <v>3306</v>
      </c>
      <c r="V177" s="1470" t="s">
        <v>33</v>
      </c>
      <c r="W177" s="1518" t="s">
        <v>1366</v>
      </c>
      <c r="X177" s="1834" t="s">
        <v>741</v>
      </c>
      <c r="Y177" s="1835"/>
      <c r="Z177" s="1832"/>
      <c r="AA177" s="1835"/>
      <c r="AB177" s="1833"/>
      <c r="AC177" s="1832"/>
      <c r="AD177" s="1833"/>
      <c r="AG177" s="1457" t="str">
        <f t="shared" si="45"/>
        <v>23調査結果-4(14)</v>
      </c>
    </row>
    <row r="178" spans="1:33" ht="18.75" customHeight="1" x14ac:dyDescent="0.15">
      <c r="A178" s="1836"/>
      <c r="D178" s="1669" t="str">
        <f>改善項目管理用!T69</f>
        <v>？</v>
      </c>
      <c r="E178" s="1765" t="str">
        <f t="shared" si="46"/>
        <v>？</v>
      </c>
      <c r="F178" s="1765" t="str">
        <f t="shared" si="47"/>
        <v>？</v>
      </c>
      <c r="G178" s="1765" t="str">
        <f t="shared" si="48"/>
        <v>？</v>
      </c>
      <c r="K178" s="1451" t="s">
        <v>742</v>
      </c>
      <c r="S178" s="1451" t="str">
        <f t="shared" si="49"/>
        <v>4(15)</v>
      </c>
      <c r="U178" s="1510" t="s">
        <v>3306</v>
      </c>
      <c r="V178" s="1470" t="s">
        <v>33</v>
      </c>
      <c r="W178" s="1518" t="s">
        <v>1366</v>
      </c>
      <c r="X178" s="1834" t="s">
        <v>742</v>
      </c>
      <c r="Y178" s="1835"/>
      <c r="Z178" s="1832"/>
      <c r="AA178" s="1835"/>
      <c r="AB178" s="1833"/>
      <c r="AC178" s="1832"/>
      <c r="AD178" s="1833"/>
      <c r="AG178" s="1457" t="str">
        <f t="shared" si="45"/>
        <v>23調査結果-4(15)</v>
      </c>
    </row>
    <row r="179" spans="1:33" ht="18.75" customHeight="1" x14ac:dyDescent="0.15">
      <c r="A179" s="1836"/>
      <c r="D179" s="1669" t="str">
        <f>改善項目管理用!T70</f>
        <v>？</v>
      </c>
      <c r="E179" s="1765" t="str">
        <f t="shared" si="46"/>
        <v>？</v>
      </c>
      <c r="F179" s="1765" t="str">
        <f t="shared" si="47"/>
        <v>？</v>
      </c>
      <c r="G179" s="1765" t="str">
        <f t="shared" si="48"/>
        <v>？</v>
      </c>
      <c r="K179" s="1451" t="s">
        <v>743</v>
      </c>
      <c r="S179" s="1451" t="str">
        <f t="shared" si="49"/>
        <v>4(16)</v>
      </c>
      <c r="U179" s="1510" t="s">
        <v>3306</v>
      </c>
      <c r="V179" s="1470" t="s">
        <v>33</v>
      </c>
      <c r="W179" s="1518" t="s">
        <v>1366</v>
      </c>
      <c r="X179" s="1834" t="s">
        <v>743</v>
      </c>
      <c r="Y179" s="1835"/>
      <c r="Z179" s="1832"/>
      <c r="AA179" s="1835"/>
      <c r="AB179" s="1833"/>
      <c r="AC179" s="1832"/>
      <c r="AD179" s="1833"/>
      <c r="AG179" s="1457" t="str">
        <f t="shared" si="45"/>
        <v>23調査結果-4(16)</v>
      </c>
    </row>
    <row r="180" spans="1:33" ht="18.75" customHeight="1" x14ac:dyDescent="0.15">
      <c r="A180" s="1836"/>
      <c r="D180" s="1669" t="str">
        <f>改善項目管理用!T71</f>
        <v>？</v>
      </c>
      <c r="E180" s="1765" t="str">
        <f t="shared" si="46"/>
        <v>？</v>
      </c>
      <c r="F180" s="1765" t="str">
        <f t="shared" si="47"/>
        <v>？</v>
      </c>
      <c r="G180" s="1765" t="str">
        <f t="shared" si="48"/>
        <v>？</v>
      </c>
      <c r="K180" s="1451" t="s">
        <v>744</v>
      </c>
      <c r="S180" s="1451" t="str">
        <f t="shared" si="49"/>
        <v>4(17)</v>
      </c>
      <c r="U180" s="1510" t="s">
        <v>3306</v>
      </c>
      <c r="V180" s="1470" t="s">
        <v>33</v>
      </c>
      <c r="W180" s="1518" t="s">
        <v>1366</v>
      </c>
      <c r="X180" s="1834" t="s">
        <v>744</v>
      </c>
      <c r="Y180" s="1835"/>
      <c r="Z180" s="1832"/>
      <c r="AA180" s="1835"/>
      <c r="AB180" s="1833"/>
      <c r="AC180" s="1832"/>
      <c r="AD180" s="1833"/>
      <c r="AG180" s="1457" t="str">
        <f t="shared" si="45"/>
        <v>23調査結果-4(17)</v>
      </c>
    </row>
    <row r="181" spans="1:33" ht="18.75" customHeight="1" x14ac:dyDescent="0.15">
      <c r="A181" s="1836"/>
      <c r="D181" s="1669" t="str">
        <f>改善項目管理用!T72</f>
        <v>？</v>
      </c>
      <c r="E181" s="1765" t="str">
        <f t="shared" si="46"/>
        <v>？</v>
      </c>
      <c r="F181" s="1765" t="str">
        <f t="shared" si="47"/>
        <v>？</v>
      </c>
      <c r="G181" s="1765" t="str">
        <f t="shared" si="48"/>
        <v>？</v>
      </c>
      <c r="K181" s="1451" t="s">
        <v>745</v>
      </c>
      <c r="S181" s="1451" t="str">
        <f t="shared" si="49"/>
        <v>4(18)</v>
      </c>
      <c r="U181" s="1510" t="s">
        <v>3306</v>
      </c>
      <c r="V181" s="1470" t="s">
        <v>33</v>
      </c>
      <c r="W181" s="1518" t="s">
        <v>1366</v>
      </c>
      <c r="X181" s="1834" t="s">
        <v>745</v>
      </c>
      <c r="Y181" s="1835"/>
      <c r="Z181" s="1832"/>
      <c r="AA181" s="1835"/>
      <c r="AB181" s="1833"/>
      <c r="AC181" s="1832"/>
      <c r="AD181" s="1833"/>
      <c r="AG181" s="1457" t="str">
        <f t="shared" si="45"/>
        <v>23調査結果-4(18)</v>
      </c>
    </row>
    <row r="182" spans="1:33" ht="18.75" customHeight="1" x14ac:dyDescent="0.15">
      <c r="A182" s="1836"/>
      <c r="D182" s="1669" t="str">
        <f>改善項目管理用!T73</f>
        <v>？</v>
      </c>
      <c r="E182" s="1765" t="str">
        <f t="shared" si="46"/>
        <v>？</v>
      </c>
      <c r="F182" s="1765" t="str">
        <f t="shared" si="47"/>
        <v>？</v>
      </c>
      <c r="G182" s="1765" t="str">
        <f t="shared" si="48"/>
        <v>？</v>
      </c>
      <c r="K182" s="1451" t="s">
        <v>746</v>
      </c>
      <c r="S182" s="1451" t="str">
        <f t="shared" si="49"/>
        <v>4(19)</v>
      </c>
      <c r="U182" s="1510" t="s">
        <v>3306</v>
      </c>
      <c r="V182" s="1470" t="s">
        <v>33</v>
      </c>
      <c r="W182" s="1518" t="s">
        <v>1366</v>
      </c>
      <c r="X182" s="1834" t="s">
        <v>746</v>
      </c>
      <c r="Y182" s="1835"/>
      <c r="Z182" s="1832"/>
      <c r="AA182" s="1835"/>
      <c r="AB182" s="1833"/>
      <c r="AC182" s="1832"/>
      <c r="AD182" s="1833"/>
      <c r="AG182" s="1457" t="str">
        <f t="shared" si="45"/>
        <v>23調査結果-4(19)</v>
      </c>
    </row>
    <row r="183" spans="1:33" ht="18.75" customHeight="1" x14ac:dyDescent="0.15">
      <c r="A183" s="1836"/>
      <c r="D183" s="1669" t="str">
        <f>改善項目管理用!T74</f>
        <v>？</v>
      </c>
      <c r="E183" s="1765" t="str">
        <f t="shared" si="46"/>
        <v>？</v>
      </c>
      <c r="F183" s="1765" t="str">
        <f t="shared" si="47"/>
        <v>？</v>
      </c>
      <c r="G183" s="1765" t="str">
        <f t="shared" si="48"/>
        <v>？</v>
      </c>
      <c r="K183" s="1451" t="s">
        <v>747</v>
      </c>
      <c r="S183" s="1451" t="str">
        <f t="shared" si="49"/>
        <v>4(20)</v>
      </c>
      <c r="U183" s="1510" t="s">
        <v>3306</v>
      </c>
      <c r="V183" s="1470" t="s">
        <v>33</v>
      </c>
      <c r="W183" s="1518" t="s">
        <v>1366</v>
      </c>
      <c r="X183" s="1834" t="s">
        <v>747</v>
      </c>
      <c r="Y183" s="1835"/>
      <c r="Z183" s="1832"/>
      <c r="AA183" s="1835"/>
      <c r="AB183" s="1833"/>
      <c r="AC183" s="1832"/>
      <c r="AD183" s="1833"/>
      <c r="AG183" s="1457" t="str">
        <f t="shared" si="45"/>
        <v>23調査結果-4(20)</v>
      </c>
    </row>
    <row r="184" spans="1:33" ht="18.75" customHeight="1" x14ac:dyDescent="0.15">
      <c r="A184" s="1836"/>
      <c r="D184" s="1669" t="str">
        <f>改善項目管理用!T75</f>
        <v>？</v>
      </c>
      <c r="E184" s="1765" t="str">
        <f t="shared" si="46"/>
        <v>？</v>
      </c>
      <c r="F184" s="1765" t="str">
        <f t="shared" si="47"/>
        <v>？</v>
      </c>
      <c r="G184" s="1765" t="str">
        <f t="shared" si="48"/>
        <v>？</v>
      </c>
      <c r="K184" s="1451" t="s">
        <v>748</v>
      </c>
      <c r="S184" s="1451" t="str">
        <f t="shared" si="49"/>
        <v>4(21)</v>
      </c>
      <c r="U184" s="1510" t="s">
        <v>3306</v>
      </c>
      <c r="V184" s="1470" t="s">
        <v>33</v>
      </c>
      <c r="W184" s="1518" t="s">
        <v>1366</v>
      </c>
      <c r="X184" s="1834" t="s">
        <v>748</v>
      </c>
      <c r="Y184" s="1835"/>
      <c r="Z184" s="1832"/>
      <c r="AA184" s="1835"/>
      <c r="AB184" s="1833"/>
      <c r="AC184" s="1832"/>
      <c r="AD184" s="1833"/>
      <c r="AG184" s="1457" t="str">
        <f t="shared" si="45"/>
        <v>23調査結果-4(21)</v>
      </c>
    </row>
    <row r="185" spans="1:33" ht="18.75" customHeight="1" x14ac:dyDescent="0.15">
      <c r="A185" s="1836"/>
      <c r="D185" s="1669" t="str">
        <f>改善項目管理用!T76</f>
        <v>？</v>
      </c>
      <c r="E185" s="1765" t="str">
        <f t="shared" si="46"/>
        <v>？</v>
      </c>
      <c r="F185" s="1765" t="str">
        <f t="shared" si="47"/>
        <v>？</v>
      </c>
      <c r="G185" s="1765" t="str">
        <f t="shared" si="48"/>
        <v>？</v>
      </c>
      <c r="K185" s="1451" t="s">
        <v>749</v>
      </c>
      <c r="S185" s="1451" t="str">
        <f t="shared" si="49"/>
        <v>4(22)</v>
      </c>
      <c r="U185" s="1510" t="s">
        <v>3306</v>
      </c>
      <c r="V185" s="1470" t="s">
        <v>33</v>
      </c>
      <c r="W185" s="1518" t="s">
        <v>1366</v>
      </c>
      <c r="X185" s="1834" t="s">
        <v>749</v>
      </c>
      <c r="Y185" s="1835"/>
      <c r="Z185" s="1832"/>
      <c r="AA185" s="1835"/>
      <c r="AB185" s="1833"/>
      <c r="AC185" s="1832"/>
      <c r="AD185" s="1833"/>
      <c r="AG185" s="1457" t="str">
        <f t="shared" si="45"/>
        <v>23調査結果-4(22)</v>
      </c>
    </row>
    <row r="186" spans="1:33" ht="18.75" customHeight="1" x14ac:dyDescent="0.15">
      <c r="A186" s="1836"/>
      <c r="D186" s="1669" t="str">
        <f>改善項目管理用!T77</f>
        <v>？</v>
      </c>
      <c r="E186" s="1765" t="str">
        <f t="shared" si="46"/>
        <v>？</v>
      </c>
      <c r="F186" s="1765" t="str">
        <f t="shared" si="47"/>
        <v>？</v>
      </c>
      <c r="G186" s="1765" t="str">
        <f t="shared" si="48"/>
        <v>？</v>
      </c>
      <c r="K186" s="1451" t="s">
        <v>750</v>
      </c>
      <c r="S186" s="1451" t="str">
        <f t="shared" si="49"/>
        <v>4(23)</v>
      </c>
      <c r="U186" s="1510" t="s">
        <v>3306</v>
      </c>
      <c r="V186" s="1470" t="s">
        <v>33</v>
      </c>
      <c r="W186" s="1518" t="s">
        <v>1366</v>
      </c>
      <c r="X186" s="1834" t="s">
        <v>750</v>
      </c>
      <c r="Y186" s="1835"/>
      <c r="Z186" s="1832"/>
      <c r="AA186" s="1835"/>
      <c r="AB186" s="1833"/>
      <c r="AC186" s="1832"/>
      <c r="AD186" s="1833"/>
      <c r="AG186" s="1457" t="str">
        <f t="shared" si="45"/>
        <v>23調査結果-4(23)</v>
      </c>
    </row>
    <row r="187" spans="1:33" ht="18.75" customHeight="1" x14ac:dyDescent="0.15">
      <c r="A187" s="1836"/>
      <c r="D187" s="1669" t="str">
        <f>改善項目管理用!T78</f>
        <v>？</v>
      </c>
      <c r="E187" s="1765" t="str">
        <f t="shared" si="46"/>
        <v>？</v>
      </c>
      <c r="F187" s="1765" t="str">
        <f t="shared" si="47"/>
        <v>？</v>
      </c>
      <c r="G187" s="1765" t="str">
        <f t="shared" si="48"/>
        <v>？</v>
      </c>
      <c r="K187" s="1451" t="s">
        <v>751</v>
      </c>
      <c r="S187" s="1451" t="str">
        <f t="shared" si="49"/>
        <v>4(24)</v>
      </c>
      <c r="U187" s="1510" t="s">
        <v>3306</v>
      </c>
      <c r="V187" s="1470" t="s">
        <v>33</v>
      </c>
      <c r="W187" s="1518" t="s">
        <v>1366</v>
      </c>
      <c r="X187" s="1834" t="s">
        <v>751</v>
      </c>
      <c r="Y187" s="1835"/>
      <c r="Z187" s="1832"/>
      <c r="AA187" s="1835"/>
      <c r="AB187" s="1833"/>
      <c r="AC187" s="1832"/>
      <c r="AD187" s="1833"/>
      <c r="AG187" s="1457" t="str">
        <f t="shared" si="45"/>
        <v>23調査結果-4(24)</v>
      </c>
    </row>
    <row r="188" spans="1:33" ht="18.75" customHeight="1" x14ac:dyDescent="0.15">
      <c r="A188" s="1836"/>
      <c r="D188" s="1669" t="str">
        <f>改善項目管理用!T79</f>
        <v>？</v>
      </c>
      <c r="E188" s="1765" t="str">
        <f t="shared" si="46"/>
        <v>？</v>
      </c>
      <c r="F188" s="1765" t="str">
        <f t="shared" si="47"/>
        <v>？</v>
      </c>
      <c r="G188" s="1765" t="str">
        <f t="shared" si="48"/>
        <v>？</v>
      </c>
      <c r="K188" s="1451" t="s">
        <v>752</v>
      </c>
      <c r="S188" s="1451" t="str">
        <f t="shared" si="49"/>
        <v>4(25)</v>
      </c>
      <c r="U188" s="1510" t="s">
        <v>3306</v>
      </c>
      <c r="V188" s="1470" t="s">
        <v>33</v>
      </c>
      <c r="W188" s="1518" t="s">
        <v>1366</v>
      </c>
      <c r="X188" s="1834" t="s">
        <v>752</v>
      </c>
      <c r="Y188" s="1835"/>
      <c r="Z188" s="1832"/>
      <c r="AA188" s="1835"/>
      <c r="AB188" s="1833"/>
      <c r="AC188" s="1832"/>
      <c r="AD188" s="1833"/>
      <c r="AG188" s="1457" t="str">
        <f t="shared" si="45"/>
        <v>23調査結果-4(25)</v>
      </c>
    </row>
    <row r="189" spans="1:33" ht="18.75" customHeight="1" x14ac:dyDescent="0.15">
      <c r="A189" s="1836"/>
      <c r="D189" s="1669" t="str">
        <f>改善項目管理用!T80</f>
        <v>？</v>
      </c>
      <c r="E189" s="1765" t="str">
        <f t="shared" si="46"/>
        <v>？</v>
      </c>
      <c r="F189" s="1765" t="str">
        <f t="shared" si="47"/>
        <v>？</v>
      </c>
      <c r="G189" s="1765" t="str">
        <f t="shared" si="48"/>
        <v>？</v>
      </c>
      <c r="K189" s="1451" t="s">
        <v>753</v>
      </c>
      <c r="S189" s="1451" t="str">
        <f t="shared" si="49"/>
        <v>4(26)</v>
      </c>
      <c r="U189" s="1510" t="s">
        <v>3306</v>
      </c>
      <c r="V189" s="1470" t="s">
        <v>33</v>
      </c>
      <c r="W189" s="1518" t="s">
        <v>1366</v>
      </c>
      <c r="X189" s="1834" t="s">
        <v>753</v>
      </c>
      <c r="Y189" s="1835"/>
      <c r="Z189" s="1832"/>
      <c r="AA189" s="1835"/>
      <c r="AB189" s="1833"/>
      <c r="AC189" s="1832"/>
      <c r="AD189" s="1833"/>
      <c r="AG189" s="1457" t="str">
        <f t="shared" si="45"/>
        <v>23調査結果-4(26)</v>
      </c>
    </row>
    <row r="190" spans="1:33" ht="18.75" customHeight="1" x14ac:dyDescent="0.15">
      <c r="A190" s="1836"/>
      <c r="D190" s="1669" t="str">
        <f>改善項目管理用!T81</f>
        <v>？</v>
      </c>
      <c r="E190" s="1765" t="str">
        <f t="shared" si="46"/>
        <v>？</v>
      </c>
      <c r="F190" s="1765" t="str">
        <f t="shared" si="47"/>
        <v>？</v>
      </c>
      <c r="G190" s="1765" t="str">
        <f t="shared" si="48"/>
        <v>？</v>
      </c>
      <c r="K190" s="1451" t="s">
        <v>754</v>
      </c>
      <c r="S190" s="1451" t="str">
        <f t="shared" si="49"/>
        <v>4(27)</v>
      </c>
      <c r="U190" s="1510" t="s">
        <v>3306</v>
      </c>
      <c r="V190" s="1470" t="s">
        <v>33</v>
      </c>
      <c r="W190" s="1518" t="s">
        <v>1366</v>
      </c>
      <c r="X190" s="1834" t="s">
        <v>754</v>
      </c>
      <c r="Y190" s="1835"/>
      <c r="Z190" s="1832"/>
      <c r="AA190" s="1835"/>
      <c r="AB190" s="1833"/>
      <c r="AC190" s="1832"/>
      <c r="AD190" s="1833"/>
      <c r="AG190" s="1457" t="str">
        <f t="shared" si="45"/>
        <v>23調査結果-4(27)</v>
      </c>
    </row>
    <row r="191" spans="1:33" ht="18.75" customHeight="1" x14ac:dyDescent="0.15">
      <c r="A191" s="1836"/>
      <c r="D191" s="1669" t="str">
        <f>改善項目管理用!T82</f>
        <v>？</v>
      </c>
      <c r="E191" s="1765" t="str">
        <f t="shared" si="46"/>
        <v>？</v>
      </c>
      <c r="F191" s="1765" t="str">
        <f t="shared" si="47"/>
        <v>？</v>
      </c>
      <c r="G191" s="1765" t="str">
        <f t="shared" si="48"/>
        <v>？</v>
      </c>
      <c r="K191" s="1451" t="s">
        <v>755</v>
      </c>
      <c r="S191" s="1451" t="str">
        <f t="shared" si="49"/>
        <v>4(28)</v>
      </c>
      <c r="U191" s="1510" t="s">
        <v>3306</v>
      </c>
      <c r="V191" s="1470" t="s">
        <v>33</v>
      </c>
      <c r="W191" s="1518" t="s">
        <v>1366</v>
      </c>
      <c r="X191" s="1834" t="s">
        <v>755</v>
      </c>
      <c r="Y191" s="1835"/>
      <c r="Z191" s="1832"/>
      <c r="AA191" s="1835"/>
      <c r="AB191" s="1833"/>
      <c r="AC191" s="1832"/>
      <c r="AD191" s="1833"/>
      <c r="AG191" s="1457" t="str">
        <f t="shared" si="45"/>
        <v>23調査結果-4(28)</v>
      </c>
    </row>
    <row r="192" spans="1:33" ht="18.75" customHeight="1" x14ac:dyDescent="0.15">
      <c r="A192" s="1836"/>
      <c r="D192" s="1669" t="str">
        <f>改善項目管理用!T83</f>
        <v>？</v>
      </c>
      <c r="E192" s="1765" t="str">
        <f t="shared" si="46"/>
        <v>？</v>
      </c>
      <c r="F192" s="1765" t="str">
        <f t="shared" si="47"/>
        <v>？</v>
      </c>
      <c r="G192" s="1765" t="str">
        <f t="shared" si="48"/>
        <v>？</v>
      </c>
      <c r="K192" s="1451" t="s">
        <v>756</v>
      </c>
      <c r="S192" s="1451" t="str">
        <f t="shared" si="49"/>
        <v>4(29)</v>
      </c>
      <c r="U192" s="1510" t="s">
        <v>3306</v>
      </c>
      <c r="V192" s="1470" t="s">
        <v>33</v>
      </c>
      <c r="W192" s="1518" t="s">
        <v>1366</v>
      </c>
      <c r="X192" s="1834" t="s">
        <v>756</v>
      </c>
      <c r="Y192" s="1835"/>
      <c r="Z192" s="1832"/>
      <c r="AA192" s="1835"/>
      <c r="AB192" s="1833"/>
      <c r="AC192" s="1832"/>
      <c r="AD192" s="1833"/>
      <c r="AG192" s="1457" t="str">
        <f t="shared" si="45"/>
        <v>23調査結果-4(29)</v>
      </c>
    </row>
    <row r="193" spans="1:33" ht="18.75" customHeight="1" x14ac:dyDescent="0.15">
      <c r="A193" s="1836"/>
      <c r="D193" s="1669" t="str">
        <f>改善項目管理用!T84</f>
        <v>？</v>
      </c>
      <c r="E193" s="1765" t="str">
        <f t="shared" si="46"/>
        <v>？</v>
      </c>
      <c r="F193" s="1765" t="str">
        <f t="shared" si="47"/>
        <v>？</v>
      </c>
      <c r="G193" s="1765" t="str">
        <f t="shared" si="48"/>
        <v>？</v>
      </c>
      <c r="K193" s="1451" t="s">
        <v>757</v>
      </c>
      <c r="S193" s="1451" t="str">
        <f t="shared" si="49"/>
        <v>4(30)</v>
      </c>
      <c r="U193" s="1510" t="s">
        <v>3306</v>
      </c>
      <c r="V193" s="1470" t="s">
        <v>33</v>
      </c>
      <c r="W193" s="1518" t="s">
        <v>1366</v>
      </c>
      <c r="X193" s="1834" t="s">
        <v>757</v>
      </c>
      <c r="Y193" s="1835"/>
      <c r="Z193" s="1832"/>
      <c r="AA193" s="1835"/>
      <c r="AB193" s="1833"/>
      <c r="AC193" s="1832"/>
      <c r="AD193" s="1833"/>
      <c r="AG193" s="1457" t="str">
        <f t="shared" si="45"/>
        <v>23調査結果-4(30)</v>
      </c>
    </row>
    <row r="194" spans="1:33" ht="18.75" customHeight="1" x14ac:dyDescent="0.15">
      <c r="A194" s="1836"/>
      <c r="D194" s="1669" t="str">
        <f>改善項目管理用!T85</f>
        <v>？</v>
      </c>
      <c r="E194" s="1765" t="str">
        <f t="shared" si="46"/>
        <v>？</v>
      </c>
      <c r="F194" s="1765" t="str">
        <f t="shared" si="47"/>
        <v>？</v>
      </c>
      <c r="G194" s="1765" t="str">
        <f t="shared" si="48"/>
        <v>？</v>
      </c>
      <c r="K194" s="1451" t="s">
        <v>758</v>
      </c>
      <c r="S194" s="1451" t="str">
        <f t="shared" si="49"/>
        <v>4(31)</v>
      </c>
      <c r="U194" s="1510" t="s">
        <v>3306</v>
      </c>
      <c r="V194" s="1470" t="s">
        <v>33</v>
      </c>
      <c r="W194" s="1518" t="s">
        <v>1366</v>
      </c>
      <c r="X194" s="1834" t="s">
        <v>758</v>
      </c>
      <c r="Y194" s="1835"/>
      <c r="Z194" s="1832"/>
      <c r="AA194" s="1835"/>
      <c r="AB194" s="1833"/>
      <c r="AC194" s="1832"/>
      <c r="AD194" s="1833"/>
      <c r="AG194" s="1457" t="str">
        <f t="shared" si="45"/>
        <v>23調査結果-4(31)</v>
      </c>
    </row>
    <row r="195" spans="1:33" ht="18.75" customHeight="1" x14ac:dyDescent="0.15">
      <c r="A195" s="1836"/>
      <c r="D195" s="1669" t="str">
        <f>改善項目管理用!T86</f>
        <v>？</v>
      </c>
      <c r="E195" s="1765" t="str">
        <f t="shared" si="46"/>
        <v>？</v>
      </c>
      <c r="F195" s="1765" t="str">
        <f t="shared" si="47"/>
        <v>？</v>
      </c>
      <c r="G195" s="1765" t="str">
        <f t="shared" si="48"/>
        <v>？</v>
      </c>
      <c r="K195" s="1451" t="s">
        <v>759</v>
      </c>
      <c r="S195" s="1451" t="str">
        <f t="shared" si="49"/>
        <v>4(32)</v>
      </c>
      <c r="U195" s="1510" t="s">
        <v>3306</v>
      </c>
      <c r="V195" s="1470" t="s">
        <v>33</v>
      </c>
      <c r="W195" s="1518" t="s">
        <v>1366</v>
      </c>
      <c r="X195" s="1834" t="s">
        <v>759</v>
      </c>
      <c r="Y195" s="1835"/>
      <c r="Z195" s="1832"/>
      <c r="AA195" s="1835"/>
      <c r="AB195" s="1833"/>
      <c r="AC195" s="1832"/>
      <c r="AD195" s="1833"/>
      <c r="AG195" s="1457" t="str">
        <f t="shared" ref="AG195:AG258" si="50">CONCATENATE(U195,V195,W195,X195,Y195,Z195,AA195,AB195,AC195,AD195)</f>
        <v>23調査結果-4(32)</v>
      </c>
    </row>
    <row r="196" spans="1:33" ht="18.75" customHeight="1" x14ac:dyDescent="0.15">
      <c r="A196" s="1836"/>
      <c r="D196" s="1669" t="str">
        <f>改善項目管理用!T87</f>
        <v>？</v>
      </c>
      <c r="E196" s="1765" t="str">
        <f t="shared" si="46"/>
        <v>？</v>
      </c>
      <c r="F196" s="1765" t="str">
        <f t="shared" si="47"/>
        <v>？</v>
      </c>
      <c r="G196" s="1765" t="str">
        <f t="shared" si="48"/>
        <v>？</v>
      </c>
      <c r="K196" s="1451" t="s">
        <v>760</v>
      </c>
      <c r="S196" s="1451" t="str">
        <f t="shared" si="49"/>
        <v>4(33)</v>
      </c>
      <c r="U196" s="1510" t="s">
        <v>3306</v>
      </c>
      <c r="V196" s="1470" t="s">
        <v>33</v>
      </c>
      <c r="W196" s="1518" t="s">
        <v>1366</v>
      </c>
      <c r="X196" s="1834" t="s">
        <v>760</v>
      </c>
      <c r="Y196" s="1835"/>
      <c r="Z196" s="1832"/>
      <c r="AA196" s="1835"/>
      <c r="AB196" s="1833"/>
      <c r="AC196" s="1832"/>
      <c r="AD196" s="1833"/>
      <c r="AG196" s="1457" t="str">
        <f t="shared" si="50"/>
        <v>23調査結果-4(33)</v>
      </c>
    </row>
    <row r="197" spans="1:33" ht="18.75" customHeight="1" x14ac:dyDescent="0.15">
      <c r="A197" s="1836"/>
      <c r="D197" s="1669" t="str">
        <f>改善項目管理用!T88</f>
        <v>？</v>
      </c>
      <c r="E197" s="1765" t="str">
        <f t="shared" si="46"/>
        <v>？</v>
      </c>
      <c r="F197" s="1765" t="str">
        <f t="shared" si="47"/>
        <v>？</v>
      </c>
      <c r="G197" s="1765" t="str">
        <f t="shared" si="48"/>
        <v>？</v>
      </c>
      <c r="K197" s="1451" t="s">
        <v>761</v>
      </c>
      <c r="S197" s="1451" t="str">
        <f t="shared" si="49"/>
        <v>4(34)</v>
      </c>
      <c r="U197" s="1510" t="s">
        <v>3306</v>
      </c>
      <c r="V197" s="1470" t="s">
        <v>33</v>
      </c>
      <c r="W197" s="1518" t="s">
        <v>1366</v>
      </c>
      <c r="X197" s="1834" t="s">
        <v>761</v>
      </c>
      <c r="Y197" s="1835"/>
      <c r="Z197" s="1832"/>
      <c r="AA197" s="1835"/>
      <c r="AB197" s="1833"/>
      <c r="AC197" s="1832"/>
      <c r="AD197" s="1833"/>
      <c r="AG197" s="1457" t="str">
        <f t="shared" si="50"/>
        <v>23調査結果-4(34)</v>
      </c>
    </row>
    <row r="198" spans="1:33" ht="18.75" customHeight="1" x14ac:dyDescent="0.15">
      <c r="A198" s="1836"/>
      <c r="D198" s="1669" t="str">
        <f>改善項目管理用!T89</f>
        <v>？</v>
      </c>
      <c r="E198" s="1765" t="str">
        <f t="shared" si="46"/>
        <v>？</v>
      </c>
      <c r="F198" s="1765" t="str">
        <f t="shared" si="47"/>
        <v>？</v>
      </c>
      <c r="G198" s="1765" t="str">
        <f t="shared" si="48"/>
        <v>？</v>
      </c>
      <c r="K198" s="1451" t="s">
        <v>762</v>
      </c>
      <c r="S198" s="1451" t="str">
        <f t="shared" si="49"/>
        <v>4(35)</v>
      </c>
      <c r="U198" s="1510" t="s">
        <v>3306</v>
      </c>
      <c r="V198" s="1470" t="s">
        <v>33</v>
      </c>
      <c r="W198" s="1518" t="s">
        <v>1366</v>
      </c>
      <c r="X198" s="1834" t="s">
        <v>762</v>
      </c>
      <c r="Y198" s="1835"/>
      <c r="Z198" s="1832"/>
      <c r="AA198" s="1835"/>
      <c r="AB198" s="1833"/>
      <c r="AC198" s="1832"/>
      <c r="AD198" s="1833"/>
      <c r="AG198" s="1457" t="str">
        <f t="shared" si="50"/>
        <v>23調査結果-4(35)</v>
      </c>
    </row>
    <row r="199" spans="1:33" ht="18.75" customHeight="1" x14ac:dyDescent="0.15">
      <c r="A199" s="1836"/>
      <c r="D199" s="1669" t="str">
        <f>改善項目管理用!T90</f>
        <v>？</v>
      </c>
      <c r="E199" s="1765" t="str">
        <f t="shared" si="46"/>
        <v>？</v>
      </c>
      <c r="F199" s="1765" t="str">
        <f t="shared" si="47"/>
        <v>？</v>
      </c>
      <c r="G199" s="1765" t="str">
        <f t="shared" si="48"/>
        <v>？</v>
      </c>
      <c r="K199" s="1451" t="s">
        <v>763</v>
      </c>
      <c r="S199" s="1451" t="str">
        <f t="shared" si="49"/>
        <v>4(36)</v>
      </c>
      <c r="U199" s="1510" t="s">
        <v>3306</v>
      </c>
      <c r="V199" s="1470" t="s">
        <v>33</v>
      </c>
      <c r="W199" s="1518" t="s">
        <v>1366</v>
      </c>
      <c r="X199" s="1834" t="s">
        <v>763</v>
      </c>
      <c r="Y199" s="1835"/>
      <c r="Z199" s="1832"/>
      <c r="AA199" s="1835"/>
      <c r="AB199" s="1833"/>
      <c r="AC199" s="1832"/>
      <c r="AD199" s="1833"/>
      <c r="AG199" s="1457" t="str">
        <f t="shared" si="50"/>
        <v>23調査結果-4(36)</v>
      </c>
    </row>
    <row r="200" spans="1:33" ht="18.75" customHeight="1" x14ac:dyDescent="0.15">
      <c r="A200" s="1836"/>
      <c r="D200" s="1669" t="str">
        <f>改善項目管理用!T91</f>
        <v>？</v>
      </c>
      <c r="E200" s="1765" t="str">
        <f t="shared" si="46"/>
        <v>？</v>
      </c>
      <c r="F200" s="1765" t="str">
        <f t="shared" si="47"/>
        <v>？</v>
      </c>
      <c r="G200" s="1765" t="str">
        <f t="shared" si="48"/>
        <v>？</v>
      </c>
      <c r="K200" s="1451" t="s">
        <v>764</v>
      </c>
      <c r="S200" s="1451" t="str">
        <f t="shared" si="49"/>
        <v>4(37)</v>
      </c>
      <c r="U200" s="1510" t="s">
        <v>3306</v>
      </c>
      <c r="V200" s="1470" t="s">
        <v>33</v>
      </c>
      <c r="W200" s="1518" t="s">
        <v>1366</v>
      </c>
      <c r="X200" s="1834" t="s">
        <v>764</v>
      </c>
      <c r="Y200" s="1835"/>
      <c r="Z200" s="1832"/>
      <c r="AA200" s="1835"/>
      <c r="AB200" s="1833"/>
      <c r="AC200" s="1832"/>
      <c r="AD200" s="1833"/>
      <c r="AG200" s="1457" t="str">
        <f t="shared" si="50"/>
        <v>23調査結果-4(37)</v>
      </c>
    </row>
    <row r="201" spans="1:33" ht="18.75" customHeight="1" x14ac:dyDescent="0.15">
      <c r="A201" s="1836"/>
      <c r="D201" s="1669" t="str">
        <f>改善項目管理用!T92</f>
        <v>？</v>
      </c>
      <c r="E201" s="1765" t="str">
        <f t="shared" si="46"/>
        <v>？</v>
      </c>
      <c r="F201" s="1765" t="str">
        <f t="shared" si="47"/>
        <v>？</v>
      </c>
      <c r="G201" s="1765" t="str">
        <f t="shared" si="48"/>
        <v>？</v>
      </c>
      <c r="K201" s="1451" t="s">
        <v>765</v>
      </c>
      <c r="S201" s="1451" t="str">
        <f t="shared" si="49"/>
        <v>4(38)</v>
      </c>
      <c r="U201" s="1510" t="s">
        <v>3306</v>
      </c>
      <c r="V201" s="1470" t="s">
        <v>33</v>
      </c>
      <c r="W201" s="1518" t="s">
        <v>1366</v>
      </c>
      <c r="X201" s="1834" t="s">
        <v>765</v>
      </c>
      <c r="Y201" s="1835"/>
      <c r="Z201" s="1832"/>
      <c r="AA201" s="1835"/>
      <c r="AB201" s="1833"/>
      <c r="AC201" s="1832"/>
      <c r="AD201" s="1833"/>
      <c r="AG201" s="1457" t="str">
        <f t="shared" si="50"/>
        <v>23調査結果-4(38)</v>
      </c>
    </row>
    <row r="202" spans="1:33" ht="18.75" customHeight="1" x14ac:dyDescent="0.15">
      <c r="A202" s="1836"/>
      <c r="D202" s="1669" t="str">
        <f>改善項目管理用!T93</f>
        <v>？</v>
      </c>
      <c r="E202" s="1765" t="str">
        <f t="shared" si="46"/>
        <v>？</v>
      </c>
      <c r="F202" s="1765" t="str">
        <f t="shared" si="47"/>
        <v>？</v>
      </c>
      <c r="G202" s="1765" t="str">
        <f t="shared" si="48"/>
        <v>？</v>
      </c>
      <c r="K202" s="1451" t="s">
        <v>766</v>
      </c>
      <c r="S202" s="1451" t="str">
        <f t="shared" si="49"/>
        <v>4(39)</v>
      </c>
      <c r="U202" s="1510" t="s">
        <v>3306</v>
      </c>
      <c r="V202" s="1470" t="s">
        <v>33</v>
      </c>
      <c r="W202" s="1518" t="s">
        <v>1366</v>
      </c>
      <c r="X202" s="1834" t="s">
        <v>766</v>
      </c>
      <c r="Y202" s="1835"/>
      <c r="Z202" s="1832"/>
      <c r="AA202" s="1835"/>
      <c r="AB202" s="1833"/>
      <c r="AC202" s="1832"/>
      <c r="AD202" s="1833"/>
      <c r="AG202" s="1457" t="str">
        <f t="shared" si="50"/>
        <v>23調査結果-4(39)</v>
      </c>
    </row>
    <row r="203" spans="1:33" ht="18.75" customHeight="1" x14ac:dyDescent="0.15">
      <c r="A203" s="1836"/>
      <c r="D203" s="1669" t="str">
        <f>改善項目管理用!T94</f>
        <v>？</v>
      </c>
      <c r="E203" s="1765" t="str">
        <f t="shared" si="46"/>
        <v>？</v>
      </c>
      <c r="F203" s="1765" t="str">
        <f t="shared" si="47"/>
        <v>？</v>
      </c>
      <c r="G203" s="1765" t="str">
        <f t="shared" si="48"/>
        <v>？</v>
      </c>
      <c r="K203" s="1451" t="s">
        <v>767</v>
      </c>
      <c r="S203" s="1451" t="str">
        <f t="shared" si="49"/>
        <v>4(40)</v>
      </c>
      <c r="U203" s="1510" t="s">
        <v>3306</v>
      </c>
      <c r="V203" s="1470" t="s">
        <v>33</v>
      </c>
      <c r="W203" s="1518" t="s">
        <v>1366</v>
      </c>
      <c r="X203" s="1834" t="s">
        <v>767</v>
      </c>
      <c r="Y203" s="1835"/>
      <c r="Z203" s="1832"/>
      <c r="AA203" s="1835"/>
      <c r="AB203" s="1833"/>
      <c r="AC203" s="1832"/>
      <c r="AD203" s="1833"/>
      <c r="AG203" s="1457" t="str">
        <f t="shared" si="50"/>
        <v>23調査結果-4(40)</v>
      </c>
    </row>
    <row r="204" spans="1:33" ht="18.75" customHeight="1" x14ac:dyDescent="0.15">
      <c r="A204" s="1836"/>
      <c r="D204" s="1669" t="str">
        <f>改善項目管理用!T95</f>
        <v>？</v>
      </c>
      <c r="E204" s="1765" t="str">
        <f t="shared" si="46"/>
        <v>？</v>
      </c>
      <c r="F204" s="1765" t="str">
        <f t="shared" si="47"/>
        <v>？</v>
      </c>
      <c r="G204" s="1765" t="str">
        <f t="shared" si="48"/>
        <v>？</v>
      </c>
      <c r="K204" s="1451" t="s">
        <v>768</v>
      </c>
      <c r="S204" s="1451" t="str">
        <f t="shared" si="49"/>
        <v>4(41)</v>
      </c>
      <c r="U204" s="1510" t="s">
        <v>3306</v>
      </c>
      <c r="V204" s="1470" t="s">
        <v>33</v>
      </c>
      <c r="W204" s="1518" t="s">
        <v>1366</v>
      </c>
      <c r="X204" s="1834" t="s">
        <v>768</v>
      </c>
      <c r="Y204" s="1835"/>
      <c r="Z204" s="1832"/>
      <c r="AA204" s="1835"/>
      <c r="AB204" s="1833"/>
      <c r="AC204" s="1832"/>
      <c r="AD204" s="1833"/>
      <c r="AG204" s="1457" t="str">
        <f t="shared" si="50"/>
        <v>23調査結果-4(41)</v>
      </c>
    </row>
    <row r="205" spans="1:33" ht="18.75" customHeight="1" x14ac:dyDescent="0.15">
      <c r="A205" s="1836"/>
      <c r="D205" s="1669" t="str">
        <f>改善項目管理用!T96</f>
        <v>？</v>
      </c>
      <c r="E205" s="1765" t="str">
        <f t="shared" si="46"/>
        <v>？</v>
      </c>
      <c r="F205" s="1765" t="str">
        <f t="shared" si="47"/>
        <v>？</v>
      </c>
      <c r="G205" s="1765" t="str">
        <f t="shared" si="48"/>
        <v>？</v>
      </c>
      <c r="K205" s="1451" t="s">
        <v>769</v>
      </c>
      <c r="S205" s="1451" t="str">
        <f t="shared" si="49"/>
        <v>4(42)</v>
      </c>
      <c r="U205" s="1510" t="s">
        <v>3306</v>
      </c>
      <c r="V205" s="1470" t="s">
        <v>33</v>
      </c>
      <c r="W205" s="1518" t="s">
        <v>1366</v>
      </c>
      <c r="X205" s="1834" t="s">
        <v>769</v>
      </c>
      <c r="Y205" s="1835"/>
      <c r="Z205" s="1832"/>
      <c r="AA205" s="1835"/>
      <c r="AB205" s="1833"/>
      <c r="AC205" s="1832"/>
      <c r="AD205" s="1833"/>
      <c r="AG205" s="1457" t="str">
        <f t="shared" si="50"/>
        <v>23調査結果-4(42)</v>
      </c>
    </row>
    <row r="206" spans="1:33" ht="18.75" customHeight="1" x14ac:dyDescent="0.15">
      <c r="A206" s="1836"/>
      <c r="D206" s="1669" t="str">
        <f>改善項目管理用!T97</f>
        <v>？</v>
      </c>
      <c r="E206" s="1765" t="str">
        <f t="shared" si="46"/>
        <v>？</v>
      </c>
      <c r="F206" s="1765" t="str">
        <f t="shared" si="47"/>
        <v>？</v>
      </c>
      <c r="G206" s="1765" t="str">
        <f t="shared" si="48"/>
        <v>？</v>
      </c>
      <c r="K206" s="1451" t="s">
        <v>770</v>
      </c>
      <c r="S206" s="1451" t="str">
        <f t="shared" si="49"/>
        <v>4(43)</v>
      </c>
      <c r="U206" s="1510" t="s">
        <v>3306</v>
      </c>
      <c r="V206" s="1470" t="s">
        <v>33</v>
      </c>
      <c r="W206" s="1518" t="s">
        <v>1366</v>
      </c>
      <c r="X206" s="1834" t="s">
        <v>770</v>
      </c>
      <c r="Y206" s="1835"/>
      <c r="Z206" s="1832"/>
      <c r="AA206" s="1835"/>
      <c r="AB206" s="1833"/>
      <c r="AC206" s="1832"/>
      <c r="AD206" s="1833"/>
      <c r="AG206" s="1457" t="str">
        <f t="shared" si="50"/>
        <v>23調査結果-4(43)</v>
      </c>
    </row>
    <row r="207" spans="1:33" ht="18.75" customHeight="1" x14ac:dyDescent="0.15">
      <c r="A207" s="1836"/>
      <c r="D207" s="1669" t="str">
        <f>改善項目管理用!T98</f>
        <v>？</v>
      </c>
      <c r="E207" s="1765" t="str">
        <f t="shared" si="46"/>
        <v>？</v>
      </c>
      <c r="F207" s="1765" t="str">
        <f t="shared" si="47"/>
        <v>？</v>
      </c>
      <c r="G207" s="1765" t="str">
        <f t="shared" si="48"/>
        <v>？</v>
      </c>
      <c r="K207" s="1451" t="s">
        <v>771</v>
      </c>
      <c r="S207" s="1451" t="str">
        <f t="shared" si="49"/>
        <v>4(44)</v>
      </c>
      <c r="U207" s="1510" t="s">
        <v>3306</v>
      </c>
      <c r="V207" s="1470" t="s">
        <v>33</v>
      </c>
      <c r="W207" s="1518" t="s">
        <v>1366</v>
      </c>
      <c r="X207" s="1834" t="s">
        <v>771</v>
      </c>
      <c r="Y207" s="1835"/>
      <c r="Z207" s="1832"/>
      <c r="AA207" s="1835"/>
      <c r="AB207" s="1833"/>
      <c r="AC207" s="1832"/>
      <c r="AD207" s="1833"/>
      <c r="AG207" s="1457" t="str">
        <f t="shared" si="50"/>
        <v>23調査結果-4(44)</v>
      </c>
    </row>
    <row r="208" spans="1:33" ht="18.75" customHeight="1" x14ac:dyDescent="0.15">
      <c r="A208" s="1836"/>
      <c r="D208" s="1669" t="str">
        <f>改善項目管理用!T99</f>
        <v>？</v>
      </c>
      <c r="E208" s="1765" t="str">
        <f t="shared" si="46"/>
        <v>？</v>
      </c>
      <c r="F208" s="1765" t="str">
        <f t="shared" si="47"/>
        <v>？</v>
      </c>
      <c r="G208" s="1765" t="str">
        <f t="shared" si="48"/>
        <v>？</v>
      </c>
      <c r="K208" s="1451" t="s">
        <v>772</v>
      </c>
      <c r="S208" s="1451" t="str">
        <f t="shared" si="49"/>
        <v>4(45)</v>
      </c>
      <c r="U208" s="1510" t="s">
        <v>3306</v>
      </c>
      <c r="V208" s="1470" t="s">
        <v>33</v>
      </c>
      <c r="W208" s="1518" t="s">
        <v>1366</v>
      </c>
      <c r="X208" s="1834" t="s">
        <v>772</v>
      </c>
      <c r="Y208" s="1835"/>
      <c r="Z208" s="1832"/>
      <c r="AA208" s="1835"/>
      <c r="AB208" s="1833"/>
      <c r="AC208" s="1832"/>
      <c r="AD208" s="1833"/>
      <c r="AG208" s="1457" t="str">
        <f t="shared" si="50"/>
        <v>23調査結果-4(45)</v>
      </c>
    </row>
    <row r="209" spans="1:33" ht="18.75" customHeight="1" x14ac:dyDescent="0.15">
      <c r="A209" s="1836"/>
      <c r="D209" s="1669" t="str">
        <f>改善項目管理用!T100</f>
        <v/>
      </c>
      <c r="E209" s="1765" t="str">
        <f t="shared" si="46"/>
        <v/>
      </c>
      <c r="F209" s="1765" t="str">
        <f t="shared" si="47"/>
        <v/>
      </c>
      <c r="G209" s="1765" t="str">
        <f t="shared" si="48"/>
        <v/>
      </c>
      <c r="K209" s="1451" t="s">
        <v>1066</v>
      </c>
      <c r="S209" s="1451" t="str">
        <f t="shared" si="49"/>
        <v>4(46)</v>
      </c>
      <c r="U209" s="1510" t="s">
        <v>3306</v>
      </c>
      <c r="V209" s="1470" t="s">
        <v>33</v>
      </c>
      <c r="W209" s="1518" t="s">
        <v>1366</v>
      </c>
      <c r="X209" s="1834" t="s">
        <v>1066</v>
      </c>
      <c r="Y209" s="1835"/>
      <c r="Z209" s="1832"/>
      <c r="AA209" s="1835"/>
      <c r="AB209" s="1833"/>
      <c r="AC209" s="1832"/>
      <c r="AD209" s="1833"/>
      <c r="AG209" s="1457" t="str">
        <f t="shared" si="50"/>
        <v>23調査結果-4(46)</v>
      </c>
    </row>
    <row r="210" spans="1:33" ht="18.75" customHeight="1" x14ac:dyDescent="0.15">
      <c r="A210" s="1836"/>
      <c r="D210" s="1669" t="str">
        <f>改善項目管理用!T101</f>
        <v/>
      </c>
      <c r="E210" s="1765" t="str">
        <f t="shared" si="46"/>
        <v/>
      </c>
      <c r="F210" s="1765" t="str">
        <f t="shared" si="47"/>
        <v/>
      </c>
      <c r="G210" s="1765" t="str">
        <f t="shared" si="48"/>
        <v/>
      </c>
      <c r="K210" s="1451" t="s">
        <v>1067</v>
      </c>
      <c r="S210" s="1451" t="str">
        <f t="shared" si="49"/>
        <v>4(47)</v>
      </c>
      <c r="U210" s="1510" t="s">
        <v>3306</v>
      </c>
      <c r="V210" s="1470" t="s">
        <v>33</v>
      </c>
      <c r="W210" s="1518" t="s">
        <v>1366</v>
      </c>
      <c r="X210" s="1834" t="s">
        <v>1067</v>
      </c>
      <c r="Y210" s="1835"/>
      <c r="Z210" s="1832"/>
      <c r="AA210" s="1835"/>
      <c r="AB210" s="1833"/>
      <c r="AC210" s="1832"/>
      <c r="AD210" s="1833"/>
      <c r="AG210" s="1457" t="str">
        <f t="shared" si="50"/>
        <v>23調査結果-4(47)</v>
      </c>
    </row>
    <row r="211" spans="1:33" ht="18.75" customHeight="1" x14ac:dyDescent="0.15">
      <c r="A211" s="1836"/>
      <c r="D211" s="1669" t="str">
        <f>改善項目管理用!T102</f>
        <v/>
      </c>
      <c r="E211" s="1765" t="str">
        <f t="shared" si="46"/>
        <v/>
      </c>
      <c r="F211" s="1765" t="str">
        <f t="shared" si="47"/>
        <v/>
      </c>
      <c r="G211" s="1765" t="str">
        <f t="shared" si="48"/>
        <v/>
      </c>
      <c r="K211" s="1451" t="s">
        <v>3238</v>
      </c>
      <c r="S211" s="1451" t="str">
        <f t="shared" si="49"/>
        <v>4(48)</v>
      </c>
      <c r="U211" s="1510" t="s">
        <v>3306</v>
      </c>
      <c r="V211" s="1470" t="s">
        <v>33</v>
      </c>
      <c r="W211" s="1518" t="s">
        <v>1366</v>
      </c>
      <c r="X211" s="1834" t="s">
        <v>3238</v>
      </c>
      <c r="Y211" s="1835"/>
      <c r="Z211" s="1832"/>
      <c r="AA211" s="1835"/>
      <c r="AB211" s="1833"/>
      <c r="AC211" s="1832"/>
      <c r="AD211" s="1833"/>
      <c r="AG211" s="1457" t="str">
        <f t="shared" si="50"/>
        <v>23調査結果-4(48)</v>
      </c>
    </row>
    <row r="212" spans="1:33" ht="18.75" customHeight="1" x14ac:dyDescent="0.15">
      <c r="A212" s="1836"/>
      <c r="D212" s="1669" t="str">
        <f>改善項目管理用!T103</f>
        <v/>
      </c>
      <c r="E212" s="1765" t="str">
        <f t="shared" si="46"/>
        <v/>
      </c>
      <c r="F212" s="1765" t="str">
        <f t="shared" si="47"/>
        <v/>
      </c>
      <c r="G212" s="1765" t="str">
        <f t="shared" si="48"/>
        <v/>
      </c>
      <c r="K212" s="1451" t="s">
        <v>3239</v>
      </c>
      <c r="S212" s="1451" t="str">
        <f t="shared" si="49"/>
        <v>4(49)</v>
      </c>
      <c r="U212" s="1510" t="s">
        <v>3306</v>
      </c>
      <c r="V212" s="1470" t="s">
        <v>33</v>
      </c>
      <c r="W212" s="1518" t="s">
        <v>1366</v>
      </c>
      <c r="X212" s="1834" t="s">
        <v>3239</v>
      </c>
      <c r="Y212" s="1835"/>
      <c r="Z212" s="1832"/>
      <c r="AA212" s="1835"/>
      <c r="AB212" s="1833"/>
      <c r="AC212" s="1832"/>
      <c r="AD212" s="1833"/>
      <c r="AG212" s="1457" t="str">
        <f t="shared" si="50"/>
        <v>23調査結果-4(49)</v>
      </c>
    </row>
    <row r="213" spans="1:33" ht="18.75" customHeight="1" x14ac:dyDescent="0.15">
      <c r="A213" s="1836"/>
      <c r="D213" s="1669" t="str">
        <f>改善項目管理用!T104</f>
        <v/>
      </c>
      <c r="E213" s="1765" t="str">
        <f t="shared" si="46"/>
        <v/>
      </c>
      <c r="F213" s="1765" t="str">
        <f t="shared" si="47"/>
        <v/>
      </c>
      <c r="G213" s="1765" t="str">
        <f t="shared" si="48"/>
        <v/>
      </c>
      <c r="K213" s="1451" t="s">
        <v>3240</v>
      </c>
      <c r="S213" s="1451" t="str">
        <f t="shared" si="49"/>
        <v>4(50)</v>
      </c>
      <c r="U213" s="1510" t="s">
        <v>3306</v>
      </c>
      <c r="V213" s="1470" t="s">
        <v>33</v>
      </c>
      <c r="W213" s="1518" t="s">
        <v>1366</v>
      </c>
      <c r="X213" s="1834" t="s">
        <v>3240</v>
      </c>
      <c r="Y213" s="1835"/>
      <c r="Z213" s="1832"/>
      <c r="AA213" s="1835"/>
      <c r="AB213" s="1833"/>
      <c r="AC213" s="1832"/>
      <c r="AD213" s="1833"/>
      <c r="AG213" s="1457" t="str">
        <f t="shared" si="50"/>
        <v>23調査結果-4(50)</v>
      </c>
    </row>
    <row r="214" spans="1:33" ht="18.75" customHeight="1" x14ac:dyDescent="0.15">
      <c r="A214" s="1836"/>
      <c r="D214" s="1669" t="str">
        <f>改善項目管理用!T105</f>
        <v>？</v>
      </c>
      <c r="E214" s="1765" t="str">
        <f t="shared" si="46"/>
        <v>？</v>
      </c>
      <c r="F214" s="1765" t="str">
        <f t="shared" si="47"/>
        <v>？</v>
      </c>
      <c r="G214" s="1765" t="str">
        <f t="shared" si="48"/>
        <v>？</v>
      </c>
      <c r="K214" s="1451" t="s">
        <v>773</v>
      </c>
      <c r="S214" s="1451" t="str">
        <f t="shared" si="49"/>
        <v>5(1)</v>
      </c>
      <c r="U214" s="1510" t="s">
        <v>3306</v>
      </c>
      <c r="V214" s="1470" t="s">
        <v>33</v>
      </c>
      <c r="W214" s="1518" t="s">
        <v>1366</v>
      </c>
      <c r="X214" s="1834" t="s">
        <v>773</v>
      </c>
      <c r="Y214" s="1835"/>
      <c r="Z214" s="1832"/>
      <c r="AA214" s="1835"/>
      <c r="AB214" s="1833"/>
      <c r="AC214" s="1832"/>
      <c r="AD214" s="1833"/>
      <c r="AG214" s="1457" t="str">
        <f t="shared" si="50"/>
        <v>23調査結果-5(1)</v>
      </c>
    </row>
    <row r="215" spans="1:33" ht="18.75" customHeight="1" x14ac:dyDescent="0.15">
      <c r="A215" s="1836"/>
      <c r="D215" s="1669" t="str">
        <f>改善項目管理用!T106</f>
        <v>？</v>
      </c>
      <c r="E215" s="1765" t="str">
        <f t="shared" si="46"/>
        <v>？</v>
      </c>
      <c r="F215" s="1765" t="str">
        <f t="shared" si="47"/>
        <v>？</v>
      </c>
      <c r="G215" s="1765" t="str">
        <f t="shared" si="48"/>
        <v>？</v>
      </c>
      <c r="K215" s="1451" t="s">
        <v>774</v>
      </c>
      <c r="S215" s="1451" t="str">
        <f t="shared" si="49"/>
        <v>5(2)</v>
      </c>
      <c r="U215" s="1510" t="s">
        <v>3306</v>
      </c>
      <c r="V215" s="1470" t="s">
        <v>33</v>
      </c>
      <c r="W215" s="1518" t="s">
        <v>1366</v>
      </c>
      <c r="X215" s="1834" t="s">
        <v>774</v>
      </c>
      <c r="Y215" s="1835"/>
      <c r="Z215" s="1832"/>
      <c r="AA215" s="1835"/>
      <c r="AB215" s="1833"/>
      <c r="AC215" s="1832"/>
      <c r="AD215" s="1833"/>
      <c r="AG215" s="1457" t="str">
        <f t="shared" si="50"/>
        <v>23調査結果-5(2)</v>
      </c>
    </row>
    <row r="216" spans="1:33" ht="18.75" customHeight="1" x14ac:dyDescent="0.15">
      <c r="A216" s="1836"/>
      <c r="D216" s="1669" t="str">
        <f>改善項目管理用!T107</f>
        <v>？</v>
      </c>
      <c r="E216" s="1765" t="str">
        <f t="shared" si="46"/>
        <v>？</v>
      </c>
      <c r="F216" s="1765" t="str">
        <f t="shared" si="47"/>
        <v>？</v>
      </c>
      <c r="G216" s="1765" t="str">
        <f t="shared" si="48"/>
        <v>？</v>
      </c>
      <c r="K216" s="1451" t="s">
        <v>775</v>
      </c>
      <c r="S216" s="1451" t="str">
        <f t="shared" si="49"/>
        <v>5(3)</v>
      </c>
      <c r="U216" s="1510" t="s">
        <v>3306</v>
      </c>
      <c r="V216" s="1470" t="s">
        <v>33</v>
      </c>
      <c r="W216" s="1518" t="s">
        <v>1366</v>
      </c>
      <c r="X216" s="1834" t="s">
        <v>775</v>
      </c>
      <c r="Y216" s="1835"/>
      <c r="Z216" s="1832"/>
      <c r="AA216" s="1835"/>
      <c r="AB216" s="1833"/>
      <c r="AC216" s="1832"/>
      <c r="AD216" s="1833"/>
      <c r="AG216" s="1457" t="str">
        <f t="shared" si="50"/>
        <v>23調査結果-5(3)</v>
      </c>
    </row>
    <row r="217" spans="1:33" ht="18.75" customHeight="1" x14ac:dyDescent="0.15">
      <c r="A217" s="1836"/>
      <c r="D217" s="1669" t="str">
        <f>改善項目管理用!T108</f>
        <v>？</v>
      </c>
      <c r="E217" s="1765" t="str">
        <f t="shared" si="46"/>
        <v>？</v>
      </c>
      <c r="F217" s="1765" t="str">
        <f t="shared" si="47"/>
        <v>？</v>
      </c>
      <c r="G217" s="1765" t="str">
        <f t="shared" si="48"/>
        <v>？</v>
      </c>
      <c r="K217" s="1451" t="s">
        <v>776</v>
      </c>
      <c r="S217" s="1451" t="str">
        <f t="shared" si="49"/>
        <v>5(4)</v>
      </c>
      <c r="U217" s="1510" t="s">
        <v>3306</v>
      </c>
      <c r="V217" s="1470" t="s">
        <v>33</v>
      </c>
      <c r="W217" s="1518" t="s">
        <v>1366</v>
      </c>
      <c r="X217" s="1834" t="s">
        <v>776</v>
      </c>
      <c r="Y217" s="1835"/>
      <c r="Z217" s="1832"/>
      <c r="AA217" s="1835"/>
      <c r="AB217" s="1833"/>
      <c r="AC217" s="1832"/>
      <c r="AD217" s="1833"/>
      <c r="AG217" s="1457" t="str">
        <f t="shared" si="50"/>
        <v>23調査結果-5(4)</v>
      </c>
    </row>
    <row r="218" spans="1:33" ht="18.75" customHeight="1" x14ac:dyDescent="0.15">
      <c r="A218" s="1836"/>
      <c r="D218" s="1669" t="str">
        <f>改善項目管理用!T109</f>
        <v>？</v>
      </c>
      <c r="E218" s="1765" t="str">
        <f t="shared" si="46"/>
        <v>？</v>
      </c>
      <c r="F218" s="1765" t="str">
        <f t="shared" si="47"/>
        <v>？</v>
      </c>
      <c r="G218" s="1765" t="str">
        <f t="shared" si="48"/>
        <v>？</v>
      </c>
      <c r="K218" s="1451" t="s">
        <v>777</v>
      </c>
      <c r="S218" s="1451" t="str">
        <f t="shared" si="49"/>
        <v>5(5)</v>
      </c>
      <c r="U218" s="1510" t="s">
        <v>3306</v>
      </c>
      <c r="V218" s="1470" t="s">
        <v>33</v>
      </c>
      <c r="W218" s="1518" t="s">
        <v>1366</v>
      </c>
      <c r="X218" s="1834" t="s">
        <v>777</v>
      </c>
      <c r="Y218" s="1835"/>
      <c r="Z218" s="1832"/>
      <c r="AA218" s="1835"/>
      <c r="AB218" s="1833"/>
      <c r="AC218" s="1832"/>
      <c r="AD218" s="1833"/>
      <c r="AG218" s="1457" t="str">
        <f t="shared" si="50"/>
        <v>23調査結果-5(5)</v>
      </c>
    </row>
    <row r="219" spans="1:33" ht="18.75" customHeight="1" x14ac:dyDescent="0.15">
      <c r="A219" s="1836"/>
      <c r="D219" s="1669" t="str">
        <f>改善項目管理用!T110</f>
        <v>？</v>
      </c>
      <c r="E219" s="1765" t="str">
        <f t="shared" si="46"/>
        <v>？</v>
      </c>
      <c r="F219" s="1765" t="str">
        <f t="shared" si="47"/>
        <v>？</v>
      </c>
      <c r="G219" s="1765" t="str">
        <f t="shared" si="48"/>
        <v>？</v>
      </c>
      <c r="K219" s="1451" t="s">
        <v>778</v>
      </c>
      <c r="S219" s="1451" t="str">
        <f t="shared" si="49"/>
        <v>5(6)</v>
      </c>
      <c r="U219" s="1510" t="s">
        <v>3306</v>
      </c>
      <c r="V219" s="1470" t="s">
        <v>33</v>
      </c>
      <c r="W219" s="1518" t="s">
        <v>1366</v>
      </c>
      <c r="X219" s="1834" t="s">
        <v>778</v>
      </c>
      <c r="Y219" s="1835"/>
      <c r="Z219" s="1832"/>
      <c r="AA219" s="1835"/>
      <c r="AB219" s="1833"/>
      <c r="AC219" s="1832"/>
      <c r="AD219" s="1833"/>
      <c r="AG219" s="1457" t="str">
        <f t="shared" si="50"/>
        <v>23調査結果-5(6)</v>
      </c>
    </row>
    <row r="220" spans="1:33" ht="18.75" customHeight="1" x14ac:dyDescent="0.15">
      <c r="A220" s="1836"/>
      <c r="D220" s="1669" t="str">
        <f>改善項目管理用!T111</f>
        <v>？</v>
      </c>
      <c r="E220" s="1765" t="str">
        <f t="shared" si="46"/>
        <v>？</v>
      </c>
      <c r="F220" s="1765" t="str">
        <f t="shared" si="47"/>
        <v>？</v>
      </c>
      <c r="G220" s="1765" t="str">
        <f t="shared" si="48"/>
        <v>？</v>
      </c>
      <c r="K220" s="1451" t="s">
        <v>779</v>
      </c>
      <c r="S220" s="1451" t="str">
        <f t="shared" si="49"/>
        <v>5(7)</v>
      </c>
      <c r="U220" s="1510" t="s">
        <v>3306</v>
      </c>
      <c r="V220" s="1470" t="s">
        <v>33</v>
      </c>
      <c r="W220" s="1518" t="s">
        <v>1366</v>
      </c>
      <c r="X220" s="1834" t="s">
        <v>779</v>
      </c>
      <c r="Y220" s="1835"/>
      <c r="Z220" s="1832"/>
      <c r="AA220" s="1835"/>
      <c r="AB220" s="1833"/>
      <c r="AC220" s="1832"/>
      <c r="AD220" s="1833"/>
      <c r="AG220" s="1457" t="str">
        <f t="shared" si="50"/>
        <v>23調査結果-5(7)</v>
      </c>
    </row>
    <row r="221" spans="1:33" ht="18.75" customHeight="1" x14ac:dyDescent="0.15">
      <c r="A221" s="1836"/>
      <c r="D221" s="1669" t="str">
        <f>改善項目管理用!T112</f>
        <v>？</v>
      </c>
      <c r="E221" s="1765" t="str">
        <f t="shared" si="46"/>
        <v>？</v>
      </c>
      <c r="F221" s="1765" t="str">
        <f t="shared" si="47"/>
        <v>？</v>
      </c>
      <c r="G221" s="1765" t="str">
        <f t="shared" si="48"/>
        <v>？</v>
      </c>
      <c r="K221" s="1451" t="s">
        <v>780</v>
      </c>
      <c r="S221" s="1451" t="str">
        <f t="shared" si="49"/>
        <v>5(8)</v>
      </c>
      <c r="U221" s="1510" t="s">
        <v>3306</v>
      </c>
      <c r="V221" s="1470" t="s">
        <v>33</v>
      </c>
      <c r="W221" s="1518" t="s">
        <v>1366</v>
      </c>
      <c r="X221" s="1834" t="s">
        <v>780</v>
      </c>
      <c r="Y221" s="1835"/>
      <c r="Z221" s="1832"/>
      <c r="AA221" s="1835"/>
      <c r="AB221" s="1833"/>
      <c r="AC221" s="1832"/>
      <c r="AD221" s="1833"/>
      <c r="AG221" s="1457" t="str">
        <f t="shared" si="50"/>
        <v>23調査結果-5(8)</v>
      </c>
    </row>
    <row r="222" spans="1:33" ht="18.75" customHeight="1" x14ac:dyDescent="0.15">
      <c r="A222" s="1836"/>
      <c r="D222" s="1669" t="str">
        <f>改善項目管理用!T113</f>
        <v>？</v>
      </c>
      <c r="E222" s="1765" t="str">
        <f t="shared" si="46"/>
        <v>？</v>
      </c>
      <c r="F222" s="1765" t="str">
        <f t="shared" si="47"/>
        <v>？</v>
      </c>
      <c r="G222" s="1765" t="str">
        <f t="shared" si="48"/>
        <v>？</v>
      </c>
      <c r="K222" s="1451" t="s">
        <v>781</v>
      </c>
      <c r="S222" s="1451" t="str">
        <f t="shared" si="49"/>
        <v>5(9)</v>
      </c>
      <c r="U222" s="1510" t="s">
        <v>3306</v>
      </c>
      <c r="V222" s="1470" t="s">
        <v>33</v>
      </c>
      <c r="W222" s="1518" t="s">
        <v>1366</v>
      </c>
      <c r="X222" s="1834" t="s">
        <v>781</v>
      </c>
      <c r="Y222" s="1835"/>
      <c r="Z222" s="1832"/>
      <c r="AA222" s="1835"/>
      <c r="AB222" s="1833"/>
      <c r="AC222" s="1832"/>
      <c r="AD222" s="1833"/>
      <c r="AG222" s="1457" t="str">
        <f t="shared" si="50"/>
        <v>23調査結果-5(9)</v>
      </c>
    </row>
    <row r="223" spans="1:33" ht="18.75" customHeight="1" x14ac:dyDescent="0.15">
      <c r="A223" s="1836"/>
      <c r="D223" s="1669" t="str">
        <f>改善項目管理用!T114</f>
        <v>？</v>
      </c>
      <c r="E223" s="1765" t="str">
        <f t="shared" si="46"/>
        <v>？</v>
      </c>
      <c r="F223" s="1765" t="str">
        <f t="shared" si="47"/>
        <v>？</v>
      </c>
      <c r="G223" s="1765" t="str">
        <f t="shared" si="48"/>
        <v>？</v>
      </c>
      <c r="K223" s="1451" t="s">
        <v>782</v>
      </c>
      <c r="S223" s="1451" t="str">
        <f t="shared" si="49"/>
        <v>5(10)</v>
      </c>
      <c r="U223" s="1510" t="s">
        <v>3306</v>
      </c>
      <c r="V223" s="1470" t="s">
        <v>33</v>
      </c>
      <c r="W223" s="1518" t="s">
        <v>1366</v>
      </c>
      <c r="X223" s="1834" t="s">
        <v>782</v>
      </c>
      <c r="Y223" s="1835"/>
      <c r="Z223" s="1832"/>
      <c r="AA223" s="1835"/>
      <c r="AB223" s="1833"/>
      <c r="AC223" s="1832"/>
      <c r="AD223" s="1833"/>
      <c r="AG223" s="1457" t="str">
        <f t="shared" si="50"/>
        <v>23調査結果-5(10)</v>
      </c>
    </row>
    <row r="224" spans="1:33" ht="18.75" customHeight="1" x14ac:dyDescent="0.15">
      <c r="A224" s="1836"/>
      <c r="D224" s="1669" t="str">
        <f>改善項目管理用!T115</f>
        <v>？</v>
      </c>
      <c r="E224" s="1765" t="str">
        <f t="shared" si="46"/>
        <v>？</v>
      </c>
      <c r="F224" s="1765" t="str">
        <f t="shared" si="47"/>
        <v>？</v>
      </c>
      <c r="G224" s="1765" t="str">
        <f t="shared" si="48"/>
        <v>？</v>
      </c>
      <c r="K224" s="1451" t="s">
        <v>783</v>
      </c>
      <c r="S224" s="1451" t="str">
        <f t="shared" si="49"/>
        <v>5(11)</v>
      </c>
      <c r="U224" s="1510" t="s">
        <v>3306</v>
      </c>
      <c r="V224" s="1470" t="s">
        <v>33</v>
      </c>
      <c r="W224" s="1518" t="s">
        <v>1366</v>
      </c>
      <c r="X224" s="1834" t="s">
        <v>783</v>
      </c>
      <c r="Y224" s="1835"/>
      <c r="Z224" s="1832"/>
      <c r="AA224" s="1835"/>
      <c r="AB224" s="1833"/>
      <c r="AC224" s="1832"/>
      <c r="AD224" s="1833"/>
      <c r="AG224" s="1457" t="str">
        <f t="shared" si="50"/>
        <v>23調査結果-5(11)</v>
      </c>
    </row>
    <row r="225" spans="1:33" ht="18.75" customHeight="1" x14ac:dyDescent="0.15">
      <c r="A225" s="1836"/>
      <c r="D225" s="1669" t="str">
        <f>改善項目管理用!T116</f>
        <v>？</v>
      </c>
      <c r="E225" s="1765" t="str">
        <f t="shared" si="46"/>
        <v>？</v>
      </c>
      <c r="F225" s="1765" t="str">
        <f t="shared" si="47"/>
        <v>？</v>
      </c>
      <c r="G225" s="1765" t="str">
        <f t="shared" si="48"/>
        <v>？</v>
      </c>
      <c r="K225" s="1451" t="s">
        <v>784</v>
      </c>
      <c r="S225" s="1451" t="str">
        <f t="shared" si="49"/>
        <v>5(12)</v>
      </c>
      <c r="U225" s="1510" t="s">
        <v>3306</v>
      </c>
      <c r="V225" s="1470" t="s">
        <v>33</v>
      </c>
      <c r="W225" s="1518" t="s">
        <v>1366</v>
      </c>
      <c r="X225" s="1834" t="s">
        <v>784</v>
      </c>
      <c r="Y225" s="1835"/>
      <c r="Z225" s="1832"/>
      <c r="AA225" s="1835"/>
      <c r="AB225" s="1833"/>
      <c r="AC225" s="1832"/>
      <c r="AD225" s="1833"/>
      <c r="AG225" s="1457" t="str">
        <f t="shared" si="50"/>
        <v>23調査結果-5(12)</v>
      </c>
    </row>
    <row r="226" spans="1:33" ht="18.75" customHeight="1" x14ac:dyDescent="0.15">
      <c r="A226" s="1836"/>
      <c r="D226" s="1669" t="str">
        <f>改善項目管理用!T117</f>
        <v>？</v>
      </c>
      <c r="E226" s="1765" t="str">
        <f t="shared" si="46"/>
        <v>？</v>
      </c>
      <c r="F226" s="1765" t="str">
        <f t="shared" si="47"/>
        <v>？</v>
      </c>
      <c r="G226" s="1765" t="str">
        <f t="shared" si="48"/>
        <v>？</v>
      </c>
      <c r="K226" s="1451" t="s">
        <v>785</v>
      </c>
      <c r="S226" s="1451" t="str">
        <f t="shared" si="49"/>
        <v>5(13)</v>
      </c>
      <c r="U226" s="1510" t="s">
        <v>3306</v>
      </c>
      <c r="V226" s="1470" t="s">
        <v>33</v>
      </c>
      <c r="W226" s="1518" t="s">
        <v>1366</v>
      </c>
      <c r="X226" s="1834" t="s">
        <v>785</v>
      </c>
      <c r="Y226" s="1835"/>
      <c r="Z226" s="1832"/>
      <c r="AA226" s="1835"/>
      <c r="AB226" s="1833"/>
      <c r="AC226" s="1832"/>
      <c r="AD226" s="1833"/>
      <c r="AG226" s="1457" t="str">
        <f t="shared" si="50"/>
        <v>23調査結果-5(13)</v>
      </c>
    </row>
    <row r="227" spans="1:33" ht="18.75" customHeight="1" x14ac:dyDescent="0.15">
      <c r="A227" s="1836"/>
      <c r="D227" s="1669" t="str">
        <f>改善項目管理用!T118</f>
        <v>？</v>
      </c>
      <c r="E227" s="1765" t="str">
        <f t="shared" si="46"/>
        <v>？</v>
      </c>
      <c r="F227" s="1765" t="str">
        <f t="shared" si="47"/>
        <v>？</v>
      </c>
      <c r="G227" s="1765" t="str">
        <f t="shared" si="48"/>
        <v>？</v>
      </c>
      <c r="K227" s="1451" t="s">
        <v>786</v>
      </c>
      <c r="S227" s="1451" t="str">
        <f t="shared" si="49"/>
        <v>5(14)</v>
      </c>
      <c r="U227" s="1510" t="s">
        <v>3306</v>
      </c>
      <c r="V227" s="1470" t="s">
        <v>33</v>
      </c>
      <c r="W227" s="1518" t="s">
        <v>1366</v>
      </c>
      <c r="X227" s="1834" t="s">
        <v>786</v>
      </c>
      <c r="Y227" s="1835"/>
      <c r="Z227" s="1832"/>
      <c r="AA227" s="1835"/>
      <c r="AB227" s="1833"/>
      <c r="AC227" s="1832"/>
      <c r="AD227" s="1833"/>
      <c r="AG227" s="1457" t="str">
        <f t="shared" si="50"/>
        <v>23調査結果-5(14)</v>
      </c>
    </row>
    <row r="228" spans="1:33" ht="18.75" customHeight="1" x14ac:dyDescent="0.15">
      <c r="A228" s="1836"/>
      <c r="D228" s="1669" t="str">
        <f>改善項目管理用!T119</f>
        <v>？</v>
      </c>
      <c r="E228" s="1765" t="str">
        <f t="shared" si="46"/>
        <v>？</v>
      </c>
      <c r="F228" s="1765" t="str">
        <f t="shared" si="47"/>
        <v>？</v>
      </c>
      <c r="G228" s="1765" t="str">
        <f t="shared" si="48"/>
        <v>？</v>
      </c>
      <c r="K228" s="1451" t="s">
        <v>787</v>
      </c>
      <c r="S228" s="1451" t="str">
        <f t="shared" si="49"/>
        <v>5(15)</v>
      </c>
      <c r="U228" s="1510" t="s">
        <v>3306</v>
      </c>
      <c r="V228" s="1470" t="s">
        <v>33</v>
      </c>
      <c r="W228" s="1518" t="s">
        <v>1366</v>
      </c>
      <c r="X228" s="1834" t="s">
        <v>787</v>
      </c>
      <c r="Y228" s="1835"/>
      <c r="Z228" s="1832"/>
      <c r="AA228" s="1835"/>
      <c r="AB228" s="1833"/>
      <c r="AC228" s="1832"/>
      <c r="AD228" s="1833"/>
      <c r="AG228" s="1457" t="str">
        <f t="shared" si="50"/>
        <v>23調査結果-5(15)</v>
      </c>
    </row>
    <row r="229" spans="1:33" ht="18.75" customHeight="1" x14ac:dyDescent="0.15">
      <c r="A229" s="1836"/>
      <c r="D229" s="1669" t="str">
        <f>改善項目管理用!T120</f>
        <v>？</v>
      </c>
      <c r="E229" s="1765" t="str">
        <f t="shared" si="46"/>
        <v>？</v>
      </c>
      <c r="F229" s="1765" t="str">
        <f t="shared" si="47"/>
        <v>？</v>
      </c>
      <c r="G229" s="1765" t="str">
        <f t="shared" si="48"/>
        <v>？</v>
      </c>
      <c r="K229" s="1451" t="s">
        <v>788</v>
      </c>
      <c r="S229" s="1451" t="str">
        <f t="shared" si="49"/>
        <v>5(16)</v>
      </c>
      <c r="U229" s="1510" t="s">
        <v>3306</v>
      </c>
      <c r="V229" s="1470" t="s">
        <v>33</v>
      </c>
      <c r="W229" s="1518" t="s">
        <v>1366</v>
      </c>
      <c r="X229" s="1834" t="s">
        <v>788</v>
      </c>
      <c r="Y229" s="1835"/>
      <c r="Z229" s="1832"/>
      <c r="AA229" s="1835"/>
      <c r="AB229" s="1833"/>
      <c r="AC229" s="1832"/>
      <c r="AD229" s="1833"/>
      <c r="AG229" s="1457" t="str">
        <f t="shared" si="50"/>
        <v>23調査結果-5(16)</v>
      </c>
    </row>
    <row r="230" spans="1:33" ht="18.75" customHeight="1" x14ac:dyDescent="0.15">
      <c r="A230" s="1836"/>
      <c r="D230" s="1669" t="str">
        <f>改善項目管理用!T121</f>
        <v>？</v>
      </c>
      <c r="E230" s="1765" t="str">
        <f t="shared" si="46"/>
        <v>？</v>
      </c>
      <c r="F230" s="1765" t="str">
        <f t="shared" si="47"/>
        <v>？</v>
      </c>
      <c r="G230" s="1765" t="str">
        <f t="shared" si="48"/>
        <v>？</v>
      </c>
      <c r="K230" s="1451" t="s">
        <v>789</v>
      </c>
      <c r="S230" s="1451" t="str">
        <f t="shared" si="49"/>
        <v>5(17)</v>
      </c>
      <c r="U230" s="1510" t="s">
        <v>3306</v>
      </c>
      <c r="V230" s="1470" t="s">
        <v>33</v>
      </c>
      <c r="W230" s="1518" t="s">
        <v>1366</v>
      </c>
      <c r="X230" s="1834" t="s">
        <v>789</v>
      </c>
      <c r="Y230" s="1835"/>
      <c r="Z230" s="1832"/>
      <c r="AA230" s="1835"/>
      <c r="AB230" s="1833"/>
      <c r="AC230" s="1832"/>
      <c r="AD230" s="1833"/>
      <c r="AG230" s="1457" t="str">
        <f t="shared" si="50"/>
        <v>23調査結果-5(17)</v>
      </c>
    </row>
    <row r="231" spans="1:33" ht="18.75" customHeight="1" x14ac:dyDescent="0.15">
      <c r="A231" s="1836"/>
      <c r="D231" s="1669" t="str">
        <f>改善項目管理用!T122</f>
        <v>？</v>
      </c>
      <c r="E231" s="1765" t="str">
        <f t="shared" ref="E231:E283" si="51">D231</f>
        <v>？</v>
      </c>
      <c r="F231" s="1765" t="str">
        <f t="shared" ref="F231:F283" si="52">SUBSTITUTE(E231,CHAR(10),"")</f>
        <v>？</v>
      </c>
      <c r="G231" s="1765" t="str">
        <f t="shared" ref="G231:G283" si="53">TRIM(F231)</f>
        <v>？</v>
      </c>
      <c r="K231" s="1451" t="s">
        <v>790</v>
      </c>
      <c r="S231" s="1451" t="str">
        <f t="shared" ref="S231:S283" si="54">CONCATENATE(K231,L231,M231,N231,O231,P231,Q231)</f>
        <v>5(18)</v>
      </c>
      <c r="U231" s="1510" t="s">
        <v>3306</v>
      </c>
      <c r="V231" s="1470" t="s">
        <v>33</v>
      </c>
      <c r="W231" s="1518" t="s">
        <v>1366</v>
      </c>
      <c r="X231" s="1834" t="s">
        <v>790</v>
      </c>
      <c r="Y231" s="1835"/>
      <c r="Z231" s="1832"/>
      <c r="AA231" s="1835"/>
      <c r="AB231" s="1833"/>
      <c r="AC231" s="1832"/>
      <c r="AD231" s="1833"/>
      <c r="AG231" s="1457" t="str">
        <f t="shared" si="50"/>
        <v>23調査結果-5(18)</v>
      </c>
    </row>
    <row r="232" spans="1:33" ht="18.75" customHeight="1" x14ac:dyDescent="0.15">
      <c r="A232" s="1836"/>
      <c r="D232" s="1669" t="str">
        <f>改善項目管理用!T123</f>
        <v>？</v>
      </c>
      <c r="E232" s="1765" t="str">
        <f t="shared" si="51"/>
        <v>？</v>
      </c>
      <c r="F232" s="1765" t="str">
        <f t="shared" si="52"/>
        <v>？</v>
      </c>
      <c r="G232" s="1765" t="str">
        <f t="shared" si="53"/>
        <v>？</v>
      </c>
      <c r="K232" s="1451" t="s">
        <v>791</v>
      </c>
      <c r="S232" s="1451" t="str">
        <f t="shared" si="54"/>
        <v>5(19)</v>
      </c>
      <c r="U232" s="1510" t="s">
        <v>3306</v>
      </c>
      <c r="V232" s="1470" t="s">
        <v>33</v>
      </c>
      <c r="W232" s="1518" t="s">
        <v>1366</v>
      </c>
      <c r="X232" s="1834" t="s">
        <v>791</v>
      </c>
      <c r="Y232" s="1835"/>
      <c r="Z232" s="1832"/>
      <c r="AA232" s="1835"/>
      <c r="AB232" s="1833"/>
      <c r="AC232" s="1832"/>
      <c r="AD232" s="1833"/>
      <c r="AG232" s="1457" t="str">
        <f t="shared" si="50"/>
        <v>23調査結果-5(19)</v>
      </c>
    </row>
    <row r="233" spans="1:33" ht="18.75" customHeight="1" x14ac:dyDescent="0.15">
      <c r="A233" s="1836"/>
      <c r="D233" s="1669" t="str">
        <f>改善項目管理用!T124</f>
        <v>？</v>
      </c>
      <c r="E233" s="1765" t="str">
        <f t="shared" si="51"/>
        <v>？</v>
      </c>
      <c r="F233" s="1765" t="str">
        <f t="shared" si="52"/>
        <v>？</v>
      </c>
      <c r="G233" s="1765" t="str">
        <f t="shared" si="53"/>
        <v>？</v>
      </c>
      <c r="K233" s="1451" t="s">
        <v>792</v>
      </c>
      <c r="S233" s="1451" t="str">
        <f t="shared" si="54"/>
        <v>5(20)</v>
      </c>
      <c r="U233" s="1510" t="s">
        <v>3306</v>
      </c>
      <c r="V233" s="1470" t="s">
        <v>33</v>
      </c>
      <c r="W233" s="1518" t="s">
        <v>1366</v>
      </c>
      <c r="X233" s="1834" t="s">
        <v>792</v>
      </c>
      <c r="Y233" s="1835"/>
      <c r="Z233" s="1832"/>
      <c r="AA233" s="1835"/>
      <c r="AB233" s="1833"/>
      <c r="AC233" s="1832"/>
      <c r="AD233" s="1833"/>
      <c r="AG233" s="1457" t="str">
        <f t="shared" si="50"/>
        <v>23調査結果-5(20)</v>
      </c>
    </row>
    <row r="234" spans="1:33" ht="18.75" customHeight="1" x14ac:dyDescent="0.15">
      <c r="A234" s="1836"/>
      <c r="D234" s="1669" t="str">
        <f>改善項目管理用!T125</f>
        <v>？</v>
      </c>
      <c r="E234" s="1765" t="str">
        <f t="shared" si="51"/>
        <v>？</v>
      </c>
      <c r="F234" s="1765" t="str">
        <f t="shared" si="52"/>
        <v>？</v>
      </c>
      <c r="G234" s="1765" t="str">
        <f t="shared" si="53"/>
        <v>？</v>
      </c>
      <c r="K234" s="1451" t="s">
        <v>793</v>
      </c>
      <c r="S234" s="1451" t="str">
        <f t="shared" si="54"/>
        <v>5(21)</v>
      </c>
      <c r="U234" s="1510" t="s">
        <v>3306</v>
      </c>
      <c r="V234" s="1470" t="s">
        <v>33</v>
      </c>
      <c r="W234" s="1518" t="s">
        <v>1366</v>
      </c>
      <c r="X234" s="1834" t="s">
        <v>793</v>
      </c>
      <c r="Y234" s="1835"/>
      <c r="Z234" s="1832"/>
      <c r="AA234" s="1835"/>
      <c r="AB234" s="1833"/>
      <c r="AC234" s="1832"/>
      <c r="AD234" s="1833"/>
      <c r="AG234" s="1457" t="str">
        <f t="shared" si="50"/>
        <v>23調査結果-5(21)</v>
      </c>
    </row>
    <row r="235" spans="1:33" ht="18.75" customHeight="1" x14ac:dyDescent="0.15">
      <c r="A235" s="1836"/>
      <c r="D235" s="1669" t="str">
        <f>改善項目管理用!T126</f>
        <v>？</v>
      </c>
      <c r="E235" s="1765" t="str">
        <f t="shared" si="51"/>
        <v>？</v>
      </c>
      <c r="F235" s="1765" t="str">
        <f t="shared" si="52"/>
        <v>？</v>
      </c>
      <c r="G235" s="1765" t="str">
        <f t="shared" si="53"/>
        <v>？</v>
      </c>
      <c r="K235" s="1451" t="s">
        <v>794</v>
      </c>
      <c r="S235" s="1451" t="str">
        <f t="shared" si="54"/>
        <v>5(22)</v>
      </c>
      <c r="U235" s="1510" t="s">
        <v>3306</v>
      </c>
      <c r="V235" s="1470" t="s">
        <v>33</v>
      </c>
      <c r="W235" s="1518" t="s">
        <v>1366</v>
      </c>
      <c r="X235" s="1834" t="s">
        <v>794</v>
      </c>
      <c r="Y235" s="1835"/>
      <c r="Z235" s="1832"/>
      <c r="AA235" s="1835"/>
      <c r="AB235" s="1833"/>
      <c r="AC235" s="1832"/>
      <c r="AD235" s="1833"/>
      <c r="AG235" s="1457" t="str">
        <f t="shared" si="50"/>
        <v>23調査結果-5(22)</v>
      </c>
    </row>
    <row r="236" spans="1:33" ht="18.75" customHeight="1" x14ac:dyDescent="0.15">
      <c r="A236" s="1836"/>
      <c r="D236" s="1669" t="str">
        <f>改善項目管理用!T127</f>
        <v>？</v>
      </c>
      <c r="E236" s="1765" t="str">
        <f t="shared" si="51"/>
        <v>？</v>
      </c>
      <c r="F236" s="1765" t="str">
        <f t="shared" si="52"/>
        <v>？</v>
      </c>
      <c r="G236" s="1765" t="str">
        <f t="shared" si="53"/>
        <v>？</v>
      </c>
      <c r="K236" s="1451" t="s">
        <v>795</v>
      </c>
      <c r="S236" s="1451" t="str">
        <f t="shared" si="54"/>
        <v>5(23)</v>
      </c>
      <c r="U236" s="1510" t="s">
        <v>3306</v>
      </c>
      <c r="V236" s="1470" t="s">
        <v>33</v>
      </c>
      <c r="W236" s="1518" t="s">
        <v>1366</v>
      </c>
      <c r="X236" s="1834" t="s">
        <v>795</v>
      </c>
      <c r="Y236" s="1835"/>
      <c r="Z236" s="1832"/>
      <c r="AA236" s="1835"/>
      <c r="AB236" s="1833"/>
      <c r="AC236" s="1832"/>
      <c r="AD236" s="1833"/>
      <c r="AG236" s="1457" t="str">
        <f t="shared" si="50"/>
        <v>23調査結果-5(23)</v>
      </c>
    </row>
    <row r="237" spans="1:33" ht="18.75" customHeight="1" x14ac:dyDescent="0.15">
      <c r="A237" s="1836"/>
      <c r="D237" s="1669" t="str">
        <f>改善項目管理用!T128</f>
        <v>？</v>
      </c>
      <c r="E237" s="1765" t="str">
        <f t="shared" si="51"/>
        <v>？</v>
      </c>
      <c r="F237" s="1765" t="str">
        <f t="shared" si="52"/>
        <v>？</v>
      </c>
      <c r="G237" s="1765" t="str">
        <f t="shared" si="53"/>
        <v>？</v>
      </c>
      <c r="K237" s="1451" t="s">
        <v>796</v>
      </c>
      <c r="S237" s="1451" t="str">
        <f t="shared" si="54"/>
        <v>5(24)</v>
      </c>
      <c r="U237" s="1510" t="s">
        <v>3306</v>
      </c>
      <c r="V237" s="1470" t="s">
        <v>33</v>
      </c>
      <c r="W237" s="1518" t="s">
        <v>1366</v>
      </c>
      <c r="X237" s="1834" t="s">
        <v>796</v>
      </c>
      <c r="Y237" s="1835"/>
      <c r="Z237" s="1832"/>
      <c r="AA237" s="1835"/>
      <c r="AB237" s="1833"/>
      <c r="AC237" s="1832"/>
      <c r="AD237" s="1833"/>
      <c r="AG237" s="1457" t="str">
        <f t="shared" si="50"/>
        <v>23調査結果-5(24)</v>
      </c>
    </row>
    <row r="238" spans="1:33" ht="18.75" customHeight="1" x14ac:dyDescent="0.15">
      <c r="A238" s="1836"/>
      <c r="D238" s="1669" t="str">
        <f>改善項目管理用!T129</f>
        <v>？</v>
      </c>
      <c r="E238" s="1765" t="str">
        <f t="shared" si="51"/>
        <v>？</v>
      </c>
      <c r="F238" s="1765" t="str">
        <f t="shared" si="52"/>
        <v>？</v>
      </c>
      <c r="G238" s="1765" t="str">
        <f t="shared" si="53"/>
        <v>？</v>
      </c>
      <c r="K238" s="1451" t="s">
        <v>797</v>
      </c>
      <c r="S238" s="1451" t="str">
        <f t="shared" si="54"/>
        <v>5(25)</v>
      </c>
      <c r="U238" s="1510" t="s">
        <v>3306</v>
      </c>
      <c r="V238" s="1470" t="s">
        <v>33</v>
      </c>
      <c r="W238" s="1518" t="s">
        <v>1366</v>
      </c>
      <c r="X238" s="1834" t="s">
        <v>797</v>
      </c>
      <c r="Y238" s="1835"/>
      <c r="Z238" s="1832"/>
      <c r="AA238" s="1835"/>
      <c r="AB238" s="1833"/>
      <c r="AC238" s="1832"/>
      <c r="AD238" s="1833"/>
      <c r="AG238" s="1457" t="str">
        <f t="shared" si="50"/>
        <v>23調査結果-5(25)</v>
      </c>
    </row>
    <row r="239" spans="1:33" ht="18.75" customHeight="1" x14ac:dyDescent="0.15">
      <c r="A239" s="1836"/>
      <c r="D239" s="1669" t="str">
        <f>改善項目管理用!T130</f>
        <v>？</v>
      </c>
      <c r="E239" s="1765" t="str">
        <f t="shared" si="51"/>
        <v>？</v>
      </c>
      <c r="F239" s="1765" t="str">
        <f t="shared" si="52"/>
        <v>？</v>
      </c>
      <c r="G239" s="1765" t="str">
        <f t="shared" si="53"/>
        <v>？</v>
      </c>
      <c r="K239" s="1451" t="s">
        <v>798</v>
      </c>
      <c r="S239" s="1451" t="str">
        <f t="shared" si="54"/>
        <v>5(26)</v>
      </c>
      <c r="U239" s="1510" t="s">
        <v>3306</v>
      </c>
      <c r="V239" s="1470" t="s">
        <v>33</v>
      </c>
      <c r="W239" s="1518" t="s">
        <v>1366</v>
      </c>
      <c r="X239" s="1834" t="s">
        <v>798</v>
      </c>
      <c r="Y239" s="1835"/>
      <c r="Z239" s="1832"/>
      <c r="AA239" s="1835"/>
      <c r="AB239" s="1833"/>
      <c r="AC239" s="1832"/>
      <c r="AD239" s="1833"/>
      <c r="AG239" s="1457" t="str">
        <f t="shared" si="50"/>
        <v>23調査結果-5(26)</v>
      </c>
    </row>
    <row r="240" spans="1:33" ht="18.75" customHeight="1" x14ac:dyDescent="0.15">
      <c r="A240" s="1836"/>
      <c r="D240" s="1669" t="str">
        <f>改善項目管理用!T131</f>
        <v>？</v>
      </c>
      <c r="E240" s="1765" t="str">
        <f t="shared" si="51"/>
        <v>？</v>
      </c>
      <c r="F240" s="1765" t="str">
        <f t="shared" si="52"/>
        <v>？</v>
      </c>
      <c r="G240" s="1765" t="str">
        <f t="shared" si="53"/>
        <v>？</v>
      </c>
      <c r="K240" s="1451" t="s">
        <v>799</v>
      </c>
      <c r="S240" s="1451" t="str">
        <f t="shared" si="54"/>
        <v>5(27)</v>
      </c>
      <c r="U240" s="1510" t="s">
        <v>3306</v>
      </c>
      <c r="V240" s="1470" t="s">
        <v>33</v>
      </c>
      <c r="W240" s="1518" t="s">
        <v>1366</v>
      </c>
      <c r="X240" s="1834" t="s">
        <v>799</v>
      </c>
      <c r="Y240" s="1835"/>
      <c r="Z240" s="1832"/>
      <c r="AA240" s="1835"/>
      <c r="AB240" s="1833"/>
      <c r="AC240" s="1832"/>
      <c r="AD240" s="1833"/>
      <c r="AG240" s="1457" t="str">
        <f t="shared" si="50"/>
        <v>23調査結果-5(27)</v>
      </c>
    </row>
    <row r="241" spans="1:33" ht="18.75" customHeight="1" x14ac:dyDescent="0.15">
      <c r="A241" s="1836"/>
      <c r="D241" s="1669" t="str">
        <f>改善項目管理用!T132</f>
        <v>？</v>
      </c>
      <c r="E241" s="1765" t="str">
        <f t="shared" si="51"/>
        <v>？</v>
      </c>
      <c r="F241" s="1765" t="str">
        <f t="shared" si="52"/>
        <v>？</v>
      </c>
      <c r="G241" s="1765" t="str">
        <f t="shared" si="53"/>
        <v>？</v>
      </c>
      <c r="K241" s="1451" t="s">
        <v>800</v>
      </c>
      <c r="S241" s="1451" t="str">
        <f t="shared" si="54"/>
        <v>5(28)</v>
      </c>
      <c r="U241" s="1510" t="s">
        <v>3306</v>
      </c>
      <c r="V241" s="1470" t="s">
        <v>33</v>
      </c>
      <c r="W241" s="1518" t="s">
        <v>1366</v>
      </c>
      <c r="X241" s="1834" t="s">
        <v>800</v>
      </c>
      <c r="Y241" s="1835"/>
      <c r="Z241" s="1832"/>
      <c r="AA241" s="1835"/>
      <c r="AB241" s="1833"/>
      <c r="AC241" s="1832"/>
      <c r="AD241" s="1833"/>
      <c r="AG241" s="1457" t="str">
        <f t="shared" si="50"/>
        <v>23調査結果-5(28)</v>
      </c>
    </row>
    <row r="242" spans="1:33" ht="18.75" customHeight="1" x14ac:dyDescent="0.15">
      <c r="A242" s="1836"/>
      <c r="D242" s="1669" t="str">
        <f>改善項目管理用!T133</f>
        <v>？</v>
      </c>
      <c r="E242" s="1765" t="str">
        <f t="shared" si="51"/>
        <v>？</v>
      </c>
      <c r="F242" s="1765" t="str">
        <f t="shared" si="52"/>
        <v>？</v>
      </c>
      <c r="G242" s="1765" t="str">
        <f t="shared" si="53"/>
        <v>？</v>
      </c>
      <c r="K242" s="1451" t="s">
        <v>801</v>
      </c>
      <c r="S242" s="1451" t="str">
        <f t="shared" si="54"/>
        <v>5(29)</v>
      </c>
      <c r="U242" s="1510" t="s">
        <v>3306</v>
      </c>
      <c r="V242" s="1470" t="s">
        <v>33</v>
      </c>
      <c r="W242" s="1518" t="s">
        <v>1366</v>
      </c>
      <c r="X242" s="1834" t="s">
        <v>801</v>
      </c>
      <c r="Y242" s="1835"/>
      <c r="Z242" s="1832"/>
      <c r="AA242" s="1835"/>
      <c r="AB242" s="1833"/>
      <c r="AC242" s="1832"/>
      <c r="AD242" s="1833"/>
      <c r="AG242" s="1457" t="str">
        <f t="shared" si="50"/>
        <v>23調査結果-5(29)</v>
      </c>
    </row>
    <row r="243" spans="1:33" ht="18.75" customHeight="1" x14ac:dyDescent="0.15">
      <c r="A243" s="1836"/>
      <c r="D243" s="1669" t="str">
        <f>改善項目管理用!T134</f>
        <v>？</v>
      </c>
      <c r="E243" s="1765" t="str">
        <f t="shared" si="51"/>
        <v>？</v>
      </c>
      <c r="F243" s="1765" t="str">
        <f t="shared" si="52"/>
        <v>？</v>
      </c>
      <c r="G243" s="1765" t="str">
        <f t="shared" si="53"/>
        <v>？</v>
      </c>
      <c r="K243" s="1451" t="s">
        <v>802</v>
      </c>
      <c r="S243" s="1451" t="str">
        <f t="shared" si="54"/>
        <v>5(30)</v>
      </c>
      <c r="U243" s="1510" t="s">
        <v>3306</v>
      </c>
      <c r="V243" s="1470" t="s">
        <v>33</v>
      </c>
      <c r="W243" s="1518" t="s">
        <v>1366</v>
      </c>
      <c r="X243" s="1834" t="s">
        <v>802</v>
      </c>
      <c r="Y243" s="1835"/>
      <c r="Z243" s="1832"/>
      <c r="AA243" s="1835"/>
      <c r="AB243" s="1833"/>
      <c r="AC243" s="1832"/>
      <c r="AD243" s="1833"/>
      <c r="AG243" s="1457" t="str">
        <f t="shared" si="50"/>
        <v>23調査結果-5(30)</v>
      </c>
    </row>
    <row r="244" spans="1:33" ht="18.75" customHeight="1" x14ac:dyDescent="0.15">
      <c r="A244" s="1836"/>
      <c r="D244" s="1669" t="str">
        <f>改善項目管理用!T135</f>
        <v>？</v>
      </c>
      <c r="E244" s="1765" t="str">
        <f t="shared" si="51"/>
        <v>？</v>
      </c>
      <c r="F244" s="1765" t="str">
        <f t="shared" si="52"/>
        <v>？</v>
      </c>
      <c r="G244" s="1765" t="str">
        <f t="shared" si="53"/>
        <v>？</v>
      </c>
      <c r="K244" s="1451" t="s">
        <v>803</v>
      </c>
      <c r="S244" s="1451" t="str">
        <f t="shared" si="54"/>
        <v>5(31)</v>
      </c>
      <c r="U244" s="1510" t="s">
        <v>3306</v>
      </c>
      <c r="V244" s="1470" t="s">
        <v>33</v>
      </c>
      <c r="W244" s="1518" t="s">
        <v>1366</v>
      </c>
      <c r="X244" s="1834" t="s">
        <v>803</v>
      </c>
      <c r="Y244" s="1835"/>
      <c r="Z244" s="1832"/>
      <c r="AA244" s="1835"/>
      <c r="AB244" s="1833"/>
      <c r="AC244" s="1832"/>
      <c r="AD244" s="1833"/>
      <c r="AG244" s="1457" t="str">
        <f t="shared" si="50"/>
        <v>23調査結果-5(31)</v>
      </c>
    </row>
    <row r="245" spans="1:33" ht="18.75" customHeight="1" x14ac:dyDescent="0.15">
      <c r="A245" s="1836"/>
      <c r="D245" s="1669" t="str">
        <f>改善項目管理用!T136</f>
        <v>？</v>
      </c>
      <c r="E245" s="1765" t="str">
        <f t="shared" si="51"/>
        <v>？</v>
      </c>
      <c r="F245" s="1765" t="str">
        <f t="shared" si="52"/>
        <v>？</v>
      </c>
      <c r="G245" s="1765" t="str">
        <f t="shared" si="53"/>
        <v>？</v>
      </c>
      <c r="K245" s="1451" t="s">
        <v>804</v>
      </c>
      <c r="S245" s="1451" t="str">
        <f t="shared" si="54"/>
        <v>5(32)</v>
      </c>
      <c r="U245" s="1510" t="s">
        <v>3306</v>
      </c>
      <c r="V245" s="1470" t="s">
        <v>33</v>
      </c>
      <c r="W245" s="1518" t="s">
        <v>1366</v>
      </c>
      <c r="X245" s="1834" t="s">
        <v>804</v>
      </c>
      <c r="Y245" s="1835"/>
      <c r="Z245" s="1832"/>
      <c r="AA245" s="1835"/>
      <c r="AB245" s="1833"/>
      <c r="AC245" s="1832"/>
      <c r="AD245" s="1833"/>
      <c r="AG245" s="1457" t="str">
        <f t="shared" si="50"/>
        <v>23調査結果-5(32)</v>
      </c>
    </row>
    <row r="246" spans="1:33" ht="18.75" customHeight="1" x14ac:dyDescent="0.15">
      <c r="A246" s="1836"/>
      <c r="D246" s="1669" t="str">
        <f>改善項目管理用!T137</f>
        <v>？</v>
      </c>
      <c r="E246" s="1765" t="str">
        <f t="shared" si="51"/>
        <v>？</v>
      </c>
      <c r="F246" s="1765" t="str">
        <f t="shared" si="52"/>
        <v>？</v>
      </c>
      <c r="G246" s="1765" t="str">
        <f t="shared" si="53"/>
        <v>？</v>
      </c>
      <c r="K246" s="1451" t="s">
        <v>805</v>
      </c>
      <c r="S246" s="1451" t="str">
        <f t="shared" si="54"/>
        <v>5(33)</v>
      </c>
      <c r="U246" s="1510" t="s">
        <v>3306</v>
      </c>
      <c r="V246" s="1470" t="s">
        <v>33</v>
      </c>
      <c r="W246" s="1518" t="s">
        <v>1366</v>
      </c>
      <c r="X246" s="1834" t="s">
        <v>805</v>
      </c>
      <c r="Y246" s="1835"/>
      <c r="Z246" s="1832"/>
      <c r="AA246" s="1835"/>
      <c r="AB246" s="1833"/>
      <c r="AC246" s="1832"/>
      <c r="AD246" s="1833"/>
      <c r="AG246" s="1457" t="str">
        <f t="shared" si="50"/>
        <v>23調査結果-5(33)</v>
      </c>
    </row>
    <row r="247" spans="1:33" ht="18.75" customHeight="1" x14ac:dyDescent="0.15">
      <c r="A247" s="1836"/>
      <c r="D247" s="1669" t="str">
        <f>改善項目管理用!T138</f>
        <v/>
      </c>
      <c r="E247" s="1765" t="str">
        <f t="shared" si="51"/>
        <v/>
      </c>
      <c r="F247" s="1765" t="str">
        <f t="shared" si="52"/>
        <v/>
      </c>
      <c r="G247" s="1765" t="str">
        <f t="shared" si="53"/>
        <v/>
      </c>
      <c r="K247" s="1451" t="s">
        <v>806</v>
      </c>
      <c r="S247" s="1451" t="str">
        <f t="shared" si="54"/>
        <v>5(34)</v>
      </c>
      <c r="U247" s="1510" t="s">
        <v>3306</v>
      </c>
      <c r="V247" s="1470" t="s">
        <v>33</v>
      </c>
      <c r="W247" s="1518" t="s">
        <v>1366</v>
      </c>
      <c r="X247" s="1834" t="s">
        <v>806</v>
      </c>
      <c r="Y247" s="1835"/>
      <c r="Z247" s="1832"/>
      <c r="AA247" s="1835"/>
      <c r="AB247" s="1833"/>
      <c r="AC247" s="1832"/>
      <c r="AD247" s="1833"/>
      <c r="AG247" s="1457" t="str">
        <f t="shared" si="50"/>
        <v>23調査結果-5(34)</v>
      </c>
    </row>
    <row r="248" spans="1:33" ht="18.75" customHeight="1" x14ac:dyDescent="0.15">
      <c r="A248" s="1836"/>
      <c r="D248" s="1669" t="str">
        <f>改善項目管理用!T139</f>
        <v/>
      </c>
      <c r="E248" s="1765" t="str">
        <f t="shared" si="51"/>
        <v/>
      </c>
      <c r="F248" s="1765" t="str">
        <f t="shared" si="52"/>
        <v/>
      </c>
      <c r="G248" s="1765" t="str">
        <f t="shared" si="53"/>
        <v/>
      </c>
      <c r="K248" s="1451" t="s">
        <v>807</v>
      </c>
      <c r="S248" s="1451" t="str">
        <f t="shared" si="54"/>
        <v>5(35)</v>
      </c>
      <c r="U248" s="1510" t="s">
        <v>3306</v>
      </c>
      <c r="V248" s="1470" t="s">
        <v>33</v>
      </c>
      <c r="W248" s="1518" t="s">
        <v>1366</v>
      </c>
      <c r="X248" s="1834" t="s">
        <v>807</v>
      </c>
      <c r="Y248" s="1835"/>
      <c r="Z248" s="1832"/>
      <c r="AA248" s="1835"/>
      <c r="AB248" s="1833"/>
      <c r="AC248" s="1832"/>
      <c r="AD248" s="1833"/>
      <c r="AG248" s="1457" t="str">
        <f t="shared" si="50"/>
        <v>23調査結果-5(35)</v>
      </c>
    </row>
    <row r="249" spans="1:33" ht="18.75" customHeight="1" x14ac:dyDescent="0.15">
      <c r="A249" s="1836"/>
      <c r="D249" s="1669" t="str">
        <f>改善項目管理用!T140</f>
        <v/>
      </c>
      <c r="E249" s="1765" t="str">
        <f t="shared" si="51"/>
        <v/>
      </c>
      <c r="F249" s="1765" t="str">
        <f t="shared" si="52"/>
        <v/>
      </c>
      <c r="G249" s="1765" t="str">
        <f t="shared" si="53"/>
        <v/>
      </c>
      <c r="K249" s="1451" t="s">
        <v>808</v>
      </c>
      <c r="S249" s="1451" t="str">
        <f t="shared" si="54"/>
        <v>5(36)</v>
      </c>
      <c r="U249" s="1510" t="s">
        <v>3306</v>
      </c>
      <c r="V249" s="1470" t="s">
        <v>33</v>
      </c>
      <c r="W249" s="1518" t="s">
        <v>1366</v>
      </c>
      <c r="X249" s="1834" t="s">
        <v>808</v>
      </c>
      <c r="Y249" s="1835"/>
      <c r="Z249" s="1832"/>
      <c r="AA249" s="1835"/>
      <c r="AB249" s="1833"/>
      <c r="AC249" s="1832"/>
      <c r="AD249" s="1833"/>
      <c r="AG249" s="1457" t="str">
        <f t="shared" si="50"/>
        <v>23調査結果-5(36)</v>
      </c>
    </row>
    <row r="250" spans="1:33" ht="18.75" customHeight="1" x14ac:dyDescent="0.15">
      <c r="A250" s="1836"/>
      <c r="D250" s="1669" t="str">
        <f>改善項目管理用!T141</f>
        <v/>
      </c>
      <c r="E250" s="1765" t="str">
        <f t="shared" si="51"/>
        <v/>
      </c>
      <c r="F250" s="1765" t="str">
        <f t="shared" si="52"/>
        <v/>
      </c>
      <c r="G250" s="1765" t="str">
        <f t="shared" si="53"/>
        <v/>
      </c>
      <c r="K250" s="1451" t="s">
        <v>809</v>
      </c>
      <c r="S250" s="1451" t="str">
        <f t="shared" si="54"/>
        <v>5(37)</v>
      </c>
      <c r="U250" s="1510" t="s">
        <v>3306</v>
      </c>
      <c r="V250" s="1470" t="s">
        <v>33</v>
      </c>
      <c r="W250" s="1518" t="s">
        <v>1366</v>
      </c>
      <c r="X250" s="1834" t="s">
        <v>809</v>
      </c>
      <c r="Y250" s="1835"/>
      <c r="Z250" s="1832"/>
      <c r="AA250" s="1835"/>
      <c r="AB250" s="1833"/>
      <c r="AC250" s="1832"/>
      <c r="AD250" s="1833"/>
      <c r="AG250" s="1457" t="str">
        <f t="shared" si="50"/>
        <v>23調査結果-5(37)</v>
      </c>
    </row>
    <row r="251" spans="1:33" ht="18.75" customHeight="1" x14ac:dyDescent="0.15">
      <c r="A251" s="1836"/>
      <c r="D251" s="1669" t="str">
        <f>改善項目管理用!T142</f>
        <v/>
      </c>
      <c r="E251" s="1765" t="str">
        <f t="shared" si="51"/>
        <v/>
      </c>
      <c r="F251" s="1765" t="str">
        <f t="shared" si="52"/>
        <v/>
      </c>
      <c r="G251" s="1765" t="str">
        <f t="shared" si="53"/>
        <v/>
      </c>
      <c r="K251" s="1451" t="s">
        <v>810</v>
      </c>
      <c r="S251" s="1451" t="str">
        <f t="shared" si="54"/>
        <v>5(38)</v>
      </c>
      <c r="U251" s="1510" t="s">
        <v>3306</v>
      </c>
      <c r="V251" s="1470" t="s">
        <v>33</v>
      </c>
      <c r="W251" s="1518" t="s">
        <v>1366</v>
      </c>
      <c r="X251" s="1834" t="s">
        <v>810</v>
      </c>
      <c r="Y251" s="1835"/>
      <c r="Z251" s="1832"/>
      <c r="AA251" s="1835"/>
      <c r="AB251" s="1833"/>
      <c r="AC251" s="1832"/>
      <c r="AD251" s="1833"/>
      <c r="AG251" s="1457" t="str">
        <f t="shared" si="50"/>
        <v>23調査結果-5(38)</v>
      </c>
    </row>
    <row r="252" spans="1:33" ht="18.75" customHeight="1" x14ac:dyDescent="0.15">
      <c r="A252" s="1836"/>
      <c r="D252" s="1669" t="str">
        <f>改善項目管理用!T143</f>
        <v>？</v>
      </c>
      <c r="E252" s="1765" t="str">
        <f t="shared" si="51"/>
        <v>？</v>
      </c>
      <c r="F252" s="1765" t="str">
        <f t="shared" si="52"/>
        <v>？</v>
      </c>
      <c r="G252" s="1765" t="str">
        <f t="shared" si="53"/>
        <v>？</v>
      </c>
      <c r="K252" s="1451" t="s">
        <v>811</v>
      </c>
      <c r="S252" s="1451" t="str">
        <f t="shared" si="54"/>
        <v>6(1)</v>
      </c>
      <c r="U252" s="1510" t="s">
        <v>3306</v>
      </c>
      <c r="V252" s="1470" t="s">
        <v>33</v>
      </c>
      <c r="W252" s="1518" t="s">
        <v>1366</v>
      </c>
      <c r="X252" s="1834" t="s">
        <v>811</v>
      </c>
      <c r="Y252" s="1835"/>
      <c r="Z252" s="1832"/>
      <c r="AA252" s="1835"/>
      <c r="AB252" s="1833"/>
      <c r="AC252" s="1832"/>
      <c r="AD252" s="1833"/>
      <c r="AG252" s="1457" t="str">
        <f t="shared" si="50"/>
        <v>23調査結果-6(1)</v>
      </c>
    </row>
    <row r="253" spans="1:33" ht="18.75" customHeight="1" x14ac:dyDescent="0.15">
      <c r="A253" s="1836"/>
      <c r="D253" s="1669" t="str">
        <f>改善項目管理用!T144</f>
        <v>？</v>
      </c>
      <c r="E253" s="1765" t="str">
        <f t="shared" si="51"/>
        <v>？</v>
      </c>
      <c r="F253" s="1765" t="str">
        <f t="shared" si="52"/>
        <v>？</v>
      </c>
      <c r="G253" s="1765" t="str">
        <f t="shared" si="53"/>
        <v>？</v>
      </c>
      <c r="K253" s="1451" t="s">
        <v>812</v>
      </c>
      <c r="S253" s="1451" t="str">
        <f t="shared" si="54"/>
        <v>6(2)</v>
      </c>
      <c r="U253" s="1510" t="s">
        <v>3306</v>
      </c>
      <c r="V253" s="1470" t="s">
        <v>33</v>
      </c>
      <c r="W253" s="1518" t="s">
        <v>1366</v>
      </c>
      <c r="X253" s="1834" t="s">
        <v>812</v>
      </c>
      <c r="Y253" s="1835"/>
      <c r="Z253" s="1832"/>
      <c r="AA253" s="1835"/>
      <c r="AB253" s="1833"/>
      <c r="AC253" s="1832"/>
      <c r="AD253" s="1833"/>
      <c r="AG253" s="1457" t="str">
        <f t="shared" si="50"/>
        <v>23調査結果-6(2)</v>
      </c>
    </row>
    <row r="254" spans="1:33" ht="18.75" customHeight="1" x14ac:dyDescent="0.15">
      <c r="A254" s="1836"/>
      <c r="D254" s="1669" t="str">
        <f>改善項目管理用!T145</f>
        <v>？</v>
      </c>
      <c r="E254" s="1765" t="str">
        <f t="shared" si="51"/>
        <v>？</v>
      </c>
      <c r="F254" s="1765" t="str">
        <f t="shared" si="52"/>
        <v>？</v>
      </c>
      <c r="G254" s="1765" t="str">
        <f t="shared" si="53"/>
        <v>？</v>
      </c>
      <c r="K254" s="1451" t="s">
        <v>813</v>
      </c>
      <c r="S254" s="1451" t="str">
        <f t="shared" si="54"/>
        <v>6(3)</v>
      </c>
      <c r="U254" s="1510" t="s">
        <v>3306</v>
      </c>
      <c r="V254" s="1470" t="s">
        <v>33</v>
      </c>
      <c r="W254" s="1518" t="s">
        <v>1366</v>
      </c>
      <c r="X254" s="1834" t="s">
        <v>813</v>
      </c>
      <c r="Y254" s="1835"/>
      <c r="Z254" s="1832"/>
      <c r="AA254" s="1835"/>
      <c r="AB254" s="1833"/>
      <c r="AC254" s="1832"/>
      <c r="AD254" s="1833"/>
      <c r="AG254" s="1457" t="str">
        <f t="shared" si="50"/>
        <v>23調査結果-6(3)</v>
      </c>
    </row>
    <row r="255" spans="1:33" ht="18.75" customHeight="1" x14ac:dyDescent="0.15">
      <c r="A255" s="1836"/>
      <c r="D255" s="1669" t="str">
        <f>改善項目管理用!T146</f>
        <v>？</v>
      </c>
      <c r="E255" s="1765" t="str">
        <f t="shared" si="51"/>
        <v>？</v>
      </c>
      <c r="F255" s="1765" t="str">
        <f t="shared" si="52"/>
        <v>？</v>
      </c>
      <c r="G255" s="1765" t="str">
        <f t="shared" si="53"/>
        <v>？</v>
      </c>
      <c r="K255" s="1451" t="s">
        <v>814</v>
      </c>
      <c r="S255" s="1451" t="str">
        <f t="shared" si="54"/>
        <v>6(4)</v>
      </c>
      <c r="U255" s="1510" t="s">
        <v>3306</v>
      </c>
      <c r="V255" s="1470" t="s">
        <v>33</v>
      </c>
      <c r="W255" s="1518" t="s">
        <v>1366</v>
      </c>
      <c r="X255" s="1834" t="s">
        <v>814</v>
      </c>
      <c r="Y255" s="1835"/>
      <c r="Z255" s="1832"/>
      <c r="AA255" s="1835"/>
      <c r="AB255" s="1833"/>
      <c r="AC255" s="1832"/>
      <c r="AD255" s="1833"/>
      <c r="AG255" s="1457" t="str">
        <f t="shared" si="50"/>
        <v>23調査結果-6(4)</v>
      </c>
    </row>
    <row r="256" spans="1:33" ht="18.75" customHeight="1" x14ac:dyDescent="0.15">
      <c r="A256" s="1836"/>
      <c r="D256" s="1669" t="str">
        <f>改善項目管理用!T147</f>
        <v>？</v>
      </c>
      <c r="E256" s="1765" t="str">
        <f t="shared" si="51"/>
        <v>？</v>
      </c>
      <c r="F256" s="1765" t="str">
        <f t="shared" si="52"/>
        <v>？</v>
      </c>
      <c r="G256" s="1765" t="str">
        <f t="shared" si="53"/>
        <v>？</v>
      </c>
      <c r="K256" s="1451" t="s">
        <v>815</v>
      </c>
      <c r="S256" s="1451" t="str">
        <f t="shared" si="54"/>
        <v>6(5)</v>
      </c>
      <c r="U256" s="1510" t="s">
        <v>3306</v>
      </c>
      <c r="V256" s="1470" t="s">
        <v>33</v>
      </c>
      <c r="W256" s="1518" t="s">
        <v>1366</v>
      </c>
      <c r="X256" s="1834" t="s">
        <v>815</v>
      </c>
      <c r="Y256" s="1835"/>
      <c r="Z256" s="1832"/>
      <c r="AA256" s="1835"/>
      <c r="AB256" s="1833"/>
      <c r="AC256" s="1832"/>
      <c r="AD256" s="1833"/>
      <c r="AG256" s="1457" t="str">
        <f t="shared" si="50"/>
        <v>23調査結果-6(5)</v>
      </c>
    </row>
    <row r="257" spans="1:33" ht="18.75" customHeight="1" x14ac:dyDescent="0.15">
      <c r="A257" s="1836"/>
      <c r="D257" s="1669" t="str">
        <f>改善項目管理用!T148</f>
        <v>？</v>
      </c>
      <c r="E257" s="1765" t="str">
        <f t="shared" si="51"/>
        <v>？</v>
      </c>
      <c r="F257" s="1765" t="str">
        <f t="shared" si="52"/>
        <v>？</v>
      </c>
      <c r="G257" s="1765" t="str">
        <f t="shared" si="53"/>
        <v>？</v>
      </c>
      <c r="K257" s="1451" t="s">
        <v>816</v>
      </c>
      <c r="S257" s="1451" t="str">
        <f t="shared" si="54"/>
        <v>6(6)</v>
      </c>
      <c r="U257" s="1510" t="s">
        <v>3306</v>
      </c>
      <c r="V257" s="1470" t="s">
        <v>33</v>
      </c>
      <c r="W257" s="1518" t="s">
        <v>1366</v>
      </c>
      <c r="X257" s="1834" t="s">
        <v>816</v>
      </c>
      <c r="Y257" s="1835"/>
      <c r="Z257" s="1832"/>
      <c r="AA257" s="1835"/>
      <c r="AB257" s="1833"/>
      <c r="AC257" s="1832"/>
      <c r="AD257" s="1833"/>
      <c r="AG257" s="1457" t="str">
        <f t="shared" si="50"/>
        <v>23調査結果-6(6)</v>
      </c>
    </row>
    <row r="258" spans="1:33" ht="18.75" customHeight="1" x14ac:dyDescent="0.15">
      <c r="A258" s="1836"/>
      <c r="D258" s="1669" t="str">
        <f>改善項目管理用!T149</f>
        <v>？</v>
      </c>
      <c r="E258" s="1765" t="str">
        <f t="shared" si="51"/>
        <v>？</v>
      </c>
      <c r="F258" s="1765" t="str">
        <f t="shared" si="52"/>
        <v>？</v>
      </c>
      <c r="G258" s="1765" t="str">
        <f t="shared" si="53"/>
        <v>？</v>
      </c>
      <c r="K258" s="1451" t="s">
        <v>817</v>
      </c>
      <c r="S258" s="1451" t="str">
        <f t="shared" si="54"/>
        <v>6(7)</v>
      </c>
      <c r="U258" s="1510" t="s">
        <v>3306</v>
      </c>
      <c r="V258" s="1470" t="s">
        <v>33</v>
      </c>
      <c r="W258" s="1518" t="s">
        <v>1366</v>
      </c>
      <c r="X258" s="1834" t="s">
        <v>817</v>
      </c>
      <c r="Y258" s="1835"/>
      <c r="Z258" s="1832"/>
      <c r="AA258" s="1835"/>
      <c r="AB258" s="1833"/>
      <c r="AC258" s="1832"/>
      <c r="AD258" s="1833"/>
      <c r="AG258" s="1457" t="str">
        <f t="shared" si="50"/>
        <v>23調査結果-6(7)</v>
      </c>
    </row>
    <row r="259" spans="1:33" ht="18.75" customHeight="1" x14ac:dyDescent="0.15">
      <c r="A259" s="1836"/>
      <c r="D259" s="1669" t="str">
        <f>改善項目管理用!T150</f>
        <v>？</v>
      </c>
      <c r="E259" s="1765" t="str">
        <f t="shared" si="51"/>
        <v>？</v>
      </c>
      <c r="F259" s="1765" t="str">
        <f t="shared" si="52"/>
        <v>？</v>
      </c>
      <c r="G259" s="1765" t="str">
        <f t="shared" si="53"/>
        <v>？</v>
      </c>
      <c r="K259" s="1451" t="s">
        <v>818</v>
      </c>
      <c r="S259" s="1451" t="str">
        <f t="shared" si="54"/>
        <v>6(8)</v>
      </c>
      <c r="U259" s="1510" t="s">
        <v>3306</v>
      </c>
      <c r="V259" s="1470" t="s">
        <v>33</v>
      </c>
      <c r="W259" s="1518" t="s">
        <v>1366</v>
      </c>
      <c r="X259" s="1834" t="s">
        <v>818</v>
      </c>
      <c r="Y259" s="1835"/>
      <c r="Z259" s="1832"/>
      <c r="AA259" s="1835"/>
      <c r="AB259" s="1833"/>
      <c r="AC259" s="1832"/>
      <c r="AD259" s="1833"/>
      <c r="AG259" s="1457" t="str">
        <f t="shared" ref="AG259:AG284" si="55">CONCATENATE(U259,V259,W259,X259,Y259,Z259,AA259,AB259,AC259,AD259)</f>
        <v>23調査結果-6(8)</v>
      </c>
    </row>
    <row r="260" spans="1:33" ht="18.75" customHeight="1" x14ac:dyDescent="0.15">
      <c r="A260" s="1836"/>
      <c r="D260" s="1669" t="str">
        <f>改善項目管理用!T151</f>
        <v>？</v>
      </c>
      <c r="E260" s="1765" t="str">
        <f t="shared" si="51"/>
        <v>？</v>
      </c>
      <c r="F260" s="1765" t="str">
        <f t="shared" si="52"/>
        <v>？</v>
      </c>
      <c r="G260" s="1765" t="str">
        <f t="shared" si="53"/>
        <v>？</v>
      </c>
      <c r="K260" s="1451" t="s">
        <v>819</v>
      </c>
      <c r="S260" s="1451" t="str">
        <f t="shared" si="54"/>
        <v>6(9)</v>
      </c>
      <c r="U260" s="1510" t="s">
        <v>3306</v>
      </c>
      <c r="V260" s="1470" t="s">
        <v>33</v>
      </c>
      <c r="W260" s="1518" t="s">
        <v>1366</v>
      </c>
      <c r="X260" s="1834" t="s">
        <v>819</v>
      </c>
      <c r="Y260" s="1835"/>
      <c r="Z260" s="1832"/>
      <c r="AA260" s="1835"/>
      <c r="AB260" s="1833"/>
      <c r="AC260" s="1832"/>
      <c r="AD260" s="1833"/>
      <c r="AG260" s="1457" t="str">
        <f t="shared" si="55"/>
        <v>23調査結果-6(9)</v>
      </c>
    </row>
    <row r="261" spans="1:33" ht="18.75" customHeight="1" x14ac:dyDescent="0.15">
      <c r="A261" s="1836"/>
      <c r="D261" s="1669" t="str">
        <f>改善項目管理用!T152</f>
        <v/>
      </c>
      <c r="E261" s="1765" t="str">
        <f t="shared" si="51"/>
        <v/>
      </c>
      <c r="F261" s="1765" t="str">
        <f t="shared" si="52"/>
        <v/>
      </c>
      <c r="G261" s="1765" t="str">
        <f t="shared" si="53"/>
        <v/>
      </c>
      <c r="K261" s="1451" t="s">
        <v>1752</v>
      </c>
      <c r="S261" s="1451" t="str">
        <f t="shared" si="54"/>
        <v>6(10)</v>
      </c>
      <c r="U261" s="1510" t="s">
        <v>3306</v>
      </c>
      <c r="V261" s="1470" t="s">
        <v>33</v>
      </c>
      <c r="W261" s="1518" t="s">
        <v>1366</v>
      </c>
      <c r="X261" s="1834" t="s">
        <v>1752</v>
      </c>
      <c r="Y261" s="1835"/>
      <c r="Z261" s="1832"/>
      <c r="AA261" s="1835"/>
      <c r="AB261" s="1833"/>
      <c r="AC261" s="1832"/>
      <c r="AD261" s="1833"/>
      <c r="AG261" s="1457" t="str">
        <f t="shared" si="55"/>
        <v>23調査結果-6(10)</v>
      </c>
    </row>
    <row r="262" spans="1:33" ht="18.75" customHeight="1" x14ac:dyDescent="0.15">
      <c r="A262" s="1836"/>
      <c r="D262" s="1669" t="str">
        <f>改善項目管理用!T153</f>
        <v/>
      </c>
      <c r="E262" s="1765" t="str">
        <f t="shared" si="51"/>
        <v/>
      </c>
      <c r="F262" s="1765" t="str">
        <f t="shared" si="52"/>
        <v/>
      </c>
      <c r="G262" s="1765" t="str">
        <f t="shared" si="53"/>
        <v/>
      </c>
      <c r="K262" s="1451" t="s">
        <v>1753</v>
      </c>
      <c r="S262" s="1451" t="str">
        <f t="shared" si="54"/>
        <v>6(11)</v>
      </c>
      <c r="U262" s="1510" t="s">
        <v>3306</v>
      </c>
      <c r="V262" s="1470" t="s">
        <v>33</v>
      </c>
      <c r="W262" s="1518" t="s">
        <v>1366</v>
      </c>
      <c r="X262" s="1834" t="s">
        <v>1753</v>
      </c>
      <c r="Y262" s="1835"/>
      <c r="Z262" s="1832"/>
      <c r="AA262" s="1835"/>
      <c r="AB262" s="1833"/>
      <c r="AC262" s="1832"/>
      <c r="AD262" s="1833"/>
      <c r="AG262" s="1457" t="str">
        <f t="shared" si="55"/>
        <v>23調査結果-6(11)</v>
      </c>
    </row>
    <row r="263" spans="1:33" ht="18.75" customHeight="1" x14ac:dyDescent="0.15">
      <c r="A263" s="1836"/>
      <c r="D263" s="1669" t="str">
        <f>改善項目管理用!T154</f>
        <v/>
      </c>
      <c r="E263" s="1765" t="str">
        <f t="shared" si="51"/>
        <v/>
      </c>
      <c r="F263" s="1765" t="str">
        <f t="shared" si="52"/>
        <v/>
      </c>
      <c r="G263" s="1765" t="str">
        <f t="shared" si="53"/>
        <v/>
      </c>
      <c r="K263" s="1451" t="s">
        <v>1754</v>
      </c>
      <c r="S263" s="1451" t="str">
        <f t="shared" si="54"/>
        <v>6(12)</v>
      </c>
      <c r="U263" s="1510" t="s">
        <v>3306</v>
      </c>
      <c r="V263" s="1470" t="s">
        <v>33</v>
      </c>
      <c r="W263" s="1518" t="s">
        <v>1366</v>
      </c>
      <c r="X263" s="1834" t="s">
        <v>1754</v>
      </c>
      <c r="Y263" s="1835"/>
      <c r="Z263" s="1832"/>
      <c r="AA263" s="1835"/>
      <c r="AB263" s="1833"/>
      <c r="AC263" s="1832"/>
      <c r="AD263" s="1833"/>
      <c r="AG263" s="1457" t="str">
        <f t="shared" si="55"/>
        <v>23調査結果-6(12)</v>
      </c>
    </row>
    <row r="264" spans="1:33" ht="18.75" customHeight="1" x14ac:dyDescent="0.15">
      <c r="A264" s="1836"/>
      <c r="D264" s="1669" t="str">
        <f>改善項目管理用!T155</f>
        <v/>
      </c>
      <c r="E264" s="1765" t="str">
        <f t="shared" si="51"/>
        <v/>
      </c>
      <c r="F264" s="1765" t="str">
        <f t="shared" si="52"/>
        <v/>
      </c>
      <c r="G264" s="1765" t="str">
        <f t="shared" si="53"/>
        <v/>
      </c>
      <c r="K264" s="1451" t="s">
        <v>1755</v>
      </c>
      <c r="S264" s="1451" t="str">
        <f t="shared" si="54"/>
        <v>6(13)</v>
      </c>
      <c r="U264" s="1510" t="s">
        <v>3306</v>
      </c>
      <c r="V264" s="1470" t="s">
        <v>33</v>
      </c>
      <c r="W264" s="1518" t="s">
        <v>1366</v>
      </c>
      <c r="X264" s="1834" t="s">
        <v>1755</v>
      </c>
      <c r="Y264" s="1835"/>
      <c r="Z264" s="1832"/>
      <c r="AA264" s="1835"/>
      <c r="AB264" s="1833"/>
      <c r="AC264" s="1832"/>
      <c r="AD264" s="1833"/>
      <c r="AG264" s="1457" t="str">
        <f t="shared" si="55"/>
        <v>23調査結果-6(13)</v>
      </c>
    </row>
    <row r="265" spans="1:33" ht="18.75" customHeight="1" x14ac:dyDescent="0.15">
      <c r="A265" s="1836"/>
      <c r="D265" s="1669" t="str">
        <f>改善項目管理用!T156</f>
        <v/>
      </c>
      <c r="E265" s="1765" t="str">
        <f t="shared" si="51"/>
        <v/>
      </c>
      <c r="F265" s="1765" t="str">
        <f t="shared" si="52"/>
        <v/>
      </c>
      <c r="G265" s="1765" t="str">
        <f t="shared" si="53"/>
        <v/>
      </c>
      <c r="K265" s="1451" t="s">
        <v>1756</v>
      </c>
      <c r="S265" s="1451" t="str">
        <f t="shared" si="54"/>
        <v>6(14)</v>
      </c>
      <c r="U265" s="1510" t="s">
        <v>3306</v>
      </c>
      <c r="V265" s="1470" t="s">
        <v>33</v>
      </c>
      <c r="W265" s="1518" t="s">
        <v>1366</v>
      </c>
      <c r="X265" s="1834" t="s">
        <v>1756</v>
      </c>
      <c r="Y265" s="1835"/>
      <c r="Z265" s="1832"/>
      <c r="AA265" s="1835"/>
      <c r="AB265" s="1833"/>
      <c r="AC265" s="1832"/>
      <c r="AD265" s="1833"/>
      <c r="AG265" s="1457" t="str">
        <f t="shared" si="55"/>
        <v>23調査結果-6(14)</v>
      </c>
    </row>
    <row r="266" spans="1:33" ht="18.75" customHeight="1" x14ac:dyDescent="0.15">
      <c r="A266" s="1836"/>
      <c r="D266" s="1669" t="str">
        <f>改善項目管理用!T157</f>
        <v>？</v>
      </c>
      <c r="E266" s="1765" t="str">
        <f t="shared" si="51"/>
        <v>？</v>
      </c>
      <c r="F266" s="1765" t="str">
        <f t="shared" si="52"/>
        <v>？</v>
      </c>
      <c r="G266" s="1765" t="str">
        <f t="shared" si="53"/>
        <v>？</v>
      </c>
      <c r="K266" s="1451" t="s">
        <v>820</v>
      </c>
      <c r="S266" s="1451" t="str">
        <f t="shared" si="54"/>
        <v>7(1)</v>
      </c>
      <c r="U266" s="1510" t="s">
        <v>3306</v>
      </c>
      <c r="V266" s="1470" t="s">
        <v>33</v>
      </c>
      <c r="W266" s="1518" t="s">
        <v>1366</v>
      </c>
      <c r="X266" s="1834" t="s">
        <v>820</v>
      </c>
      <c r="Y266" s="1835"/>
      <c r="Z266" s="1832"/>
      <c r="AA266" s="1835"/>
      <c r="AB266" s="1833"/>
      <c r="AC266" s="1832"/>
      <c r="AD266" s="1833"/>
      <c r="AG266" s="1457" t="str">
        <f t="shared" si="55"/>
        <v>23調査結果-7(1)</v>
      </c>
    </row>
    <row r="267" spans="1:33" ht="18.75" customHeight="1" x14ac:dyDescent="0.15">
      <c r="A267" s="1836"/>
      <c r="D267" s="1669" t="str">
        <f>改善項目管理用!T158</f>
        <v>？</v>
      </c>
      <c r="E267" s="1765" t="str">
        <f t="shared" si="51"/>
        <v>？</v>
      </c>
      <c r="F267" s="1765" t="str">
        <f t="shared" si="52"/>
        <v>？</v>
      </c>
      <c r="G267" s="1765" t="str">
        <f t="shared" si="53"/>
        <v>？</v>
      </c>
      <c r="K267" s="1451" t="s">
        <v>821</v>
      </c>
      <c r="S267" s="1451" t="str">
        <f t="shared" si="54"/>
        <v>7(2)</v>
      </c>
      <c r="U267" s="1510" t="s">
        <v>3306</v>
      </c>
      <c r="V267" s="1470" t="s">
        <v>33</v>
      </c>
      <c r="W267" s="1518" t="s">
        <v>1366</v>
      </c>
      <c r="X267" s="1834" t="s">
        <v>821</v>
      </c>
      <c r="Y267" s="1835"/>
      <c r="Z267" s="1832"/>
      <c r="AA267" s="1835"/>
      <c r="AB267" s="1833"/>
      <c r="AC267" s="1832"/>
      <c r="AD267" s="1833"/>
      <c r="AG267" s="1457" t="str">
        <f t="shared" si="55"/>
        <v>23調査結果-7(2)</v>
      </c>
    </row>
    <row r="268" spans="1:33" ht="18.75" customHeight="1" x14ac:dyDescent="0.15">
      <c r="A268" s="1836"/>
      <c r="D268" s="1669" t="str">
        <f>改善項目管理用!T159</f>
        <v>？</v>
      </c>
      <c r="E268" s="1765" t="str">
        <f t="shared" si="51"/>
        <v>？</v>
      </c>
      <c r="F268" s="1765" t="str">
        <f t="shared" si="52"/>
        <v>？</v>
      </c>
      <c r="G268" s="1765" t="str">
        <f t="shared" si="53"/>
        <v>？</v>
      </c>
      <c r="K268" s="1451" t="s">
        <v>822</v>
      </c>
      <c r="S268" s="1451" t="str">
        <f t="shared" si="54"/>
        <v>7(3)</v>
      </c>
      <c r="U268" s="1510" t="s">
        <v>3306</v>
      </c>
      <c r="V268" s="1470" t="s">
        <v>33</v>
      </c>
      <c r="W268" s="1518" t="s">
        <v>1366</v>
      </c>
      <c r="X268" s="1834" t="s">
        <v>822</v>
      </c>
      <c r="Y268" s="1835"/>
      <c r="Z268" s="1832"/>
      <c r="AA268" s="1835"/>
      <c r="AB268" s="1833"/>
      <c r="AC268" s="1832"/>
      <c r="AD268" s="1833"/>
      <c r="AG268" s="1457" t="str">
        <f t="shared" si="55"/>
        <v>23調査結果-7(3)</v>
      </c>
    </row>
    <row r="269" spans="1:33" ht="18.75" customHeight="1" x14ac:dyDescent="0.15">
      <c r="A269" s="1836"/>
      <c r="D269" s="1669" t="str">
        <f>改善項目管理用!T160</f>
        <v>？</v>
      </c>
      <c r="E269" s="1765" t="str">
        <f t="shared" si="51"/>
        <v>？</v>
      </c>
      <c r="F269" s="1765" t="str">
        <f t="shared" si="52"/>
        <v>？</v>
      </c>
      <c r="G269" s="1765" t="str">
        <f t="shared" si="53"/>
        <v>？</v>
      </c>
      <c r="K269" s="1451" t="s">
        <v>823</v>
      </c>
      <c r="S269" s="1451" t="str">
        <f t="shared" si="54"/>
        <v>7(4)</v>
      </c>
      <c r="U269" s="1510" t="s">
        <v>3306</v>
      </c>
      <c r="V269" s="1470" t="s">
        <v>33</v>
      </c>
      <c r="W269" s="1518" t="s">
        <v>1366</v>
      </c>
      <c r="X269" s="1834" t="s">
        <v>823</v>
      </c>
      <c r="Y269" s="1835"/>
      <c r="Z269" s="1832"/>
      <c r="AA269" s="1835"/>
      <c r="AB269" s="1833"/>
      <c r="AC269" s="1832"/>
      <c r="AD269" s="1833"/>
      <c r="AG269" s="1457" t="str">
        <f t="shared" si="55"/>
        <v>23調査結果-7(4)</v>
      </c>
    </row>
    <row r="270" spans="1:33" ht="18.75" customHeight="1" x14ac:dyDescent="0.15">
      <c r="A270" s="1836"/>
      <c r="D270" s="1669" t="str">
        <f>改善項目管理用!T161</f>
        <v>？</v>
      </c>
      <c r="E270" s="1765" t="str">
        <f t="shared" si="51"/>
        <v>？</v>
      </c>
      <c r="F270" s="1765" t="str">
        <f t="shared" si="52"/>
        <v>？</v>
      </c>
      <c r="G270" s="1765" t="str">
        <f t="shared" si="53"/>
        <v>？</v>
      </c>
      <c r="K270" s="1451" t="s">
        <v>824</v>
      </c>
      <c r="S270" s="1451" t="str">
        <f t="shared" si="54"/>
        <v>7(5)</v>
      </c>
      <c r="U270" s="1510" t="s">
        <v>3306</v>
      </c>
      <c r="V270" s="1470" t="s">
        <v>33</v>
      </c>
      <c r="W270" s="1518" t="s">
        <v>1366</v>
      </c>
      <c r="X270" s="1834" t="s">
        <v>824</v>
      </c>
      <c r="Y270" s="1835"/>
      <c r="Z270" s="1832"/>
      <c r="AA270" s="1835"/>
      <c r="AB270" s="1833"/>
      <c r="AC270" s="1832"/>
      <c r="AD270" s="1833"/>
      <c r="AG270" s="1457" t="str">
        <f t="shared" si="55"/>
        <v>23調査結果-7(5)</v>
      </c>
    </row>
    <row r="271" spans="1:33" ht="18.75" customHeight="1" x14ac:dyDescent="0.15">
      <c r="A271" s="1836"/>
      <c r="D271" s="1669" t="str">
        <f>改善項目管理用!T162</f>
        <v>？</v>
      </c>
      <c r="E271" s="1765" t="str">
        <f t="shared" si="51"/>
        <v>？</v>
      </c>
      <c r="F271" s="1765" t="str">
        <f t="shared" si="52"/>
        <v>？</v>
      </c>
      <c r="G271" s="1765" t="str">
        <f t="shared" si="53"/>
        <v>？</v>
      </c>
      <c r="K271" s="1451" t="s">
        <v>1285</v>
      </c>
      <c r="S271" s="1451" t="str">
        <f t="shared" si="54"/>
        <v>7(6)</v>
      </c>
      <c r="U271" s="1510" t="s">
        <v>3306</v>
      </c>
      <c r="V271" s="1470" t="s">
        <v>33</v>
      </c>
      <c r="W271" s="1518" t="s">
        <v>1366</v>
      </c>
      <c r="X271" s="1834" t="s">
        <v>1285</v>
      </c>
      <c r="Y271" s="1835"/>
      <c r="Z271" s="1832"/>
      <c r="AA271" s="1835"/>
      <c r="AB271" s="1833"/>
      <c r="AC271" s="1832"/>
      <c r="AD271" s="1833"/>
      <c r="AG271" s="1457" t="str">
        <f t="shared" si="55"/>
        <v>23調査結果-7(6)</v>
      </c>
    </row>
    <row r="272" spans="1:33" ht="18.75" customHeight="1" x14ac:dyDescent="0.15">
      <c r="A272" s="1836"/>
      <c r="D272" s="1669" t="str">
        <f>改善項目管理用!T163</f>
        <v>？</v>
      </c>
      <c r="E272" s="1765" t="str">
        <f t="shared" si="51"/>
        <v>？</v>
      </c>
      <c r="F272" s="1765" t="str">
        <f t="shared" si="52"/>
        <v>？</v>
      </c>
      <c r="G272" s="1765" t="str">
        <f t="shared" si="53"/>
        <v>？</v>
      </c>
      <c r="K272" s="1451" t="s">
        <v>1286</v>
      </c>
      <c r="S272" s="1451" t="str">
        <f t="shared" si="54"/>
        <v>7(7)</v>
      </c>
      <c r="U272" s="1510" t="s">
        <v>3306</v>
      </c>
      <c r="V272" s="1470" t="s">
        <v>33</v>
      </c>
      <c r="W272" s="1518" t="s">
        <v>1366</v>
      </c>
      <c r="X272" s="1834" t="s">
        <v>1286</v>
      </c>
      <c r="Y272" s="1835"/>
      <c r="Z272" s="1832"/>
      <c r="AA272" s="1835"/>
      <c r="AB272" s="1833"/>
      <c r="AC272" s="1832"/>
      <c r="AD272" s="1833"/>
      <c r="AG272" s="1457" t="str">
        <f t="shared" si="55"/>
        <v>23調査結果-7(7)</v>
      </c>
    </row>
    <row r="273" spans="1:41" ht="18.75" customHeight="1" x14ac:dyDescent="0.15">
      <c r="A273" s="1836"/>
      <c r="D273" s="1669" t="str">
        <f>改善項目管理用!T164</f>
        <v>？</v>
      </c>
      <c r="E273" s="1765" t="str">
        <f t="shared" si="51"/>
        <v>？</v>
      </c>
      <c r="F273" s="1765" t="str">
        <f t="shared" si="52"/>
        <v>？</v>
      </c>
      <c r="G273" s="1765" t="str">
        <f t="shared" si="53"/>
        <v>？</v>
      </c>
      <c r="K273" s="1451" t="s">
        <v>1287</v>
      </c>
      <c r="S273" s="1451" t="str">
        <f t="shared" si="54"/>
        <v>7(8)</v>
      </c>
      <c r="U273" s="1510" t="s">
        <v>3306</v>
      </c>
      <c r="V273" s="1470" t="s">
        <v>33</v>
      </c>
      <c r="W273" s="1518" t="s">
        <v>1366</v>
      </c>
      <c r="X273" s="1834" t="s">
        <v>1287</v>
      </c>
      <c r="Y273" s="1835"/>
      <c r="Z273" s="1832"/>
      <c r="AA273" s="1835"/>
      <c r="AB273" s="1833"/>
      <c r="AC273" s="1832"/>
      <c r="AD273" s="1833"/>
      <c r="AG273" s="1457" t="str">
        <f t="shared" si="55"/>
        <v>23調査結果-7(8)</v>
      </c>
    </row>
    <row r="274" spans="1:41" ht="18.75" customHeight="1" x14ac:dyDescent="0.15">
      <c r="A274" s="1836"/>
      <c r="D274" s="1669" t="str">
        <f>改善項目管理用!T165</f>
        <v>？</v>
      </c>
      <c r="E274" s="1765" t="str">
        <f t="shared" si="51"/>
        <v>？</v>
      </c>
      <c r="F274" s="1765" t="str">
        <f t="shared" si="52"/>
        <v>？</v>
      </c>
      <c r="G274" s="1765" t="str">
        <f t="shared" si="53"/>
        <v>？</v>
      </c>
      <c r="K274" s="1451" t="s">
        <v>1288</v>
      </c>
      <c r="S274" s="1451" t="str">
        <f t="shared" si="54"/>
        <v>7(9)</v>
      </c>
      <c r="U274" s="1510" t="s">
        <v>3306</v>
      </c>
      <c r="V274" s="1470" t="s">
        <v>33</v>
      </c>
      <c r="W274" s="1518" t="s">
        <v>1366</v>
      </c>
      <c r="X274" s="1834" t="s">
        <v>1288</v>
      </c>
      <c r="Y274" s="1835"/>
      <c r="Z274" s="1832"/>
      <c r="AA274" s="1835"/>
      <c r="AB274" s="1833"/>
      <c r="AC274" s="1832"/>
      <c r="AD274" s="1833"/>
      <c r="AG274" s="1457" t="str">
        <f t="shared" si="55"/>
        <v>23調査結果-7(9)</v>
      </c>
    </row>
    <row r="275" spans="1:41" ht="18.75" customHeight="1" x14ac:dyDescent="0.15">
      <c r="A275" s="1836"/>
      <c r="D275" s="1669" t="str">
        <f>改善項目管理用!T166</f>
        <v>？</v>
      </c>
      <c r="E275" s="1765" t="str">
        <f t="shared" si="51"/>
        <v>？</v>
      </c>
      <c r="F275" s="1765" t="str">
        <f t="shared" si="52"/>
        <v>？</v>
      </c>
      <c r="G275" s="1765" t="str">
        <f t="shared" si="53"/>
        <v>？</v>
      </c>
      <c r="K275" s="1451" t="s">
        <v>1289</v>
      </c>
      <c r="S275" s="1451" t="str">
        <f t="shared" si="54"/>
        <v>7(10)</v>
      </c>
      <c r="U275" s="1510" t="s">
        <v>3306</v>
      </c>
      <c r="V275" s="1470" t="s">
        <v>33</v>
      </c>
      <c r="W275" s="1518" t="s">
        <v>1366</v>
      </c>
      <c r="X275" s="1834" t="s">
        <v>1289</v>
      </c>
      <c r="Y275" s="1835"/>
      <c r="Z275" s="1832"/>
      <c r="AA275" s="1835"/>
      <c r="AB275" s="1833"/>
      <c r="AC275" s="1832"/>
      <c r="AD275" s="1833"/>
      <c r="AG275" s="1457" t="str">
        <f t="shared" si="55"/>
        <v>23調査結果-7(10)</v>
      </c>
    </row>
    <row r="276" spans="1:41" ht="18.75" customHeight="1" x14ac:dyDescent="0.15">
      <c r="A276" s="1836"/>
      <c r="D276" s="1669" t="str">
        <f>改善項目管理用!T167</f>
        <v>？</v>
      </c>
      <c r="E276" s="1765" t="str">
        <f t="shared" si="51"/>
        <v>？</v>
      </c>
      <c r="F276" s="1765" t="str">
        <f t="shared" si="52"/>
        <v>？</v>
      </c>
      <c r="G276" s="1765" t="str">
        <f t="shared" si="53"/>
        <v>？</v>
      </c>
      <c r="K276" s="1451" t="s">
        <v>1765</v>
      </c>
      <c r="S276" s="1451" t="str">
        <f t="shared" si="54"/>
        <v>7(11)</v>
      </c>
      <c r="U276" s="1510" t="s">
        <v>3306</v>
      </c>
      <c r="V276" s="1470" t="s">
        <v>33</v>
      </c>
      <c r="W276" s="1518" t="s">
        <v>1366</v>
      </c>
      <c r="X276" s="1834" t="s">
        <v>1765</v>
      </c>
      <c r="Y276" s="1835"/>
      <c r="Z276" s="1832"/>
      <c r="AA276" s="1835"/>
      <c r="AB276" s="1833"/>
      <c r="AC276" s="1832"/>
      <c r="AD276" s="1833"/>
      <c r="AG276" s="1457" t="str">
        <f t="shared" si="55"/>
        <v>23調査結果-7(11)</v>
      </c>
    </row>
    <row r="277" spans="1:41" ht="18.75" customHeight="1" x14ac:dyDescent="0.15">
      <c r="A277" s="1836"/>
      <c r="D277" s="1669" t="str">
        <f>改善項目管理用!T168</f>
        <v>？</v>
      </c>
      <c r="E277" s="1765" t="str">
        <f t="shared" si="51"/>
        <v>？</v>
      </c>
      <c r="F277" s="1765" t="str">
        <f t="shared" si="52"/>
        <v>？</v>
      </c>
      <c r="G277" s="1765" t="str">
        <f t="shared" si="53"/>
        <v>？</v>
      </c>
      <c r="K277" s="1451" t="s">
        <v>1766</v>
      </c>
      <c r="S277" s="1451" t="str">
        <f t="shared" si="54"/>
        <v>7(12)</v>
      </c>
      <c r="U277" s="1510" t="s">
        <v>3306</v>
      </c>
      <c r="V277" s="1470" t="s">
        <v>33</v>
      </c>
      <c r="W277" s="1518" t="s">
        <v>1366</v>
      </c>
      <c r="X277" s="1834" t="s">
        <v>1766</v>
      </c>
      <c r="Y277" s="1835"/>
      <c r="Z277" s="1832"/>
      <c r="AA277" s="1835"/>
      <c r="AB277" s="1833"/>
      <c r="AC277" s="1832"/>
      <c r="AD277" s="1833"/>
      <c r="AG277" s="1457" t="str">
        <f t="shared" si="55"/>
        <v>23調査結果-7(12)</v>
      </c>
    </row>
    <row r="278" spans="1:41" ht="18.75" customHeight="1" x14ac:dyDescent="0.15">
      <c r="A278" s="1836"/>
      <c r="D278" s="1669" t="str">
        <f>改善項目管理用!T169</f>
        <v>？</v>
      </c>
      <c r="E278" s="1765" t="str">
        <f t="shared" si="51"/>
        <v>？</v>
      </c>
      <c r="F278" s="1765" t="str">
        <f t="shared" si="52"/>
        <v>？</v>
      </c>
      <c r="G278" s="1765" t="str">
        <f t="shared" si="53"/>
        <v>？</v>
      </c>
      <c r="K278" s="1451" t="s">
        <v>1767</v>
      </c>
      <c r="S278" s="1451" t="str">
        <f t="shared" si="54"/>
        <v>7(13)</v>
      </c>
      <c r="U278" s="1510" t="s">
        <v>3306</v>
      </c>
      <c r="V278" s="1470" t="s">
        <v>33</v>
      </c>
      <c r="W278" s="1518" t="s">
        <v>1366</v>
      </c>
      <c r="X278" s="1834" t="s">
        <v>1767</v>
      </c>
      <c r="Y278" s="1835"/>
      <c r="Z278" s="1832"/>
      <c r="AA278" s="1835"/>
      <c r="AB278" s="1833"/>
      <c r="AC278" s="1832"/>
      <c r="AD278" s="1833"/>
      <c r="AG278" s="1457" t="str">
        <f t="shared" si="55"/>
        <v>23調査結果-7(13)</v>
      </c>
    </row>
    <row r="279" spans="1:41" ht="18.75" customHeight="1" x14ac:dyDescent="0.15">
      <c r="A279" s="1836"/>
      <c r="D279" s="1669" t="str">
        <f>改善項目管理用!T170</f>
        <v>？</v>
      </c>
      <c r="E279" s="1765" t="str">
        <f t="shared" si="51"/>
        <v>？</v>
      </c>
      <c r="F279" s="1765" t="str">
        <f t="shared" si="52"/>
        <v>？</v>
      </c>
      <c r="G279" s="1765" t="str">
        <f t="shared" si="53"/>
        <v>？</v>
      </c>
      <c r="K279" s="1451" t="s">
        <v>1768</v>
      </c>
      <c r="S279" s="1451" t="str">
        <f t="shared" si="54"/>
        <v>7(14)</v>
      </c>
      <c r="U279" s="1510" t="s">
        <v>3306</v>
      </c>
      <c r="V279" s="1470" t="s">
        <v>33</v>
      </c>
      <c r="W279" s="1518" t="s">
        <v>1366</v>
      </c>
      <c r="X279" s="1834" t="s">
        <v>1768</v>
      </c>
      <c r="Y279" s="1835"/>
      <c r="Z279" s="1832"/>
      <c r="AA279" s="1835"/>
      <c r="AB279" s="1833"/>
      <c r="AC279" s="1832"/>
      <c r="AD279" s="1833"/>
      <c r="AG279" s="1457" t="str">
        <f t="shared" si="55"/>
        <v>23調査結果-7(14)</v>
      </c>
    </row>
    <row r="280" spans="1:41" ht="18.75" customHeight="1" x14ac:dyDescent="0.15">
      <c r="A280" s="1836"/>
      <c r="D280" s="1669" t="str">
        <f>改善項目管理用!T171</f>
        <v>？</v>
      </c>
      <c r="E280" s="1765" t="str">
        <f t="shared" si="51"/>
        <v>？</v>
      </c>
      <c r="F280" s="1765" t="str">
        <f t="shared" si="52"/>
        <v>？</v>
      </c>
      <c r="G280" s="1765" t="str">
        <f t="shared" si="53"/>
        <v>？</v>
      </c>
      <c r="K280" s="1451" t="s">
        <v>1769</v>
      </c>
      <c r="S280" s="1451" t="str">
        <f t="shared" si="54"/>
        <v>7(15)</v>
      </c>
      <c r="U280" s="1510" t="s">
        <v>3306</v>
      </c>
      <c r="V280" s="1470" t="s">
        <v>33</v>
      </c>
      <c r="W280" s="1518" t="s">
        <v>1366</v>
      </c>
      <c r="X280" s="1834" t="s">
        <v>1769</v>
      </c>
      <c r="Y280" s="1835"/>
      <c r="Z280" s="1832"/>
      <c r="AA280" s="1835"/>
      <c r="AB280" s="1833"/>
      <c r="AC280" s="1832"/>
      <c r="AD280" s="1833"/>
      <c r="AG280" s="1457" t="str">
        <f t="shared" si="55"/>
        <v>23調査結果-7(15)</v>
      </c>
    </row>
    <row r="281" spans="1:41" ht="18.75" customHeight="1" x14ac:dyDescent="0.15">
      <c r="A281" s="1836"/>
      <c r="D281" s="1669" t="str">
        <f>改善項目管理用!T172</f>
        <v>？</v>
      </c>
      <c r="E281" s="1765" t="str">
        <f t="shared" si="51"/>
        <v>？</v>
      </c>
      <c r="F281" s="1765" t="str">
        <f t="shared" si="52"/>
        <v>？</v>
      </c>
      <c r="G281" s="1765" t="str">
        <f t="shared" si="53"/>
        <v>？</v>
      </c>
      <c r="K281" s="1451" t="s">
        <v>3057</v>
      </c>
      <c r="S281" s="1451" t="str">
        <f t="shared" si="54"/>
        <v>7(16)</v>
      </c>
      <c r="U281" s="1510" t="s">
        <v>3306</v>
      </c>
      <c r="V281" s="1470" t="s">
        <v>33</v>
      </c>
      <c r="W281" s="1518" t="s">
        <v>1366</v>
      </c>
      <c r="X281" s="1834" t="s">
        <v>3057</v>
      </c>
      <c r="Y281" s="1835"/>
      <c r="Z281" s="1832"/>
      <c r="AA281" s="1835"/>
      <c r="AB281" s="1833"/>
      <c r="AC281" s="1832"/>
      <c r="AD281" s="1833"/>
      <c r="AG281" s="1457" t="str">
        <f t="shared" si="55"/>
        <v>23調査結果-7(16)</v>
      </c>
    </row>
    <row r="282" spans="1:41" ht="18.75" customHeight="1" x14ac:dyDescent="0.15">
      <c r="A282" s="1836"/>
      <c r="D282" s="1669" t="str">
        <f>改善項目管理用!T173</f>
        <v>？</v>
      </c>
      <c r="E282" s="1765" t="str">
        <f t="shared" si="51"/>
        <v>？</v>
      </c>
      <c r="F282" s="1765" t="str">
        <f t="shared" si="52"/>
        <v>？</v>
      </c>
      <c r="G282" s="1765" t="str">
        <f t="shared" si="53"/>
        <v>？</v>
      </c>
      <c r="K282" s="1451" t="s">
        <v>3058</v>
      </c>
      <c r="S282" s="1451" t="str">
        <f t="shared" si="54"/>
        <v>7(17)</v>
      </c>
      <c r="U282" s="1510" t="s">
        <v>3306</v>
      </c>
      <c r="V282" s="1470" t="s">
        <v>33</v>
      </c>
      <c r="W282" s="1518" t="s">
        <v>1366</v>
      </c>
      <c r="X282" s="1834" t="s">
        <v>3058</v>
      </c>
      <c r="Y282" s="1835"/>
      <c r="Z282" s="1832"/>
      <c r="AA282" s="1835"/>
      <c r="AB282" s="1833"/>
      <c r="AC282" s="1832"/>
      <c r="AD282" s="1833"/>
      <c r="AG282" s="1457" t="str">
        <f t="shared" si="55"/>
        <v>23調査結果-7(17)</v>
      </c>
    </row>
    <row r="283" spans="1:41" ht="18.75" customHeight="1" x14ac:dyDescent="0.15">
      <c r="A283" s="1836"/>
      <c r="D283" s="1669" t="str">
        <f>改善項目管理用!T174</f>
        <v>？</v>
      </c>
      <c r="E283" s="1765" t="str">
        <f t="shared" si="51"/>
        <v>？</v>
      </c>
      <c r="F283" s="1765" t="str">
        <f t="shared" si="52"/>
        <v>？</v>
      </c>
      <c r="G283" s="1765" t="str">
        <f t="shared" si="53"/>
        <v>？</v>
      </c>
      <c r="K283" s="1451" t="s">
        <v>3059</v>
      </c>
      <c r="S283" s="1451" t="str">
        <f t="shared" si="54"/>
        <v>7(18)</v>
      </c>
      <c r="U283" s="1510" t="s">
        <v>3306</v>
      </c>
      <c r="V283" s="1470" t="s">
        <v>33</v>
      </c>
      <c r="W283" s="1518" t="s">
        <v>1366</v>
      </c>
      <c r="X283" s="1834" t="s">
        <v>3059</v>
      </c>
      <c r="Y283" s="1835"/>
      <c r="Z283" s="1832"/>
      <c r="AA283" s="1835"/>
      <c r="AB283" s="1833"/>
      <c r="AC283" s="1832"/>
      <c r="AD283" s="1833"/>
      <c r="AG283" s="1457" t="str">
        <f t="shared" si="55"/>
        <v>23調査結果-7(18)</v>
      </c>
    </row>
    <row r="284" spans="1:41" s="1449" customFormat="1" ht="18.75" customHeight="1" x14ac:dyDescent="0.15">
      <c r="A284" s="1837"/>
      <c r="B284" s="1478"/>
      <c r="C284" s="1478"/>
      <c r="D284" s="1467"/>
      <c r="E284" s="1765"/>
      <c r="F284" s="1765"/>
      <c r="G284" s="1765"/>
      <c r="H284" s="1766"/>
      <c r="I284" s="1478"/>
      <c r="J284" s="1478"/>
      <c r="K284" s="1478" t="s">
        <v>3221</v>
      </c>
      <c r="L284" s="1478"/>
      <c r="M284" s="1549"/>
      <c r="N284" s="1478"/>
      <c r="O284" s="1478"/>
      <c r="P284" s="1478"/>
      <c r="Q284" s="1478"/>
      <c r="R284" s="1478"/>
      <c r="S284" s="1478"/>
      <c r="T284" s="1478"/>
      <c r="U284" s="1469"/>
      <c r="V284" s="1486" t="s">
        <v>3221</v>
      </c>
      <c r="W284" s="1471"/>
      <c r="X284" s="1470"/>
      <c r="Y284" s="1473"/>
      <c r="Z284" s="1474"/>
      <c r="AA284" s="1473"/>
      <c r="AB284" s="1470"/>
      <c r="AC284" s="1475"/>
      <c r="AD284" s="1476"/>
      <c r="AE284" s="1477"/>
      <c r="AF284" s="1477"/>
      <c r="AG284" s="1457" t="str">
        <f t="shared" si="55"/>
        <v>指導書番号</v>
      </c>
      <c r="AH284" s="1466"/>
      <c r="AI284" s="1477"/>
      <c r="AJ284" s="1477"/>
      <c r="AK284" s="1477"/>
      <c r="AL284" s="1466"/>
      <c r="AM284" s="1466"/>
      <c r="AN284" s="1466"/>
      <c r="AO284" s="1466"/>
    </row>
  </sheetData>
  <phoneticPr fontId="3"/>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75A46-8E27-4A23-825A-C1C851AF12F1}">
  <dimension ref="A1:AO780"/>
  <sheetViews>
    <sheetView zoomScale="70" zoomScaleNormal="70" workbookViewId="0">
      <pane ySplit="3" topLeftCell="A4" activePane="bottomLeft" state="frozen"/>
      <selection pane="bottomLeft"/>
    </sheetView>
  </sheetViews>
  <sheetFormatPr defaultColWidth="9" defaultRowHeight="18.75" customHeight="1" x14ac:dyDescent="0.15"/>
  <cols>
    <col min="1" max="1" width="2.75" style="1577" customWidth="1"/>
    <col min="2" max="2" width="6.75" style="1451" customWidth="1"/>
    <col min="3" max="3" width="13.375" style="1451" customWidth="1"/>
    <col min="4" max="7" width="11.75" style="1669" customWidth="1"/>
    <col min="8" max="8" width="11.75" style="1538" customWidth="1"/>
    <col min="9" max="9" width="4.5" style="1451" customWidth="1"/>
    <col min="10" max="10" width="2.375" style="1528" customWidth="1"/>
    <col min="11" max="11" width="6" style="1451" customWidth="1"/>
    <col min="12" max="12" width="2.25" style="1451" customWidth="1"/>
    <col min="13" max="13" width="5.5" style="1548" customWidth="1"/>
    <col min="14" max="14" width="1.75" style="1451" customWidth="1"/>
    <col min="15" max="15" width="5.375" style="1451" customWidth="1"/>
    <col min="16" max="16" width="1.875" style="1451" customWidth="1"/>
    <col min="17" max="17" width="5.75" style="1451" customWidth="1"/>
    <col min="18" max="18" width="1.875" style="1451" customWidth="1"/>
    <col min="19" max="19" width="24.625" style="1451" customWidth="1"/>
    <col min="20" max="20" width="3.25" style="1451" customWidth="1"/>
    <col min="21" max="21" width="4.125" style="1523" bestFit="1" customWidth="1"/>
    <col min="22" max="22" width="24.125" style="1457" customWidth="1"/>
    <col min="23" max="23" width="5.125" style="1524" customWidth="1"/>
    <col min="24" max="24" width="23.625" style="1457" customWidth="1"/>
    <col min="25" max="25" width="5.625" style="1524" customWidth="1"/>
    <col min="26" max="26" width="18.5" style="1457" customWidth="1"/>
    <col min="27" max="27" width="5.625" style="1524" customWidth="1"/>
    <col min="28" max="28" width="16.125" style="1458" bestFit="1" customWidth="1"/>
    <col min="29" max="29" width="5.625" style="1457" customWidth="1"/>
    <col min="30" max="30" width="38.125" style="1458" customWidth="1"/>
    <col min="31" max="32" width="5.875" style="1457" customWidth="1"/>
    <col min="33" max="41" width="9" style="1457"/>
    <col min="42" max="16384" width="9" style="1451"/>
  </cols>
  <sheetData>
    <row r="1" spans="1:41" ht="24" customHeight="1" x14ac:dyDescent="0.15">
      <c r="A1" s="1576"/>
      <c r="B1" s="1451" t="s">
        <v>2992</v>
      </c>
      <c r="E1" s="1669" t="s">
        <v>2997</v>
      </c>
      <c r="G1" s="1669" t="s">
        <v>2927</v>
      </c>
      <c r="U1" s="1448"/>
      <c r="V1" s="1452"/>
      <c r="W1" s="1453"/>
      <c r="X1" s="1454"/>
      <c r="Y1" s="1455"/>
      <c r="Z1" s="1456"/>
      <c r="AA1" s="1455"/>
      <c r="AB1" s="1452"/>
      <c r="AI1" s="1459"/>
      <c r="AJ1" s="1459"/>
      <c r="AK1" s="1459"/>
    </row>
    <row r="2" spans="1:41" ht="18.75" customHeight="1" x14ac:dyDescent="0.15">
      <c r="C2" s="1451" t="s">
        <v>2993</v>
      </c>
      <c r="D2" s="1460" t="s">
        <v>2921</v>
      </c>
      <c r="E2" s="1460" t="s">
        <v>158</v>
      </c>
      <c r="F2" s="1460" t="s">
        <v>152</v>
      </c>
      <c r="G2" s="1670" t="s">
        <v>160</v>
      </c>
      <c r="U2" s="1461" t="s">
        <v>1295</v>
      </c>
      <c r="W2" s="1453"/>
      <c r="X2" s="1454"/>
      <c r="Y2" s="1455"/>
      <c r="AA2" s="1456"/>
      <c r="AB2" s="1452"/>
      <c r="AG2" s="1457" t="s">
        <v>3081</v>
      </c>
      <c r="AH2" s="1459"/>
      <c r="AI2" s="1459"/>
      <c r="AJ2" s="1459"/>
      <c r="AK2" s="1459"/>
    </row>
    <row r="3" spans="1:41" ht="66" x14ac:dyDescent="0.15">
      <c r="A3" s="1578"/>
      <c r="B3" s="1462" t="s">
        <v>2923</v>
      </c>
      <c r="C3" s="1464" t="s">
        <v>2994</v>
      </c>
      <c r="D3" s="1463" t="s">
        <v>2908</v>
      </c>
      <c r="E3" s="1463" t="s">
        <v>2995</v>
      </c>
      <c r="F3" s="1463" t="s">
        <v>2996</v>
      </c>
      <c r="G3" s="1838" t="s">
        <v>3084</v>
      </c>
      <c r="H3" s="1539" t="s">
        <v>2801</v>
      </c>
      <c r="I3" s="1464" t="s">
        <v>3086</v>
      </c>
      <c r="J3" s="1529"/>
      <c r="K3" s="1493" t="s">
        <v>718</v>
      </c>
      <c r="L3" s="1464"/>
      <c r="M3" s="1493"/>
      <c r="N3" s="1464"/>
      <c r="O3" s="1464"/>
      <c r="P3" s="1464"/>
      <c r="Q3" s="1464"/>
      <c r="R3" s="1464"/>
      <c r="S3" s="1464" t="s">
        <v>3082</v>
      </c>
      <c r="T3" s="1464"/>
      <c r="U3" s="1465"/>
      <c r="V3" s="1452"/>
      <c r="W3" s="1453"/>
      <c r="X3" s="1454"/>
      <c r="Y3" s="1455"/>
      <c r="Z3" s="1456"/>
      <c r="AA3" s="1455"/>
      <c r="AB3" s="1452"/>
      <c r="AG3" s="1840"/>
      <c r="AI3" s="1459"/>
      <c r="AJ3" s="1459"/>
      <c r="AK3" s="1459"/>
    </row>
    <row r="4" spans="1:41" s="1624" customFormat="1" ht="18.75" customHeight="1" x14ac:dyDescent="0.15">
      <c r="A4" s="1628"/>
      <c r="B4" s="1628"/>
      <c r="C4" s="1627">
        <v>1</v>
      </c>
      <c r="D4" s="1705" t="str">
        <f>'1_入力シート【基本情報】'!$J$4</f>
        <v>令和</v>
      </c>
      <c r="E4" s="1672" t="str">
        <f>D4</f>
        <v>令和</v>
      </c>
      <c r="F4" s="1672" t="str">
        <f>SUBSTITUTE(E4,CHAR(10),"")</f>
        <v>令和</v>
      </c>
      <c r="G4" s="1672" t="str">
        <f>TRIM(F4)</f>
        <v>令和</v>
      </c>
      <c r="H4" s="1628" t="s">
        <v>2920</v>
      </c>
      <c r="I4" s="1644"/>
      <c r="J4" s="1628"/>
      <c r="K4" s="1627"/>
      <c r="L4" s="1627"/>
      <c r="M4" s="1629"/>
      <c r="N4" s="1627"/>
      <c r="O4" s="1627"/>
      <c r="P4" s="1627"/>
      <c r="Q4" s="1627"/>
      <c r="R4" s="1627"/>
      <c r="S4" s="1627" t="str">
        <f>CONCATENATE(K4,L4,M4,N4,O4,P4,Q4)</f>
        <v/>
      </c>
      <c r="T4" s="1627"/>
      <c r="U4" s="1630" t="s">
        <v>1296</v>
      </c>
      <c r="V4" s="1631" t="s">
        <v>2999</v>
      </c>
      <c r="W4" s="1632" t="s">
        <v>1306</v>
      </c>
      <c r="X4" s="1639" t="s">
        <v>1607</v>
      </c>
      <c r="Y4" s="1633"/>
      <c r="Z4" s="1640"/>
      <c r="AA4" s="1633"/>
      <c r="AB4" s="1631"/>
      <c r="AC4" s="1634"/>
      <c r="AD4" s="1635"/>
      <c r="AE4" s="1636"/>
      <c r="AF4" s="1636"/>
      <c r="AG4" s="1637" t="str">
        <f>CONCATENATE(U4,V4,W4,X4,Y4,Z4,AA4,AB4,AC4,AD4)</f>
        <v>0報告年-和暦</v>
      </c>
      <c r="AH4" s="1637"/>
      <c r="AI4" s="1636"/>
      <c r="AJ4" s="1636"/>
      <c r="AK4" s="1636"/>
      <c r="AL4" s="1637"/>
      <c r="AM4" s="1637"/>
      <c r="AN4" s="1637"/>
      <c r="AO4" s="1637"/>
    </row>
    <row r="5" spans="1:41" ht="18.75" customHeight="1" x14ac:dyDescent="0.15">
      <c r="A5" s="1578"/>
      <c r="B5" s="1462"/>
      <c r="C5" s="1462">
        <v>1</v>
      </c>
      <c r="D5" s="1460">
        <f>'1_入力シート【基本情報】'!$M$4</f>
        <v>0</v>
      </c>
      <c r="E5" s="1671" t="str">
        <f t="shared" ref="E5:E13" si="0">ASC($D5)</f>
        <v>0</v>
      </c>
      <c r="F5" s="1650" t="str">
        <f t="shared" ref="F5:F33" si="1">SUBSTITUTE(E5,CHAR(10),"")</f>
        <v>0</v>
      </c>
      <c r="G5" s="1650" t="str">
        <f t="shared" ref="G5:G15" si="2">TRIM(F5)</f>
        <v>0</v>
      </c>
      <c r="H5" s="1468" t="s">
        <v>3213</v>
      </c>
      <c r="I5" s="1644"/>
      <c r="J5" s="1531"/>
      <c r="K5" s="1462" t="s">
        <v>3212</v>
      </c>
      <c r="L5" s="1462" t="s">
        <v>1307</v>
      </c>
      <c r="M5" s="1462" t="s">
        <v>2922</v>
      </c>
      <c r="N5" s="1462" t="s">
        <v>1307</v>
      </c>
      <c r="O5" s="1493" t="s">
        <v>3137</v>
      </c>
      <c r="P5" s="1462"/>
      <c r="Q5" s="1462"/>
      <c r="R5" s="1462"/>
      <c r="S5" s="1462" t="str">
        <f t="shared" ref="S5:S47" si="3">CONCATENATE(K5,L5,M5,N5,O5,P5,Q5)</f>
        <v>チェック用_報告対象年_和暦年</v>
      </c>
      <c r="T5" s="1462"/>
      <c r="U5" s="1469" t="s">
        <v>1296</v>
      </c>
      <c r="V5" s="1470" t="s">
        <v>2999</v>
      </c>
      <c r="W5" s="1471" t="s">
        <v>1306</v>
      </c>
      <c r="X5" s="1472" t="s">
        <v>12</v>
      </c>
      <c r="Y5" s="1473"/>
      <c r="Z5" s="1474"/>
      <c r="AA5" s="1473"/>
      <c r="AB5" s="1470"/>
      <c r="AC5" s="1475"/>
      <c r="AD5" s="1476"/>
      <c r="AE5" s="1477"/>
      <c r="AF5" s="1477"/>
      <c r="AG5" s="1457" t="str">
        <f t="shared" ref="AG5:AG52" si="4">CONCATENATE(U5,V5,W5,X5,Y5,Z5,AA5,AB5,AC5,AD5)</f>
        <v>0報告年-年</v>
      </c>
      <c r="AI5" s="1459"/>
      <c r="AJ5" s="1459"/>
      <c r="AK5" s="1459"/>
    </row>
    <row r="6" spans="1:41" ht="18.75" customHeight="1" x14ac:dyDescent="0.15">
      <c r="A6" s="1578"/>
      <c r="B6" s="1536" t="s">
        <v>2928</v>
      </c>
      <c r="C6" s="1462">
        <v>2</v>
      </c>
      <c r="D6" s="1650">
        <f>'1_入力シート【基本情報】'!$DS$4</f>
        <v>2018</v>
      </c>
      <c r="E6" s="1671" t="str">
        <f t="shared" si="0"/>
        <v>2018</v>
      </c>
      <c r="F6" s="1650" t="str">
        <f t="shared" si="1"/>
        <v>2018</v>
      </c>
      <c r="G6" s="1650" t="str">
        <f t="shared" si="2"/>
        <v>2018</v>
      </c>
      <c r="H6" s="1468" t="s">
        <v>3000</v>
      </c>
      <c r="I6" s="1644"/>
      <c r="J6" s="1531"/>
      <c r="K6" s="1462" t="s">
        <v>2922</v>
      </c>
      <c r="L6" s="1462" t="s">
        <v>1307</v>
      </c>
      <c r="M6" s="1493" t="s">
        <v>2924</v>
      </c>
      <c r="N6" s="1462"/>
      <c r="O6" s="1462"/>
      <c r="P6" s="1462"/>
      <c r="Q6" s="1462"/>
      <c r="R6" s="1462"/>
      <c r="S6" s="1462" t="str">
        <f t="shared" si="3"/>
        <v>報告対象年_西暦</v>
      </c>
      <c r="T6" s="1462"/>
      <c r="U6" s="1469" t="s">
        <v>1296</v>
      </c>
      <c r="V6" s="1470" t="s">
        <v>2999</v>
      </c>
      <c r="W6" s="1471" t="s">
        <v>1306</v>
      </c>
      <c r="X6" s="1472" t="s">
        <v>2924</v>
      </c>
      <c r="Y6" s="1473"/>
      <c r="Z6" s="1474"/>
      <c r="AA6" s="1473"/>
      <c r="AB6" s="1470"/>
      <c r="AC6" s="1475"/>
      <c r="AD6" s="1476"/>
      <c r="AE6" s="1477"/>
      <c r="AF6" s="1477"/>
      <c r="AG6" s="1457" t="str">
        <f t="shared" si="4"/>
        <v>0報告年-西暦</v>
      </c>
      <c r="AI6" s="1459"/>
      <c r="AJ6" s="1459"/>
      <c r="AK6" s="1459"/>
    </row>
    <row r="7" spans="1:41" s="1624" customFormat="1" ht="18.75" customHeight="1" x14ac:dyDescent="0.15">
      <c r="A7" s="1578"/>
      <c r="B7" s="1627"/>
      <c r="C7" s="1627">
        <v>1</v>
      </c>
      <c r="D7" s="1672" t="str">
        <f>'1_入力シート【基本情報】'!$BC$4</f>
        <v>令和</v>
      </c>
      <c r="E7" s="1672" t="str">
        <f t="shared" si="0"/>
        <v>令和</v>
      </c>
      <c r="F7" s="1672" t="str">
        <f t="shared" si="1"/>
        <v>令和</v>
      </c>
      <c r="G7" s="1672" t="str">
        <f t="shared" si="2"/>
        <v>令和</v>
      </c>
      <c r="H7" s="1628" t="s">
        <v>2920</v>
      </c>
      <c r="I7" s="1644"/>
      <c r="J7" s="1531"/>
      <c r="K7" s="1627"/>
      <c r="L7" s="1627"/>
      <c r="M7" s="1627"/>
      <c r="N7" s="1627"/>
      <c r="O7" s="1627"/>
      <c r="P7" s="1627"/>
      <c r="Q7" s="1627"/>
      <c r="R7" s="1627"/>
      <c r="S7" s="1627"/>
      <c r="T7" s="1627"/>
      <c r="U7" s="1630" t="s">
        <v>1296</v>
      </c>
      <c r="V7" s="1631" t="s">
        <v>1316</v>
      </c>
      <c r="W7" s="1632" t="s">
        <v>1306</v>
      </c>
      <c r="X7" s="1645" t="s">
        <v>294</v>
      </c>
      <c r="Y7" s="1646"/>
      <c r="Z7" s="1647"/>
      <c r="AA7" s="1633"/>
      <c r="AB7" s="1631"/>
      <c r="AC7" s="1634"/>
      <c r="AD7" s="1635"/>
      <c r="AE7" s="1636"/>
      <c r="AF7" s="1636"/>
      <c r="AG7" s="1637" t="str">
        <f t="shared" si="4"/>
        <v>0報告日-令和</v>
      </c>
      <c r="AH7" s="1637"/>
      <c r="AI7" s="1636"/>
      <c r="AJ7" s="1636"/>
      <c r="AK7" s="1636"/>
      <c r="AL7" s="1637"/>
      <c r="AM7" s="1637"/>
      <c r="AN7" s="1637"/>
      <c r="AO7" s="1637"/>
    </row>
    <row r="8" spans="1:41" s="1624" customFormat="1" ht="18.75" customHeight="1" x14ac:dyDescent="0.15">
      <c r="A8" s="1580"/>
      <c r="B8" s="1638"/>
      <c r="C8" s="1627">
        <v>1</v>
      </c>
      <c r="D8" s="1672">
        <f>'1_入力シート【基本情報】'!$BF$4</f>
        <v>0</v>
      </c>
      <c r="E8" s="1672" t="str">
        <f t="shared" si="0"/>
        <v>0</v>
      </c>
      <c r="F8" s="1672" t="str">
        <f t="shared" si="1"/>
        <v>0</v>
      </c>
      <c r="G8" s="1672" t="str">
        <f t="shared" si="2"/>
        <v>0</v>
      </c>
      <c r="H8" s="1628"/>
      <c r="I8" s="1644"/>
      <c r="J8" s="1531"/>
      <c r="K8" s="1627"/>
      <c r="L8" s="1627"/>
      <c r="M8" s="1627"/>
      <c r="N8" s="1627"/>
      <c r="O8" s="1627"/>
      <c r="P8" s="1627"/>
      <c r="Q8" s="1627"/>
      <c r="R8" s="1627"/>
      <c r="S8" s="1627"/>
      <c r="T8" s="1627"/>
      <c r="U8" s="1630" t="s">
        <v>1296</v>
      </c>
      <c r="V8" s="1631" t="s">
        <v>1316</v>
      </c>
      <c r="W8" s="1632" t="s">
        <v>1306</v>
      </c>
      <c r="X8" s="1639" t="s">
        <v>12</v>
      </c>
      <c r="Y8" s="1633"/>
      <c r="Z8" s="1640"/>
      <c r="AA8" s="1633"/>
      <c r="AB8" s="1631"/>
      <c r="AC8" s="1634"/>
      <c r="AD8" s="1635"/>
      <c r="AE8" s="1636"/>
      <c r="AF8" s="1636"/>
      <c r="AG8" s="1637" t="str">
        <f t="shared" si="4"/>
        <v>0報告日-年</v>
      </c>
      <c r="AH8" s="1637"/>
      <c r="AI8" s="1636"/>
      <c r="AJ8" s="1636"/>
      <c r="AK8" s="1636"/>
      <c r="AL8" s="1637"/>
      <c r="AM8" s="1637"/>
      <c r="AN8" s="1637"/>
      <c r="AO8" s="1637"/>
    </row>
    <row r="9" spans="1:41" s="1624" customFormat="1" ht="18.75" customHeight="1" x14ac:dyDescent="0.15">
      <c r="A9" s="1581"/>
      <c r="B9" s="1642"/>
      <c r="C9" s="1627">
        <v>1</v>
      </c>
      <c r="D9" s="1672">
        <f>'1_入力シート【基本情報】'!$BK$4</f>
        <v>0</v>
      </c>
      <c r="E9" s="1672" t="str">
        <f t="shared" si="0"/>
        <v>0</v>
      </c>
      <c r="F9" s="1672" t="str">
        <f t="shared" si="1"/>
        <v>0</v>
      </c>
      <c r="G9" s="1672" t="str">
        <f t="shared" si="2"/>
        <v>0</v>
      </c>
      <c r="H9" s="1628"/>
      <c r="I9" s="1644"/>
      <c r="J9" s="1531"/>
      <c r="K9" s="1627"/>
      <c r="L9" s="1627"/>
      <c r="M9" s="1627"/>
      <c r="N9" s="1627"/>
      <c r="O9" s="1627"/>
      <c r="P9" s="1627"/>
      <c r="Q9" s="1627"/>
      <c r="R9" s="1627"/>
      <c r="S9" s="1627"/>
      <c r="T9" s="1627"/>
      <c r="U9" s="1630" t="s">
        <v>1296</v>
      </c>
      <c r="V9" s="1631" t="s">
        <v>1316</v>
      </c>
      <c r="W9" s="1632" t="s">
        <v>1306</v>
      </c>
      <c r="X9" s="1639" t="s">
        <v>348</v>
      </c>
      <c r="Y9" s="1633"/>
      <c r="Z9" s="1640"/>
      <c r="AA9" s="1633"/>
      <c r="AB9" s="1631"/>
      <c r="AC9" s="1634"/>
      <c r="AD9" s="1635"/>
      <c r="AE9" s="1636"/>
      <c r="AF9" s="1636"/>
      <c r="AG9" s="1637" t="str">
        <f t="shared" si="4"/>
        <v>0報告日-月</v>
      </c>
      <c r="AH9" s="1637"/>
      <c r="AI9" s="1636"/>
      <c r="AJ9" s="1636"/>
      <c r="AK9" s="1636"/>
      <c r="AL9" s="1637"/>
      <c r="AM9" s="1637"/>
      <c r="AN9" s="1637"/>
      <c r="AO9" s="1637"/>
    </row>
    <row r="10" spans="1:41" s="1624" customFormat="1" ht="18.75" customHeight="1" x14ac:dyDescent="0.15">
      <c r="A10" s="1581"/>
      <c r="B10" s="1642"/>
      <c r="C10" s="1627">
        <v>1</v>
      </c>
      <c r="D10" s="1672">
        <f>'1_入力シート【基本情報】'!$BP$4</f>
        <v>0</v>
      </c>
      <c r="E10" s="1672" t="str">
        <f t="shared" si="0"/>
        <v>0</v>
      </c>
      <c r="F10" s="1672" t="str">
        <f t="shared" si="1"/>
        <v>0</v>
      </c>
      <c r="G10" s="1672" t="str">
        <f t="shared" si="2"/>
        <v>0</v>
      </c>
      <c r="H10" s="1628"/>
      <c r="I10" s="1644"/>
      <c r="J10" s="1531"/>
      <c r="K10" s="1627"/>
      <c r="L10" s="1627"/>
      <c r="M10" s="1627"/>
      <c r="N10" s="1627"/>
      <c r="O10" s="1627"/>
      <c r="P10" s="1627"/>
      <c r="Q10" s="1627"/>
      <c r="R10" s="1627"/>
      <c r="S10" s="1627"/>
      <c r="T10" s="1627"/>
      <c r="U10" s="1630" t="s">
        <v>1296</v>
      </c>
      <c r="V10" s="1631" t="s">
        <v>1316</v>
      </c>
      <c r="W10" s="1632" t="s">
        <v>1306</v>
      </c>
      <c r="X10" s="1643" t="s">
        <v>164</v>
      </c>
      <c r="Y10" s="1633"/>
      <c r="Z10" s="1640"/>
      <c r="AA10" s="1633"/>
      <c r="AB10" s="1631"/>
      <c r="AC10" s="1634"/>
      <c r="AD10" s="1635"/>
      <c r="AE10" s="1636"/>
      <c r="AF10" s="1636"/>
      <c r="AG10" s="1637" t="str">
        <f t="shared" si="4"/>
        <v>0報告日-日</v>
      </c>
      <c r="AH10" s="1637"/>
      <c r="AI10" s="1636"/>
      <c r="AJ10" s="1636"/>
      <c r="AK10" s="1636"/>
      <c r="AL10" s="1637"/>
      <c r="AM10" s="1637"/>
      <c r="AN10" s="1637"/>
      <c r="AO10" s="1637"/>
    </row>
    <row r="11" spans="1:41" ht="18.75" customHeight="1" x14ac:dyDescent="0.15">
      <c r="A11" s="1579"/>
      <c r="B11" s="1468"/>
      <c r="C11" s="1462">
        <v>1</v>
      </c>
      <c r="D11" s="1483">
        <f>'1_入力シート【基本情報】'!$AB$7</f>
        <v>0</v>
      </c>
      <c r="E11" s="1671" t="str">
        <f t="shared" si="0"/>
        <v>0</v>
      </c>
      <c r="F11" s="1650" t="str">
        <f t="shared" si="1"/>
        <v>0</v>
      </c>
      <c r="G11" s="1650" t="str">
        <f t="shared" si="2"/>
        <v>0</v>
      </c>
      <c r="H11" s="1468" t="s">
        <v>2805</v>
      </c>
      <c r="I11" s="1660"/>
      <c r="J11" s="1530"/>
      <c r="K11" s="1462" t="s">
        <v>2929</v>
      </c>
      <c r="L11" s="1462"/>
      <c r="M11" s="1493"/>
      <c r="N11" s="1462"/>
      <c r="O11" s="1462"/>
      <c r="P11" s="1462"/>
      <c r="Q11" s="1462"/>
      <c r="R11" s="1462"/>
      <c r="S11" s="1462" t="str">
        <f t="shared" si="3"/>
        <v>ID用途記号</v>
      </c>
      <c r="T11" s="1462"/>
      <c r="U11" s="1469">
        <v>1</v>
      </c>
      <c r="V11" s="1470" t="s">
        <v>1317</v>
      </c>
      <c r="W11" s="1471" t="s">
        <v>1306</v>
      </c>
      <c r="X11" s="1472" t="s">
        <v>1318</v>
      </c>
      <c r="Y11" s="1473" t="s">
        <v>1306</v>
      </c>
      <c r="Z11" s="1474" t="s">
        <v>1297</v>
      </c>
      <c r="AA11" s="1473"/>
      <c r="AB11" s="1470"/>
      <c r="AC11" s="1475"/>
      <c r="AD11" s="1476"/>
      <c r="AE11" s="1477"/>
      <c r="AF11" s="1477"/>
      <c r="AG11" s="1457" t="str">
        <f t="shared" si="4"/>
        <v>1報告対象建築物-ID-1</v>
      </c>
      <c r="AI11" s="1459"/>
      <c r="AJ11" s="1459"/>
      <c r="AK11" s="1459"/>
    </row>
    <row r="12" spans="1:41" ht="18.75" customHeight="1" x14ac:dyDescent="0.15">
      <c r="A12" s="1579"/>
      <c r="B12" s="1468"/>
      <c r="C12" s="1462">
        <v>1</v>
      </c>
      <c r="D12" s="1483">
        <f>'1_入力シート【基本情報】'!$AK$7</f>
        <v>0</v>
      </c>
      <c r="E12" s="1671" t="str">
        <f t="shared" si="0"/>
        <v>0</v>
      </c>
      <c r="F12" s="1650" t="str">
        <f t="shared" si="1"/>
        <v>0</v>
      </c>
      <c r="G12" s="1650" t="str">
        <f t="shared" si="2"/>
        <v>0</v>
      </c>
      <c r="H12" s="1468" t="s">
        <v>2805</v>
      </c>
      <c r="I12" s="1660"/>
      <c r="J12" s="1530"/>
      <c r="K12" s="1462" t="s">
        <v>2930</v>
      </c>
      <c r="L12" s="1462"/>
      <c r="M12" s="1493"/>
      <c r="N12" s="1462"/>
      <c r="O12" s="1462"/>
      <c r="P12" s="1462"/>
      <c r="Q12" s="1462"/>
      <c r="R12" s="1462"/>
      <c r="S12" s="1462" t="str">
        <f t="shared" si="3"/>
        <v>ID種別番号</v>
      </c>
      <c r="T12" s="1462"/>
      <c r="U12" s="1469">
        <v>1</v>
      </c>
      <c r="V12" s="1470" t="s">
        <v>1317</v>
      </c>
      <c r="W12" s="1471" t="s">
        <v>1306</v>
      </c>
      <c r="X12" s="1472" t="s">
        <v>1318</v>
      </c>
      <c r="Y12" s="1473" t="s">
        <v>1306</v>
      </c>
      <c r="Z12" s="1474" t="s">
        <v>1298</v>
      </c>
      <c r="AA12" s="1473"/>
      <c r="AB12" s="1470"/>
      <c r="AC12" s="1475"/>
      <c r="AD12" s="1476"/>
      <c r="AE12" s="1477"/>
      <c r="AF12" s="1477"/>
      <c r="AG12" s="1457" t="str">
        <f t="shared" si="4"/>
        <v>1報告対象建築物-ID-2</v>
      </c>
      <c r="AI12" s="1459"/>
      <c r="AJ12" s="1459"/>
      <c r="AK12" s="1459"/>
    </row>
    <row r="13" spans="1:41" ht="18.75" customHeight="1" x14ac:dyDescent="0.15">
      <c r="A13" s="1581"/>
      <c r="B13" s="1480"/>
      <c r="C13" s="1462">
        <v>2</v>
      </c>
      <c r="D13" s="1650" t="str">
        <f>'1_入力シート【基本情報】'!$DN$7</f>
        <v>0000</v>
      </c>
      <c r="E13" s="1671" t="str">
        <f t="shared" si="0"/>
        <v>0000</v>
      </c>
      <c r="F13" s="1650" t="str">
        <f t="shared" si="1"/>
        <v>0000</v>
      </c>
      <c r="G13" s="1650" t="str">
        <f t="shared" si="2"/>
        <v>0000</v>
      </c>
      <c r="H13" s="1468" t="s">
        <v>3083</v>
      </c>
      <c r="I13" s="1660"/>
      <c r="J13" s="1531"/>
      <c r="K13" s="1462" t="s">
        <v>2931</v>
      </c>
      <c r="L13" s="1462"/>
      <c r="M13" s="1493"/>
      <c r="N13" s="1462"/>
      <c r="O13" s="1462"/>
      <c r="P13" s="1462"/>
      <c r="Q13" s="1462"/>
      <c r="R13" s="1462"/>
      <c r="S13" s="1462" t="str">
        <f t="shared" si="3"/>
        <v>建物ID</v>
      </c>
      <c r="T13" s="1462"/>
      <c r="U13" s="1469">
        <v>1</v>
      </c>
      <c r="V13" s="1470" t="s">
        <v>1317</v>
      </c>
      <c r="W13" s="1471" t="s">
        <v>1306</v>
      </c>
      <c r="X13" s="1472" t="s">
        <v>1318</v>
      </c>
      <c r="Y13" s="1473" t="s">
        <v>1306</v>
      </c>
      <c r="Z13" s="1474" t="s">
        <v>1299</v>
      </c>
      <c r="AA13" s="1473"/>
      <c r="AB13" s="1470"/>
      <c r="AC13" s="1475"/>
      <c r="AD13" s="1476"/>
      <c r="AE13" s="1477"/>
      <c r="AF13" s="1477"/>
      <c r="AG13" s="1457" t="str">
        <f t="shared" si="4"/>
        <v>1報告対象建築物-ID-3</v>
      </c>
      <c r="AI13" s="1459"/>
      <c r="AJ13" s="1459"/>
      <c r="AK13" s="1459"/>
    </row>
    <row r="14" spans="1:41" ht="18.75" customHeight="1" x14ac:dyDescent="0.15">
      <c r="A14" s="1582"/>
      <c r="B14" s="1448"/>
      <c r="C14" s="1451">
        <v>1</v>
      </c>
      <c r="D14" s="1483">
        <f>'1_入力シート【基本情報】'!$AB$9</f>
        <v>0</v>
      </c>
      <c r="E14" s="1650">
        <f>D14</f>
        <v>0</v>
      </c>
      <c r="F14" s="1650" t="str">
        <f t="shared" si="1"/>
        <v>0</v>
      </c>
      <c r="G14" s="1669" t="str">
        <f>TRIM(F14)</f>
        <v>0</v>
      </c>
      <c r="I14" s="1661"/>
      <c r="J14" s="1532"/>
      <c r="K14" s="1451" t="s">
        <v>244</v>
      </c>
      <c r="L14" s="1462"/>
      <c r="S14" s="1462" t="str">
        <f t="shared" si="3"/>
        <v>建物名称</v>
      </c>
      <c r="T14" s="1462"/>
      <c r="U14" s="1469">
        <v>1</v>
      </c>
      <c r="V14" s="1470" t="s">
        <v>1317</v>
      </c>
      <c r="W14" s="1471" t="s">
        <v>1306</v>
      </c>
      <c r="X14" s="1472" t="s">
        <v>1319</v>
      </c>
      <c r="Y14" s="1473" t="s">
        <v>1306</v>
      </c>
      <c r="Z14" s="1474" t="s">
        <v>1319</v>
      </c>
      <c r="AA14" s="1473"/>
      <c r="AB14" s="1470"/>
      <c r="AC14" s="1475"/>
      <c r="AD14" s="1476"/>
      <c r="AE14" s="1477"/>
      <c r="AF14" s="1477"/>
      <c r="AG14" s="1457" t="str">
        <f t="shared" si="4"/>
        <v>1報告対象建築物-建築名称-建築名称</v>
      </c>
      <c r="AI14" s="1459"/>
      <c r="AJ14" s="1459"/>
      <c r="AK14" s="1459"/>
    </row>
    <row r="15" spans="1:41" ht="18.75" customHeight="1" x14ac:dyDescent="0.15">
      <c r="A15" s="1579"/>
      <c r="B15" s="1468"/>
      <c r="C15" s="1462">
        <v>1</v>
      </c>
      <c r="D15" s="1483">
        <f>'1_入力シート【基本情報】'!$AB$12</f>
        <v>0</v>
      </c>
      <c r="E15" s="1650">
        <f t="shared" ref="E15:E33" si="5">D15</f>
        <v>0</v>
      </c>
      <c r="F15" s="1650" t="str">
        <f t="shared" si="1"/>
        <v>0</v>
      </c>
      <c r="G15" s="1650" t="str">
        <f t="shared" si="2"/>
        <v>0</v>
      </c>
      <c r="H15" s="1468" t="s">
        <v>2805</v>
      </c>
      <c r="I15" s="1660"/>
      <c r="J15" s="1530"/>
      <c r="K15" s="1462" t="s">
        <v>2932</v>
      </c>
      <c r="L15" s="1462" t="s">
        <v>1307</v>
      </c>
      <c r="M15" s="1493" t="s">
        <v>2933</v>
      </c>
      <c r="N15" s="1462"/>
      <c r="O15" s="1462"/>
      <c r="P15" s="1462"/>
      <c r="Q15" s="1462"/>
      <c r="R15" s="1462"/>
      <c r="S15" s="1462" t="str">
        <f t="shared" si="3"/>
        <v>建物所在地_区</v>
      </c>
      <c r="T15" s="1462"/>
      <c r="U15" s="1469">
        <v>1</v>
      </c>
      <c r="V15" s="1470" t="s">
        <v>1317</v>
      </c>
      <c r="W15" s="1471" t="s">
        <v>1306</v>
      </c>
      <c r="X15" s="1472" t="s">
        <v>1320</v>
      </c>
      <c r="Y15" s="1473" t="s">
        <v>1306</v>
      </c>
      <c r="Z15" s="1474" t="s">
        <v>1321</v>
      </c>
      <c r="AA15" s="1473"/>
      <c r="AB15" s="1470"/>
      <c r="AC15" s="1475"/>
      <c r="AD15" s="1476"/>
      <c r="AE15" s="1477"/>
      <c r="AF15" s="1477"/>
      <c r="AG15" s="1457" t="str">
        <f t="shared" si="4"/>
        <v>1報告対象建築物-建物所在地-区町村</v>
      </c>
      <c r="AI15" s="1459"/>
      <c r="AJ15" s="1459"/>
      <c r="AK15" s="1459"/>
    </row>
    <row r="16" spans="1:41" ht="18.75" customHeight="1" x14ac:dyDescent="0.15">
      <c r="A16" s="1579"/>
      <c r="B16" s="1536" t="s">
        <v>2928</v>
      </c>
      <c r="C16" s="1462">
        <v>2</v>
      </c>
      <c r="D16" s="1483" t="str">
        <f>'1_入力シート【基本情報】'!$DN$12</f>
        <v/>
      </c>
      <c r="E16" s="1650" t="str">
        <f t="shared" ref="E16" si="6">D16</f>
        <v/>
      </c>
      <c r="F16" s="1650" t="str">
        <f t="shared" ref="F16" si="7">SUBSTITUTE(E16,CHAR(10),"")</f>
        <v/>
      </c>
      <c r="G16" s="1650" t="str">
        <f t="shared" ref="G16" si="8">TRIM(F16)</f>
        <v/>
      </c>
      <c r="H16" s="1468"/>
      <c r="I16" s="1660"/>
      <c r="J16" s="1530"/>
      <c r="K16" s="1462" t="s">
        <v>2932</v>
      </c>
      <c r="L16" s="1462" t="s">
        <v>1307</v>
      </c>
      <c r="M16" s="1493" t="s">
        <v>3334</v>
      </c>
      <c r="N16" s="1462"/>
      <c r="O16" s="1462"/>
      <c r="P16" s="1462"/>
      <c r="Q16" s="1462"/>
      <c r="R16" s="1462"/>
      <c r="S16" s="1462" t="str">
        <f t="shared" ref="S16" si="9">CONCATENATE(K16,L16,M16,N16,O16,P16,Q16)</f>
        <v>建物所在地_区以降</v>
      </c>
      <c r="T16" s="1462"/>
      <c r="U16" s="1469">
        <v>1</v>
      </c>
      <c r="V16" s="1470" t="s">
        <v>1317</v>
      </c>
      <c r="W16" s="1471" t="s">
        <v>1306</v>
      </c>
      <c r="X16" s="1472" t="s">
        <v>1320</v>
      </c>
      <c r="Y16" s="1473" t="s">
        <v>1306</v>
      </c>
      <c r="Z16" s="1474" t="s">
        <v>3334</v>
      </c>
      <c r="AA16" s="1473"/>
      <c r="AB16" s="1470"/>
      <c r="AC16" s="1475"/>
      <c r="AD16" s="1476"/>
      <c r="AE16" s="1477"/>
      <c r="AF16" s="1477"/>
      <c r="AG16" s="1457" t="str">
        <f t="shared" ref="AG16" si="10">CONCATENATE(U16,V16,W16,X16,Y16,Z16,AA16,AB16,AC16,AD16)</f>
        <v>1報告対象建築物-建物所在地-区以降</v>
      </c>
      <c r="AI16" s="1459"/>
      <c r="AJ16" s="1459"/>
      <c r="AK16" s="1459"/>
    </row>
    <row r="17" spans="1:41" s="1624" customFormat="1" ht="18.75" customHeight="1" x14ac:dyDescent="0.15">
      <c r="A17" s="1642"/>
      <c r="B17" s="1642"/>
      <c r="C17" s="1627">
        <v>1</v>
      </c>
      <c r="D17" s="1705">
        <f>'1_入力シート【基本情報】'!$AB$13</f>
        <v>0</v>
      </c>
      <c r="E17" s="1672">
        <f t="shared" si="5"/>
        <v>0</v>
      </c>
      <c r="F17" s="1672" t="str">
        <f t="shared" si="1"/>
        <v>0</v>
      </c>
      <c r="G17" s="1672" t="str">
        <f>TRIM(F17)</f>
        <v>0</v>
      </c>
      <c r="H17" s="1628"/>
      <c r="I17" s="1660"/>
      <c r="J17" s="1530"/>
      <c r="K17" s="1627" t="s">
        <v>2932</v>
      </c>
      <c r="L17" s="1627" t="s">
        <v>1307</v>
      </c>
      <c r="M17" s="1629" t="s">
        <v>2934</v>
      </c>
      <c r="N17" s="1627"/>
      <c r="O17" s="1627"/>
      <c r="P17" s="1627"/>
      <c r="Q17" s="1627"/>
      <c r="R17" s="1627"/>
      <c r="S17" s="1627" t="str">
        <f t="shared" si="3"/>
        <v>建物所在地_区以降1</v>
      </c>
      <c r="T17" s="1627"/>
      <c r="U17" s="1630">
        <v>1</v>
      </c>
      <c r="V17" s="1631" t="s">
        <v>1317</v>
      </c>
      <c r="W17" s="1632" t="s">
        <v>1306</v>
      </c>
      <c r="X17" s="1639" t="s">
        <v>1320</v>
      </c>
      <c r="Y17" s="1633" t="s">
        <v>1306</v>
      </c>
      <c r="Z17" s="1640" t="s">
        <v>313</v>
      </c>
      <c r="AA17" s="1633"/>
      <c r="AB17" s="1631"/>
      <c r="AC17" s="1634"/>
      <c r="AD17" s="1635"/>
      <c r="AE17" s="1636"/>
      <c r="AF17" s="1636"/>
      <c r="AG17" s="1637" t="str">
        <f t="shared" si="4"/>
        <v>1報告対象建築物-建物所在地-大字・町名</v>
      </c>
      <c r="AH17" s="1637"/>
      <c r="AI17" s="1636"/>
      <c r="AJ17" s="1636"/>
      <c r="AK17" s="1636"/>
      <c r="AL17" s="1637"/>
      <c r="AM17" s="1637"/>
      <c r="AN17" s="1637"/>
      <c r="AO17" s="1637"/>
    </row>
    <row r="18" spans="1:41" s="1624" customFormat="1" ht="18.75" customHeight="1" x14ac:dyDescent="0.15">
      <c r="A18" s="1642"/>
      <c r="B18" s="1642"/>
      <c r="C18" s="1627">
        <v>1</v>
      </c>
      <c r="D18" s="1705">
        <f>'1_入力シート【基本情報】'!$AB$14</f>
        <v>0</v>
      </c>
      <c r="E18" s="1672">
        <f t="shared" si="5"/>
        <v>0</v>
      </c>
      <c r="F18" s="1672" t="str">
        <f t="shared" si="1"/>
        <v>0</v>
      </c>
      <c r="G18" s="1672" t="str">
        <f>TRIM(F18)</f>
        <v>0</v>
      </c>
      <c r="H18" s="1628"/>
      <c r="I18" s="1660"/>
      <c r="J18" s="1530"/>
      <c r="K18" s="1627" t="s">
        <v>2932</v>
      </c>
      <c r="L18" s="1627" t="s">
        <v>1307</v>
      </c>
      <c r="M18" s="1629" t="s">
        <v>2935</v>
      </c>
      <c r="N18" s="1627"/>
      <c r="O18" s="1627"/>
      <c r="P18" s="1627"/>
      <c r="Q18" s="1627"/>
      <c r="R18" s="1627"/>
      <c r="S18" s="1627" t="str">
        <f t="shared" si="3"/>
        <v>建物所在地_区以降2</v>
      </c>
      <c r="T18" s="1627"/>
      <c r="U18" s="1630">
        <v>1</v>
      </c>
      <c r="V18" s="1631" t="s">
        <v>1317</v>
      </c>
      <c r="W18" s="1632" t="s">
        <v>1306</v>
      </c>
      <c r="X18" s="1639" t="s">
        <v>1320</v>
      </c>
      <c r="Y18" s="1633" t="s">
        <v>1306</v>
      </c>
      <c r="Z18" s="1640" t="s">
        <v>663</v>
      </c>
      <c r="AA18" s="1633"/>
      <c r="AB18" s="1631"/>
      <c r="AC18" s="1634"/>
      <c r="AD18" s="1635"/>
      <c r="AE18" s="1636"/>
      <c r="AF18" s="1636"/>
      <c r="AG18" s="1637" t="str">
        <f t="shared" si="4"/>
        <v>1報告対象建築物-建物所在地-番地など</v>
      </c>
      <c r="AH18" s="1637"/>
      <c r="AI18" s="1636"/>
      <c r="AJ18" s="1636"/>
      <c r="AK18" s="1636"/>
      <c r="AL18" s="1637"/>
      <c r="AM18" s="1637"/>
      <c r="AN18" s="1637"/>
      <c r="AO18" s="1637"/>
    </row>
    <row r="19" spans="1:41" ht="18.75" customHeight="1" x14ac:dyDescent="0.15">
      <c r="A19" s="1581"/>
      <c r="B19" s="1665"/>
      <c r="C19" s="1462">
        <v>2</v>
      </c>
      <c r="D19" s="1650" t="str">
        <f>'1_入力シート【基本情報】'!$DW$18</f>
        <v/>
      </c>
      <c r="E19" s="1650" t="str">
        <f t="shared" si="5"/>
        <v/>
      </c>
      <c r="F19" s="1650" t="str">
        <f t="shared" si="1"/>
        <v/>
      </c>
      <c r="G19" s="1650" t="str">
        <f t="shared" ref="G19:G33" si="11">TRIM(F19)</f>
        <v/>
      </c>
      <c r="H19" s="1482"/>
      <c r="I19" s="1644"/>
      <c r="J19" s="1531"/>
      <c r="K19" s="1462" t="s">
        <v>2937</v>
      </c>
      <c r="L19" s="1462" t="s">
        <v>1307</v>
      </c>
      <c r="M19" s="1493" t="s">
        <v>2893</v>
      </c>
      <c r="N19" s="1462"/>
      <c r="O19" s="1462"/>
      <c r="P19" s="1462"/>
      <c r="Q19" s="1462"/>
      <c r="R19" s="1462"/>
      <c r="S19" s="1462" t="str">
        <f t="shared" si="3"/>
        <v>報告書作成者_法人名</v>
      </c>
      <c r="T19" s="1462"/>
      <c r="U19" s="1469" t="s">
        <v>1298</v>
      </c>
      <c r="V19" s="1470" t="s">
        <v>1322</v>
      </c>
      <c r="W19" s="1471" t="s">
        <v>1306</v>
      </c>
      <c r="X19" s="1472" t="s">
        <v>1323</v>
      </c>
      <c r="Y19" s="1473" t="s">
        <v>1306</v>
      </c>
      <c r="Z19" s="1484" t="s">
        <v>315</v>
      </c>
      <c r="AA19" s="1485"/>
      <c r="AB19" s="1486"/>
      <c r="AC19" s="1475"/>
      <c r="AD19" s="1476"/>
      <c r="AE19" s="1477"/>
      <c r="AF19" s="1477"/>
      <c r="AG19" s="1457" t="str">
        <f t="shared" si="4"/>
        <v>2報告内容に関する問合せ先-法人名-法人名</v>
      </c>
      <c r="AI19" s="1459"/>
      <c r="AJ19" s="1459"/>
      <c r="AK19" s="1459"/>
    </row>
    <row r="20" spans="1:41" ht="18.75" customHeight="1" x14ac:dyDescent="0.15">
      <c r="A20" s="1581"/>
      <c r="B20" s="1665"/>
      <c r="C20" s="1462">
        <v>2</v>
      </c>
      <c r="D20" s="1650" t="str">
        <f>'1_入力シート【基本情報】'!$DW$22</f>
        <v/>
      </c>
      <c r="E20" s="1650" t="str">
        <f t="shared" si="5"/>
        <v/>
      </c>
      <c r="F20" s="1650" t="str">
        <f t="shared" si="1"/>
        <v/>
      </c>
      <c r="G20" s="1650" t="str">
        <f t="shared" si="11"/>
        <v/>
      </c>
      <c r="H20" s="1468"/>
      <c r="I20" s="1644"/>
      <c r="J20" s="1531"/>
      <c r="K20" s="1462" t="s">
        <v>2937</v>
      </c>
      <c r="L20" s="1462" t="s">
        <v>1307</v>
      </c>
      <c r="M20" s="1493" t="s">
        <v>1325</v>
      </c>
      <c r="N20" s="1462"/>
      <c r="O20" s="1462"/>
      <c r="P20" s="1462"/>
      <c r="Q20" s="1462"/>
      <c r="R20" s="1462"/>
      <c r="S20" s="1462" t="str">
        <f t="shared" si="3"/>
        <v>報告書作成者_氏名</v>
      </c>
      <c r="T20" s="1462"/>
      <c r="U20" s="1469" t="s">
        <v>1298</v>
      </c>
      <c r="V20" s="1470" t="s">
        <v>1322</v>
      </c>
      <c r="W20" s="1471" t="s">
        <v>1306</v>
      </c>
      <c r="X20" s="1472" t="s">
        <v>1325</v>
      </c>
      <c r="Y20" s="1473" t="s">
        <v>1306</v>
      </c>
      <c r="Z20" s="1484" t="s">
        <v>318</v>
      </c>
      <c r="AA20" s="1485"/>
      <c r="AB20" s="1486"/>
      <c r="AC20" s="1475"/>
      <c r="AD20" s="1476"/>
      <c r="AE20" s="1477"/>
      <c r="AF20" s="1477"/>
      <c r="AG20" s="1457" t="str">
        <f t="shared" si="4"/>
        <v>2報告内容に関する問合せ先-氏名-氏名</v>
      </c>
      <c r="AI20" s="1459"/>
      <c r="AJ20" s="1459"/>
      <c r="AK20" s="1459"/>
    </row>
    <row r="21" spans="1:41" s="1624" customFormat="1" ht="18.75" customHeight="1" x14ac:dyDescent="0.15">
      <c r="A21" s="1763"/>
      <c r="B21" s="1651"/>
      <c r="C21" s="1652">
        <v>2</v>
      </c>
      <c r="D21" s="1672" t="str">
        <f>'1_入力シート【基本情報】'!DW23</f>
        <v/>
      </c>
      <c r="E21" s="1672" t="str">
        <f t="shared" ref="E21:E22" si="12">D21</f>
        <v/>
      </c>
      <c r="F21" s="1672" t="str">
        <f t="shared" ref="F21:F22" si="13">SUBSTITUTE(E21,CHAR(10),"")</f>
        <v/>
      </c>
      <c r="G21" s="1672" t="str">
        <f t="shared" ref="G21:G22" si="14">TRIM(F21)</f>
        <v/>
      </c>
      <c r="H21" s="1653"/>
      <c r="I21" s="1657"/>
      <c r="J21" s="1533"/>
      <c r="K21" s="1652"/>
      <c r="L21" s="1652"/>
      <c r="M21" s="1629"/>
      <c r="N21" s="1652"/>
      <c r="O21" s="1652"/>
      <c r="P21" s="1652"/>
      <c r="Q21" s="1652"/>
      <c r="R21" s="1652"/>
      <c r="S21" s="1652" t="str">
        <f t="shared" si="3"/>
        <v/>
      </c>
      <c r="T21" s="1652"/>
      <c r="U21" s="1630" t="s">
        <v>1298</v>
      </c>
      <c r="V21" s="1631" t="s">
        <v>1322</v>
      </c>
      <c r="W21" s="1632" t="s">
        <v>1306</v>
      </c>
      <c r="X21" s="1643" t="s">
        <v>1326</v>
      </c>
      <c r="Y21" s="1633"/>
      <c r="Z21" s="1654"/>
      <c r="AA21" s="1655"/>
      <c r="AB21" s="1656"/>
      <c r="AC21" s="1634"/>
      <c r="AD21" s="1635"/>
      <c r="AE21" s="1636"/>
      <c r="AF21" s="1636"/>
      <c r="AG21" s="1637" t="str">
        <f t="shared" si="4"/>
        <v>2報告内容に関する問合せ先-郵便番号</v>
      </c>
      <c r="AH21" s="1637"/>
      <c r="AI21" s="1636"/>
      <c r="AJ21" s="1636"/>
      <c r="AK21" s="1636"/>
      <c r="AL21" s="1637"/>
      <c r="AM21" s="1637"/>
      <c r="AN21" s="1637"/>
      <c r="AO21" s="1637"/>
    </row>
    <row r="22" spans="1:41" s="1624" customFormat="1" ht="18.75" customHeight="1" x14ac:dyDescent="0.15">
      <c r="A22" s="1583"/>
      <c r="B22" s="1652"/>
      <c r="C22" s="1652">
        <v>2</v>
      </c>
      <c r="D22" s="1672" t="str">
        <f>'1_入力シート【基本情報】'!DW24</f>
        <v/>
      </c>
      <c r="E22" s="1672" t="str">
        <f t="shared" si="12"/>
        <v/>
      </c>
      <c r="F22" s="1672" t="str">
        <f t="shared" si="13"/>
        <v/>
      </c>
      <c r="G22" s="1672" t="str">
        <f t="shared" si="14"/>
        <v/>
      </c>
      <c r="H22" s="1653"/>
      <c r="I22" s="1657"/>
      <c r="J22" s="1533"/>
      <c r="K22" s="1652"/>
      <c r="L22" s="1652"/>
      <c r="M22" s="1629"/>
      <c r="N22" s="1652"/>
      <c r="O22" s="1652"/>
      <c r="P22" s="1652"/>
      <c r="Q22" s="1652"/>
      <c r="R22" s="1652"/>
      <c r="S22" s="1652" t="str">
        <f t="shared" si="3"/>
        <v/>
      </c>
      <c r="T22" s="1652"/>
      <c r="U22" s="1630" t="s">
        <v>1298</v>
      </c>
      <c r="V22" s="1631" t="s">
        <v>1322</v>
      </c>
      <c r="W22" s="1632" t="s">
        <v>1306</v>
      </c>
      <c r="X22" s="1643" t="s">
        <v>222</v>
      </c>
      <c r="Y22" s="1633"/>
      <c r="Z22" s="1654"/>
      <c r="AA22" s="1655"/>
      <c r="AB22" s="1656"/>
      <c r="AC22" s="1634"/>
      <c r="AD22" s="1635"/>
      <c r="AE22" s="1636"/>
      <c r="AF22" s="1636"/>
      <c r="AG22" s="1637" t="str">
        <f t="shared" si="4"/>
        <v>2報告内容に関する問合せ先-住所</v>
      </c>
      <c r="AH22" s="1637"/>
      <c r="AI22" s="1636"/>
      <c r="AJ22" s="1636"/>
      <c r="AK22" s="1636"/>
      <c r="AL22" s="1637"/>
      <c r="AM22" s="1637"/>
      <c r="AN22" s="1637"/>
      <c r="AO22" s="1637"/>
    </row>
    <row r="23" spans="1:41" ht="18.75" customHeight="1" x14ac:dyDescent="0.15">
      <c r="A23" s="1583"/>
      <c r="B23" s="1665"/>
      <c r="C23" s="1488">
        <v>2</v>
      </c>
      <c r="D23" s="1650" t="str">
        <f>'1_入力シート【基本情報】'!$DW$25</f>
        <v/>
      </c>
      <c r="E23" s="1650" t="str">
        <f t="shared" si="5"/>
        <v/>
      </c>
      <c r="F23" s="1650" t="str">
        <f t="shared" si="1"/>
        <v/>
      </c>
      <c r="G23" s="1650" t="str">
        <f t="shared" si="11"/>
        <v/>
      </c>
      <c r="H23" s="1540"/>
      <c r="I23" s="1657"/>
      <c r="J23" s="1533"/>
      <c r="K23" s="1462" t="s">
        <v>2937</v>
      </c>
      <c r="L23" s="1462" t="s">
        <v>1307</v>
      </c>
      <c r="M23" s="1493" t="s">
        <v>1327</v>
      </c>
      <c r="N23" s="1488"/>
      <c r="O23" s="1488"/>
      <c r="P23" s="1488"/>
      <c r="Q23" s="1488"/>
      <c r="R23" s="1488"/>
      <c r="S23" s="1462" t="str">
        <f t="shared" si="3"/>
        <v>報告書作成者_電話番号</v>
      </c>
      <c r="T23" s="1488"/>
      <c r="U23" s="1469" t="s">
        <v>1298</v>
      </c>
      <c r="V23" s="1470" t="s">
        <v>1322</v>
      </c>
      <c r="W23" s="1471" t="s">
        <v>1306</v>
      </c>
      <c r="X23" s="1481" t="s">
        <v>1327</v>
      </c>
      <c r="Y23" s="1473"/>
      <c r="Z23" s="1484"/>
      <c r="AA23" s="1485"/>
      <c r="AB23" s="1487"/>
      <c r="AC23" s="1475"/>
      <c r="AD23" s="1476"/>
      <c r="AE23" s="1477"/>
      <c r="AF23" s="1477"/>
      <c r="AG23" s="1457" t="str">
        <f t="shared" si="4"/>
        <v>2報告内容に関する問合せ先-電話番号</v>
      </c>
      <c r="AI23" s="1459"/>
      <c r="AJ23" s="1459"/>
      <c r="AK23" s="1459"/>
    </row>
    <row r="24" spans="1:41" s="1457" customFormat="1" ht="18.75" customHeight="1" x14ac:dyDescent="0.15">
      <c r="A24" s="1578"/>
      <c r="B24" s="1478"/>
      <c r="C24" s="1462">
        <v>1</v>
      </c>
      <c r="D24" s="1483">
        <f>'1_入力シート【基本情報】'!$AB$27</f>
        <v>0</v>
      </c>
      <c r="E24" s="1650">
        <f t="shared" si="5"/>
        <v>0</v>
      </c>
      <c r="F24" s="1650" t="str">
        <f t="shared" si="1"/>
        <v>0</v>
      </c>
      <c r="G24" s="1650" t="str">
        <f t="shared" si="11"/>
        <v>0</v>
      </c>
      <c r="H24" s="1468"/>
      <c r="I24" s="1644"/>
      <c r="J24" s="1531"/>
      <c r="K24" s="1462" t="s">
        <v>2937</v>
      </c>
      <c r="L24" s="1462" t="s">
        <v>1307</v>
      </c>
      <c r="M24" s="1493" t="s">
        <v>967</v>
      </c>
      <c r="N24" s="1462"/>
      <c r="O24" s="1462"/>
      <c r="P24" s="1462"/>
      <c r="Q24" s="1462"/>
      <c r="R24" s="1462"/>
      <c r="S24" s="1462" t="str">
        <f t="shared" si="3"/>
        <v>報告書作成者_メールアドレス（半角）</v>
      </c>
      <c r="T24" s="1462"/>
      <c r="U24" s="1469" t="s">
        <v>1298</v>
      </c>
      <c r="V24" s="1470" t="s">
        <v>1322</v>
      </c>
      <c r="W24" s="1471" t="s">
        <v>1306</v>
      </c>
      <c r="X24" s="1481" t="s">
        <v>967</v>
      </c>
      <c r="Y24" s="1473"/>
      <c r="Z24" s="1484"/>
      <c r="AA24" s="1485"/>
      <c r="AB24" s="1487"/>
      <c r="AC24" s="1475"/>
      <c r="AD24" s="1476"/>
      <c r="AE24" s="1477"/>
      <c r="AF24" s="1477"/>
      <c r="AG24" s="1457" t="str">
        <f t="shared" si="4"/>
        <v>2報告内容に関する問合せ先-メールアドレス（半角）</v>
      </c>
      <c r="AI24" s="1459"/>
      <c r="AJ24" s="1459"/>
      <c r="AK24" s="1459"/>
    </row>
    <row r="25" spans="1:41" s="1457" customFormat="1" ht="18.75" customHeight="1" x14ac:dyDescent="0.15">
      <c r="A25" s="1578"/>
      <c r="B25" s="1665"/>
      <c r="C25" s="1462">
        <v>2</v>
      </c>
      <c r="D25" s="1483" t="str">
        <f>'1_入力シート【基本情報】'!$DW$34</f>
        <v/>
      </c>
      <c r="E25" s="1650" t="str">
        <f>D25</f>
        <v/>
      </c>
      <c r="F25" s="1650" t="str">
        <f t="shared" si="1"/>
        <v/>
      </c>
      <c r="G25" s="1650" t="str">
        <f t="shared" si="11"/>
        <v/>
      </c>
      <c r="H25" s="1468"/>
      <c r="I25" s="1660"/>
      <c r="J25" s="1531"/>
      <c r="K25" s="1462" t="s">
        <v>1328</v>
      </c>
      <c r="L25" s="1462" t="s">
        <v>1307</v>
      </c>
      <c r="M25" s="1493" t="s">
        <v>2893</v>
      </c>
      <c r="N25" s="1462"/>
      <c r="O25" s="1462"/>
      <c r="P25" s="1462"/>
      <c r="Q25" s="1462"/>
      <c r="R25" s="1462"/>
      <c r="S25" s="1462" t="str">
        <f t="shared" si="3"/>
        <v>所有者_法人名</v>
      </c>
      <c r="T25" s="1462"/>
      <c r="U25" s="1469" t="s">
        <v>1299</v>
      </c>
      <c r="V25" s="1470" t="s">
        <v>1328</v>
      </c>
      <c r="W25" s="1471" t="s">
        <v>1306</v>
      </c>
      <c r="X25" s="1481" t="s">
        <v>680</v>
      </c>
      <c r="Y25" s="1473" t="s">
        <v>1306</v>
      </c>
      <c r="Z25" s="1489" t="s">
        <v>1323</v>
      </c>
      <c r="AA25" s="1490"/>
      <c r="AB25" s="1486"/>
      <c r="AC25" s="1475"/>
      <c r="AD25" s="1476"/>
      <c r="AE25" s="1477"/>
      <c r="AF25" s="1477"/>
      <c r="AG25" s="1457" t="str">
        <f t="shared" si="4"/>
        <v>3所有者-所有者氏名-法人名</v>
      </c>
      <c r="AI25" s="1459"/>
      <c r="AJ25" s="1459"/>
      <c r="AK25" s="1459"/>
    </row>
    <row r="26" spans="1:41" s="1457" customFormat="1" ht="18.75" customHeight="1" x14ac:dyDescent="0.15">
      <c r="A26" s="1578"/>
      <c r="B26" s="1665"/>
      <c r="C26" s="1462">
        <v>2</v>
      </c>
      <c r="D26" s="1483" t="str">
        <f>'1_入力シート【基本情報】'!$DW$36</f>
        <v/>
      </c>
      <c r="E26" s="1650" t="str">
        <f t="shared" si="5"/>
        <v/>
      </c>
      <c r="F26" s="1650" t="str">
        <f t="shared" si="1"/>
        <v/>
      </c>
      <c r="G26" s="1650" t="str">
        <f t="shared" si="11"/>
        <v/>
      </c>
      <c r="H26" s="1468"/>
      <c r="I26" s="1660"/>
      <c r="J26" s="1531"/>
      <c r="K26" s="1462" t="s">
        <v>1328</v>
      </c>
      <c r="L26" s="1462" t="s">
        <v>1307</v>
      </c>
      <c r="M26" s="1493" t="s">
        <v>1324</v>
      </c>
      <c r="N26" s="1462"/>
      <c r="O26" s="1462"/>
      <c r="P26" s="1462"/>
      <c r="Q26" s="1462"/>
      <c r="R26" s="1462"/>
      <c r="S26" s="1462" t="str">
        <f t="shared" si="3"/>
        <v>所有者_肩書</v>
      </c>
      <c r="T26" s="1462"/>
      <c r="U26" s="1469" t="s">
        <v>1299</v>
      </c>
      <c r="V26" s="1470" t="s">
        <v>1328</v>
      </c>
      <c r="W26" s="1471" t="s">
        <v>1306</v>
      </c>
      <c r="X26" s="1481" t="s">
        <v>680</v>
      </c>
      <c r="Y26" s="1473" t="s">
        <v>1306</v>
      </c>
      <c r="Z26" s="1474" t="s">
        <v>1324</v>
      </c>
      <c r="AA26" s="1473"/>
      <c r="AB26" s="1470"/>
      <c r="AC26" s="1475"/>
      <c r="AD26" s="1476"/>
      <c r="AE26" s="1477"/>
      <c r="AF26" s="1477"/>
      <c r="AG26" s="1457" t="str">
        <f t="shared" si="4"/>
        <v>3所有者-所有者氏名-肩書</v>
      </c>
      <c r="AI26" s="1459"/>
      <c r="AJ26" s="1459"/>
      <c r="AK26" s="1459"/>
    </row>
    <row r="27" spans="1:41" s="1457" customFormat="1" ht="18.75" customHeight="1" x14ac:dyDescent="0.15">
      <c r="A27" s="1578"/>
      <c r="B27" s="1665"/>
      <c r="C27" s="1550">
        <v>2</v>
      </c>
      <c r="D27" s="1483" t="str">
        <f>'1_入力シート【基本情報】'!$DW$38</f>
        <v/>
      </c>
      <c r="E27" s="1650" t="str">
        <f t="shared" si="5"/>
        <v/>
      </c>
      <c r="F27" s="1650" t="str">
        <f t="shared" si="1"/>
        <v/>
      </c>
      <c r="G27" s="1650" t="str">
        <f t="shared" si="11"/>
        <v/>
      </c>
      <c r="H27" s="1551"/>
      <c r="I27" s="1662"/>
      <c r="J27" s="1531"/>
      <c r="K27" s="1462" t="s">
        <v>1328</v>
      </c>
      <c r="L27" s="1462" t="s">
        <v>1307</v>
      </c>
      <c r="M27" s="1493" t="s">
        <v>1325</v>
      </c>
      <c r="N27" s="1462"/>
      <c r="O27" s="1462"/>
      <c r="P27" s="1462"/>
      <c r="Q27" s="1462"/>
      <c r="R27" s="1462"/>
      <c r="S27" s="1462" t="str">
        <f t="shared" si="3"/>
        <v>所有者_氏名</v>
      </c>
      <c r="T27" s="1462"/>
      <c r="U27" s="1469" t="s">
        <v>1299</v>
      </c>
      <c r="V27" s="1470" t="s">
        <v>1328</v>
      </c>
      <c r="W27" s="1471" t="s">
        <v>1306</v>
      </c>
      <c r="X27" s="1481" t="s">
        <v>680</v>
      </c>
      <c r="Y27" s="1473" t="s">
        <v>1306</v>
      </c>
      <c r="Z27" s="1484" t="s">
        <v>1325</v>
      </c>
      <c r="AA27" s="1485"/>
      <c r="AB27" s="1486"/>
      <c r="AC27" s="1475"/>
      <c r="AD27" s="1476"/>
      <c r="AE27" s="1477"/>
      <c r="AF27" s="1477"/>
      <c r="AG27" s="1457" t="str">
        <f t="shared" si="4"/>
        <v>3所有者-所有者氏名-氏名</v>
      </c>
      <c r="AI27" s="1459"/>
      <c r="AJ27" s="1459"/>
      <c r="AK27" s="1459"/>
    </row>
    <row r="28" spans="1:41" s="1457" customFormat="1" ht="18.75" customHeight="1" x14ac:dyDescent="0.15">
      <c r="A28" s="1578"/>
      <c r="B28" s="1665"/>
      <c r="C28" s="1550">
        <v>2</v>
      </c>
      <c r="D28" s="1650" t="str">
        <f>'1_入力シート【基本情報】'!$DN$39</f>
        <v/>
      </c>
      <c r="E28" s="1650" t="str">
        <f t="shared" si="5"/>
        <v/>
      </c>
      <c r="F28" s="1650" t="str">
        <f t="shared" si="1"/>
        <v/>
      </c>
      <c r="G28" s="1650" t="str">
        <f t="shared" si="11"/>
        <v/>
      </c>
      <c r="H28" s="1551"/>
      <c r="I28" s="1662"/>
      <c r="J28" s="1531"/>
      <c r="K28" s="1462" t="s">
        <v>1328</v>
      </c>
      <c r="L28" s="1462" t="s">
        <v>1307</v>
      </c>
      <c r="M28" s="1493" t="s">
        <v>1334</v>
      </c>
      <c r="N28" s="1462"/>
      <c r="O28" s="1462"/>
      <c r="P28" s="1462"/>
      <c r="Q28" s="1462"/>
      <c r="R28" s="1462"/>
      <c r="S28" s="1462" t="str">
        <f t="shared" si="3"/>
        <v>所有者_郵便番号</v>
      </c>
      <c r="T28" s="1462"/>
      <c r="U28" s="1469" t="s">
        <v>1299</v>
      </c>
      <c r="V28" s="1470" t="s">
        <v>1328</v>
      </c>
      <c r="W28" s="1471" t="s">
        <v>1306</v>
      </c>
      <c r="X28" s="1481" t="s">
        <v>1326</v>
      </c>
      <c r="Y28" s="1473"/>
      <c r="Z28" s="1484"/>
      <c r="AA28" s="1485"/>
      <c r="AB28" s="1486"/>
      <c r="AC28" s="1475"/>
      <c r="AD28" s="1476"/>
      <c r="AE28" s="1477"/>
      <c r="AF28" s="1477"/>
      <c r="AG28" s="1457" t="str">
        <f t="shared" si="4"/>
        <v>3所有者-郵便番号</v>
      </c>
      <c r="AI28" s="1459"/>
      <c r="AJ28" s="1459"/>
      <c r="AK28" s="1459"/>
    </row>
    <row r="29" spans="1:41" s="1457" customFormat="1" ht="18.75" customHeight="1" x14ac:dyDescent="0.15">
      <c r="A29" s="1578"/>
      <c r="B29" s="1665"/>
      <c r="C29" s="1550">
        <v>1</v>
      </c>
      <c r="D29" s="1460">
        <f>'1_入力シート【基本情報】'!$AB$40</f>
        <v>0</v>
      </c>
      <c r="E29" s="1650">
        <f t="shared" si="5"/>
        <v>0</v>
      </c>
      <c r="F29" s="1650" t="str">
        <f t="shared" si="1"/>
        <v>0</v>
      </c>
      <c r="G29" s="1650" t="str">
        <f t="shared" si="11"/>
        <v>0</v>
      </c>
      <c r="H29" s="1551"/>
      <c r="I29" s="1662"/>
      <c r="J29" s="1531"/>
      <c r="K29" s="1462" t="s">
        <v>1328</v>
      </c>
      <c r="L29" s="1462" t="s">
        <v>1307</v>
      </c>
      <c r="M29" s="1493" t="s">
        <v>222</v>
      </c>
      <c r="N29" s="1462"/>
      <c r="O29" s="1462"/>
      <c r="P29" s="1462"/>
      <c r="Q29" s="1462"/>
      <c r="R29" s="1462"/>
      <c r="S29" s="1462" t="str">
        <f t="shared" si="3"/>
        <v>所有者_住所</v>
      </c>
      <c r="T29" s="1462"/>
      <c r="U29" s="1469" t="s">
        <v>1299</v>
      </c>
      <c r="V29" s="1470" t="s">
        <v>1328</v>
      </c>
      <c r="W29" s="1471" t="s">
        <v>1306</v>
      </c>
      <c r="X29" s="1481" t="s">
        <v>222</v>
      </c>
      <c r="Y29" s="1473"/>
      <c r="Z29" s="1484"/>
      <c r="AA29" s="1485"/>
      <c r="AB29" s="1486"/>
      <c r="AC29" s="1475"/>
      <c r="AD29" s="1476"/>
      <c r="AE29" s="1477"/>
      <c r="AF29" s="1477"/>
      <c r="AG29" s="1457" t="str">
        <f t="shared" si="4"/>
        <v>3所有者-住所</v>
      </c>
      <c r="AI29" s="1459"/>
      <c r="AJ29" s="1459"/>
      <c r="AK29" s="1459"/>
    </row>
    <row r="30" spans="1:41" s="1457" customFormat="1" ht="18.75" customHeight="1" x14ac:dyDescent="0.15">
      <c r="A30" s="1578"/>
      <c r="B30" s="1665"/>
      <c r="C30" s="1550">
        <v>2</v>
      </c>
      <c r="D30" s="1650" t="str">
        <f>'1_入力シート【基本情報】'!$DN$41</f>
        <v/>
      </c>
      <c r="E30" s="1650" t="str">
        <f t="shared" si="5"/>
        <v/>
      </c>
      <c r="F30" s="1650" t="str">
        <f t="shared" si="1"/>
        <v/>
      </c>
      <c r="G30" s="1650" t="str">
        <f t="shared" si="11"/>
        <v/>
      </c>
      <c r="H30" s="1551"/>
      <c r="I30" s="1662"/>
      <c r="J30" s="1531"/>
      <c r="K30" s="1462" t="s">
        <v>1328</v>
      </c>
      <c r="L30" s="1462" t="s">
        <v>1307</v>
      </c>
      <c r="M30" s="1493" t="s">
        <v>1327</v>
      </c>
      <c r="N30" s="1462"/>
      <c r="O30" s="1462"/>
      <c r="P30" s="1462"/>
      <c r="Q30" s="1462"/>
      <c r="R30" s="1462"/>
      <c r="S30" s="1462" t="str">
        <f t="shared" si="3"/>
        <v>所有者_電話番号</v>
      </c>
      <c r="T30" s="1462"/>
      <c r="U30" s="1469" t="s">
        <v>1299</v>
      </c>
      <c r="V30" s="1470" t="s">
        <v>1328</v>
      </c>
      <c r="W30" s="1471" t="s">
        <v>1306</v>
      </c>
      <c r="X30" s="1472" t="s">
        <v>1327</v>
      </c>
      <c r="Y30" s="1473"/>
      <c r="Z30" s="1484"/>
      <c r="AA30" s="1485"/>
      <c r="AB30" s="1486"/>
      <c r="AC30" s="1475"/>
      <c r="AD30" s="1476"/>
      <c r="AE30" s="1477"/>
      <c r="AF30" s="1477"/>
      <c r="AG30" s="1457" t="str">
        <f t="shared" si="4"/>
        <v>3所有者-電話番号</v>
      </c>
      <c r="AI30" s="1459"/>
      <c r="AJ30" s="1459"/>
      <c r="AK30" s="1459"/>
    </row>
    <row r="31" spans="1:41" s="1457" customFormat="1" ht="18.75" customHeight="1" x14ac:dyDescent="0.15">
      <c r="A31" s="1578"/>
      <c r="B31" s="1536" t="s">
        <v>2928</v>
      </c>
      <c r="C31" s="1462">
        <v>2</v>
      </c>
      <c r="D31" s="1650" t="str">
        <f>'1_入力シート【基本情報】'!$DW$46</f>
        <v/>
      </c>
      <c r="E31" s="1650" t="str">
        <f t="shared" si="5"/>
        <v/>
      </c>
      <c r="F31" s="1650" t="str">
        <f t="shared" si="1"/>
        <v/>
      </c>
      <c r="G31" s="1650" t="str">
        <f t="shared" si="11"/>
        <v/>
      </c>
      <c r="H31" s="1468"/>
      <c r="I31" s="1660"/>
      <c r="J31" s="1531"/>
      <c r="K31" s="1462" t="s">
        <v>2942</v>
      </c>
      <c r="L31" s="1462" t="s">
        <v>1307</v>
      </c>
      <c r="M31" s="1493" t="s">
        <v>2893</v>
      </c>
      <c r="N31" s="1462"/>
      <c r="O31" s="1462"/>
      <c r="P31" s="1462"/>
      <c r="Q31" s="1462"/>
      <c r="R31" s="1462"/>
      <c r="S31" s="1462" t="str">
        <f t="shared" si="3"/>
        <v>所有者2_法人名</v>
      </c>
      <c r="T31" s="1462"/>
      <c r="U31" s="1469" t="s">
        <v>1299</v>
      </c>
      <c r="V31" s="1470" t="s">
        <v>2942</v>
      </c>
      <c r="W31" s="1471" t="s">
        <v>1306</v>
      </c>
      <c r="X31" s="1481" t="s">
        <v>3089</v>
      </c>
      <c r="Y31" s="1473" t="s">
        <v>1306</v>
      </c>
      <c r="Z31" s="1489" t="s">
        <v>1323</v>
      </c>
      <c r="AA31" s="1485"/>
      <c r="AB31" s="1486"/>
      <c r="AC31" s="1475"/>
      <c r="AD31" s="1476"/>
      <c r="AE31" s="1477"/>
      <c r="AF31" s="1477"/>
      <c r="AG31" s="1457" t="str">
        <f t="shared" si="4"/>
        <v>3所有者2-所有者2氏名-法人名</v>
      </c>
      <c r="AI31" s="1459"/>
      <c r="AJ31" s="1459"/>
      <c r="AK31" s="1459"/>
    </row>
    <row r="32" spans="1:41" s="1457" customFormat="1" ht="18.75" customHeight="1" x14ac:dyDescent="0.15">
      <c r="A32" s="1578"/>
      <c r="B32" s="1536" t="s">
        <v>2928</v>
      </c>
      <c r="C32" s="1462">
        <v>2</v>
      </c>
      <c r="D32" s="1650" t="str">
        <f>'1_入力シート【基本情報】'!$DW$48</f>
        <v/>
      </c>
      <c r="E32" s="1650" t="str">
        <f t="shared" si="5"/>
        <v/>
      </c>
      <c r="F32" s="1650" t="str">
        <f t="shared" si="1"/>
        <v/>
      </c>
      <c r="G32" s="1650" t="str">
        <f t="shared" si="11"/>
        <v/>
      </c>
      <c r="H32" s="1468"/>
      <c r="I32" s="1660"/>
      <c r="J32" s="1531"/>
      <c r="K32" s="1462" t="s">
        <v>2942</v>
      </c>
      <c r="L32" s="1462" t="s">
        <v>1307</v>
      </c>
      <c r="M32" s="1493" t="s">
        <v>1324</v>
      </c>
      <c r="N32" s="1462"/>
      <c r="O32" s="1462"/>
      <c r="P32" s="1462"/>
      <c r="Q32" s="1462"/>
      <c r="R32" s="1462"/>
      <c r="S32" s="1462" t="str">
        <f t="shared" si="3"/>
        <v>所有者2_肩書</v>
      </c>
      <c r="T32" s="1462"/>
      <c r="U32" s="1469" t="s">
        <v>1299</v>
      </c>
      <c r="V32" s="1470" t="s">
        <v>2942</v>
      </c>
      <c r="W32" s="1471" t="s">
        <v>1306</v>
      </c>
      <c r="X32" s="1481" t="s">
        <v>3089</v>
      </c>
      <c r="Y32" s="1473" t="s">
        <v>1306</v>
      </c>
      <c r="Z32" s="1474" t="s">
        <v>1324</v>
      </c>
      <c r="AA32" s="1485"/>
      <c r="AB32" s="1486"/>
      <c r="AC32" s="1475"/>
      <c r="AD32" s="1476"/>
      <c r="AE32" s="1477"/>
      <c r="AF32" s="1477"/>
      <c r="AG32" s="1457" t="str">
        <f t="shared" si="4"/>
        <v>3所有者2-所有者2氏名-肩書</v>
      </c>
      <c r="AI32" s="1459"/>
      <c r="AJ32" s="1459"/>
      <c r="AK32" s="1459"/>
    </row>
    <row r="33" spans="1:41" s="1457" customFormat="1" ht="18.75" customHeight="1" x14ac:dyDescent="0.15">
      <c r="A33" s="1578"/>
      <c r="B33" s="1536" t="s">
        <v>2928</v>
      </c>
      <c r="C33" s="1462">
        <v>2</v>
      </c>
      <c r="D33" s="1650" t="str">
        <f>'1_入力シート【基本情報】'!$DW$50</f>
        <v/>
      </c>
      <c r="E33" s="1650" t="str">
        <f t="shared" si="5"/>
        <v/>
      </c>
      <c r="F33" s="1650" t="str">
        <f t="shared" si="1"/>
        <v/>
      </c>
      <c r="G33" s="1650" t="str">
        <f t="shared" si="11"/>
        <v/>
      </c>
      <c r="H33" s="1468"/>
      <c r="I33" s="1660"/>
      <c r="J33" s="1531"/>
      <c r="K33" s="1462" t="s">
        <v>2942</v>
      </c>
      <c r="L33" s="1462" t="s">
        <v>1307</v>
      </c>
      <c r="M33" s="1493" t="s">
        <v>1325</v>
      </c>
      <c r="N33" s="1462"/>
      <c r="O33" s="1462"/>
      <c r="P33" s="1462"/>
      <c r="Q33" s="1462"/>
      <c r="R33" s="1462"/>
      <c r="S33" s="1462" t="str">
        <f t="shared" si="3"/>
        <v>所有者2_氏名</v>
      </c>
      <c r="T33" s="1462"/>
      <c r="U33" s="1469" t="s">
        <v>1299</v>
      </c>
      <c r="V33" s="1470" t="s">
        <v>2942</v>
      </c>
      <c r="W33" s="1471" t="s">
        <v>1306</v>
      </c>
      <c r="X33" s="1481" t="s">
        <v>3089</v>
      </c>
      <c r="Y33" s="1473" t="s">
        <v>1306</v>
      </c>
      <c r="Z33" s="1484" t="s">
        <v>1325</v>
      </c>
      <c r="AA33" s="1485"/>
      <c r="AB33" s="1486"/>
      <c r="AC33" s="1475"/>
      <c r="AD33" s="1476"/>
      <c r="AE33" s="1477"/>
      <c r="AF33" s="1477"/>
      <c r="AG33" s="1457" t="str">
        <f t="shared" si="4"/>
        <v>3所有者2-所有者2氏名-氏名</v>
      </c>
      <c r="AI33" s="1459"/>
      <c r="AJ33" s="1459"/>
      <c r="AK33" s="1459"/>
    </row>
    <row r="34" spans="1:41" s="1457" customFormat="1" ht="18.75" customHeight="1" x14ac:dyDescent="0.15">
      <c r="A34" s="1578"/>
      <c r="B34" s="1462"/>
      <c r="C34" s="1462">
        <v>2</v>
      </c>
      <c r="D34" s="1650" t="str">
        <f>'1_入力シート【基本情報】'!$EC$60</f>
        <v/>
      </c>
      <c r="E34" s="1650" t="str">
        <f t="shared" ref="E34" si="15">D34</f>
        <v/>
      </c>
      <c r="F34" s="1650" t="str">
        <f t="shared" ref="F34" si="16">SUBSTITUTE(E34,CHAR(10),"")</f>
        <v/>
      </c>
      <c r="G34" s="1650" t="str">
        <f t="shared" ref="G34" si="17">TRIM(F34)</f>
        <v/>
      </c>
      <c r="H34" s="1468"/>
      <c r="I34" s="1644"/>
      <c r="J34" s="1531"/>
      <c r="K34" s="1462" t="s">
        <v>1329</v>
      </c>
      <c r="L34" s="1462" t="s">
        <v>1307</v>
      </c>
      <c r="M34" s="1493" t="s">
        <v>2893</v>
      </c>
      <c r="N34" s="1462"/>
      <c r="O34" s="1462"/>
      <c r="P34" s="1462"/>
      <c r="Q34" s="1462"/>
      <c r="R34" s="1462"/>
      <c r="S34" s="1462" t="str">
        <f t="shared" si="3"/>
        <v>管理者_法人名</v>
      </c>
      <c r="T34" s="1462"/>
      <c r="U34" s="1469" t="s">
        <v>1301</v>
      </c>
      <c r="V34" s="1470" t="s">
        <v>1329</v>
      </c>
      <c r="W34" s="1471" t="s">
        <v>1306</v>
      </c>
      <c r="X34" s="1481" t="s">
        <v>323</v>
      </c>
      <c r="Y34" s="1485" t="s">
        <v>1306</v>
      </c>
      <c r="Z34" s="1484" t="s">
        <v>1323</v>
      </c>
      <c r="AA34" s="1485"/>
      <c r="AB34" s="1487"/>
      <c r="AC34" s="1475"/>
      <c r="AD34" s="1476"/>
      <c r="AE34" s="1477"/>
      <c r="AF34" s="1477"/>
      <c r="AG34" s="1457" t="str">
        <f t="shared" si="4"/>
        <v>4管理者-管理者氏名-法人名</v>
      </c>
      <c r="AI34" s="1459"/>
      <c r="AJ34" s="1459"/>
      <c r="AK34" s="1459"/>
    </row>
    <row r="35" spans="1:41" s="1457" customFormat="1" ht="18.75" customHeight="1" x14ac:dyDescent="0.15">
      <c r="A35" s="1578"/>
      <c r="B35" s="1462"/>
      <c r="C35" s="1462">
        <v>2</v>
      </c>
      <c r="D35" s="1650" t="str">
        <f>'1_入力シート【基本情報】'!$EC$62</f>
        <v/>
      </c>
      <c r="E35" s="1650" t="str">
        <f t="shared" ref="E35" si="18">D35</f>
        <v/>
      </c>
      <c r="F35" s="1650" t="str">
        <f t="shared" ref="F35" si="19">SUBSTITUTE(E35,CHAR(10),"")</f>
        <v/>
      </c>
      <c r="G35" s="1650" t="str">
        <f t="shared" ref="G35" si="20">TRIM(F35)</f>
        <v/>
      </c>
      <c r="H35" s="1468"/>
      <c r="I35" s="1644"/>
      <c r="J35" s="1531"/>
      <c r="K35" s="1462" t="s">
        <v>1329</v>
      </c>
      <c r="L35" s="1462" t="s">
        <v>1307</v>
      </c>
      <c r="M35" s="1493" t="s">
        <v>1324</v>
      </c>
      <c r="N35" s="1462"/>
      <c r="O35" s="1462"/>
      <c r="P35" s="1462"/>
      <c r="Q35" s="1462"/>
      <c r="R35" s="1462"/>
      <c r="S35" s="1462" t="str">
        <f t="shared" si="3"/>
        <v>管理者_肩書</v>
      </c>
      <c r="T35" s="1462"/>
      <c r="U35" s="1469" t="s">
        <v>1301</v>
      </c>
      <c r="V35" s="1470" t="s">
        <v>1329</v>
      </c>
      <c r="W35" s="1471" t="s">
        <v>1306</v>
      </c>
      <c r="X35" s="1481" t="s">
        <v>323</v>
      </c>
      <c r="Y35" s="1485" t="s">
        <v>1306</v>
      </c>
      <c r="Z35" s="1474" t="s">
        <v>1324</v>
      </c>
      <c r="AA35" s="1473"/>
      <c r="AB35" s="1470"/>
      <c r="AC35" s="1475"/>
      <c r="AD35" s="1476"/>
      <c r="AE35" s="1477"/>
      <c r="AF35" s="1477"/>
      <c r="AG35" s="1457" t="str">
        <f t="shared" si="4"/>
        <v>4管理者-管理者氏名-肩書</v>
      </c>
      <c r="AI35" s="1459"/>
      <c r="AJ35" s="1459"/>
      <c r="AK35" s="1459"/>
    </row>
    <row r="36" spans="1:41" ht="18.75" customHeight="1" x14ac:dyDescent="0.15">
      <c r="A36" s="1578"/>
      <c r="B36" s="1462"/>
      <c r="C36" s="1462">
        <v>2</v>
      </c>
      <c r="D36" s="1650" t="str">
        <f>'1_入力シート【基本情報】'!$EC$64</f>
        <v/>
      </c>
      <c r="E36" s="1650" t="str">
        <f t="shared" ref="E36:E41" si="21">D36</f>
        <v/>
      </c>
      <c r="F36" s="1650" t="str">
        <f t="shared" ref="F36:F41" si="22">SUBSTITUTE(E36,CHAR(10),"")</f>
        <v/>
      </c>
      <c r="G36" s="1650" t="str">
        <f t="shared" ref="G36:G41" si="23">TRIM(F36)</f>
        <v/>
      </c>
      <c r="H36" s="1468"/>
      <c r="I36" s="1644"/>
      <c r="J36" s="1531"/>
      <c r="K36" s="1462" t="s">
        <v>1329</v>
      </c>
      <c r="L36" s="1462" t="s">
        <v>1307</v>
      </c>
      <c r="M36" s="1493" t="s">
        <v>1325</v>
      </c>
      <c r="N36" s="1462"/>
      <c r="O36" s="1462"/>
      <c r="P36" s="1462"/>
      <c r="Q36" s="1462"/>
      <c r="R36" s="1462"/>
      <c r="S36" s="1462" t="str">
        <f t="shared" si="3"/>
        <v>管理者_氏名</v>
      </c>
      <c r="T36" s="1462"/>
      <c r="U36" s="1469" t="s">
        <v>1301</v>
      </c>
      <c r="V36" s="1470" t="s">
        <v>1329</v>
      </c>
      <c r="W36" s="1471" t="s">
        <v>1306</v>
      </c>
      <c r="X36" s="1481" t="s">
        <v>323</v>
      </c>
      <c r="Y36" s="1485" t="s">
        <v>1306</v>
      </c>
      <c r="Z36" s="1474" t="s">
        <v>1325</v>
      </c>
      <c r="AA36" s="1473"/>
      <c r="AB36" s="1470"/>
      <c r="AC36" s="1475"/>
      <c r="AD36" s="1476"/>
      <c r="AE36" s="1477"/>
      <c r="AF36" s="1477"/>
      <c r="AG36" s="1457" t="str">
        <f t="shared" si="4"/>
        <v>4管理者-管理者氏名-氏名</v>
      </c>
      <c r="AI36" s="1459"/>
      <c r="AJ36" s="1459"/>
      <c r="AK36" s="1459"/>
    </row>
    <row r="37" spans="1:41" ht="18.75" customHeight="1" x14ac:dyDescent="0.15">
      <c r="A37" s="1580"/>
      <c r="B37" s="1479"/>
      <c r="C37" s="1462">
        <v>2</v>
      </c>
      <c r="D37" s="1650" t="str">
        <f>'1_入力シート【基本情報】'!$EC$65</f>
        <v/>
      </c>
      <c r="E37" s="1650" t="str">
        <f t="shared" si="21"/>
        <v/>
      </c>
      <c r="F37" s="1650" t="str">
        <f t="shared" si="22"/>
        <v/>
      </c>
      <c r="G37" s="1650" t="str">
        <f t="shared" si="23"/>
        <v/>
      </c>
      <c r="H37" s="1468"/>
      <c r="I37" s="1644"/>
      <c r="J37" s="1531"/>
      <c r="K37" s="1462" t="s">
        <v>1329</v>
      </c>
      <c r="L37" s="1462" t="s">
        <v>1307</v>
      </c>
      <c r="M37" s="1493" t="s">
        <v>1334</v>
      </c>
      <c r="N37" s="1462"/>
      <c r="O37" s="1462"/>
      <c r="P37" s="1462"/>
      <c r="Q37" s="1462"/>
      <c r="R37" s="1462"/>
      <c r="S37" s="1462" t="str">
        <f t="shared" si="3"/>
        <v>管理者_郵便番号</v>
      </c>
      <c r="T37" s="1462"/>
      <c r="U37" s="1469" t="s">
        <v>1301</v>
      </c>
      <c r="V37" s="1470" t="s">
        <v>1329</v>
      </c>
      <c r="W37" s="1471" t="s">
        <v>1306</v>
      </c>
      <c r="X37" s="1472" t="s">
        <v>1326</v>
      </c>
      <c r="Y37" s="1473"/>
      <c r="Z37" s="1474"/>
      <c r="AA37" s="1473"/>
      <c r="AB37" s="1470"/>
      <c r="AC37" s="1475"/>
      <c r="AD37" s="1476"/>
      <c r="AE37" s="1477"/>
      <c r="AF37" s="1477"/>
      <c r="AG37" s="1457" t="str">
        <f t="shared" si="4"/>
        <v>4管理者-郵便番号</v>
      </c>
      <c r="AI37" s="1459"/>
      <c r="AJ37" s="1459"/>
      <c r="AK37" s="1459"/>
    </row>
    <row r="38" spans="1:41" ht="18.75" customHeight="1" x14ac:dyDescent="0.15">
      <c r="A38" s="1584"/>
      <c r="B38" s="1491"/>
      <c r="C38" s="1462">
        <v>2</v>
      </c>
      <c r="D38" s="1650" t="str">
        <f>'1_入力シート【基本情報】'!$EC$66</f>
        <v/>
      </c>
      <c r="E38" s="1650" t="str">
        <f t="shared" si="21"/>
        <v/>
      </c>
      <c r="F38" s="1650" t="str">
        <f t="shared" si="22"/>
        <v/>
      </c>
      <c r="G38" s="1650" t="str">
        <f t="shared" si="23"/>
        <v/>
      </c>
      <c r="H38" s="1468"/>
      <c r="I38" s="1644"/>
      <c r="J38" s="1531"/>
      <c r="K38" s="1462" t="s">
        <v>1329</v>
      </c>
      <c r="L38" s="1462" t="s">
        <v>1307</v>
      </c>
      <c r="M38" s="1493" t="s">
        <v>222</v>
      </c>
      <c r="N38" s="1462"/>
      <c r="O38" s="1462"/>
      <c r="P38" s="1462"/>
      <c r="Q38" s="1462"/>
      <c r="R38" s="1462"/>
      <c r="S38" s="1462" t="str">
        <f t="shared" si="3"/>
        <v>管理者_住所</v>
      </c>
      <c r="T38" s="1462"/>
      <c r="U38" s="1469" t="s">
        <v>1301</v>
      </c>
      <c r="V38" s="1470" t="s">
        <v>1329</v>
      </c>
      <c r="W38" s="1471" t="s">
        <v>1306</v>
      </c>
      <c r="X38" s="1472" t="s">
        <v>222</v>
      </c>
      <c r="Y38" s="1473"/>
      <c r="Z38" s="1474"/>
      <c r="AA38" s="1473"/>
      <c r="AB38" s="1470"/>
      <c r="AC38" s="1475"/>
      <c r="AD38" s="1476"/>
      <c r="AE38" s="1477"/>
      <c r="AF38" s="1477"/>
      <c r="AG38" s="1457" t="str">
        <f t="shared" si="4"/>
        <v>4管理者-住所</v>
      </c>
      <c r="AI38" s="1459"/>
      <c r="AJ38" s="1459"/>
      <c r="AK38" s="1459"/>
    </row>
    <row r="39" spans="1:41" ht="18.75" customHeight="1" x14ac:dyDescent="0.15">
      <c r="A39" s="1584"/>
      <c r="B39" s="1491"/>
      <c r="C39" s="1462">
        <v>2</v>
      </c>
      <c r="D39" s="1650" t="str">
        <f>'1_入力シート【基本情報】'!$EC$67</f>
        <v/>
      </c>
      <c r="E39" s="1650" t="str">
        <f t="shared" si="21"/>
        <v/>
      </c>
      <c r="F39" s="1650" t="str">
        <f t="shared" si="22"/>
        <v/>
      </c>
      <c r="G39" s="1650" t="str">
        <f t="shared" si="23"/>
        <v/>
      </c>
      <c r="H39" s="1468"/>
      <c r="I39" s="1644"/>
      <c r="J39" s="1531"/>
      <c r="K39" s="1462" t="s">
        <v>1329</v>
      </c>
      <c r="L39" s="1462" t="s">
        <v>1307</v>
      </c>
      <c r="M39" s="1493" t="s">
        <v>1327</v>
      </c>
      <c r="N39" s="1462"/>
      <c r="O39" s="1462"/>
      <c r="P39" s="1462"/>
      <c r="Q39" s="1462"/>
      <c r="R39" s="1462"/>
      <c r="S39" s="1462" t="str">
        <f t="shared" si="3"/>
        <v>管理者_電話番号</v>
      </c>
      <c r="T39" s="1462"/>
      <c r="U39" s="1469" t="s">
        <v>1301</v>
      </c>
      <c r="V39" s="1470" t="s">
        <v>1329</v>
      </c>
      <c r="W39" s="1471" t="s">
        <v>1306</v>
      </c>
      <c r="X39" s="1472" t="s">
        <v>1327</v>
      </c>
      <c r="Y39" s="1473"/>
      <c r="Z39" s="1474"/>
      <c r="AA39" s="1473"/>
      <c r="AB39" s="1470"/>
      <c r="AC39" s="1475"/>
      <c r="AD39" s="1476"/>
      <c r="AE39" s="1477"/>
      <c r="AF39" s="1477"/>
      <c r="AG39" s="1457" t="str">
        <f t="shared" si="4"/>
        <v>4管理者-電話番号</v>
      </c>
      <c r="AI39" s="1459"/>
      <c r="AJ39" s="1459"/>
      <c r="AK39" s="1459"/>
    </row>
    <row r="40" spans="1:41" ht="18.75" customHeight="1" x14ac:dyDescent="0.15">
      <c r="A40" s="1584"/>
      <c r="B40" s="1492"/>
      <c r="C40" s="1462">
        <v>2</v>
      </c>
      <c r="D40" s="1483" t="str">
        <f>'1_入力シート【基本情報】'!$EC$68</f>
        <v/>
      </c>
      <c r="E40" s="1650" t="str">
        <f t="shared" si="21"/>
        <v/>
      </c>
      <c r="F40" s="1650" t="str">
        <f t="shared" si="22"/>
        <v/>
      </c>
      <c r="G40" s="1650" t="str">
        <f t="shared" si="23"/>
        <v/>
      </c>
      <c r="H40" s="1468"/>
      <c r="I40" s="1644"/>
      <c r="J40" s="1531"/>
      <c r="K40" s="1462" t="s">
        <v>1329</v>
      </c>
      <c r="L40" s="1462" t="s">
        <v>1307</v>
      </c>
      <c r="M40" s="1549" t="s">
        <v>2945</v>
      </c>
      <c r="N40" s="1478"/>
      <c r="O40" s="1478"/>
      <c r="P40" s="1478"/>
      <c r="Q40" s="1478"/>
      <c r="R40" s="1478"/>
      <c r="S40" s="1462" t="str">
        <f t="shared" si="3"/>
        <v>管理者_メールアドレス</v>
      </c>
      <c r="T40" s="1478"/>
      <c r="U40" s="1469" t="s">
        <v>2430</v>
      </c>
      <c r="V40" s="1470" t="s">
        <v>1329</v>
      </c>
      <c r="W40" s="1471" t="s">
        <v>1366</v>
      </c>
      <c r="X40" s="1472" t="s">
        <v>2431</v>
      </c>
      <c r="Y40" s="1473"/>
      <c r="Z40" s="1474"/>
      <c r="AA40" s="1473"/>
      <c r="AB40" s="1470"/>
      <c r="AC40" s="1475"/>
      <c r="AD40" s="1476"/>
      <c r="AE40" s="1477"/>
      <c r="AF40" s="1477"/>
      <c r="AG40" s="1457" t="str">
        <f t="shared" si="4"/>
        <v>4管理者-メールアドレス（半角）</v>
      </c>
      <c r="AI40" s="1459"/>
      <c r="AJ40" s="1459"/>
      <c r="AK40" s="1459"/>
    </row>
    <row r="41" spans="1:41" ht="18.75" customHeight="1" x14ac:dyDescent="0.15">
      <c r="A41" s="1584"/>
      <c r="B41" s="1491"/>
      <c r="C41" s="1462">
        <v>1</v>
      </c>
      <c r="D41" s="1673">
        <f>'1_入力シート【基本情報】'!$AB$73</f>
        <v>0</v>
      </c>
      <c r="E41" s="1650">
        <f t="shared" si="21"/>
        <v>0</v>
      </c>
      <c r="F41" s="1650" t="str">
        <f t="shared" si="22"/>
        <v>0</v>
      </c>
      <c r="G41" s="1650" t="str">
        <f t="shared" si="23"/>
        <v>0</v>
      </c>
      <c r="H41" s="1468"/>
      <c r="I41" s="1660"/>
      <c r="J41" s="1531"/>
      <c r="K41" s="1462" t="s">
        <v>2951</v>
      </c>
      <c r="L41" s="1462" t="s">
        <v>1307</v>
      </c>
      <c r="M41" s="1493" t="s">
        <v>2952</v>
      </c>
      <c r="N41" s="1462"/>
      <c r="O41" s="1462"/>
      <c r="P41" s="1462"/>
      <c r="Q41" s="1462"/>
      <c r="R41" s="1462"/>
      <c r="S41" s="1462" t="str">
        <f t="shared" si="3"/>
        <v>代表調査者_資格種別</v>
      </c>
      <c r="T41" s="1462"/>
      <c r="U41" s="1469" t="s">
        <v>1330</v>
      </c>
      <c r="V41" s="1470" t="s">
        <v>1331</v>
      </c>
      <c r="W41" s="1471" t="s">
        <v>1306</v>
      </c>
      <c r="X41" s="1472" t="s">
        <v>887</v>
      </c>
      <c r="Y41" s="1473" t="s">
        <v>1306</v>
      </c>
      <c r="Z41" s="1474" t="s">
        <v>1019</v>
      </c>
      <c r="AA41" s="1473"/>
      <c r="AB41" s="1470"/>
      <c r="AC41" s="1475"/>
      <c r="AD41" s="1476"/>
      <c r="AE41" s="1477"/>
      <c r="AF41" s="1477"/>
      <c r="AG41" s="1457" t="str">
        <f t="shared" si="4"/>
        <v>5代表となる調査者-資格-資格名称</v>
      </c>
      <c r="AI41" s="1459"/>
      <c r="AJ41" s="1459"/>
      <c r="AK41" s="1459"/>
    </row>
    <row r="42" spans="1:41" s="1624" customFormat="1" ht="18.75" customHeight="1" x14ac:dyDescent="0.15">
      <c r="A42" s="1584"/>
      <c r="B42" s="1663"/>
      <c r="C42" s="1627">
        <v>2</v>
      </c>
      <c r="D42" s="1668" t="str">
        <f>'1_入力シート【基本情報】'!$DS$74</f>
        <v/>
      </c>
      <c r="E42" s="1672" t="str">
        <f t="shared" ref="E42:E44" si="24">D42</f>
        <v/>
      </c>
      <c r="F42" s="1672" t="str">
        <f t="shared" ref="F42:F44" si="25">SUBSTITUTE(E42,CHAR(10),"")</f>
        <v/>
      </c>
      <c r="G42" s="1672" t="str">
        <f t="shared" ref="G42:G44" si="26">TRIM(F42)</f>
        <v/>
      </c>
      <c r="H42" s="1628"/>
      <c r="I42" s="1660"/>
      <c r="J42" s="1531"/>
      <c r="K42" s="1627"/>
      <c r="L42" s="1627"/>
      <c r="M42" s="1629"/>
      <c r="N42" s="1627"/>
      <c r="O42" s="1627"/>
      <c r="P42" s="1627"/>
      <c r="Q42" s="1627"/>
      <c r="R42" s="1627"/>
      <c r="S42" s="1664"/>
      <c r="T42" s="1627"/>
      <c r="U42" s="1630" t="s">
        <v>1330</v>
      </c>
      <c r="V42" s="1631" t="s">
        <v>1331</v>
      </c>
      <c r="W42" s="1632" t="s">
        <v>1306</v>
      </c>
      <c r="X42" s="1639" t="s">
        <v>887</v>
      </c>
      <c r="Y42" s="1633" t="s">
        <v>1306</v>
      </c>
      <c r="Z42" s="1640" t="s">
        <v>666</v>
      </c>
      <c r="AA42" s="1633" t="s">
        <v>1306</v>
      </c>
      <c r="AB42" s="1631" t="s">
        <v>1300</v>
      </c>
      <c r="AC42" s="1634"/>
      <c r="AD42" s="1635"/>
      <c r="AE42" s="1636"/>
      <c r="AF42" s="1636"/>
      <c r="AG42" s="1637" t="str">
        <f t="shared" si="4"/>
        <v>5代表となる調査者-資格-建築士-登録</v>
      </c>
      <c r="AH42" s="1637"/>
      <c r="AI42" s="1636"/>
      <c r="AJ42" s="1636"/>
      <c r="AK42" s="1636"/>
      <c r="AL42" s="1637"/>
      <c r="AM42" s="1637"/>
      <c r="AN42" s="1637"/>
      <c r="AO42" s="1637"/>
    </row>
    <row r="43" spans="1:41" s="1624" customFormat="1" ht="18.75" customHeight="1" x14ac:dyDescent="0.15">
      <c r="A43" s="1584"/>
      <c r="B43" s="1663"/>
      <c r="C43" s="1627">
        <v>2</v>
      </c>
      <c r="D43" s="1668" t="str">
        <f>'1_入力シート【基本情報】'!$DS$75</f>
        <v/>
      </c>
      <c r="E43" s="1672" t="str">
        <f t="shared" si="24"/>
        <v/>
      </c>
      <c r="F43" s="1672" t="str">
        <f t="shared" si="25"/>
        <v/>
      </c>
      <c r="G43" s="1672" t="str">
        <f t="shared" si="26"/>
        <v/>
      </c>
      <c r="H43" s="1628"/>
      <c r="I43" s="1660"/>
      <c r="J43" s="1531"/>
      <c r="K43" s="1627"/>
      <c r="L43" s="1627"/>
      <c r="M43" s="1629"/>
      <c r="N43" s="1627"/>
      <c r="O43" s="1627"/>
      <c r="P43" s="1627"/>
      <c r="Q43" s="1627"/>
      <c r="R43" s="1627"/>
      <c r="S43" s="1664"/>
      <c r="T43" s="1627"/>
      <c r="U43" s="1630" t="s">
        <v>1330</v>
      </c>
      <c r="V43" s="1631" t="s">
        <v>1331</v>
      </c>
      <c r="W43" s="1632" t="s">
        <v>1306</v>
      </c>
      <c r="X43" s="1639" t="s">
        <v>887</v>
      </c>
      <c r="Y43" s="1633" t="s">
        <v>1306</v>
      </c>
      <c r="Z43" s="1640" t="s">
        <v>666</v>
      </c>
      <c r="AA43" s="1633" t="s">
        <v>1306</v>
      </c>
      <c r="AB43" s="1631" t="s">
        <v>4</v>
      </c>
      <c r="AC43" s="1634"/>
      <c r="AD43" s="1635"/>
      <c r="AE43" s="1636"/>
      <c r="AF43" s="1636"/>
      <c r="AG43" s="1637" t="str">
        <f t="shared" si="4"/>
        <v>5代表となる調査者-資格-建築士-号</v>
      </c>
      <c r="AH43" s="1637"/>
      <c r="AI43" s="1636"/>
      <c r="AJ43" s="1636"/>
      <c r="AK43" s="1636"/>
      <c r="AL43" s="1637"/>
      <c r="AM43" s="1637"/>
      <c r="AN43" s="1637"/>
      <c r="AO43" s="1637"/>
    </row>
    <row r="44" spans="1:41" s="1624" customFormat="1" ht="18.75" customHeight="1" x14ac:dyDescent="0.15">
      <c r="A44" s="1584"/>
      <c r="B44" s="1663"/>
      <c r="C44" s="1627">
        <v>2</v>
      </c>
      <c r="D44" s="1668" t="str">
        <f>'1_入力シート【基本情報】'!$DS$76</f>
        <v/>
      </c>
      <c r="E44" s="1672" t="str">
        <f t="shared" si="24"/>
        <v/>
      </c>
      <c r="F44" s="1672" t="str">
        <f t="shared" si="25"/>
        <v/>
      </c>
      <c r="G44" s="1672" t="str">
        <f t="shared" si="26"/>
        <v/>
      </c>
      <c r="H44" s="1628"/>
      <c r="I44" s="1660"/>
      <c r="J44" s="1531"/>
      <c r="K44" s="1627"/>
      <c r="L44" s="1627"/>
      <c r="M44" s="1629"/>
      <c r="N44" s="1627"/>
      <c r="O44" s="1627"/>
      <c r="P44" s="1627"/>
      <c r="Q44" s="1627"/>
      <c r="R44" s="1627"/>
      <c r="S44" s="1664"/>
      <c r="T44" s="1627"/>
      <c r="U44" s="1630" t="s">
        <v>1330</v>
      </c>
      <c r="V44" s="1631" t="s">
        <v>1331</v>
      </c>
      <c r="W44" s="1632" t="s">
        <v>1306</v>
      </c>
      <c r="X44" s="1639" t="s">
        <v>887</v>
      </c>
      <c r="Y44" s="1633" t="s">
        <v>1306</v>
      </c>
      <c r="Z44" s="1640" t="s">
        <v>1095</v>
      </c>
      <c r="AA44" s="1633" t="s">
        <v>1306</v>
      </c>
      <c r="AB44" s="1631" t="s">
        <v>4</v>
      </c>
      <c r="AC44" s="1634"/>
      <c r="AD44" s="1635"/>
      <c r="AE44" s="1636"/>
      <c r="AF44" s="1636"/>
      <c r="AG44" s="1637" t="str">
        <f t="shared" si="4"/>
        <v>5代表となる調査者-資格-特定建築物調査員-号</v>
      </c>
      <c r="AH44" s="1637"/>
      <c r="AI44" s="1636"/>
      <c r="AJ44" s="1636"/>
      <c r="AK44" s="1636"/>
      <c r="AL44" s="1637"/>
      <c r="AM44" s="1637"/>
      <c r="AN44" s="1637"/>
      <c r="AO44" s="1637"/>
    </row>
    <row r="45" spans="1:41" ht="18.75" customHeight="1" x14ac:dyDescent="0.15">
      <c r="A45" s="1584"/>
      <c r="B45" s="1491"/>
      <c r="C45" s="1462">
        <v>2</v>
      </c>
      <c r="D45" s="1483" t="str">
        <f>'1_入力シート【基本情報】'!$DS78</f>
        <v/>
      </c>
      <c r="E45" s="1650" t="str">
        <f t="shared" ref="E45" si="27">D45</f>
        <v/>
      </c>
      <c r="F45" s="1650" t="str">
        <f t="shared" ref="F45" si="28">SUBSTITUTE(E45,CHAR(10),"")</f>
        <v/>
      </c>
      <c r="G45" s="1650" t="str">
        <f t="shared" ref="G45" si="29">TRIM(F45)</f>
        <v/>
      </c>
      <c r="H45" s="1468"/>
      <c r="I45" s="1660"/>
      <c r="J45" s="1531"/>
      <c r="K45" s="1462" t="s">
        <v>2951</v>
      </c>
      <c r="L45" s="1462" t="s">
        <v>1307</v>
      </c>
      <c r="M45" s="1493" t="s">
        <v>1325</v>
      </c>
      <c r="N45" s="1462"/>
      <c r="O45" s="1462"/>
      <c r="P45" s="1462"/>
      <c r="Q45" s="1462"/>
      <c r="R45" s="1462"/>
      <c r="S45" s="1462" t="str">
        <f t="shared" si="3"/>
        <v>代表調査者_氏名</v>
      </c>
      <c r="T45" s="1462"/>
      <c r="U45" s="1469" t="s">
        <v>1330</v>
      </c>
      <c r="V45" s="1470" t="s">
        <v>1331</v>
      </c>
      <c r="W45" s="1471" t="s">
        <v>1306</v>
      </c>
      <c r="X45" s="1472" t="s">
        <v>1325</v>
      </c>
      <c r="Y45" s="1485" t="s">
        <v>1306</v>
      </c>
      <c r="Z45" s="1474" t="s">
        <v>1325</v>
      </c>
      <c r="AA45" s="1473"/>
      <c r="AB45" s="1470"/>
      <c r="AC45" s="1475"/>
      <c r="AD45" s="1476"/>
      <c r="AE45" s="1477"/>
      <c r="AF45" s="1477"/>
      <c r="AG45" s="1457" t="str">
        <f t="shared" si="4"/>
        <v>5代表となる調査者-氏名-氏名</v>
      </c>
      <c r="AI45" s="1459"/>
      <c r="AJ45" s="1459"/>
      <c r="AK45" s="1459"/>
    </row>
    <row r="46" spans="1:41" ht="18.75" customHeight="1" x14ac:dyDescent="0.15">
      <c r="A46" s="1584"/>
      <c r="B46" s="1491"/>
      <c r="C46" s="1462">
        <v>2</v>
      </c>
      <c r="D46" s="1483" t="str">
        <f>'1_入力シート【基本情報】'!$DS79</f>
        <v/>
      </c>
      <c r="E46" s="1650" t="str">
        <f t="shared" ref="E46:E52" si="30">D46</f>
        <v/>
      </c>
      <c r="F46" s="1650" t="str">
        <f t="shared" ref="F46:F52" si="31">SUBSTITUTE(E46,CHAR(10),"")</f>
        <v/>
      </c>
      <c r="G46" s="1650" t="str">
        <f t="shared" ref="G46:G52" si="32">TRIM(F46)</f>
        <v/>
      </c>
      <c r="H46" s="1468"/>
      <c r="I46" s="1660"/>
      <c r="J46" s="1531"/>
      <c r="K46" s="1462" t="s">
        <v>2951</v>
      </c>
      <c r="L46" s="1462" t="s">
        <v>1307</v>
      </c>
      <c r="M46" s="1493" t="s">
        <v>223</v>
      </c>
      <c r="N46" s="1462"/>
      <c r="O46" s="1462"/>
      <c r="P46" s="1462"/>
      <c r="Q46" s="1462"/>
      <c r="R46" s="1462"/>
      <c r="S46" s="1462" t="str">
        <f t="shared" si="3"/>
        <v>代表調査者_勤務先</v>
      </c>
      <c r="T46" s="1462"/>
      <c r="U46" s="1469" t="s">
        <v>1330</v>
      </c>
      <c r="V46" s="1470" t="s">
        <v>1331</v>
      </c>
      <c r="W46" s="1471" t="s">
        <v>1306</v>
      </c>
      <c r="X46" s="1481" t="s">
        <v>223</v>
      </c>
      <c r="Y46" s="1485" t="s">
        <v>1306</v>
      </c>
      <c r="Z46" s="1474" t="s">
        <v>667</v>
      </c>
      <c r="AA46" s="1473"/>
      <c r="AB46" s="1470"/>
      <c r="AC46" s="1475"/>
      <c r="AD46" s="1476"/>
      <c r="AE46" s="1477"/>
      <c r="AF46" s="1477"/>
      <c r="AG46" s="1457" t="str">
        <f t="shared" si="4"/>
        <v>5代表となる調査者-勤務先-名称</v>
      </c>
      <c r="AI46" s="1459"/>
      <c r="AJ46" s="1459"/>
      <c r="AK46" s="1459"/>
    </row>
    <row r="47" spans="1:41" s="1624" customFormat="1" ht="18.75" customHeight="1" x14ac:dyDescent="0.15">
      <c r="A47" s="1578"/>
      <c r="B47" s="1627"/>
      <c r="C47" s="1627">
        <v>2</v>
      </c>
      <c r="D47" s="1672" t="str">
        <f>'1_入力シート【基本情報】'!$DS80</f>
        <v/>
      </c>
      <c r="E47" s="1672" t="str">
        <f t="shared" si="30"/>
        <v/>
      </c>
      <c r="F47" s="1672" t="str">
        <f t="shared" si="31"/>
        <v/>
      </c>
      <c r="G47" s="1672" t="str">
        <f t="shared" si="32"/>
        <v/>
      </c>
      <c r="H47" s="1628"/>
      <c r="I47" s="1660"/>
      <c r="J47" s="1531"/>
      <c r="K47" s="1627"/>
      <c r="L47" s="1627"/>
      <c r="M47" s="1629"/>
      <c r="N47" s="1627"/>
      <c r="O47" s="1627"/>
      <c r="P47" s="1627"/>
      <c r="Q47" s="1627"/>
      <c r="R47" s="1627"/>
      <c r="S47" s="1627" t="str">
        <f t="shared" si="3"/>
        <v/>
      </c>
      <c r="T47" s="1627"/>
      <c r="U47" s="1630" t="s">
        <v>1330</v>
      </c>
      <c r="V47" s="1631" t="s">
        <v>1331</v>
      </c>
      <c r="W47" s="1632" t="s">
        <v>1306</v>
      </c>
      <c r="X47" s="1643" t="s">
        <v>223</v>
      </c>
      <c r="Y47" s="1655" t="s">
        <v>1306</v>
      </c>
      <c r="Z47" s="1640" t="s">
        <v>1332</v>
      </c>
      <c r="AA47" s="1633" t="s">
        <v>1306</v>
      </c>
      <c r="AB47" s="1631" t="s">
        <v>1333</v>
      </c>
      <c r="AC47" s="1634"/>
      <c r="AD47" s="1635"/>
      <c r="AE47" s="1636"/>
      <c r="AF47" s="1636"/>
      <c r="AG47" s="1637" t="str">
        <f t="shared" si="4"/>
        <v>5代表となる調査者-勤務先-事務所登録-建築士事務所</v>
      </c>
      <c r="AH47" s="1637"/>
      <c r="AI47" s="1636"/>
      <c r="AJ47" s="1636"/>
      <c r="AK47" s="1636"/>
      <c r="AL47" s="1637"/>
      <c r="AM47" s="1637"/>
      <c r="AN47" s="1637"/>
      <c r="AO47" s="1637"/>
    </row>
    <row r="48" spans="1:41" s="1624" customFormat="1" ht="18.75" customHeight="1" x14ac:dyDescent="0.15">
      <c r="A48" s="1578"/>
      <c r="B48" s="1627"/>
      <c r="C48" s="1627">
        <v>2</v>
      </c>
      <c r="D48" s="1672" t="str">
        <f>'1_入力シート【基本情報】'!$DS81</f>
        <v/>
      </c>
      <c r="E48" s="1672" t="str">
        <f t="shared" si="30"/>
        <v/>
      </c>
      <c r="F48" s="1672" t="str">
        <f t="shared" si="31"/>
        <v/>
      </c>
      <c r="G48" s="1672" t="str">
        <f t="shared" si="32"/>
        <v/>
      </c>
      <c r="H48" s="1628"/>
      <c r="I48" s="1660"/>
      <c r="J48" s="1531"/>
      <c r="K48" s="1627"/>
      <c r="L48" s="1627"/>
      <c r="M48" s="1629"/>
      <c r="N48" s="1627"/>
      <c r="O48" s="1627"/>
      <c r="P48" s="1627"/>
      <c r="Q48" s="1627"/>
      <c r="R48" s="1627"/>
      <c r="S48" s="1627" t="str">
        <f t="shared" ref="S48:S107" si="33">CONCATENATE(K48,L48,M48,N48,O48,P48,Q48)</f>
        <v/>
      </c>
      <c r="T48" s="1627"/>
      <c r="U48" s="1630" t="s">
        <v>1330</v>
      </c>
      <c r="V48" s="1631" t="s">
        <v>1331</v>
      </c>
      <c r="W48" s="1632" t="s">
        <v>1306</v>
      </c>
      <c r="X48" s="1643" t="s">
        <v>223</v>
      </c>
      <c r="Y48" s="1655" t="s">
        <v>1306</v>
      </c>
      <c r="Z48" s="1640" t="s">
        <v>1332</v>
      </c>
      <c r="AA48" s="1633" t="s">
        <v>1306</v>
      </c>
      <c r="AB48" s="1631" t="s">
        <v>651</v>
      </c>
      <c r="AC48" s="1634"/>
      <c r="AD48" s="1635"/>
      <c r="AE48" s="1636"/>
      <c r="AF48" s="1636"/>
      <c r="AG48" s="1637" t="str">
        <f t="shared" si="4"/>
        <v>5代表となる調査者-勤務先-事務所登録-知事登録</v>
      </c>
      <c r="AH48" s="1637"/>
      <c r="AI48" s="1636"/>
      <c r="AJ48" s="1636"/>
      <c r="AK48" s="1636"/>
      <c r="AL48" s="1637"/>
      <c r="AM48" s="1637"/>
      <c r="AN48" s="1637"/>
      <c r="AO48" s="1637"/>
    </row>
    <row r="49" spans="1:41" s="1624" customFormat="1" ht="18.75" customHeight="1" x14ac:dyDescent="0.15">
      <c r="A49" s="1578"/>
      <c r="B49" s="1627"/>
      <c r="C49" s="1627">
        <v>2</v>
      </c>
      <c r="D49" s="1672" t="str">
        <f>'1_入力シート【基本情報】'!$DS82</f>
        <v/>
      </c>
      <c r="E49" s="1672" t="str">
        <f t="shared" si="30"/>
        <v/>
      </c>
      <c r="F49" s="1672" t="str">
        <f t="shared" si="31"/>
        <v/>
      </c>
      <c r="G49" s="1672" t="str">
        <f t="shared" si="32"/>
        <v/>
      </c>
      <c r="H49" s="1628"/>
      <c r="I49" s="1660"/>
      <c r="J49" s="1531"/>
      <c r="K49" s="1627"/>
      <c r="L49" s="1627"/>
      <c r="M49" s="1629"/>
      <c r="N49" s="1627"/>
      <c r="O49" s="1627"/>
      <c r="P49" s="1627"/>
      <c r="Q49" s="1627"/>
      <c r="R49" s="1627"/>
      <c r="S49" s="1627" t="str">
        <f t="shared" si="33"/>
        <v/>
      </c>
      <c r="T49" s="1627"/>
      <c r="U49" s="1630" t="s">
        <v>1330</v>
      </c>
      <c r="V49" s="1631" t="s">
        <v>1331</v>
      </c>
      <c r="W49" s="1632" t="s">
        <v>1306</v>
      </c>
      <c r="X49" s="1643" t="s">
        <v>223</v>
      </c>
      <c r="Y49" s="1655" t="s">
        <v>1306</v>
      </c>
      <c r="Z49" s="1640" t="s">
        <v>1332</v>
      </c>
      <c r="AA49" s="1633" t="s">
        <v>1306</v>
      </c>
      <c r="AB49" s="1631" t="s">
        <v>4</v>
      </c>
      <c r="AC49" s="1634"/>
      <c r="AD49" s="1635"/>
      <c r="AE49" s="1636"/>
      <c r="AF49" s="1636"/>
      <c r="AG49" s="1637" t="str">
        <f t="shared" si="4"/>
        <v>5代表となる調査者-勤務先-事務所登録-号</v>
      </c>
      <c r="AH49" s="1637"/>
      <c r="AI49" s="1636"/>
      <c r="AJ49" s="1636"/>
      <c r="AK49" s="1636"/>
      <c r="AL49" s="1637"/>
      <c r="AM49" s="1637"/>
      <c r="AN49" s="1637"/>
      <c r="AO49" s="1637"/>
    </row>
    <row r="50" spans="1:41" s="1624" customFormat="1" ht="18.75" customHeight="1" x14ac:dyDescent="0.15">
      <c r="A50" s="1578"/>
      <c r="B50" s="1627"/>
      <c r="C50" s="1627">
        <v>2</v>
      </c>
      <c r="D50" s="1672" t="str">
        <f>'1_入力シート【基本情報】'!$DS83</f>
        <v/>
      </c>
      <c r="E50" s="1672" t="str">
        <f t="shared" si="30"/>
        <v/>
      </c>
      <c r="F50" s="1672" t="str">
        <f t="shared" si="31"/>
        <v/>
      </c>
      <c r="G50" s="1672" t="str">
        <f t="shared" si="32"/>
        <v/>
      </c>
      <c r="H50" s="1628"/>
      <c r="I50" s="1660"/>
      <c r="J50" s="1531"/>
      <c r="K50" s="1627"/>
      <c r="L50" s="1627"/>
      <c r="M50" s="1629"/>
      <c r="N50" s="1627"/>
      <c r="O50" s="1627"/>
      <c r="P50" s="1627"/>
      <c r="Q50" s="1627"/>
      <c r="R50" s="1627"/>
      <c r="S50" s="1627" t="str">
        <f t="shared" si="33"/>
        <v/>
      </c>
      <c r="T50" s="1627"/>
      <c r="U50" s="1630" t="s">
        <v>1330</v>
      </c>
      <c r="V50" s="1631" t="s">
        <v>1331</v>
      </c>
      <c r="W50" s="1632" t="s">
        <v>1306</v>
      </c>
      <c r="X50" s="1643" t="s">
        <v>223</v>
      </c>
      <c r="Y50" s="1633"/>
      <c r="Z50" s="1640" t="s">
        <v>1334</v>
      </c>
      <c r="AA50" s="1633"/>
      <c r="AB50" s="1631"/>
      <c r="AC50" s="1634"/>
      <c r="AD50" s="1635"/>
      <c r="AE50" s="1636"/>
      <c r="AF50" s="1636"/>
      <c r="AG50" s="1637" t="str">
        <f t="shared" si="4"/>
        <v>5代表となる調査者-勤務先郵便番号</v>
      </c>
      <c r="AH50" s="1637"/>
      <c r="AI50" s="1636"/>
      <c r="AJ50" s="1636"/>
      <c r="AK50" s="1636"/>
      <c r="AL50" s="1637"/>
      <c r="AM50" s="1637"/>
      <c r="AN50" s="1637"/>
      <c r="AO50" s="1637"/>
    </row>
    <row r="51" spans="1:41" s="1624" customFormat="1" ht="18.75" customHeight="1" x14ac:dyDescent="0.15">
      <c r="A51" s="1581"/>
      <c r="B51" s="1642"/>
      <c r="C51" s="1627">
        <v>2</v>
      </c>
      <c r="D51" s="1672" t="str">
        <f>'1_入力シート【基本情報】'!$DS84</f>
        <v/>
      </c>
      <c r="E51" s="1672" t="str">
        <f t="shared" si="30"/>
        <v/>
      </c>
      <c r="F51" s="1672" t="str">
        <f t="shared" si="31"/>
        <v/>
      </c>
      <c r="G51" s="1672" t="str">
        <f t="shared" si="32"/>
        <v/>
      </c>
      <c r="H51" s="1628"/>
      <c r="I51" s="1660"/>
      <c r="J51" s="1531"/>
      <c r="K51" s="1627"/>
      <c r="L51" s="1627"/>
      <c r="M51" s="1629"/>
      <c r="N51" s="1627"/>
      <c r="O51" s="1627"/>
      <c r="P51" s="1627"/>
      <c r="Q51" s="1627"/>
      <c r="R51" s="1627"/>
      <c r="S51" s="1627" t="str">
        <f t="shared" si="33"/>
        <v/>
      </c>
      <c r="T51" s="1627"/>
      <c r="U51" s="1630" t="s">
        <v>1330</v>
      </c>
      <c r="V51" s="1631" t="s">
        <v>1331</v>
      </c>
      <c r="W51" s="1632" t="s">
        <v>1306</v>
      </c>
      <c r="X51" s="1643" t="s">
        <v>223</v>
      </c>
      <c r="Y51" s="1633" t="s">
        <v>1306</v>
      </c>
      <c r="Z51" s="1640" t="s">
        <v>224</v>
      </c>
      <c r="AA51" s="1633"/>
      <c r="AB51" s="1631"/>
      <c r="AC51" s="1634"/>
      <c r="AD51" s="1635"/>
      <c r="AE51" s="1636"/>
      <c r="AF51" s="1636"/>
      <c r="AG51" s="1637" t="str">
        <f t="shared" si="4"/>
        <v>5代表となる調査者-勤務先-所在地</v>
      </c>
      <c r="AH51" s="1637"/>
      <c r="AI51" s="1636"/>
      <c r="AJ51" s="1636"/>
      <c r="AK51" s="1636"/>
      <c r="AL51" s="1637"/>
      <c r="AM51" s="1637"/>
      <c r="AN51" s="1637"/>
      <c r="AO51" s="1637"/>
    </row>
    <row r="52" spans="1:41" s="1624" customFormat="1" ht="18.75" customHeight="1" x14ac:dyDescent="0.15">
      <c r="A52" s="1764"/>
      <c r="B52" s="1629"/>
      <c r="C52" s="1629">
        <v>2</v>
      </c>
      <c r="D52" s="1672" t="str">
        <f>'1_入力シート【基本情報】'!$DS85</f>
        <v/>
      </c>
      <c r="E52" s="1672" t="str">
        <f t="shared" si="30"/>
        <v/>
      </c>
      <c r="F52" s="1672" t="str">
        <f t="shared" si="31"/>
        <v/>
      </c>
      <c r="G52" s="1672" t="str">
        <f t="shared" si="32"/>
        <v/>
      </c>
      <c r="H52" s="1676"/>
      <c r="I52" s="1680"/>
      <c r="J52" s="1706"/>
      <c r="K52" s="1627"/>
      <c r="L52" s="1627"/>
      <c r="M52" s="1629"/>
      <c r="N52" s="1629"/>
      <c r="O52" s="1629"/>
      <c r="P52" s="1629"/>
      <c r="Q52" s="1629"/>
      <c r="R52" s="1629"/>
      <c r="S52" s="1629" t="str">
        <f t="shared" si="33"/>
        <v/>
      </c>
      <c r="T52" s="1629"/>
      <c r="U52" s="1630" t="s">
        <v>1330</v>
      </c>
      <c r="V52" s="1631" t="s">
        <v>1331</v>
      </c>
      <c r="W52" s="1632" t="s">
        <v>1306</v>
      </c>
      <c r="X52" s="1643" t="s">
        <v>223</v>
      </c>
      <c r="Y52" s="1633" t="s">
        <v>1306</v>
      </c>
      <c r="Z52" s="1640" t="s">
        <v>1327</v>
      </c>
      <c r="AA52" s="1677"/>
      <c r="AB52" s="1631"/>
      <c r="AC52" s="1634"/>
      <c r="AD52" s="1635"/>
      <c r="AE52" s="1636"/>
      <c r="AF52" s="1636"/>
      <c r="AG52" s="1637" t="str">
        <f t="shared" si="4"/>
        <v>5代表となる調査者-勤務先-電話番号</v>
      </c>
      <c r="AH52" s="1637"/>
      <c r="AI52" s="1678"/>
      <c r="AJ52" s="1678"/>
      <c r="AK52" s="1678"/>
      <c r="AL52" s="1679"/>
      <c r="AM52" s="1679"/>
      <c r="AN52" s="1679"/>
      <c r="AO52" s="1679"/>
    </row>
    <row r="53" spans="1:41" s="1624" customFormat="1" ht="18.75" customHeight="1" x14ac:dyDescent="0.15">
      <c r="A53" s="1764"/>
      <c r="B53" s="1629"/>
      <c r="C53" s="1629">
        <v>1</v>
      </c>
      <c r="D53" s="1672">
        <f>'1_入力シート【基本情報】'!AB91</f>
        <v>0</v>
      </c>
      <c r="E53" s="1672">
        <f t="shared" ref="E53:E64" si="34">D53</f>
        <v>0</v>
      </c>
      <c r="F53" s="1672" t="str">
        <f t="shared" ref="F53:F64" si="35">SUBSTITUTE(E53,CHAR(10),"")</f>
        <v>0</v>
      </c>
      <c r="G53" s="1672" t="str">
        <f t="shared" ref="G53:G64" si="36">TRIM(F53)</f>
        <v>0</v>
      </c>
      <c r="H53" s="1676"/>
      <c r="I53" s="1682"/>
      <c r="J53" s="1706"/>
      <c r="K53" s="1629"/>
      <c r="L53" s="1629"/>
      <c r="M53" s="1629"/>
      <c r="N53" s="1629"/>
      <c r="O53" s="1629"/>
      <c r="P53" s="1629"/>
      <c r="Q53" s="1629"/>
      <c r="R53" s="1629"/>
      <c r="S53" s="1629" t="str">
        <f t="shared" si="33"/>
        <v/>
      </c>
      <c r="T53" s="1629"/>
      <c r="U53" s="1630" t="s">
        <v>1335</v>
      </c>
      <c r="V53" s="1631" t="s">
        <v>1336</v>
      </c>
      <c r="W53" s="1632" t="s">
        <v>1306</v>
      </c>
      <c r="X53" s="1639" t="s">
        <v>887</v>
      </c>
      <c r="Y53" s="1633" t="s">
        <v>1306</v>
      </c>
      <c r="Z53" s="1640" t="s">
        <v>1019</v>
      </c>
      <c r="AA53" s="1677"/>
      <c r="AB53" s="1631"/>
      <c r="AC53" s="1685"/>
      <c r="AD53" s="1635"/>
      <c r="AE53" s="1678"/>
      <c r="AF53" s="1678"/>
      <c r="AG53" s="1637" t="str">
        <f t="shared" ref="AG53:AG116" si="37">CONCATENATE(U53,V53,W53,X53,Y53,Z53,AA53,AB53,AC53,AD53)</f>
        <v>6その他の調査者1-資格-資格名称</v>
      </c>
      <c r="AH53" s="1637"/>
      <c r="AI53" s="1678"/>
      <c r="AJ53" s="1678"/>
      <c r="AK53" s="1678"/>
      <c r="AL53" s="1679"/>
      <c r="AM53" s="1679"/>
      <c r="AN53" s="1679"/>
      <c r="AO53" s="1679"/>
    </row>
    <row r="54" spans="1:41" s="1624" customFormat="1" ht="18.75" customHeight="1" x14ac:dyDescent="0.15">
      <c r="A54" s="1581"/>
      <c r="B54" s="1642"/>
      <c r="C54" s="1627">
        <v>2</v>
      </c>
      <c r="D54" s="1672" t="str">
        <f>'1_入力シート【基本情報】'!$DS92</f>
        <v/>
      </c>
      <c r="E54" s="1672" t="str">
        <f t="shared" si="34"/>
        <v/>
      </c>
      <c r="F54" s="1672" t="str">
        <f t="shared" si="35"/>
        <v/>
      </c>
      <c r="G54" s="1672" t="str">
        <f t="shared" si="36"/>
        <v/>
      </c>
      <c r="H54" s="1628"/>
      <c r="I54" s="1644"/>
      <c r="J54" s="1531"/>
      <c r="K54" s="1627"/>
      <c r="L54" s="1627"/>
      <c r="M54" s="1629"/>
      <c r="N54" s="1627"/>
      <c r="O54" s="1627"/>
      <c r="P54" s="1627"/>
      <c r="Q54" s="1627"/>
      <c r="R54" s="1627"/>
      <c r="S54" s="1627" t="str">
        <f t="shared" si="33"/>
        <v/>
      </c>
      <c r="T54" s="1627"/>
      <c r="U54" s="1630" t="s">
        <v>1335</v>
      </c>
      <c r="V54" s="1631" t="s">
        <v>1336</v>
      </c>
      <c r="W54" s="1632" t="s">
        <v>1306</v>
      </c>
      <c r="X54" s="1639" t="s">
        <v>887</v>
      </c>
      <c r="Y54" s="1633" t="s">
        <v>1306</v>
      </c>
      <c r="Z54" s="1654" t="s">
        <v>666</v>
      </c>
      <c r="AA54" s="1677" t="s">
        <v>1306</v>
      </c>
      <c r="AB54" s="1686" t="s">
        <v>1300</v>
      </c>
      <c r="AC54" s="1685"/>
      <c r="AD54" s="1635"/>
      <c r="AE54" s="1678"/>
      <c r="AF54" s="1678"/>
      <c r="AG54" s="1637" t="str">
        <f t="shared" si="37"/>
        <v>6その他の調査者1-資格-建築士-登録</v>
      </c>
      <c r="AH54" s="1637"/>
      <c r="AI54" s="1636"/>
      <c r="AJ54" s="1636"/>
      <c r="AK54" s="1636"/>
      <c r="AL54" s="1637"/>
      <c r="AM54" s="1637"/>
      <c r="AN54" s="1637"/>
      <c r="AO54" s="1637"/>
    </row>
    <row r="55" spans="1:41" s="1624" customFormat="1" ht="18.75" customHeight="1" x14ac:dyDescent="0.15">
      <c r="A55" s="1581"/>
      <c r="B55" s="1642"/>
      <c r="C55" s="1627">
        <v>2</v>
      </c>
      <c r="D55" s="1672" t="str">
        <f>'1_入力シート【基本情報】'!$DS93</f>
        <v/>
      </c>
      <c r="E55" s="1672" t="str">
        <f t="shared" si="34"/>
        <v/>
      </c>
      <c r="F55" s="1672" t="str">
        <f t="shared" si="35"/>
        <v/>
      </c>
      <c r="G55" s="1672" t="str">
        <f t="shared" si="36"/>
        <v/>
      </c>
      <c r="H55" s="1628"/>
      <c r="I55" s="1644"/>
      <c r="J55" s="1531"/>
      <c r="K55" s="1627"/>
      <c r="L55" s="1627"/>
      <c r="M55" s="1629"/>
      <c r="N55" s="1627"/>
      <c r="O55" s="1627"/>
      <c r="P55" s="1627"/>
      <c r="Q55" s="1627"/>
      <c r="R55" s="1627"/>
      <c r="S55" s="1627" t="str">
        <f t="shared" si="33"/>
        <v/>
      </c>
      <c r="T55" s="1627"/>
      <c r="U55" s="1630" t="s">
        <v>1335</v>
      </c>
      <c r="V55" s="1631" t="s">
        <v>1336</v>
      </c>
      <c r="W55" s="1632" t="s">
        <v>1306</v>
      </c>
      <c r="X55" s="1639" t="s">
        <v>887</v>
      </c>
      <c r="Y55" s="1633" t="s">
        <v>1306</v>
      </c>
      <c r="Z55" s="1654" t="s">
        <v>666</v>
      </c>
      <c r="AA55" s="1677" t="s">
        <v>1306</v>
      </c>
      <c r="AB55" s="1686" t="s">
        <v>4</v>
      </c>
      <c r="AC55" s="1685"/>
      <c r="AD55" s="1635"/>
      <c r="AE55" s="1636"/>
      <c r="AF55" s="1636"/>
      <c r="AG55" s="1637" t="str">
        <f t="shared" si="37"/>
        <v>6その他の調査者1-資格-建築士-号</v>
      </c>
      <c r="AH55" s="1637"/>
      <c r="AI55" s="1636"/>
      <c r="AJ55" s="1636"/>
      <c r="AK55" s="1636"/>
      <c r="AL55" s="1637"/>
      <c r="AM55" s="1637"/>
      <c r="AN55" s="1637"/>
      <c r="AO55" s="1637"/>
    </row>
    <row r="56" spans="1:41" s="1624" customFormat="1" ht="18.75" customHeight="1" x14ac:dyDescent="0.15">
      <c r="A56" s="1581"/>
      <c r="B56" s="1642"/>
      <c r="C56" s="1627">
        <v>2</v>
      </c>
      <c r="D56" s="1672" t="str">
        <f>'1_入力シート【基本情報】'!$DS94</f>
        <v/>
      </c>
      <c r="E56" s="1672" t="str">
        <f t="shared" si="34"/>
        <v/>
      </c>
      <c r="F56" s="1672" t="str">
        <f t="shared" si="35"/>
        <v/>
      </c>
      <c r="G56" s="1672" t="str">
        <f t="shared" si="36"/>
        <v/>
      </c>
      <c r="H56" s="1628"/>
      <c r="I56" s="1644"/>
      <c r="J56" s="1531"/>
      <c r="K56" s="1627"/>
      <c r="L56" s="1627"/>
      <c r="M56" s="1629"/>
      <c r="N56" s="1627"/>
      <c r="O56" s="1627"/>
      <c r="P56" s="1627"/>
      <c r="Q56" s="1627"/>
      <c r="R56" s="1627"/>
      <c r="S56" s="1627" t="str">
        <f t="shared" si="33"/>
        <v/>
      </c>
      <c r="T56" s="1627"/>
      <c r="U56" s="1630" t="s">
        <v>1335</v>
      </c>
      <c r="V56" s="1631" t="s">
        <v>1336</v>
      </c>
      <c r="W56" s="1632" t="s">
        <v>1306</v>
      </c>
      <c r="X56" s="1639" t="s">
        <v>887</v>
      </c>
      <c r="Y56" s="1633" t="s">
        <v>1306</v>
      </c>
      <c r="Z56" s="1640" t="s">
        <v>243</v>
      </c>
      <c r="AA56" s="1633"/>
      <c r="AB56" s="1631"/>
      <c r="AC56" s="1634"/>
      <c r="AD56" s="1635"/>
      <c r="AE56" s="1636"/>
      <c r="AF56" s="1636"/>
      <c r="AG56" s="1637" t="str">
        <f t="shared" si="37"/>
        <v>6その他の調査者1-資格-特定建築物調査員</v>
      </c>
      <c r="AH56" s="1637"/>
      <c r="AI56" s="1636"/>
      <c r="AJ56" s="1636"/>
      <c r="AK56" s="1636"/>
      <c r="AL56" s="1637"/>
      <c r="AM56" s="1637"/>
      <c r="AN56" s="1637"/>
      <c r="AO56" s="1637"/>
    </row>
    <row r="57" spans="1:41" s="1624" customFormat="1" ht="18.75" customHeight="1" x14ac:dyDescent="0.15">
      <c r="A57" s="1764"/>
      <c r="B57" s="1629"/>
      <c r="C57" s="1629">
        <v>2</v>
      </c>
      <c r="D57" s="1687" t="str">
        <f>'1_入力シート【基本情報】'!$DS96</f>
        <v/>
      </c>
      <c r="E57" s="1672" t="str">
        <f t="shared" si="34"/>
        <v/>
      </c>
      <c r="F57" s="1672" t="str">
        <f t="shared" si="35"/>
        <v/>
      </c>
      <c r="G57" s="1672" t="str">
        <f t="shared" si="36"/>
        <v/>
      </c>
      <c r="H57" s="1676"/>
      <c r="I57" s="1682"/>
      <c r="J57" s="1706"/>
      <c r="K57" s="1629"/>
      <c r="L57" s="1629"/>
      <c r="M57" s="1629"/>
      <c r="N57" s="1629"/>
      <c r="O57" s="1629"/>
      <c r="P57" s="1629"/>
      <c r="Q57" s="1629"/>
      <c r="R57" s="1629"/>
      <c r="S57" s="1629" t="str">
        <f t="shared" si="33"/>
        <v/>
      </c>
      <c r="T57" s="1629"/>
      <c r="U57" s="1630" t="s">
        <v>1335</v>
      </c>
      <c r="V57" s="1631" t="s">
        <v>1336</v>
      </c>
      <c r="W57" s="1632" t="s">
        <v>1306</v>
      </c>
      <c r="X57" s="1639" t="s">
        <v>1325</v>
      </c>
      <c r="Y57" s="1633" t="s">
        <v>1306</v>
      </c>
      <c r="Z57" s="1640" t="s">
        <v>1325</v>
      </c>
      <c r="AA57" s="1677"/>
      <c r="AB57" s="1656"/>
      <c r="AC57" s="1634"/>
      <c r="AD57" s="1635"/>
      <c r="AE57" s="1636"/>
      <c r="AF57" s="1636"/>
      <c r="AG57" s="1637" t="str">
        <f t="shared" si="37"/>
        <v>6その他の調査者1-氏名-氏名</v>
      </c>
      <c r="AH57" s="1637"/>
      <c r="AI57" s="1678"/>
      <c r="AJ57" s="1678"/>
      <c r="AK57" s="1678"/>
      <c r="AL57" s="1679"/>
      <c r="AM57" s="1679"/>
      <c r="AN57" s="1679"/>
      <c r="AO57" s="1679"/>
    </row>
    <row r="58" spans="1:41" s="1624" customFormat="1" ht="18.75" customHeight="1" x14ac:dyDescent="0.15">
      <c r="A58" s="1764"/>
      <c r="B58" s="1629"/>
      <c r="C58" s="1629">
        <v>2</v>
      </c>
      <c r="D58" s="1672" t="str">
        <f>'1_入力シート【基本情報】'!$DW97</f>
        <v/>
      </c>
      <c r="E58" s="1672" t="str">
        <f t="shared" si="34"/>
        <v/>
      </c>
      <c r="F58" s="1672" t="str">
        <f t="shared" si="35"/>
        <v/>
      </c>
      <c r="G58" s="1672" t="str">
        <f t="shared" si="36"/>
        <v/>
      </c>
      <c r="H58" s="1676"/>
      <c r="I58" s="1682"/>
      <c r="J58" s="1706"/>
      <c r="K58" s="1629"/>
      <c r="L58" s="1629"/>
      <c r="M58" s="1629"/>
      <c r="N58" s="1629"/>
      <c r="O58" s="1629"/>
      <c r="P58" s="1629"/>
      <c r="Q58" s="1629"/>
      <c r="R58" s="1629"/>
      <c r="S58" s="1629" t="str">
        <f t="shared" si="33"/>
        <v/>
      </c>
      <c r="T58" s="1629"/>
      <c r="U58" s="1630" t="s">
        <v>1335</v>
      </c>
      <c r="V58" s="1631" t="s">
        <v>1336</v>
      </c>
      <c r="W58" s="1632" t="s">
        <v>1306</v>
      </c>
      <c r="X58" s="1639" t="s">
        <v>223</v>
      </c>
      <c r="Y58" s="1633" t="s">
        <v>1306</v>
      </c>
      <c r="Z58" s="1640" t="s">
        <v>667</v>
      </c>
      <c r="AA58" s="1677"/>
      <c r="AB58" s="1656"/>
      <c r="AC58" s="1634"/>
      <c r="AD58" s="1635"/>
      <c r="AE58" s="1678"/>
      <c r="AF58" s="1678"/>
      <c r="AG58" s="1637" t="str">
        <f t="shared" si="37"/>
        <v>6その他の調査者1-勤務先-名称</v>
      </c>
      <c r="AH58" s="1637"/>
      <c r="AI58" s="1678"/>
      <c r="AJ58" s="1678"/>
      <c r="AK58" s="1678"/>
      <c r="AL58" s="1679"/>
      <c r="AM58" s="1679"/>
      <c r="AN58" s="1679"/>
      <c r="AO58" s="1679"/>
    </row>
    <row r="59" spans="1:41" s="1624" customFormat="1" ht="18.75" customHeight="1" x14ac:dyDescent="0.15">
      <c r="A59" s="1581"/>
      <c r="B59" s="1642"/>
      <c r="C59" s="1627">
        <v>2</v>
      </c>
      <c r="D59" s="1672" t="str">
        <f>'1_入力シート【基本情報】'!$DW98</f>
        <v/>
      </c>
      <c r="E59" s="1672" t="str">
        <f t="shared" si="34"/>
        <v/>
      </c>
      <c r="F59" s="1672" t="str">
        <f t="shared" si="35"/>
        <v/>
      </c>
      <c r="G59" s="1672" t="str">
        <f t="shared" si="36"/>
        <v/>
      </c>
      <c r="H59" s="1628"/>
      <c r="I59" s="1644"/>
      <c r="J59" s="1531"/>
      <c r="K59" s="1627"/>
      <c r="L59" s="1627"/>
      <c r="M59" s="1629"/>
      <c r="N59" s="1627"/>
      <c r="O59" s="1627"/>
      <c r="P59" s="1627"/>
      <c r="Q59" s="1627"/>
      <c r="R59" s="1627"/>
      <c r="S59" s="1627" t="str">
        <f t="shared" si="33"/>
        <v/>
      </c>
      <c r="T59" s="1627"/>
      <c r="U59" s="1630" t="s">
        <v>1335</v>
      </c>
      <c r="V59" s="1631" t="s">
        <v>1336</v>
      </c>
      <c r="W59" s="1632" t="s">
        <v>1306</v>
      </c>
      <c r="X59" s="1639" t="s">
        <v>223</v>
      </c>
      <c r="Y59" s="1633" t="s">
        <v>1306</v>
      </c>
      <c r="Z59" s="1640" t="s">
        <v>1332</v>
      </c>
      <c r="AA59" s="1633" t="s">
        <v>1306</v>
      </c>
      <c r="AB59" s="1631" t="s">
        <v>1333</v>
      </c>
      <c r="AC59" s="1685"/>
      <c r="AD59" s="1635"/>
      <c r="AE59" s="1678"/>
      <c r="AF59" s="1678"/>
      <c r="AG59" s="1637" t="str">
        <f t="shared" si="37"/>
        <v>6その他の調査者1-勤務先-事務所登録-建築士事務所</v>
      </c>
      <c r="AH59" s="1637"/>
      <c r="AI59" s="1636"/>
      <c r="AJ59" s="1636"/>
      <c r="AK59" s="1636"/>
      <c r="AL59" s="1637"/>
      <c r="AM59" s="1637"/>
      <c r="AN59" s="1637"/>
      <c r="AO59" s="1637"/>
    </row>
    <row r="60" spans="1:41" s="1624" customFormat="1" ht="18.75" customHeight="1" x14ac:dyDescent="0.15">
      <c r="A60" s="1581"/>
      <c r="B60" s="1642"/>
      <c r="C60" s="1627">
        <v>2</v>
      </c>
      <c r="D60" s="1672" t="str">
        <f>'1_入力シート【基本情報】'!$DW99</f>
        <v/>
      </c>
      <c r="E60" s="1672" t="str">
        <f t="shared" si="34"/>
        <v/>
      </c>
      <c r="F60" s="1672" t="str">
        <f t="shared" si="35"/>
        <v/>
      </c>
      <c r="G60" s="1672" t="str">
        <f t="shared" si="36"/>
        <v/>
      </c>
      <c r="H60" s="1628"/>
      <c r="I60" s="1644"/>
      <c r="J60" s="1531"/>
      <c r="K60" s="1627"/>
      <c r="L60" s="1627"/>
      <c r="M60" s="1629"/>
      <c r="N60" s="1627"/>
      <c r="O60" s="1627"/>
      <c r="P60" s="1627"/>
      <c r="Q60" s="1627"/>
      <c r="R60" s="1627"/>
      <c r="S60" s="1627" t="str">
        <f t="shared" si="33"/>
        <v/>
      </c>
      <c r="T60" s="1627"/>
      <c r="U60" s="1630" t="s">
        <v>1335</v>
      </c>
      <c r="V60" s="1631" t="s">
        <v>1336</v>
      </c>
      <c r="W60" s="1632" t="s">
        <v>1306</v>
      </c>
      <c r="X60" s="1639" t="s">
        <v>223</v>
      </c>
      <c r="Y60" s="1633" t="s">
        <v>1306</v>
      </c>
      <c r="Z60" s="1640" t="s">
        <v>1332</v>
      </c>
      <c r="AA60" s="1633" t="s">
        <v>1306</v>
      </c>
      <c r="AB60" s="1631" t="s">
        <v>651</v>
      </c>
      <c r="AC60" s="1685"/>
      <c r="AD60" s="1635"/>
      <c r="AE60" s="1636"/>
      <c r="AF60" s="1636"/>
      <c r="AG60" s="1637" t="str">
        <f t="shared" si="37"/>
        <v>6その他の調査者1-勤務先-事務所登録-知事登録</v>
      </c>
      <c r="AH60" s="1637"/>
      <c r="AI60" s="1636"/>
      <c r="AJ60" s="1636"/>
      <c r="AK60" s="1636"/>
      <c r="AL60" s="1637"/>
      <c r="AM60" s="1637"/>
      <c r="AN60" s="1637"/>
      <c r="AO60" s="1637"/>
    </row>
    <row r="61" spans="1:41" s="1624" customFormat="1" ht="18.75" customHeight="1" x14ac:dyDescent="0.15">
      <c r="A61" s="1581"/>
      <c r="B61" s="1642"/>
      <c r="C61" s="1627">
        <v>2</v>
      </c>
      <c r="D61" s="1672" t="str">
        <f>'1_入力シート【基本情報】'!$DW100</f>
        <v/>
      </c>
      <c r="E61" s="1672" t="str">
        <f t="shared" si="34"/>
        <v/>
      </c>
      <c r="F61" s="1672" t="str">
        <f t="shared" si="35"/>
        <v/>
      </c>
      <c r="G61" s="1672" t="str">
        <f t="shared" si="36"/>
        <v/>
      </c>
      <c r="H61" s="1628"/>
      <c r="I61" s="1644"/>
      <c r="J61" s="1531"/>
      <c r="K61" s="1627"/>
      <c r="L61" s="1627"/>
      <c r="M61" s="1629"/>
      <c r="N61" s="1627"/>
      <c r="O61" s="1627"/>
      <c r="P61" s="1627"/>
      <c r="Q61" s="1627"/>
      <c r="R61" s="1627"/>
      <c r="S61" s="1627" t="str">
        <f t="shared" si="33"/>
        <v/>
      </c>
      <c r="T61" s="1627"/>
      <c r="U61" s="1630" t="s">
        <v>1335</v>
      </c>
      <c r="V61" s="1631" t="s">
        <v>1336</v>
      </c>
      <c r="W61" s="1632" t="s">
        <v>1306</v>
      </c>
      <c r="X61" s="1639" t="s">
        <v>223</v>
      </c>
      <c r="Y61" s="1633" t="s">
        <v>1306</v>
      </c>
      <c r="Z61" s="1640" t="s">
        <v>1332</v>
      </c>
      <c r="AA61" s="1633" t="s">
        <v>1306</v>
      </c>
      <c r="AB61" s="1631" t="s">
        <v>4</v>
      </c>
      <c r="AC61" s="1634"/>
      <c r="AD61" s="1635"/>
      <c r="AE61" s="1636"/>
      <c r="AF61" s="1636"/>
      <c r="AG61" s="1637" t="str">
        <f t="shared" si="37"/>
        <v>6その他の調査者1-勤務先-事務所登録-号</v>
      </c>
      <c r="AH61" s="1637"/>
      <c r="AI61" s="1636"/>
      <c r="AJ61" s="1636"/>
      <c r="AK61" s="1636"/>
      <c r="AL61" s="1637"/>
      <c r="AM61" s="1637"/>
      <c r="AN61" s="1637"/>
      <c r="AO61" s="1637"/>
    </row>
    <row r="62" spans="1:41" s="1624" customFormat="1" ht="18.75" customHeight="1" x14ac:dyDescent="0.15">
      <c r="A62" s="1578"/>
      <c r="B62" s="1627"/>
      <c r="C62" s="1627">
        <v>2</v>
      </c>
      <c r="D62" s="1672" t="str">
        <f>'1_入力シート【基本情報】'!$DW101</f>
        <v/>
      </c>
      <c r="E62" s="1672" t="str">
        <f t="shared" si="34"/>
        <v/>
      </c>
      <c r="F62" s="1672" t="str">
        <f t="shared" si="35"/>
        <v/>
      </c>
      <c r="G62" s="1672" t="str">
        <f t="shared" si="36"/>
        <v/>
      </c>
      <c r="H62" s="1628"/>
      <c r="I62" s="1644"/>
      <c r="J62" s="1531"/>
      <c r="K62" s="1627"/>
      <c r="L62" s="1627"/>
      <c r="M62" s="1629"/>
      <c r="N62" s="1627"/>
      <c r="O62" s="1627"/>
      <c r="P62" s="1627"/>
      <c r="Q62" s="1627"/>
      <c r="R62" s="1627"/>
      <c r="S62" s="1627" t="str">
        <f t="shared" si="33"/>
        <v/>
      </c>
      <c r="T62" s="1627"/>
      <c r="U62" s="1630" t="s">
        <v>1335</v>
      </c>
      <c r="V62" s="1631" t="s">
        <v>1336</v>
      </c>
      <c r="W62" s="1632" t="s">
        <v>1306</v>
      </c>
      <c r="X62" s="1639" t="s">
        <v>223</v>
      </c>
      <c r="Y62" s="1633" t="s">
        <v>1306</v>
      </c>
      <c r="Z62" s="1656" t="s">
        <v>1334</v>
      </c>
      <c r="AA62" s="1688"/>
      <c r="AB62" s="1686"/>
      <c r="AC62" s="1634"/>
      <c r="AD62" s="1635"/>
      <c r="AE62" s="1636"/>
      <c r="AF62" s="1636"/>
      <c r="AG62" s="1637" t="str">
        <f t="shared" si="37"/>
        <v>6その他の調査者1-勤務先-郵便番号</v>
      </c>
      <c r="AH62" s="1637"/>
      <c r="AI62" s="1636"/>
      <c r="AJ62" s="1636"/>
      <c r="AK62" s="1636"/>
      <c r="AL62" s="1637"/>
      <c r="AM62" s="1637"/>
      <c r="AN62" s="1637"/>
      <c r="AO62" s="1637"/>
    </row>
    <row r="63" spans="1:41" s="1624" customFormat="1" ht="18.75" customHeight="1" x14ac:dyDescent="0.15">
      <c r="A63" s="1578"/>
      <c r="B63" s="1627"/>
      <c r="C63" s="1627">
        <v>2</v>
      </c>
      <c r="D63" s="1672" t="str">
        <f>'1_入力シート【基本情報】'!$DW102</f>
        <v/>
      </c>
      <c r="E63" s="1672" t="str">
        <f t="shared" si="34"/>
        <v/>
      </c>
      <c r="F63" s="1672" t="str">
        <f t="shared" si="35"/>
        <v/>
      </c>
      <c r="G63" s="1672" t="str">
        <f t="shared" si="36"/>
        <v/>
      </c>
      <c r="H63" s="1628"/>
      <c r="I63" s="1644"/>
      <c r="J63" s="1531"/>
      <c r="K63" s="1627"/>
      <c r="L63" s="1627"/>
      <c r="M63" s="1629"/>
      <c r="N63" s="1627"/>
      <c r="O63" s="1627"/>
      <c r="P63" s="1627"/>
      <c r="Q63" s="1627"/>
      <c r="R63" s="1627"/>
      <c r="S63" s="1627" t="str">
        <f t="shared" si="33"/>
        <v/>
      </c>
      <c r="T63" s="1627"/>
      <c r="U63" s="1630" t="s">
        <v>1335</v>
      </c>
      <c r="V63" s="1631" t="s">
        <v>1336</v>
      </c>
      <c r="W63" s="1632" t="s">
        <v>1306</v>
      </c>
      <c r="X63" s="1639" t="s">
        <v>223</v>
      </c>
      <c r="Y63" s="1633" t="s">
        <v>1306</v>
      </c>
      <c r="Z63" s="1640" t="s">
        <v>224</v>
      </c>
      <c r="AA63" s="1633"/>
      <c r="AB63" s="1631"/>
      <c r="AC63" s="1634"/>
      <c r="AD63" s="1635"/>
      <c r="AE63" s="1636"/>
      <c r="AF63" s="1636"/>
      <c r="AG63" s="1637" t="str">
        <f t="shared" si="37"/>
        <v>6その他の調査者1-勤務先-所在地</v>
      </c>
      <c r="AH63" s="1637"/>
      <c r="AI63" s="1636"/>
      <c r="AJ63" s="1636"/>
      <c r="AK63" s="1636"/>
      <c r="AL63" s="1637"/>
      <c r="AM63" s="1637"/>
      <c r="AN63" s="1637"/>
      <c r="AO63" s="1637"/>
    </row>
    <row r="64" spans="1:41" s="1637" customFormat="1" ht="18.75" customHeight="1" x14ac:dyDescent="0.15">
      <c r="A64" s="1578"/>
      <c r="B64" s="1627"/>
      <c r="C64" s="1627">
        <v>2</v>
      </c>
      <c r="D64" s="1672" t="str">
        <f>'1_入力シート【基本情報】'!$DW103</f>
        <v/>
      </c>
      <c r="E64" s="1672" t="str">
        <f t="shared" si="34"/>
        <v/>
      </c>
      <c r="F64" s="1672" t="str">
        <f t="shared" si="35"/>
        <v/>
      </c>
      <c r="G64" s="1672" t="str">
        <f t="shared" si="36"/>
        <v/>
      </c>
      <c r="H64" s="1628"/>
      <c r="I64" s="1644"/>
      <c r="J64" s="1531"/>
      <c r="K64" s="1627"/>
      <c r="L64" s="1627"/>
      <c r="M64" s="1629"/>
      <c r="N64" s="1627"/>
      <c r="O64" s="1627"/>
      <c r="P64" s="1627"/>
      <c r="Q64" s="1627"/>
      <c r="R64" s="1627"/>
      <c r="S64" s="1627" t="str">
        <f t="shared" si="33"/>
        <v/>
      </c>
      <c r="T64" s="1627"/>
      <c r="U64" s="1630" t="s">
        <v>1335</v>
      </c>
      <c r="V64" s="1631" t="s">
        <v>1336</v>
      </c>
      <c r="W64" s="1632" t="s">
        <v>1306</v>
      </c>
      <c r="X64" s="1639" t="s">
        <v>223</v>
      </c>
      <c r="Y64" s="1633" t="s">
        <v>1306</v>
      </c>
      <c r="Z64" s="1640" t="s">
        <v>1337</v>
      </c>
      <c r="AA64" s="1633"/>
      <c r="AB64" s="1631"/>
      <c r="AC64" s="1634"/>
      <c r="AD64" s="1635"/>
      <c r="AE64" s="1636"/>
      <c r="AF64" s="1636"/>
      <c r="AG64" s="1637" t="str">
        <f t="shared" si="37"/>
        <v>6その他の調査者1-勤務先-電話番号</v>
      </c>
      <c r="AI64" s="1636"/>
      <c r="AJ64" s="1636"/>
      <c r="AK64" s="1636"/>
    </row>
    <row r="65" spans="1:37" s="1637" customFormat="1" ht="18.75" customHeight="1" x14ac:dyDescent="0.15">
      <c r="A65" s="1578"/>
      <c r="B65" s="1627"/>
      <c r="C65" s="1627">
        <v>1</v>
      </c>
      <c r="D65" s="1672">
        <f>'1_入力シート【基本情報】'!$AB109</f>
        <v>0</v>
      </c>
      <c r="E65" s="1672">
        <f t="shared" ref="E65:E76" si="38">D65</f>
        <v>0</v>
      </c>
      <c r="F65" s="1672" t="str">
        <f t="shared" ref="F65:F76" si="39">SUBSTITUTE(E65,CHAR(10),"")</f>
        <v>0</v>
      </c>
      <c r="G65" s="1672" t="str">
        <f t="shared" ref="G65:G76" si="40">TRIM(F65)</f>
        <v>0</v>
      </c>
      <c r="H65" s="1628"/>
      <c r="I65" s="1660"/>
      <c r="J65" s="1531"/>
      <c r="K65" s="1627"/>
      <c r="L65" s="1627"/>
      <c r="M65" s="1629"/>
      <c r="N65" s="1627"/>
      <c r="O65" s="1627"/>
      <c r="P65" s="1627"/>
      <c r="Q65" s="1627"/>
      <c r="R65" s="1627"/>
      <c r="S65" s="1627" t="str">
        <f t="shared" si="33"/>
        <v/>
      </c>
      <c r="T65" s="1627"/>
      <c r="U65" s="1630" t="s">
        <v>1338</v>
      </c>
      <c r="V65" s="1631" t="s">
        <v>1339</v>
      </c>
      <c r="W65" s="1632" t="s">
        <v>1306</v>
      </c>
      <c r="X65" s="1639" t="s">
        <v>887</v>
      </c>
      <c r="Y65" s="1633" t="s">
        <v>1306</v>
      </c>
      <c r="Z65" s="1640" t="s">
        <v>1019</v>
      </c>
      <c r="AA65" s="1633"/>
      <c r="AB65" s="1631"/>
      <c r="AC65" s="1634"/>
      <c r="AD65" s="1635"/>
      <c r="AE65" s="1636"/>
      <c r="AF65" s="1636"/>
      <c r="AG65" s="1637" t="str">
        <f t="shared" si="37"/>
        <v>7その他の調査者2-資格-資格名称</v>
      </c>
      <c r="AI65" s="1636"/>
      <c r="AJ65" s="1636"/>
      <c r="AK65" s="1636"/>
    </row>
    <row r="66" spans="1:37" s="1637" customFormat="1" ht="18.75" customHeight="1" x14ac:dyDescent="0.15">
      <c r="A66" s="1581"/>
      <c r="B66" s="1642"/>
      <c r="C66" s="1627">
        <v>2</v>
      </c>
      <c r="D66" s="1672" t="str">
        <f>'1_入力シート【基本情報】'!$DS110</f>
        <v/>
      </c>
      <c r="E66" s="1672" t="str">
        <f t="shared" si="38"/>
        <v/>
      </c>
      <c r="F66" s="1672" t="str">
        <f t="shared" si="39"/>
        <v/>
      </c>
      <c r="G66" s="1672" t="str">
        <f t="shared" si="40"/>
        <v/>
      </c>
      <c r="H66" s="1628"/>
      <c r="I66" s="1660"/>
      <c r="J66" s="1531"/>
      <c r="K66" s="1627"/>
      <c r="L66" s="1627"/>
      <c r="M66" s="1629"/>
      <c r="N66" s="1627"/>
      <c r="O66" s="1627"/>
      <c r="P66" s="1627"/>
      <c r="Q66" s="1627"/>
      <c r="R66" s="1627"/>
      <c r="S66" s="1627" t="str">
        <f t="shared" si="33"/>
        <v/>
      </c>
      <c r="T66" s="1627"/>
      <c r="U66" s="1630" t="s">
        <v>1338</v>
      </c>
      <c r="V66" s="1631" t="s">
        <v>1339</v>
      </c>
      <c r="W66" s="1632" t="s">
        <v>1306</v>
      </c>
      <c r="X66" s="1639" t="s">
        <v>887</v>
      </c>
      <c r="Y66" s="1633" t="s">
        <v>1306</v>
      </c>
      <c r="Z66" s="1640" t="s">
        <v>666</v>
      </c>
      <c r="AA66" s="1633" t="s">
        <v>1306</v>
      </c>
      <c r="AB66" s="1631" t="s">
        <v>1300</v>
      </c>
      <c r="AC66" s="1634"/>
      <c r="AD66" s="1635"/>
      <c r="AE66" s="1636"/>
      <c r="AF66" s="1636"/>
      <c r="AG66" s="1637" t="str">
        <f t="shared" si="37"/>
        <v>7その他の調査者2-資格-建築士-登録</v>
      </c>
      <c r="AI66" s="1636"/>
      <c r="AJ66" s="1636"/>
      <c r="AK66" s="1636"/>
    </row>
    <row r="67" spans="1:37" s="1637" customFormat="1" ht="18.75" customHeight="1" x14ac:dyDescent="0.15">
      <c r="A67" s="1578"/>
      <c r="B67" s="1627"/>
      <c r="C67" s="1627">
        <v>2</v>
      </c>
      <c r="D67" s="1672" t="str">
        <f>'1_入力シート【基本情報】'!$DS111</f>
        <v/>
      </c>
      <c r="E67" s="1672" t="str">
        <f t="shared" si="38"/>
        <v/>
      </c>
      <c r="F67" s="1672" t="str">
        <f t="shared" si="39"/>
        <v/>
      </c>
      <c r="G67" s="1672" t="str">
        <f t="shared" si="40"/>
        <v/>
      </c>
      <c r="H67" s="1628"/>
      <c r="I67" s="1660"/>
      <c r="J67" s="1531"/>
      <c r="K67" s="1627"/>
      <c r="L67" s="1627"/>
      <c r="M67" s="1629"/>
      <c r="N67" s="1627"/>
      <c r="O67" s="1627"/>
      <c r="P67" s="1627"/>
      <c r="Q67" s="1627"/>
      <c r="R67" s="1627"/>
      <c r="S67" s="1627" t="str">
        <f t="shared" si="33"/>
        <v/>
      </c>
      <c r="T67" s="1627"/>
      <c r="U67" s="1630" t="s">
        <v>1338</v>
      </c>
      <c r="V67" s="1631" t="s">
        <v>1339</v>
      </c>
      <c r="W67" s="1632" t="s">
        <v>1306</v>
      </c>
      <c r="X67" s="1639" t="s">
        <v>887</v>
      </c>
      <c r="Y67" s="1633" t="s">
        <v>1306</v>
      </c>
      <c r="Z67" s="1640" t="s">
        <v>666</v>
      </c>
      <c r="AA67" s="1633" t="s">
        <v>1306</v>
      </c>
      <c r="AB67" s="1631" t="s">
        <v>4</v>
      </c>
      <c r="AC67" s="1634"/>
      <c r="AD67" s="1635"/>
      <c r="AE67" s="1636"/>
      <c r="AF67" s="1636"/>
      <c r="AG67" s="1637" t="str">
        <f t="shared" si="37"/>
        <v>7その他の調査者2-資格-建築士-号</v>
      </c>
      <c r="AI67" s="1636"/>
      <c r="AJ67" s="1636"/>
      <c r="AK67" s="1636"/>
    </row>
    <row r="68" spans="1:37" s="1637" customFormat="1" ht="18.75" customHeight="1" x14ac:dyDescent="0.15">
      <c r="A68" s="1578"/>
      <c r="B68" s="1627"/>
      <c r="C68" s="1627">
        <v>2</v>
      </c>
      <c r="D68" s="1672" t="str">
        <f>'1_入力シート【基本情報】'!$DS112</f>
        <v/>
      </c>
      <c r="E68" s="1672" t="str">
        <f t="shared" si="38"/>
        <v/>
      </c>
      <c r="F68" s="1672" t="str">
        <f t="shared" si="39"/>
        <v/>
      </c>
      <c r="G68" s="1672" t="str">
        <f t="shared" si="40"/>
        <v/>
      </c>
      <c r="H68" s="1628"/>
      <c r="I68" s="1660"/>
      <c r="J68" s="1531"/>
      <c r="K68" s="1627"/>
      <c r="L68" s="1627"/>
      <c r="M68" s="1629"/>
      <c r="N68" s="1627"/>
      <c r="O68" s="1627"/>
      <c r="P68" s="1627"/>
      <c r="Q68" s="1627"/>
      <c r="R68" s="1627"/>
      <c r="S68" s="1627" t="str">
        <f t="shared" si="33"/>
        <v/>
      </c>
      <c r="T68" s="1627"/>
      <c r="U68" s="1630" t="s">
        <v>1338</v>
      </c>
      <c r="V68" s="1631" t="s">
        <v>1339</v>
      </c>
      <c r="W68" s="1632" t="s">
        <v>1306</v>
      </c>
      <c r="X68" s="1639" t="s">
        <v>887</v>
      </c>
      <c r="Y68" s="1633" t="s">
        <v>1306</v>
      </c>
      <c r="Z68" s="1640" t="s">
        <v>1095</v>
      </c>
      <c r="AA68" s="1677" t="s">
        <v>1306</v>
      </c>
      <c r="AB68" s="1631" t="s">
        <v>4</v>
      </c>
      <c r="AC68" s="1634"/>
      <c r="AD68" s="1635"/>
      <c r="AE68" s="1636"/>
      <c r="AF68" s="1636"/>
      <c r="AG68" s="1637" t="str">
        <f t="shared" si="37"/>
        <v>7その他の調査者2-資格-特定建築物調査員-号</v>
      </c>
      <c r="AI68" s="1636"/>
      <c r="AJ68" s="1636"/>
      <c r="AK68" s="1636"/>
    </row>
    <row r="69" spans="1:37" s="1637" customFormat="1" ht="18.75" customHeight="1" x14ac:dyDescent="0.15">
      <c r="A69" s="1581"/>
      <c r="B69" s="1642"/>
      <c r="C69" s="1627">
        <v>2</v>
      </c>
      <c r="D69" s="1672" t="str">
        <f>'1_入力シート【基本情報】'!$DS114</f>
        <v/>
      </c>
      <c r="E69" s="1672" t="str">
        <f t="shared" si="38"/>
        <v/>
      </c>
      <c r="F69" s="1672" t="str">
        <f t="shared" si="39"/>
        <v/>
      </c>
      <c r="G69" s="1672" t="str">
        <f t="shared" si="40"/>
        <v/>
      </c>
      <c r="H69" s="1628"/>
      <c r="I69" s="1660"/>
      <c r="J69" s="1531"/>
      <c r="K69" s="1627"/>
      <c r="L69" s="1627"/>
      <c r="M69" s="1629"/>
      <c r="N69" s="1627"/>
      <c r="O69" s="1627"/>
      <c r="P69" s="1627"/>
      <c r="Q69" s="1627"/>
      <c r="R69" s="1627"/>
      <c r="S69" s="1627" t="str">
        <f t="shared" si="33"/>
        <v/>
      </c>
      <c r="T69" s="1627"/>
      <c r="U69" s="1630" t="s">
        <v>1338</v>
      </c>
      <c r="V69" s="1631" t="s">
        <v>1339</v>
      </c>
      <c r="W69" s="1632" t="s">
        <v>1306</v>
      </c>
      <c r="X69" s="1639" t="s">
        <v>1325</v>
      </c>
      <c r="Y69" s="1633" t="s">
        <v>1306</v>
      </c>
      <c r="Z69" s="1640" t="s">
        <v>1325</v>
      </c>
      <c r="AA69" s="1633"/>
      <c r="AB69" s="1631"/>
      <c r="AC69" s="1634"/>
      <c r="AD69" s="1635"/>
      <c r="AE69" s="1636"/>
      <c r="AF69" s="1636"/>
      <c r="AG69" s="1637" t="str">
        <f t="shared" si="37"/>
        <v>7その他の調査者2-氏名-氏名</v>
      </c>
      <c r="AI69" s="1636"/>
      <c r="AJ69" s="1636"/>
      <c r="AK69" s="1636"/>
    </row>
    <row r="70" spans="1:37" s="1637" customFormat="1" ht="18.75" customHeight="1" x14ac:dyDescent="0.15">
      <c r="A70" s="1581"/>
      <c r="B70" s="1642"/>
      <c r="C70" s="1627">
        <v>2</v>
      </c>
      <c r="D70" s="1672" t="str">
        <f>'1_入力シート【基本情報】'!$DW115</f>
        <v/>
      </c>
      <c r="E70" s="1672" t="str">
        <f t="shared" si="38"/>
        <v/>
      </c>
      <c r="F70" s="1672" t="str">
        <f t="shared" si="39"/>
        <v/>
      </c>
      <c r="G70" s="1672" t="str">
        <f t="shared" si="40"/>
        <v/>
      </c>
      <c r="H70" s="1628"/>
      <c r="I70" s="1660"/>
      <c r="J70" s="1531"/>
      <c r="K70" s="1627"/>
      <c r="L70" s="1627"/>
      <c r="M70" s="1629"/>
      <c r="N70" s="1627"/>
      <c r="O70" s="1627"/>
      <c r="P70" s="1627"/>
      <c r="Q70" s="1627"/>
      <c r="R70" s="1627"/>
      <c r="S70" s="1627" t="str">
        <f t="shared" si="33"/>
        <v/>
      </c>
      <c r="T70" s="1627"/>
      <c r="U70" s="1630" t="s">
        <v>1338</v>
      </c>
      <c r="V70" s="1631" t="s">
        <v>1339</v>
      </c>
      <c r="W70" s="1632" t="s">
        <v>1306</v>
      </c>
      <c r="X70" s="1639" t="s">
        <v>223</v>
      </c>
      <c r="Y70" s="1633" t="s">
        <v>1306</v>
      </c>
      <c r="Z70" s="1640" t="s">
        <v>667</v>
      </c>
      <c r="AA70" s="1677"/>
      <c r="AB70" s="1656"/>
      <c r="AC70" s="1634"/>
      <c r="AD70" s="1635"/>
      <c r="AE70" s="1636"/>
      <c r="AF70" s="1636"/>
      <c r="AG70" s="1637" t="str">
        <f t="shared" si="37"/>
        <v>7その他の調査者2-勤務先-名称</v>
      </c>
      <c r="AI70" s="1636"/>
      <c r="AJ70" s="1636"/>
      <c r="AK70" s="1636"/>
    </row>
    <row r="71" spans="1:37" s="1637" customFormat="1" ht="18.75" customHeight="1" x14ac:dyDescent="0.15">
      <c r="A71" s="1581"/>
      <c r="B71" s="1642"/>
      <c r="C71" s="1627">
        <v>2</v>
      </c>
      <c r="D71" s="1672" t="str">
        <f>'1_入力シート【基本情報】'!$DW116</f>
        <v/>
      </c>
      <c r="E71" s="1672" t="str">
        <f t="shared" si="38"/>
        <v/>
      </c>
      <c r="F71" s="1672" t="str">
        <f t="shared" si="39"/>
        <v/>
      </c>
      <c r="G71" s="1672" t="str">
        <f t="shared" si="40"/>
        <v/>
      </c>
      <c r="H71" s="1628"/>
      <c r="I71" s="1660"/>
      <c r="J71" s="1531"/>
      <c r="K71" s="1627"/>
      <c r="L71" s="1627"/>
      <c r="M71" s="1629"/>
      <c r="N71" s="1627"/>
      <c r="O71" s="1627"/>
      <c r="P71" s="1627"/>
      <c r="Q71" s="1627"/>
      <c r="R71" s="1627"/>
      <c r="S71" s="1627" t="str">
        <f t="shared" si="33"/>
        <v/>
      </c>
      <c r="T71" s="1627"/>
      <c r="U71" s="1630" t="s">
        <v>1338</v>
      </c>
      <c r="V71" s="1631" t="s">
        <v>1339</v>
      </c>
      <c r="W71" s="1632" t="s">
        <v>1306</v>
      </c>
      <c r="X71" s="1639" t="s">
        <v>223</v>
      </c>
      <c r="Y71" s="1633" t="s">
        <v>1306</v>
      </c>
      <c r="Z71" s="1640" t="s">
        <v>1332</v>
      </c>
      <c r="AA71" s="1633" t="s">
        <v>1306</v>
      </c>
      <c r="AB71" s="1631" t="s">
        <v>1333</v>
      </c>
      <c r="AC71" s="1634"/>
      <c r="AD71" s="1635"/>
      <c r="AE71" s="1636"/>
      <c r="AF71" s="1636"/>
      <c r="AG71" s="1637" t="str">
        <f t="shared" si="37"/>
        <v>7その他の調査者2-勤務先-事務所登録-建築士事務所</v>
      </c>
      <c r="AI71" s="1636"/>
      <c r="AJ71" s="1636"/>
      <c r="AK71" s="1636"/>
    </row>
    <row r="72" spans="1:37" s="1637" customFormat="1" ht="18.75" customHeight="1" x14ac:dyDescent="0.15">
      <c r="A72" s="1578"/>
      <c r="B72" s="1627"/>
      <c r="C72" s="1627">
        <v>2</v>
      </c>
      <c r="D72" s="1672" t="str">
        <f>'1_入力シート【基本情報】'!$DW117</f>
        <v/>
      </c>
      <c r="E72" s="1672" t="str">
        <f t="shared" si="38"/>
        <v/>
      </c>
      <c r="F72" s="1672" t="str">
        <f t="shared" si="39"/>
        <v/>
      </c>
      <c r="G72" s="1672" t="str">
        <f t="shared" si="40"/>
        <v/>
      </c>
      <c r="H72" s="1628"/>
      <c r="I72" s="1660"/>
      <c r="J72" s="1531"/>
      <c r="K72" s="1627"/>
      <c r="L72" s="1627"/>
      <c r="M72" s="1629"/>
      <c r="N72" s="1627"/>
      <c r="O72" s="1627"/>
      <c r="P72" s="1627"/>
      <c r="Q72" s="1627"/>
      <c r="R72" s="1627"/>
      <c r="S72" s="1627" t="str">
        <f t="shared" si="33"/>
        <v/>
      </c>
      <c r="T72" s="1627"/>
      <c r="U72" s="1630" t="s">
        <v>1338</v>
      </c>
      <c r="V72" s="1631" t="s">
        <v>1339</v>
      </c>
      <c r="W72" s="1632" t="s">
        <v>1306</v>
      </c>
      <c r="X72" s="1639" t="s">
        <v>223</v>
      </c>
      <c r="Y72" s="1633" t="s">
        <v>1306</v>
      </c>
      <c r="Z72" s="1640" t="s">
        <v>1332</v>
      </c>
      <c r="AA72" s="1633" t="s">
        <v>1306</v>
      </c>
      <c r="AB72" s="1631" t="s">
        <v>651</v>
      </c>
      <c r="AC72" s="1634"/>
      <c r="AD72" s="1635"/>
      <c r="AE72" s="1636"/>
      <c r="AF72" s="1636"/>
      <c r="AG72" s="1637" t="str">
        <f t="shared" si="37"/>
        <v>7その他の調査者2-勤務先-事務所登録-知事登録</v>
      </c>
      <c r="AI72" s="1636"/>
      <c r="AJ72" s="1636"/>
      <c r="AK72" s="1636"/>
    </row>
    <row r="73" spans="1:37" s="1637" customFormat="1" ht="18.75" customHeight="1" x14ac:dyDescent="0.15">
      <c r="A73" s="1578"/>
      <c r="B73" s="1627"/>
      <c r="C73" s="1627">
        <v>2</v>
      </c>
      <c r="D73" s="1672" t="str">
        <f>'1_入力シート【基本情報】'!$DW118</f>
        <v/>
      </c>
      <c r="E73" s="1672" t="str">
        <f t="shared" si="38"/>
        <v/>
      </c>
      <c r="F73" s="1672" t="str">
        <f t="shared" si="39"/>
        <v/>
      </c>
      <c r="G73" s="1672" t="str">
        <f t="shared" si="40"/>
        <v/>
      </c>
      <c r="H73" s="1628"/>
      <c r="I73" s="1660"/>
      <c r="J73" s="1531"/>
      <c r="K73" s="1627"/>
      <c r="L73" s="1627"/>
      <c r="M73" s="1629"/>
      <c r="N73" s="1627"/>
      <c r="O73" s="1627"/>
      <c r="P73" s="1627"/>
      <c r="Q73" s="1627"/>
      <c r="R73" s="1627"/>
      <c r="S73" s="1627" t="str">
        <f t="shared" si="33"/>
        <v/>
      </c>
      <c r="T73" s="1627"/>
      <c r="U73" s="1630" t="s">
        <v>1338</v>
      </c>
      <c r="V73" s="1631" t="s">
        <v>1339</v>
      </c>
      <c r="W73" s="1632" t="s">
        <v>1306</v>
      </c>
      <c r="X73" s="1639" t="s">
        <v>223</v>
      </c>
      <c r="Y73" s="1633" t="s">
        <v>1306</v>
      </c>
      <c r="Z73" s="1640" t="s">
        <v>1332</v>
      </c>
      <c r="AA73" s="1633" t="s">
        <v>1306</v>
      </c>
      <c r="AB73" s="1631" t="s">
        <v>4</v>
      </c>
      <c r="AC73" s="1634"/>
      <c r="AD73" s="1635"/>
      <c r="AE73" s="1636"/>
      <c r="AF73" s="1636"/>
      <c r="AG73" s="1637" t="str">
        <f t="shared" si="37"/>
        <v>7その他の調査者2-勤務先-事務所登録-号</v>
      </c>
      <c r="AI73" s="1636"/>
      <c r="AJ73" s="1636"/>
      <c r="AK73" s="1636"/>
    </row>
    <row r="74" spans="1:37" s="1637" customFormat="1" ht="18.75" customHeight="1" x14ac:dyDescent="0.15">
      <c r="A74" s="1581"/>
      <c r="B74" s="1642"/>
      <c r="C74" s="1627">
        <v>2</v>
      </c>
      <c r="D74" s="1672" t="str">
        <f>'1_入力シート【基本情報】'!$DW119</f>
        <v/>
      </c>
      <c r="E74" s="1672" t="str">
        <f t="shared" si="38"/>
        <v/>
      </c>
      <c r="F74" s="1672" t="str">
        <f t="shared" si="39"/>
        <v/>
      </c>
      <c r="G74" s="1672" t="str">
        <f t="shared" si="40"/>
        <v/>
      </c>
      <c r="H74" s="1628"/>
      <c r="I74" s="1660"/>
      <c r="J74" s="1531"/>
      <c r="K74" s="1627"/>
      <c r="L74" s="1627"/>
      <c r="M74" s="1629"/>
      <c r="N74" s="1627"/>
      <c r="O74" s="1627"/>
      <c r="P74" s="1627"/>
      <c r="Q74" s="1627"/>
      <c r="R74" s="1627"/>
      <c r="S74" s="1627" t="str">
        <f t="shared" si="33"/>
        <v/>
      </c>
      <c r="T74" s="1627"/>
      <c r="U74" s="1630" t="s">
        <v>1338</v>
      </c>
      <c r="V74" s="1631" t="s">
        <v>1339</v>
      </c>
      <c r="W74" s="1632" t="s">
        <v>1306</v>
      </c>
      <c r="X74" s="1639" t="s">
        <v>223</v>
      </c>
      <c r="Y74" s="1633" t="s">
        <v>1306</v>
      </c>
      <c r="Z74" s="1656" t="s">
        <v>1334</v>
      </c>
      <c r="AA74" s="1688"/>
      <c r="AB74" s="1686"/>
      <c r="AC74" s="1634"/>
      <c r="AD74" s="1635"/>
      <c r="AE74" s="1636"/>
      <c r="AF74" s="1636"/>
      <c r="AG74" s="1637" t="str">
        <f t="shared" si="37"/>
        <v>7その他の調査者2-勤務先-郵便番号</v>
      </c>
      <c r="AI74" s="1636"/>
      <c r="AJ74" s="1636"/>
      <c r="AK74" s="1636"/>
    </row>
    <row r="75" spans="1:37" s="1637" customFormat="1" ht="18.75" customHeight="1" x14ac:dyDescent="0.15">
      <c r="A75" s="1581"/>
      <c r="B75" s="1642"/>
      <c r="C75" s="1627">
        <v>2</v>
      </c>
      <c r="D75" s="1672" t="str">
        <f>'1_入力シート【基本情報】'!$DW120</f>
        <v/>
      </c>
      <c r="E75" s="1672" t="str">
        <f t="shared" si="38"/>
        <v/>
      </c>
      <c r="F75" s="1672" t="str">
        <f t="shared" si="39"/>
        <v/>
      </c>
      <c r="G75" s="1672" t="str">
        <f t="shared" si="40"/>
        <v/>
      </c>
      <c r="H75" s="1628"/>
      <c r="I75" s="1660"/>
      <c r="J75" s="1531"/>
      <c r="K75" s="1627"/>
      <c r="L75" s="1627"/>
      <c r="M75" s="1629"/>
      <c r="N75" s="1627"/>
      <c r="O75" s="1627"/>
      <c r="P75" s="1627"/>
      <c r="Q75" s="1627"/>
      <c r="R75" s="1627"/>
      <c r="S75" s="1627" t="str">
        <f t="shared" si="33"/>
        <v/>
      </c>
      <c r="T75" s="1627"/>
      <c r="U75" s="1630" t="s">
        <v>1338</v>
      </c>
      <c r="V75" s="1631" t="s">
        <v>1339</v>
      </c>
      <c r="W75" s="1632" t="s">
        <v>1306</v>
      </c>
      <c r="X75" s="1639" t="s">
        <v>223</v>
      </c>
      <c r="Y75" s="1633" t="s">
        <v>1306</v>
      </c>
      <c r="Z75" s="1640" t="s">
        <v>224</v>
      </c>
      <c r="AA75" s="1633"/>
      <c r="AB75" s="1631"/>
      <c r="AC75" s="1634"/>
      <c r="AD75" s="1635"/>
      <c r="AE75" s="1636"/>
      <c r="AF75" s="1636"/>
      <c r="AG75" s="1637" t="str">
        <f t="shared" si="37"/>
        <v>7その他の調査者2-勤務先-所在地</v>
      </c>
      <c r="AI75" s="1636"/>
      <c r="AJ75" s="1636"/>
      <c r="AK75" s="1636"/>
    </row>
    <row r="76" spans="1:37" s="1637" customFormat="1" ht="18.75" customHeight="1" x14ac:dyDescent="0.15">
      <c r="A76" s="1581"/>
      <c r="B76" s="1642"/>
      <c r="C76" s="1627">
        <v>2</v>
      </c>
      <c r="D76" s="1672" t="str">
        <f>'1_入力シート【基本情報】'!$DW121</f>
        <v/>
      </c>
      <c r="E76" s="1672" t="str">
        <f t="shared" si="38"/>
        <v/>
      </c>
      <c r="F76" s="1672" t="str">
        <f t="shared" si="39"/>
        <v/>
      </c>
      <c r="G76" s="1672" t="str">
        <f t="shared" si="40"/>
        <v/>
      </c>
      <c r="H76" s="1628"/>
      <c r="I76" s="1660"/>
      <c r="J76" s="1531"/>
      <c r="K76" s="1627"/>
      <c r="L76" s="1627"/>
      <c r="M76" s="1629"/>
      <c r="N76" s="1627"/>
      <c r="O76" s="1627"/>
      <c r="P76" s="1627"/>
      <c r="Q76" s="1627"/>
      <c r="R76" s="1627"/>
      <c r="S76" s="1627" t="str">
        <f t="shared" si="33"/>
        <v/>
      </c>
      <c r="T76" s="1627"/>
      <c r="U76" s="1630" t="s">
        <v>1338</v>
      </c>
      <c r="V76" s="1631" t="s">
        <v>1339</v>
      </c>
      <c r="W76" s="1632" t="s">
        <v>1306</v>
      </c>
      <c r="X76" s="1639" t="s">
        <v>223</v>
      </c>
      <c r="Y76" s="1633" t="s">
        <v>1306</v>
      </c>
      <c r="Z76" s="1640" t="s">
        <v>1337</v>
      </c>
      <c r="AA76" s="1633"/>
      <c r="AB76" s="1631"/>
      <c r="AC76" s="1634"/>
      <c r="AD76" s="1635"/>
      <c r="AE76" s="1636"/>
      <c r="AF76" s="1636"/>
      <c r="AG76" s="1637" t="str">
        <f t="shared" si="37"/>
        <v>7その他の調査者2-勤務先-電話番号</v>
      </c>
      <c r="AI76" s="1636"/>
      <c r="AJ76" s="1636"/>
      <c r="AK76" s="1636"/>
    </row>
    <row r="77" spans="1:37" s="1457" customFormat="1" ht="18.75" customHeight="1" x14ac:dyDescent="0.15">
      <c r="A77" s="1581"/>
      <c r="B77" s="1480"/>
      <c r="C77" s="1462">
        <v>2</v>
      </c>
      <c r="D77" s="1650" t="str">
        <f>'1_入力シート【基本情報】'!DW127</f>
        <v/>
      </c>
      <c r="E77" s="1650" t="str">
        <f>D77</f>
        <v/>
      </c>
      <c r="F77" s="1650" t="str">
        <f t="shared" ref="F77:F83" si="41">SUBSTITUTE(E77,CHAR(10),"")</f>
        <v/>
      </c>
      <c r="G77" s="1650" t="str">
        <f t="shared" ref="G77:G83" si="42">TRIM(F77)</f>
        <v/>
      </c>
      <c r="H77" s="1468" t="s">
        <v>2805</v>
      </c>
      <c r="I77" s="1644"/>
      <c r="J77" s="1531"/>
      <c r="K77" s="1462" t="s">
        <v>3092</v>
      </c>
      <c r="L77" s="1462" t="s">
        <v>1307</v>
      </c>
      <c r="M77" s="1493">
        <v>1</v>
      </c>
      <c r="N77" s="1462"/>
      <c r="O77" s="1462"/>
      <c r="P77" s="1462"/>
      <c r="Q77" s="1462"/>
      <c r="R77" s="1462"/>
      <c r="S77" s="1462" t="str">
        <f t="shared" si="33"/>
        <v>防火地域等_1</v>
      </c>
      <c r="T77" s="1462"/>
      <c r="U77" s="1469" t="s">
        <v>1315</v>
      </c>
      <c r="V77" s="1470" t="s">
        <v>245</v>
      </c>
      <c r="W77" s="1471" t="s">
        <v>1306</v>
      </c>
      <c r="X77" s="1472" t="s">
        <v>1340</v>
      </c>
      <c r="Y77" s="1473" t="s">
        <v>1306</v>
      </c>
      <c r="Z77" s="1474" t="s">
        <v>1341</v>
      </c>
      <c r="AA77" s="1473"/>
      <c r="AB77" s="1470"/>
      <c r="AC77" s="1475"/>
      <c r="AD77" s="1476"/>
      <c r="AE77" s="1477"/>
      <c r="AF77" s="1477"/>
      <c r="AG77" s="1457" t="str">
        <f t="shared" si="37"/>
        <v>8敷地の位置-防火地域等-防火地域等 1</v>
      </c>
      <c r="AI77" s="1459"/>
      <c r="AJ77" s="1459"/>
      <c r="AK77" s="1459"/>
    </row>
    <row r="78" spans="1:37" s="1457" customFormat="1" ht="18.75" customHeight="1" x14ac:dyDescent="0.15">
      <c r="A78" s="1578"/>
      <c r="B78" s="1462"/>
      <c r="C78" s="1462">
        <v>2</v>
      </c>
      <c r="D78" s="1650" t="str">
        <f>'1_入力シート【基本情報】'!DW128</f>
        <v/>
      </c>
      <c r="E78" s="1650" t="str">
        <f t="shared" ref="E78:E83" si="43">D78</f>
        <v/>
      </c>
      <c r="F78" s="1650" t="str">
        <f t="shared" si="41"/>
        <v/>
      </c>
      <c r="G78" s="1650" t="str">
        <f t="shared" si="42"/>
        <v/>
      </c>
      <c r="H78" s="1468" t="s">
        <v>2805</v>
      </c>
      <c r="I78" s="1644"/>
      <c r="J78" s="1531"/>
      <c r="K78" s="1462" t="s">
        <v>3092</v>
      </c>
      <c r="L78" s="1462" t="s">
        <v>1307</v>
      </c>
      <c r="M78" s="1493">
        <v>2</v>
      </c>
      <c r="N78" s="1462"/>
      <c r="O78" s="1462"/>
      <c r="P78" s="1462"/>
      <c r="Q78" s="1462"/>
      <c r="R78" s="1462"/>
      <c r="S78" s="1462" t="str">
        <f t="shared" si="33"/>
        <v>防火地域等_2</v>
      </c>
      <c r="T78" s="1462"/>
      <c r="U78" s="1469" t="s">
        <v>1315</v>
      </c>
      <c r="V78" s="1470" t="s">
        <v>245</v>
      </c>
      <c r="W78" s="1471" t="s">
        <v>1306</v>
      </c>
      <c r="X78" s="1472" t="s">
        <v>1340</v>
      </c>
      <c r="Y78" s="1473" t="s">
        <v>1306</v>
      </c>
      <c r="Z78" s="1474" t="s">
        <v>1342</v>
      </c>
      <c r="AA78" s="1473"/>
      <c r="AB78" s="1470"/>
      <c r="AC78" s="1475"/>
      <c r="AD78" s="1476"/>
      <c r="AE78" s="1477"/>
      <c r="AF78" s="1477"/>
      <c r="AG78" s="1457" t="str">
        <f t="shared" si="37"/>
        <v>8敷地の位置-防火地域等-防火地域等 2</v>
      </c>
      <c r="AI78" s="1459"/>
      <c r="AJ78" s="1459"/>
      <c r="AK78" s="1459"/>
    </row>
    <row r="79" spans="1:37" s="1457" customFormat="1" ht="18.75" customHeight="1" x14ac:dyDescent="0.15">
      <c r="A79" s="1578"/>
      <c r="B79" s="1462"/>
      <c r="C79" s="1462">
        <v>2</v>
      </c>
      <c r="D79" s="1650" t="str">
        <f>'1_入力シート【基本情報】'!DW129</f>
        <v/>
      </c>
      <c r="E79" s="1650" t="str">
        <f t="shared" si="43"/>
        <v/>
      </c>
      <c r="F79" s="1650" t="str">
        <f t="shared" si="41"/>
        <v/>
      </c>
      <c r="G79" s="1650" t="str">
        <f t="shared" si="42"/>
        <v/>
      </c>
      <c r="H79" s="1468" t="s">
        <v>2805</v>
      </c>
      <c r="I79" s="1644"/>
      <c r="J79" s="1531"/>
      <c r="K79" s="1462" t="s">
        <v>3092</v>
      </c>
      <c r="L79" s="1462" t="s">
        <v>1307</v>
      </c>
      <c r="M79" s="1493">
        <v>3</v>
      </c>
      <c r="N79" s="1462"/>
      <c r="O79" s="1462"/>
      <c r="P79" s="1462"/>
      <c r="Q79" s="1462"/>
      <c r="R79" s="1462"/>
      <c r="S79" s="1462" t="str">
        <f t="shared" si="33"/>
        <v>防火地域等_3</v>
      </c>
      <c r="T79" s="1462"/>
      <c r="U79" s="1469" t="s">
        <v>1315</v>
      </c>
      <c r="V79" s="1470" t="s">
        <v>245</v>
      </c>
      <c r="W79" s="1471" t="s">
        <v>1306</v>
      </c>
      <c r="X79" s="1472" t="s">
        <v>1340</v>
      </c>
      <c r="Y79" s="1473" t="s">
        <v>1306</v>
      </c>
      <c r="Z79" s="1474" t="s">
        <v>1343</v>
      </c>
      <c r="AA79" s="1473"/>
      <c r="AB79" s="1470"/>
      <c r="AC79" s="1475"/>
      <c r="AD79" s="1476"/>
      <c r="AE79" s="1477"/>
      <c r="AF79" s="1477"/>
      <c r="AG79" s="1457" t="str">
        <f t="shared" si="37"/>
        <v>8敷地の位置-防火地域等-防火地域等 3</v>
      </c>
      <c r="AI79" s="1459"/>
      <c r="AJ79" s="1459"/>
      <c r="AK79" s="1459"/>
    </row>
    <row r="80" spans="1:37" s="1457" customFormat="1" ht="18.75" customHeight="1" x14ac:dyDescent="0.15">
      <c r="A80" s="1578"/>
      <c r="B80" s="1462"/>
      <c r="C80" s="1462">
        <v>2</v>
      </c>
      <c r="D80" s="1650" t="str">
        <f>'1_入力シート【基本情報】'!DW130</f>
        <v/>
      </c>
      <c r="E80" s="1650" t="str">
        <f t="shared" si="43"/>
        <v/>
      </c>
      <c r="F80" s="1650" t="str">
        <f t="shared" si="41"/>
        <v/>
      </c>
      <c r="G80" s="1650" t="str">
        <f t="shared" si="42"/>
        <v/>
      </c>
      <c r="H80" s="1468"/>
      <c r="I80" s="1644"/>
      <c r="J80" s="1531"/>
      <c r="K80" s="1462" t="s">
        <v>3092</v>
      </c>
      <c r="L80" s="1462" t="s">
        <v>1307</v>
      </c>
      <c r="M80" s="1493" t="s">
        <v>3094</v>
      </c>
      <c r="N80" s="1462"/>
      <c r="O80" s="1462"/>
      <c r="P80" s="1462"/>
      <c r="Q80" s="1462"/>
      <c r="R80" s="1462"/>
      <c r="S80" s="1462" t="str">
        <f t="shared" si="33"/>
        <v>防火地域等_その他</v>
      </c>
      <c r="T80" s="1462"/>
      <c r="U80" s="1469" t="s">
        <v>1315</v>
      </c>
      <c r="V80" s="1470" t="s">
        <v>245</v>
      </c>
      <c r="W80" s="1471" t="s">
        <v>1306</v>
      </c>
      <c r="X80" s="1472" t="s">
        <v>1340</v>
      </c>
      <c r="Y80" s="1473" t="s">
        <v>1306</v>
      </c>
      <c r="Z80" s="1487" t="s">
        <v>137</v>
      </c>
      <c r="AA80" s="1498"/>
      <c r="AB80" s="1486"/>
      <c r="AC80" s="1475"/>
      <c r="AD80" s="1476"/>
      <c r="AE80" s="1477"/>
      <c r="AF80" s="1477"/>
      <c r="AG80" s="1457" t="str">
        <f t="shared" si="37"/>
        <v>8敷地の位置-防火地域等-その他</v>
      </c>
      <c r="AI80" s="1459"/>
      <c r="AJ80" s="1459"/>
      <c r="AK80" s="1459"/>
    </row>
    <row r="81" spans="1:37" s="1457" customFormat="1" ht="18.75" customHeight="1" x14ac:dyDescent="0.15">
      <c r="A81" s="1578"/>
      <c r="B81" s="1462"/>
      <c r="C81" s="1462">
        <v>2</v>
      </c>
      <c r="D81" s="1650" t="str">
        <f>'1_入力シート【基本情報】'!DW131</f>
        <v/>
      </c>
      <c r="E81" s="1650" t="str">
        <f t="shared" si="43"/>
        <v/>
      </c>
      <c r="F81" s="1650" t="str">
        <f t="shared" si="41"/>
        <v/>
      </c>
      <c r="G81" s="1650" t="str">
        <f t="shared" si="42"/>
        <v/>
      </c>
      <c r="H81" s="1468" t="s">
        <v>2805</v>
      </c>
      <c r="I81" s="1644"/>
      <c r="J81" s="1531"/>
      <c r="K81" s="1462" t="s">
        <v>3093</v>
      </c>
      <c r="L81" s="1462" t="s">
        <v>1307</v>
      </c>
      <c r="M81" s="1493">
        <v>1</v>
      </c>
      <c r="N81" s="1462"/>
      <c r="O81" s="1462"/>
      <c r="P81" s="1462"/>
      <c r="Q81" s="1462"/>
      <c r="R81" s="1462"/>
      <c r="S81" s="1462" t="str">
        <f t="shared" si="33"/>
        <v>用途地域_1</v>
      </c>
      <c r="T81" s="1462"/>
      <c r="U81" s="1469" t="s">
        <v>1315</v>
      </c>
      <c r="V81" s="1470" t="s">
        <v>245</v>
      </c>
      <c r="W81" s="1471" t="s">
        <v>1306</v>
      </c>
      <c r="X81" s="1472" t="s">
        <v>675</v>
      </c>
      <c r="Y81" s="1473" t="s">
        <v>1306</v>
      </c>
      <c r="Z81" s="1472" t="s">
        <v>1344</v>
      </c>
      <c r="AA81" s="1473"/>
      <c r="AB81" s="1470"/>
      <c r="AC81" s="1475"/>
      <c r="AD81" s="1476"/>
      <c r="AE81" s="1477"/>
      <c r="AF81" s="1477"/>
      <c r="AG81" s="1457" t="str">
        <f t="shared" si="37"/>
        <v>8敷地の位置-用途地域-用途地域 1</v>
      </c>
      <c r="AI81" s="1459"/>
      <c r="AJ81" s="1459"/>
      <c r="AK81" s="1459"/>
    </row>
    <row r="82" spans="1:37" s="1457" customFormat="1" ht="18.75" customHeight="1" x14ac:dyDescent="0.15">
      <c r="A82" s="1578"/>
      <c r="B82" s="1462"/>
      <c r="C82" s="1462">
        <v>2</v>
      </c>
      <c r="D82" s="1650" t="str">
        <f>'1_入力シート【基本情報】'!DW132</f>
        <v/>
      </c>
      <c r="E82" s="1650" t="str">
        <f t="shared" si="43"/>
        <v/>
      </c>
      <c r="F82" s="1650" t="str">
        <f t="shared" si="41"/>
        <v/>
      </c>
      <c r="G82" s="1650" t="str">
        <f t="shared" si="42"/>
        <v/>
      </c>
      <c r="H82" s="1468" t="s">
        <v>2805</v>
      </c>
      <c r="I82" s="1644"/>
      <c r="J82" s="1531"/>
      <c r="K82" s="1462" t="s">
        <v>3093</v>
      </c>
      <c r="L82" s="1462" t="s">
        <v>1307</v>
      </c>
      <c r="M82" s="1493">
        <v>2</v>
      </c>
      <c r="N82" s="1462"/>
      <c r="O82" s="1462"/>
      <c r="P82" s="1462"/>
      <c r="Q82" s="1462"/>
      <c r="R82" s="1462"/>
      <c r="S82" s="1462" t="str">
        <f t="shared" si="33"/>
        <v>用途地域_2</v>
      </c>
      <c r="T82" s="1462"/>
      <c r="U82" s="1469" t="s">
        <v>1315</v>
      </c>
      <c r="V82" s="1470" t="s">
        <v>245</v>
      </c>
      <c r="W82" s="1471" t="s">
        <v>1306</v>
      </c>
      <c r="X82" s="1472" t="s">
        <v>675</v>
      </c>
      <c r="Y82" s="1473" t="s">
        <v>1306</v>
      </c>
      <c r="Z82" s="1472" t="s">
        <v>1345</v>
      </c>
      <c r="AA82" s="1473"/>
      <c r="AB82" s="1470"/>
      <c r="AC82" s="1475"/>
      <c r="AD82" s="1476"/>
      <c r="AE82" s="1477"/>
      <c r="AF82" s="1477"/>
      <c r="AG82" s="1457" t="str">
        <f t="shared" si="37"/>
        <v>8敷地の位置-用途地域-用途地域 2</v>
      </c>
      <c r="AI82" s="1459"/>
      <c r="AJ82" s="1459"/>
      <c r="AK82" s="1459"/>
    </row>
    <row r="83" spans="1:37" s="1457" customFormat="1" ht="18.75" customHeight="1" x14ac:dyDescent="0.15">
      <c r="A83" s="1581"/>
      <c r="B83" s="1480"/>
      <c r="C83" s="1462">
        <v>2</v>
      </c>
      <c r="D83" s="1650" t="str">
        <f>'1_入力シート【基本情報】'!DW133</f>
        <v/>
      </c>
      <c r="E83" s="1650" t="str">
        <f t="shared" si="43"/>
        <v/>
      </c>
      <c r="F83" s="1650" t="str">
        <f t="shared" si="41"/>
        <v/>
      </c>
      <c r="G83" s="1650" t="str">
        <f t="shared" si="42"/>
        <v/>
      </c>
      <c r="H83" s="1468" t="s">
        <v>2805</v>
      </c>
      <c r="I83" s="1644"/>
      <c r="J83" s="1531"/>
      <c r="K83" s="1462" t="s">
        <v>3093</v>
      </c>
      <c r="L83" s="1462" t="s">
        <v>1307</v>
      </c>
      <c r="M83" s="1493">
        <v>3</v>
      </c>
      <c r="N83" s="1462"/>
      <c r="O83" s="1462"/>
      <c r="P83" s="1462"/>
      <c r="Q83" s="1462"/>
      <c r="R83" s="1462"/>
      <c r="S83" s="1462" t="str">
        <f t="shared" si="33"/>
        <v>用途地域_3</v>
      </c>
      <c r="T83" s="1462"/>
      <c r="U83" s="1469" t="s">
        <v>1315</v>
      </c>
      <c r="V83" s="1470" t="s">
        <v>245</v>
      </c>
      <c r="W83" s="1471" t="s">
        <v>1306</v>
      </c>
      <c r="X83" s="1472" t="s">
        <v>675</v>
      </c>
      <c r="Y83" s="1473" t="s">
        <v>1306</v>
      </c>
      <c r="Z83" s="1472" t="s">
        <v>1346</v>
      </c>
      <c r="AA83" s="1473"/>
      <c r="AB83" s="1470"/>
      <c r="AC83" s="1475"/>
      <c r="AD83" s="1476"/>
      <c r="AE83" s="1477"/>
      <c r="AF83" s="1477"/>
      <c r="AG83" s="1457" t="str">
        <f t="shared" si="37"/>
        <v>8敷地の位置-用途地域-用途地域 3</v>
      </c>
      <c r="AI83" s="1459"/>
      <c r="AJ83" s="1459"/>
      <c r="AK83" s="1459"/>
    </row>
    <row r="84" spans="1:37" s="1457" customFormat="1" ht="18.75" customHeight="1" x14ac:dyDescent="0.15">
      <c r="A84" s="1578"/>
      <c r="B84" s="1462"/>
      <c r="C84" s="1462">
        <v>2</v>
      </c>
      <c r="D84" s="1650" t="str">
        <f>'1_入力シート【基本情報】'!DW139</f>
        <v/>
      </c>
      <c r="E84" s="1650" t="str">
        <f t="shared" ref="E84:E86" si="44">D84</f>
        <v/>
      </c>
      <c r="F84" s="1650" t="str">
        <f t="shared" ref="F84:F86" si="45">SUBSTITUTE(E84,CHAR(10),"")</f>
        <v/>
      </c>
      <c r="G84" s="1650" t="str">
        <f t="shared" ref="G84:G86" si="46">TRIM(F84)</f>
        <v/>
      </c>
      <c r="H84" s="1468" t="s">
        <v>2805</v>
      </c>
      <c r="I84" s="1660"/>
      <c r="J84" s="1531"/>
      <c r="K84" s="1462" t="s">
        <v>3095</v>
      </c>
      <c r="L84" s="1462" t="s">
        <v>1307</v>
      </c>
      <c r="M84" s="1493">
        <v>1</v>
      </c>
      <c r="N84" s="1462"/>
      <c r="O84" s="1462"/>
      <c r="P84" s="1462"/>
      <c r="Q84" s="1462"/>
      <c r="R84" s="1462"/>
      <c r="S84" s="1462" t="str">
        <f t="shared" si="33"/>
        <v>構造_1</v>
      </c>
      <c r="T84" s="1462"/>
      <c r="U84" s="1469" t="s">
        <v>1347</v>
      </c>
      <c r="V84" s="1470" t="s">
        <v>1348</v>
      </c>
      <c r="W84" s="1471" t="s">
        <v>1306</v>
      </c>
      <c r="X84" s="1472" t="s">
        <v>226</v>
      </c>
      <c r="Y84" s="1473" t="s">
        <v>1306</v>
      </c>
      <c r="Z84" s="1474" t="s">
        <v>1349</v>
      </c>
      <c r="AA84" s="1473"/>
      <c r="AB84" s="1470"/>
      <c r="AC84" s="1475"/>
      <c r="AD84" s="1476"/>
      <c r="AE84" s="1477"/>
      <c r="AF84" s="1477"/>
      <c r="AG84" s="1457" t="str">
        <f t="shared" si="37"/>
        <v>9建物及びその敷地の概要-構造-構造 1</v>
      </c>
      <c r="AI84" s="1459"/>
      <c r="AJ84" s="1459"/>
      <c r="AK84" s="1459"/>
    </row>
    <row r="85" spans="1:37" s="1457" customFormat="1" ht="18.75" customHeight="1" x14ac:dyDescent="0.15">
      <c r="A85" s="1578"/>
      <c r="B85" s="1462"/>
      <c r="C85" s="1462">
        <v>2</v>
      </c>
      <c r="D85" s="1650" t="str">
        <f>'1_入力シート【基本情報】'!DW140</f>
        <v/>
      </c>
      <c r="E85" s="1650" t="str">
        <f t="shared" si="44"/>
        <v/>
      </c>
      <c r="F85" s="1650" t="str">
        <f t="shared" si="45"/>
        <v/>
      </c>
      <c r="G85" s="1650" t="str">
        <f t="shared" si="46"/>
        <v/>
      </c>
      <c r="H85" s="1468" t="s">
        <v>2805</v>
      </c>
      <c r="I85" s="1660"/>
      <c r="J85" s="1531"/>
      <c r="K85" s="1462" t="s">
        <v>3095</v>
      </c>
      <c r="L85" s="1462" t="s">
        <v>1307</v>
      </c>
      <c r="M85" s="1493">
        <v>2</v>
      </c>
      <c r="N85" s="1462"/>
      <c r="O85" s="1462"/>
      <c r="P85" s="1462"/>
      <c r="Q85" s="1462"/>
      <c r="R85" s="1462"/>
      <c r="S85" s="1462" t="str">
        <f t="shared" si="33"/>
        <v>構造_2</v>
      </c>
      <c r="T85" s="1462"/>
      <c r="U85" s="1469" t="s">
        <v>1347</v>
      </c>
      <c r="V85" s="1470" t="s">
        <v>1348</v>
      </c>
      <c r="W85" s="1471" t="s">
        <v>1306</v>
      </c>
      <c r="X85" s="1472" t="s">
        <v>226</v>
      </c>
      <c r="Y85" s="1473" t="s">
        <v>1306</v>
      </c>
      <c r="Z85" s="1474" t="s">
        <v>1350</v>
      </c>
      <c r="AA85" s="1490"/>
      <c r="AB85" s="1470"/>
      <c r="AC85" s="1475"/>
      <c r="AD85" s="1476"/>
      <c r="AE85" s="1477"/>
      <c r="AF85" s="1477"/>
      <c r="AG85" s="1457" t="str">
        <f t="shared" si="37"/>
        <v>9建物及びその敷地の概要-構造-構造 2</v>
      </c>
      <c r="AI85" s="1459"/>
      <c r="AJ85" s="1459"/>
      <c r="AK85" s="1459"/>
    </row>
    <row r="86" spans="1:37" s="1457" customFormat="1" ht="18.75" customHeight="1" x14ac:dyDescent="0.15">
      <c r="A86" s="1581"/>
      <c r="B86" s="1480"/>
      <c r="C86" s="1462">
        <v>2</v>
      </c>
      <c r="D86" s="1650" t="str">
        <f>'1_入力シート【基本情報】'!DW141</f>
        <v/>
      </c>
      <c r="E86" s="1650" t="str">
        <f t="shared" si="44"/>
        <v/>
      </c>
      <c r="F86" s="1650" t="str">
        <f t="shared" si="45"/>
        <v/>
      </c>
      <c r="G86" s="1650" t="str">
        <f t="shared" si="46"/>
        <v/>
      </c>
      <c r="H86" s="1468" t="s">
        <v>2805</v>
      </c>
      <c r="I86" s="1660"/>
      <c r="J86" s="1531"/>
      <c r="K86" s="1462" t="s">
        <v>3095</v>
      </c>
      <c r="L86" s="1462" t="s">
        <v>1307</v>
      </c>
      <c r="M86" s="1493">
        <v>3</v>
      </c>
      <c r="N86" s="1462"/>
      <c r="O86" s="1462"/>
      <c r="P86" s="1462"/>
      <c r="Q86" s="1462"/>
      <c r="R86" s="1462"/>
      <c r="S86" s="1462" t="str">
        <f t="shared" si="33"/>
        <v>構造_3</v>
      </c>
      <c r="T86" s="1462"/>
      <c r="U86" s="1469" t="s">
        <v>1347</v>
      </c>
      <c r="V86" s="1470" t="s">
        <v>1348</v>
      </c>
      <c r="W86" s="1471" t="s">
        <v>1306</v>
      </c>
      <c r="X86" s="1472" t="s">
        <v>226</v>
      </c>
      <c r="Y86" s="1473" t="s">
        <v>1306</v>
      </c>
      <c r="Z86" s="1474" t="s">
        <v>1351</v>
      </c>
      <c r="AA86" s="1490"/>
      <c r="AB86" s="1470"/>
      <c r="AC86" s="1475"/>
      <c r="AD86" s="1476"/>
      <c r="AE86" s="1477"/>
      <c r="AF86" s="1477"/>
      <c r="AG86" s="1457" t="str">
        <f t="shared" si="37"/>
        <v>9建物及びその敷地の概要-構造-構造 3</v>
      </c>
      <c r="AI86" s="1459"/>
      <c r="AJ86" s="1459"/>
      <c r="AK86" s="1459"/>
    </row>
    <row r="87" spans="1:37" s="1457" customFormat="1" ht="18.75" customHeight="1" x14ac:dyDescent="0.15">
      <c r="A87" s="1581"/>
      <c r="B87" s="1480"/>
      <c r="C87" s="1462">
        <v>2</v>
      </c>
      <c r="D87" s="1650" t="str">
        <f>'1_入力シート【基本情報】'!DW142</f>
        <v/>
      </c>
      <c r="E87" s="1650" t="str">
        <f t="shared" ref="E87:E151" si="47">D87</f>
        <v/>
      </c>
      <c r="F87" s="1650" t="str">
        <f t="shared" ref="F87:F151" si="48">SUBSTITUTE(E87,CHAR(10),"")</f>
        <v/>
      </c>
      <c r="G87" s="1650" t="str">
        <f t="shared" ref="G87:G151" si="49">TRIM(F87)</f>
        <v/>
      </c>
      <c r="H87" s="1468"/>
      <c r="I87" s="1660"/>
      <c r="J87" s="1531"/>
      <c r="K87" s="1462" t="s">
        <v>3095</v>
      </c>
      <c r="L87" s="1462" t="s">
        <v>1307</v>
      </c>
      <c r="M87" s="1493" t="s">
        <v>3094</v>
      </c>
      <c r="N87" s="1462"/>
      <c r="O87" s="1462"/>
      <c r="P87" s="1462"/>
      <c r="Q87" s="1462"/>
      <c r="R87" s="1462"/>
      <c r="S87" s="1462" t="str">
        <f t="shared" si="33"/>
        <v>構造_その他</v>
      </c>
      <c r="T87" s="1462"/>
      <c r="U87" s="1469" t="s">
        <v>1347</v>
      </c>
      <c r="V87" s="1470" t="s">
        <v>1348</v>
      </c>
      <c r="W87" s="1471" t="s">
        <v>1306</v>
      </c>
      <c r="X87" s="1472" t="s">
        <v>226</v>
      </c>
      <c r="Y87" s="1473" t="s">
        <v>1306</v>
      </c>
      <c r="Z87" s="1474" t="s">
        <v>137</v>
      </c>
      <c r="AA87" s="1490"/>
      <c r="AB87" s="1470"/>
      <c r="AC87" s="1475"/>
      <c r="AD87" s="1476"/>
      <c r="AE87" s="1477"/>
      <c r="AF87" s="1477"/>
      <c r="AG87" s="1457" t="str">
        <f t="shared" si="37"/>
        <v>9建物及びその敷地の概要-構造-その他</v>
      </c>
      <c r="AI87" s="1459"/>
      <c r="AJ87" s="1459"/>
      <c r="AK87" s="1459"/>
    </row>
    <row r="88" spans="1:37" s="1457" customFormat="1" ht="18.75" customHeight="1" x14ac:dyDescent="0.15">
      <c r="A88" s="1581"/>
      <c r="B88" s="1480"/>
      <c r="C88" s="1462">
        <v>1</v>
      </c>
      <c r="D88" s="1700">
        <f>'1_入力シート【基本情報】'!AB143</f>
        <v>0</v>
      </c>
      <c r="E88" s="1700">
        <f t="shared" si="47"/>
        <v>0</v>
      </c>
      <c r="F88" s="1700" t="str">
        <f t="shared" si="48"/>
        <v>0</v>
      </c>
      <c r="G88" s="1700" t="str">
        <f t="shared" si="49"/>
        <v>0</v>
      </c>
      <c r="H88" s="1468"/>
      <c r="I88" s="1660"/>
      <c r="J88" s="1531"/>
      <c r="K88" s="1462" t="s">
        <v>3097</v>
      </c>
      <c r="L88" s="1462" t="s">
        <v>1307</v>
      </c>
      <c r="M88" s="1493" t="s">
        <v>3098</v>
      </c>
      <c r="N88" s="1462"/>
      <c r="O88" s="1462"/>
      <c r="P88" s="1462"/>
      <c r="Q88" s="1462"/>
      <c r="R88" s="1462"/>
      <c r="S88" s="1462" t="str">
        <f t="shared" si="33"/>
        <v>階数_地上</v>
      </c>
      <c r="T88" s="1462"/>
      <c r="U88" s="1469" t="s">
        <v>1347</v>
      </c>
      <c r="V88" s="1470" t="s">
        <v>1348</v>
      </c>
      <c r="W88" s="1471" t="s">
        <v>1306</v>
      </c>
      <c r="X88" s="1472" t="s">
        <v>227</v>
      </c>
      <c r="Y88" s="1473" t="s">
        <v>1306</v>
      </c>
      <c r="Z88" s="1484" t="s">
        <v>262</v>
      </c>
      <c r="AA88" s="1485" t="s">
        <v>1306</v>
      </c>
      <c r="AB88" s="1486" t="s">
        <v>17</v>
      </c>
      <c r="AC88" s="1475"/>
      <c r="AD88" s="1476"/>
      <c r="AE88" s="1477"/>
      <c r="AF88" s="1477"/>
      <c r="AG88" s="1457" t="str">
        <f t="shared" si="37"/>
        <v>9建物及びその敷地の概要-階数-地上-階</v>
      </c>
      <c r="AI88" s="1459"/>
      <c r="AJ88" s="1459"/>
      <c r="AK88" s="1459"/>
    </row>
    <row r="89" spans="1:37" s="1457" customFormat="1" ht="18.75" customHeight="1" x14ac:dyDescent="0.15">
      <c r="A89" s="1581"/>
      <c r="B89" s="1480"/>
      <c r="C89" s="1462">
        <v>1</v>
      </c>
      <c r="D89" s="1700">
        <f>'1_入力シート【基本情報】'!AB144</f>
        <v>0</v>
      </c>
      <c r="E89" s="1700">
        <f t="shared" si="47"/>
        <v>0</v>
      </c>
      <c r="F89" s="1700" t="str">
        <f t="shared" si="48"/>
        <v>0</v>
      </c>
      <c r="G89" s="1700" t="str">
        <f t="shared" si="49"/>
        <v>0</v>
      </c>
      <c r="H89" s="1468"/>
      <c r="I89" s="1660"/>
      <c r="J89" s="1531"/>
      <c r="K89" s="1462" t="s">
        <v>3097</v>
      </c>
      <c r="L89" s="1462" t="s">
        <v>1307</v>
      </c>
      <c r="M89" s="1493" t="s">
        <v>3099</v>
      </c>
      <c r="N89" s="1462"/>
      <c r="O89" s="1462"/>
      <c r="P89" s="1462"/>
      <c r="Q89" s="1462"/>
      <c r="R89" s="1462"/>
      <c r="S89" s="1462" t="str">
        <f t="shared" si="33"/>
        <v>階数_地下</v>
      </c>
      <c r="T89" s="1462"/>
      <c r="U89" s="1469" t="s">
        <v>1347</v>
      </c>
      <c r="V89" s="1470" t="s">
        <v>1348</v>
      </c>
      <c r="W89" s="1471" t="s">
        <v>1306</v>
      </c>
      <c r="X89" s="1472" t="s">
        <v>1352</v>
      </c>
      <c r="Y89" s="1473" t="s">
        <v>1306</v>
      </c>
      <c r="Z89" s="1484" t="s">
        <v>263</v>
      </c>
      <c r="AA89" s="1485" t="s">
        <v>1306</v>
      </c>
      <c r="AB89" s="1486" t="s">
        <v>17</v>
      </c>
      <c r="AC89" s="1475"/>
      <c r="AD89" s="1476"/>
      <c r="AE89" s="1477"/>
      <c r="AF89" s="1477"/>
      <c r="AG89" s="1457" t="str">
        <f t="shared" si="37"/>
        <v>9建物及びその敷地の概要-階数-地下-階</v>
      </c>
      <c r="AI89" s="1459"/>
      <c r="AJ89" s="1459"/>
      <c r="AK89" s="1459"/>
    </row>
    <row r="90" spans="1:37" s="1457" customFormat="1" ht="18.75" customHeight="1" x14ac:dyDescent="0.15">
      <c r="A90" s="1578"/>
      <c r="B90" s="1462"/>
      <c r="C90" s="1462">
        <v>1</v>
      </c>
      <c r="D90" s="1694">
        <f>'1_入力シート【基本情報】'!AB145</f>
        <v>0</v>
      </c>
      <c r="E90" s="1694">
        <f t="shared" si="47"/>
        <v>0</v>
      </c>
      <c r="F90" s="1694" t="str">
        <f t="shared" si="48"/>
        <v>0</v>
      </c>
      <c r="G90" s="1694" t="str">
        <f t="shared" si="49"/>
        <v>0</v>
      </c>
      <c r="H90" s="1468"/>
      <c r="I90" s="1660"/>
      <c r="J90" s="1531"/>
      <c r="K90" s="1462" t="s">
        <v>3100</v>
      </c>
      <c r="L90" s="1462"/>
      <c r="M90" s="1493"/>
      <c r="N90" s="1462"/>
      <c r="O90" s="1462"/>
      <c r="P90" s="1462"/>
      <c r="Q90" s="1462"/>
      <c r="R90" s="1462"/>
      <c r="S90" s="1462" t="str">
        <f t="shared" si="33"/>
        <v>敷地面積</v>
      </c>
      <c r="T90" s="1462"/>
      <c r="U90" s="1469" t="s">
        <v>1347</v>
      </c>
      <c r="V90" s="1470" t="s">
        <v>1348</v>
      </c>
      <c r="W90" s="1471" t="s">
        <v>1306</v>
      </c>
      <c r="X90" s="1472" t="s">
        <v>228</v>
      </c>
      <c r="Y90" s="1473"/>
      <c r="Z90" s="1474"/>
      <c r="AA90" s="1485" t="s">
        <v>1306</v>
      </c>
      <c r="AB90" s="1470" t="s">
        <v>28</v>
      </c>
      <c r="AC90" s="1475"/>
      <c r="AD90" s="1476"/>
      <c r="AE90" s="1477"/>
      <c r="AF90" s="1477"/>
      <c r="AG90" s="1457" t="str">
        <f t="shared" si="37"/>
        <v>9建物及びその敷地の概要-敷地面積-㎡</v>
      </c>
      <c r="AI90" s="1459"/>
      <c r="AJ90" s="1459"/>
      <c r="AK90" s="1459"/>
    </row>
    <row r="91" spans="1:37" s="1457" customFormat="1" ht="18.75" customHeight="1" x14ac:dyDescent="0.15">
      <c r="A91" s="1578"/>
      <c r="B91" s="1462"/>
      <c r="C91" s="1462">
        <v>1</v>
      </c>
      <c r="D91" s="1694">
        <f>'1_入力シート【基本情報】'!AB146</f>
        <v>0</v>
      </c>
      <c r="E91" s="1694">
        <f t="shared" si="47"/>
        <v>0</v>
      </c>
      <c r="F91" s="1694" t="str">
        <f t="shared" si="48"/>
        <v>0</v>
      </c>
      <c r="G91" s="1694" t="str">
        <f t="shared" si="49"/>
        <v>0</v>
      </c>
      <c r="H91" s="1468"/>
      <c r="I91" s="1660"/>
      <c r="J91" s="1531"/>
      <c r="K91" s="1462" t="s">
        <v>3101</v>
      </c>
      <c r="L91" s="1462"/>
      <c r="M91" s="1493"/>
      <c r="N91" s="1462"/>
      <c r="O91" s="1462"/>
      <c r="P91" s="1462"/>
      <c r="Q91" s="1462"/>
      <c r="R91" s="1462"/>
      <c r="S91" s="1462" t="str">
        <f t="shared" si="33"/>
        <v>建築面積</v>
      </c>
      <c r="T91" s="1462"/>
      <c r="U91" s="1469" t="s">
        <v>1347</v>
      </c>
      <c r="V91" s="1470" t="s">
        <v>1348</v>
      </c>
      <c r="W91" s="1471" t="s">
        <v>1306</v>
      </c>
      <c r="X91" s="1472" t="s">
        <v>1353</v>
      </c>
      <c r="Y91" s="1473"/>
      <c r="Z91" s="1474"/>
      <c r="AA91" s="1485" t="s">
        <v>1306</v>
      </c>
      <c r="AB91" s="1470" t="s">
        <v>28</v>
      </c>
      <c r="AC91" s="1475"/>
      <c r="AD91" s="1476"/>
      <c r="AE91" s="1477"/>
      <c r="AF91" s="1477"/>
      <c r="AG91" s="1457" t="str">
        <f t="shared" si="37"/>
        <v>9建物及びその敷地の概要-建築面積-㎡</v>
      </c>
      <c r="AI91" s="1459"/>
      <c r="AJ91" s="1459"/>
      <c r="AK91" s="1459"/>
    </row>
    <row r="92" spans="1:37" s="1637" customFormat="1" ht="18.75" customHeight="1" x14ac:dyDescent="0.15">
      <c r="A92" s="1581"/>
      <c r="B92" s="1642"/>
      <c r="C92" s="1627">
        <v>1</v>
      </c>
      <c r="D92" s="1672">
        <f>'1_入力シート【基本情報】'!$AB$152</f>
        <v>0</v>
      </c>
      <c r="E92" s="1672">
        <f t="shared" si="47"/>
        <v>0</v>
      </c>
      <c r="F92" s="1672" t="str">
        <f t="shared" si="48"/>
        <v>0</v>
      </c>
      <c r="G92" s="1672" t="str">
        <f t="shared" si="49"/>
        <v>0</v>
      </c>
      <c r="H92" s="1628"/>
      <c r="I92" s="1644"/>
      <c r="J92" s="1531"/>
      <c r="K92" s="1627"/>
      <c r="L92" s="1627"/>
      <c r="M92" s="1629"/>
      <c r="N92" s="1627"/>
      <c r="O92" s="1627"/>
      <c r="P92" s="1627"/>
      <c r="Q92" s="1627"/>
      <c r="R92" s="1627"/>
      <c r="S92" s="1627" t="str">
        <f t="shared" si="33"/>
        <v/>
      </c>
      <c r="T92" s="1627"/>
      <c r="U92" s="1630" t="s">
        <v>1354</v>
      </c>
      <c r="V92" s="1631" t="s">
        <v>1355</v>
      </c>
      <c r="W92" s="1632" t="s">
        <v>1306</v>
      </c>
      <c r="X92" s="1639" t="s">
        <v>264</v>
      </c>
      <c r="Y92" s="1633"/>
      <c r="Z92" s="1640"/>
      <c r="AA92" s="1677"/>
      <c r="AB92" s="1656"/>
      <c r="AC92" s="1634"/>
      <c r="AD92" s="1635"/>
      <c r="AE92" s="1636"/>
      <c r="AF92" s="1636"/>
      <c r="AG92" s="1637" t="str">
        <f t="shared" si="37"/>
        <v>10性能検証法等の適用-耐火性能検証法</v>
      </c>
      <c r="AI92" s="1636"/>
      <c r="AJ92" s="1636"/>
      <c r="AK92" s="1636"/>
    </row>
    <row r="93" spans="1:37" s="1637" customFormat="1" ht="18.75" customHeight="1" x14ac:dyDescent="0.15">
      <c r="A93" s="1581"/>
      <c r="B93" s="1642"/>
      <c r="C93" s="1627">
        <v>1</v>
      </c>
      <c r="D93" s="1672">
        <f>'1_入力シート【基本情報】'!$AB$153</f>
        <v>0</v>
      </c>
      <c r="E93" s="1672">
        <f t="shared" si="47"/>
        <v>0</v>
      </c>
      <c r="F93" s="1672" t="str">
        <f t="shared" si="48"/>
        <v>0</v>
      </c>
      <c r="G93" s="1672" t="str">
        <f t="shared" si="49"/>
        <v>0</v>
      </c>
      <c r="H93" s="1628"/>
      <c r="I93" s="1644"/>
      <c r="J93" s="1531"/>
      <c r="K93" s="1627"/>
      <c r="L93" s="1627"/>
      <c r="M93" s="1629"/>
      <c r="N93" s="1627"/>
      <c r="O93" s="1627"/>
      <c r="P93" s="1627"/>
      <c r="Q93" s="1627"/>
      <c r="R93" s="1627"/>
      <c r="S93" s="1627" t="str">
        <f t="shared" si="33"/>
        <v/>
      </c>
      <c r="T93" s="1627"/>
      <c r="U93" s="1630" t="s">
        <v>1354</v>
      </c>
      <c r="V93" s="1631" t="s">
        <v>1355</v>
      </c>
      <c r="W93" s="1632" t="s">
        <v>1306</v>
      </c>
      <c r="X93" s="1639" t="s">
        <v>265</v>
      </c>
      <c r="Y93" s="1633"/>
      <c r="Z93" s="1640"/>
      <c r="AA93" s="1677"/>
      <c r="AB93" s="1656"/>
      <c r="AC93" s="1634"/>
      <c r="AD93" s="1635"/>
      <c r="AE93" s="1636"/>
      <c r="AF93" s="1636"/>
      <c r="AG93" s="1637" t="str">
        <f t="shared" si="37"/>
        <v>10性能検証法等の適用-防火区画検証法</v>
      </c>
      <c r="AI93" s="1636"/>
      <c r="AJ93" s="1636"/>
      <c r="AK93" s="1636"/>
    </row>
    <row r="94" spans="1:37" s="1637" customFormat="1" ht="18.75" customHeight="1" x14ac:dyDescent="0.15">
      <c r="A94" s="1581"/>
      <c r="B94" s="1642"/>
      <c r="C94" s="1627">
        <v>1</v>
      </c>
      <c r="D94" s="1672">
        <f>'1_入力シート【基本情報】'!$AB$154</f>
        <v>0</v>
      </c>
      <c r="E94" s="1672">
        <f t="shared" si="47"/>
        <v>0</v>
      </c>
      <c r="F94" s="1672" t="str">
        <f t="shared" si="48"/>
        <v>0</v>
      </c>
      <c r="G94" s="1672" t="str">
        <f t="shared" si="49"/>
        <v>0</v>
      </c>
      <c r="H94" s="1628"/>
      <c r="I94" s="1644"/>
      <c r="J94" s="1531"/>
      <c r="K94" s="1627"/>
      <c r="L94" s="1627"/>
      <c r="M94" s="1629"/>
      <c r="N94" s="1627"/>
      <c r="O94" s="1627"/>
      <c r="P94" s="1627"/>
      <c r="Q94" s="1627"/>
      <c r="R94" s="1627"/>
      <c r="S94" s="1627" t="str">
        <f t="shared" si="33"/>
        <v/>
      </c>
      <c r="T94" s="1627"/>
      <c r="U94" s="1630" t="s">
        <v>1354</v>
      </c>
      <c r="V94" s="1631" t="s">
        <v>1355</v>
      </c>
      <c r="W94" s="1632" t="s">
        <v>1306</v>
      </c>
      <c r="X94" s="1639" t="s">
        <v>266</v>
      </c>
      <c r="Y94" s="1633"/>
      <c r="Z94" s="1654"/>
      <c r="AA94" s="1677"/>
      <c r="AB94" s="1686"/>
      <c r="AC94" s="1634"/>
      <c r="AD94" s="1635"/>
      <c r="AE94" s="1636"/>
      <c r="AF94" s="1636"/>
      <c r="AG94" s="1637" t="str">
        <f t="shared" si="37"/>
        <v>10性能検証法等の適用-区画避難安全検証法</v>
      </c>
      <c r="AI94" s="1636"/>
      <c r="AJ94" s="1636"/>
      <c r="AK94" s="1636"/>
    </row>
    <row r="95" spans="1:37" s="1637" customFormat="1" ht="18.75" customHeight="1" x14ac:dyDescent="0.15">
      <c r="A95" s="1581"/>
      <c r="B95" s="1642"/>
      <c r="C95" s="1627">
        <v>1</v>
      </c>
      <c r="D95" s="1672">
        <f>'1_入力シート【基本情報】'!$AF$154</f>
        <v>0</v>
      </c>
      <c r="E95" s="1672">
        <f t="shared" si="47"/>
        <v>0</v>
      </c>
      <c r="F95" s="1672" t="str">
        <f t="shared" si="48"/>
        <v>0</v>
      </c>
      <c r="G95" s="1672" t="str">
        <f t="shared" si="49"/>
        <v>0</v>
      </c>
      <c r="H95" s="1628"/>
      <c r="I95" s="1644"/>
      <c r="J95" s="1531"/>
      <c r="K95" s="1627"/>
      <c r="L95" s="1627"/>
      <c r="M95" s="1629"/>
      <c r="N95" s="1627"/>
      <c r="O95" s="1627"/>
      <c r="P95" s="1627"/>
      <c r="Q95" s="1627"/>
      <c r="R95" s="1627"/>
      <c r="S95" s="1627" t="str">
        <f t="shared" si="33"/>
        <v/>
      </c>
      <c r="T95" s="1627"/>
      <c r="U95" s="1630" t="s">
        <v>1354</v>
      </c>
      <c r="V95" s="1631" t="s">
        <v>1355</v>
      </c>
      <c r="W95" s="1632" t="s">
        <v>1306</v>
      </c>
      <c r="X95" s="1639" t="s">
        <v>266</v>
      </c>
      <c r="Y95" s="1633" t="s">
        <v>1306</v>
      </c>
      <c r="Z95" s="1656" t="s">
        <v>17</v>
      </c>
      <c r="AA95" s="1695"/>
      <c r="AB95" s="1686"/>
      <c r="AC95" s="1696"/>
      <c r="AD95" s="1697"/>
      <c r="AE95" s="1698"/>
      <c r="AF95" s="1698"/>
      <c r="AG95" s="1637" t="str">
        <f t="shared" si="37"/>
        <v>10性能検証法等の適用-区画避難安全検証法-階</v>
      </c>
      <c r="AI95" s="1698"/>
      <c r="AJ95" s="1698"/>
      <c r="AK95" s="1636"/>
    </row>
    <row r="96" spans="1:37" s="1637" customFormat="1" ht="18.75" customHeight="1" x14ac:dyDescent="0.15">
      <c r="A96" s="1578"/>
      <c r="B96" s="1627"/>
      <c r="C96" s="1627">
        <v>1</v>
      </c>
      <c r="D96" s="1672">
        <f>'1_入力シート【基本情報】'!$AB$155</f>
        <v>0</v>
      </c>
      <c r="E96" s="1672">
        <f t="shared" si="47"/>
        <v>0</v>
      </c>
      <c r="F96" s="1672" t="str">
        <f t="shared" si="48"/>
        <v>0</v>
      </c>
      <c r="G96" s="1672" t="str">
        <f t="shared" si="49"/>
        <v>0</v>
      </c>
      <c r="H96" s="1628"/>
      <c r="I96" s="1644"/>
      <c r="J96" s="1531"/>
      <c r="K96" s="1627"/>
      <c r="L96" s="1627"/>
      <c r="M96" s="1629"/>
      <c r="N96" s="1627"/>
      <c r="O96" s="1627"/>
      <c r="P96" s="1627"/>
      <c r="Q96" s="1627"/>
      <c r="R96" s="1627"/>
      <c r="S96" s="1627" t="str">
        <f t="shared" si="33"/>
        <v/>
      </c>
      <c r="T96" s="1627"/>
      <c r="U96" s="1630" t="s">
        <v>1354</v>
      </c>
      <c r="V96" s="1631" t="s">
        <v>1355</v>
      </c>
      <c r="W96" s="1632" t="s">
        <v>1306</v>
      </c>
      <c r="X96" s="1639" t="s">
        <v>267</v>
      </c>
      <c r="Y96" s="1633"/>
      <c r="Z96" s="1640"/>
      <c r="AA96" s="1633"/>
      <c r="AB96" s="1631"/>
      <c r="AC96" s="1697"/>
      <c r="AD96" s="1697"/>
      <c r="AE96" s="1699"/>
      <c r="AF96" s="1699"/>
      <c r="AG96" s="1637" t="str">
        <f t="shared" si="37"/>
        <v>10性能検証法等の適用-階避難安全検証法</v>
      </c>
      <c r="AI96" s="1699"/>
      <c r="AJ96" s="1699"/>
      <c r="AK96" s="1636"/>
    </row>
    <row r="97" spans="1:37" s="1637" customFormat="1" ht="18.75" customHeight="1" x14ac:dyDescent="0.15">
      <c r="A97" s="1578"/>
      <c r="B97" s="1627"/>
      <c r="C97" s="1627">
        <v>1</v>
      </c>
      <c r="D97" s="1672">
        <f>'1_入力シート【基本情報】'!$AF$155</f>
        <v>0</v>
      </c>
      <c r="E97" s="1672">
        <f t="shared" si="47"/>
        <v>0</v>
      </c>
      <c r="F97" s="1672" t="str">
        <f t="shared" si="48"/>
        <v>0</v>
      </c>
      <c r="G97" s="1672" t="str">
        <f t="shared" si="49"/>
        <v>0</v>
      </c>
      <c r="H97" s="1628"/>
      <c r="I97" s="1644"/>
      <c r="J97" s="1531"/>
      <c r="K97" s="1627"/>
      <c r="L97" s="1627"/>
      <c r="M97" s="1629"/>
      <c r="N97" s="1627"/>
      <c r="O97" s="1627"/>
      <c r="P97" s="1627"/>
      <c r="Q97" s="1627"/>
      <c r="R97" s="1627"/>
      <c r="S97" s="1627" t="str">
        <f t="shared" si="33"/>
        <v/>
      </c>
      <c r="T97" s="1627"/>
      <c r="U97" s="1630" t="s">
        <v>1354</v>
      </c>
      <c r="V97" s="1631" t="s">
        <v>1355</v>
      </c>
      <c r="W97" s="1632" t="s">
        <v>1306</v>
      </c>
      <c r="X97" s="1639" t="s">
        <v>267</v>
      </c>
      <c r="Y97" s="1633" t="s">
        <v>1306</v>
      </c>
      <c r="Z97" s="1640" t="s">
        <v>17</v>
      </c>
      <c r="AA97" s="1633"/>
      <c r="AB97" s="1631"/>
      <c r="AC97" s="1634"/>
      <c r="AD97" s="1635"/>
      <c r="AE97" s="1636"/>
      <c r="AF97" s="1636"/>
      <c r="AG97" s="1637" t="str">
        <f t="shared" si="37"/>
        <v>10性能検証法等の適用-階避難安全検証法-階</v>
      </c>
      <c r="AI97" s="1636"/>
      <c r="AJ97" s="1636"/>
      <c r="AK97" s="1636"/>
    </row>
    <row r="98" spans="1:37" s="1637" customFormat="1" ht="18.75" customHeight="1" x14ac:dyDescent="0.15">
      <c r="A98" s="1578"/>
      <c r="B98" s="1627"/>
      <c r="C98" s="1627">
        <v>1</v>
      </c>
      <c r="D98" s="1672">
        <f>'1_入力シート【基本情報】'!$AB$156</f>
        <v>0</v>
      </c>
      <c r="E98" s="1672">
        <f t="shared" si="47"/>
        <v>0</v>
      </c>
      <c r="F98" s="1672" t="str">
        <f t="shared" si="48"/>
        <v>0</v>
      </c>
      <c r="G98" s="1672" t="str">
        <f t="shared" si="49"/>
        <v>0</v>
      </c>
      <c r="H98" s="1628"/>
      <c r="I98" s="1644"/>
      <c r="J98" s="1531"/>
      <c r="K98" s="1627"/>
      <c r="L98" s="1627"/>
      <c r="M98" s="1629"/>
      <c r="N98" s="1627"/>
      <c r="O98" s="1627"/>
      <c r="P98" s="1627"/>
      <c r="Q98" s="1627"/>
      <c r="R98" s="1627"/>
      <c r="S98" s="1627" t="str">
        <f t="shared" si="33"/>
        <v/>
      </c>
      <c r="T98" s="1627"/>
      <c r="U98" s="1630" t="s">
        <v>1354</v>
      </c>
      <c r="V98" s="1631" t="s">
        <v>1355</v>
      </c>
      <c r="W98" s="1632" t="s">
        <v>1306</v>
      </c>
      <c r="X98" s="1639" t="s">
        <v>1356</v>
      </c>
      <c r="Y98" s="1633"/>
      <c r="Z98" s="1656"/>
      <c r="AA98" s="1688"/>
      <c r="AB98" s="1686"/>
      <c r="AC98" s="1634"/>
      <c r="AD98" s="1635"/>
      <c r="AE98" s="1636"/>
      <c r="AF98" s="1636"/>
      <c r="AG98" s="1637" t="str">
        <f t="shared" si="37"/>
        <v>10性能検証法等の適用-全館避難安全検証法</v>
      </c>
      <c r="AI98" s="1636"/>
      <c r="AJ98" s="1636"/>
      <c r="AK98" s="1636"/>
    </row>
    <row r="99" spans="1:37" s="1637" customFormat="1" ht="18.75" customHeight="1" x14ac:dyDescent="0.15">
      <c r="A99" s="1578"/>
      <c r="B99" s="1627"/>
      <c r="C99" s="1627">
        <v>1</v>
      </c>
      <c r="D99" s="1672">
        <f>'1_入力シート【基本情報】'!$AB$157</f>
        <v>0</v>
      </c>
      <c r="E99" s="1672">
        <f t="shared" si="47"/>
        <v>0</v>
      </c>
      <c r="F99" s="1672" t="str">
        <f t="shared" si="48"/>
        <v>0</v>
      </c>
      <c r="G99" s="1672" t="str">
        <f t="shared" si="49"/>
        <v>0</v>
      </c>
      <c r="H99" s="1628"/>
      <c r="I99" s="1644"/>
      <c r="J99" s="1531"/>
      <c r="K99" s="1627"/>
      <c r="L99" s="1627"/>
      <c r="M99" s="1629"/>
      <c r="N99" s="1627"/>
      <c r="O99" s="1627"/>
      <c r="P99" s="1627"/>
      <c r="Q99" s="1627"/>
      <c r="R99" s="1627"/>
      <c r="S99" s="1627" t="str">
        <f t="shared" si="33"/>
        <v/>
      </c>
      <c r="T99" s="1627"/>
      <c r="U99" s="1630" t="s">
        <v>1354</v>
      </c>
      <c r="V99" s="1631" t="s">
        <v>1355</v>
      </c>
      <c r="W99" s="1632" t="s">
        <v>1306</v>
      </c>
      <c r="X99" s="1639" t="s">
        <v>137</v>
      </c>
      <c r="Y99" s="1633"/>
      <c r="Z99" s="1640"/>
      <c r="AA99" s="1633"/>
      <c r="AB99" s="1631"/>
      <c r="AC99" s="1634"/>
      <c r="AD99" s="1635"/>
      <c r="AE99" s="1636"/>
      <c r="AF99" s="1636"/>
      <c r="AG99" s="1637" t="str">
        <f t="shared" si="37"/>
        <v>10性能検証法等の適用-その他</v>
      </c>
      <c r="AI99" s="1636"/>
      <c r="AJ99" s="1636"/>
      <c r="AK99" s="1636"/>
    </row>
    <row r="100" spans="1:37" s="1637" customFormat="1" ht="18.75" customHeight="1" x14ac:dyDescent="0.15">
      <c r="A100" s="1580"/>
      <c r="B100" s="1638"/>
      <c r="C100" s="1627">
        <v>1</v>
      </c>
      <c r="D100" s="1672">
        <f>'1_入力シート【基本情報】'!$AF$157</f>
        <v>0</v>
      </c>
      <c r="E100" s="1672">
        <f t="shared" si="47"/>
        <v>0</v>
      </c>
      <c r="F100" s="1672" t="str">
        <f t="shared" si="48"/>
        <v>0</v>
      </c>
      <c r="G100" s="1672" t="str">
        <f t="shared" si="49"/>
        <v>0</v>
      </c>
      <c r="H100" s="1628"/>
      <c r="I100" s="1644"/>
      <c r="J100" s="1531"/>
      <c r="K100" s="1627"/>
      <c r="L100" s="1627"/>
      <c r="M100" s="1629"/>
      <c r="N100" s="1627"/>
      <c r="O100" s="1627"/>
      <c r="P100" s="1627"/>
      <c r="Q100" s="1627"/>
      <c r="R100" s="1627"/>
      <c r="S100" s="1627" t="str">
        <f t="shared" si="33"/>
        <v/>
      </c>
      <c r="T100" s="1627"/>
      <c r="U100" s="1630" t="s">
        <v>1354</v>
      </c>
      <c r="V100" s="1631" t="s">
        <v>1355</v>
      </c>
      <c r="W100" s="1632" t="s">
        <v>1306</v>
      </c>
      <c r="X100" s="1639" t="s">
        <v>137</v>
      </c>
      <c r="Y100" s="1633" t="s">
        <v>1306</v>
      </c>
      <c r="Z100" s="1640" t="s">
        <v>1643</v>
      </c>
      <c r="AA100" s="1633"/>
      <c r="AB100" s="1631"/>
      <c r="AC100" s="1634"/>
      <c r="AD100" s="1635"/>
      <c r="AE100" s="1636"/>
      <c r="AF100" s="1636"/>
      <c r="AG100" s="1637" t="str">
        <f t="shared" si="37"/>
        <v>10性能検証法等の適用-その他-詳細</v>
      </c>
      <c r="AI100" s="1636"/>
      <c r="AJ100" s="1636"/>
      <c r="AK100" s="1636"/>
    </row>
    <row r="101" spans="1:37" s="1637" customFormat="1" ht="18.75" customHeight="1" x14ac:dyDescent="0.15">
      <c r="A101" s="1581"/>
      <c r="B101" s="1642"/>
      <c r="C101" s="1627">
        <v>1</v>
      </c>
      <c r="D101" s="1641">
        <f>'1_入力シート【基本情報】'!$AB$163</f>
        <v>0</v>
      </c>
      <c r="E101" s="1672">
        <f t="shared" si="47"/>
        <v>0</v>
      </c>
      <c r="F101" s="1672" t="str">
        <f t="shared" si="48"/>
        <v>0</v>
      </c>
      <c r="G101" s="1672" t="str">
        <f t="shared" si="49"/>
        <v>0</v>
      </c>
      <c r="H101" s="1628"/>
      <c r="I101" s="1660"/>
      <c r="J101" s="1531"/>
      <c r="K101" s="1627"/>
      <c r="L101" s="1627"/>
      <c r="M101" s="1629"/>
      <c r="N101" s="1627"/>
      <c r="O101" s="1627"/>
      <c r="P101" s="1627"/>
      <c r="Q101" s="1627"/>
      <c r="R101" s="1627"/>
      <c r="S101" s="1627" t="str">
        <f t="shared" si="33"/>
        <v/>
      </c>
      <c r="T101" s="1627"/>
      <c r="U101" s="1630" t="s">
        <v>1357</v>
      </c>
      <c r="V101" s="1631" t="s">
        <v>1358</v>
      </c>
      <c r="W101" s="1632" t="s">
        <v>1306</v>
      </c>
      <c r="X101" s="1639" t="s">
        <v>708</v>
      </c>
      <c r="Y101" s="1633" t="s">
        <v>1306</v>
      </c>
      <c r="Z101" s="1702" t="s">
        <v>1102</v>
      </c>
      <c r="AA101" s="1703" t="s">
        <v>1307</v>
      </c>
      <c r="AB101" s="1686">
        <v>1</v>
      </c>
      <c r="AC101" s="1634"/>
      <c r="AD101" s="1635"/>
      <c r="AE101" s="1636"/>
      <c r="AF101" s="1636"/>
      <c r="AG101" s="1637" t="str">
        <f t="shared" si="37"/>
        <v>11増築、改築、用途変更等の経過-年月日-元号_1</v>
      </c>
      <c r="AI101" s="1636"/>
      <c r="AJ101" s="1636"/>
      <c r="AK101" s="1636"/>
    </row>
    <row r="102" spans="1:37" s="1637" customFormat="1" ht="18.75" customHeight="1" x14ac:dyDescent="0.15">
      <c r="A102" s="1581"/>
      <c r="B102" s="1642"/>
      <c r="C102" s="1627">
        <v>1</v>
      </c>
      <c r="D102" s="1641">
        <f>'1_入力シート【基本情報】'!$AE$163</f>
        <v>0</v>
      </c>
      <c r="E102" s="1672">
        <f t="shared" si="47"/>
        <v>0</v>
      </c>
      <c r="F102" s="1672" t="str">
        <f t="shared" si="48"/>
        <v>0</v>
      </c>
      <c r="G102" s="1672" t="str">
        <f t="shared" si="49"/>
        <v>0</v>
      </c>
      <c r="H102" s="1628"/>
      <c r="I102" s="1660"/>
      <c r="J102" s="1531"/>
      <c r="K102" s="1627"/>
      <c r="L102" s="1627"/>
      <c r="M102" s="1629"/>
      <c r="N102" s="1627"/>
      <c r="O102" s="1627"/>
      <c r="P102" s="1627"/>
      <c r="Q102" s="1627"/>
      <c r="R102" s="1627"/>
      <c r="S102" s="1627" t="str">
        <f t="shared" si="33"/>
        <v/>
      </c>
      <c r="T102" s="1627"/>
      <c r="U102" s="1630" t="s">
        <v>1357</v>
      </c>
      <c r="V102" s="1631" t="s">
        <v>1358</v>
      </c>
      <c r="W102" s="1632" t="s">
        <v>1306</v>
      </c>
      <c r="X102" s="1639" t="s">
        <v>708</v>
      </c>
      <c r="Y102" s="1633" t="s">
        <v>1306</v>
      </c>
      <c r="Z102" s="1702" t="s">
        <v>12</v>
      </c>
      <c r="AA102" s="1703"/>
      <c r="AB102" s="1686">
        <v>1</v>
      </c>
      <c r="AC102" s="1634"/>
      <c r="AD102" s="1635"/>
      <c r="AE102" s="1636"/>
      <c r="AF102" s="1636"/>
      <c r="AG102" s="1637" t="str">
        <f t="shared" si="37"/>
        <v>11増築、改築、用途変更等の経過-年月日-年1</v>
      </c>
      <c r="AI102" s="1636"/>
      <c r="AJ102" s="1636"/>
      <c r="AK102" s="1636"/>
    </row>
    <row r="103" spans="1:37" s="1637" customFormat="1" ht="18.75" customHeight="1" x14ac:dyDescent="0.15">
      <c r="A103" s="1581"/>
      <c r="B103" s="1642"/>
      <c r="C103" s="1627">
        <v>1</v>
      </c>
      <c r="D103" s="1641">
        <f>'1_入力シート【基本情報】'!$AJ$163</f>
        <v>0</v>
      </c>
      <c r="E103" s="1672">
        <f t="shared" si="47"/>
        <v>0</v>
      </c>
      <c r="F103" s="1672" t="str">
        <f t="shared" si="48"/>
        <v>0</v>
      </c>
      <c r="G103" s="1672" t="str">
        <f t="shared" si="49"/>
        <v>0</v>
      </c>
      <c r="H103" s="1628"/>
      <c r="I103" s="1660"/>
      <c r="J103" s="1531"/>
      <c r="K103" s="1627"/>
      <c r="L103" s="1627"/>
      <c r="M103" s="1629"/>
      <c r="N103" s="1627"/>
      <c r="O103" s="1627"/>
      <c r="P103" s="1627"/>
      <c r="Q103" s="1627"/>
      <c r="R103" s="1627"/>
      <c r="S103" s="1627" t="str">
        <f t="shared" si="33"/>
        <v/>
      </c>
      <c r="T103" s="1627"/>
      <c r="U103" s="1630" t="s">
        <v>1357</v>
      </c>
      <c r="V103" s="1631" t="s">
        <v>1358</v>
      </c>
      <c r="W103" s="1632" t="s">
        <v>1306</v>
      </c>
      <c r="X103" s="1639" t="s">
        <v>708</v>
      </c>
      <c r="Y103" s="1633" t="s">
        <v>1306</v>
      </c>
      <c r="Z103" s="1702" t="s">
        <v>348</v>
      </c>
      <c r="AA103" s="1703"/>
      <c r="AB103" s="1686">
        <v>1</v>
      </c>
      <c r="AC103" s="1634"/>
      <c r="AD103" s="1635"/>
      <c r="AE103" s="1636"/>
      <c r="AF103" s="1636"/>
      <c r="AG103" s="1637" t="str">
        <f t="shared" si="37"/>
        <v>11増築、改築、用途変更等の経過-年月日-月1</v>
      </c>
      <c r="AI103" s="1636"/>
      <c r="AJ103" s="1636"/>
      <c r="AK103" s="1636"/>
    </row>
    <row r="104" spans="1:37" s="1637" customFormat="1" ht="18.75" customHeight="1" x14ac:dyDescent="0.15">
      <c r="A104" s="1578"/>
      <c r="B104" s="1627"/>
      <c r="C104" s="1627">
        <v>1</v>
      </c>
      <c r="D104" s="1625">
        <f>'1_入力シート【基本情報】'!$AO$163</f>
        <v>0</v>
      </c>
      <c r="E104" s="1672">
        <f t="shared" si="47"/>
        <v>0</v>
      </c>
      <c r="F104" s="1672" t="str">
        <f t="shared" si="48"/>
        <v>0</v>
      </c>
      <c r="G104" s="1672" t="str">
        <f t="shared" si="49"/>
        <v>0</v>
      </c>
      <c r="H104" s="1628"/>
      <c r="I104" s="1660"/>
      <c r="J104" s="1531"/>
      <c r="K104" s="1627"/>
      <c r="L104" s="1627"/>
      <c r="M104" s="1629"/>
      <c r="N104" s="1627"/>
      <c r="O104" s="1627"/>
      <c r="P104" s="1627"/>
      <c r="Q104" s="1627"/>
      <c r="R104" s="1627"/>
      <c r="S104" s="1627" t="str">
        <f t="shared" si="33"/>
        <v/>
      </c>
      <c r="T104" s="1627"/>
      <c r="U104" s="1630" t="s">
        <v>1357</v>
      </c>
      <c r="V104" s="1631" t="s">
        <v>1358</v>
      </c>
      <c r="W104" s="1632" t="s">
        <v>1306</v>
      </c>
      <c r="X104" s="1639" t="s">
        <v>708</v>
      </c>
      <c r="Y104" s="1633" t="s">
        <v>1306</v>
      </c>
      <c r="Z104" s="1654" t="s">
        <v>364</v>
      </c>
      <c r="AA104" s="1655"/>
      <c r="AB104" s="1686">
        <v>1</v>
      </c>
      <c r="AC104" s="1634"/>
      <c r="AD104" s="1635"/>
      <c r="AE104" s="1636"/>
      <c r="AF104" s="1636"/>
      <c r="AG104" s="1637" t="str">
        <f t="shared" si="37"/>
        <v>11増築、改築、用途変更等の経過-年月日-日1</v>
      </c>
      <c r="AI104" s="1636"/>
      <c r="AJ104" s="1636"/>
      <c r="AK104" s="1636"/>
    </row>
    <row r="105" spans="1:37" s="1637" customFormat="1" ht="18.75" customHeight="1" x14ac:dyDescent="0.15">
      <c r="A105" s="1581"/>
      <c r="B105" s="1642"/>
      <c r="C105" s="1627">
        <v>1</v>
      </c>
      <c r="D105" s="1641">
        <f>'1_入力シート【基本情報】'!$AB$164</f>
        <v>0</v>
      </c>
      <c r="E105" s="1672">
        <f t="shared" si="47"/>
        <v>0</v>
      </c>
      <c r="F105" s="1672" t="str">
        <f t="shared" si="48"/>
        <v>0</v>
      </c>
      <c r="G105" s="1672" t="str">
        <f t="shared" si="49"/>
        <v>0</v>
      </c>
      <c r="H105" s="1628"/>
      <c r="I105" s="1660"/>
      <c r="J105" s="1531"/>
      <c r="K105" s="1627"/>
      <c r="L105" s="1627"/>
      <c r="M105" s="1629"/>
      <c r="N105" s="1627"/>
      <c r="O105" s="1627"/>
      <c r="P105" s="1627"/>
      <c r="Q105" s="1627"/>
      <c r="R105" s="1627"/>
      <c r="S105" s="1627" t="str">
        <f t="shared" si="33"/>
        <v/>
      </c>
      <c r="T105" s="1627"/>
      <c r="U105" s="1630" t="s">
        <v>1357</v>
      </c>
      <c r="V105" s="1631" t="s">
        <v>1358</v>
      </c>
      <c r="W105" s="1632" t="s">
        <v>1306</v>
      </c>
      <c r="X105" s="1639" t="s">
        <v>1021</v>
      </c>
      <c r="Y105" s="1633"/>
      <c r="Z105" s="1702">
        <v>1</v>
      </c>
      <c r="AA105" s="1655"/>
      <c r="AB105" s="1686"/>
      <c r="AC105" s="1634"/>
      <c r="AD105" s="1635"/>
      <c r="AE105" s="1636"/>
      <c r="AF105" s="1636"/>
      <c r="AG105" s="1637" t="str">
        <f t="shared" si="37"/>
        <v>11増築、改築、用途変更等の経過-工事種別1</v>
      </c>
      <c r="AI105" s="1636"/>
      <c r="AJ105" s="1636"/>
      <c r="AK105" s="1636"/>
    </row>
    <row r="106" spans="1:37" s="1637" customFormat="1" ht="18.75" customHeight="1" x14ac:dyDescent="0.15">
      <c r="A106" s="1581"/>
      <c r="B106" s="1642"/>
      <c r="C106" s="1627">
        <v>1</v>
      </c>
      <c r="D106" s="1641">
        <f>'1_入力シート【基本情報】'!$AB$165</f>
        <v>0</v>
      </c>
      <c r="E106" s="1672">
        <f t="shared" si="47"/>
        <v>0</v>
      </c>
      <c r="F106" s="1672" t="str">
        <f t="shared" si="48"/>
        <v>0</v>
      </c>
      <c r="G106" s="1672" t="str">
        <f t="shared" si="49"/>
        <v>0</v>
      </c>
      <c r="H106" s="1628"/>
      <c r="I106" s="1660"/>
      <c r="J106" s="1531"/>
      <c r="K106" s="1627"/>
      <c r="L106" s="1627"/>
      <c r="M106" s="1629"/>
      <c r="N106" s="1627"/>
      <c r="O106" s="1627"/>
      <c r="P106" s="1627"/>
      <c r="Q106" s="1627"/>
      <c r="R106" s="1627"/>
      <c r="S106" s="1627" t="str">
        <f t="shared" si="33"/>
        <v/>
      </c>
      <c r="T106" s="1627"/>
      <c r="U106" s="1630" t="s">
        <v>1357</v>
      </c>
      <c r="V106" s="1631" t="s">
        <v>1358</v>
      </c>
      <c r="W106" s="1632" t="s">
        <v>1306</v>
      </c>
      <c r="X106" s="1639" t="s">
        <v>709</v>
      </c>
      <c r="Y106" s="1633"/>
      <c r="Z106" s="1702">
        <v>1</v>
      </c>
      <c r="AA106" s="1655"/>
      <c r="AB106" s="1686"/>
      <c r="AC106" s="1634"/>
      <c r="AD106" s="1635"/>
      <c r="AE106" s="1636"/>
      <c r="AF106" s="1636"/>
      <c r="AG106" s="1637" t="str">
        <f t="shared" si="37"/>
        <v>11増築、改築、用途変更等の経過-概要1</v>
      </c>
      <c r="AI106" s="1636"/>
      <c r="AJ106" s="1636"/>
      <c r="AK106" s="1636"/>
    </row>
    <row r="107" spans="1:37" s="1637" customFormat="1" ht="18.75" customHeight="1" x14ac:dyDescent="0.15">
      <c r="A107" s="1578"/>
      <c r="B107" s="1627"/>
      <c r="C107" s="1627">
        <v>1</v>
      </c>
      <c r="D107" s="1625">
        <f>'1_入力シート【基本情報】'!$AB$166</f>
        <v>0</v>
      </c>
      <c r="E107" s="1672">
        <f t="shared" si="47"/>
        <v>0</v>
      </c>
      <c r="F107" s="1672" t="str">
        <f t="shared" si="48"/>
        <v>0</v>
      </c>
      <c r="G107" s="1672" t="str">
        <f t="shared" si="49"/>
        <v>0</v>
      </c>
      <c r="H107" s="1628"/>
      <c r="I107" s="1660"/>
      <c r="J107" s="1531"/>
      <c r="K107" s="1627"/>
      <c r="L107" s="1627"/>
      <c r="M107" s="1629"/>
      <c r="N107" s="1627"/>
      <c r="O107" s="1627"/>
      <c r="P107" s="1627"/>
      <c r="Q107" s="1627"/>
      <c r="R107" s="1627"/>
      <c r="S107" s="1627" t="str">
        <f t="shared" si="33"/>
        <v/>
      </c>
      <c r="T107" s="1627"/>
      <c r="U107" s="1630" t="s">
        <v>1357</v>
      </c>
      <c r="V107" s="1631" t="s">
        <v>1358</v>
      </c>
      <c r="W107" s="1632" t="s">
        <v>1306</v>
      </c>
      <c r="X107" s="1639" t="s">
        <v>708</v>
      </c>
      <c r="Y107" s="1633" t="s">
        <v>1306</v>
      </c>
      <c r="Z107" s="1702" t="s">
        <v>1102</v>
      </c>
      <c r="AA107" s="1703" t="s">
        <v>1307</v>
      </c>
      <c r="AB107" s="1686">
        <v>2</v>
      </c>
      <c r="AC107" s="1634"/>
      <c r="AD107" s="1635"/>
      <c r="AE107" s="1636"/>
      <c r="AF107" s="1636"/>
      <c r="AG107" s="1637" t="str">
        <f t="shared" si="37"/>
        <v>11増築、改築、用途変更等の経過-年月日-元号_2</v>
      </c>
      <c r="AI107" s="1636"/>
      <c r="AJ107" s="1636"/>
      <c r="AK107" s="1636"/>
    </row>
    <row r="108" spans="1:37" s="1637" customFormat="1" ht="18.75" customHeight="1" x14ac:dyDescent="0.15">
      <c r="A108" s="1578"/>
      <c r="B108" s="1627"/>
      <c r="C108" s="1627">
        <v>1</v>
      </c>
      <c r="D108" s="1625">
        <f>'1_入力シート【基本情報】'!$AE$166</f>
        <v>0</v>
      </c>
      <c r="E108" s="1672">
        <f t="shared" si="47"/>
        <v>0</v>
      </c>
      <c r="F108" s="1672" t="str">
        <f t="shared" si="48"/>
        <v>0</v>
      </c>
      <c r="G108" s="1672" t="str">
        <f t="shared" si="49"/>
        <v>0</v>
      </c>
      <c r="H108" s="1628"/>
      <c r="I108" s="1660"/>
      <c r="J108" s="1531"/>
      <c r="K108" s="1627"/>
      <c r="L108" s="1627"/>
      <c r="M108" s="1629"/>
      <c r="N108" s="1627"/>
      <c r="O108" s="1627"/>
      <c r="P108" s="1627"/>
      <c r="Q108" s="1627"/>
      <c r="R108" s="1627"/>
      <c r="S108" s="1627" t="str">
        <f t="shared" ref="S108:S176" si="50">CONCATENATE(K108,L108,M108,N108,O108,P108,Q108)</f>
        <v/>
      </c>
      <c r="T108" s="1627"/>
      <c r="U108" s="1630" t="s">
        <v>1357</v>
      </c>
      <c r="V108" s="1631" t="s">
        <v>1358</v>
      </c>
      <c r="W108" s="1632" t="s">
        <v>1306</v>
      </c>
      <c r="X108" s="1639" t="s">
        <v>708</v>
      </c>
      <c r="Y108" s="1633" t="s">
        <v>1306</v>
      </c>
      <c r="Z108" s="1702" t="s">
        <v>12</v>
      </c>
      <c r="AA108" s="1703"/>
      <c r="AB108" s="1686">
        <v>2</v>
      </c>
      <c r="AC108" s="1634"/>
      <c r="AD108" s="1635"/>
      <c r="AE108" s="1636"/>
      <c r="AF108" s="1636"/>
      <c r="AG108" s="1637" t="str">
        <f t="shared" si="37"/>
        <v>11増築、改築、用途変更等の経過-年月日-年2</v>
      </c>
      <c r="AI108" s="1636"/>
      <c r="AJ108" s="1636"/>
      <c r="AK108" s="1636"/>
    </row>
    <row r="109" spans="1:37" s="1637" customFormat="1" ht="18.75" customHeight="1" x14ac:dyDescent="0.15">
      <c r="A109" s="1578"/>
      <c r="B109" s="1627"/>
      <c r="C109" s="1627">
        <v>1</v>
      </c>
      <c r="D109" s="1625">
        <f>'1_入力シート【基本情報】'!$AJ$166</f>
        <v>0</v>
      </c>
      <c r="E109" s="1672">
        <f t="shared" si="47"/>
        <v>0</v>
      </c>
      <c r="F109" s="1672" t="str">
        <f t="shared" si="48"/>
        <v>0</v>
      </c>
      <c r="G109" s="1672" t="str">
        <f t="shared" si="49"/>
        <v>0</v>
      </c>
      <c r="H109" s="1628"/>
      <c r="I109" s="1660"/>
      <c r="J109" s="1531"/>
      <c r="K109" s="1627"/>
      <c r="L109" s="1627"/>
      <c r="M109" s="1629"/>
      <c r="N109" s="1627"/>
      <c r="O109" s="1627"/>
      <c r="P109" s="1627"/>
      <c r="Q109" s="1627"/>
      <c r="R109" s="1627"/>
      <c r="S109" s="1627" t="str">
        <f t="shared" si="50"/>
        <v/>
      </c>
      <c r="T109" s="1627"/>
      <c r="U109" s="1630" t="s">
        <v>1357</v>
      </c>
      <c r="V109" s="1631" t="s">
        <v>1358</v>
      </c>
      <c r="W109" s="1632" t="s">
        <v>1306</v>
      </c>
      <c r="X109" s="1639" t="s">
        <v>708</v>
      </c>
      <c r="Y109" s="1633" t="s">
        <v>1306</v>
      </c>
      <c r="Z109" s="1702" t="s">
        <v>348</v>
      </c>
      <c r="AA109" s="1703"/>
      <c r="AB109" s="1686">
        <v>2</v>
      </c>
      <c r="AC109" s="1634"/>
      <c r="AD109" s="1635"/>
      <c r="AE109" s="1636"/>
      <c r="AF109" s="1636"/>
      <c r="AG109" s="1637" t="str">
        <f t="shared" si="37"/>
        <v>11増築、改築、用途変更等の経過-年月日-月2</v>
      </c>
      <c r="AI109" s="1636"/>
      <c r="AJ109" s="1636"/>
      <c r="AK109" s="1636"/>
    </row>
    <row r="110" spans="1:37" s="1637" customFormat="1" ht="18.75" customHeight="1" x14ac:dyDescent="0.15">
      <c r="A110" s="1578"/>
      <c r="B110" s="1627"/>
      <c r="C110" s="1627">
        <v>1</v>
      </c>
      <c r="D110" s="1625">
        <f>'1_入力シート【基本情報】'!$AO$166</f>
        <v>0</v>
      </c>
      <c r="E110" s="1672">
        <f t="shared" si="47"/>
        <v>0</v>
      </c>
      <c r="F110" s="1672" t="str">
        <f t="shared" si="48"/>
        <v>0</v>
      </c>
      <c r="G110" s="1672" t="str">
        <f t="shared" si="49"/>
        <v>0</v>
      </c>
      <c r="H110" s="1628"/>
      <c r="I110" s="1660"/>
      <c r="J110" s="1531"/>
      <c r="K110" s="1627"/>
      <c r="L110" s="1627"/>
      <c r="M110" s="1629"/>
      <c r="N110" s="1627"/>
      <c r="O110" s="1627"/>
      <c r="P110" s="1627"/>
      <c r="Q110" s="1627"/>
      <c r="R110" s="1627"/>
      <c r="S110" s="1627" t="str">
        <f t="shared" si="50"/>
        <v/>
      </c>
      <c r="T110" s="1627"/>
      <c r="U110" s="1630" t="s">
        <v>1357</v>
      </c>
      <c r="V110" s="1631" t="s">
        <v>1358</v>
      </c>
      <c r="W110" s="1632" t="s">
        <v>1306</v>
      </c>
      <c r="X110" s="1639" t="s">
        <v>708</v>
      </c>
      <c r="Y110" s="1633" t="s">
        <v>1306</v>
      </c>
      <c r="Z110" s="1654" t="s">
        <v>364</v>
      </c>
      <c r="AA110" s="1655"/>
      <c r="AB110" s="1686">
        <v>2</v>
      </c>
      <c r="AC110" s="1634"/>
      <c r="AD110" s="1635"/>
      <c r="AE110" s="1636"/>
      <c r="AF110" s="1636"/>
      <c r="AG110" s="1637" t="str">
        <f t="shared" si="37"/>
        <v>11増築、改築、用途変更等の経過-年月日-日2</v>
      </c>
      <c r="AI110" s="1636"/>
      <c r="AJ110" s="1636"/>
      <c r="AK110" s="1636"/>
    </row>
    <row r="111" spans="1:37" s="1637" customFormat="1" ht="18.75" customHeight="1" x14ac:dyDescent="0.15">
      <c r="A111" s="1578"/>
      <c r="B111" s="1627"/>
      <c r="C111" s="1627">
        <v>1</v>
      </c>
      <c r="D111" s="1625">
        <f>'1_入力シート【基本情報】'!$AB$167</f>
        <v>0</v>
      </c>
      <c r="E111" s="1672">
        <f t="shared" si="47"/>
        <v>0</v>
      </c>
      <c r="F111" s="1672" t="str">
        <f t="shared" si="48"/>
        <v>0</v>
      </c>
      <c r="G111" s="1672" t="str">
        <f t="shared" si="49"/>
        <v>0</v>
      </c>
      <c r="H111" s="1628"/>
      <c r="I111" s="1660"/>
      <c r="J111" s="1531"/>
      <c r="K111" s="1627"/>
      <c r="L111" s="1627"/>
      <c r="M111" s="1629"/>
      <c r="N111" s="1627"/>
      <c r="O111" s="1627"/>
      <c r="P111" s="1627"/>
      <c r="Q111" s="1627"/>
      <c r="R111" s="1627"/>
      <c r="S111" s="1627" t="str">
        <f t="shared" si="50"/>
        <v/>
      </c>
      <c r="T111" s="1627"/>
      <c r="U111" s="1630" t="s">
        <v>1357</v>
      </c>
      <c r="V111" s="1631" t="s">
        <v>1358</v>
      </c>
      <c r="W111" s="1632" t="s">
        <v>1306</v>
      </c>
      <c r="X111" s="1639" t="s">
        <v>1021</v>
      </c>
      <c r="Y111" s="1633"/>
      <c r="Z111" s="1702">
        <v>2</v>
      </c>
      <c r="AA111" s="1655"/>
      <c r="AB111" s="1686"/>
      <c r="AC111" s="1634"/>
      <c r="AD111" s="1635"/>
      <c r="AE111" s="1636"/>
      <c r="AF111" s="1636"/>
      <c r="AG111" s="1637" t="str">
        <f t="shared" si="37"/>
        <v>11増築、改築、用途変更等の経過-工事種別2</v>
      </c>
      <c r="AI111" s="1636"/>
      <c r="AJ111" s="1636"/>
      <c r="AK111" s="1636"/>
    </row>
    <row r="112" spans="1:37" s="1637" customFormat="1" ht="18.75" customHeight="1" x14ac:dyDescent="0.15">
      <c r="A112" s="1578"/>
      <c r="B112" s="1627"/>
      <c r="C112" s="1627">
        <v>1</v>
      </c>
      <c r="D112" s="1625">
        <f>'1_入力シート【基本情報】'!$AB$168</f>
        <v>0</v>
      </c>
      <c r="E112" s="1672">
        <f t="shared" si="47"/>
        <v>0</v>
      </c>
      <c r="F112" s="1672" t="str">
        <f t="shared" si="48"/>
        <v>0</v>
      </c>
      <c r="G112" s="1672" t="str">
        <f t="shared" si="49"/>
        <v>0</v>
      </c>
      <c r="H112" s="1628"/>
      <c r="I112" s="1660"/>
      <c r="J112" s="1531"/>
      <c r="K112" s="1627"/>
      <c r="L112" s="1627"/>
      <c r="M112" s="1629"/>
      <c r="N112" s="1627"/>
      <c r="O112" s="1627"/>
      <c r="P112" s="1627"/>
      <c r="Q112" s="1627"/>
      <c r="R112" s="1627"/>
      <c r="S112" s="1627" t="str">
        <f t="shared" si="50"/>
        <v/>
      </c>
      <c r="T112" s="1627"/>
      <c r="U112" s="1630" t="s">
        <v>1357</v>
      </c>
      <c r="V112" s="1631" t="s">
        <v>1358</v>
      </c>
      <c r="W112" s="1632" t="s">
        <v>1306</v>
      </c>
      <c r="X112" s="1639" t="s">
        <v>709</v>
      </c>
      <c r="Y112" s="1633"/>
      <c r="Z112" s="1702">
        <v>2</v>
      </c>
      <c r="AA112" s="1655"/>
      <c r="AB112" s="1686"/>
      <c r="AC112" s="1634"/>
      <c r="AD112" s="1635"/>
      <c r="AE112" s="1636"/>
      <c r="AF112" s="1636"/>
      <c r="AG112" s="1637" t="str">
        <f t="shared" si="37"/>
        <v>11増築、改築、用途変更等の経過-概要2</v>
      </c>
      <c r="AI112" s="1636"/>
      <c r="AJ112" s="1636"/>
      <c r="AK112" s="1636"/>
    </row>
    <row r="113" spans="1:37" s="1637" customFormat="1" ht="18.75" customHeight="1" x14ac:dyDescent="0.15">
      <c r="A113" s="1581"/>
      <c r="B113" s="1642"/>
      <c r="C113" s="1627">
        <v>1</v>
      </c>
      <c r="D113" s="1641">
        <f>'1_入力シート【基本情報】'!$AB$169</f>
        <v>0</v>
      </c>
      <c r="E113" s="1672">
        <f t="shared" si="47"/>
        <v>0</v>
      </c>
      <c r="F113" s="1672" t="str">
        <f t="shared" si="48"/>
        <v>0</v>
      </c>
      <c r="G113" s="1672" t="str">
        <f t="shared" si="49"/>
        <v>0</v>
      </c>
      <c r="H113" s="1628"/>
      <c r="I113" s="1660"/>
      <c r="J113" s="1531"/>
      <c r="K113" s="1627"/>
      <c r="L113" s="1627"/>
      <c r="M113" s="1629"/>
      <c r="N113" s="1627"/>
      <c r="O113" s="1627"/>
      <c r="P113" s="1627"/>
      <c r="Q113" s="1627"/>
      <c r="R113" s="1627"/>
      <c r="S113" s="1627" t="str">
        <f t="shared" si="50"/>
        <v/>
      </c>
      <c r="T113" s="1627"/>
      <c r="U113" s="1630" t="s">
        <v>1357</v>
      </c>
      <c r="V113" s="1631" t="s">
        <v>1358</v>
      </c>
      <c r="W113" s="1632" t="s">
        <v>1306</v>
      </c>
      <c r="X113" s="1639" t="s">
        <v>708</v>
      </c>
      <c r="Y113" s="1633" t="s">
        <v>1306</v>
      </c>
      <c r="Z113" s="1702" t="s">
        <v>1102</v>
      </c>
      <c r="AA113" s="1703" t="s">
        <v>1307</v>
      </c>
      <c r="AB113" s="1686">
        <v>3</v>
      </c>
      <c r="AC113" s="1634"/>
      <c r="AD113" s="1635"/>
      <c r="AE113" s="1636"/>
      <c r="AF113" s="1636"/>
      <c r="AG113" s="1637" t="str">
        <f t="shared" si="37"/>
        <v>11増築、改築、用途変更等の経過-年月日-元号_3</v>
      </c>
      <c r="AI113" s="1636"/>
      <c r="AJ113" s="1636"/>
      <c r="AK113" s="1636"/>
    </row>
    <row r="114" spans="1:37" s="1637" customFormat="1" ht="18.75" customHeight="1" x14ac:dyDescent="0.15">
      <c r="A114" s="1581"/>
      <c r="B114" s="1642"/>
      <c r="C114" s="1627">
        <v>1</v>
      </c>
      <c r="D114" s="1641">
        <f>'1_入力シート【基本情報】'!$AE$169</f>
        <v>0</v>
      </c>
      <c r="E114" s="1672">
        <f t="shared" si="47"/>
        <v>0</v>
      </c>
      <c r="F114" s="1672" t="str">
        <f t="shared" si="48"/>
        <v>0</v>
      </c>
      <c r="G114" s="1672" t="str">
        <f t="shared" si="49"/>
        <v>0</v>
      </c>
      <c r="H114" s="1628"/>
      <c r="I114" s="1660"/>
      <c r="J114" s="1531"/>
      <c r="K114" s="1627"/>
      <c r="L114" s="1627"/>
      <c r="M114" s="1629"/>
      <c r="N114" s="1627"/>
      <c r="O114" s="1627"/>
      <c r="P114" s="1627"/>
      <c r="Q114" s="1627"/>
      <c r="R114" s="1627"/>
      <c r="S114" s="1627" t="str">
        <f t="shared" si="50"/>
        <v/>
      </c>
      <c r="T114" s="1627"/>
      <c r="U114" s="1630" t="s">
        <v>1357</v>
      </c>
      <c r="V114" s="1631" t="s">
        <v>1358</v>
      </c>
      <c r="W114" s="1632" t="s">
        <v>1306</v>
      </c>
      <c r="X114" s="1639" t="s">
        <v>708</v>
      </c>
      <c r="Y114" s="1633" t="s">
        <v>1306</v>
      </c>
      <c r="Z114" s="1702" t="s">
        <v>12</v>
      </c>
      <c r="AA114" s="1703"/>
      <c r="AB114" s="1686">
        <v>3</v>
      </c>
      <c r="AC114" s="1634"/>
      <c r="AD114" s="1635"/>
      <c r="AE114" s="1636"/>
      <c r="AF114" s="1636"/>
      <c r="AG114" s="1637" t="str">
        <f t="shared" si="37"/>
        <v>11増築、改築、用途変更等の経過-年月日-年3</v>
      </c>
      <c r="AI114" s="1636"/>
      <c r="AJ114" s="1636"/>
      <c r="AK114" s="1636"/>
    </row>
    <row r="115" spans="1:37" s="1637" customFormat="1" ht="18.75" customHeight="1" x14ac:dyDescent="0.15">
      <c r="A115" s="1581"/>
      <c r="B115" s="1642"/>
      <c r="C115" s="1627">
        <v>1</v>
      </c>
      <c r="D115" s="1641">
        <f>'1_入力シート【基本情報】'!$AJ$169</f>
        <v>0</v>
      </c>
      <c r="E115" s="1672">
        <f t="shared" si="47"/>
        <v>0</v>
      </c>
      <c r="F115" s="1672" t="str">
        <f t="shared" si="48"/>
        <v>0</v>
      </c>
      <c r="G115" s="1672" t="str">
        <f t="shared" si="49"/>
        <v>0</v>
      </c>
      <c r="H115" s="1628"/>
      <c r="I115" s="1660"/>
      <c r="J115" s="1531"/>
      <c r="K115" s="1627"/>
      <c r="L115" s="1627"/>
      <c r="M115" s="1629"/>
      <c r="N115" s="1627"/>
      <c r="O115" s="1627"/>
      <c r="P115" s="1627"/>
      <c r="Q115" s="1627"/>
      <c r="R115" s="1627"/>
      <c r="S115" s="1627" t="str">
        <f t="shared" si="50"/>
        <v/>
      </c>
      <c r="T115" s="1627"/>
      <c r="U115" s="1630" t="s">
        <v>1357</v>
      </c>
      <c r="V115" s="1631" t="s">
        <v>1358</v>
      </c>
      <c r="W115" s="1632" t="s">
        <v>1306</v>
      </c>
      <c r="X115" s="1639" t="s">
        <v>708</v>
      </c>
      <c r="Y115" s="1633" t="s">
        <v>1306</v>
      </c>
      <c r="Z115" s="1702" t="s">
        <v>348</v>
      </c>
      <c r="AA115" s="1703"/>
      <c r="AB115" s="1686">
        <v>3</v>
      </c>
      <c r="AC115" s="1634"/>
      <c r="AD115" s="1635"/>
      <c r="AE115" s="1636"/>
      <c r="AF115" s="1636"/>
      <c r="AG115" s="1637" t="str">
        <f t="shared" si="37"/>
        <v>11増築、改築、用途変更等の経過-年月日-月3</v>
      </c>
      <c r="AI115" s="1636"/>
      <c r="AJ115" s="1636"/>
      <c r="AK115" s="1636"/>
    </row>
    <row r="116" spans="1:37" s="1637" customFormat="1" ht="18.75" customHeight="1" x14ac:dyDescent="0.15">
      <c r="A116" s="1578"/>
      <c r="B116" s="1627"/>
      <c r="C116" s="1627">
        <v>1</v>
      </c>
      <c r="D116" s="1625">
        <f>'1_入力シート【基本情報】'!$AO$169</f>
        <v>0</v>
      </c>
      <c r="E116" s="1672">
        <f t="shared" si="47"/>
        <v>0</v>
      </c>
      <c r="F116" s="1672" t="str">
        <f t="shared" si="48"/>
        <v>0</v>
      </c>
      <c r="G116" s="1672" t="str">
        <f t="shared" si="49"/>
        <v>0</v>
      </c>
      <c r="H116" s="1628"/>
      <c r="I116" s="1660"/>
      <c r="J116" s="1531"/>
      <c r="K116" s="1627"/>
      <c r="L116" s="1627"/>
      <c r="M116" s="1629"/>
      <c r="N116" s="1627"/>
      <c r="O116" s="1627"/>
      <c r="P116" s="1627"/>
      <c r="Q116" s="1627"/>
      <c r="R116" s="1627"/>
      <c r="S116" s="1627" t="str">
        <f t="shared" si="50"/>
        <v/>
      </c>
      <c r="T116" s="1627"/>
      <c r="U116" s="1630" t="s">
        <v>1357</v>
      </c>
      <c r="V116" s="1631" t="s">
        <v>1358</v>
      </c>
      <c r="W116" s="1632" t="s">
        <v>1306</v>
      </c>
      <c r="X116" s="1639" t="s">
        <v>708</v>
      </c>
      <c r="Y116" s="1633" t="s">
        <v>1306</v>
      </c>
      <c r="Z116" s="1654" t="s">
        <v>364</v>
      </c>
      <c r="AA116" s="1655"/>
      <c r="AB116" s="1686">
        <v>3</v>
      </c>
      <c r="AC116" s="1634"/>
      <c r="AD116" s="1635"/>
      <c r="AE116" s="1636"/>
      <c r="AF116" s="1636"/>
      <c r="AG116" s="1637" t="str">
        <f t="shared" si="37"/>
        <v>11増築、改築、用途変更等の経過-年月日-日3</v>
      </c>
      <c r="AI116" s="1636"/>
      <c r="AJ116" s="1636"/>
      <c r="AK116" s="1636"/>
    </row>
    <row r="117" spans="1:37" s="1637" customFormat="1" ht="18.75" customHeight="1" x14ac:dyDescent="0.15">
      <c r="A117" s="1581"/>
      <c r="B117" s="1642"/>
      <c r="C117" s="1627">
        <v>1</v>
      </c>
      <c r="D117" s="1704">
        <f>'1_入力シート【基本情報】'!$AB$170</f>
        <v>0</v>
      </c>
      <c r="E117" s="1672">
        <f t="shared" si="47"/>
        <v>0</v>
      </c>
      <c r="F117" s="1672" t="str">
        <f t="shared" si="48"/>
        <v>0</v>
      </c>
      <c r="G117" s="1672" t="str">
        <f t="shared" si="49"/>
        <v>0</v>
      </c>
      <c r="H117" s="1628"/>
      <c r="I117" s="1660"/>
      <c r="J117" s="1531"/>
      <c r="K117" s="1627"/>
      <c r="L117" s="1627"/>
      <c r="M117" s="1629"/>
      <c r="N117" s="1627"/>
      <c r="O117" s="1627"/>
      <c r="P117" s="1627"/>
      <c r="Q117" s="1627"/>
      <c r="R117" s="1627"/>
      <c r="S117" s="1627" t="str">
        <f t="shared" si="50"/>
        <v/>
      </c>
      <c r="T117" s="1627"/>
      <c r="U117" s="1630" t="s">
        <v>1357</v>
      </c>
      <c r="V117" s="1631" t="s">
        <v>1358</v>
      </c>
      <c r="W117" s="1632" t="s">
        <v>1306</v>
      </c>
      <c r="X117" s="1639" t="s">
        <v>1021</v>
      </c>
      <c r="Y117" s="1633"/>
      <c r="Z117" s="1702">
        <v>3</v>
      </c>
      <c r="AA117" s="1655"/>
      <c r="AB117" s="1686"/>
      <c r="AC117" s="1634"/>
      <c r="AD117" s="1635"/>
      <c r="AE117" s="1636"/>
      <c r="AF117" s="1636"/>
      <c r="AG117" s="1637" t="str">
        <f t="shared" ref="AG117:AG185" si="51">CONCATENATE(U117,V117,W117,X117,Y117,Z117,AA117,AB117,AC117,AD117)</f>
        <v>11増築、改築、用途変更等の経過-工事種別3</v>
      </c>
      <c r="AI117" s="1636"/>
      <c r="AJ117" s="1636"/>
      <c r="AK117" s="1636"/>
    </row>
    <row r="118" spans="1:37" s="1637" customFormat="1" ht="18.75" customHeight="1" x14ac:dyDescent="0.15">
      <c r="A118" s="1581"/>
      <c r="B118" s="1642"/>
      <c r="C118" s="1627">
        <v>1</v>
      </c>
      <c r="D118" s="1704">
        <f>'1_入力シート【基本情報】'!$AB$171</f>
        <v>0</v>
      </c>
      <c r="E118" s="1672">
        <f t="shared" si="47"/>
        <v>0</v>
      </c>
      <c r="F118" s="1672" t="str">
        <f t="shared" si="48"/>
        <v>0</v>
      </c>
      <c r="G118" s="1672" t="str">
        <f t="shared" si="49"/>
        <v>0</v>
      </c>
      <c r="H118" s="1628"/>
      <c r="I118" s="1660"/>
      <c r="J118" s="1531"/>
      <c r="K118" s="1627"/>
      <c r="L118" s="1627"/>
      <c r="M118" s="1629"/>
      <c r="N118" s="1627"/>
      <c r="O118" s="1627"/>
      <c r="P118" s="1627"/>
      <c r="Q118" s="1627"/>
      <c r="R118" s="1627"/>
      <c r="S118" s="1627" t="str">
        <f t="shared" si="50"/>
        <v/>
      </c>
      <c r="T118" s="1627"/>
      <c r="U118" s="1630" t="s">
        <v>1357</v>
      </c>
      <c r="V118" s="1631" t="s">
        <v>1358</v>
      </c>
      <c r="W118" s="1632" t="s">
        <v>1306</v>
      </c>
      <c r="X118" s="1639" t="s">
        <v>709</v>
      </c>
      <c r="Y118" s="1633"/>
      <c r="Z118" s="1702">
        <v>3</v>
      </c>
      <c r="AA118" s="1655"/>
      <c r="AB118" s="1686"/>
      <c r="AC118" s="1634"/>
      <c r="AD118" s="1635"/>
      <c r="AE118" s="1636"/>
      <c r="AF118" s="1636"/>
      <c r="AG118" s="1637" t="str">
        <f t="shared" si="51"/>
        <v>11増築、改築、用途変更等の経過-概要3</v>
      </c>
      <c r="AI118" s="1636"/>
      <c r="AJ118" s="1636"/>
      <c r="AK118" s="1636"/>
    </row>
    <row r="119" spans="1:37" s="1637" customFormat="1" ht="18.75" customHeight="1" x14ac:dyDescent="0.15">
      <c r="A119" s="1581"/>
      <c r="B119" s="1642"/>
      <c r="C119" s="1627">
        <v>1</v>
      </c>
      <c r="D119" s="1704">
        <f>'1_入力シート【基本情報】'!$AB$172</f>
        <v>0</v>
      </c>
      <c r="E119" s="1672">
        <f t="shared" si="47"/>
        <v>0</v>
      </c>
      <c r="F119" s="1672" t="str">
        <f t="shared" si="48"/>
        <v>0</v>
      </c>
      <c r="G119" s="1672" t="str">
        <f t="shared" si="49"/>
        <v>0</v>
      </c>
      <c r="H119" s="1628"/>
      <c r="I119" s="1660"/>
      <c r="J119" s="1531"/>
      <c r="K119" s="1627"/>
      <c r="L119" s="1627"/>
      <c r="M119" s="1629"/>
      <c r="N119" s="1627"/>
      <c r="O119" s="1627"/>
      <c r="P119" s="1627"/>
      <c r="Q119" s="1627"/>
      <c r="R119" s="1627"/>
      <c r="S119" s="1627" t="str">
        <f t="shared" si="50"/>
        <v/>
      </c>
      <c r="T119" s="1627"/>
      <c r="U119" s="1630" t="s">
        <v>1357</v>
      </c>
      <c r="V119" s="1631" t="s">
        <v>1358</v>
      </c>
      <c r="W119" s="1632" t="s">
        <v>1306</v>
      </c>
      <c r="X119" s="1639" t="s">
        <v>708</v>
      </c>
      <c r="Y119" s="1633" t="s">
        <v>1306</v>
      </c>
      <c r="Z119" s="1702" t="s">
        <v>1102</v>
      </c>
      <c r="AA119" s="1703" t="s">
        <v>1307</v>
      </c>
      <c r="AB119" s="1686">
        <v>4</v>
      </c>
      <c r="AC119" s="1634"/>
      <c r="AD119" s="1635"/>
      <c r="AE119" s="1636"/>
      <c r="AF119" s="1636"/>
      <c r="AG119" s="1637" t="str">
        <f t="shared" si="51"/>
        <v>11増築、改築、用途変更等の経過-年月日-元号_4</v>
      </c>
      <c r="AI119" s="1636"/>
      <c r="AJ119" s="1636"/>
      <c r="AK119" s="1636"/>
    </row>
    <row r="120" spans="1:37" s="1637" customFormat="1" ht="18.75" customHeight="1" x14ac:dyDescent="0.15">
      <c r="A120" s="1581"/>
      <c r="B120" s="1642"/>
      <c r="C120" s="1627">
        <v>1</v>
      </c>
      <c r="D120" s="1641">
        <f>'1_入力シート【基本情報】'!$AE$172</f>
        <v>0</v>
      </c>
      <c r="E120" s="1672">
        <f t="shared" si="47"/>
        <v>0</v>
      </c>
      <c r="F120" s="1672" t="str">
        <f t="shared" si="48"/>
        <v>0</v>
      </c>
      <c r="G120" s="1672" t="str">
        <f t="shared" si="49"/>
        <v>0</v>
      </c>
      <c r="H120" s="1628"/>
      <c r="I120" s="1660"/>
      <c r="J120" s="1531"/>
      <c r="K120" s="1627"/>
      <c r="L120" s="1627"/>
      <c r="M120" s="1629"/>
      <c r="N120" s="1627"/>
      <c r="O120" s="1627"/>
      <c r="P120" s="1627"/>
      <c r="Q120" s="1627"/>
      <c r="R120" s="1627"/>
      <c r="S120" s="1627" t="str">
        <f t="shared" si="50"/>
        <v/>
      </c>
      <c r="T120" s="1627"/>
      <c r="U120" s="1630" t="s">
        <v>1357</v>
      </c>
      <c r="V120" s="1631" t="s">
        <v>1358</v>
      </c>
      <c r="W120" s="1632" t="s">
        <v>1306</v>
      </c>
      <c r="X120" s="1639" t="s">
        <v>708</v>
      </c>
      <c r="Y120" s="1633" t="s">
        <v>1306</v>
      </c>
      <c r="Z120" s="1702" t="s">
        <v>12</v>
      </c>
      <c r="AA120" s="1703"/>
      <c r="AB120" s="1686">
        <v>4</v>
      </c>
      <c r="AC120" s="1634"/>
      <c r="AD120" s="1635"/>
      <c r="AE120" s="1636"/>
      <c r="AF120" s="1636"/>
      <c r="AG120" s="1637" t="str">
        <f t="shared" si="51"/>
        <v>11増築、改築、用途変更等の経過-年月日-年4</v>
      </c>
      <c r="AI120" s="1636"/>
      <c r="AJ120" s="1636"/>
      <c r="AK120" s="1636"/>
    </row>
    <row r="121" spans="1:37" s="1637" customFormat="1" ht="18.75" customHeight="1" x14ac:dyDescent="0.15">
      <c r="A121" s="1578"/>
      <c r="B121" s="1627"/>
      <c r="C121" s="1627">
        <v>1</v>
      </c>
      <c r="D121" s="1625">
        <f>'1_入力シート【基本情報】'!$AJ$172</f>
        <v>0</v>
      </c>
      <c r="E121" s="1672">
        <f t="shared" si="47"/>
        <v>0</v>
      </c>
      <c r="F121" s="1672" t="str">
        <f t="shared" si="48"/>
        <v>0</v>
      </c>
      <c r="G121" s="1672" t="str">
        <f t="shared" si="49"/>
        <v>0</v>
      </c>
      <c r="H121" s="1628"/>
      <c r="I121" s="1660"/>
      <c r="J121" s="1531"/>
      <c r="K121" s="1627"/>
      <c r="L121" s="1627"/>
      <c r="M121" s="1629"/>
      <c r="N121" s="1627"/>
      <c r="O121" s="1627"/>
      <c r="P121" s="1627"/>
      <c r="Q121" s="1627"/>
      <c r="R121" s="1627"/>
      <c r="S121" s="1627" t="str">
        <f t="shared" si="50"/>
        <v/>
      </c>
      <c r="T121" s="1627"/>
      <c r="U121" s="1630" t="s">
        <v>1357</v>
      </c>
      <c r="V121" s="1631" t="s">
        <v>1358</v>
      </c>
      <c r="W121" s="1632" t="s">
        <v>1306</v>
      </c>
      <c r="X121" s="1639" t="s">
        <v>708</v>
      </c>
      <c r="Y121" s="1633" t="s">
        <v>1306</v>
      </c>
      <c r="Z121" s="1702" t="s">
        <v>348</v>
      </c>
      <c r="AA121" s="1703"/>
      <c r="AB121" s="1686">
        <v>4</v>
      </c>
      <c r="AC121" s="1634"/>
      <c r="AD121" s="1635"/>
      <c r="AE121" s="1636"/>
      <c r="AF121" s="1636"/>
      <c r="AG121" s="1637" t="str">
        <f t="shared" si="51"/>
        <v>11増築、改築、用途変更等の経過-年月日-月4</v>
      </c>
      <c r="AI121" s="1636"/>
      <c r="AJ121" s="1636"/>
      <c r="AK121" s="1636"/>
    </row>
    <row r="122" spans="1:37" s="1637" customFormat="1" ht="18.75" customHeight="1" x14ac:dyDescent="0.15">
      <c r="A122" s="1578"/>
      <c r="B122" s="1627"/>
      <c r="C122" s="1627">
        <v>1</v>
      </c>
      <c r="D122" s="1625">
        <f>'1_入力シート【基本情報】'!$AO$172</f>
        <v>0</v>
      </c>
      <c r="E122" s="1672">
        <f t="shared" si="47"/>
        <v>0</v>
      </c>
      <c r="F122" s="1672" t="str">
        <f t="shared" si="48"/>
        <v>0</v>
      </c>
      <c r="G122" s="1672" t="str">
        <f t="shared" si="49"/>
        <v>0</v>
      </c>
      <c r="H122" s="1628"/>
      <c r="I122" s="1660"/>
      <c r="J122" s="1531"/>
      <c r="K122" s="1627"/>
      <c r="L122" s="1627"/>
      <c r="M122" s="1629"/>
      <c r="N122" s="1627"/>
      <c r="O122" s="1627"/>
      <c r="P122" s="1627"/>
      <c r="Q122" s="1627"/>
      <c r="R122" s="1627"/>
      <c r="S122" s="1627" t="str">
        <f t="shared" si="50"/>
        <v/>
      </c>
      <c r="T122" s="1627"/>
      <c r="U122" s="1630" t="s">
        <v>1357</v>
      </c>
      <c r="V122" s="1631" t="s">
        <v>1358</v>
      </c>
      <c r="W122" s="1632" t="s">
        <v>1306</v>
      </c>
      <c r="X122" s="1639" t="s">
        <v>708</v>
      </c>
      <c r="Y122" s="1633" t="s">
        <v>1306</v>
      </c>
      <c r="Z122" s="1654" t="s">
        <v>364</v>
      </c>
      <c r="AA122" s="1655"/>
      <c r="AB122" s="1686">
        <v>4</v>
      </c>
      <c r="AC122" s="1634"/>
      <c r="AD122" s="1635"/>
      <c r="AE122" s="1636"/>
      <c r="AF122" s="1636"/>
      <c r="AG122" s="1637" t="str">
        <f t="shared" si="51"/>
        <v>11増築、改築、用途変更等の経過-年月日-日4</v>
      </c>
      <c r="AI122" s="1636"/>
      <c r="AJ122" s="1636"/>
      <c r="AK122" s="1636"/>
    </row>
    <row r="123" spans="1:37" s="1637" customFormat="1" ht="18.75" customHeight="1" x14ac:dyDescent="0.15">
      <c r="A123" s="1578"/>
      <c r="B123" s="1627"/>
      <c r="C123" s="1627">
        <v>1</v>
      </c>
      <c r="D123" s="1625">
        <f>'1_入力シート【基本情報】'!$AB$173</f>
        <v>0</v>
      </c>
      <c r="E123" s="1672">
        <f t="shared" si="47"/>
        <v>0</v>
      </c>
      <c r="F123" s="1672" t="str">
        <f t="shared" si="48"/>
        <v>0</v>
      </c>
      <c r="G123" s="1672" t="str">
        <f t="shared" si="49"/>
        <v>0</v>
      </c>
      <c r="H123" s="1628"/>
      <c r="I123" s="1660"/>
      <c r="J123" s="1531"/>
      <c r="K123" s="1627"/>
      <c r="L123" s="1627"/>
      <c r="M123" s="1629"/>
      <c r="N123" s="1627"/>
      <c r="O123" s="1627"/>
      <c r="P123" s="1627"/>
      <c r="Q123" s="1627"/>
      <c r="R123" s="1627"/>
      <c r="S123" s="1627" t="str">
        <f t="shared" si="50"/>
        <v/>
      </c>
      <c r="T123" s="1627"/>
      <c r="U123" s="1630" t="s">
        <v>1357</v>
      </c>
      <c r="V123" s="1631" t="s">
        <v>1358</v>
      </c>
      <c r="W123" s="1632" t="s">
        <v>1306</v>
      </c>
      <c r="X123" s="1639" t="s">
        <v>1021</v>
      </c>
      <c r="Y123" s="1633"/>
      <c r="Z123" s="1702">
        <v>4</v>
      </c>
      <c r="AA123" s="1655"/>
      <c r="AB123" s="1686"/>
      <c r="AC123" s="1634"/>
      <c r="AD123" s="1635"/>
      <c r="AE123" s="1636"/>
      <c r="AF123" s="1636"/>
      <c r="AG123" s="1637" t="str">
        <f t="shared" si="51"/>
        <v>11増築、改築、用途変更等の経過-工事種別4</v>
      </c>
      <c r="AI123" s="1636"/>
      <c r="AJ123" s="1636"/>
      <c r="AK123" s="1636"/>
    </row>
    <row r="124" spans="1:37" s="1637" customFormat="1" ht="18.75" customHeight="1" x14ac:dyDescent="0.15">
      <c r="A124" s="1578"/>
      <c r="B124" s="1627"/>
      <c r="C124" s="1627">
        <v>1</v>
      </c>
      <c r="D124" s="1625">
        <f>'1_入力シート【基本情報】'!$AB$174</f>
        <v>0</v>
      </c>
      <c r="E124" s="1672">
        <f t="shared" si="47"/>
        <v>0</v>
      </c>
      <c r="F124" s="1672" t="str">
        <f t="shared" si="48"/>
        <v>0</v>
      </c>
      <c r="G124" s="1672" t="str">
        <f t="shared" si="49"/>
        <v>0</v>
      </c>
      <c r="H124" s="1628"/>
      <c r="I124" s="1660"/>
      <c r="J124" s="1531"/>
      <c r="K124" s="1627"/>
      <c r="L124" s="1627"/>
      <c r="M124" s="1629"/>
      <c r="N124" s="1627"/>
      <c r="O124" s="1627"/>
      <c r="P124" s="1627"/>
      <c r="Q124" s="1627"/>
      <c r="R124" s="1627"/>
      <c r="S124" s="1627" t="str">
        <f t="shared" si="50"/>
        <v/>
      </c>
      <c r="T124" s="1627"/>
      <c r="U124" s="1630" t="s">
        <v>1357</v>
      </c>
      <c r="V124" s="1631" t="s">
        <v>1358</v>
      </c>
      <c r="W124" s="1632" t="s">
        <v>1306</v>
      </c>
      <c r="X124" s="1639" t="s">
        <v>709</v>
      </c>
      <c r="Y124" s="1633"/>
      <c r="Z124" s="1702">
        <v>4</v>
      </c>
      <c r="AA124" s="1655"/>
      <c r="AB124" s="1686"/>
      <c r="AC124" s="1634"/>
      <c r="AD124" s="1635"/>
      <c r="AE124" s="1636"/>
      <c r="AF124" s="1636"/>
      <c r="AG124" s="1637" t="str">
        <f t="shared" si="51"/>
        <v>11増築、改築、用途変更等の経過-概要4</v>
      </c>
      <c r="AI124" s="1636"/>
      <c r="AJ124" s="1636"/>
      <c r="AK124" s="1636"/>
    </row>
    <row r="125" spans="1:37" s="1732" customFormat="1" ht="18.75" customHeight="1" x14ac:dyDescent="0.15">
      <c r="A125" s="1578"/>
      <c r="B125" s="1718"/>
      <c r="C125" s="1718">
        <v>1</v>
      </c>
      <c r="D125" s="1717">
        <f>'1_入力シート【基本情報】'!$AB$181</f>
        <v>0</v>
      </c>
      <c r="E125" s="1719">
        <f t="shared" si="47"/>
        <v>0</v>
      </c>
      <c r="F125" s="1719" t="str">
        <f t="shared" si="48"/>
        <v>0</v>
      </c>
      <c r="G125" s="1719" t="str">
        <f t="shared" si="49"/>
        <v>0</v>
      </c>
      <c r="H125" s="1720"/>
      <c r="I125" s="1644"/>
      <c r="J125" s="1531"/>
      <c r="K125" s="1718"/>
      <c r="L125" s="1718"/>
      <c r="M125" s="1721"/>
      <c r="N125" s="1718"/>
      <c r="O125" s="1718"/>
      <c r="P125" s="1718"/>
      <c r="Q125" s="1718"/>
      <c r="R125" s="1718"/>
      <c r="S125" s="1718" t="str">
        <f t="shared" si="50"/>
        <v/>
      </c>
      <c r="T125" s="1718"/>
      <c r="U125" s="1722" t="s">
        <v>1359</v>
      </c>
      <c r="V125" s="1723" t="s">
        <v>1360</v>
      </c>
      <c r="W125" s="1724" t="s">
        <v>1306</v>
      </c>
      <c r="X125" s="1725" t="s">
        <v>1361</v>
      </c>
      <c r="Y125" s="1726" t="s">
        <v>1306</v>
      </c>
      <c r="Z125" s="1727" t="s">
        <v>681</v>
      </c>
      <c r="AA125" s="1726"/>
      <c r="AB125" s="1728"/>
      <c r="AC125" s="1729"/>
      <c r="AD125" s="1730"/>
      <c r="AE125" s="1731"/>
      <c r="AF125" s="1731"/>
      <c r="AG125" s="1732" t="str">
        <f t="shared" si="51"/>
        <v>12関連図書の整備-直近の確認申請-確認に要した図書</v>
      </c>
      <c r="AI125" s="1731"/>
      <c r="AJ125" s="1731"/>
      <c r="AK125" s="1731"/>
    </row>
    <row r="126" spans="1:37" s="1732" customFormat="1" ht="18.75" customHeight="1" x14ac:dyDescent="0.15">
      <c r="A126" s="1581"/>
      <c r="B126" s="1733"/>
      <c r="C126" s="1718">
        <v>1</v>
      </c>
      <c r="D126" s="1717">
        <f>'1_入力シート【基本情報】'!$AB$182</f>
        <v>0</v>
      </c>
      <c r="E126" s="1719">
        <f t="shared" si="47"/>
        <v>0</v>
      </c>
      <c r="F126" s="1719" t="str">
        <f t="shared" si="48"/>
        <v>0</v>
      </c>
      <c r="G126" s="1719" t="str">
        <f t="shared" si="49"/>
        <v>0</v>
      </c>
      <c r="H126" s="1720"/>
      <c r="I126" s="1644"/>
      <c r="J126" s="1531"/>
      <c r="K126" s="1718"/>
      <c r="L126" s="1718"/>
      <c r="M126" s="1721"/>
      <c r="N126" s="1718"/>
      <c r="O126" s="1718"/>
      <c r="P126" s="1718"/>
      <c r="Q126" s="1718"/>
      <c r="R126" s="1718"/>
      <c r="S126" s="1718" t="str">
        <f t="shared" si="50"/>
        <v/>
      </c>
      <c r="T126" s="1718"/>
      <c r="U126" s="1722" t="s">
        <v>1359</v>
      </c>
      <c r="V126" s="1723" t="s">
        <v>1360</v>
      </c>
      <c r="W126" s="1724" t="s">
        <v>1306</v>
      </c>
      <c r="X126" s="1725" t="s">
        <v>1361</v>
      </c>
      <c r="Y126" s="1726" t="s">
        <v>1306</v>
      </c>
      <c r="Z126" s="1727" t="s">
        <v>972</v>
      </c>
      <c r="AA126" s="1726" t="s">
        <v>1306</v>
      </c>
      <c r="AB126" s="1728" t="s">
        <v>973</v>
      </c>
      <c r="AC126" s="1729"/>
      <c r="AD126" s="1730"/>
      <c r="AE126" s="1731"/>
      <c r="AF126" s="1731"/>
      <c r="AG126" s="1732" t="str">
        <f t="shared" si="51"/>
        <v>12関連図書の整備-直近の確認申請-確認-確認済証の有無</v>
      </c>
      <c r="AI126" s="1731"/>
      <c r="AJ126" s="1731"/>
      <c r="AK126" s="1731"/>
    </row>
    <row r="127" spans="1:37" s="1732" customFormat="1" ht="18.75" customHeight="1" x14ac:dyDescent="0.15">
      <c r="A127" s="1581"/>
      <c r="B127" s="1733"/>
      <c r="C127" s="1718">
        <v>1</v>
      </c>
      <c r="D127" s="1717">
        <f>'1_入力シート【基本情報】'!$AB$183</f>
        <v>0</v>
      </c>
      <c r="E127" s="1719">
        <f t="shared" si="47"/>
        <v>0</v>
      </c>
      <c r="F127" s="1719" t="str">
        <f t="shared" si="48"/>
        <v>0</v>
      </c>
      <c r="G127" s="1719" t="str">
        <f t="shared" si="49"/>
        <v>0</v>
      </c>
      <c r="H127" s="1720"/>
      <c r="I127" s="1644"/>
      <c r="J127" s="1531"/>
      <c r="K127" s="1718"/>
      <c r="L127" s="1718"/>
      <c r="M127" s="1721"/>
      <c r="N127" s="1718"/>
      <c r="O127" s="1718"/>
      <c r="P127" s="1718"/>
      <c r="Q127" s="1718"/>
      <c r="R127" s="1718"/>
      <c r="S127" s="1718" t="str">
        <f t="shared" si="50"/>
        <v/>
      </c>
      <c r="T127" s="1718"/>
      <c r="U127" s="1722" t="s">
        <v>1359</v>
      </c>
      <c r="V127" s="1723" t="s">
        <v>1360</v>
      </c>
      <c r="W127" s="1724" t="s">
        <v>1306</v>
      </c>
      <c r="X127" s="1725" t="s">
        <v>1361</v>
      </c>
      <c r="Y127" s="1726" t="s">
        <v>1306</v>
      </c>
      <c r="Z127" s="1727" t="s">
        <v>972</v>
      </c>
      <c r="AA127" s="1726" t="s">
        <v>1306</v>
      </c>
      <c r="AB127" s="1728" t="s">
        <v>1021</v>
      </c>
      <c r="AC127" s="1729"/>
      <c r="AD127" s="1730"/>
      <c r="AE127" s="1731"/>
      <c r="AF127" s="1731"/>
      <c r="AG127" s="1732" t="str">
        <f t="shared" si="51"/>
        <v>12関連図書の整備-直近の確認申請-確認-工事種別</v>
      </c>
      <c r="AI127" s="1731"/>
      <c r="AJ127" s="1731"/>
      <c r="AK127" s="1731"/>
    </row>
    <row r="128" spans="1:37" s="1732" customFormat="1" ht="18.75" customHeight="1" x14ac:dyDescent="0.15">
      <c r="A128" s="1581"/>
      <c r="B128" s="1733"/>
      <c r="C128" s="1718">
        <v>1</v>
      </c>
      <c r="D128" s="1717">
        <f>'1_入力シート【基本情報】'!$AB$184</f>
        <v>0</v>
      </c>
      <c r="E128" s="1719">
        <f t="shared" si="47"/>
        <v>0</v>
      </c>
      <c r="F128" s="1719" t="str">
        <f t="shared" si="48"/>
        <v>0</v>
      </c>
      <c r="G128" s="1719" t="str">
        <f t="shared" si="49"/>
        <v>0</v>
      </c>
      <c r="H128" s="1720"/>
      <c r="I128" s="1644"/>
      <c r="J128" s="1531"/>
      <c r="K128" s="1718"/>
      <c r="L128" s="1718"/>
      <c r="M128" s="1721"/>
      <c r="N128" s="1718"/>
      <c r="O128" s="1718"/>
      <c r="P128" s="1718"/>
      <c r="Q128" s="1718"/>
      <c r="R128" s="1718"/>
      <c r="S128" s="1718" t="str">
        <f t="shared" si="50"/>
        <v/>
      </c>
      <c r="T128" s="1718"/>
      <c r="U128" s="1722" t="s">
        <v>1359</v>
      </c>
      <c r="V128" s="1723" t="s">
        <v>1360</v>
      </c>
      <c r="W128" s="1724" t="s">
        <v>1306</v>
      </c>
      <c r="X128" s="1725" t="s">
        <v>1361</v>
      </c>
      <c r="Y128" s="1726" t="s">
        <v>1306</v>
      </c>
      <c r="Z128" s="1727" t="s">
        <v>972</v>
      </c>
      <c r="AA128" s="1726" t="s">
        <v>1306</v>
      </c>
      <c r="AB128" s="1728" t="s">
        <v>1302</v>
      </c>
      <c r="AC128" s="1734" t="s">
        <v>1306</v>
      </c>
      <c r="AD128" s="1730" t="s">
        <v>1102</v>
      </c>
      <c r="AE128" s="1731"/>
      <c r="AF128" s="1731"/>
      <c r="AG128" s="1732" t="str">
        <f t="shared" si="51"/>
        <v>12関連図書の整備-直近の確認申請-確認-交付年月日-元号</v>
      </c>
      <c r="AI128" s="1731"/>
      <c r="AJ128" s="1731"/>
      <c r="AK128" s="1731"/>
    </row>
    <row r="129" spans="1:39" s="1732" customFormat="1" ht="18.75" customHeight="1" x14ac:dyDescent="0.15">
      <c r="A129" s="1581"/>
      <c r="B129" s="1733"/>
      <c r="C129" s="1718">
        <v>1</v>
      </c>
      <c r="D129" s="1717">
        <f>'1_入力シート【基本情報】'!$AE$184</f>
        <v>0</v>
      </c>
      <c r="E129" s="1719">
        <f t="shared" si="47"/>
        <v>0</v>
      </c>
      <c r="F129" s="1719" t="str">
        <f t="shared" si="48"/>
        <v>0</v>
      </c>
      <c r="G129" s="1719" t="str">
        <f t="shared" si="49"/>
        <v>0</v>
      </c>
      <c r="H129" s="1720"/>
      <c r="I129" s="1644"/>
      <c r="J129" s="1531"/>
      <c r="K129" s="1718"/>
      <c r="L129" s="1718"/>
      <c r="M129" s="1721"/>
      <c r="N129" s="1718"/>
      <c r="O129" s="1718"/>
      <c r="P129" s="1718"/>
      <c r="Q129" s="1718"/>
      <c r="R129" s="1718"/>
      <c r="S129" s="1718" t="str">
        <f t="shared" si="50"/>
        <v/>
      </c>
      <c r="T129" s="1718"/>
      <c r="U129" s="1722" t="s">
        <v>1359</v>
      </c>
      <c r="V129" s="1723" t="s">
        <v>1360</v>
      </c>
      <c r="W129" s="1724" t="s">
        <v>1306</v>
      </c>
      <c r="X129" s="1725" t="s">
        <v>1361</v>
      </c>
      <c r="Y129" s="1726" t="s">
        <v>1306</v>
      </c>
      <c r="Z129" s="1727" t="s">
        <v>972</v>
      </c>
      <c r="AA129" s="1726" t="s">
        <v>1306</v>
      </c>
      <c r="AB129" s="1728" t="s">
        <v>1302</v>
      </c>
      <c r="AC129" s="1734" t="s">
        <v>1306</v>
      </c>
      <c r="AD129" s="1730" t="s">
        <v>12</v>
      </c>
      <c r="AE129" s="1731"/>
      <c r="AF129" s="1731"/>
      <c r="AG129" s="1732" t="str">
        <f t="shared" si="51"/>
        <v>12関連図書の整備-直近の確認申請-確認-交付年月日-年</v>
      </c>
      <c r="AI129" s="1731"/>
      <c r="AJ129" s="1731"/>
      <c r="AK129" s="1731"/>
    </row>
    <row r="130" spans="1:39" s="1732" customFormat="1" ht="18.75" customHeight="1" x14ac:dyDescent="0.15">
      <c r="A130" s="1581"/>
      <c r="B130" s="1733"/>
      <c r="C130" s="1718">
        <v>1</v>
      </c>
      <c r="D130" s="1717">
        <f>'1_入力シート【基本情報】'!$AJ$184</f>
        <v>0</v>
      </c>
      <c r="E130" s="1719">
        <f t="shared" si="47"/>
        <v>0</v>
      </c>
      <c r="F130" s="1719" t="str">
        <f t="shared" si="48"/>
        <v>0</v>
      </c>
      <c r="G130" s="1719" t="str">
        <f t="shared" si="49"/>
        <v>0</v>
      </c>
      <c r="H130" s="1720"/>
      <c r="I130" s="1644"/>
      <c r="J130" s="1531"/>
      <c r="K130" s="1718"/>
      <c r="L130" s="1718"/>
      <c r="M130" s="1721"/>
      <c r="N130" s="1718"/>
      <c r="O130" s="1718"/>
      <c r="P130" s="1718"/>
      <c r="Q130" s="1718"/>
      <c r="R130" s="1718"/>
      <c r="S130" s="1718" t="str">
        <f t="shared" si="50"/>
        <v/>
      </c>
      <c r="T130" s="1718"/>
      <c r="U130" s="1722" t="s">
        <v>1359</v>
      </c>
      <c r="V130" s="1723" t="s">
        <v>1360</v>
      </c>
      <c r="W130" s="1724" t="s">
        <v>1306</v>
      </c>
      <c r="X130" s="1725" t="s">
        <v>1361</v>
      </c>
      <c r="Y130" s="1726" t="s">
        <v>1306</v>
      </c>
      <c r="Z130" s="1727" t="s">
        <v>972</v>
      </c>
      <c r="AA130" s="1726" t="s">
        <v>1306</v>
      </c>
      <c r="AB130" s="1728" t="s">
        <v>1302</v>
      </c>
      <c r="AC130" s="1734" t="s">
        <v>1306</v>
      </c>
      <c r="AD130" s="1730" t="s">
        <v>348</v>
      </c>
      <c r="AE130" s="1731"/>
      <c r="AF130" s="1731"/>
      <c r="AG130" s="1732" t="str">
        <f t="shared" si="51"/>
        <v>12関連図書の整備-直近の確認申請-確認-交付年月日-月</v>
      </c>
      <c r="AI130" s="1731"/>
      <c r="AJ130" s="1731"/>
      <c r="AK130" s="1731"/>
    </row>
    <row r="131" spans="1:39" s="1732" customFormat="1" ht="18.75" customHeight="1" x14ac:dyDescent="0.15">
      <c r="A131" s="1581"/>
      <c r="B131" s="1733"/>
      <c r="C131" s="1718">
        <v>1</v>
      </c>
      <c r="D131" s="1717">
        <f>'1_入力シート【基本情報】'!$AO$184</f>
        <v>0</v>
      </c>
      <c r="E131" s="1719">
        <f t="shared" si="47"/>
        <v>0</v>
      </c>
      <c r="F131" s="1719" t="str">
        <f t="shared" si="48"/>
        <v>0</v>
      </c>
      <c r="G131" s="1719" t="str">
        <f t="shared" si="49"/>
        <v>0</v>
      </c>
      <c r="H131" s="1720"/>
      <c r="I131" s="1644"/>
      <c r="J131" s="1531"/>
      <c r="K131" s="1718"/>
      <c r="L131" s="1718"/>
      <c r="M131" s="1721"/>
      <c r="N131" s="1718"/>
      <c r="O131" s="1718"/>
      <c r="P131" s="1718"/>
      <c r="Q131" s="1718"/>
      <c r="R131" s="1718"/>
      <c r="S131" s="1718" t="str">
        <f t="shared" si="50"/>
        <v/>
      </c>
      <c r="T131" s="1718"/>
      <c r="U131" s="1722" t="s">
        <v>1359</v>
      </c>
      <c r="V131" s="1723" t="s">
        <v>1360</v>
      </c>
      <c r="W131" s="1724" t="s">
        <v>1306</v>
      </c>
      <c r="X131" s="1725" t="s">
        <v>1361</v>
      </c>
      <c r="Y131" s="1726" t="s">
        <v>1306</v>
      </c>
      <c r="Z131" s="1727" t="s">
        <v>972</v>
      </c>
      <c r="AA131" s="1726" t="s">
        <v>1306</v>
      </c>
      <c r="AB131" s="1728" t="s">
        <v>1302</v>
      </c>
      <c r="AC131" s="1734" t="s">
        <v>1306</v>
      </c>
      <c r="AD131" s="1730" t="s">
        <v>364</v>
      </c>
      <c r="AE131" s="1731"/>
      <c r="AF131" s="1731"/>
      <c r="AG131" s="1732" t="str">
        <f t="shared" si="51"/>
        <v>12関連図書の整備-直近の確認申請-確認-交付年月日-日</v>
      </c>
      <c r="AI131" s="1731"/>
      <c r="AJ131" s="1731"/>
      <c r="AK131" s="1731"/>
    </row>
    <row r="132" spans="1:39" s="1732" customFormat="1" ht="18.75" customHeight="1" x14ac:dyDescent="0.15">
      <c r="A132" s="1581"/>
      <c r="B132" s="1536" t="s">
        <v>2928</v>
      </c>
      <c r="C132" s="1718">
        <v>2</v>
      </c>
      <c r="D132" s="1735" t="str">
        <f>'1_入力シート【基本情報】'!EA185</f>
        <v/>
      </c>
      <c r="E132" s="1719" t="str">
        <f t="shared" ref="E132" si="52">D132</f>
        <v/>
      </c>
      <c r="F132" s="1719" t="str">
        <f t="shared" ref="F132" si="53">SUBSTITUTE(E132,CHAR(10),"")</f>
        <v/>
      </c>
      <c r="G132" s="1719" t="str">
        <f t="shared" ref="G132" si="54">TRIM(F132)</f>
        <v/>
      </c>
      <c r="H132" s="1720"/>
      <c r="I132" s="1644"/>
      <c r="J132" s="1531"/>
      <c r="K132" s="1718"/>
      <c r="L132" s="1718"/>
      <c r="M132" s="1721"/>
      <c r="N132" s="1718"/>
      <c r="O132" s="1718"/>
      <c r="P132" s="1718"/>
      <c r="Q132" s="1718"/>
      <c r="R132" s="1718"/>
      <c r="S132" s="1718"/>
      <c r="T132" s="1718"/>
      <c r="U132" s="1722" t="s">
        <v>1359</v>
      </c>
      <c r="V132" s="1723" t="s">
        <v>1360</v>
      </c>
      <c r="W132" s="1724" t="s">
        <v>1306</v>
      </c>
      <c r="X132" s="1725" t="s">
        <v>1361</v>
      </c>
      <c r="Y132" s="1726" t="s">
        <v>1306</v>
      </c>
      <c r="Z132" s="1727" t="s">
        <v>972</v>
      </c>
      <c r="AA132" s="1726" t="s">
        <v>1306</v>
      </c>
      <c r="AB132" s="1728" t="s">
        <v>1302</v>
      </c>
      <c r="AC132" s="1734" t="s">
        <v>1306</v>
      </c>
      <c r="AD132" s="1730" t="s">
        <v>3105</v>
      </c>
      <c r="AE132" s="1731"/>
      <c r="AF132" s="1731"/>
      <c r="AG132" s="1732" t="str">
        <f t="shared" si="51"/>
        <v>12関連図書の整備-直近の確認申請-確認-交付年月日-西暦年月日</v>
      </c>
      <c r="AI132" s="1731"/>
      <c r="AJ132" s="1731"/>
      <c r="AK132" s="1731"/>
    </row>
    <row r="133" spans="1:39" s="1732" customFormat="1" ht="18.75" customHeight="1" x14ac:dyDescent="0.15">
      <c r="A133" s="1578"/>
      <c r="B133" s="1718"/>
      <c r="C133" s="1718">
        <v>1</v>
      </c>
      <c r="D133" s="1717">
        <f>'1_入力シート【基本情報】'!$AB$185</f>
        <v>0</v>
      </c>
      <c r="E133" s="1719">
        <f t="shared" si="47"/>
        <v>0</v>
      </c>
      <c r="F133" s="1719" t="str">
        <f t="shared" si="48"/>
        <v>0</v>
      </c>
      <c r="G133" s="1719" t="str">
        <f t="shared" si="49"/>
        <v>0</v>
      </c>
      <c r="H133" s="1720"/>
      <c r="I133" s="1644"/>
      <c r="J133" s="1531"/>
      <c r="K133" s="1718"/>
      <c r="L133" s="1718"/>
      <c r="M133" s="1721"/>
      <c r="N133" s="1718"/>
      <c r="O133" s="1718"/>
      <c r="P133" s="1718"/>
      <c r="Q133" s="1718"/>
      <c r="R133" s="1718"/>
      <c r="S133" s="1718" t="str">
        <f t="shared" si="50"/>
        <v/>
      </c>
      <c r="T133" s="1718"/>
      <c r="U133" s="1722" t="s">
        <v>1359</v>
      </c>
      <c r="V133" s="1723" t="s">
        <v>1360</v>
      </c>
      <c r="W133" s="1724" t="s">
        <v>1306</v>
      </c>
      <c r="X133" s="1725" t="s">
        <v>1361</v>
      </c>
      <c r="Y133" s="1726" t="s">
        <v>1306</v>
      </c>
      <c r="Z133" s="1727" t="s">
        <v>972</v>
      </c>
      <c r="AA133" s="1726" t="s">
        <v>1306</v>
      </c>
      <c r="AB133" s="1728" t="s">
        <v>229</v>
      </c>
      <c r="AC133" s="1734" t="s">
        <v>1306</v>
      </c>
      <c r="AD133" s="1730" t="s">
        <v>4</v>
      </c>
      <c r="AE133" s="1731"/>
      <c r="AF133" s="1731"/>
      <c r="AG133" s="1732" t="str">
        <f t="shared" si="51"/>
        <v>12関連図書の整備-直近の確認申請-確認-交付番号-号</v>
      </c>
      <c r="AI133" s="1731"/>
      <c r="AJ133" s="1731"/>
      <c r="AK133" s="1731"/>
    </row>
    <row r="134" spans="1:39" s="1732" customFormat="1" ht="18.75" customHeight="1" x14ac:dyDescent="0.15">
      <c r="A134" s="1578"/>
      <c r="B134" s="1718"/>
      <c r="C134" s="1718">
        <v>1</v>
      </c>
      <c r="D134" s="1717">
        <f>'1_入力シート【基本情報】'!$AB$186</f>
        <v>0</v>
      </c>
      <c r="E134" s="1719">
        <f t="shared" si="47"/>
        <v>0</v>
      </c>
      <c r="F134" s="1719" t="str">
        <f t="shared" si="48"/>
        <v>0</v>
      </c>
      <c r="G134" s="1719" t="str">
        <f t="shared" si="49"/>
        <v>0</v>
      </c>
      <c r="H134" s="1720"/>
      <c r="I134" s="1644"/>
      <c r="J134" s="1531"/>
      <c r="K134" s="1718"/>
      <c r="L134" s="1718"/>
      <c r="M134" s="1721"/>
      <c r="N134" s="1718"/>
      <c r="O134" s="1718"/>
      <c r="P134" s="1718"/>
      <c r="Q134" s="1718"/>
      <c r="R134" s="1718"/>
      <c r="S134" s="1718" t="str">
        <f t="shared" si="50"/>
        <v/>
      </c>
      <c r="T134" s="1718"/>
      <c r="U134" s="1722" t="s">
        <v>1359</v>
      </c>
      <c r="V134" s="1723" t="s">
        <v>1360</v>
      </c>
      <c r="W134" s="1724" t="s">
        <v>1306</v>
      </c>
      <c r="X134" s="1725" t="s">
        <v>1361</v>
      </c>
      <c r="Y134" s="1726" t="s">
        <v>1306</v>
      </c>
      <c r="Z134" s="1727" t="s">
        <v>972</v>
      </c>
      <c r="AA134" s="1726" t="s">
        <v>1306</v>
      </c>
      <c r="AB134" s="1728" t="s">
        <v>1362</v>
      </c>
      <c r="AC134" s="1729"/>
      <c r="AD134" s="1730"/>
      <c r="AE134" s="1731"/>
      <c r="AF134" s="1731"/>
      <c r="AG134" s="1732" t="str">
        <f t="shared" si="51"/>
        <v>12関連図書の整備-直近の確認申請-確認-交付者</v>
      </c>
      <c r="AI134" s="1731"/>
      <c r="AJ134" s="1731"/>
      <c r="AK134" s="1731"/>
    </row>
    <row r="135" spans="1:39" s="1732" customFormat="1" ht="18.75" customHeight="1" x14ac:dyDescent="0.15">
      <c r="A135" s="1578"/>
      <c r="B135" s="1718"/>
      <c r="C135" s="1718">
        <v>1</v>
      </c>
      <c r="D135" s="1717">
        <f>'1_入力シート【基本情報】'!$AB$187</f>
        <v>0</v>
      </c>
      <c r="E135" s="1719">
        <f t="shared" si="47"/>
        <v>0</v>
      </c>
      <c r="F135" s="1719" t="str">
        <f t="shared" si="48"/>
        <v>0</v>
      </c>
      <c r="G135" s="1719" t="str">
        <f t="shared" si="49"/>
        <v>0</v>
      </c>
      <c r="H135" s="1720"/>
      <c r="I135" s="1644"/>
      <c r="J135" s="1531"/>
      <c r="K135" s="1718"/>
      <c r="L135" s="1718"/>
      <c r="M135" s="1721"/>
      <c r="N135" s="1718"/>
      <c r="O135" s="1718"/>
      <c r="P135" s="1718"/>
      <c r="Q135" s="1718"/>
      <c r="R135" s="1718"/>
      <c r="S135" s="1718" t="str">
        <f t="shared" si="50"/>
        <v/>
      </c>
      <c r="T135" s="1718"/>
      <c r="U135" s="1722" t="s">
        <v>1359</v>
      </c>
      <c r="V135" s="1723" t="s">
        <v>1360</v>
      </c>
      <c r="W135" s="1724" t="s">
        <v>1306</v>
      </c>
      <c r="X135" s="1725" t="s">
        <v>1361</v>
      </c>
      <c r="Y135" s="1726" t="s">
        <v>1306</v>
      </c>
      <c r="Z135" s="1727" t="s">
        <v>972</v>
      </c>
      <c r="AA135" s="1726" t="s">
        <v>1306</v>
      </c>
      <c r="AB135" s="1728" t="s">
        <v>1363</v>
      </c>
      <c r="AC135" s="1729"/>
      <c r="AD135" s="1730"/>
      <c r="AE135" s="1731"/>
      <c r="AF135" s="1731"/>
      <c r="AG135" s="1732" t="str">
        <f t="shared" si="51"/>
        <v>12関連図書の整備-直近の確認申請-確認-検査機関</v>
      </c>
      <c r="AI135" s="1731"/>
      <c r="AJ135" s="1731"/>
      <c r="AK135" s="1731"/>
    </row>
    <row r="136" spans="1:39" s="1732" customFormat="1" ht="18.75" customHeight="1" x14ac:dyDescent="0.15">
      <c r="A136" s="1578"/>
      <c r="B136" s="1718"/>
      <c r="C136" s="1718">
        <v>1</v>
      </c>
      <c r="D136" s="1717">
        <f>'1_入力シート【基本情報】'!$AB$188</f>
        <v>0</v>
      </c>
      <c r="E136" s="1719">
        <f t="shared" si="47"/>
        <v>0</v>
      </c>
      <c r="F136" s="1719" t="str">
        <f t="shared" si="48"/>
        <v>0</v>
      </c>
      <c r="G136" s="1719" t="str">
        <f t="shared" si="49"/>
        <v>0</v>
      </c>
      <c r="H136" s="1720"/>
      <c r="I136" s="1644"/>
      <c r="J136" s="1531"/>
      <c r="K136" s="1718"/>
      <c r="L136" s="1718"/>
      <c r="M136" s="1721"/>
      <c r="N136" s="1718"/>
      <c r="O136" s="1718"/>
      <c r="P136" s="1718"/>
      <c r="Q136" s="1718"/>
      <c r="R136" s="1718"/>
      <c r="S136" s="1718" t="str">
        <f t="shared" si="50"/>
        <v/>
      </c>
      <c r="T136" s="1718"/>
      <c r="U136" s="1722" t="s">
        <v>1359</v>
      </c>
      <c r="V136" s="1723" t="s">
        <v>1360</v>
      </c>
      <c r="W136" s="1724" t="s">
        <v>1306</v>
      </c>
      <c r="X136" s="1725" t="s">
        <v>1361</v>
      </c>
      <c r="Y136" s="1726" t="s">
        <v>1306</v>
      </c>
      <c r="Z136" s="1727" t="s">
        <v>682</v>
      </c>
      <c r="AA136" s="1726"/>
      <c r="AB136" s="1728"/>
      <c r="AC136" s="1729"/>
      <c r="AD136" s="1730"/>
      <c r="AE136" s="1731"/>
      <c r="AF136" s="1731"/>
      <c r="AG136" s="1732" t="str">
        <f t="shared" si="51"/>
        <v>12関連図書の整備-直近の確認申請-完了検査に要した図書</v>
      </c>
      <c r="AI136" s="1731"/>
      <c r="AJ136" s="1731"/>
      <c r="AK136" s="1731"/>
    </row>
    <row r="137" spans="1:39" s="1732" customFormat="1" ht="18.75" customHeight="1" x14ac:dyDescent="0.15">
      <c r="A137" s="1578"/>
      <c r="B137" s="1718"/>
      <c r="C137" s="1718">
        <v>1</v>
      </c>
      <c r="D137" s="1717">
        <f>'1_入力シート【基本情報】'!$AB$189</f>
        <v>0</v>
      </c>
      <c r="E137" s="1719">
        <f t="shared" si="47"/>
        <v>0</v>
      </c>
      <c r="F137" s="1719" t="str">
        <f t="shared" si="48"/>
        <v>0</v>
      </c>
      <c r="G137" s="1719" t="str">
        <f t="shared" si="49"/>
        <v>0</v>
      </c>
      <c r="H137" s="1720"/>
      <c r="I137" s="1644"/>
      <c r="J137" s="1531"/>
      <c r="K137" s="1718"/>
      <c r="L137" s="1718"/>
      <c r="M137" s="1721"/>
      <c r="N137" s="1718"/>
      <c r="O137" s="1718"/>
      <c r="P137" s="1718"/>
      <c r="Q137" s="1718"/>
      <c r="R137" s="1718"/>
      <c r="S137" s="1718" t="str">
        <f t="shared" si="50"/>
        <v/>
      </c>
      <c r="T137" s="1718"/>
      <c r="U137" s="1722" t="s">
        <v>1359</v>
      </c>
      <c r="V137" s="1723" t="s">
        <v>1360</v>
      </c>
      <c r="W137" s="1724" t="s">
        <v>1306</v>
      </c>
      <c r="X137" s="1725" t="s">
        <v>1361</v>
      </c>
      <c r="Y137" s="1726" t="s">
        <v>1306</v>
      </c>
      <c r="Z137" s="1736" t="s">
        <v>975</v>
      </c>
      <c r="AA137" s="1726" t="s">
        <v>1306</v>
      </c>
      <c r="AB137" s="1728" t="s">
        <v>1364</v>
      </c>
      <c r="AC137" s="1729"/>
      <c r="AD137" s="1730"/>
      <c r="AE137" s="1737"/>
      <c r="AF137" s="1737"/>
      <c r="AG137" s="1732" t="str">
        <f t="shared" si="51"/>
        <v>12関連図書の整備-直近の確認申請-完了-検査済証の有無</v>
      </c>
      <c r="AI137" s="1737"/>
      <c r="AJ137" s="1737"/>
      <c r="AK137" s="1737"/>
      <c r="AL137" s="1738"/>
      <c r="AM137" s="1738"/>
    </row>
    <row r="138" spans="1:39" s="1732" customFormat="1" ht="18.75" customHeight="1" x14ac:dyDescent="0.15">
      <c r="A138" s="1581"/>
      <c r="B138" s="1733"/>
      <c r="C138" s="1718">
        <v>1</v>
      </c>
      <c r="D138" s="1717">
        <f>'1_入力シート【基本情報】'!$AB$190</f>
        <v>0</v>
      </c>
      <c r="E138" s="1719">
        <f t="shared" si="47"/>
        <v>0</v>
      </c>
      <c r="F138" s="1719" t="str">
        <f t="shared" si="48"/>
        <v>0</v>
      </c>
      <c r="G138" s="1719" t="str">
        <f t="shared" si="49"/>
        <v>0</v>
      </c>
      <c r="H138" s="1720"/>
      <c r="I138" s="1644"/>
      <c r="J138" s="1531"/>
      <c r="K138" s="1718"/>
      <c r="L138" s="1718"/>
      <c r="M138" s="1721"/>
      <c r="N138" s="1718"/>
      <c r="O138" s="1718"/>
      <c r="P138" s="1718"/>
      <c r="Q138" s="1718"/>
      <c r="R138" s="1718"/>
      <c r="S138" s="1718" t="str">
        <f t="shared" si="50"/>
        <v/>
      </c>
      <c r="T138" s="1718"/>
      <c r="U138" s="1722" t="s">
        <v>1359</v>
      </c>
      <c r="V138" s="1723" t="s">
        <v>1360</v>
      </c>
      <c r="W138" s="1724" t="s">
        <v>1306</v>
      </c>
      <c r="X138" s="1725" t="s">
        <v>1361</v>
      </c>
      <c r="Y138" s="1726" t="s">
        <v>1306</v>
      </c>
      <c r="Z138" s="1736" t="s">
        <v>975</v>
      </c>
      <c r="AA138" s="1726" t="s">
        <v>1306</v>
      </c>
      <c r="AB138" s="1728" t="s">
        <v>1302</v>
      </c>
      <c r="AC138" s="1734" t="s">
        <v>1306</v>
      </c>
      <c r="AD138" s="1730" t="s">
        <v>1102</v>
      </c>
      <c r="AE138" s="1739"/>
      <c r="AF138" s="1739"/>
      <c r="AG138" s="1732" t="str">
        <f t="shared" si="51"/>
        <v>12関連図書の整備-直近の確認申請-完了-交付年月日-元号</v>
      </c>
      <c r="AI138" s="1739"/>
      <c r="AJ138" s="1739"/>
      <c r="AK138" s="1739"/>
      <c r="AL138" s="1740"/>
      <c r="AM138" s="1740"/>
    </row>
    <row r="139" spans="1:39" s="1732" customFormat="1" ht="18.75" customHeight="1" x14ac:dyDescent="0.15">
      <c r="A139" s="1578"/>
      <c r="B139" s="1718"/>
      <c r="C139" s="1718">
        <v>1</v>
      </c>
      <c r="D139" s="1717">
        <f>'1_入力シート【基本情報】'!$AE$190</f>
        <v>0</v>
      </c>
      <c r="E139" s="1719">
        <f t="shared" si="47"/>
        <v>0</v>
      </c>
      <c r="F139" s="1719" t="str">
        <f t="shared" si="48"/>
        <v>0</v>
      </c>
      <c r="G139" s="1719" t="str">
        <f t="shared" si="49"/>
        <v>0</v>
      </c>
      <c r="H139" s="1720"/>
      <c r="I139" s="1644"/>
      <c r="J139" s="1531"/>
      <c r="K139" s="1718"/>
      <c r="L139" s="1718"/>
      <c r="M139" s="1721"/>
      <c r="N139" s="1718"/>
      <c r="O139" s="1718"/>
      <c r="P139" s="1718"/>
      <c r="Q139" s="1718"/>
      <c r="R139" s="1718"/>
      <c r="S139" s="1718" t="str">
        <f t="shared" si="50"/>
        <v/>
      </c>
      <c r="T139" s="1718"/>
      <c r="U139" s="1722" t="s">
        <v>1359</v>
      </c>
      <c r="V139" s="1723" t="s">
        <v>1360</v>
      </c>
      <c r="W139" s="1724" t="s">
        <v>1306</v>
      </c>
      <c r="X139" s="1725" t="s">
        <v>1361</v>
      </c>
      <c r="Y139" s="1726" t="s">
        <v>1306</v>
      </c>
      <c r="Z139" s="1736" t="s">
        <v>975</v>
      </c>
      <c r="AA139" s="1726" t="s">
        <v>1306</v>
      </c>
      <c r="AB139" s="1728" t="s">
        <v>1302</v>
      </c>
      <c r="AC139" s="1734" t="s">
        <v>1306</v>
      </c>
      <c r="AD139" s="1730" t="s">
        <v>12</v>
      </c>
      <c r="AE139" s="1739"/>
      <c r="AF139" s="1739"/>
      <c r="AG139" s="1732" t="str">
        <f t="shared" si="51"/>
        <v>12関連図書の整備-直近の確認申請-完了-交付年月日-年</v>
      </c>
      <c r="AI139" s="1739"/>
      <c r="AJ139" s="1739"/>
      <c r="AK139" s="1739"/>
      <c r="AL139" s="1740"/>
      <c r="AM139" s="1740"/>
    </row>
    <row r="140" spans="1:39" s="1732" customFormat="1" ht="18.75" customHeight="1" x14ac:dyDescent="0.15">
      <c r="A140" s="1581"/>
      <c r="B140" s="1733"/>
      <c r="C140" s="1718">
        <v>1</v>
      </c>
      <c r="D140" s="1717">
        <f>'1_入力シート【基本情報】'!$AJ$190</f>
        <v>0</v>
      </c>
      <c r="E140" s="1719">
        <f t="shared" si="47"/>
        <v>0</v>
      </c>
      <c r="F140" s="1719" t="str">
        <f t="shared" si="48"/>
        <v>0</v>
      </c>
      <c r="G140" s="1719" t="str">
        <f t="shared" si="49"/>
        <v>0</v>
      </c>
      <c r="H140" s="1720"/>
      <c r="I140" s="1644"/>
      <c r="J140" s="1531"/>
      <c r="K140" s="1718"/>
      <c r="L140" s="1718"/>
      <c r="M140" s="1721"/>
      <c r="N140" s="1718"/>
      <c r="O140" s="1718"/>
      <c r="P140" s="1718"/>
      <c r="Q140" s="1718"/>
      <c r="R140" s="1718"/>
      <c r="S140" s="1718" t="str">
        <f t="shared" si="50"/>
        <v/>
      </c>
      <c r="T140" s="1718"/>
      <c r="U140" s="1722" t="s">
        <v>1359</v>
      </c>
      <c r="V140" s="1723" t="s">
        <v>1360</v>
      </c>
      <c r="W140" s="1724" t="s">
        <v>1306</v>
      </c>
      <c r="X140" s="1725" t="s">
        <v>1361</v>
      </c>
      <c r="Y140" s="1726" t="s">
        <v>1306</v>
      </c>
      <c r="Z140" s="1736" t="s">
        <v>975</v>
      </c>
      <c r="AA140" s="1726" t="s">
        <v>1306</v>
      </c>
      <c r="AB140" s="1728" t="s">
        <v>1302</v>
      </c>
      <c r="AC140" s="1734" t="s">
        <v>1306</v>
      </c>
      <c r="AD140" s="1730" t="s">
        <v>348</v>
      </c>
      <c r="AE140" s="1737"/>
      <c r="AF140" s="1737"/>
      <c r="AG140" s="1732" t="str">
        <f t="shared" si="51"/>
        <v>12関連図書の整備-直近の確認申請-完了-交付年月日-月</v>
      </c>
      <c r="AI140" s="1737"/>
      <c r="AJ140" s="1737"/>
      <c r="AK140" s="1737"/>
      <c r="AL140" s="1738"/>
      <c r="AM140" s="1738"/>
    </row>
    <row r="141" spans="1:39" s="1732" customFormat="1" ht="18.75" customHeight="1" x14ac:dyDescent="0.15">
      <c r="A141" s="1581"/>
      <c r="B141" s="1733"/>
      <c r="C141" s="1718">
        <v>1</v>
      </c>
      <c r="D141" s="1717">
        <f>'1_入力シート【基本情報】'!$AO$190</f>
        <v>0</v>
      </c>
      <c r="E141" s="1719">
        <f t="shared" si="47"/>
        <v>0</v>
      </c>
      <c r="F141" s="1719" t="str">
        <f t="shared" si="48"/>
        <v>0</v>
      </c>
      <c r="G141" s="1719" t="str">
        <f t="shared" si="49"/>
        <v>0</v>
      </c>
      <c r="H141" s="1720"/>
      <c r="I141" s="1644"/>
      <c r="J141" s="1531"/>
      <c r="K141" s="1718"/>
      <c r="L141" s="1718"/>
      <c r="M141" s="1721"/>
      <c r="N141" s="1718"/>
      <c r="O141" s="1718"/>
      <c r="P141" s="1718"/>
      <c r="Q141" s="1718"/>
      <c r="R141" s="1718"/>
      <c r="S141" s="1718" t="str">
        <f t="shared" si="50"/>
        <v/>
      </c>
      <c r="T141" s="1718"/>
      <c r="U141" s="1722" t="s">
        <v>1359</v>
      </c>
      <c r="V141" s="1723" t="s">
        <v>1360</v>
      </c>
      <c r="W141" s="1724" t="s">
        <v>1306</v>
      </c>
      <c r="X141" s="1725" t="s">
        <v>1361</v>
      </c>
      <c r="Y141" s="1726" t="s">
        <v>1306</v>
      </c>
      <c r="Z141" s="1736" t="s">
        <v>975</v>
      </c>
      <c r="AA141" s="1726" t="s">
        <v>1306</v>
      </c>
      <c r="AB141" s="1728" t="s">
        <v>1302</v>
      </c>
      <c r="AC141" s="1734" t="s">
        <v>1306</v>
      </c>
      <c r="AD141" s="1730" t="s">
        <v>364</v>
      </c>
      <c r="AE141" s="1737"/>
      <c r="AF141" s="1737"/>
      <c r="AG141" s="1732" t="str">
        <f t="shared" si="51"/>
        <v>12関連図書の整備-直近の確認申請-完了-交付年月日-日</v>
      </c>
      <c r="AI141" s="1737"/>
      <c r="AJ141" s="1737"/>
      <c r="AK141" s="1737"/>
      <c r="AL141" s="1738"/>
      <c r="AM141" s="1738"/>
    </row>
    <row r="142" spans="1:39" s="1732" customFormat="1" ht="18.75" customHeight="1" x14ac:dyDescent="0.15">
      <c r="A142" s="1581"/>
      <c r="B142" s="1536" t="s">
        <v>2928</v>
      </c>
      <c r="C142" s="1718">
        <v>2</v>
      </c>
      <c r="D142" s="1735" t="str">
        <f>'1_入力シート【基本情報】'!EA191</f>
        <v/>
      </c>
      <c r="E142" s="1719" t="str">
        <f t="shared" ref="E142" si="55">D142</f>
        <v/>
      </c>
      <c r="F142" s="1719" t="str">
        <f t="shared" ref="F142" si="56">SUBSTITUTE(E142,CHAR(10),"")</f>
        <v/>
      </c>
      <c r="G142" s="1719" t="str">
        <f t="shared" ref="G142" si="57">TRIM(F142)</f>
        <v/>
      </c>
      <c r="H142" s="1720"/>
      <c r="I142" s="1644"/>
      <c r="J142" s="1531"/>
      <c r="K142" s="1718"/>
      <c r="L142" s="1718"/>
      <c r="M142" s="1721"/>
      <c r="N142" s="1718"/>
      <c r="O142" s="1718"/>
      <c r="P142" s="1718"/>
      <c r="Q142" s="1718"/>
      <c r="R142" s="1718"/>
      <c r="S142" s="1718"/>
      <c r="T142" s="1718"/>
      <c r="U142" s="1722" t="s">
        <v>1359</v>
      </c>
      <c r="V142" s="1723" t="s">
        <v>1360</v>
      </c>
      <c r="W142" s="1724" t="s">
        <v>1306</v>
      </c>
      <c r="X142" s="1725" t="s">
        <v>1361</v>
      </c>
      <c r="Y142" s="1726" t="s">
        <v>1306</v>
      </c>
      <c r="Z142" s="1736" t="s">
        <v>975</v>
      </c>
      <c r="AA142" s="1726" t="s">
        <v>1306</v>
      </c>
      <c r="AB142" s="1728" t="s">
        <v>1302</v>
      </c>
      <c r="AC142" s="1734" t="s">
        <v>1306</v>
      </c>
      <c r="AD142" s="1730" t="s">
        <v>3105</v>
      </c>
      <c r="AE142" s="1737"/>
      <c r="AF142" s="1737"/>
      <c r="AG142" s="1732" t="str">
        <f t="shared" si="51"/>
        <v>12関連図書の整備-直近の確認申請-完了-交付年月日-西暦年月日</v>
      </c>
      <c r="AI142" s="1737"/>
      <c r="AJ142" s="1737"/>
      <c r="AK142" s="1737"/>
      <c r="AL142" s="1738"/>
      <c r="AM142" s="1738"/>
    </row>
    <row r="143" spans="1:39" s="1732" customFormat="1" ht="18.75" customHeight="1" x14ac:dyDescent="0.15">
      <c r="A143" s="1578"/>
      <c r="B143" s="1718"/>
      <c r="C143" s="1718">
        <v>1</v>
      </c>
      <c r="D143" s="1717">
        <f>'1_入力シート【基本情報】'!$AB$191</f>
        <v>0</v>
      </c>
      <c r="E143" s="1719">
        <f t="shared" si="47"/>
        <v>0</v>
      </c>
      <c r="F143" s="1719" t="str">
        <f t="shared" si="48"/>
        <v>0</v>
      </c>
      <c r="G143" s="1719" t="str">
        <f t="shared" si="49"/>
        <v>0</v>
      </c>
      <c r="H143" s="1720"/>
      <c r="I143" s="1644"/>
      <c r="J143" s="1531"/>
      <c r="K143" s="1718"/>
      <c r="L143" s="1718"/>
      <c r="M143" s="1721"/>
      <c r="N143" s="1718"/>
      <c r="O143" s="1718"/>
      <c r="P143" s="1718"/>
      <c r="Q143" s="1718"/>
      <c r="R143" s="1718"/>
      <c r="S143" s="1718" t="str">
        <f t="shared" si="50"/>
        <v/>
      </c>
      <c r="T143" s="1718"/>
      <c r="U143" s="1722" t="s">
        <v>1359</v>
      </c>
      <c r="V143" s="1723" t="s">
        <v>1360</v>
      </c>
      <c r="W143" s="1724" t="s">
        <v>1306</v>
      </c>
      <c r="X143" s="1725" t="s">
        <v>1361</v>
      </c>
      <c r="Y143" s="1726" t="s">
        <v>1306</v>
      </c>
      <c r="Z143" s="1736" t="s">
        <v>975</v>
      </c>
      <c r="AA143" s="1726" t="s">
        <v>1306</v>
      </c>
      <c r="AB143" s="1728" t="s">
        <v>229</v>
      </c>
      <c r="AC143" s="1734" t="s">
        <v>1306</v>
      </c>
      <c r="AD143" s="1730" t="s">
        <v>4</v>
      </c>
      <c r="AE143" s="1737"/>
      <c r="AF143" s="1737"/>
      <c r="AG143" s="1732" t="str">
        <f t="shared" si="51"/>
        <v>12関連図書の整備-直近の確認申請-完了-交付番号-号</v>
      </c>
      <c r="AI143" s="1737"/>
      <c r="AJ143" s="1737"/>
      <c r="AK143" s="1737"/>
      <c r="AL143" s="1738"/>
      <c r="AM143" s="1738"/>
    </row>
    <row r="144" spans="1:39" s="1732" customFormat="1" ht="18.75" customHeight="1" x14ac:dyDescent="0.15">
      <c r="A144" s="1581"/>
      <c r="B144" s="1733"/>
      <c r="C144" s="1718">
        <v>1</v>
      </c>
      <c r="D144" s="1717">
        <f>'1_入力シート【基本情報】'!$AB$192</f>
        <v>0</v>
      </c>
      <c r="E144" s="1719">
        <f t="shared" si="47"/>
        <v>0</v>
      </c>
      <c r="F144" s="1719" t="str">
        <f t="shared" si="48"/>
        <v>0</v>
      </c>
      <c r="G144" s="1719" t="str">
        <f t="shared" si="49"/>
        <v>0</v>
      </c>
      <c r="H144" s="1720"/>
      <c r="I144" s="1644"/>
      <c r="J144" s="1531"/>
      <c r="K144" s="1718"/>
      <c r="L144" s="1718"/>
      <c r="M144" s="1721"/>
      <c r="N144" s="1718"/>
      <c r="O144" s="1718"/>
      <c r="P144" s="1718"/>
      <c r="Q144" s="1718"/>
      <c r="R144" s="1718"/>
      <c r="S144" s="1718" t="str">
        <f t="shared" si="50"/>
        <v/>
      </c>
      <c r="T144" s="1718"/>
      <c r="U144" s="1722" t="s">
        <v>1359</v>
      </c>
      <c r="V144" s="1723" t="s">
        <v>1360</v>
      </c>
      <c r="W144" s="1724" t="s">
        <v>1306</v>
      </c>
      <c r="X144" s="1725" t="s">
        <v>1361</v>
      </c>
      <c r="Y144" s="1726" t="s">
        <v>1306</v>
      </c>
      <c r="Z144" s="1736" t="s">
        <v>975</v>
      </c>
      <c r="AA144" s="1726" t="s">
        <v>1306</v>
      </c>
      <c r="AB144" s="1728" t="s">
        <v>1362</v>
      </c>
      <c r="AC144" s="1729"/>
      <c r="AD144" s="1730"/>
      <c r="AE144" s="1737"/>
      <c r="AF144" s="1737"/>
      <c r="AG144" s="1732" t="str">
        <f t="shared" si="51"/>
        <v>12関連図書の整備-直近の確認申請-完了-交付者</v>
      </c>
      <c r="AI144" s="1737"/>
      <c r="AJ144" s="1737"/>
      <c r="AK144" s="1737"/>
      <c r="AL144" s="1738"/>
      <c r="AM144" s="1738"/>
    </row>
    <row r="145" spans="1:41" s="1732" customFormat="1" ht="18.75" customHeight="1" x14ac:dyDescent="0.15">
      <c r="A145" s="1581"/>
      <c r="B145" s="1733"/>
      <c r="C145" s="1718">
        <v>1</v>
      </c>
      <c r="D145" s="1717">
        <f>'1_入力シート【基本情報】'!$AB$193</f>
        <v>0</v>
      </c>
      <c r="E145" s="1719">
        <f t="shared" si="47"/>
        <v>0</v>
      </c>
      <c r="F145" s="1719" t="str">
        <f t="shared" si="48"/>
        <v>0</v>
      </c>
      <c r="G145" s="1719" t="str">
        <f t="shared" si="49"/>
        <v>0</v>
      </c>
      <c r="H145" s="1720"/>
      <c r="I145" s="1644"/>
      <c r="J145" s="1531"/>
      <c r="K145" s="1718"/>
      <c r="L145" s="1718"/>
      <c r="M145" s="1721"/>
      <c r="N145" s="1718"/>
      <c r="O145" s="1718"/>
      <c r="P145" s="1718"/>
      <c r="Q145" s="1718"/>
      <c r="R145" s="1718"/>
      <c r="S145" s="1718" t="str">
        <f t="shared" si="50"/>
        <v/>
      </c>
      <c r="T145" s="1718"/>
      <c r="U145" s="1722" t="s">
        <v>1359</v>
      </c>
      <c r="V145" s="1723" t="s">
        <v>1360</v>
      </c>
      <c r="W145" s="1724" t="s">
        <v>1306</v>
      </c>
      <c r="X145" s="1725" t="s">
        <v>1361</v>
      </c>
      <c r="Y145" s="1726" t="s">
        <v>1306</v>
      </c>
      <c r="Z145" s="1736" t="s">
        <v>975</v>
      </c>
      <c r="AA145" s="1726" t="s">
        <v>1306</v>
      </c>
      <c r="AB145" s="1728" t="s">
        <v>1363</v>
      </c>
      <c r="AC145" s="1729"/>
      <c r="AD145" s="1730"/>
      <c r="AE145" s="1737"/>
      <c r="AF145" s="1737"/>
      <c r="AG145" s="1732" t="str">
        <f t="shared" si="51"/>
        <v>12関連図書の整備-直近の確認申請-完了-検査機関</v>
      </c>
      <c r="AI145" s="1737"/>
      <c r="AJ145" s="1737"/>
      <c r="AK145" s="1737"/>
      <c r="AL145" s="1738"/>
      <c r="AM145" s="1738"/>
    </row>
    <row r="146" spans="1:41" s="1637" customFormat="1" ht="18.75" customHeight="1" x14ac:dyDescent="0.15">
      <c r="A146" s="1581"/>
      <c r="B146" s="1642"/>
      <c r="C146" s="1627">
        <v>1</v>
      </c>
      <c r="D146" s="1672" t="str">
        <f>'1_入力シート【基本情報】'!$DW195</f>
        <v/>
      </c>
      <c r="E146" s="1672" t="str">
        <f t="shared" si="47"/>
        <v/>
      </c>
      <c r="F146" s="1672" t="str">
        <f t="shared" si="48"/>
        <v/>
      </c>
      <c r="G146" s="1672" t="str">
        <f t="shared" si="49"/>
        <v/>
      </c>
      <c r="H146" s="1628"/>
      <c r="I146" s="1644"/>
      <c r="J146" s="1531"/>
      <c r="K146" s="1627"/>
      <c r="L146" s="1627"/>
      <c r="M146" s="1629"/>
      <c r="N146" s="1627"/>
      <c r="O146" s="1627"/>
      <c r="P146" s="1627"/>
      <c r="Q146" s="1627"/>
      <c r="R146" s="1627"/>
      <c r="S146" s="1627" t="str">
        <f t="shared" si="50"/>
        <v/>
      </c>
      <c r="T146" s="1627"/>
      <c r="U146" s="1630" t="s">
        <v>1359</v>
      </c>
      <c r="V146" s="1686" t="s">
        <v>1360</v>
      </c>
      <c r="W146" s="1632" t="s">
        <v>1306</v>
      </c>
      <c r="X146" s="1639" t="s">
        <v>1365</v>
      </c>
      <c r="Y146" s="1633" t="s">
        <v>1306</v>
      </c>
      <c r="Z146" s="1640" t="s">
        <v>681</v>
      </c>
      <c r="AA146" s="1633" t="s">
        <v>1306</v>
      </c>
      <c r="AB146" s="1631"/>
      <c r="AC146" s="1685"/>
      <c r="AD146" s="1635"/>
      <c r="AE146" s="1678"/>
      <c r="AF146" s="1678"/>
      <c r="AG146" s="1637" t="str">
        <f t="shared" si="51"/>
        <v>12関連図書の整備-新築時の確認申請-確認に要した図書-</v>
      </c>
      <c r="AI146" s="1678"/>
      <c r="AJ146" s="1678"/>
      <c r="AK146" s="1678"/>
      <c r="AL146" s="1679"/>
      <c r="AM146" s="1679"/>
    </row>
    <row r="147" spans="1:41" s="1637" customFormat="1" ht="18.75" customHeight="1" x14ac:dyDescent="0.15">
      <c r="A147" s="1581"/>
      <c r="B147" s="1642"/>
      <c r="C147" s="1627">
        <v>1</v>
      </c>
      <c r="D147" s="1672" t="str">
        <f>'1_入力シート【基本情報】'!$DW196</f>
        <v/>
      </c>
      <c r="E147" s="1672" t="str">
        <f t="shared" si="47"/>
        <v/>
      </c>
      <c r="F147" s="1672" t="str">
        <f t="shared" si="48"/>
        <v/>
      </c>
      <c r="G147" s="1672" t="str">
        <f t="shared" si="49"/>
        <v/>
      </c>
      <c r="H147" s="1628"/>
      <c r="I147" s="1644"/>
      <c r="J147" s="1531"/>
      <c r="K147" s="1627"/>
      <c r="L147" s="1627"/>
      <c r="M147" s="1629"/>
      <c r="N147" s="1627"/>
      <c r="O147" s="1627"/>
      <c r="P147" s="1627"/>
      <c r="Q147" s="1627"/>
      <c r="R147" s="1627"/>
      <c r="S147" s="1627" t="str">
        <f t="shared" si="50"/>
        <v/>
      </c>
      <c r="T147" s="1627"/>
      <c r="U147" s="1630" t="s">
        <v>1359</v>
      </c>
      <c r="V147" s="1686" t="s">
        <v>1360</v>
      </c>
      <c r="W147" s="1632" t="s">
        <v>1306</v>
      </c>
      <c r="X147" s="1639" t="s">
        <v>1365</v>
      </c>
      <c r="Y147" s="1633" t="s">
        <v>1306</v>
      </c>
      <c r="Z147" s="1741" t="s">
        <v>972</v>
      </c>
      <c r="AA147" s="1633" t="s">
        <v>1306</v>
      </c>
      <c r="AB147" s="1686" t="s">
        <v>973</v>
      </c>
      <c r="AC147" s="1742"/>
      <c r="AD147" s="1697"/>
      <c r="AE147" s="1678"/>
      <c r="AF147" s="1678"/>
      <c r="AG147" s="1637" t="str">
        <f t="shared" si="51"/>
        <v>12関連図書の整備-新築時の確認申請-確認-確認済証の有無</v>
      </c>
      <c r="AI147" s="1678"/>
      <c r="AJ147" s="1678"/>
      <c r="AK147" s="1678"/>
      <c r="AL147" s="1679"/>
      <c r="AM147" s="1679"/>
    </row>
    <row r="148" spans="1:41" s="1637" customFormat="1" ht="18.75" customHeight="1" x14ac:dyDescent="0.15">
      <c r="A148" s="1578"/>
      <c r="B148" s="1627"/>
      <c r="C148" s="1627">
        <v>1</v>
      </c>
      <c r="D148" s="1672" t="str">
        <f>'1_入力シート【基本情報】'!$DW197</f>
        <v/>
      </c>
      <c r="E148" s="1672" t="str">
        <f t="shared" si="47"/>
        <v/>
      </c>
      <c r="F148" s="1672" t="str">
        <f t="shared" si="48"/>
        <v/>
      </c>
      <c r="G148" s="1672" t="str">
        <f t="shared" si="49"/>
        <v/>
      </c>
      <c r="H148" s="1628"/>
      <c r="I148" s="1644"/>
      <c r="J148" s="1531"/>
      <c r="K148" s="1627"/>
      <c r="L148" s="1627"/>
      <c r="M148" s="1629"/>
      <c r="N148" s="1627"/>
      <c r="O148" s="1627"/>
      <c r="P148" s="1627"/>
      <c r="Q148" s="1627"/>
      <c r="R148" s="1627"/>
      <c r="S148" s="1627" t="str">
        <f t="shared" si="50"/>
        <v/>
      </c>
      <c r="T148" s="1627"/>
      <c r="U148" s="1630" t="s">
        <v>1359</v>
      </c>
      <c r="V148" s="1686" t="s">
        <v>1360</v>
      </c>
      <c r="W148" s="1632" t="s">
        <v>1306</v>
      </c>
      <c r="X148" s="1639" t="s">
        <v>1365</v>
      </c>
      <c r="Y148" s="1633" t="s">
        <v>1306</v>
      </c>
      <c r="Z148" s="1741" t="s">
        <v>972</v>
      </c>
      <c r="AA148" s="1633" t="s">
        <v>1306</v>
      </c>
      <c r="AB148" s="1686" t="s">
        <v>1021</v>
      </c>
      <c r="AC148" s="1742"/>
      <c r="AD148" s="1697"/>
      <c r="AE148" s="1743"/>
      <c r="AF148" s="1743"/>
      <c r="AG148" s="1637" t="str">
        <f t="shared" si="51"/>
        <v>12関連図書の整備-新築時の確認申請-確認-工事種別</v>
      </c>
      <c r="AI148" s="1743"/>
      <c r="AJ148" s="1743"/>
      <c r="AK148" s="1743"/>
      <c r="AL148" s="1744"/>
      <c r="AM148" s="1744"/>
    </row>
    <row r="149" spans="1:41" s="1637" customFormat="1" ht="18.75" customHeight="1" x14ac:dyDescent="0.15">
      <c r="A149" s="1581"/>
      <c r="B149" s="1642"/>
      <c r="C149" s="1627">
        <v>1</v>
      </c>
      <c r="D149" s="1672" t="str">
        <f>'1_入力シート【基本情報】'!$DW198</f>
        <v/>
      </c>
      <c r="E149" s="1672" t="str">
        <f t="shared" si="47"/>
        <v/>
      </c>
      <c r="F149" s="1672" t="str">
        <f t="shared" si="48"/>
        <v/>
      </c>
      <c r="G149" s="1672" t="str">
        <f t="shared" si="49"/>
        <v/>
      </c>
      <c r="H149" s="1628"/>
      <c r="I149" s="1644"/>
      <c r="J149" s="1531"/>
      <c r="K149" s="1627"/>
      <c r="L149" s="1627"/>
      <c r="M149" s="1629"/>
      <c r="N149" s="1627"/>
      <c r="O149" s="1627"/>
      <c r="P149" s="1627"/>
      <c r="Q149" s="1627"/>
      <c r="R149" s="1627"/>
      <c r="S149" s="1627" t="str">
        <f t="shared" si="50"/>
        <v/>
      </c>
      <c r="T149" s="1627"/>
      <c r="U149" s="1630" t="s">
        <v>1359</v>
      </c>
      <c r="V149" s="1686" t="s">
        <v>1360</v>
      </c>
      <c r="W149" s="1632" t="s">
        <v>1306</v>
      </c>
      <c r="X149" s="1639" t="s">
        <v>1365</v>
      </c>
      <c r="Y149" s="1633" t="s">
        <v>1306</v>
      </c>
      <c r="Z149" s="1741" t="s">
        <v>972</v>
      </c>
      <c r="AA149" s="1633" t="s">
        <v>1306</v>
      </c>
      <c r="AB149" s="1631" t="s">
        <v>1302</v>
      </c>
      <c r="AC149" s="1685" t="s">
        <v>1366</v>
      </c>
      <c r="AD149" s="1635" t="s">
        <v>1102</v>
      </c>
      <c r="AE149" s="1743"/>
      <c r="AF149" s="1743"/>
      <c r="AG149" s="1637" t="str">
        <f t="shared" si="51"/>
        <v>12関連図書の整備-新築時の確認申請-確認-交付年月日-元号</v>
      </c>
      <c r="AI149" s="1743"/>
      <c r="AJ149" s="1743"/>
      <c r="AK149" s="1743"/>
      <c r="AL149" s="1744"/>
      <c r="AM149" s="1744"/>
    </row>
    <row r="150" spans="1:41" s="1637" customFormat="1" ht="18.75" customHeight="1" x14ac:dyDescent="0.15">
      <c r="A150" s="1578"/>
      <c r="B150" s="1627"/>
      <c r="C150" s="1627">
        <v>1</v>
      </c>
      <c r="D150" s="1672" t="str">
        <f>'1_入力シート【基本情報】'!DX$198</f>
        <v/>
      </c>
      <c r="E150" s="1672" t="str">
        <f t="shared" si="47"/>
        <v/>
      </c>
      <c r="F150" s="1672" t="str">
        <f t="shared" si="48"/>
        <v/>
      </c>
      <c r="G150" s="1672" t="str">
        <f t="shared" si="49"/>
        <v/>
      </c>
      <c r="H150" s="1628"/>
      <c r="I150" s="1644"/>
      <c r="J150" s="1531"/>
      <c r="K150" s="1627"/>
      <c r="L150" s="1627"/>
      <c r="M150" s="1629"/>
      <c r="N150" s="1627"/>
      <c r="O150" s="1627"/>
      <c r="P150" s="1627"/>
      <c r="Q150" s="1627"/>
      <c r="R150" s="1627"/>
      <c r="S150" s="1627" t="str">
        <f t="shared" si="50"/>
        <v/>
      </c>
      <c r="T150" s="1627"/>
      <c r="U150" s="1630" t="s">
        <v>1359</v>
      </c>
      <c r="V150" s="1686" t="s">
        <v>1360</v>
      </c>
      <c r="W150" s="1632" t="s">
        <v>1306</v>
      </c>
      <c r="X150" s="1639" t="s">
        <v>1365</v>
      </c>
      <c r="Y150" s="1633" t="s">
        <v>1306</v>
      </c>
      <c r="Z150" s="1741" t="s">
        <v>972</v>
      </c>
      <c r="AA150" s="1633" t="s">
        <v>1306</v>
      </c>
      <c r="AB150" s="1631" t="s">
        <v>1302</v>
      </c>
      <c r="AC150" s="1685" t="s">
        <v>1366</v>
      </c>
      <c r="AD150" s="1635" t="s">
        <v>12</v>
      </c>
      <c r="AE150" s="1678"/>
      <c r="AF150" s="1678"/>
      <c r="AG150" s="1637" t="str">
        <f t="shared" si="51"/>
        <v>12関連図書の整備-新築時の確認申請-確認-交付年月日-年</v>
      </c>
      <c r="AI150" s="1678"/>
      <c r="AJ150" s="1678"/>
      <c r="AK150" s="1678"/>
      <c r="AL150" s="1679"/>
      <c r="AM150" s="1679"/>
    </row>
    <row r="151" spans="1:41" s="1637" customFormat="1" ht="18.75" customHeight="1" x14ac:dyDescent="0.15">
      <c r="A151" s="1578"/>
      <c r="B151" s="1627"/>
      <c r="C151" s="1627">
        <v>1</v>
      </c>
      <c r="D151" s="1672" t="str">
        <f>'1_入力シート【基本情報】'!DY$198</f>
        <v/>
      </c>
      <c r="E151" s="1672" t="str">
        <f t="shared" si="47"/>
        <v/>
      </c>
      <c r="F151" s="1672" t="str">
        <f t="shared" si="48"/>
        <v/>
      </c>
      <c r="G151" s="1672" t="str">
        <f t="shared" si="49"/>
        <v/>
      </c>
      <c r="H151" s="1628"/>
      <c r="I151" s="1644"/>
      <c r="J151" s="1531"/>
      <c r="K151" s="1627"/>
      <c r="L151" s="1627"/>
      <c r="M151" s="1629"/>
      <c r="N151" s="1627"/>
      <c r="O151" s="1627"/>
      <c r="P151" s="1627"/>
      <c r="Q151" s="1627"/>
      <c r="R151" s="1627"/>
      <c r="S151" s="1627" t="str">
        <f t="shared" si="50"/>
        <v/>
      </c>
      <c r="T151" s="1627"/>
      <c r="U151" s="1630" t="s">
        <v>1359</v>
      </c>
      <c r="V151" s="1686" t="s">
        <v>1360</v>
      </c>
      <c r="W151" s="1632" t="s">
        <v>1306</v>
      </c>
      <c r="X151" s="1639" t="s">
        <v>1365</v>
      </c>
      <c r="Y151" s="1633" t="s">
        <v>1306</v>
      </c>
      <c r="Z151" s="1741" t="s">
        <v>972</v>
      </c>
      <c r="AA151" s="1633" t="s">
        <v>1306</v>
      </c>
      <c r="AB151" s="1631" t="s">
        <v>1302</v>
      </c>
      <c r="AC151" s="1685" t="s">
        <v>1366</v>
      </c>
      <c r="AD151" s="1635" t="s">
        <v>348</v>
      </c>
      <c r="AE151" s="1678"/>
      <c r="AF151" s="1678"/>
      <c r="AG151" s="1637" t="str">
        <f t="shared" si="51"/>
        <v>12関連図書の整備-新築時の確認申請-確認-交付年月日-月</v>
      </c>
      <c r="AI151" s="1678"/>
      <c r="AJ151" s="1678"/>
      <c r="AK151" s="1678"/>
      <c r="AL151" s="1679"/>
      <c r="AM151" s="1679"/>
    </row>
    <row r="152" spans="1:41" s="1637" customFormat="1" ht="18.75" customHeight="1" x14ac:dyDescent="0.15">
      <c r="A152" s="1578"/>
      <c r="B152" s="1627"/>
      <c r="C152" s="1627">
        <v>1</v>
      </c>
      <c r="D152" s="1672" t="str">
        <f>'1_入力シート【基本情報】'!DZ$198</f>
        <v/>
      </c>
      <c r="E152" s="1672" t="str">
        <f t="shared" ref="E152:E201" si="58">D152</f>
        <v/>
      </c>
      <c r="F152" s="1672" t="str">
        <f t="shared" ref="F152:F201" si="59">SUBSTITUTE(E152,CHAR(10),"")</f>
        <v/>
      </c>
      <c r="G152" s="1672" t="str">
        <f t="shared" ref="G152:G201" si="60">TRIM(F152)</f>
        <v/>
      </c>
      <c r="H152" s="1628"/>
      <c r="I152" s="1644"/>
      <c r="J152" s="1531"/>
      <c r="K152" s="1627"/>
      <c r="L152" s="1627"/>
      <c r="M152" s="1629"/>
      <c r="N152" s="1627"/>
      <c r="O152" s="1627"/>
      <c r="P152" s="1627"/>
      <c r="Q152" s="1627"/>
      <c r="R152" s="1627"/>
      <c r="S152" s="1627" t="str">
        <f t="shared" si="50"/>
        <v/>
      </c>
      <c r="T152" s="1627"/>
      <c r="U152" s="1630" t="s">
        <v>1359</v>
      </c>
      <c r="V152" s="1686" t="s">
        <v>1360</v>
      </c>
      <c r="W152" s="1632" t="s">
        <v>1306</v>
      </c>
      <c r="X152" s="1639" t="s">
        <v>1365</v>
      </c>
      <c r="Y152" s="1633" t="s">
        <v>1306</v>
      </c>
      <c r="Z152" s="1741" t="s">
        <v>972</v>
      </c>
      <c r="AA152" s="1633" t="s">
        <v>1306</v>
      </c>
      <c r="AB152" s="1631" t="s">
        <v>1302</v>
      </c>
      <c r="AC152" s="1685" t="s">
        <v>1366</v>
      </c>
      <c r="AD152" s="1635" t="s">
        <v>364</v>
      </c>
      <c r="AE152" s="1678"/>
      <c r="AF152" s="1678"/>
      <c r="AG152" s="1637" t="str">
        <f t="shared" si="51"/>
        <v>12関連図書の整備-新築時の確認申請-確認-交付年月日-日</v>
      </c>
      <c r="AI152" s="1678"/>
      <c r="AJ152" s="1678"/>
      <c r="AK152" s="1678"/>
      <c r="AL152" s="1679"/>
      <c r="AM152" s="1679"/>
    </row>
    <row r="153" spans="1:41" s="1457" customFormat="1" ht="18.75" customHeight="1" x14ac:dyDescent="0.15">
      <c r="A153" s="1578"/>
      <c r="B153" s="1536" t="s">
        <v>2928</v>
      </c>
      <c r="C153" s="1462">
        <v>2</v>
      </c>
      <c r="D153" s="1650" t="str">
        <f>'1_入力シート【基本情報】'!EA199</f>
        <v/>
      </c>
      <c r="E153" s="1650" t="str">
        <f t="shared" ref="E153" si="61">D153</f>
        <v/>
      </c>
      <c r="F153" s="1650" t="str">
        <f t="shared" ref="F153" si="62">SUBSTITUTE(E153,CHAR(10),"")</f>
        <v/>
      </c>
      <c r="G153" s="1650" t="str">
        <f t="shared" ref="G153" si="63">TRIM(F153)</f>
        <v/>
      </c>
      <c r="H153" s="1468"/>
      <c r="I153" s="1644"/>
      <c r="J153" s="1531"/>
      <c r="K153" s="1462" t="s">
        <v>3112</v>
      </c>
      <c r="L153" s="1462" t="s">
        <v>1307</v>
      </c>
      <c r="M153" s="1493" t="s">
        <v>3113</v>
      </c>
      <c r="N153" s="1462"/>
      <c r="O153" s="1462"/>
      <c r="P153" s="1462"/>
      <c r="Q153" s="1462"/>
      <c r="R153" s="1462"/>
      <c r="S153" s="1462" t="str">
        <f t="shared" si="50"/>
        <v>確認済_日付</v>
      </c>
      <c r="T153" s="1462"/>
      <c r="U153" s="1469" t="s">
        <v>3110</v>
      </c>
      <c r="V153" s="1486" t="s">
        <v>1360</v>
      </c>
      <c r="W153" s="1471" t="s">
        <v>1366</v>
      </c>
      <c r="X153" s="1472" t="s">
        <v>1365</v>
      </c>
      <c r="Y153" s="1473" t="s">
        <v>1366</v>
      </c>
      <c r="Z153" s="1506" t="s">
        <v>972</v>
      </c>
      <c r="AA153" s="1473" t="s">
        <v>1366</v>
      </c>
      <c r="AB153" s="1470" t="s">
        <v>1302</v>
      </c>
      <c r="AC153" s="1497" t="s">
        <v>1366</v>
      </c>
      <c r="AD153" s="1476" t="s">
        <v>3105</v>
      </c>
      <c r="AE153" s="1496"/>
      <c r="AF153" s="1496"/>
      <c r="AG153" s="1457" t="str">
        <f t="shared" si="51"/>
        <v>12関連図書の整備-新築時の確認申請-確認-交付年月日-西暦年月日</v>
      </c>
      <c r="AI153" s="1494"/>
      <c r="AJ153" s="1494"/>
      <c r="AK153" s="1494"/>
      <c r="AL153" s="1495"/>
      <c r="AM153" s="1495"/>
    </row>
    <row r="154" spans="1:41" s="1457" customFormat="1" ht="18.75" customHeight="1" x14ac:dyDescent="0.15">
      <c r="A154" s="1578"/>
      <c r="B154" s="1462"/>
      <c r="C154" s="1462">
        <v>2</v>
      </c>
      <c r="D154" s="1650" t="str">
        <f>'1_入力シート【基本情報】'!$DW199</f>
        <v/>
      </c>
      <c r="E154" s="1650" t="str">
        <f t="shared" si="58"/>
        <v/>
      </c>
      <c r="F154" s="1650" t="str">
        <f t="shared" si="59"/>
        <v/>
      </c>
      <c r="G154" s="1650" t="str">
        <f t="shared" si="60"/>
        <v/>
      </c>
      <c r="H154" s="1468"/>
      <c r="I154" s="1644"/>
      <c r="J154" s="1531"/>
      <c r="K154" s="1462" t="s">
        <v>3112</v>
      </c>
      <c r="L154" s="1462" t="s">
        <v>1307</v>
      </c>
      <c r="M154" s="1493" t="s">
        <v>3114</v>
      </c>
      <c r="N154" s="1462"/>
      <c r="O154" s="1462"/>
      <c r="P154" s="1462"/>
      <c r="Q154" s="1462"/>
      <c r="R154" s="1462"/>
      <c r="S154" s="1462" t="str">
        <f t="shared" si="50"/>
        <v>確認済_番号</v>
      </c>
      <c r="T154" s="1462"/>
      <c r="U154" s="1469" t="s">
        <v>1359</v>
      </c>
      <c r="V154" s="1486" t="s">
        <v>1360</v>
      </c>
      <c r="W154" s="1471" t="s">
        <v>1306</v>
      </c>
      <c r="X154" s="1472" t="s">
        <v>1365</v>
      </c>
      <c r="Y154" s="1473" t="s">
        <v>1306</v>
      </c>
      <c r="Z154" s="1506" t="s">
        <v>972</v>
      </c>
      <c r="AA154" s="1473" t="s">
        <v>1306</v>
      </c>
      <c r="AB154" s="1470" t="s">
        <v>229</v>
      </c>
      <c r="AC154" s="1497" t="s">
        <v>1366</v>
      </c>
      <c r="AD154" s="1476" t="s">
        <v>4</v>
      </c>
      <c r="AE154" s="1496"/>
      <c r="AF154" s="1496"/>
      <c r="AG154" s="1457" t="str">
        <f t="shared" si="51"/>
        <v>12関連図書の整備-新築時の確認申請-確認-交付番号-号</v>
      </c>
      <c r="AI154" s="1494"/>
      <c r="AJ154" s="1494"/>
      <c r="AK154" s="1494"/>
      <c r="AL154" s="1495"/>
      <c r="AM154" s="1495"/>
    </row>
    <row r="155" spans="1:41" s="1637" customFormat="1" ht="18.75" customHeight="1" x14ac:dyDescent="0.15">
      <c r="A155" s="1578"/>
      <c r="B155" s="1627"/>
      <c r="C155" s="1627">
        <v>2</v>
      </c>
      <c r="D155" s="1672" t="str">
        <f>'1_入力シート【基本情報】'!$DW200</f>
        <v/>
      </c>
      <c r="E155" s="1672" t="str">
        <f t="shared" si="58"/>
        <v/>
      </c>
      <c r="F155" s="1672" t="str">
        <f t="shared" si="59"/>
        <v/>
      </c>
      <c r="G155" s="1672" t="str">
        <f t="shared" si="60"/>
        <v/>
      </c>
      <c r="H155" s="1628"/>
      <c r="I155" s="1644"/>
      <c r="J155" s="1531"/>
      <c r="K155" s="1627"/>
      <c r="L155" s="1627"/>
      <c r="M155" s="1629"/>
      <c r="N155" s="1627"/>
      <c r="O155" s="1627"/>
      <c r="P155" s="1627"/>
      <c r="Q155" s="1627"/>
      <c r="R155" s="1627"/>
      <c r="S155" s="1627" t="str">
        <f t="shared" si="50"/>
        <v/>
      </c>
      <c r="T155" s="1627"/>
      <c r="U155" s="1630" t="s">
        <v>1359</v>
      </c>
      <c r="V155" s="1686" t="s">
        <v>1360</v>
      </c>
      <c r="W155" s="1632" t="s">
        <v>1306</v>
      </c>
      <c r="X155" s="1639" t="s">
        <v>1365</v>
      </c>
      <c r="Y155" s="1633" t="s">
        <v>1306</v>
      </c>
      <c r="Z155" s="1741" t="s">
        <v>972</v>
      </c>
      <c r="AA155" s="1633" t="s">
        <v>1306</v>
      </c>
      <c r="AB155" s="1631" t="s">
        <v>1362</v>
      </c>
      <c r="AC155" s="1685"/>
      <c r="AD155" s="1635"/>
      <c r="AE155" s="1678"/>
      <c r="AF155" s="1678"/>
      <c r="AG155" s="1637" t="str">
        <f t="shared" si="51"/>
        <v>12関連図書の整備-新築時の確認申請-確認-交付者</v>
      </c>
      <c r="AI155" s="1678"/>
      <c r="AJ155" s="1678"/>
      <c r="AK155" s="1678"/>
      <c r="AL155" s="1679"/>
      <c r="AM155" s="1679"/>
    </row>
    <row r="156" spans="1:41" s="1637" customFormat="1" ht="18.75" customHeight="1" x14ac:dyDescent="0.15">
      <c r="A156" s="1578"/>
      <c r="B156" s="1627"/>
      <c r="C156" s="1627">
        <v>2</v>
      </c>
      <c r="D156" s="1672" t="str">
        <f>'1_入力シート【基本情報】'!$DW201</f>
        <v/>
      </c>
      <c r="E156" s="1672" t="str">
        <f t="shared" si="58"/>
        <v/>
      </c>
      <c r="F156" s="1672" t="str">
        <f t="shared" si="59"/>
        <v/>
      </c>
      <c r="G156" s="1672" t="str">
        <f t="shared" si="60"/>
        <v/>
      </c>
      <c r="H156" s="1628"/>
      <c r="I156" s="1644"/>
      <c r="J156" s="1531"/>
      <c r="K156" s="1627"/>
      <c r="L156" s="1627"/>
      <c r="M156" s="1629"/>
      <c r="N156" s="1627"/>
      <c r="O156" s="1627"/>
      <c r="P156" s="1627"/>
      <c r="Q156" s="1627"/>
      <c r="R156" s="1627"/>
      <c r="S156" s="1627" t="str">
        <f t="shared" si="50"/>
        <v/>
      </c>
      <c r="T156" s="1627"/>
      <c r="U156" s="1630" t="s">
        <v>1359</v>
      </c>
      <c r="V156" s="1686" t="s">
        <v>1360</v>
      </c>
      <c r="W156" s="1632" t="s">
        <v>1306</v>
      </c>
      <c r="X156" s="1639" t="s">
        <v>1365</v>
      </c>
      <c r="Y156" s="1633" t="s">
        <v>1306</v>
      </c>
      <c r="Z156" s="1741" t="s">
        <v>972</v>
      </c>
      <c r="AA156" s="1633" t="s">
        <v>1306</v>
      </c>
      <c r="AB156" s="1631" t="s">
        <v>1363</v>
      </c>
      <c r="AC156" s="1685"/>
      <c r="AD156" s="1635"/>
      <c r="AE156" s="1678"/>
      <c r="AF156" s="1678"/>
      <c r="AG156" s="1637" t="str">
        <f t="shared" si="51"/>
        <v>12関連図書の整備-新築時の確認申請-確認-検査機関</v>
      </c>
      <c r="AI156" s="1678"/>
      <c r="AJ156" s="1678"/>
      <c r="AK156" s="1678"/>
      <c r="AL156" s="1679"/>
      <c r="AM156" s="1679"/>
    </row>
    <row r="157" spans="1:41" s="1637" customFormat="1" ht="18.75" customHeight="1" x14ac:dyDescent="0.15">
      <c r="A157" s="1581"/>
      <c r="B157" s="1642"/>
      <c r="C157" s="1627">
        <v>2</v>
      </c>
      <c r="D157" s="1672" t="str">
        <f>'1_入力シート【基本情報】'!$DW202</f>
        <v/>
      </c>
      <c r="E157" s="1672" t="str">
        <f t="shared" si="58"/>
        <v/>
      </c>
      <c r="F157" s="1672" t="str">
        <f t="shared" si="59"/>
        <v/>
      </c>
      <c r="G157" s="1672" t="str">
        <f t="shared" si="60"/>
        <v/>
      </c>
      <c r="H157" s="1628"/>
      <c r="I157" s="1644"/>
      <c r="J157" s="1531"/>
      <c r="K157" s="1627"/>
      <c r="L157" s="1627"/>
      <c r="M157" s="1629"/>
      <c r="N157" s="1627"/>
      <c r="O157" s="1627"/>
      <c r="P157" s="1627"/>
      <c r="Q157" s="1627"/>
      <c r="R157" s="1627"/>
      <c r="S157" s="1627" t="str">
        <f t="shared" si="50"/>
        <v/>
      </c>
      <c r="T157" s="1627"/>
      <c r="U157" s="1630" t="s">
        <v>1359</v>
      </c>
      <c r="V157" s="1686" t="s">
        <v>1360</v>
      </c>
      <c r="W157" s="1632" t="s">
        <v>1306</v>
      </c>
      <c r="X157" s="1639" t="s">
        <v>1365</v>
      </c>
      <c r="Y157" s="1633" t="s">
        <v>1306</v>
      </c>
      <c r="Z157" s="1640" t="s">
        <v>682</v>
      </c>
      <c r="AA157" s="1633" t="s">
        <v>1306</v>
      </c>
      <c r="AB157" s="1631"/>
      <c r="AC157" s="1685"/>
      <c r="AD157" s="1635"/>
      <c r="AE157" s="1678"/>
      <c r="AF157" s="1678"/>
      <c r="AG157" s="1637" t="str">
        <f t="shared" si="51"/>
        <v>12関連図書の整備-新築時の確認申請-完了検査に要した図書-</v>
      </c>
      <c r="AI157" s="1678"/>
      <c r="AJ157" s="1678"/>
      <c r="AK157" s="1678"/>
      <c r="AL157" s="1679"/>
      <c r="AM157" s="1679"/>
    </row>
    <row r="158" spans="1:41" s="1637" customFormat="1" ht="18.75" customHeight="1" x14ac:dyDescent="0.15">
      <c r="A158" s="1581"/>
      <c r="B158" s="1642"/>
      <c r="C158" s="1627">
        <v>2</v>
      </c>
      <c r="D158" s="1672" t="str">
        <f>'1_入力シート【基本情報】'!$DW203</f>
        <v/>
      </c>
      <c r="E158" s="1672" t="str">
        <f t="shared" si="58"/>
        <v/>
      </c>
      <c r="F158" s="1672" t="str">
        <f t="shared" si="59"/>
        <v/>
      </c>
      <c r="G158" s="1672" t="str">
        <f t="shared" si="60"/>
        <v/>
      </c>
      <c r="H158" s="1628"/>
      <c r="I158" s="1644"/>
      <c r="J158" s="1531"/>
      <c r="K158" s="1627"/>
      <c r="L158" s="1627"/>
      <c r="M158" s="1629"/>
      <c r="N158" s="1627"/>
      <c r="O158" s="1627"/>
      <c r="P158" s="1627"/>
      <c r="Q158" s="1627"/>
      <c r="R158" s="1627"/>
      <c r="S158" s="1627" t="str">
        <f t="shared" si="50"/>
        <v/>
      </c>
      <c r="T158" s="1627"/>
      <c r="U158" s="1630" t="s">
        <v>1359</v>
      </c>
      <c r="V158" s="1686" t="s">
        <v>1360</v>
      </c>
      <c r="W158" s="1632" t="s">
        <v>1306</v>
      </c>
      <c r="X158" s="1639" t="s">
        <v>1365</v>
      </c>
      <c r="Y158" s="1633" t="s">
        <v>1306</v>
      </c>
      <c r="Z158" s="1741" t="s">
        <v>975</v>
      </c>
      <c r="AA158" s="1633" t="s">
        <v>1366</v>
      </c>
      <c r="AB158" s="1631" t="s">
        <v>1364</v>
      </c>
      <c r="AC158" s="1685"/>
      <c r="AD158" s="1635"/>
      <c r="AE158" s="1678"/>
      <c r="AF158" s="1678"/>
      <c r="AG158" s="1637" t="str">
        <f t="shared" si="51"/>
        <v>12関連図書の整備-新築時の確認申請-完了-検査済証の有無</v>
      </c>
      <c r="AI158" s="1678"/>
      <c r="AJ158" s="1678"/>
      <c r="AK158" s="1678"/>
      <c r="AL158" s="1679"/>
      <c r="AM158" s="1679"/>
    </row>
    <row r="159" spans="1:41" s="1637" customFormat="1" ht="18.75" customHeight="1" x14ac:dyDescent="0.15">
      <c r="A159" s="1581"/>
      <c r="B159" s="1642"/>
      <c r="C159" s="1627">
        <v>2</v>
      </c>
      <c r="D159" s="1672" t="str">
        <f>'1_入力シート【基本情報】'!$DW204</f>
        <v/>
      </c>
      <c r="E159" s="1672" t="str">
        <f t="shared" si="58"/>
        <v/>
      </c>
      <c r="F159" s="1672" t="str">
        <f t="shared" si="59"/>
        <v/>
      </c>
      <c r="G159" s="1672" t="str">
        <f t="shared" si="60"/>
        <v/>
      </c>
      <c r="H159" s="1628"/>
      <c r="I159" s="1644"/>
      <c r="J159" s="1531"/>
      <c r="K159" s="1627"/>
      <c r="L159" s="1627"/>
      <c r="M159" s="1629"/>
      <c r="N159" s="1627"/>
      <c r="O159" s="1627"/>
      <c r="P159" s="1627"/>
      <c r="Q159" s="1627"/>
      <c r="R159" s="1627"/>
      <c r="S159" s="1627" t="str">
        <f t="shared" si="50"/>
        <v/>
      </c>
      <c r="T159" s="1627"/>
      <c r="U159" s="1630" t="s">
        <v>1359</v>
      </c>
      <c r="V159" s="1686" t="s">
        <v>1360</v>
      </c>
      <c r="W159" s="1632" t="s">
        <v>1306</v>
      </c>
      <c r="X159" s="1639" t="s">
        <v>1365</v>
      </c>
      <c r="Y159" s="1633" t="s">
        <v>1306</v>
      </c>
      <c r="Z159" s="1741" t="s">
        <v>975</v>
      </c>
      <c r="AA159" s="1633" t="s">
        <v>1366</v>
      </c>
      <c r="AB159" s="1631" t="s">
        <v>1302</v>
      </c>
      <c r="AC159" s="1685" t="s">
        <v>1366</v>
      </c>
      <c r="AD159" s="1635" t="s">
        <v>1102</v>
      </c>
      <c r="AE159" s="1678"/>
      <c r="AF159" s="1678"/>
      <c r="AG159" s="1637" t="str">
        <f t="shared" si="51"/>
        <v>12関連図書の整備-新築時の確認申請-完了-交付年月日-元号</v>
      </c>
      <c r="AI159" s="1678"/>
      <c r="AJ159" s="1678"/>
      <c r="AK159" s="1678"/>
      <c r="AL159" s="1679"/>
      <c r="AM159" s="1679"/>
    </row>
    <row r="160" spans="1:41" s="1624" customFormat="1" ht="18.75" customHeight="1" x14ac:dyDescent="0.15">
      <c r="A160" s="1581"/>
      <c r="B160" s="1642"/>
      <c r="C160" s="1627">
        <v>2</v>
      </c>
      <c r="D160" s="1672" t="str">
        <f>'1_入力シート【基本情報】'!$DX204</f>
        <v/>
      </c>
      <c r="E160" s="1672" t="str">
        <f t="shared" si="58"/>
        <v/>
      </c>
      <c r="F160" s="1672" t="str">
        <f t="shared" si="59"/>
        <v/>
      </c>
      <c r="G160" s="1672" t="str">
        <f t="shared" si="60"/>
        <v/>
      </c>
      <c r="H160" s="1628"/>
      <c r="I160" s="1644"/>
      <c r="J160" s="1531"/>
      <c r="K160" s="1627"/>
      <c r="L160" s="1627"/>
      <c r="M160" s="1629"/>
      <c r="N160" s="1627"/>
      <c r="O160" s="1627"/>
      <c r="P160" s="1627"/>
      <c r="Q160" s="1627"/>
      <c r="R160" s="1627"/>
      <c r="S160" s="1627" t="str">
        <f t="shared" si="50"/>
        <v/>
      </c>
      <c r="T160" s="1627"/>
      <c r="U160" s="1630" t="s">
        <v>1359</v>
      </c>
      <c r="V160" s="1686" t="s">
        <v>1360</v>
      </c>
      <c r="W160" s="1632" t="s">
        <v>1306</v>
      </c>
      <c r="X160" s="1639" t="s">
        <v>1365</v>
      </c>
      <c r="Y160" s="1633" t="s">
        <v>1306</v>
      </c>
      <c r="Z160" s="1741" t="s">
        <v>975</v>
      </c>
      <c r="AA160" s="1633" t="s">
        <v>1366</v>
      </c>
      <c r="AB160" s="1631" t="s">
        <v>1302</v>
      </c>
      <c r="AC160" s="1685" t="s">
        <v>1366</v>
      </c>
      <c r="AD160" s="1635" t="s">
        <v>12</v>
      </c>
      <c r="AE160" s="1678"/>
      <c r="AF160" s="1678"/>
      <c r="AG160" s="1637" t="str">
        <f t="shared" si="51"/>
        <v>12関連図書の整備-新築時の確認申請-完了-交付年月日-年</v>
      </c>
      <c r="AH160" s="1637"/>
      <c r="AI160" s="1678"/>
      <c r="AJ160" s="1678"/>
      <c r="AK160" s="1678"/>
      <c r="AL160" s="1679"/>
      <c r="AM160" s="1679"/>
      <c r="AN160" s="1637"/>
      <c r="AO160" s="1637"/>
    </row>
    <row r="161" spans="1:41" s="1624" customFormat="1" ht="18.75" customHeight="1" x14ac:dyDescent="0.15">
      <c r="A161" s="1581"/>
      <c r="B161" s="1642"/>
      <c r="C161" s="1627">
        <v>2</v>
      </c>
      <c r="D161" s="1672" t="str">
        <f>'1_入力シート【基本情報】'!$DY204</f>
        <v/>
      </c>
      <c r="E161" s="1672" t="str">
        <f t="shared" si="58"/>
        <v/>
      </c>
      <c r="F161" s="1672" t="str">
        <f t="shared" si="59"/>
        <v/>
      </c>
      <c r="G161" s="1672" t="str">
        <f t="shared" si="60"/>
        <v/>
      </c>
      <c r="H161" s="1628"/>
      <c r="I161" s="1644"/>
      <c r="J161" s="1531"/>
      <c r="K161" s="1627"/>
      <c r="L161" s="1627"/>
      <c r="M161" s="1629"/>
      <c r="N161" s="1627"/>
      <c r="O161" s="1627"/>
      <c r="P161" s="1627"/>
      <c r="Q161" s="1627"/>
      <c r="R161" s="1627"/>
      <c r="S161" s="1627" t="str">
        <f t="shared" si="50"/>
        <v/>
      </c>
      <c r="T161" s="1627"/>
      <c r="U161" s="1630" t="s">
        <v>1359</v>
      </c>
      <c r="V161" s="1686" t="s">
        <v>1360</v>
      </c>
      <c r="W161" s="1632" t="s">
        <v>1306</v>
      </c>
      <c r="X161" s="1639" t="s">
        <v>1365</v>
      </c>
      <c r="Y161" s="1633" t="s">
        <v>1306</v>
      </c>
      <c r="Z161" s="1640" t="s">
        <v>975</v>
      </c>
      <c r="AA161" s="1633" t="s">
        <v>1366</v>
      </c>
      <c r="AB161" s="1631" t="s">
        <v>1302</v>
      </c>
      <c r="AC161" s="1634" t="s">
        <v>1366</v>
      </c>
      <c r="AD161" s="1635" t="s">
        <v>348</v>
      </c>
      <c r="AE161" s="1678"/>
      <c r="AF161" s="1678"/>
      <c r="AG161" s="1637" t="str">
        <f t="shared" si="51"/>
        <v>12関連図書の整備-新築時の確認申請-完了-交付年月日-月</v>
      </c>
      <c r="AH161" s="1637"/>
      <c r="AI161" s="1678"/>
      <c r="AJ161" s="1678"/>
      <c r="AK161" s="1678"/>
      <c r="AL161" s="1679"/>
      <c r="AM161" s="1679"/>
      <c r="AN161" s="1637"/>
      <c r="AO161" s="1637"/>
    </row>
    <row r="162" spans="1:41" s="1624" customFormat="1" ht="18.75" customHeight="1" x14ac:dyDescent="0.15">
      <c r="A162" s="1585"/>
      <c r="B162" s="1745"/>
      <c r="C162" s="1745">
        <v>2</v>
      </c>
      <c r="D162" s="1672" t="str">
        <f>'1_入力シート【基本情報】'!$DZ204</f>
        <v/>
      </c>
      <c r="E162" s="1672" t="str">
        <f t="shared" si="58"/>
        <v/>
      </c>
      <c r="F162" s="1672" t="str">
        <f t="shared" si="59"/>
        <v/>
      </c>
      <c r="G162" s="1672" t="str">
        <f t="shared" si="60"/>
        <v/>
      </c>
      <c r="H162" s="1746"/>
      <c r="I162" s="1747"/>
      <c r="J162" s="1534"/>
      <c r="K162" s="1745"/>
      <c r="L162" s="1745"/>
      <c r="M162" s="1745"/>
      <c r="N162" s="1745"/>
      <c r="O162" s="1745"/>
      <c r="P162" s="1745"/>
      <c r="Q162" s="1745"/>
      <c r="R162" s="1745"/>
      <c r="S162" s="1745" t="str">
        <f t="shared" si="50"/>
        <v/>
      </c>
      <c r="T162" s="1745"/>
      <c r="U162" s="1630" t="s">
        <v>1359</v>
      </c>
      <c r="V162" s="1686" t="s">
        <v>1360</v>
      </c>
      <c r="W162" s="1632" t="s">
        <v>1306</v>
      </c>
      <c r="X162" s="1639" t="s">
        <v>1365</v>
      </c>
      <c r="Y162" s="1633" t="s">
        <v>1306</v>
      </c>
      <c r="Z162" s="1640" t="s">
        <v>975</v>
      </c>
      <c r="AA162" s="1633" t="s">
        <v>1366</v>
      </c>
      <c r="AB162" s="1631" t="s">
        <v>1302</v>
      </c>
      <c r="AC162" s="1634" t="s">
        <v>1366</v>
      </c>
      <c r="AD162" s="1635" t="s">
        <v>364</v>
      </c>
      <c r="AE162" s="1636"/>
      <c r="AF162" s="1636"/>
      <c r="AG162" s="1637" t="str">
        <f t="shared" si="51"/>
        <v>12関連図書の整備-新築時の確認申請-完了-交付年月日-日</v>
      </c>
      <c r="AH162" s="1637"/>
      <c r="AI162" s="1678"/>
      <c r="AJ162" s="1678"/>
      <c r="AK162" s="1678"/>
      <c r="AL162" s="1678"/>
      <c r="AM162" s="1678"/>
      <c r="AN162" s="1678"/>
      <c r="AO162" s="1678"/>
    </row>
    <row r="163" spans="1:41" ht="18.75" customHeight="1" x14ac:dyDescent="0.15">
      <c r="A163" s="1585"/>
      <c r="B163" s="1536" t="s">
        <v>2928</v>
      </c>
      <c r="C163" s="1507">
        <v>2</v>
      </c>
      <c r="D163" s="1650" t="str">
        <f>'1_入力シート【基本情報】'!EA205</f>
        <v/>
      </c>
      <c r="E163" s="1650" t="str">
        <f t="shared" ref="E163" si="64">D163</f>
        <v/>
      </c>
      <c r="F163" s="1650" t="str">
        <f t="shared" ref="F163" si="65">SUBSTITUTE(E163,CHAR(10),"")</f>
        <v/>
      </c>
      <c r="G163" s="1650" t="str">
        <f t="shared" ref="G163" si="66">TRIM(F163)</f>
        <v/>
      </c>
      <c r="H163" s="1541"/>
      <c r="I163" s="1747"/>
      <c r="J163" s="1534"/>
      <c r="K163" s="1507" t="s">
        <v>3115</v>
      </c>
      <c r="L163" s="1462" t="s">
        <v>1307</v>
      </c>
      <c r="M163" s="1493" t="s">
        <v>3113</v>
      </c>
      <c r="N163" s="1507"/>
      <c r="O163" s="1507"/>
      <c r="P163" s="1507"/>
      <c r="Q163" s="1507"/>
      <c r="R163" s="1507"/>
      <c r="S163" s="1462" t="str">
        <f t="shared" si="50"/>
        <v>検査済_日付</v>
      </c>
      <c r="T163" s="1507"/>
      <c r="U163" s="1469" t="s">
        <v>3110</v>
      </c>
      <c r="V163" s="1486" t="s">
        <v>1360</v>
      </c>
      <c r="W163" s="1471" t="s">
        <v>1366</v>
      </c>
      <c r="X163" s="1472" t="s">
        <v>1365</v>
      </c>
      <c r="Y163" s="1473" t="s">
        <v>1366</v>
      </c>
      <c r="Z163" s="1474" t="s">
        <v>975</v>
      </c>
      <c r="AA163" s="1473" t="s">
        <v>1366</v>
      </c>
      <c r="AB163" s="1470" t="s">
        <v>1302</v>
      </c>
      <c r="AC163" s="1475" t="s">
        <v>1366</v>
      </c>
      <c r="AD163" s="1476" t="s">
        <v>3105</v>
      </c>
      <c r="AE163" s="1477"/>
      <c r="AF163" s="1477"/>
      <c r="AG163" s="1457" t="str">
        <f t="shared" si="51"/>
        <v>12関連図書の整備-新築時の確認申請-完了-交付年月日-西暦年月日</v>
      </c>
      <c r="AI163" s="1496"/>
      <c r="AJ163" s="1496"/>
      <c r="AK163" s="1496"/>
      <c r="AL163" s="1496"/>
      <c r="AM163" s="1496"/>
      <c r="AN163" s="1496"/>
      <c r="AO163" s="1496"/>
    </row>
    <row r="164" spans="1:41" ht="18.75" customHeight="1" x14ac:dyDescent="0.15">
      <c r="A164" s="1578"/>
      <c r="B164" s="1462"/>
      <c r="C164" s="1462">
        <v>2</v>
      </c>
      <c r="D164" s="1650" t="str">
        <f>'1_入力シート【基本情報】'!$DW205</f>
        <v/>
      </c>
      <c r="E164" s="1650" t="str">
        <f t="shared" si="58"/>
        <v/>
      </c>
      <c r="F164" s="1650" t="str">
        <f t="shared" si="59"/>
        <v/>
      </c>
      <c r="G164" s="1650" t="str">
        <f t="shared" si="60"/>
        <v/>
      </c>
      <c r="H164" s="1468"/>
      <c r="I164" s="1644"/>
      <c r="J164" s="1531"/>
      <c r="K164" s="1507" t="s">
        <v>3115</v>
      </c>
      <c r="L164" s="1462" t="s">
        <v>1307</v>
      </c>
      <c r="M164" s="1493" t="s">
        <v>3114</v>
      </c>
      <c r="N164" s="1462"/>
      <c r="O164" s="1462"/>
      <c r="P164" s="1462"/>
      <c r="Q164" s="1462"/>
      <c r="R164" s="1462"/>
      <c r="S164" s="1462" t="str">
        <f t="shared" si="50"/>
        <v>検査済_番号</v>
      </c>
      <c r="T164" s="1462"/>
      <c r="U164" s="1469" t="s">
        <v>1359</v>
      </c>
      <c r="V164" s="1486" t="s">
        <v>1360</v>
      </c>
      <c r="W164" s="1471" t="s">
        <v>1306</v>
      </c>
      <c r="X164" s="1472" t="s">
        <v>1365</v>
      </c>
      <c r="Y164" s="1473" t="s">
        <v>1306</v>
      </c>
      <c r="Z164" s="1474" t="s">
        <v>975</v>
      </c>
      <c r="AA164" s="1473" t="s">
        <v>1366</v>
      </c>
      <c r="AB164" s="1487" t="s">
        <v>229</v>
      </c>
      <c r="AC164" s="1475" t="s">
        <v>1366</v>
      </c>
      <c r="AD164" s="1476" t="s">
        <v>4</v>
      </c>
      <c r="AE164" s="1496"/>
      <c r="AF164" s="1496"/>
      <c r="AG164" s="1457" t="str">
        <f t="shared" si="51"/>
        <v>12関連図書の整備-新築時の確認申請-完了-交付番号-号</v>
      </c>
      <c r="AI164" s="1459"/>
      <c r="AJ164" s="1459"/>
      <c r="AK164" s="1459"/>
    </row>
    <row r="165" spans="1:41" s="1624" customFormat="1" ht="18.75" customHeight="1" x14ac:dyDescent="0.15">
      <c r="A165" s="1581"/>
      <c r="B165" s="1642"/>
      <c r="C165" s="1627">
        <v>2</v>
      </c>
      <c r="D165" s="1672" t="str">
        <f>'1_入力シート【基本情報】'!$DW206</f>
        <v/>
      </c>
      <c r="E165" s="1672" t="str">
        <f t="shared" si="58"/>
        <v/>
      </c>
      <c r="F165" s="1672" t="str">
        <f t="shared" si="59"/>
        <v/>
      </c>
      <c r="G165" s="1672" t="str">
        <f t="shared" si="60"/>
        <v/>
      </c>
      <c r="H165" s="1628"/>
      <c r="I165" s="1644"/>
      <c r="J165" s="1531"/>
      <c r="K165" s="1627"/>
      <c r="L165" s="1627"/>
      <c r="M165" s="1629"/>
      <c r="N165" s="1627"/>
      <c r="O165" s="1627"/>
      <c r="P165" s="1627"/>
      <c r="Q165" s="1627"/>
      <c r="R165" s="1627"/>
      <c r="S165" s="1627" t="str">
        <f t="shared" si="50"/>
        <v/>
      </c>
      <c r="T165" s="1627"/>
      <c r="U165" s="1630" t="s">
        <v>1359</v>
      </c>
      <c r="V165" s="1686" t="s">
        <v>1360</v>
      </c>
      <c r="W165" s="1632" t="s">
        <v>1306</v>
      </c>
      <c r="X165" s="1639" t="s">
        <v>1365</v>
      </c>
      <c r="Y165" s="1633" t="s">
        <v>1306</v>
      </c>
      <c r="Z165" s="1640" t="s">
        <v>975</v>
      </c>
      <c r="AA165" s="1703" t="s">
        <v>1366</v>
      </c>
      <c r="AB165" s="1656" t="s">
        <v>1362</v>
      </c>
      <c r="AC165" s="1634"/>
      <c r="AD165" s="1635"/>
      <c r="AE165" s="1636"/>
      <c r="AF165" s="1636"/>
      <c r="AG165" s="1637" t="str">
        <f t="shared" si="51"/>
        <v>12関連図書の整備-新築時の確認申請-完了-交付者</v>
      </c>
      <c r="AH165" s="1637"/>
      <c r="AI165" s="1636"/>
      <c r="AJ165" s="1636"/>
      <c r="AK165" s="1636"/>
      <c r="AL165" s="1637"/>
      <c r="AM165" s="1637"/>
      <c r="AN165" s="1637"/>
      <c r="AO165" s="1637"/>
    </row>
    <row r="166" spans="1:41" s="1624" customFormat="1" ht="18.75" customHeight="1" x14ac:dyDescent="0.15">
      <c r="A166" s="1581"/>
      <c r="B166" s="1642"/>
      <c r="C166" s="1627">
        <v>2</v>
      </c>
      <c r="D166" s="1672" t="str">
        <f>'1_入力シート【基本情報】'!$DW207</f>
        <v/>
      </c>
      <c r="E166" s="1672" t="str">
        <f t="shared" si="58"/>
        <v/>
      </c>
      <c r="F166" s="1672" t="str">
        <f t="shared" si="59"/>
        <v/>
      </c>
      <c r="G166" s="1672" t="str">
        <f t="shared" si="60"/>
        <v/>
      </c>
      <c r="H166" s="1628"/>
      <c r="I166" s="1644"/>
      <c r="J166" s="1531"/>
      <c r="K166" s="1627"/>
      <c r="L166" s="1627"/>
      <c r="M166" s="1629"/>
      <c r="N166" s="1627"/>
      <c r="O166" s="1627"/>
      <c r="P166" s="1627"/>
      <c r="Q166" s="1627"/>
      <c r="R166" s="1627"/>
      <c r="S166" s="1627" t="str">
        <f t="shared" si="50"/>
        <v/>
      </c>
      <c r="T166" s="1627"/>
      <c r="U166" s="1630" t="s">
        <v>1359</v>
      </c>
      <c r="V166" s="1686" t="s">
        <v>1360</v>
      </c>
      <c r="W166" s="1632" t="s">
        <v>1306</v>
      </c>
      <c r="X166" s="1639" t="s">
        <v>1365</v>
      </c>
      <c r="Y166" s="1633" t="s">
        <v>1306</v>
      </c>
      <c r="Z166" s="1702" t="s">
        <v>975</v>
      </c>
      <c r="AA166" s="1703" t="s">
        <v>1366</v>
      </c>
      <c r="AB166" s="1656" t="s">
        <v>1363</v>
      </c>
      <c r="AC166" s="1634"/>
      <c r="AD166" s="1635"/>
      <c r="AE166" s="1636"/>
      <c r="AF166" s="1636"/>
      <c r="AG166" s="1637" t="str">
        <f t="shared" si="51"/>
        <v>12関連図書の整備-新築時の確認申請-完了-検査機関</v>
      </c>
      <c r="AH166" s="1637"/>
      <c r="AI166" s="1636"/>
      <c r="AJ166" s="1636"/>
      <c r="AK166" s="1636"/>
      <c r="AL166" s="1637"/>
      <c r="AM166" s="1637"/>
      <c r="AN166" s="1637"/>
      <c r="AO166" s="1637"/>
    </row>
    <row r="167" spans="1:41" s="1624" customFormat="1" ht="18.75" customHeight="1" x14ac:dyDescent="0.15">
      <c r="A167" s="1581"/>
      <c r="B167" s="1642"/>
      <c r="C167" s="1627">
        <v>1</v>
      </c>
      <c r="D167" s="1672">
        <f>'1_入力シート【基本情報】'!$AB$208</f>
        <v>0</v>
      </c>
      <c r="E167" s="1672">
        <f t="shared" si="58"/>
        <v>0</v>
      </c>
      <c r="F167" s="1672" t="str">
        <f t="shared" si="59"/>
        <v>0</v>
      </c>
      <c r="G167" s="1672" t="str">
        <f t="shared" si="60"/>
        <v>0</v>
      </c>
      <c r="H167" s="1628"/>
      <c r="I167" s="1627"/>
      <c r="J167" s="1531"/>
      <c r="K167" s="1627"/>
      <c r="L167" s="1627"/>
      <c r="M167" s="1629"/>
      <c r="N167" s="1627"/>
      <c r="O167" s="1627"/>
      <c r="P167" s="1627"/>
      <c r="Q167" s="1627"/>
      <c r="R167" s="1627"/>
      <c r="S167" s="1627" t="str">
        <f t="shared" si="50"/>
        <v/>
      </c>
      <c r="T167" s="1627"/>
      <c r="U167" s="1630" t="s">
        <v>1359</v>
      </c>
      <c r="V167" s="1686" t="s">
        <v>1360</v>
      </c>
      <c r="W167" s="1632" t="s">
        <v>1306</v>
      </c>
      <c r="X167" s="1631" t="s">
        <v>1367</v>
      </c>
      <c r="Y167" s="1633"/>
      <c r="Z167" s="1702"/>
      <c r="AA167" s="1703"/>
      <c r="AB167" s="1656"/>
      <c r="AC167" s="1685"/>
      <c r="AD167" s="1635"/>
      <c r="AE167" s="1636"/>
      <c r="AF167" s="1636"/>
      <c r="AG167" s="1637" t="str">
        <f t="shared" si="51"/>
        <v>12関連図書の整備-維持管理保全に関する準則又は計画</v>
      </c>
      <c r="AH167" s="1637"/>
      <c r="AI167" s="1636"/>
      <c r="AJ167" s="1636"/>
      <c r="AK167" s="1636"/>
      <c r="AL167" s="1637"/>
      <c r="AM167" s="1637"/>
      <c r="AN167" s="1637"/>
      <c r="AO167" s="1637"/>
    </row>
    <row r="168" spans="1:41" ht="18.75" customHeight="1" x14ac:dyDescent="0.15">
      <c r="A168" s="1581"/>
      <c r="B168" s="1536" t="s">
        <v>2928</v>
      </c>
      <c r="C168" s="1462">
        <v>2</v>
      </c>
      <c r="D168" s="1650" t="str">
        <f>'1_入力シート【基本情報】'!DO210</f>
        <v/>
      </c>
      <c r="E168" s="1650" t="str">
        <f t="shared" ref="E168:E169" si="67">D168</f>
        <v/>
      </c>
      <c r="F168" s="1650" t="str">
        <f t="shared" ref="F168:F169" si="68">SUBSTITUTE(E168,CHAR(10),"")</f>
        <v/>
      </c>
      <c r="G168" s="1650" t="str">
        <f t="shared" ref="G168:G169" si="69">TRIM(F168)</f>
        <v/>
      </c>
      <c r="H168" s="1468"/>
      <c r="I168" s="1644"/>
      <c r="J168" s="1531"/>
      <c r="K168" s="1462" t="s">
        <v>3116</v>
      </c>
      <c r="L168" s="1462"/>
      <c r="M168" s="1493" t="s">
        <v>3117</v>
      </c>
      <c r="N168" s="1462"/>
      <c r="O168" s="1462"/>
      <c r="P168" s="1462"/>
      <c r="Q168" s="1462"/>
      <c r="R168" s="1462"/>
      <c r="S168" s="1462" t="str">
        <f t="shared" si="50"/>
        <v>維持保全計画[有]</v>
      </c>
      <c r="T168" s="1462"/>
      <c r="U168" s="1469" t="s">
        <v>3110</v>
      </c>
      <c r="V168" s="1486" t="s">
        <v>1360</v>
      </c>
      <c r="W168" s="1471" t="s">
        <v>1366</v>
      </c>
      <c r="X168" s="1470" t="s">
        <v>1367</v>
      </c>
      <c r="Y168" s="1473" t="s">
        <v>1306</v>
      </c>
      <c r="Z168" s="1504" t="s">
        <v>3119</v>
      </c>
      <c r="AA168" s="1505"/>
      <c r="AB168" s="1487"/>
      <c r="AC168" s="1497"/>
      <c r="AD168" s="1476"/>
      <c r="AE168" s="1477"/>
      <c r="AF168" s="1477"/>
      <c r="AG168" s="1457" t="str">
        <f t="shared" si="51"/>
        <v>12関連図書の整備-維持管理保全に関する準則又は計画-有</v>
      </c>
      <c r="AI168" s="1459"/>
      <c r="AJ168" s="1459"/>
      <c r="AK168" s="1459"/>
    </row>
    <row r="169" spans="1:41" ht="18.75" customHeight="1" x14ac:dyDescent="0.15">
      <c r="A169" s="1581"/>
      <c r="B169" s="1536" t="s">
        <v>2928</v>
      </c>
      <c r="C169" s="1462">
        <v>2</v>
      </c>
      <c r="D169" s="1650" t="str">
        <f>'1_入力シート【基本情報】'!DP210</f>
        <v/>
      </c>
      <c r="E169" s="1650" t="str">
        <f t="shared" si="67"/>
        <v/>
      </c>
      <c r="F169" s="1650" t="str">
        <f t="shared" si="68"/>
        <v/>
      </c>
      <c r="G169" s="1650" t="str">
        <f t="shared" si="69"/>
        <v/>
      </c>
      <c r="H169" s="1468"/>
      <c r="I169" s="1644"/>
      <c r="J169" s="1531"/>
      <c r="K169" s="1462" t="s">
        <v>3116</v>
      </c>
      <c r="L169" s="1462"/>
      <c r="M169" s="1493" t="s">
        <v>3118</v>
      </c>
      <c r="N169" s="1462"/>
      <c r="O169" s="1462"/>
      <c r="P169" s="1462"/>
      <c r="Q169" s="1462"/>
      <c r="R169" s="1462"/>
      <c r="S169" s="1462" t="str">
        <f t="shared" si="50"/>
        <v>維持保全計画[無]</v>
      </c>
      <c r="T169" s="1462"/>
      <c r="U169" s="1469" t="s">
        <v>3110</v>
      </c>
      <c r="V169" s="1486" t="s">
        <v>1360</v>
      </c>
      <c r="W169" s="1471" t="s">
        <v>1366</v>
      </c>
      <c r="X169" s="1470" t="s">
        <v>1367</v>
      </c>
      <c r="Y169" s="1473" t="s">
        <v>1306</v>
      </c>
      <c r="Z169" s="1504" t="s">
        <v>3120</v>
      </c>
      <c r="AA169" s="1505"/>
      <c r="AB169" s="1487"/>
      <c r="AC169" s="1497"/>
      <c r="AD169" s="1476"/>
      <c r="AE169" s="1477"/>
      <c r="AF169" s="1477"/>
      <c r="AG169" s="1457" t="str">
        <f t="shared" si="51"/>
        <v>12関連図書の整備-維持管理保全に関する準則又は計画-無</v>
      </c>
      <c r="AI169" s="1459"/>
      <c r="AJ169" s="1459"/>
      <c r="AK169" s="1459"/>
    </row>
    <row r="170" spans="1:41" s="1624" customFormat="1" ht="18.75" customHeight="1" x14ac:dyDescent="0.15">
      <c r="A170" s="1581"/>
      <c r="B170" s="1642"/>
      <c r="C170" s="1627">
        <v>1</v>
      </c>
      <c r="D170" s="1672">
        <f>'1_入力シート【基本情報】'!$AB$209</f>
        <v>0</v>
      </c>
      <c r="E170" s="1672">
        <f t="shared" si="58"/>
        <v>0</v>
      </c>
      <c r="F170" s="1672" t="str">
        <f t="shared" si="59"/>
        <v>0</v>
      </c>
      <c r="G170" s="1672" t="str">
        <f t="shared" si="60"/>
        <v>0</v>
      </c>
      <c r="H170" s="1628"/>
      <c r="I170" s="1644"/>
      <c r="J170" s="1531"/>
      <c r="K170" s="1627"/>
      <c r="L170" s="1627"/>
      <c r="M170" s="1629"/>
      <c r="N170" s="1627"/>
      <c r="O170" s="1627"/>
      <c r="P170" s="1627"/>
      <c r="Q170" s="1627"/>
      <c r="R170" s="1627"/>
      <c r="S170" s="1627" t="str">
        <f t="shared" si="50"/>
        <v/>
      </c>
      <c r="T170" s="1627"/>
      <c r="U170" s="1630" t="s">
        <v>1359</v>
      </c>
      <c r="V170" s="1686" t="s">
        <v>1360</v>
      </c>
      <c r="W170" s="1632" t="s">
        <v>1306</v>
      </c>
      <c r="X170" s="1631" t="s">
        <v>272</v>
      </c>
      <c r="Y170" s="1633"/>
      <c r="Z170" s="1702"/>
      <c r="AA170" s="1703"/>
      <c r="AB170" s="1656"/>
      <c r="AC170" s="1702"/>
      <c r="AD170" s="1635"/>
      <c r="AE170" s="1636"/>
      <c r="AF170" s="1636"/>
      <c r="AG170" s="1637" t="str">
        <f t="shared" si="51"/>
        <v>12関連図書の整備-前回の調査に関する書類の写し</v>
      </c>
      <c r="AH170" s="1637"/>
      <c r="AI170" s="1636"/>
      <c r="AJ170" s="1636"/>
      <c r="AK170" s="1636"/>
      <c r="AL170" s="1637"/>
      <c r="AM170" s="1637"/>
      <c r="AN170" s="1637"/>
      <c r="AO170" s="1637"/>
    </row>
    <row r="171" spans="1:41" s="1624" customFormat="1" ht="18.75" customHeight="1" x14ac:dyDescent="0.15">
      <c r="A171" s="1578"/>
      <c r="B171" s="1627"/>
      <c r="C171" s="1627">
        <v>1</v>
      </c>
      <c r="D171" s="1672">
        <f>'1_入力シート【基本情報】'!$AB$212</f>
        <v>0</v>
      </c>
      <c r="E171" s="1672">
        <f t="shared" si="58"/>
        <v>0</v>
      </c>
      <c r="F171" s="1672" t="str">
        <f t="shared" si="59"/>
        <v>0</v>
      </c>
      <c r="G171" s="1672" t="str">
        <f t="shared" si="60"/>
        <v>0</v>
      </c>
      <c r="H171" s="1628"/>
      <c r="I171" s="1660"/>
      <c r="J171" s="1531"/>
      <c r="K171" s="1627"/>
      <c r="L171" s="1627"/>
      <c r="M171" s="1629"/>
      <c r="N171" s="1627"/>
      <c r="O171" s="1627"/>
      <c r="P171" s="1627"/>
      <c r="Q171" s="1627"/>
      <c r="R171" s="1627"/>
      <c r="S171" s="1627" t="str">
        <f t="shared" si="50"/>
        <v/>
      </c>
      <c r="T171" s="1627"/>
      <c r="U171" s="1630" t="s">
        <v>1368</v>
      </c>
      <c r="V171" s="1631" t="s">
        <v>1369</v>
      </c>
      <c r="W171" s="1632" t="s">
        <v>1306</v>
      </c>
      <c r="X171" s="1631" t="s">
        <v>1370</v>
      </c>
      <c r="Y171" s="1633"/>
      <c r="Z171" s="1702"/>
      <c r="AA171" s="1703"/>
      <c r="AB171" s="1656"/>
      <c r="AC171" s="1702"/>
      <c r="AD171" s="1643"/>
      <c r="AE171" s="1636"/>
      <c r="AF171" s="1636"/>
      <c r="AG171" s="1637" t="str">
        <f t="shared" si="51"/>
        <v>13備考-備考（第二面）</v>
      </c>
      <c r="AH171" s="1637"/>
      <c r="AI171" s="1636"/>
      <c r="AJ171" s="1636"/>
      <c r="AK171" s="1636"/>
      <c r="AL171" s="1637"/>
      <c r="AM171" s="1637"/>
      <c r="AN171" s="1637"/>
      <c r="AO171" s="1637"/>
    </row>
    <row r="172" spans="1:41" s="1624" customFormat="1" ht="18.75" customHeight="1" x14ac:dyDescent="0.15">
      <c r="A172" s="1578"/>
      <c r="B172" s="1627"/>
      <c r="C172" s="1627">
        <v>1</v>
      </c>
      <c r="D172" s="1672" t="str">
        <f>'1_入力シート【基本情報】'!$AB$221</f>
        <v>令和</v>
      </c>
      <c r="E172" s="1672" t="str">
        <f t="shared" si="58"/>
        <v>令和</v>
      </c>
      <c r="F172" s="1672" t="str">
        <f t="shared" si="59"/>
        <v>令和</v>
      </c>
      <c r="G172" s="1672" t="str">
        <f t="shared" si="60"/>
        <v>令和</v>
      </c>
      <c r="H172" s="1628"/>
      <c r="I172" s="1644"/>
      <c r="J172" s="1531"/>
      <c r="K172" s="1627"/>
      <c r="L172" s="1627"/>
      <c r="M172" s="1629"/>
      <c r="N172" s="1627"/>
      <c r="O172" s="1627"/>
      <c r="P172" s="1627"/>
      <c r="Q172" s="1627"/>
      <c r="R172" s="1627"/>
      <c r="S172" s="1627" t="str">
        <f t="shared" si="50"/>
        <v/>
      </c>
      <c r="T172" s="1627"/>
      <c r="U172" s="1630" t="s">
        <v>1371</v>
      </c>
      <c r="V172" s="1631" t="s">
        <v>1372</v>
      </c>
      <c r="W172" s="1632" t="s">
        <v>1306</v>
      </c>
      <c r="X172" s="1631" t="s">
        <v>1373</v>
      </c>
      <c r="Y172" s="1633" t="s">
        <v>1306</v>
      </c>
      <c r="Z172" s="1702" t="s">
        <v>294</v>
      </c>
      <c r="AA172" s="1703"/>
      <c r="AB172" s="1656"/>
      <c r="AC172" s="1702"/>
      <c r="AD172" s="1643"/>
      <c r="AE172" s="1753"/>
      <c r="AF172" s="1753"/>
      <c r="AG172" s="1637" t="str">
        <f t="shared" si="51"/>
        <v>14調査及び検査の状況-今回の調査　実施日-令和</v>
      </c>
      <c r="AH172" s="1637"/>
      <c r="AI172" s="1636"/>
      <c r="AJ172" s="1636"/>
      <c r="AK172" s="1636"/>
      <c r="AL172" s="1637"/>
      <c r="AM172" s="1637"/>
      <c r="AN172" s="1637"/>
      <c r="AO172" s="1637"/>
    </row>
    <row r="173" spans="1:41" s="1624" customFormat="1" ht="18.75" customHeight="1" x14ac:dyDescent="0.15">
      <c r="A173" s="1578"/>
      <c r="B173" s="1627"/>
      <c r="C173" s="1627">
        <v>1</v>
      </c>
      <c r="D173" s="1672">
        <f>'1_入力シート【基本情報】'!$AE$221</f>
        <v>0</v>
      </c>
      <c r="E173" s="1672">
        <f t="shared" si="58"/>
        <v>0</v>
      </c>
      <c r="F173" s="1672" t="str">
        <f t="shared" si="59"/>
        <v>0</v>
      </c>
      <c r="G173" s="1672" t="str">
        <f t="shared" si="60"/>
        <v>0</v>
      </c>
      <c r="H173" s="1628"/>
      <c r="I173" s="1644"/>
      <c r="J173" s="1531"/>
      <c r="K173" s="1627"/>
      <c r="L173" s="1627"/>
      <c r="M173" s="1629"/>
      <c r="N173" s="1627"/>
      <c r="O173" s="1627"/>
      <c r="P173" s="1627"/>
      <c r="Q173" s="1627"/>
      <c r="R173" s="1627"/>
      <c r="S173" s="1627" t="str">
        <f t="shared" si="50"/>
        <v/>
      </c>
      <c r="T173" s="1627"/>
      <c r="U173" s="1630" t="s">
        <v>1371</v>
      </c>
      <c r="V173" s="1631" t="s">
        <v>1372</v>
      </c>
      <c r="W173" s="1632" t="s">
        <v>1306</v>
      </c>
      <c r="X173" s="1631" t="s">
        <v>1373</v>
      </c>
      <c r="Y173" s="1633" t="s">
        <v>1306</v>
      </c>
      <c r="Z173" s="1702" t="s">
        <v>12</v>
      </c>
      <c r="AA173" s="1703"/>
      <c r="AB173" s="1656"/>
      <c r="AC173" s="1702"/>
      <c r="AD173" s="1643"/>
      <c r="AE173" s="1753"/>
      <c r="AF173" s="1753"/>
      <c r="AG173" s="1637" t="str">
        <f t="shared" si="51"/>
        <v>14調査及び検査の状況-今回の調査　実施日-年</v>
      </c>
      <c r="AH173" s="1637"/>
      <c r="AI173" s="1636"/>
      <c r="AJ173" s="1636"/>
      <c r="AK173" s="1636"/>
      <c r="AL173" s="1637"/>
      <c r="AM173" s="1637"/>
      <c r="AN173" s="1637"/>
      <c r="AO173" s="1637"/>
    </row>
    <row r="174" spans="1:41" s="1624" customFormat="1" ht="18.75" customHeight="1" x14ac:dyDescent="0.15">
      <c r="A174" s="1581"/>
      <c r="B174" s="1642"/>
      <c r="C174" s="1627">
        <v>1</v>
      </c>
      <c r="D174" s="1672">
        <f>'1_入力シート【基本情報】'!$AJ$221</f>
        <v>0</v>
      </c>
      <c r="E174" s="1672">
        <f t="shared" si="58"/>
        <v>0</v>
      </c>
      <c r="F174" s="1672" t="str">
        <f t="shared" si="59"/>
        <v>0</v>
      </c>
      <c r="G174" s="1672" t="str">
        <f t="shared" si="60"/>
        <v>0</v>
      </c>
      <c r="H174" s="1628"/>
      <c r="I174" s="1644"/>
      <c r="J174" s="1531"/>
      <c r="K174" s="1627"/>
      <c r="L174" s="1627"/>
      <c r="M174" s="1629"/>
      <c r="N174" s="1627"/>
      <c r="O174" s="1627"/>
      <c r="P174" s="1627"/>
      <c r="Q174" s="1627"/>
      <c r="R174" s="1627"/>
      <c r="S174" s="1627" t="str">
        <f t="shared" si="50"/>
        <v/>
      </c>
      <c r="T174" s="1627"/>
      <c r="U174" s="1630" t="s">
        <v>1371</v>
      </c>
      <c r="V174" s="1631" t="s">
        <v>1372</v>
      </c>
      <c r="W174" s="1632" t="s">
        <v>1306</v>
      </c>
      <c r="X174" s="1631" t="s">
        <v>1373</v>
      </c>
      <c r="Y174" s="1633" t="s">
        <v>1306</v>
      </c>
      <c r="Z174" s="1702" t="s">
        <v>348</v>
      </c>
      <c r="AA174" s="1703"/>
      <c r="AB174" s="1656"/>
      <c r="AC174" s="1634"/>
      <c r="AD174" s="1635"/>
      <c r="AE174" s="1753"/>
      <c r="AF174" s="1753"/>
      <c r="AG174" s="1637" t="str">
        <f t="shared" si="51"/>
        <v>14調査及び検査の状況-今回の調査　実施日-月</v>
      </c>
      <c r="AH174" s="1637"/>
      <c r="AI174" s="1636"/>
      <c r="AJ174" s="1636"/>
      <c r="AK174" s="1636"/>
      <c r="AL174" s="1637"/>
      <c r="AM174" s="1637"/>
      <c r="AN174" s="1637"/>
      <c r="AO174" s="1637"/>
    </row>
    <row r="175" spans="1:41" s="1624" customFormat="1" ht="18.75" customHeight="1" x14ac:dyDescent="0.15">
      <c r="A175" s="1581"/>
      <c r="B175" s="1642"/>
      <c r="C175" s="1627">
        <v>1</v>
      </c>
      <c r="D175" s="1672">
        <f>'1_入力シート【基本情報】'!$AO$221</f>
        <v>0</v>
      </c>
      <c r="E175" s="1672">
        <f t="shared" si="58"/>
        <v>0</v>
      </c>
      <c r="F175" s="1672" t="str">
        <f t="shared" si="59"/>
        <v>0</v>
      </c>
      <c r="G175" s="1672" t="str">
        <f t="shared" si="60"/>
        <v>0</v>
      </c>
      <c r="H175" s="1628"/>
      <c r="I175" s="1644"/>
      <c r="J175" s="1531"/>
      <c r="K175" s="1627"/>
      <c r="L175" s="1627"/>
      <c r="M175" s="1629"/>
      <c r="N175" s="1627"/>
      <c r="O175" s="1627"/>
      <c r="P175" s="1627"/>
      <c r="Q175" s="1627"/>
      <c r="R175" s="1627"/>
      <c r="S175" s="1627" t="str">
        <f t="shared" si="50"/>
        <v/>
      </c>
      <c r="T175" s="1627"/>
      <c r="U175" s="1630" t="s">
        <v>1371</v>
      </c>
      <c r="V175" s="1631" t="s">
        <v>1372</v>
      </c>
      <c r="W175" s="1632" t="s">
        <v>1306</v>
      </c>
      <c r="X175" s="1631" t="s">
        <v>1373</v>
      </c>
      <c r="Y175" s="1633" t="s">
        <v>1306</v>
      </c>
      <c r="Z175" s="1702" t="s">
        <v>364</v>
      </c>
      <c r="AA175" s="1703"/>
      <c r="AB175" s="1656"/>
      <c r="AC175" s="1634"/>
      <c r="AD175" s="1635"/>
      <c r="AE175" s="1636"/>
      <c r="AF175" s="1636"/>
      <c r="AG175" s="1637" t="str">
        <f t="shared" si="51"/>
        <v>14調査及び検査の状況-今回の調査　実施日-日</v>
      </c>
      <c r="AH175" s="1637"/>
      <c r="AI175" s="1636"/>
      <c r="AJ175" s="1636"/>
      <c r="AK175" s="1636"/>
      <c r="AL175" s="1637"/>
      <c r="AM175" s="1637"/>
      <c r="AN175" s="1637"/>
      <c r="AO175" s="1637"/>
    </row>
    <row r="176" spans="1:41" s="1624" customFormat="1" ht="18.75" customHeight="1" x14ac:dyDescent="0.15">
      <c r="A176" s="1581"/>
      <c r="B176" s="1642"/>
      <c r="C176" s="1627">
        <v>1</v>
      </c>
      <c r="D176" s="1672">
        <f>'1_入力シート【基本情報】'!$AB$222</f>
        <v>0</v>
      </c>
      <c r="E176" s="1672">
        <f t="shared" si="58"/>
        <v>0</v>
      </c>
      <c r="F176" s="1672" t="str">
        <f t="shared" si="59"/>
        <v>0</v>
      </c>
      <c r="G176" s="1672" t="str">
        <f t="shared" si="60"/>
        <v>0</v>
      </c>
      <c r="H176" s="1628"/>
      <c r="I176" s="1644"/>
      <c r="J176" s="1531"/>
      <c r="K176" s="1627"/>
      <c r="L176" s="1627"/>
      <c r="M176" s="1629"/>
      <c r="N176" s="1627"/>
      <c r="O176" s="1627"/>
      <c r="P176" s="1627"/>
      <c r="Q176" s="1627"/>
      <c r="R176" s="1627"/>
      <c r="S176" s="1627" t="str">
        <f t="shared" si="50"/>
        <v/>
      </c>
      <c r="T176" s="1627"/>
      <c r="U176" s="1630" t="s">
        <v>1371</v>
      </c>
      <c r="V176" s="1631" t="s">
        <v>1372</v>
      </c>
      <c r="W176" s="1632" t="s">
        <v>1306</v>
      </c>
      <c r="X176" s="1631" t="s">
        <v>273</v>
      </c>
      <c r="Y176" s="1633" t="s">
        <v>1306</v>
      </c>
      <c r="Z176" s="1702" t="s">
        <v>685</v>
      </c>
      <c r="AA176" s="1703"/>
      <c r="AB176" s="1631"/>
      <c r="AC176" s="1634"/>
      <c r="AD176" s="1635"/>
      <c r="AE176" s="1636"/>
      <c r="AF176" s="1636"/>
      <c r="AG176" s="1637" t="str">
        <f t="shared" si="51"/>
        <v>14調査及び検査の状況-前回の調査-有無</v>
      </c>
      <c r="AH176" s="1637"/>
      <c r="AI176" s="1636"/>
      <c r="AJ176" s="1636"/>
      <c r="AK176" s="1636"/>
      <c r="AL176" s="1637"/>
      <c r="AM176" s="1637"/>
      <c r="AN176" s="1637"/>
      <c r="AO176" s="1637"/>
    </row>
    <row r="177" spans="1:41" s="1624" customFormat="1" ht="18.75" customHeight="1" x14ac:dyDescent="0.15">
      <c r="A177" s="1581"/>
      <c r="B177" s="1642"/>
      <c r="C177" s="1627">
        <v>1</v>
      </c>
      <c r="D177" s="1672">
        <f>'1_入力シート【基本情報】'!$AB$223</f>
        <v>0</v>
      </c>
      <c r="E177" s="1672">
        <f t="shared" si="58"/>
        <v>0</v>
      </c>
      <c r="F177" s="1672" t="str">
        <f t="shared" si="59"/>
        <v>0</v>
      </c>
      <c r="G177" s="1672" t="str">
        <f t="shared" si="60"/>
        <v>0</v>
      </c>
      <c r="H177" s="1628"/>
      <c r="I177" s="1644"/>
      <c r="J177" s="1531"/>
      <c r="K177" s="1627"/>
      <c r="L177" s="1627"/>
      <c r="M177" s="1629"/>
      <c r="N177" s="1627"/>
      <c r="O177" s="1627"/>
      <c r="P177" s="1627"/>
      <c r="Q177" s="1627"/>
      <c r="R177" s="1627"/>
      <c r="S177" s="1627" t="str">
        <f t="shared" ref="S177:S251" si="70">CONCATENATE(K177,L177,M177,N177,O177,P177,Q177)</f>
        <v/>
      </c>
      <c r="T177" s="1627"/>
      <c r="U177" s="1630" t="s">
        <v>1371</v>
      </c>
      <c r="V177" s="1631" t="s">
        <v>1372</v>
      </c>
      <c r="W177" s="1632" t="s">
        <v>1306</v>
      </c>
      <c r="X177" s="1631" t="s">
        <v>273</v>
      </c>
      <c r="Y177" s="1633" t="s">
        <v>1306</v>
      </c>
      <c r="Z177" s="1640" t="s">
        <v>312</v>
      </c>
      <c r="AA177" s="1633" t="s">
        <v>1306</v>
      </c>
      <c r="AB177" s="1631" t="s">
        <v>1102</v>
      </c>
      <c r="AC177" s="1634"/>
      <c r="AD177" s="1635"/>
      <c r="AE177" s="1636"/>
      <c r="AF177" s="1636"/>
      <c r="AG177" s="1637" t="str">
        <f t="shared" si="51"/>
        <v>14調査及び検査の状況-前回の調査-実施日-元号</v>
      </c>
      <c r="AH177" s="1637"/>
      <c r="AI177" s="1636"/>
      <c r="AJ177" s="1636"/>
      <c r="AK177" s="1636"/>
      <c r="AL177" s="1637"/>
      <c r="AM177" s="1637"/>
      <c r="AN177" s="1637"/>
      <c r="AO177" s="1637"/>
    </row>
    <row r="178" spans="1:41" s="1624" customFormat="1" ht="18.75" customHeight="1" x14ac:dyDescent="0.15">
      <c r="A178" s="1578"/>
      <c r="B178" s="1627"/>
      <c r="C178" s="1627">
        <v>1</v>
      </c>
      <c r="D178" s="1672">
        <f>'1_入力シート【基本情報】'!$AE$223</f>
        <v>0</v>
      </c>
      <c r="E178" s="1672">
        <f t="shared" si="58"/>
        <v>0</v>
      </c>
      <c r="F178" s="1672" t="str">
        <f t="shared" si="59"/>
        <v>0</v>
      </c>
      <c r="G178" s="1672" t="str">
        <f t="shared" si="60"/>
        <v>0</v>
      </c>
      <c r="H178" s="1628"/>
      <c r="I178" s="1644"/>
      <c r="J178" s="1531"/>
      <c r="K178" s="1627"/>
      <c r="L178" s="1627"/>
      <c r="M178" s="1629"/>
      <c r="N178" s="1627"/>
      <c r="O178" s="1627"/>
      <c r="P178" s="1627"/>
      <c r="Q178" s="1627"/>
      <c r="R178" s="1627"/>
      <c r="S178" s="1627" t="str">
        <f t="shared" si="70"/>
        <v/>
      </c>
      <c r="T178" s="1627"/>
      <c r="U178" s="1630" t="s">
        <v>1371</v>
      </c>
      <c r="V178" s="1631" t="s">
        <v>1372</v>
      </c>
      <c r="W178" s="1632" t="s">
        <v>1306</v>
      </c>
      <c r="X178" s="1631" t="s">
        <v>273</v>
      </c>
      <c r="Y178" s="1633" t="s">
        <v>1306</v>
      </c>
      <c r="Z178" s="1640" t="s">
        <v>312</v>
      </c>
      <c r="AA178" s="1703" t="s">
        <v>1306</v>
      </c>
      <c r="AB178" s="1631" t="s">
        <v>12</v>
      </c>
      <c r="AC178" s="1702"/>
      <c r="AD178" s="1635"/>
      <c r="AE178" s="1636"/>
      <c r="AF178" s="1636"/>
      <c r="AG178" s="1637" t="str">
        <f t="shared" si="51"/>
        <v>14調査及び検査の状況-前回の調査-実施日-年</v>
      </c>
      <c r="AH178" s="1637"/>
      <c r="AI178" s="1636"/>
      <c r="AJ178" s="1636"/>
      <c r="AK178" s="1636"/>
      <c r="AL178" s="1637"/>
      <c r="AM178" s="1637"/>
      <c r="AN178" s="1637"/>
      <c r="AO178" s="1637"/>
    </row>
    <row r="179" spans="1:41" s="1637" customFormat="1" ht="18.75" customHeight="1" x14ac:dyDescent="0.15">
      <c r="A179" s="1581"/>
      <c r="B179" s="1642"/>
      <c r="C179" s="1627">
        <v>1</v>
      </c>
      <c r="D179" s="1672">
        <f>'1_入力シート【基本情報】'!$AJ$223</f>
        <v>0</v>
      </c>
      <c r="E179" s="1672">
        <f t="shared" si="58"/>
        <v>0</v>
      </c>
      <c r="F179" s="1672" t="str">
        <f t="shared" si="59"/>
        <v>0</v>
      </c>
      <c r="G179" s="1672" t="str">
        <f t="shared" si="60"/>
        <v>0</v>
      </c>
      <c r="H179" s="1628"/>
      <c r="I179" s="1644"/>
      <c r="J179" s="1531"/>
      <c r="K179" s="1627"/>
      <c r="L179" s="1627"/>
      <c r="M179" s="1629"/>
      <c r="N179" s="1627"/>
      <c r="O179" s="1627"/>
      <c r="P179" s="1627"/>
      <c r="Q179" s="1627"/>
      <c r="R179" s="1627"/>
      <c r="S179" s="1627" t="str">
        <f t="shared" si="70"/>
        <v/>
      </c>
      <c r="T179" s="1627"/>
      <c r="U179" s="1630" t="s">
        <v>1371</v>
      </c>
      <c r="V179" s="1631" t="s">
        <v>1372</v>
      </c>
      <c r="W179" s="1632" t="s">
        <v>1306</v>
      </c>
      <c r="X179" s="1631" t="s">
        <v>273</v>
      </c>
      <c r="Y179" s="1633" t="s">
        <v>1306</v>
      </c>
      <c r="Z179" s="1640" t="s">
        <v>312</v>
      </c>
      <c r="AA179" s="1703" t="s">
        <v>1306</v>
      </c>
      <c r="AB179" s="1631" t="s">
        <v>348</v>
      </c>
      <c r="AC179" s="1702"/>
      <c r="AD179" s="1635"/>
      <c r="AE179" s="1636"/>
      <c r="AF179" s="1636"/>
      <c r="AG179" s="1637" t="str">
        <f t="shared" si="51"/>
        <v>14調査及び検査の状況-前回の調査-実施日-月</v>
      </c>
      <c r="AI179" s="1636"/>
      <c r="AJ179" s="1636"/>
      <c r="AK179" s="1636"/>
    </row>
    <row r="180" spans="1:41" s="1637" customFormat="1" ht="18.75" customHeight="1" x14ac:dyDescent="0.15">
      <c r="A180" s="1581"/>
      <c r="B180" s="1642"/>
      <c r="C180" s="1627">
        <v>1</v>
      </c>
      <c r="D180" s="1672">
        <f>'1_入力シート【基本情報】'!$AO$223</f>
        <v>0</v>
      </c>
      <c r="E180" s="1672">
        <f t="shared" si="58"/>
        <v>0</v>
      </c>
      <c r="F180" s="1672" t="str">
        <f t="shared" si="59"/>
        <v>0</v>
      </c>
      <c r="G180" s="1672" t="str">
        <f t="shared" si="60"/>
        <v>0</v>
      </c>
      <c r="H180" s="1628"/>
      <c r="I180" s="1644"/>
      <c r="J180" s="1531"/>
      <c r="K180" s="1627"/>
      <c r="L180" s="1627"/>
      <c r="M180" s="1629"/>
      <c r="N180" s="1627"/>
      <c r="O180" s="1627"/>
      <c r="P180" s="1627"/>
      <c r="Q180" s="1627"/>
      <c r="R180" s="1627"/>
      <c r="S180" s="1627" t="str">
        <f t="shared" si="70"/>
        <v/>
      </c>
      <c r="T180" s="1627"/>
      <c r="U180" s="1630" t="s">
        <v>1371</v>
      </c>
      <c r="V180" s="1631" t="s">
        <v>1372</v>
      </c>
      <c r="W180" s="1632" t="s">
        <v>1306</v>
      </c>
      <c r="X180" s="1631" t="s">
        <v>273</v>
      </c>
      <c r="Y180" s="1633" t="s">
        <v>1306</v>
      </c>
      <c r="Z180" s="1640" t="s">
        <v>312</v>
      </c>
      <c r="AA180" s="1703" t="s">
        <v>1306</v>
      </c>
      <c r="AB180" s="1631" t="s">
        <v>364</v>
      </c>
      <c r="AC180" s="1702"/>
      <c r="AD180" s="1635"/>
      <c r="AE180" s="1636"/>
      <c r="AF180" s="1636"/>
      <c r="AG180" s="1637" t="str">
        <f t="shared" si="51"/>
        <v>14調査及び検査の状況-前回の調査-実施日-日</v>
      </c>
      <c r="AI180" s="1636"/>
      <c r="AJ180" s="1636"/>
      <c r="AK180" s="1636"/>
    </row>
    <row r="181" spans="1:41" s="1637" customFormat="1" ht="18.75" customHeight="1" x14ac:dyDescent="0.15">
      <c r="A181" s="1581"/>
      <c r="B181" s="1642"/>
      <c r="C181" s="1627">
        <v>1</v>
      </c>
      <c r="D181" s="1672">
        <f>'1_入力シート【基本情報】'!$AB$224</f>
        <v>0</v>
      </c>
      <c r="E181" s="1672">
        <f t="shared" si="58"/>
        <v>0</v>
      </c>
      <c r="F181" s="1672" t="str">
        <f t="shared" si="59"/>
        <v>0</v>
      </c>
      <c r="G181" s="1672" t="str">
        <f t="shared" si="60"/>
        <v>0</v>
      </c>
      <c r="H181" s="1628"/>
      <c r="I181" s="1644"/>
      <c r="J181" s="1531"/>
      <c r="K181" s="1627"/>
      <c r="L181" s="1627"/>
      <c r="M181" s="1629"/>
      <c r="N181" s="1627"/>
      <c r="O181" s="1627"/>
      <c r="P181" s="1627"/>
      <c r="Q181" s="1627"/>
      <c r="R181" s="1627"/>
      <c r="S181" s="1627" t="str">
        <f t="shared" si="70"/>
        <v/>
      </c>
      <c r="T181" s="1627"/>
      <c r="U181" s="1630" t="s">
        <v>1371</v>
      </c>
      <c r="V181" s="1631" t="s">
        <v>1372</v>
      </c>
      <c r="W181" s="1632" t="s">
        <v>1306</v>
      </c>
      <c r="X181" s="1631" t="s">
        <v>274</v>
      </c>
      <c r="Y181" s="1633" t="s">
        <v>1306</v>
      </c>
      <c r="Z181" s="1640" t="s">
        <v>685</v>
      </c>
      <c r="AA181" s="1703"/>
      <c r="AB181" s="1631"/>
      <c r="AC181" s="1702"/>
      <c r="AD181" s="1635"/>
      <c r="AE181" s="1636"/>
      <c r="AF181" s="1636"/>
      <c r="AG181" s="1637" t="str">
        <f t="shared" si="51"/>
        <v>14調査及び検査の状況-建築設備の検査-有無</v>
      </c>
      <c r="AI181" s="1636"/>
      <c r="AJ181" s="1636"/>
      <c r="AK181" s="1636"/>
    </row>
    <row r="182" spans="1:41" s="1637" customFormat="1" ht="18.75" customHeight="1" x14ac:dyDescent="0.15">
      <c r="A182" s="1581"/>
      <c r="B182" s="1642"/>
      <c r="C182" s="1627">
        <v>1</v>
      </c>
      <c r="D182" s="1672">
        <f>'1_入力シート【基本情報】'!$AB$225</f>
        <v>0</v>
      </c>
      <c r="E182" s="1672">
        <f t="shared" si="58"/>
        <v>0</v>
      </c>
      <c r="F182" s="1672" t="str">
        <f t="shared" si="59"/>
        <v>0</v>
      </c>
      <c r="G182" s="1672" t="str">
        <f t="shared" si="60"/>
        <v>0</v>
      </c>
      <c r="H182" s="1628"/>
      <c r="I182" s="1644"/>
      <c r="J182" s="1531"/>
      <c r="K182" s="1627"/>
      <c r="L182" s="1627"/>
      <c r="M182" s="1629"/>
      <c r="N182" s="1627"/>
      <c r="O182" s="1627"/>
      <c r="P182" s="1627"/>
      <c r="Q182" s="1627"/>
      <c r="R182" s="1627"/>
      <c r="S182" s="1627" t="str">
        <f t="shared" si="70"/>
        <v/>
      </c>
      <c r="T182" s="1627"/>
      <c r="U182" s="1630" t="s">
        <v>1371</v>
      </c>
      <c r="V182" s="1631" t="s">
        <v>1372</v>
      </c>
      <c r="W182" s="1632" t="s">
        <v>1306</v>
      </c>
      <c r="X182" s="1631" t="s">
        <v>274</v>
      </c>
      <c r="Y182" s="1633" t="s">
        <v>1306</v>
      </c>
      <c r="Z182" s="1640" t="s">
        <v>312</v>
      </c>
      <c r="AA182" s="1703" t="s">
        <v>1306</v>
      </c>
      <c r="AB182" s="1631" t="s">
        <v>1102</v>
      </c>
      <c r="AC182" s="1634"/>
      <c r="AD182" s="1635"/>
      <c r="AE182" s="1636"/>
      <c r="AF182" s="1636"/>
      <c r="AG182" s="1637" t="str">
        <f t="shared" si="51"/>
        <v>14調査及び検査の状況-建築設備の検査-実施日-元号</v>
      </c>
      <c r="AI182" s="1636"/>
      <c r="AJ182" s="1636"/>
      <c r="AK182" s="1636"/>
    </row>
    <row r="183" spans="1:41" s="1637" customFormat="1" ht="18.75" customHeight="1" x14ac:dyDescent="0.15">
      <c r="A183" s="1581"/>
      <c r="B183" s="1642"/>
      <c r="C183" s="1627">
        <v>1</v>
      </c>
      <c r="D183" s="1672">
        <f>'1_入力シート【基本情報】'!$AE$225</f>
        <v>0</v>
      </c>
      <c r="E183" s="1672">
        <f t="shared" si="58"/>
        <v>0</v>
      </c>
      <c r="F183" s="1672" t="str">
        <f t="shared" si="59"/>
        <v>0</v>
      </c>
      <c r="G183" s="1672" t="str">
        <f t="shared" si="60"/>
        <v>0</v>
      </c>
      <c r="H183" s="1628"/>
      <c r="I183" s="1644"/>
      <c r="J183" s="1531"/>
      <c r="K183" s="1627"/>
      <c r="L183" s="1627"/>
      <c r="M183" s="1629"/>
      <c r="N183" s="1627"/>
      <c r="O183" s="1627"/>
      <c r="P183" s="1627"/>
      <c r="Q183" s="1627"/>
      <c r="R183" s="1627"/>
      <c r="S183" s="1627" t="str">
        <f t="shared" si="70"/>
        <v/>
      </c>
      <c r="T183" s="1627"/>
      <c r="U183" s="1630" t="s">
        <v>1371</v>
      </c>
      <c r="V183" s="1631" t="s">
        <v>1372</v>
      </c>
      <c r="W183" s="1632" t="s">
        <v>1306</v>
      </c>
      <c r="X183" s="1631" t="s">
        <v>274</v>
      </c>
      <c r="Y183" s="1633" t="s">
        <v>1306</v>
      </c>
      <c r="Z183" s="1640" t="s">
        <v>312</v>
      </c>
      <c r="AA183" s="1703" t="s">
        <v>1306</v>
      </c>
      <c r="AB183" s="1631" t="s">
        <v>12</v>
      </c>
      <c r="AC183" s="1634"/>
      <c r="AD183" s="1635"/>
      <c r="AE183" s="1636"/>
      <c r="AF183" s="1636"/>
      <c r="AG183" s="1637" t="str">
        <f t="shared" si="51"/>
        <v>14調査及び検査の状況-建築設備の検査-実施日-年</v>
      </c>
      <c r="AI183" s="1636"/>
      <c r="AJ183" s="1636"/>
      <c r="AK183" s="1636"/>
    </row>
    <row r="184" spans="1:41" s="1637" customFormat="1" ht="18.75" customHeight="1" x14ac:dyDescent="0.15">
      <c r="A184" s="1581"/>
      <c r="B184" s="1642"/>
      <c r="C184" s="1627">
        <v>1</v>
      </c>
      <c r="D184" s="1672">
        <f>'1_入力シート【基本情報】'!$AJ$225</f>
        <v>0</v>
      </c>
      <c r="E184" s="1672">
        <f t="shared" si="58"/>
        <v>0</v>
      </c>
      <c r="F184" s="1672" t="str">
        <f t="shared" si="59"/>
        <v>0</v>
      </c>
      <c r="G184" s="1672" t="str">
        <f t="shared" si="60"/>
        <v>0</v>
      </c>
      <c r="H184" s="1628"/>
      <c r="I184" s="1644"/>
      <c r="J184" s="1531"/>
      <c r="K184" s="1627"/>
      <c r="L184" s="1627"/>
      <c r="M184" s="1629"/>
      <c r="N184" s="1627"/>
      <c r="O184" s="1627"/>
      <c r="P184" s="1627"/>
      <c r="Q184" s="1627"/>
      <c r="R184" s="1627"/>
      <c r="S184" s="1627" t="str">
        <f t="shared" si="70"/>
        <v/>
      </c>
      <c r="T184" s="1627"/>
      <c r="U184" s="1630" t="s">
        <v>1371</v>
      </c>
      <c r="V184" s="1631" t="s">
        <v>1372</v>
      </c>
      <c r="W184" s="1632" t="s">
        <v>1306</v>
      </c>
      <c r="X184" s="1631" t="s">
        <v>274</v>
      </c>
      <c r="Y184" s="1633" t="s">
        <v>1306</v>
      </c>
      <c r="Z184" s="1640" t="s">
        <v>312</v>
      </c>
      <c r="AA184" s="1703" t="s">
        <v>1306</v>
      </c>
      <c r="AB184" s="1631" t="s">
        <v>348</v>
      </c>
      <c r="AC184" s="1634"/>
      <c r="AD184" s="1635"/>
      <c r="AE184" s="1636"/>
      <c r="AF184" s="1636"/>
      <c r="AG184" s="1637" t="str">
        <f t="shared" si="51"/>
        <v>14調査及び検査の状況-建築設備の検査-実施日-月</v>
      </c>
      <c r="AI184" s="1636"/>
      <c r="AJ184" s="1636"/>
      <c r="AK184" s="1636"/>
    </row>
    <row r="185" spans="1:41" s="1637" customFormat="1" ht="18.75" customHeight="1" x14ac:dyDescent="0.15">
      <c r="A185" s="1578"/>
      <c r="B185" s="1627"/>
      <c r="C185" s="1627">
        <v>1</v>
      </c>
      <c r="D185" s="1672">
        <f>'1_入力シート【基本情報】'!$AO$225</f>
        <v>0</v>
      </c>
      <c r="E185" s="1672">
        <f t="shared" si="58"/>
        <v>0</v>
      </c>
      <c r="F185" s="1672" t="str">
        <f t="shared" si="59"/>
        <v>0</v>
      </c>
      <c r="G185" s="1672" t="str">
        <f t="shared" si="60"/>
        <v>0</v>
      </c>
      <c r="H185" s="1628"/>
      <c r="I185" s="1644"/>
      <c r="J185" s="1531"/>
      <c r="K185" s="1627"/>
      <c r="L185" s="1627"/>
      <c r="M185" s="1629"/>
      <c r="N185" s="1627"/>
      <c r="O185" s="1627"/>
      <c r="P185" s="1627"/>
      <c r="Q185" s="1627"/>
      <c r="R185" s="1627"/>
      <c r="S185" s="1627" t="str">
        <f t="shared" si="70"/>
        <v/>
      </c>
      <c r="T185" s="1627"/>
      <c r="U185" s="1630" t="s">
        <v>1371</v>
      </c>
      <c r="V185" s="1631" t="s">
        <v>1372</v>
      </c>
      <c r="W185" s="1632" t="s">
        <v>1306</v>
      </c>
      <c r="X185" s="1631" t="s">
        <v>274</v>
      </c>
      <c r="Y185" s="1633" t="s">
        <v>1306</v>
      </c>
      <c r="Z185" s="1640" t="s">
        <v>312</v>
      </c>
      <c r="AA185" s="1703" t="s">
        <v>1306</v>
      </c>
      <c r="AB185" s="1631" t="s">
        <v>364</v>
      </c>
      <c r="AC185" s="1634"/>
      <c r="AD185" s="1635"/>
      <c r="AE185" s="1636"/>
      <c r="AF185" s="1636"/>
      <c r="AG185" s="1637" t="str">
        <f t="shared" si="51"/>
        <v>14調査及び検査の状況-建築設備の検査-実施日-日</v>
      </c>
      <c r="AI185" s="1636"/>
      <c r="AJ185" s="1636"/>
      <c r="AK185" s="1636"/>
    </row>
    <row r="186" spans="1:41" s="1637" customFormat="1" ht="18.75" customHeight="1" x14ac:dyDescent="0.15">
      <c r="A186" s="1578"/>
      <c r="B186" s="1627"/>
      <c r="C186" s="1627">
        <v>1</v>
      </c>
      <c r="D186" s="1672">
        <f>'1_入力シート【基本情報】'!$AB$226</f>
        <v>0</v>
      </c>
      <c r="E186" s="1672">
        <f t="shared" si="58"/>
        <v>0</v>
      </c>
      <c r="F186" s="1672" t="str">
        <f t="shared" si="59"/>
        <v>0</v>
      </c>
      <c r="G186" s="1672" t="str">
        <f t="shared" si="60"/>
        <v>0</v>
      </c>
      <c r="H186" s="1628"/>
      <c r="I186" s="1644"/>
      <c r="J186" s="1531"/>
      <c r="K186" s="1627"/>
      <c r="L186" s="1627"/>
      <c r="M186" s="1629"/>
      <c r="N186" s="1627"/>
      <c r="O186" s="1627"/>
      <c r="P186" s="1627"/>
      <c r="Q186" s="1627"/>
      <c r="R186" s="1627"/>
      <c r="S186" s="1627" t="str">
        <f t="shared" si="70"/>
        <v/>
      </c>
      <c r="T186" s="1627"/>
      <c r="U186" s="1630" t="s">
        <v>1371</v>
      </c>
      <c r="V186" s="1631" t="s">
        <v>1372</v>
      </c>
      <c r="W186" s="1632" t="s">
        <v>1306</v>
      </c>
      <c r="X186" s="1631" t="s">
        <v>1374</v>
      </c>
      <c r="Y186" s="1633" t="s">
        <v>1306</v>
      </c>
      <c r="Z186" s="1640" t="s">
        <v>685</v>
      </c>
      <c r="AA186" s="1703"/>
      <c r="AB186" s="1631"/>
      <c r="AC186" s="1634"/>
      <c r="AD186" s="1635"/>
      <c r="AE186" s="1636"/>
      <c r="AF186" s="1636"/>
      <c r="AG186" s="1637" t="str">
        <f t="shared" ref="AG186:AG263" si="71">CONCATENATE(U186,V186,W186,X186,Y186,Z186,AA186,AB186,AC186,AD186)</f>
        <v>14調査及び検査の状況-昇降機等の検査-有無</v>
      </c>
      <c r="AI186" s="1636"/>
      <c r="AJ186" s="1636"/>
      <c r="AK186" s="1636"/>
    </row>
    <row r="187" spans="1:41" s="1637" customFormat="1" ht="18.75" customHeight="1" x14ac:dyDescent="0.15">
      <c r="A187" s="1581"/>
      <c r="B187" s="1642"/>
      <c r="C187" s="1627">
        <v>1</v>
      </c>
      <c r="D187" s="1672">
        <f>'1_入力シート【基本情報】'!$AB$227</f>
        <v>0</v>
      </c>
      <c r="E187" s="1672">
        <f t="shared" si="58"/>
        <v>0</v>
      </c>
      <c r="F187" s="1672" t="str">
        <f t="shared" si="59"/>
        <v>0</v>
      </c>
      <c r="G187" s="1672" t="str">
        <f t="shared" si="60"/>
        <v>0</v>
      </c>
      <c r="H187" s="1628"/>
      <c r="I187" s="1644"/>
      <c r="J187" s="1531"/>
      <c r="K187" s="1627"/>
      <c r="L187" s="1627"/>
      <c r="M187" s="1629"/>
      <c r="N187" s="1627"/>
      <c r="O187" s="1627"/>
      <c r="P187" s="1627"/>
      <c r="Q187" s="1627"/>
      <c r="R187" s="1627"/>
      <c r="S187" s="1627" t="str">
        <f t="shared" si="70"/>
        <v/>
      </c>
      <c r="T187" s="1627"/>
      <c r="U187" s="1630" t="s">
        <v>1371</v>
      </c>
      <c r="V187" s="1631" t="s">
        <v>1372</v>
      </c>
      <c r="W187" s="1632" t="s">
        <v>1306</v>
      </c>
      <c r="X187" s="1631" t="s">
        <v>1374</v>
      </c>
      <c r="Y187" s="1633" t="s">
        <v>1306</v>
      </c>
      <c r="Z187" s="1640" t="s">
        <v>312</v>
      </c>
      <c r="AA187" s="1703" t="s">
        <v>1306</v>
      </c>
      <c r="AB187" s="1631" t="s">
        <v>1102</v>
      </c>
      <c r="AC187" s="1634"/>
      <c r="AD187" s="1635"/>
      <c r="AE187" s="1636"/>
      <c r="AF187" s="1636"/>
      <c r="AG187" s="1637" t="str">
        <f t="shared" si="71"/>
        <v>14調査及び検査の状況-昇降機等の検査-実施日-元号</v>
      </c>
      <c r="AI187" s="1636"/>
      <c r="AJ187" s="1636"/>
      <c r="AK187" s="1636"/>
    </row>
    <row r="188" spans="1:41" s="1637" customFormat="1" ht="18.75" customHeight="1" x14ac:dyDescent="0.15">
      <c r="A188" s="1581"/>
      <c r="B188" s="1642"/>
      <c r="C188" s="1627">
        <v>1</v>
      </c>
      <c r="D188" s="1672">
        <f>'1_入力シート【基本情報】'!$AE$227</f>
        <v>0</v>
      </c>
      <c r="E188" s="1672">
        <f t="shared" si="58"/>
        <v>0</v>
      </c>
      <c r="F188" s="1672" t="str">
        <f t="shared" si="59"/>
        <v>0</v>
      </c>
      <c r="G188" s="1672" t="str">
        <f t="shared" si="60"/>
        <v>0</v>
      </c>
      <c r="H188" s="1628"/>
      <c r="I188" s="1644"/>
      <c r="J188" s="1531"/>
      <c r="K188" s="1627"/>
      <c r="L188" s="1627"/>
      <c r="M188" s="1629"/>
      <c r="N188" s="1627"/>
      <c r="O188" s="1627"/>
      <c r="P188" s="1627"/>
      <c r="Q188" s="1627"/>
      <c r="R188" s="1627"/>
      <c r="S188" s="1627" t="str">
        <f t="shared" si="70"/>
        <v/>
      </c>
      <c r="T188" s="1627"/>
      <c r="U188" s="1630" t="s">
        <v>1371</v>
      </c>
      <c r="V188" s="1631" t="s">
        <v>1372</v>
      </c>
      <c r="W188" s="1632" t="s">
        <v>1306</v>
      </c>
      <c r="X188" s="1631" t="s">
        <v>1374</v>
      </c>
      <c r="Y188" s="1633" t="s">
        <v>1306</v>
      </c>
      <c r="Z188" s="1640" t="s">
        <v>312</v>
      </c>
      <c r="AA188" s="1703" t="s">
        <v>1306</v>
      </c>
      <c r="AB188" s="1631" t="s">
        <v>12</v>
      </c>
      <c r="AC188" s="1634"/>
      <c r="AD188" s="1635"/>
      <c r="AE188" s="1636"/>
      <c r="AF188" s="1636"/>
      <c r="AG188" s="1637" t="str">
        <f t="shared" si="71"/>
        <v>14調査及び検査の状況-昇降機等の検査-実施日-年</v>
      </c>
      <c r="AI188" s="1636"/>
      <c r="AJ188" s="1636"/>
      <c r="AK188" s="1636"/>
    </row>
    <row r="189" spans="1:41" s="1637" customFormat="1" ht="18.75" customHeight="1" x14ac:dyDescent="0.15">
      <c r="A189" s="1578"/>
      <c r="B189" s="1627"/>
      <c r="C189" s="1627">
        <v>1</v>
      </c>
      <c r="D189" s="1672">
        <f>'1_入力シート【基本情報】'!$AJ$227</f>
        <v>0</v>
      </c>
      <c r="E189" s="1672">
        <f t="shared" si="58"/>
        <v>0</v>
      </c>
      <c r="F189" s="1672" t="str">
        <f t="shared" si="59"/>
        <v>0</v>
      </c>
      <c r="G189" s="1672" t="str">
        <f t="shared" si="60"/>
        <v>0</v>
      </c>
      <c r="H189" s="1628"/>
      <c r="I189" s="1644"/>
      <c r="J189" s="1531"/>
      <c r="K189" s="1627"/>
      <c r="L189" s="1627"/>
      <c r="M189" s="1629"/>
      <c r="N189" s="1627"/>
      <c r="O189" s="1627"/>
      <c r="P189" s="1627"/>
      <c r="Q189" s="1627"/>
      <c r="R189" s="1627"/>
      <c r="S189" s="1627" t="str">
        <f t="shared" si="70"/>
        <v/>
      </c>
      <c r="T189" s="1627"/>
      <c r="U189" s="1630" t="s">
        <v>1371</v>
      </c>
      <c r="V189" s="1631" t="s">
        <v>1372</v>
      </c>
      <c r="W189" s="1632" t="s">
        <v>1306</v>
      </c>
      <c r="X189" s="1631" t="s">
        <v>1374</v>
      </c>
      <c r="Y189" s="1633" t="s">
        <v>1306</v>
      </c>
      <c r="Z189" s="1640" t="s">
        <v>312</v>
      </c>
      <c r="AA189" s="1703" t="s">
        <v>1306</v>
      </c>
      <c r="AB189" s="1631" t="s">
        <v>348</v>
      </c>
      <c r="AC189" s="1702"/>
      <c r="AD189" s="1635"/>
      <c r="AE189" s="1636"/>
      <c r="AF189" s="1636"/>
      <c r="AG189" s="1637" t="str">
        <f t="shared" si="71"/>
        <v>14調査及び検査の状況-昇降機等の検査-実施日-月</v>
      </c>
      <c r="AI189" s="1636"/>
      <c r="AJ189" s="1636"/>
      <c r="AK189" s="1636"/>
    </row>
    <row r="190" spans="1:41" s="1637" customFormat="1" ht="18.75" customHeight="1" x14ac:dyDescent="0.15">
      <c r="A190" s="1578"/>
      <c r="B190" s="1627"/>
      <c r="C190" s="1627">
        <v>1</v>
      </c>
      <c r="D190" s="1672">
        <f>'1_入力シート【基本情報】'!$AO$227</f>
        <v>0</v>
      </c>
      <c r="E190" s="1672">
        <f t="shared" si="58"/>
        <v>0</v>
      </c>
      <c r="F190" s="1672" t="str">
        <f t="shared" si="59"/>
        <v>0</v>
      </c>
      <c r="G190" s="1672" t="str">
        <f t="shared" si="60"/>
        <v>0</v>
      </c>
      <c r="H190" s="1628"/>
      <c r="I190" s="1644"/>
      <c r="J190" s="1531"/>
      <c r="K190" s="1627"/>
      <c r="L190" s="1627"/>
      <c r="M190" s="1629"/>
      <c r="N190" s="1627"/>
      <c r="O190" s="1627"/>
      <c r="P190" s="1627"/>
      <c r="Q190" s="1627"/>
      <c r="R190" s="1627"/>
      <c r="S190" s="1627" t="str">
        <f t="shared" si="70"/>
        <v/>
      </c>
      <c r="T190" s="1627"/>
      <c r="U190" s="1630" t="s">
        <v>1371</v>
      </c>
      <c r="V190" s="1631" t="s">
        <v>1372</v>
      </c>
      <c r="W190" s="1632" t="s">
        <v>1306</v>
      </c>
      <c r="X190" s="1631" t="s">
        <v>1374</v>
      </c>
      <c r="Y190" s="1633" t="s">
        <v>1306</v>
      </c>
      <c r="Z190" s="1640" t="s">
        <v>312</v>
      </c>
      <c r="AA190" s="1703" t="s">
        <v>1306</v>
      </c>
      <c r="AB190" s="1631" t="s">
        <v>364</v>
      </c>
      <c r="AC190" s="1702"/>
      <c r="AD190" s="1635"/>
      <c r="AE190" s="1636"/>
      <c r="AF190" s="1636"/>
      <c r="AG190" s="1637" t="str">
        <f t="shared" si="71"/>
        <v>14調査及び検査の状況-昇降機等の検査-実施日-日</v>
      </c>
      <c r="AI190" s="1636"/>
      <c r="AJ190" s="1636"/>
      <c r="AK190" s="1636"/>
    </row>
    <row r="191" spans="1:41" s="1637" customFormat="1" ht="18.75" customHeight="1" x14ac:dyDescent="0.15">
      <c r="A191" s="1581"/>
      <c r="B191" s="1642"/>
      <c r="C191" s="1627">
        <v>1</v>
      </c>
      <c r="D191" s="1672">
        <f>'1_入力シート【基本情報】'!$AB$228</f>
        <v>0</v>
      </c>
      <c r="E191" s="1672">
        <f t="shared" si="58"/>
        <v>0</v>
      </c>
      <c r="F191" s="1672" t="str">
        <f t="shared" si="59"/>
        <v>0</v>
      </c>
      <c r="G191" s="1672" t="str">
        <f t="shared" si="60"/>
        <v>0</v>
      </c>
      <c r="H191" s="1628"/>
      <c r="I191" s="1644"/>
      <c r="J191" s="1531"/>
      <c r="K191" s="1627"/>
      <c r="L191" s="1627"/>
      <c r="M191" s="1629"/>
      <c r="N191" s="1627"/>
      <c r="O191" s="1627"/>
      <c r="P191" s="1627"/>
      <c r="Q191" s="1627"/>
      <c r="R191" s="1627"/>
      <c r="S191" s="1627" t="str">
        <f t="shared" si="70"/>
        <v/>
      </c>
      <c r="T191" s="1627"/>
      <c r="U191" s="1630" t="s">
        <v>1371</v>
      </c>
      <c r="V191" s="1631" t="s">
        <v>1372</v>
      </c>
      <c r="W191" s="1632" t="s">
        <v>1306</v>
      </c>
      <c r="X191" s="1631" t="s">
        <v>1375</v>
      </c>
      <c r="Y191" s="1633" t="s">
        <v>1306</v>
      </c>
      <c r="Z191" s="1640" t="s">
        <v>685</v>
      </c>
      <c r="AA191" s="1703"/>
      <c r="AB191" s="1631"/>
      <c r="AC191" s="1702"/>
      <c r="AD191" s="1635"/>
      <c r="AE191" s="1636"/>
      <c r="AF191" s="1636"/>
      <c r="AG191" s="1637" t="str">
        <f t="shared" si="71"/>
        <v>14調査及び検査の状況-防火設備の検査-有無</v>
      </c>
      <c r="AI191" s="1636"/>
      <c r="AJ191" s="1636"/>
      <c r="AK191" s="1636"/>
    </row>
    <row r="192" spans="1:41" s="1637" customFormat="1" ht="18.75" customHeight="1" x14ac:dyDescent="0.15">
      <c r="A192" s="1581"/>
      <c r="B192" s="1642"/>
      <c r="C192" s="1627">
        <v>1</v>
      </c>
      <c r="D192" s="1672">
        <f>'1_入力シート【基本情報】'!$AB$229</f>
        <v>0</v>
      </c>
      <c r="E192" s="1672">
        <f t="shared" si="58"/>
        <v>0</v>
      </c>
      <c r="F192" s="1672" t="str">
        <f t="shared" si="59"/>
        <v>0</v>
      </c>
      <c r="G192" s="1672" t="str">
        <f t="shared" si="60"/>
        <v>0</v>
      </c>
      <c r="H192" s="1628"/>
      <c r="I192" s="1644"/>
      <c r="J192" s="1531"/>
      <c r="K192" s="1627"/>
      <c r="L192" s="1627"/>
      <c r="M192" s="1629"/>
      <c r="N192" s="1627"/>
      <c r="O192" s="1627"/>
      <c r="P192" s="1627"/>
      <c r="Q192" s="1627"/>
      <c r="R192" s="1627"/>
      <c r="S192" s="1627" t="str">
        <f t="shared" si="70"/>
        <v/>
      </c>
      <c r="T192" s="1627"/>
      <c r="U192" s="1630" t="s">
        <v>1371</v>
      </c>
      <c r="V192" s="1631" t="s">
        <v>1372</v>
      </c>
      <c r="W192" s="1632" t="s">
        <v>1306</v>
      </c>
      <c r="X192" s="1631" t="s">
        <v>1375</v>
      </c>
      <c r="Y192" s="1633" t="s">
        <v>1306</v>
      </c>
      <c r="Z192" s="1640" t="s">
        <v>312</v>
      </c>
      <c r="AA192" s="1703" t="s">
        <v>1306</v>
      </c>
      <c r="AB192" s="1631" t="s">
        <v>1102</v>
      </c>
      <c r="AC192" s="1702"/>
      <c r="AD192" s="1635"/>
      <c r="AE192" s="1636"/>
      <c r="AF192" s="1636"/>
      <c r="AG192" s="1637" t="str">
        <f t="shared" si="71"/>
        <v>14調査及び検査の状況-防火設備の検査-実施日-元号</v>
      </c>
      <c r="AI192" s="1636"/>
      <c r="AJ192" s="1636"/>
      <c r="AK192" s="1636"/>
    </row>
    <row r="193" spans="1:37" s="1637" customFormat="1" ht="18.75" customHeight="1" x14ac:dyDescent="0.15">
      <c r="A193" s="1581"/>
      <c r="B193" s="1642"/>
      <c r="C193" s="1627">
        <v>1</v>
      </c>
      <c r="D193" s="1672">
        <f>'1_入力シート【基本情報】'!$AE$229</f>
        <v>0</v>
      </c>
      <c r="E193" s="1672">
        <f t="shared" si="58"/>
        <v>0</v>
      </c>
      <c r="F193" s="1672" t="str">
        <f t="shared" si="59"/>
        <v>0</v>
      </c>
      <c r="G193" s="1672" t="str">
        <f t="shared" si="60"/>
        <v>0</v>
      </c>
      <c r="H193" s="1628"/>
      <c r="I193" s="1644"/>
      <c r="J193" s="1531"/>
      <c r="K193" s="1627"/>
      <c r="L193" s="1627"/>
      <c r="M193" s="1629"/>
      <c r="N193" s="1627"/>
      <c r="O193" s="1627"/>
      <c r="P193" s="1627"/>
      <c r="Q193" s="1627"/>
      <c r="R193" s="1627"/>
      <c r="S193" s="1627" t="str">
        <f t="shared" si="70"/>
        <v/>
      </c>
      <c r="T193" s="1627"/>
      <c r="U193" s="1630" t="s">
        <v>1371</v>
      </c>
      <c r="V193" s="1631" t="s">
        <v>1372</v>
      </c>
      <c r="W193" s="1632" t="s">
        <v>1306</v>
      </c>
      <c r="X193" s="1631" t="s">
        <v>1375</v>
      </c>
      <c r="Y193" s="1633" t="s">
        <v>1306</v>
      </c>
      <c r="Z193" s="1640" t="s">
        <v>312</v>
      </c>
      <c r="AA193" s="1703" t="s">
        <v>1306</v>
      </c>
      <c r="AB193" s="1631" t="s">
        <v>12</v>
      </c>
      <c r="AC193" s="1634"/>
      <c r="AD193" s="1635"/>
      <c r="AE193" s="1636"/>
      <c r="AF193" s="1636"/>
      <c r="AG193" s="1637" t="str">
        <f t="shared" si="71"/>
        <v>14調査及び検査の状況-防火設備の検査-実施日-年</v>
      </c>
      <c r="AI193" s="1636"/>
      <c r="AJ193" s="1636"/>
      <c r="AK193" s="1636"/>
    </row>
    <row r="194" spans="1:37" s="1637" customFormat="1" ht="18.75" customHeight="1" x14ac:dyDescent="0.15">
      <c r="A194" s="1581"/>
      <c r="B194" s="1642"/>
      <c r="C194" s="1627">
        <v>1</v>
      </c>
      <c r="D194" s="1672">
        <f>'1_入力シート【基本情報】'!$AJ$229</f>
        <v>0</v>
      </c>
      <c r="E194" s="1672">
        <f t="shared" si="58"/>
        <v>0</v>
      </c>
      <c r="F194" s="1672" t="str">
        <f t="shared" si="59"/>
        <v>0</v>
      </c>
      <c r="G194" s="1672" t="str">
        <f t="shared" si="60"/>
        <v>0</v>
      </c>
      <c r="H194" s="1628"/>
      <c r="I194" s="1644"/>
      <c r="J194" s="1531"/>
      <c r="K194" s="1627"/>
      <c r="L194" s="1627"/>
      <c r="M194" s="1629"/>
      <c r="N194" s="1627"/>
      <c r="O194" s="1627"/>
      <c r="P194" s="1627"/>
      <c r="Q194" s="1627"/>
      <c r="R194" s="1627"/>
      <c r="S194" s="1627" t="str">
        <f t="shared" si="70"/>
        <v/>
      </c>
      <c r="T194" s="1627"/>
      <c r="U194" s="1630" t="s">
        <v>1371</v>
      </c>
      <c r="V194" s="1631" t="s">
        <v>1372</v>
      </c>
      <c r="W194" s="1632" t="s">
        <v>1306</v>
      </c>
      <c r="X194" s="1631" t="s">
        <v>1375</v>
      </c>
      <c r="Y194" s="1633" t="s">
        <v>1306</v>
      </c>
      <c r="Z194" s="1640" t="s">
        <v>312</v>
      </c>
      <c r="AA194" s="1703" t="s">
        <v>1306</v>
      </c>
      <c r="AB194" s="1631" t="s">
        <v>348</v>
      </c>
      <c r="AC194" s="1634"/>
      <c r="AD194" s="1635"/>
      <c r="AE194" s="1636"/>
      <c r="AF194" s="1636"/>
      <c r="AG194" s="1637" t="str">
        <f t="shared" si="71"/>
        <v>14調査及び検査の状況-防火設備の検査-実施日-月</v>
      </c>
      <c r="AI194" s="1636"/>
      <c r="AJ194" s="1636"/>
      <c r="AK194" s="1636"/>
    </row>
    <row r="195" spans="1:37" s="1637" customFormat="1" ht="18.75" customHeight="1" x14ac:dyDescent="0.15">
      <c r="A195" s="1578"/>
      <c r="B195" s="1627"/>
      <c r="C195" s="1627">
        <v>1</v>
      </c>
      <c r="D195" s="1672">
        <f>'1_入力シート【基本情報】'!$AO$229</f>
        <v>0</v>
      </c>
      <c r="E195" s="1672">
        <f t="shared" si="58"/>
        <v>0</v>
      </c>
      <c r="F195" s="1672" t="str">
        <f t="shared" si="59"/>
        <v>0</v>
      </c>
      <c r="G195" s="1672" t="str">
        <f t="shared" si="60"/>
        <v>0</v>
      </c>
      <c r="H195" s="1628"/>
      <c r="I195" s="1644"/>
      <c r="J195" s="1531"/>
      <c r="K195" s="1627"/>
      <c r="L195" s="1627"/>
      <c r="M195" s="1629"/>
      <c r="N195" s="1627"/>
      <c r="O195" s="1627"/>
      <c r="P195" s="1627"/>
      <c r="Q195" s="1627"/>
      <c r="R195" s="1627"/>
      <c r="S195" s="1627" t="str">
        <f t="shared" si="70"/>
        <v/>
      </c>
      <c r="T195" s="1627"/>
      <c r="U195" s="1630" t="s">
        <v>1371</v>
      </c>
      <c r="V195" s="1631" t="s">
        <v>1372</v>
      </c>
      <c r="W195" s="1632" t="s">
        <v>1306</v>
      </c>
      <c r="X195" s="1631" t="s">
        <v>1375</v>
      </c>
      <c r="Y195" s="1633" t="s">
        <v>1306</v>
      </c>
      <c r="Z195" s="1640" t="s">
        <v>312</v>
      </c>
      <c r="AA195" s="1703" t="s">
        <v>1306</v>
      </c>
      <c r="AB195" s="1631" t="s">
        <v>364</v>
      </c>
      <c r="AC195" s="1634"/>
      <c r="AD195" s="1635"/>
      <c r="AE195" s="1636"/>
      <c r="AF195" s="1636"/>
      <c r="AG195" s="1637" t="str">
        <f t="shared" si="71"/>
        <v>14調査及び検査の状況-防火設備の検査-実施日-日</v>
      </c>
      <c r="AI195" s="1636"/>
      <c r="AJ195" s="1636"/>
      <c r="AK195" s="1636"/>
    </row>
    <row r="196" spans="1:37" s="1637" customFormat="1" ht="18.75" customHeight="1" x14ac:dyDescent="0.15">
      <c r="A196" s="1578"/>
      <c r="B196" s="1627"/>
      <c r="C196" s="1627">
        <v>1</v>
      </c>
      <c r="D196" s="1625">
        <f>'1_入力シート【基本情報】'!$AB$235</f>
        <v>0</v>
      </c>
      <c r="E196" s="1672">
        <f t="shared" si="58"/>
        <v>0</v>
      </c>
      <c r="F196" s="1672" t="str">
        <f t="shared" si="59"/>
        <v>0</v>
      </c>
      <c r="G196" s="1672" t="str">
        <f t="shared" si="60"/>
        <v>0</v>
      </c>
      <c r="H196" s="1628"/>
      <c r="I196" s="1660"/>
      <c r="J196" s="1531"/>
      <c r="K196" s="1627"/>
      <c r="L196" s="1627"/>
      <c r="M196" s="1629"/>
      <c r="N196" s="1627"/>
      <c r="O196" s="1627"/>
      <c r="P196" s="1627"/>
      <c r="Q196" s="1627"/>
      <c r="R196" s="1627"/>
      <c r="S196" s="1627" t="str">
        <f t="shared" si="70"/>
        <v/>
      </c>
      <c r="T196" s="1627"/>
      <c r="U196" s="1630" t="s">
        <v>1376</v>
      </c>
      <c r="V196" s="1631" t="s">
        <v>1377</v>
      </c>
      <c r="W196" s="1632" t="s">
        <v>1306</v>
      </c>
      <c r="X196" s="1631" t="s">
        <v>703</v>
      </c>
      <c r="Y196" s="1633" t="s">
        <v>1306</v>
      </c>
      <c r="Z196" s="1640" t="s">
        <v>685</v>
      </c>
      <c r="AA196" s="1633"/>
      <c r="AB196" s="1631"/>
      <c r="AC196" s="1634"/>
      <c r="AD196" s="1635"/>
      <c r="AE196" s="1636"/>
      <c r="AF196" s="1636"/>
      <c r="AG196" s="1637" t="str">
        <f t="shared" si="71"/>
        <v>15石綿を添加した建築材料の調査状況-該当建築材料-有無</v>
      </c>
      <c r="AI196" s="1636"/>
      <c r="AJ196" s="1636"/>
      <c r="AK196" s="1636"/>
    </row>
    <row r="197" spans="1:37" s="1637" customFormat="1" ht="18.75" customHeight="1" x14ac:dyDescent="0.15">
      <c r="A197" s="1578"/>
      <c r="B197" s="1627"/>
      <c r="C197" s="1627">
        <v>1</v>
      </c>
      <c r="D197" s="1625">
        <f>'1_入力シート【基本情報】'!$AB$236</f>
        <v>0</v>
      </c>
      <c r="E197" s="1672">
        <f t="shared" si="58"/>
        <v>0</v>
      </c>
      <c r="F197" s="1672" t="str">
        <f t="shared" si="59"/>
        <v>0</v>
      </c>
      <c r="G197" s="1672" t="str">
        <f t="shared" si="60"/>
        <v>0</v>
      </c>
      <c r="H197" s="1628"/>
      <c r="I197" s="1660"/>
      <c r="J197" s="1531"/>
      <c r="K197" s="1627"/>
      <c r="L197" s="1627"/>
      <c r="M197" s="1629"/>
      <c r="N197" s="1627"/>
      <c r="O197" s="1627"/>
      <c r="P197" s="1627"/>
      <c r="Q197" s="1627"/>
      <c r="R197" s="1627"/>
      <c r="S197" s="1627" t="str">
        <f t="shared" si="70"/>
        <v/>
      </c>
      <c r="T197" s="1627"/>
      <c r="U197" s="1630" t="s">
        <v>1376</v>
      </c>
      <c r="V197" s="1631" t="s">
        <v>1377</v>
      </c>
      <c r="W197" s="1632" t="s">
        <v>1306</v>
      </c>
      <c r="X197" s="1631" t="s">
        <v>703</v>
      </c>
      <c r="Y197" s="1633" t="s">
        <v>1306</v>
      </c>
      <c r="Z197" s="1640" t="s">
        <v>276</v>
      </c>
      <c r="AA197" s="1633"/>
      <c r="AB197" s="1631"/>
      <c r="AC197" s="1634"/>
      <c r="AD197" s="1635"/>
      <c r="AE197" s="1636"/>
      <c r="AF197" s="1636"/>
      <c r="AG197" s="1637" t="str">
        <f t="shared" si="71"/>
        <v>15石綿を添加した建築材料の調査状況-該当建築材料-該当する室</v>
      </c>
      <c r="AI197" s="1636"/>
      <c r="AJ197" s="1636"/>
      <c r="AK197" s="1636"/>
    </row>
    <row r="198" spans="1:37" s="1637" customFormat="1" ht="18.75" customHeight="1" x14ac:dyDescent="0.15">
      <c r="A198" s="1578"/>
      <c r="B198" s="1627"/>
      <c r="C198" s="1627">
        <v>1</v>
      </c>
      <c r="D198" s="1625">
        <f>'1_入力シート【基本情報】'!$AB$237</f>
        <v>0</v>
      </c>
      <c r="E198" s="1672">
        <f t="shared" si="58"/>
        <v>0</v>
      </c>
      <c r="F198" s="1672" t="str">
        <f t="shared" si="59"/>
        <v>0</v>
      </c>
      <c r="G198" s="1672" t="str">
        <f t="shared" si="60"/>
        <v>0</v>
      </c>
      <c r="H198" s="1628"/>
      <c r="I198" s="1660"/>
      <c r="J198" s="1531"/>
      <c r="K198" s="1627"/>
      <c r="L198" s="1627"/>
      <c r="M198" s="1629"/>
      <c r="N198" s="1627"/>
      <c r="O198" s="1627"/>
      <c r="P198" s="1627"/>
      <c r="Q198" s="1627"/>
      <c r="R198" s="1627"/>
      <c r="S198" s="1627" t="str">
        <f t="shared" si="70"/>
        <v/>
      </c>
      <c r="T198" s="1627"/>
      <c r="U198" s="1630" t="s">
        <v>1376</v>
      </c>
      <c r="V198" s="1631" t="s">
        <v>1377</v>
      </c>
      <c r="W198" s="1632" t="s">
        <v>1306</v>
      </c>
      <c r="X198" s="1631" t="s">
        <v>705</v>
      </c>
      <c r="Y198" s="1633" t="s">
        <v>1306</v>
      </c>
      <c r="Z198" s="1640" t="s">
        <v>685</v>
      </c>
      <c r="AA198" s="1633"/>
      <c r="AB198" s="1631"/>
      <c r="AC198" s="1634"/>
      <c r="AD198" s="1635"/>
      <c r="AE198" s="1636"/>
      <c r="AF198" s="1636"/>
      <c r="AG198" s="1637" t="str">
        <f t="shared" si="71"/>
        <v>15石綿を添加した建築材料の調査状況-措置予定-有無</v>
      </c>
      <c r="AI198" s="1636"/>
      <c r="AJ198" s="1636"/>
      <c r="AK198" s="1636"/>
    </row>
    <row r="199" spans="1:37" s="1637" customFormat="1" ht="18.75" customHeight="1" x14ac:dyDescent="0.15">
      <c r="A199" s="1578"/>
      <c r="B199" s="1627"/>
      <c r="C199" s="1627">
        <v>1</v>
      </c>
      <c r="D199" s="1625" t="str">
        <f>'1_入力シート【基本情報】'!$AB$238</f>
        <v>令和</v>
      </c>
      <c r="E199" s="1672" t="str">
        <f t="shared" si="58"/>
        <v>令和</v>
      </c>
      <c r="F199" s="1672" t="str">
        <f t="shared" si="59"/>
        <v>令和</v>
      </c>
      <c r="G199" s="1672" t="str">
        <f t="shared" si="60"/>
        <v>令和</v>
      </c>
      <c r="H199" s="1628"/>
      <c r="I199" s="1660"/>
      <c r="J199" s="1531"/>
      <c r="K199" s="1627"/>
      <c r="L199" s="1627"/>
      <c r="M199" s="1629"/>
      <c r="N199" s="1627"/>
      <c r="O199" s="1627"/>
      <c r="P199" s="1627"/>
      <c r="Q199" s="1627"/>
      <c r="R199" s="1627"/>
      <c r="S199" s="1627" t="str">
        <f t="shared" si="70"/>
        <v/>
      </c>
      <c r="T199" s="1627"/>
      <c r="U199" s="1630" t="s">
        <v>1376</v>
      </c>
      <c r="V199" s="1631" t="s">
        <v>1377</v>
      </c>
      <c r="W199" s="1632" t="s">
        <v>1306</v>
      </c>
      <c r="X199" s="1631" t="s">
        <v>705</v>
      </c>
      <c r="Y199" s="1633" t="s">
        <v>1306</v>
      </c>
      <c r="Z199" s="1640" t="s">
        <v>1378</v>
      </c>
      <c r="AA199" s="1633" t="s">
        <v>1306</v>
      </c>
      <c r="AB199" s="1631" t="s">
        <v>294</v>
      </c>
      <c r="AC199" s="1634"/>
      <c r="AD199" s="1635"/>
      <c r="AE199" s="1636"/>
      <c r="AF199" s="1636"/>
      <c r="AG199" s="1637" t="str">
        <f t="shared" si="71"/>
        <v>15石綿を添加した建築材料の調査状況-措置予定-改善予定年月-令和</v>
      </c>
      <c r="AI199" s="1636"/>
      <c r="AJ199" s="1636"/>
      <c r="AK199" s="1636"/>
    </row>
    <row r="200" spans="1:37" s="1637" customFormat="1" ht="18.75" customHeight="1" x14ac:dyDescent="0.15">
      <c r="A200" s="1581"/>
      <c r="B200" s="1642"/>
      <c r="C200" s="1627">
        <v>1</v>
      </c>
      <c r="D200" s="1641">
        <f>'1_入力シート【基本情報】'!$AE$238</f>
        <v>0</v>
      </c>
      <c r="E200" s="1672">
        <f t="shared" si="58"/>
        <v>0</v>
      </c>
      <c r="F200" s="1672" t="str">
        <f t="shared" si="59"/>
        <v>0</v>
      </c>
      <c r="G200" s="1672" t="str">
        <f t="shared" si="60"/>
        <v>0</v>
      </c>
      <c r="H200" s="1628"/>
      <c r="I200" s="1660"/>
      <c r="J200" s="1531"/>
      <c r="K200" s="1627"/>
      <c r="L200" s="1627"/>
      <c r="M200" s="1629"/>
      <c r="N200" s="1627"/>
      <c r="O200" s="1627"/>
      <c r="P200" s="1627"/>
      <c r="Q200" s="1627"/>
      <c r="R200" s="1627"/>
      <c r="S200" s="1627" t="str">
        <f t="shared" si="70"/>
        <v/>
      </c>
      <c r="T200" s="1627"/>
      <c r="U200" s="1630" t="s">
        <v>1376</v>
      </c>
      <c r="V200" s="1631" t="s">
        <v>1377</v>
      </c>
      <c r="W200" s="1632" t="s">
        <v>1306</v>
      </c>
      <c r="X200" s="1631" t="s">
        <v>705</v>
      </c>
      <c r="Y200" s="1633" t="s">
        <v>1306</v>
      </c>
      <c r="Z200" s="1640" t="s">
        <v>1378</v>
      </c>
      <c r="AA200" s="1703" t="s">
        <v>1306</v>
      </c>
      <c r="AB200" s="1631" t="s">
        <v>12</v>
      </c>
      <c r="AC200" s="1634"/>
      <c r="AD200" s="1635"/>
      <c r="AE200" s="1636"/>
      <c r="AF200" s="1636"/>
      <c r="AG200" s="1637" t="str">
        <f t="shared" si="71"/>
        <v>15石綿を添加した建築材料の調査状況-措置予定-改善予定年月-年</v>
      </c>
      <c r="AI200" s="1636"/>
      <c r="AJ200" s="1636"/>
      <c r="AK200" s="1636"/>
    </row>
    <row r="201" spans="1:37" s="1637" customFormat="1" ht="18.75" customHeight="1" x14ac:dyDescent="0.15">
      <c r="A201" s="1581"/>
      <c r="B201" s="1642"/>
      <c r="C201" s="1627">
        <v>1</v>
      </c>
      <c r="D201" s="1641">
        <f>'1_入力シート【基本情報】'!$AJ$238</f>
        <v>0</v>
      </c>
      <c r="E201" s="1672">
        <f t="shared" si="58"/>
        <v>0</v>
      </c>
      <c r="F201" s="1672" t="str">
        <f t="shared" si="59"/>
        <v>0</v>
      </c>
      <c r="G201" s="1672" t="str">
        <f t="shared" si="60"/>
        <v>0</v>
      </c>
      <c r="H201" s="1628"/>
      <c r="I201" s="1660"/>
      <c r="J201" s="1531"/>
      <c r="K201" s="1627"/>
      <c r="L201" s="1627"/>
      <c r="M201" s="1629"/>
      <c r="N201" s="1627"/>
      <c r="O201" s="1627"/>
      <c r="P201" s="1627"/>
      <c r="Q201" s="1627"/>
      <c r="R201" s="1627"/>
      <c r="S201" s="1627" t="str">
        <f t="shared" si="70"/>
        <v/>
      </c>
      <c r="T201" s="1627"/>
      <c r="U201" s="1630" t="s">
        <v>1376</v>
      </c>
      <c r="V201" s="1631" t="s">
        <v>1377</v>
      </c>
      <c r="W201" s="1632" t="s">
        <v>1306</v>
      </c>
      <c r="X201" s="1631" t="s">
        <v>705</v>
      </c>
      <c r="Y201" s="1633" t="s">
        <v>1306</v>
      </c>
      <c r="Z201" s="1640" t="s">
        <v>1378</v>
      </c>
      <c r="AA201" s="1703" t="s">
        <v>1306</v>
      </c>
      <c r="AB201" s="1631" t="s">
        <v>1379</v>
      </c>
      <c r="AC201" s="1634"/>
      <c r="AD201" s="1635"/>
      <c r="AE201" s="1636"/>
      <c r="AF201" s="1636"/>
      <c r="AG201" s="1637" t="str">
        <f t="shared" si="71"/>
        <v>15石綿を添加した建築材料の調査状況-措置予定-改善予定年月-月実施予定</v>
      </c>
      <c r="AI201" s="1636"/>
      <c r="AJ201" s="1636"/>
      <c r="AK201" s="1636"/>
    </row>
    <row r="202" spans="1:37" s="1457" customFormat="1" ht="18.75" customHeight="1" x14ac:dyDescent="0.15">
      <c r="A202" s="1581"/>
      <c r="B202" s="1536" t="s">
        <v>2928</v>
      </c>
      <c r="C202" s="1462">
        <v>2</v>
      </c>
      <c r="D202" s="1650" t="str">
        <f>'1_入力シート【基本情報】'!EB234</f>
        <v/>
      </c>
      <c r="E202" s="1650" t="str">
        <f t="shared" ref="E202:E211" si="72">D202</f>
        <v/>
      </c>
      <c r="F202" s="1650" t="str">
        <f t="shared" ref="F202:F211" si="73">SUBSTITUTE(E202,CHAR(10),"")</f>
        <v/>
      </c>
      <c r="G202" s="1650" t="str">
        <f t="shared" ref="G202:G211" si="74">TRIM(F202)</f>
        <v/>
      </c>
      <c r="H202" s="1468"/>
      <c r="I202" s="1660"/>
      <c r="J202" s="1531"/>
      <c r="K202" s="1462" t="s">
        <v>3139</v>
      </c>
      <c r="L202" s="1462"/>
      <c r="M202" s="1493" t="s">
        <v>3140</v>
      </c>
      <c r="N202" s="1462"/>
      <c r="O202" s="1462"/>
      <c r="P202" s="1462"/>
      <c r="Q202" s="1462"/>
      <c r="R202" s="1462"/>
      <c r="S202" s="1462" t="str">
        <f t="shared" si="70"/>
        <v>石綿[有（飛散防止無）]</v>
      </c>
      <c r="T202" s="1462"/>
      <c r="U202" s="1469" t="s">
        <v>3152</v>
      </c>
      <c r="V202" s="1470" t="s">
        <v>1377</v>
      </c>
      <c r="W202" s="1471" t="s">
        <v>1366</v>
      </c>
      <c r="X202" s="1470" t="s">
        <v>703</v>
      </c>
      <c r="Y202" s="1473" t="s">
        <v>1366</v>
      </c>
      <c r="Z202" s="1474" t="s">
        <v>3153</v>
      </c>
      <c r="AA202" s="1505"/>
      <c r="AB202" s="1470"/>
      <c r="AC202" s="1475"/>
      <c r="AD202" s="1476"/>
      <c r="AE202" s="1477"/>
      <c r="AF202" s="1477"/>
      <c r="AG202" s="1457" t="str">
        <f t="shared" si="71"/>
        <v>15石綿を添加した建築材料の調査状況-該当建築材料-有（飛散防止無）</v>
      </c>
      <c r="AI202" s="1459"/>
      <c r="AJ202" s="1459"/>
      <c r="AK202" s="1459"/>
    </row>
    <row r="203" spans="1:37" s="1457" customFormat="1" ht="18.75" customHeight="1" x14ac:dyDescent="0.15">
      <c r="A203" s="1581"/>
      <c r="B203" s="1536" t="s">
        <v>2928</v>
      </c>
      <c r="C203" s="1462">
        <v>2</v>
      </c>
      <c r="D203" s="1650" t="str">
        <f>'1_入力シート【基本情報】'!EB235</f>
        <v/>
      </c>
      <c r="E203" s="1650" t="str">
        <f t="shared" si="72"/>
        <v/>
      </c>
      <c r="F203" s="1650" t="str">
        <f t="shared" si="73"/>
        <v/>
      </c>
      <c r="G203" s="1650" t="str">
        <f t="shared" si="74"/>
        <v/>
      </c>
      <c r="H203" s="1468"/>
      <c r="I203" s="1660"/>
      <c r="J203" s="1531"/>
      <c r="K203" s="1462" t="s">
        <v>3139</v>
      </c>
      <c r="L203" s="1462"/>
      <c r="M203" s="1493" t="s">
        <v>3141</v>
      </c>
      <c r="N203" s="1462"/>
      <c r="O203" s="1462"/>
      <c r="P203" s="1462"/>
      <c r="Q203" s="1462"/>
      <c r="R203" s="1462"/>
      <c r="S203" s="1462" t="str">
        <f t="shared" si="70"/>
        <v>石綿[有（飛散防止有）]</v>
      </c>
      <c r="T203" s="1462"/>
      <c r="U203" s="1469" t="s">
        <v>3152</v>
      </c>
      <c r="V203" s="1470" t="s">
        <v>1377</v>
      </c>
      <c r="W203" s="1471" t="s">
        <v>1366</v>
      </c>
      <c r="X203" s="1470" t="s">
        <v>703</v>
      </c>
      <c r="Y203" s="1473" t="s">
        <v>1366</v>
      </c>
      <c r="Z203" s="1474" t="s">
        <v>3154</v>
      </c>
      <c r="AA203" s="1505"/>
      <c r="AB203" s="1470"/>
      <c r="AC203" s="1475"/>
      <c r="AD203" s="1476"/>
      <c r="AE203" s="1477"/>
      <c r="AF203" s="1477"/>
      <c r="AG203" s="1457" t="str">
        <f t="shared" si="71"/>
        <v>15石綿を添加した建築材料の調査状況-該当建築材料-有（飛散防止有）</v>
      </c>
      <c r="AI203" s="1459"/>
      <c r="AJ203" s="1459"/>
      <c r="AK203" s="1459"/>
    </row>
    <row r="204" spans="1:37" s="1457" customFormat="1" ht="18.75" customHeight="1" x14ac:dyDescent="0.15">
      <c r="A204" s="1581"/>
      <c r="B204" s="1536" t="s">
        <v>2928</v>
      </c>
      <c r="C204" s="1462">
        <v>2</v>
      </c>
      <c r="D204" s="1650" t="str">
        <f>'1_入力シート【基本情報】'!EB236</f>
        <v/>
      </c>
      <c r="E204" s="1650" t="str">
        <f t="shared" si="72"/>
        <v/>
      </c>
      <c r="F204" s="1650" t="str">
        <f t="shared" si="73"/>
        <v/>
      </c>
      <c r="G204" s="1650" t="str">
        <f t="shared" si="74"/>
        <v/>
      </c>
      <c r="H204" s="1468"/>
      <c r="I204" s="1660"/>
      <c r="J204" s="1531"/>
      <c r="K204" s="1462" t="s">
        <v>3139</v>
      </c>
      <c r="L204" s="1462"/>
      <c r="M204" s="1493" t="s">
        <v>3142</v>
      </c>
      <c r="N204" s="1462"/>
      <c r="O204" s="1462"/>
      <c r="P204" s="1462"/>
      <c r="Q204" s="1462"/>
      <c r="R204" s="1462"/>
      <c r="S204" s="1462" t="str">
        <f t="shared" si="70"/>
        <v>石綿[無]</v>
      </c>
      <c r="T204" s="1462"/>
      <c r="U204" s="1469" t="s">
        <v>3152</v>
      </c>
      <c r="V204" s="1470" t="s">
        <v>1377</v>
      </c>
      <c r="W204" s="1471" t="s">
        <v>1366</v>
      </c>
      <c r="X204" s="1470" t="s">
        <v>703</v>
      </c>
      <c r="Y204" s="1473" t="s">
        <v>1366</v>
      </c>
      <c r="Z204" s="1474" t="s">
        <v>3155</v>
      </c>
      <c r="AA204" s="1505"/>
      <c r="AB204" s="1470"/>
      <c r="AC204" s="1475"/>
      <c r="AD204" s="1476"/>
      <c r="AE204" s="1477"/>
      <c r="AF204" s="1477"/>
      <c r="AG204" s="1457" t="str">
        <f t="shared" si="71"/>
        <v>15石綿を添加した建築材料の調査状況-該当建築材料-無</v>
      </c>
      <c r="AI204" s="1459"/>
      <c r="AJ204" s="1459"/>
      <c r="AK204" s="1459"/>
    </row>
    <row r="205" spans="1:37" s="1457" customFormat="1" ht="18.75" customHeight="1" x14ac:dyDescent="0.15">
      <c r="A205" s="1581"/>
      <c r="B205" s="1536" t="s">
        <v>2928</v>
      </c>
      <c r="C205" s="1462">
        <v>2</v>
      </c>
      <c r="D205" s="1650" t="str">
        <f>'1_入力シート【基本情報】'!EE234</f>
        <v/>
      </c>
      <c r="E205" s="1650" t="str">
        <f t="shared" si="72"/>
        <v/>
      </c>
      <c r="F205" s="1650" t="str">
        <f t="shared" si="73"/>
        <v/>
      </c>
      <c r="G205" s="1650" t="str">
        <f t="shared" si="74"/>
        <v/>
      </c>
      <c r="H205" s="1468"/>
      <c r="I205" s="1660"/>
      <c r="J205" s="1531"/>
      <c r="K205" s="1462" t="s">
        <v>3139</v>
      </c>
      <c r="L205" s="1462" t="s">
        <v>1307</v>
      </c>
      <c r="M205" s="1493" t="s">
        <v>3143</v>
      </c>
      <c r="N205" s="1462"/>
      <c r="O205" s="1462"/>
      <c r="P205" s="1462"/>
      <c r="Q205" s="1462"/>
      <c r="R205" s="1462"/>
      <c r="S205" s="1462" t="str">
        <f t="shared" si="70"/>
        <v>石綿_有（飛散防止無）該当する室</v>
      </c>
      <c r="T205" s="1462"/>
      <c r="U205" s="1469" t="s">
        <v>3152</v>
      </c>
      <c r="V205" s="1470" t="s">
        <v>1377</v>
      </c>
      <c r="W205" s="1471" t="s">
        <v>1366</v>
      </c>
      <c r="X205" s="1470" t="s">
        <v>703</v>
      </c>
      <c r="Y205" s="1473" t="s">
        <v>1366</v>
      </c>
      <c r="Z205" s="1474" t="s">
        <v>3156</v>
      </c>
      <c r="AA205" s="1505"/>
      <c r="AB205" s="1470"/>
      <c r="AC205" s="1475"/>
      <c r="AD205" s="1476"/>
      <c r="AE205" s="1477"/>
      <c r="AF205" s="1477"/>
      <c r="AG205" s="1457" t="str">
        <f t="shared" si="71"/>
        <v>15石綿を添加した建築材料の調査状況-該当建築材料-該当する室（飛散防止無）</v>
      </c>
      <c r="AI205" s="1459"/>
      <c r="AJ205" s="1459"/>
      <c r="AK205" s="1459"/>
    </row>
    <row r="206" spans="1:37" s="1457" customFormat="1" ht="18.75" customHeight="1" x14ac:dyDescent="0.15">
      <c r="A206" s="1581"/>
      <c r="B206" s="1536" t="s">
        <v>2928</v>
      </c>
      <c r="C206" s="1462">
        <v>2</v>
      </c>
      <c r="D206" s="1650" t="str">
        <f>'1_入力シート【基本情報】'!EE235</f>
        <v/>
      </c>
      <c r="E206" s="1650" t="str">
        <f t="shared" si="72"/>
        <v/>
      </c>
      <c r="F206" s="1650" t="str">
        <f t="shared" si="73"/>
        <v/>
      </c>
      <c r="G206" s="1650" t="str">
        <f t="shared" si="74"/>
        <v/>
      </c>
      <c r="H206" s="1468"/>
      <c r="I206" s="1660"/>
      <c r="J206" s="1531"/>
      <c r="K206" s="1462" t="s">
        <v>3139</v>
      </c>
      <c r="L206" s="1462" t="s">
        <v>1307</v>
      </c>
      <c r="M206" s="1493" t="s">
        <v>3144</v>
      </c>
      <c r="N206" s="1462"/>
      <c r="O206" s="1462"/>
      <c r="P206" s="1462"/>
      <c r="Q206" s="1462"/>
      <c r="R206" s="1462"/>
      <c r="S206" s="1462" t="str">
        <f t="shared" si="70"/>
        <v>石綿_有（飛散防止有）該当する室</v>
      </c>
      <c r="T206" s="1462"/>
      <c r="U206" s="1469" t="s">
        <v>3152</v>
      </c>
      <c r="V206" s="1470" t="s">
        <v>1377</v>
      </c>
      <c r="W206" s="1471" t="s">
        <v>1366</v>
      </c>
      <c r="X206" s="1470" t="s">
        <v>703</v>
      </c>
      <c r="Y206" s="1473" t="s">
        <v>1366</v>
      </c>
      <c r="Z206" s="1474" t="s">
        <v>3157</v>
      </c>
      <c r="AA206" s="1505"/>
      <c r="AB206" s="1470"/>
      <c r="AC206" s="1475"/>
      <c r="AD206" s="1476"/>
      <c r="AE206" s="1477"/>
      <c r="AF206" s="1477"/>
      <c r="AG206" s="1457" t="str">
        <f t="shared" si="71"/>
        <v>15石綿を添加した建築材料の調査状況-該当建築材料-該当する室（飛散防止有）</v>
      </c>
      <c r="AI206" s="1459"/>
      <c r="AJ206" s="1459"/>
      <c r="AK206" s="1459"/>
    </row>
    <row r="207" spans="1:37" s="1457" customFormat="1" ht="18.75" customHeight="1" x14ac:dyDescent="0.15">
      <c r="A207" s="1581"/>
      <c r="B207" s="1536" t="s">
        <v>2928</v>
      </c>
      <c r="C207" s="1462">
        <v>2</v>
      </c>
      <c r="D207" s="1650" t="str">
        <f>'1_入力シート【基本情報】'!EB237</f>
        <v/>
      </c>
      <c r="E207" s="1650" t="str">
        <f t="shared" si="72"/>
        <v/>
      </c>
      <c r="F207" s="1650" t="str">
        <f t="shared" si="73"/>
        <v/>
      </c>
      <c r="G207" s="1650" t="str">
        <f t="shared" si="74"/>
        <v/>
      </c>
      <c r="H207" s="1468"/>
      <c r="I207" s="1660"/>
      <c r="J207" s="1531"/>
      <c r="K207" s="1462" t="s">
        <v>3139</v>
      </c>
      <c r="L207" s="1462" t="s">
        <v>1307</v>
      </c>
      <c r="M207" s="1493" t="s">
        <v>3146</v>
      </c>
      <c r="N207" s="1462"/>
      <c r="O207" s="1462" t="s">
        <v>3147</v>
      </c>
      <c r="P207" s="1462"/>
      <c r="Q207" s="1462"/>
      <c r="R207" s="1462"/>
      <c r="S207" s="1462" t="str">
        <f t="shared" si="70"/>
        <v>石綿_措置予定[有]</v>
      </c>
      <c r="T207" s="1462"/>
      <c r="U207" s="1469" t="s">
        <v>3152</v>
      </c>
      <c r="V207" s="1470" t="s">
        <v>1377</v>
      </c>
      <c r="W207" s="1471" t="s">
        <v>1366</v>
      </c>
      <c r="X207" s="1470" t="s">
        <v>705</v>
      </c>
      <c r="Y207" s="1473" t="s">
        <v>1366</v>
      </c>
      <c r="Z207" s="1474" t="s">
        <v>3148</v>
      </c>
      <c r="AA207" s="1505"/>
      <c r="AB207" s="1470"/>
      <c r="AC207" s="1475"/>
      <c r="AD207" s="1476"/>
      <c r="AE207" s="1477"/>
      <c r="AF207" s="1477"/>
      <c r="AG207" s="1457" t="str">
        <f t="shared" si="71"/>
        <v>15石綿を添加した建築材料の調査状況-措置予定-有</v>
      </c>
      <c r="AI207" s="1459"/>
      <c r="AJ207" s="1459"/>
      <c r="AK207" s="1459"/>
    </row>
    <row r="208" spans="1:37" s="1457" customFormat="1" ht="18.75" customHeight="1" x14ac:dyDescent="0.15">
      <c r="A208" s="1581"/>
      <c r="B208" s="1536" t="s">
        <v>2928</v>
      </c>
      <c r="C208" s="1462">
        <v>2</v>
      </c>
      <c r="D208" s="1650" t="str">
        <f>'1_入力シート【基本情報】'!EB238</f>
        <v/>
      </c>
      <c r="E208" s="1650" t="str">
        <f t="shared" si="72"/>
        <v/>
      </c>
      <c r="F208" s="1650" t="str">
        <f t="shared" si="73"/>
        <v/>
      </c>
      <c r="G208" s="1650" t="str">
        <f t="shared" si="74"/>
        <v/>
      </c>
      <c r="H208" s="1468"/>
      <c r="I208" s="1660"/>
      <c r="J208" s="1531"/>
      <c r="K208" s="1462" t="s">
        <v>3139</v>
      </c>
      <c r="L208" s="1462" t="s">
        <v>1307</v>
      </c>
      <c r="M208" s="1493" t="s">
        <v>3146</v>
      </c>
      <c r="N208" s="1462"/>
      <c r="O208" s="1462" t="s">
        <v>3133</v>
      </c>
      <c r="P208" s="1462"/>
      <c r="Q208" s="1462"/>
      <c r="R208" s="1462"/>
      <c r="S208" s="1462" t="str">
        <f t="shared" si="70"/>
        <v>石綿_措置予定[無]</v>
      </c>
      <c r="T208" s="1462"/>
      <c r="U208" s="1469" t="s">
        <v>3152</v>
      </c>
      <c r="V208" s="1470" t="s">
        <v>1377</v>
      </c>
      <c r="W208" s="1471" t="s">
        <v>1366</v>
      </c>
      <c r="X208" s="1470" t="s">
        <v>705</v>
      </c>
      <c r="Y208" s="1473" t="s">
        <v>1366</v>
      </c>
      <c r="Z208" s="1474" t="s">
        <v>3155</v>
      </c>
      <c r="AA208" s="1505"/>
      <c r="AB208" s="1470"/>
      <c r="AC208" s="1475"/>
      <c r="AD208" s="1476"/>
      <c r="AE208" s="1477"/>
      <c r="AF208" s="1477"/>
      <c r="AG208" s="1457" t="str">
        <f t="shared" si="71"/>
        <v>15石綿を添加した建築材料の調査状況-措置予定-無</v>
      </c>
      <c r="AI208" s="1459"/>
      <c r="AJ208" s="1459"/>
      <c r="AK208" s="1459"/>
    </row>
    <row r="209" spans="1:37" s="1457" customFormat="1" ht="18.75" customHeight="1" x14ac:dyDescent="0.15">
      <c r="A209" s="1581"/>
      <c r="B209" s="1536" t="s">
        <v>2928</v>
      </c>
      <c r="C209" s="1462">
        <v>2</v>
      </c>
      <c r="D209" s="1650" t="str">
        <f>'1_入力シート【基本情報】'!EE237</f>
        <v/>
      </c>
      <c r="E209" s="1650" t="str">
        <f t="shared" si="72"/>
        <v/>
      </c>
      <c r="F209" s="1650" t="str">
        <f t="shared" si="73"/>
        <v/>
      </c>
      <c r="G209" s="1650" t="str">
        <f t="shared" si="74"/>
        <v/>
      </c>
      <c r="H209" s="1468"/>
      <c r="I209" s="1660"/>
      <c r="J209" s="1531"/>
      <c r="K209" s="1462" t="s">
        <v>3139</v>
      </c>
      <c r="L209" s="1462" t="s">
        <v>1307</v>
      </c>
      <c r="M209" s="1493" t="s">
        <v>3145</v>
      </c>
      <c r="N209" s="1462" t="s">
        <v>1307</v>
      </c>
      <c r="O209" s="1462" t="s">
        <v>3148</v>
      </c>
      <c r="P209" s="1462" t="s">
        <v>1307</v>
      </c>
      <c r="Q209" s="1462" t="s">
        <v>3149</v>
      </c>
      <c r="R209" s="1462"/>
      <c r="S209" s="1462" t="str">
        <f t="shared" si="70"/>
        <v>石綿_措置予定_有_元号</v>
      </c>
      <c r="T209" s="1462"/>
      <c r="U209" s="1469" t="s">
        <v>3152</v>
      </c>
      <c r="V209" s="1470" t="s">
        <v>1377</v>
      </c>
      <c r="W209" s="1471" t="s">
        <v>1366</v>
      </c>
      <c r="X209" s="1470" t="s">
        <v>705</v>
      </c>
      <c r="Y209" s="1473" t="s">
        <v>1366</v>
      </c>
      <c r="Z209" s="1474" t="s">
        <v>1378</v>
      </c>
      <c r="AA209" s="1473" t="s">
        <v>1366</v>
      </c>
      <c r="AB209" s="1470" t="s">
        <v>3149</v>
      </c>
      <c r="AC209" s="1475"/>
      <c r="AD209" s="1476"/>
      <c r="AE209" s="1477"/>
      <c r="AF209" s="1477"/>
      <c r="AG209" s="1457" t="str">
        <f t="shared" si="71"/>
        <v>15石綿を添加した建築材料の調査状況-措置予定-改善予定年月-元号</v>
      </c>
      <c r="AI209" s="1459"/>
      <c r="AJ209" s="1459"/>
      <c r="AK209" s="1459"/>
    </row>
    <row r="210" spans="1:37" s="1457" customFormat="1" ht="18.75" customHeight="1" x14ac:dyDescent="0.15">
      <c r="A210" s="1581"/>
      <c r="B210" s="1536" t="s">
        <v>2928</v>
      </c>
      <c r="C210" s="1462">
        <v>2</v>
      </c>
      <c r="D210" s="1650" t="str">
        <f>'1_入力シート【基本情報】'!EF237</f>
        <v/>
      </c>
      <c r="E210" s="1650" t="str">
        <f t="shared" si="72"/>
        <v/>
      </c>
      <c r="F210" s="1650" t="str">
        <f t="shared" si="73"/>
        <v/>
      </c>
      <c r="G210" s="1650" t="str">
        <f t="shared" si="74"/>
        <v/>
      </c>
      <c r="H210" s="1468"/>
      <c r="I210" s="1660"/>
      <c r="J210" s="1531"/>
      <c r="K210" s="1462" t="s">
        <v>3139</v>
      </c>
      <c r="L210" s="1462" t="s">
        <v>1307</v>
      </c>
      <c r="M210" s="1493" t="s">
        <v>3145</v>
      </c>
      <c r="N210" s="1462" t="s">
        <v>1307</v>
      </c>
      <c r="O210" s="1462" t="s">
        <v>3148</v>
      </c>
      <c r="P210" s="1462" t="s">
        <v>1307</v>
      </c>
      <c r="Q210" s="1462" t="s">
        <v>3150</v>
      </c>
      <c r="R210" s="1462"/>
      <c r="S210" s="1462" t="str">
        <f t="shared" si="70"/>
        <v>石綿_措置予定_有_和暦年</v>
      </c>
      <c r="T210" s="1462"/>
      <c r="U210" s="1469" t="s">
        <v>3152</v>
      </c>
      <c r="V210" s="1470" t="s">
        <v>1377</v>
      </c>
      <c r="W210" s="1471" t="s">
        <v>1366</v>
      </c>
      <c r="X210" s="1470" t="s">
        <v>705</v>
      </c>
      <c r="Y210" s="1473" t="s">
        <v>1366</v>
      </c>
      <c r="Z210" s="1474" t="s">
        <v>1378</v>
      </c>
      <c r="AA210" s="1473" t="s">
        <v>1366</v>
      </c>
      <c r="AB210" s="1470" t="s">
        <v>3158</v>
      </c>
      <c r="AC210" s="1475"/>
      <c r="AD210" s="1476"/>
      <c r="AE210" s="1477"/>
      <c r="AF210" s="1477"/>
      <c r="AG210" s="1457" t="str">
        <f t="shared" si="71"/>
        <v>15石綿を添加した建築材料の調査状況-措置予定-改善予定年月-和暦年</v>
      </c>
      <c r="AI210" s="1459"/>
      <c r="AJ210" s="1459"/>
      <c r="AK210" s="1459"/>
    </row>
    <row r="211" spans="1:37" s="1457" customFormat="1" ht="18.75" customHeight="1" x14ac:dyDescent="0.15">
      <c r="A211" s="1581"/>
      <c r="B211" s="1536" t="s">
        <v>2928</v>
      </c>
      <c r="C211" s="1462">
        <v>2</v>
      </c>
      <c r="D211" s="1650" t="str">
        <f>'1_入力シート【基本情報】'!EG237</f>
        <v/>
      </c>
      <c r="E211" s="1650" t="str">
        <f t="shared" si="72"/>
        <v/>
      </c>
      <c r="F211" s="1650" t="str">
        <f t="shared" si="73"/>
        <v/>
      </c>
      <c r="G211" s="1650" t="str">
        <f t="shared" si="74"/>
        <v/>
      </c>
      <c r="H211" s="1468"/>
      <c r="I211" s="1660"/>
      <c r="J211" s="1531"/>
      <c r="K211" s="1462" t="s">
        <v>3139</v>
      </c>
      <c r="L211" s="1462" t="s">
        <v>1307</v>
      </c>
      <c r="M211" s="1493" t="s">
        <v>3145</v>
      </c>
      <c r="N211" s="1462" t="s">
        <v>1307</v>
      </c>
      <c r="O211" s="1462" t="s">
        <v>3148</v>
      </c>
      <c r="P211" s="1462" t="s">
        <v>1307</v>
      </c>
      <c r="Q211" s="1462" t="s">
        <v>3151</v>
      </c>
      <c r="R211" s="1462"/>
      <c r="S211" s="1462" t="str">
        <f t="shared" si="70"/>
        <v>石綿_措置予定_有_月</v>
      </c>
      <c r="T211" s="1462"/>
      <c r="U211" s="1469" t="s">
        <v>3152</v>
      </c>
      <c r="V211" s="1470" t="s">
        <v>1377</v>
      </c>
      <c r="W211" s="1471" t="s">
        <v>1366</v>
      </c>
      <c r="X211" s="1470" t="s">
        <v>705</v>
      </c>
      <c r="Y211" s="1473" t="s">
        <v>1366</v>
      </c>
      <c r="Z211" s="1474" t="s">
        <v>1378</v>
      </c>
      <c r="AA211" s="1473" t="s">
        <v>1366</v>
      </c>
      <c r="AB211" s="1470" t="s">
        <v>3151</v>
      </c>
      <c r="AC211" s="1475"/>
      <c r="AD211" s="1476"/>
      <c r="AE211" s="1477"/>
      <c r="AF211" s="1477"/>
      <c r="AG211" s="1457" t="str">
        <f>CONCATENATE(U211,V211,W211,X211,Y211,Z211,AA211,AB211,AC211,AD211)</f>
        <v>15石綿を添加した建築材料の調査状況-措置予定-改善予定年月-月</v>
      </c>
      <c r="AI211" s="1459"/>
      <c r="AJ211" s="1459"/>
      <c r="AK211" s="1459"/>
    </row>
    <row r="212" spans="1:37" s="1457" customFormat="1" ht="18.75" customHeight="1" x14ac:dyDescent="0.15">
      <c r="A212" s="1578"/>
      <c r="B212" s="1536" t="s">
        <v>2928</v>
      </c>
      <c r="C212" s="1462">
        <v>2</v>
      </c>
      <c r="D212" s="1650" t="str">
        <f>'1_入力シート【基本情報】'!EB244</f>
        <v/>
      </c>
      <c r="E212" s="1650" t="str">
        <f t="shared" ref="E212:E223" si="75">D212</f>
        <v/>
      </c>
      <c r="F212" s="1650" t="str">
        <f t="shared" ref="F212:F223" si="76">SUBSTITUTE(E212,CHAR(10),"")</f>
        <v/>
      </c>
      <c r="G212" s="1650" t="str">
        <f t="shared" ref="G212:G223" si="77">TRIM(F212)</f>
        <v/>
      </c>
      <c r="H212" s="1468"/>
      <c r="I212" s="1644"/>
      <c r="J212" s="1531"/>
      <c r="K212" s="1462" t="s">
        <v>3171</v>
      </c>
      <c r="L212" s="1462"/>
      <c r="M212" s="1493" t="s">
        <v>3172</v>
      </c>
      <c r="N212" s="1462"/>
      <c r="O212" s="1462"/>
      <c r="P212" s="1462"/>
      <c r="Q212" s="1462"/>
      <c r="R212" s="1462"/>
      <c r="S212" s="1462" t="str">
        <f t="shared" si="70"/>
        <v>耐震診断[有]</v>
      </c>
      <c r="T212" s="1462"/>
      <c r="U212" s="1469" t="s">
        <v>3180</v>
      </c>
      <c r="V212" s="1470" t="s">
        <v>1381</v>
      </c>
      <c r="W212" s="1471" t="s">
        <v>1366</v>
      </c>
      <c r="X212" s="1470" t="s">
        <v>3171</v>
      </c>
      <c r="Y212" s="1473" t="s">
        <v>1366</v>
      </c>
      <c r="Z212" s="1474" t="s">
        <v>3148</v>
      </c>
      <c r="AA212" s="1505"/>
      <c r="AB212" s="1470"/>
      <c r="AC212" s="1475"/>
      <c r="AD212" s="1476"/>
      <c r="AE212" s="1477"/>
      <c r="AF212" s="1477"/>
      <c r="AG212" s="1457" t="str">
        <f t="shared" ref="AG212:AG223" si="78">CONCATENATE(U212,V212,W212,X212,Y212,Z212,AA212,AB212,AC212,AD212)</f>
        <v>16耐震診断及び耐震改修の調査状況-耐震診断-有</v>
      </c>
      <c r="AI212" s="1459"/>
      <c r="AJ212" s="1459"/>
      <c r="AK212" s="1459"/>
    </row>
    <row r="213" spans="1:37" s="1457" customFormat="1" ht="18.75" customHeight="1" x14ac:dyDescent="0.15">
      <c r="A213" s="1578"/>
      <c r="B213" s="1536" t="s">
        <v>2928</v>
      </c>
      <c r="C213" s="1462">
        <v>2</v>
      </c>
      <c r="D213" s="1650" t="str">
        <f>'1_入力シート【基本情報】'!EB245</f>
        <v/>
      </c>
      <c r="E213" s="1650" t="str">
        <f t="shared" si="75"/>
        <v/>
      </c>
      <c r="F213" s="1650" t="str">
        <f t="shared" si="76"/>
        <v/>
      </c>
      <c r="G213" s="1650" t="str">
        <f t="shared" si="77"/>
        <v/>
      </c>
      <c r="H213" s="1468"/>
      <c r="I213" s="1644"/>
      <c r="J213" s="1531"/>
      <c r="K213" s="1462" t="s">
        <v>3171</v>
      </c>
      <c r="L213" s="1462"/>
      <c r="M213" s="1493" t="s">
        <v>3142</v>
      </c>
      <c r="N213" s="1462"/>
      <c r="O213" s="1462"/>
      <c r="P213" s="1462"/>
      <c r="Q213" s="1462"/>
      <c r="R213" s="1462"/>
      <c r="S213" s="1462" t="str">
        <f t="shared" si="70"/>
        <v>耐震診断[無]</v>
      </c>
      <c r="T213" s="1462"/>
      <c r="U213" s="1469" t="s">
        <v>3180</v>
      </c>
      <c r="V213" s="1470" t="s">
        <v>1381</v>
      </c>
      <c r="W213" s="1471" t="s">
        <v>1366</v>
      </c>
      <c r="X213" s="1470" t="s">
        <v>3171</v>
      </c>
      <c r="Y213" s="1473" t="s">
        <v>1366</v>
      </c>
      <c r="Z213" s="1474" t="s">
        <v>3155</v>
      </c>
      <c r="AA213" s="1505"/>
      <c r="AB213" s="1470"/>
      <c r="AC213" s="1475"/>
      <c r="AD213" s="1476"/>
      <c r="AE213" s="1477"/>
      <c r="AF213" s="1477"/>
      <c r="AG213" s="1457" t="str">
        <f t="shared" si="78"/>
        <v>16耐震診断及び耐震改修の調査状況-耐震診断-無</v>
      </c>
      <c r="AI213" s="1459"/>
      <c r="AJ213" s="1459"/>
      <c r="AK213" s="1459"/>
    </row>
    <row r="214" spans="1:37" s="1457" customFormat="1" ht="18.75" customHeight="1" x14ac:dyDescent="0.15">
      <c r="A214" s="1578"/>
      <c r="B214" s="1536" t="s">
        <v>2928</v>
      </c>
      <c r="C214" s="1462">
        <v>2</v>
      </c>
      <c r="D214" s="1650" t="str">
        <f>'1_入力シート【基本情報】'!EB246</f>
        <v/>
      </c>
      <c r="E214" s="1650" t="str">
        <f t="shared" si="75"/>
        <v/>
      </c>
      <c r="F214" s="1650" t="str">
        <f t="shared" si="76"/>
        <v/>
      </c>
      <c r="G214" s="1650" t="str">
        <f t="shared" si="77"/>
        <v/>
      </c>
      <c r="H214" s="1468"/>
      <c r="I214" s="1644"/>
      <c r="J214" s="1531"/>
      <c r="K214" s="1462" t="s">
        <v>3171</v>
      </c>
      <c r="L214" s="1462"/>
      <c r="M214" s="1493" t="s">
        <v>3173</v>
      </c>
      <c r="N214" s="1462"/>
      <c r="O214" s="1462"/>
      <c r="P214" s="1462"/>
      <c r="Q214" s="1462"/>
      <c r="R214" s="1462"/>
      <c r="S214" s="1462" t="str">
        <f t="shared" si="70"/>
        <v>耐震診断[対象外]</v>
      </c>
      <c r="T214" s="1462"/>
      <c r="U214" s="1469" t="s">
        <v>3180</v>
      </c>
      <c r="V214" s="1470" t="s">
        <v>1381</v>
      </c>
      <c r="W214" s="1471" t="s">
        <v>1366</v>
      </c>
      <c r="X214" s="1470" t="s">
        <v>3171</v>
      </c>
      <c r="Y214" s="1473" t="s">
        <v>1366</v>
      </c>
      <c r="Z214" s="1474" t="s">
        <v>3181</v>
      </c>
      <c r="AA214" s="1505"/>
      <c r="AB214" s="1470"/>
      <c r="AC214" s="1475"/>
      <c r="AD214" s="1476"/>
      <c r="AE214" s="1477"/>
      <c r="AF214" s="1477"/>
      <c r="AG214" s="1457" t="str">
        <f t="shared" si="78"/>
        <v>16耐震診断及び耐震改修の調査状況-耐震診断-対象外</v>
      </c>
      <c r="AI214" s="1459"/>
      <c r="AJ214" s="1459"/>
      <c r="AK214" s="1459"/>
    </row>
    <row r="215" spans="1:37" s="1457" customFormat="1" ht="18.75" customHeight="1" x14ac:dyDescent="0.15">
      <c r="A215" s="1578"/>
      <c r="B215" s="1536" t="s">
        <v>2928</v>
      </c>
      <c r="C215" s="1462">
        <v>2</v>
      </c>
      <c r="D215" s="1650" t="str">
        <f>'1_入力シート【基本情報】'!EE244</f>
        <v/>
      </c>
      <c r="E215" s="1650" t="str">
        <f t="shared" si="75"/>
        <v/>
      </c>
      <c r="F215" s="1650" t="str">
        <f t="shared" si="76"/>
        <v/>
      </c>
      <c r="G215" s="1650" t="str">
        <f t="shared" si="77"/>
        <v/>
      </c>
      <c r="H215" s="1468"/>
      <c r="I215" s="1644"/>
      <c r="J215" s="1531"/>
      <c r="K215" s="1462" t="s">
        <v>3171</v>
      </c>
      <c r="L215" s="1462" t="s">
        <v>1307</v>
      </c>
      <c r="M215" s="1493" t="s">
        <v>3174</v>
      </c>
      <c r="N215" s="1462" t="s">
        <v>1307</v>
      </c>
      <c r="O215" s="1462" t="s">
        <v>3149</v>
      </c>
      <c r="P215" s="1462"/>
      <c r="Q215" s="1462"/>
      <c r="R215" s="1462"/>
      <c r="S215" s="1462" t="str">
        <f t="shared" si="70"/>
        <v>耐震診断_実施_元号</v>
      </c>
      <c r="T215" s="1462"/>
      <c r="U215" s="1469" t="s">
        <v>3180</v>
      </c>
      <c r="V215" s="1470" t="s">
        <v>1381</v>
      </c>
      <c r="W215" s="1471" t="s">
        <v>1366</v>
      </c>
      <c r="X215" s="1470" t="s">
        <v>3171</v>
      </c>
      <c r="Y215" s="1473" t="s">
        <v>1366</v>
      </c>
      <c r="Z215" s="1474" t="s">
        <v>3182</v>
      </c>
      <c r="AA215" s="1473" t="s">
        <v>1366</v>
      </c>
      <c r="AB215" s="1470" t="s">
        <v>3149</v>
      </c>
      <c r="AC215" s="1475"/>
      <c r="AD215" s="1476"/>
      <c r="AE215" s="1477"/>
      <c r="AF215" s="1477"/>
      <c r="AG215" s="1457" t="str">
        <f t="shared" si="78"/>
        <v>16耐震診断及び耐震改修の調査状況-耐震診断-実施年月-元号</v>
      </c>
      <c r="AI215" s="1459"/>
      <c r="AJ215" s="1459"/>
      <c r="AK215" s="1459"/>
    </row>
    <row r="216" spans="1:37" s="1457" customFormat="1" ht="18.75" customHeight="1" x14ac:dyDescent="0.15">
      <c r="A216" s="1578"/>
      <c r="B216" s="1536" t="s">
        <v>2928</v>
      </c>
      <c r="C216" s="1462">
        <v>2</v>
      </c>
      <c r="D216" s="1650" t="str">
        <f>'1_入力シート【基本情報】'!EF244</f>
        <v/>
      </c>
      <c r="E216" s="1650" t="str">
        <f t="shared" si="75"/>
        <v/>
      </c>
      <c r="F216" s="1650" t="str">
        <f t="shared" si="76"/>
        <v/>
      </c>
      <c r="G216" s="1650" t="str">
        <f t="shared" si="77"/>
        <v/>
      </c>
      <c r="H216" s="1468"/>
      <c r="I216" s="1644"/>
      <c r="J216" s="1531"/>
      <c r="K216" s="1462" t="s">
        <v>3171</v>
      </c>
      <c r="L216" s="1462" t="s">
        <v>1307</v>
      </c>
      <c r="M216" s="1493" t="s">
        <v>3174</v>
      </c>
      <c r="N216" s="1462" t="s">
        <v>1307</v>
      </c>
      <c r="O216" s="1462" t="s">
        <v>3150</v>
      </c>
      <c r="P216" s="1462"/>
      <c r="Q216" s="1462"/>
      <c r="R216" s="1462"/>
      <c r="S216" s="1462" t="str">
        <f t="shared" si="70"/>
        <v>耐震診断_実施_和暦年</v>
      </c>
      <c r="T216" s="1462"/>
      <c r="U216" s="1469" t="s">
        <v>3180</v>
      </c>
      <c r="V216" s="1470" t="s">
        <v>1381</v>
      </c>
      <c r="W216" s="1471" t="s">
        <v>1366</v>
      </c>
      <c r="X216" s="1470" t="s">
        <v>3171</v>
      </c>
      <c r="Y216" s="1473" t="s">
        <v>1366</v>
      </c>
      <c r="Z216" s="1474" t="s">
        <v>3182</v>
      </c>
      <c r="AA216" s="1473" t="s">
        <v>1366</v>
      </c>
      <c r="AB216" s="1470" t="s">
        <v>3158</v>
      </c>
      <c r="AC216" s="1475"/>
      <c r="AD216" s="1476"/>
      <c r="AE216" s="1477"/>
      <c r="AF216" s="1477"/>
      <c r="AG216" s="1457" t="str">
        <f t="shared" si="78"/>
        <v>16耐震診断及び耐震改修の調査状況-耐震診断-実施年月-和暦年</v>
      </c>
      <c r="AI216" s="1459"/>
      <c r="AJ216" s="1459"/>
      <c r="AK216" s="1459"/>
    </row>
    <row r="217" spans="1:37" s="1457" customFormat="1" ht="18.75" customHeight="1" x14ac:dyDescent="0.15">
      <c r="A217" s="1578"/>
      <c r="B217" s="1536" t="s">
        <v>2928</v>
      </c>
      <c r="C217" s="1462">
        <v>2</v>
      </c>
      <c r="D217" s="1650" t="str">
        <f>'1_入力シート【基本情報】'!EG244</f>
        <v/>
      </c>
      <c r="E217" s="1650" t="str">
        <f t="shared" si="75"/>
        <v/>
      </c>
      <c r="F217" s="1650" t="str">
        <f t="shared" si="76"/>
        <v/>
      </c>
      <c r="G217" s="1650" t="str">
        <f t="shared" si="77"/>
        <v/>
      </c>
      <c r="H217" s="1468"/>
      <c r="I217" s="1644"/>
      <c r="J217" s="1531"/>
      <c r="K217" s="1462" t="s">
        <v>3171</v>
      </c>
      <c r="L217" s="1462" t="s">
        <v>1307</v>
      </c>
      <c r="M217" s="1493" t="s">
        <v>3174</v>
      </c>
      <c r="N217" s="1462" t="s">
        <v>1307</v>
      </c>
      <c r="O217" s="1462" t="s">
        <v>3151</v>
      </c>
      <c r="P217" s="1462"/>
      <c r="Q217" s="1462"/>
      <c r="R217" s="1462"/>
      <c r="S217" s="1462" t="str">
        <f t="shared" si="70"/>
        <v>耐震診断_実施_月</v>
      </c>
      <c r="T217" s="1462"/>
      <c r="U217" s="1469" t="s">
        <v>3180</v>
      </c>
      <c r="V217" s="1470" t="s">
        <v>1381</v>
      </c>
      <c r="W217" s="1471" t="s">
        <v>1366</v>
      </c>
      <c r="X217" s="1470" t="s">
        <v>3171</v>
      </c>
      <c r="Y217" s="1473" t="s">
        <v>1366</v>
      </c>
      <c r="Z217" s="1474" t="s">
        <v>3182</v>
      </c>
      <c r="AA217" s="1473" t="s">
        <v>1366</v>
      </c>
      <c r="AB217" s="1470" t="s">
        <v>3151</v>
      </c>
      <c r="AC217" s="1475"/>
      <c r="AD217" s="1476"/>
      <c r="AE217" s="1477"/>
      <c r="AF217" s="1477"/>
      <c r="AG217" s="1457" t="str">
        <f t="shared" si="78"/>
        <v>16耐震診断及び耐震改修の調査状況-耐震診断-実施年月-月</v>
      </c>
      <c r="AI217" s="1459"/>
      <c r="AJ217" s="1459"/>
      <c r="AK217" s="1459"/>
    </row>
    <row r="218" spans="1:37" s="1457" customFormat="1" ht="18.75" customHeight="1" x14ac:dyDescent="0.15">
      <c r="A218" s="1578"/>
      <c r="B218" s="1536" t="s">
        <v>2928</v>
      </c>
      <c r="C218" s="1462">
        <v>2</v>
      </c>
      <c r="D218" s="1650" t="str">
        <f>'1_入力シート【基本情報】'!EJ244</f>
        <v/>
      </c>
      <c r="E218" s="1650" t="str">
        <f t="shared" si="75"/>
        <v/>
      </c>
      <c r="F218" s="1650" t="str">
        <f t="shared" si="76"/>
        <v/>
      </c>
      <c r="G218" s="1650" t="str">
        <f t="shared" si="77"/>
        <v/>
      </c>
      <c r="H218" s="1468"/>
      <c r="I218" s="1644"/>
      <c r="J218" s="1531"/>
      <c r="K218" s="1462" t="s">
        <v>3175</v>
      </c>
      <c r="L218" s="1462"/>
      <c r="M218" s="1493" t="s">
        <v>3172</v>
      </c>
      <c r="N218" s="1462"/>
      <c r="O218" s="1462"/>
      <c r="P218" s="1462"/>
      <c r="Q218" s="1462"/>
      <c r="R218" s="1462"/>
      <c r="S218" s="1462" t="str">
        <f t="shared" si="70"/>
        <v>耐震改修[有]</v>
      </c>
      <c r="T218" s="1462"/>
      <c r="U218" s="1469" t="s">
        <v>3180</v>
      </c>
      <c r="V218" s="1470" t="s">
        <v>1381</v>
      </c>
      <c r="W218" s="1471" t="s">
        <v>1366</v>
      </c>
      <c r="X218" s="1470" t="s">
        <v>3175</v>
      </c>
      <c r="Y218" s="1473" t="s">
        <v>1366</v>
      </c>
      <c r="Z218" s="1474" t="s">
        <v>3148</v>
      </c>
      <c r="AA218" s="1505"/>
      <c r="AB218" s="1470"/>
      <c r="AC218" s="1475"/>
      <c r="AD218" s="1476"/>
      <c r="AE218" s="1477"/>
      <c r="AF218" s="1477"/>
      <c r="AG218" s="1457" t="str">
        <f t="shared" si="78"/>
        <v>16耐震診断及び耐震改修の調査状況-耐震改修-有</v>
      </c>
      <c r="AI218" s="1459"/>
      <c r="AJ218" s="1459"/>
      <c r="AK218" s="1459"/>
    </row>
    <row r="219" spans="1:37" s="1457" customFormat="1" ht="18.75" customHeight="1" x14ac:dyDescent="0.15">
      <c r="A219" s="1578"/>
      <c r="B219" s="1536" t="s">
        <v>2928</v>
      </c>
      <c r="C219" s="1462">
        <v>2</v>
      </c>
      <c r="D219" s="1650" t="str">
        <f>'1_入力シート【基本情報】'!EJ245</f>
        <v/>
      </c>
      <c r="E219" s="1650" t="str">
        <f t="shared" si="75"/>
        <v/>
      </c>
      <c r="F219" s="1650" t="str">
        <f t="shared" si="76"/>
        <v/>
      </c>
      <c r="G219" s="1650" t="str">
        <f t="shared" si="77"/>
        <v/>
      </c>
      <c r="H219" s="1468"/>
      <c r="I219" s="1644"/>
      <c r="J219" s="1531"/>
      <c r="K219" s="1462" t="s">
        <v>3175</v>
      </c>
      <c r="L219" s="1462"/>
      <c r="M219" s="1493" t="s">
        <v>3142</v>
      </c>
      <c r="N219" s="1462"/>
      <c r="O219" s="1462"/>
      <c r="P219" s="1462"/>
      <c r="Q219" s="1462"/>
      <c r="R219" s="1462"/>
      <c r="S219" s="1462" t="str">
        <f t="shared" si="70"/>
        <v>耐震改修[無]</v>
      </c>
      <c r="T219" s="1462"/>
      <c r="U219" s="1469" t="s">
        <v>3180</v>
      </c>
      <c r="V219" s="1470" t="s">
        <v>1381</v>
      </c>
      <c r="W219" s="1471" t="s">
        <v>1366</v>
      </c>
      <c r="X219" s="1470" t="s">
        <v>3175</v>
      </c>
      <c r="Y219" s="1473" t="s">
        <v>1366</v>
      </c>
      <c r="Z219" s="1474" t="s">
        <v>3155</v>
      </c>
      <c r="AA219" s="1505"/>
      <c r="AB219" s="1470"/>
      <c r="AC219" s="1475"/>
      <c r="AD219" s="1476"/>
      <c r="AE219" s="1477"/>
      <c r="AF219" s="1477"/>
      <c r="AG219" s="1457" t="str">
        <f t="shared" si="78"/>
        <v>16耐震診断及び耐震改修の調査状況-耐震改修-無</v>
      </c>
      <c r="AI219" s="1459"/>
      <c r="AJ219" s="1459"/>
      <c r="AK219" s="1459"/>
    </row>
    <row r="220" spans="1:37" s="1457" customFormat="1" ht="18.75" customHeight="1" x14ac:dyDescent="0.15">
      <c r="A220" s="1578"/>
      <c r="B220" s="1536" t="s">
        <v>2928</v>
      </c>
      <c r="C220" s="1462">
        <v>2</v>
      </c>
      <c r="D220" s="1650" t="str">
        <f>'1_入力シート【基本情報】'!EJ246</f>
        <v/>
      </c>
      <c r="E220" s="1650" t="str">
        <f t="shared" si="75"/>
        <v/>
      </c>
      <c r="F220" s="1650" t="str">
        <f t="shared" si="76"/>
        <v/>
      </c>
      <c r="G220" s="1650" t="str">
        <f t="shared" si="77"/>
        <v/>
      </c>
      <c r="H220" s="1468"/>
      <c r="I220" s="1644"/>
      <c r="J220" s="1531"/>
      <c r="K220" s="1462" t="s">
        <v>3175</v>
      </c>
      <c r="L220" s="1462"/>
      <c r="M220" s="1493" t="s">
        <v>3173</v>
      </c>
      <c r="N220" s="1462"/>
      <c r="O220" s="1462"/>
      <c r="P220" s="1462"/>
      <c r="Q220" s="1462"/>
      <c r="R220" s="1462"/>
      <c r="S220" s="1462" t="str">
        <f t="shared" si="70"/>
        <v>耐震改修[対象外]</v>
      </c>
      <c r="T220" s="1462"/>
      <c r="U220" s="1469" t="s">
        <v>3180</v>
      </c>
      <c r="V220" s="1470" t="s">
        <v>1381</v>
      </c>
      <c r="W220" s="1471" t="s">
        <v>1366</v>
      </c>
      <c r="X220" s="1470" t="s">
        <v>3175</v>
      </c>
      <c r="Y220" s="1473" t="s">
        <v>1366</v>
      </c>
      <c r="Z220" s="1474" t="s">
        <v>3181</v>
      </c>
      <c r="AA220" s="1505"/>
      <c r="AB220" s="1470"/>
      <c r="AC220" s="1475"/>
      <c r="AD220" s="1476"/>
      <c r="AE220" s="1477"/>
      <c r="AF220" s="1477"/>
      <c r="AG220" s="1457" t="str">
        <f t="shared" si="78"/>
        <v>16耐震診断及び耐震改修の調査状況-耐震改修-対象外</v>
      </c>
      <c r="AI220" s="1459"/>
      <c r="AJ220" s="1459"/>
      <c r="AK220" s="1459"/>
    </row>
    <row r="221" spans="1:37" s="1457" customFormat="1" ht="18.75" customHeight="1" x14ac:dyDescent="0.15">
      <c r="A221" s="1578"/>
      <c r="B221" s="1536" t="s">
        <v>2928</v>
      </c>
      <c r="C221" s="1462">
        <v>2</v>
      </c>
      <c r="D221" s="1650" t="str">
        <f>'1_入力シート【基本情報】'!EN244</f>
        <v/>
      </c>
      <c r="E221" s="1650" t="str">
        <f t="shared" si="75"/>
        <v/>
      </c>
      <c r="F221" s="1650" t="str">
        <f t="shared" si="76"/>
        <v/>
      </c>
      <c r="G221" s="1650" t="str">
        <f t="shared" si="77"/>
        <v/>
      </c>
      <c r="H221" s="1468"/>
      <c r="I221" s="1644"/>
      <c r="J221" s="1531"/>
      <c r="K221" s="1462" t="s">
        <v>3175</v>
      </c>
      <c r="L221" s="1462" t="s">
        <v>1307</v>
      </c>
      <c r="M221" s="1493" t="s">
        <v>3174</v>
      </c>
      <c r="N221" s="1462" t="s">
        <v>1307</v>
      </c>
      <c r="O221" s="1462" t="s">
        <v>3149</v>
      </c>
      <c r="P221" s="1462"/>
      <c r="Q221" s="1462"/>
      <c r="R221" s="1462"/>
      <c r="S221" s="1462" t="str">
        <f t="shared" si="70"/>
        <v>耐震改修_実施_元号</v>
      </c>
      <c r="T221" s="1462"/>
      <c r="U221" s="1469" t="s">
        <v>3180</v>
      </c>
      <c r="V221" s="1470" t="s">
        <v>1381</v>
      </c>
      <c r="W221" s="1471" t="s">
        <v>1366</v>
      </c>
      <c r="X221" s="1470" t="s">
        <v>3175</v>
      </c>
      <c r="Y221" s="1473" t="s">
        <v>1366</v>
      </c>
      <c r="Z221" s="1474" t="s">
        <v>3183</v>
      </c>
      <c r="AA221" s="1473" t="s">
        <v>1366</v>
      </c>
      <c r="AB221" s="1470" t="s">
        <v>3149</v>
      </c>
      <c r="AC221" s="1475"/>
      <c r="AD221" s="1476"/>
      <c r="AE221" s="1477"/>
      <c r="AF221" s="1477"/>
      <c r="AG221" s="1457" t="str">
        <f t="shared" si="78"/>
        <v>16耐震診断及び耐震改修の調査状況-耐震改修-実施年月-元号</v>
      </c>
      <c r="AI221" s="1459"/>
      <c r="AJ221" s="1459"/>
      <c r="AK221" s="1459"/>
    </row>
    <row r="222" spans="1:37" s="1457" customFormat="1" ht="18.75" customHeight="1" x14ac:dyDescent="0.15">
      <c r="A222" s="1578"/>
      <c r="B222" s="1536" t="s">
        <v>2928</v>
      </c>
      <c r="C222" s="1462">
        <v>2</v>
      </c>
      <c r="D222" s="1650" t="str">
        <f>'1_入力シート【基本情報】'!EO244</f>
        <v/>
      </c>
      <c r="E222" s="1650" t="str">
        <f t="shared" si="75"/>
        <v/>
      </c>
      <c r="F222" s="1650" t="str">
        <f t="shared" si="76"/>
        <v/>
      </c>
      <c r="G222" s="1650" t="str">
        <f t="shared" si="77"/>
        <v/>
      </c>
      <c r="H222" s="1468"/>
      <c r="I222" s="1644"/>
      <c r="J222" s="1531"/>
      <c r="K222" s="1462" t="s">
        <v>3175</v>
      </c>
      <c r="L222" s="1462" t="s">
        <v>1307</v>
      </c>
      <c r="M222" s="1493" t="s">
        <v>3174</v>
      </c>
      <c r="N222" s="1462" t="s">
        <v>1307</v>
      </c>
      <c r="O222" s="1462" t="s">
        <v>3150</v>
      </c>
      <c r="P222" s="1462"/>
      <c r="Q222" s="1462"/>
      <c r="R222" s="1462"/>
      <c r="S222" s="1462" t="str">
        <f t="shared" si="70"/>
        <v>耐震改修_実施_和暦年</v>
      </c>
      <c r="T222" s="1462"/>
      <c r="U222" s="1469" t="s">
        <v>3180</v>
      </c>
      <c r="V222" s="1470" t="s">
        <v>1381</v>
      </c>
      <c r="W222" s="1471" t="s">
        <v>1366</v>
      </c>
      <c r="X222" s="1470" t="s">
        <v>3175</v>
      </c>
      <c r="Y222" s="1473" t="s">
        <v>1366</v>
      </c>
      <c r="Z222" s="1474" t="s">
        <v>3183</v>
      </c>
      <c r="AA222" s="1473" t="s">
        <v>1366</v>
      </c>
      <c r="AB222" s="1470" t="s">
        <v>3158</v>
      </c>
      <c r="AC222" s="1475"/>
      <c r="AD222" s="1476"/>
      <c r="AE222" s="1477"/>
      <c r="AF222" s="1477"/>
      <c r="AG222" s="1457" t="str">
        <f t="shared" si="78"/>
        <v>16耐震診断及び耐震改修の調査状況-耐震改修-実施年月-和暦年</v>
      </c>
      <c r="AI222" s="1459"/>
      <c r="AJ222" s="1459"/>
      <c r="AK222" s="1459"/>
    </row>
    <row r="223" spans="1:37" s="1457" customFormat="1" ht="18.75" customHeight="1" x14ac:dyDescent="0.15">
      <c r="A223" s="1578"/>
      <c r="B223" s="1536" t="s">
        <v>2928</v>
      </c>
      <c r="C223" s="1462">
        <v>2</v>
      </c>
      <c r="D223" s="1650" t="str">
        <f>'1_入力シート【基本情報】'!EP244</f>
        <v/>
      </c>
      <c r="E223" s="1650" t="str">
        <f t="shared" si="75"/>
        <v/>
      </c>
      <c r="F223" s="1650" t="str">
        <f t="shared" si="76"/>
        <v/>
      </c>
      <c r="G223" s="1650" t="str">
        <f t="shared" si="77"/>
        <v/>
      </c>
      <c r="H223" s="1468"/>
      <c r="I223" s="1644"/>
      <c r="J223" s="1531"/>
      <c r="K223" s="1462" t="s">
        <v>3175</v>
      </c>
      <c r="L223" s="1462" t="s">
        <v>1307</v>
      </c>
      <c r="M223" s="1493" t="s">
        <v>3174</v>
      </c>
      <c r="N223" s="1462" t="s">
        <v>1307</v>
      </c>
      <c r="O223" s="1462" t="s">
        <v>3151</v>
      </c>
      <c r="P223" s="1462"/>
      <c r="Q223" s="1462"/>
      <c r="R223" s="1462"/>
      <c r="S223" s="1462" t="str">
        <f t="shared" si="70"/>
        <v>耐震改修_実施_月</v>
      </c>
      <c r="T223" s="1462"/>
      <c r="U223" s="1469" t="s">
        <v>3180</v>
      </c>
      <c r="V223" s="1470" t="s">
        <v>1381</v>
      </c>
      <c r="W223" s="1471" t="s">
        <v>1366</v>
      </c>
      <c r="X223" s="1470" t="s">
        <v>3175</v>
      </c>
      <c r="Y223" s="1473" t="s">
        <v>1366</v>
      </c>
      <c r="Z223" s="1474" t="s">
        <v>3183</v>
      </c>
      <c r="AA223" s="1473" t="s">
        <v>1366</v>
      </c>
      <c r="AB223" s="1470" t="s">
        <v>3151</v>
      </c>
      <c r="AC223" s="1475"/>
      <c r="AD223" s="1476"/>
      <c r="AE223" s="1477"/>
      <c r="AF223" s="1477"/>
      <c r="AG223" s="1457" t="str">
        <f t="shared" si="78"/>
        <v>16耐震診断及び耐震改修の調査状況-耐震改修-実施年月-月</v>
      </c>
      <c r="AI223" s="1459"/>
      <c r="AJ223" s="1459"/>
      <c r="AK223" s="1459"/>
    </row>
    <row r="224" spans="1:37" s="1637" customFormat="1" ht="18.75" customHeight="1" x14ac:dyDescent="0.15">
      <c r="A224" s="1578"/>
      <c r="B224" s="1627"/>
      <c r="C224" s="1627">
        <v>1</v>
      </c>
      <c r="D224" s="1672">
        <f>'1_入力シート【基本情報】'!$AB$253</f>
        <v>0</v>
      </c>
      <c r="E224" s="1672">
        <f t="shared" ref="E224:E246" si="79">D224</f>
        <v>0</v>
      </c>
      <c r="F224" s="1672" t="str">
        <f t="shared" ref="F224:F246" si="80">SUBSTITUTE(E224,CHAR(10),"")</f>
        <v>0</v>
      </c>
      <c r="G224" s="1672" t="str">
        <f t="shared" ref="G224:G246" si="81">TRIM(F224)</f>
        <v>0</v>
      </c>
      <c r="H224" s="1628"/>
      <c r="I224" s="1660"/>
      <c r="J224" s="1531"/>
      <c r="K224" s="1627"/>
      <c r="L224" s="1627"/>
      <c r="M224" s="1629"/>
      <c r="N224" s="1627"/>
      <c r="O224" s="1627"/>
      <c r="P224" s="1627"/>
      <c r="Q224" s="1627"/>
      <c r="R224" s="1627"/>
      <c r="S224" s="1627" t="str">
        <f t="shared" si="70"/>
        <v/>
      </c>
      <c r="T224" s="1627"/>
      <c r="U224" s="1630" t="s">
        <v>1382</v>
      </c>
      <c r="V224" s="1631" t="s">
        <v>1383</v>
      </c>
      <c r="W224" s="1632" t="s">
        <v>1306</v>
      </c>
      <c r="X224" s="1631" t="s">
        <v>1384</v>
      </c>
      <c r="Y224" s="1633"/>
      <c r="Z224" s="1640"/>
      <c r="AA224" s="1633"/>
      <c r="AB224" s="1631"/>
      <c r="AC224" s="1634"/>
      <c r="AD224" s="1635"/>
      <c r="AE224" s="1636"/>
      <c r="AF224" s="1636"/>
      <c r="AG224" s="1637" t="str">
        <f t="shared" si="71"/>
        <v>17建築物等に係る不具合等の状況-不具合等</v>
      </c>
      <c r="AI224" s="1636"/>
      <c r="AJ224" s="1636"/>
      <c r="AK224" s="1636"/>
    </row>
    <row r="225" spans="1:37" s="1637" customFormat="1" ht="18.75" customHeight="1" x14ac:dyDescent="0.15">
      <c r="A225" s="1578"/>
      <c r="B225" s="1627"/>
      <c r="C225" s="1627">
        <v>1</v>
      </c>
      <c r="D225" s="1672">
        <f>'1_入力シート【基本情報】'!$AB$254</f>
        <v>0</v>
      </c>
      <c r="E225" s="1672">
        <f t="shared" si="79"/>
        <v>0</v>
      </c>
      <c r="F225" s="1672" t="str">
        <f t="shared" si="80"/>
        <v>0</v>
      </c>
      <c r="G225" s="1672" t="str">
        <f t="shared" si="81"/>
        <v>0</v>
      </c>
      <c r="H225" s="1628"/>
      <c r="I225" s="1660"/>
      <c r="J225" s="1531"/>
      <c r="K225" s="1627"/>
      <c r="L225" s="1627"/>
      <c r="M225" s="1629"/>
      <c r="N225" s="1627"/>
      <c r="O225" s="1627"/>
      <c r="P225" s="1627"/>
      <c r="Q225" s="1627"/>
      <c r="R225" s="1627"/>
      <c r="S225" s="1627" t="str">
        <f t="shared" si="70"/>
        <v/>
      </c>
      <c r="T225" s="1627"/>
      <c r="U225" s="1630" t="s">
        <v>1382</v>
      </c>
      <c r="V225" s="1631" t="s">
        <v>1383</v>
      </c>
      <c r="W225" s="1632" t="s">
        <v>1306</v>
      </c>
      <c r="X225" s="1631" t="s">
        <v>1385</v>
      </c>
      <c r="Y225" s="1633"/>
      <c r="Z225" s="1640"/>
      <c r="AA225" s="1633"/>
      <c r="AB225" s="1631"/>
      <c r="AC225" s="1634"/>
      <c r="AD225" s="1635"/>
      <c r="AE225" s="1636"/>
      <c r="AF225" s="1636"/>
      <c r="AG225" s="1637" t="str">
        <f t="shared" si="71"/>
        <v>17建築物等に係る不具合等の状況-不具合等の記録</v>
      </c>
      <c r="AI225" s="1636"/>
      <c r="AJ225" s="1636"/>
      <c r="AK225" s="1636"/>
    </row>
    <row r="226" spans="1:37" s="1637" customFormat="1" ht="18.75" customHeight="1" x14ac:dyDescent="0.15">
      <c r="A226" s="1578"/>
      <c r="B226" s="1627"/>
      <c r="C226" s="1627">
        <v>1</v>
      </c>
      <c r="D226" s="1672">
        <f>'1_入力シート【基本情報】'!$M$257</f>
        <v>0</v>
      </c>
      <c r="E226" s="1672">
        <f t="shared" si="79"/>
        <v>0</v>
      </c>
      <c r="F226" s="1672" t="str">
        <f t="shared" si="80"/>
        <v>0</v>
      </c>
      <c r="G226" s="1672" t="str">
        <f t="shared" si="81"/>
        <v>0</v>
      </c>
      <c r="H226" s="1628"/>
      <c r="I226" s="1660"/>
      <c r="J226" s="1531"/>
      <c r="K226" s="1627"/>
      <c r="L226" s="1627"/>
      <c r="M226" s="1629"/>
      <c r="N226" s="1627"/>
      <c r="O226" s="1627"/>
      <c r="P226" s="1627"/>
      <c r="Q226" s="1627"/>
      <c r="R226" s="1627"/>
      <c r="S226" s="1627" t="str">
        <f t="shared" si="70"/>
        <v/>
      </c>
      <c r="T226" s="1627"/>
      <c r="U226" s="1630" t="s">
        <v>1382</v>
      </c>
      <c r="V226" s="1631" t="s">
        <v>1383</v>
      </c>
      <c r="W226" s="1632" t="s">
        <v>1306</v>
      </c>
      <c r="X226" s="1631" t="s">
        <v>1386</v>
      </c>
      <c r="Y226" s="1633" t="s">
        <v>1306</v>
      </c>
      <c r="Z226" s="1640" t="s">
        <v>1102</v>
      </c>
      <c r="AA226" s="1633" t="s">
        <v>1307</v>
      </c>
      <c r="AB226" s="1686">
        <v>1</v>
      </c>
      <c r="AC226" s="1634"/>
      <c r="AD226" s="1635"/>
      <c r="AE226" s="1636"/>
      <c r="AF226" s="1636"/>
      <c r="AG226" s="1637" t="str">
        <f t="shared" si="71"/>
        <v>17建築物等に係る不具合等の状況-不具合等を把握した年月-元号_1</v>
      </c>
      <c r="AI226" s="1636"/>
      <c r="AJ226" s="1636"/>
      <c r="AK226" s="1636"/>
    </row>
    <row r="227" spans="1:37" s="1637" customFormat="1" ht="18.75" customHeight="1" x14ac:dyDescent="0.15">
      <c r="A227" s="1578"/>
      <c r="B227" s="1627"/>
      <c r="C227" s="1627">
        <v>1</v>
      </c>
      <c r="D227" s="1672">
        <f>'1_入力シート【基本情報】'!$P$257</f>
        <v>0</v>
      </c>
      <c r="E227" s="1672">
        <f t="shared" si="79"/>
        <v>0</v>
      </c>
      <c r="F227" s="1672" t="str">
        <f t="shared" si="80"/>
        <v>0</v>
      </c>
      <c r="G227" s="1672" t="str">
        <f t="shared" si="81"/>
        <v>0</v>
      </c>
      <c r="H227" s="1628"/>
      <c r="I227" s="1660"/>
      <c r="J227" s="1531"/>
      <c r="K227" s="1627"/>
      <c r="L227" s="1627"/>
      <c r="M227" s="1629"/>
      <c r="N227" s="1627"/>
      <c r="O227" s="1627"/>
      <c r="P227" s="1627"/>
      <c r="Q227" s="1627"/>
      <c r="R227" s="1627"/>
      <c r="S227" s="1627" t="str">
        <f t="shared" si="70"/>
        <v/>
      </c>
      <c r="T227" s="1627"/>
      <c r="U227" s="1630" t="s">
        <v>1382</v>
      </c>
      <c r="V227" s="1631" t="s">
        <v>1383</v>
      </c>
      <c r="W227" s="1632" t="s">
        <v>1306</v>
      </c>
      <c r="X227" s="1631" t="s">
        <v>1386</v>
      </c>
      <c r="Y227" s="1633" t="s">
        <v>1306</v>
      </c>
      <c r="Z227" s="1640" t="s">
        <v>12</v>
      </c>
      <c r="AA227" s="1633" t="s">
        <v>1307</v>
      </c>
      <c r="AB227" s="1686">
        <v>1</v>
      </c>
      <c r="AC227" s="1634"/>
      <c r="AD227" s="1635"/>
      <c r="AE227" s="1636"/>
      <c r="AF227" s="1636"/>
      <c r="AG227" s="1637" t="str">
        <f t="shared" si="71"/>
        <v>17建築物等に係る不具合等の状況-不具合等を把握した年月-年_1</v>
      </c>
      <c r="AI227" s="1636"/>
      <c r="AJ227" s="1636"/>
      <c r="AK227" s="1636"/>
    </row>
    <row r="228" spans="1:37" s="1637" customFormat="1" ht="18.75" customHeight="1" x14ac:dyDescent="0.15">
      <c r="A228" s="1581"/>
      <c r="B228" s="1642"/>
      <c r="C228" s="1627">
        <v>1</v>
      </c>
      <c r="D228" s="1672">
        <f>'1_入力シート【基本情報】'!$S$257</f>
        <v>0</v>
      </c>
      <c r="E228" s="1672">
        <f t="shared" si="79"/>
        <v>0</v>
      </c>
      <c r="F228" s="1672" t="str">
        <f t="shared" si="80"/>
        <v>0</v>
      </c>
      <c r="G228" s="1672" t="str">
        <f t="shared" si="81"/>
        <v>0</v>
      </c>
      <c r="H228" s="1628"/>
      <c r="I228" s="1660"/>
      <c r="J228" s="1531"/>
      <c r="K228" s="1627"/>
      <c r="L228" s="1627"/>
      <c r="M228" s="1629"/>
      <c r="N228" s="1627"/>
      <c r="O228" s="1627"/>
      <c r="P228" s="1627"/>
      <c r="Q228" s="1627"/>
      <c r="R228" s="1627"/>
      <c r="S228" s="1627" t="str">
        <f t="shared" si="70"/>
        <v/>
      </c>
      <c r="T228" s="1627"/>
      <c r="U228" s="1630" t="s">
        <v>1382</v>
      </c>
      <c r="V228" s="1631" t="s">
        <v>1383</v>
      </c>
      <c r="W228" s="1632" t="s">
        <v>1306</v>
      </c>
      <c r="X228" s="1631" t="s">
        <v>1386</v>
      </c>
      <c r="Y228" s="1633" t="s">
        <v>1306</v>
      </c>
      <c r="Z228" s="1640" t="s">
        <v>348</v>
      </c>
      <c r="AA228" s="1633" t="s">
        <v>1307</v>
      </c>
      <c r="AB228" s="1686">
        <v>1</v>
      </c>
      <c r="AC228" s="1634"/>
      <c r="AD228" s="1635"/>
      <c r="AE228" s="1636"/>
      <c r="AF228" s="1636"/>
      <c r="AG228" s="1637" t="str">
        <f t="shared" si="71"/>
        <v>17建築物等に係る不具合等の状況-不具合等を把握した年月-月_1</v>
      </c>
      <c r="AI228" s="1636"/>
      <c r="AJ228" s="1636"/>
      <c r="AK228" s="1636"/>
    </row>
    <row r="229" spans="1:37" s="1637" customFormat="1" ht="18.75" customHeight="1" x14ac:dyDescent="0.15">
      <c r="A229" s="1578"/>
      <c r="B229" s="1627"/>
      <c r="C229" s="1627">
        <v>1</v>
      </c>
      <c r="D229" s="1672">
        <f>'1_入力シート【基本情報】'!$V$257</f>
        <v>0</v>
      </c>
      <c r="E229" s="1672">
        <f t="shared" si="79"/>
        <v>0</v>
      </c>
      <c r="F229" s="1672" t="str">
        <f t="shared" si="80"/>
        <v>0</v>
      </c>
      <c r="G229" s="1672" t="str">
        <f t="shared" si="81"/>
        <v>0</v>
      </c>
      <c r="H229" s="1628"/>
      <c r="I229" s="1660"/>
      <c r="J229" s="1531"/>
      <c r="K229" s="1627"/>
      <c r="L229" s="1627"/>
      <c r="M229" s="1629"/>
      <c r="N229" s="1627"/>
      <c r="O229" s="1627"/>
      <c r="P229" s="1627"/>
      <c r="Q229" s="1627"/>
      <c r="R229" s="1627"/>
      <c r="S229" s="1627" t="str">
        <f t="shared" si="70"/>
        <v/>
      </c>
      <c r="T229" s="1627"/>
      <c r="U229" s="1630" t="s">
        <v>1382</v>
      </c>
      <c r="V229" s="1631" t="s">
        <v>1383</v>
      </c>
      <c r="W229" s="1632" t="s">
        <v>1306</v>
      </c>
      <c r="X229" s="1631" t="s">
        <v>351</v>
      </c>
      <c r="Y229" s="1633" t="s">
        <v>1307</v>
      </c>
      <c r="Z229" s="1762">
        <v>1</v>
      </c>
      <c r="AA229" s="1703"/>
      <c r="AB229" s="1631"/>
      <c r="AC229" s="1634"/>
      <c r="AD229" s="1635"/>
      <c r="AE229" s="1636"/>
      <c r="AF229" s="1636"/>
      <c r="AG229" s="1637" t="str">
        <f t="shared" si="71"/>
        <v>17建築物等に係る不具合等の状況-不具合等の概要_1</v>
      </c>
      <c r="AI229" s="1636"/>
      <c r="AJ229" s="1636"/>
      <c r="AK229" s="1636"/>
    </row>
    <row r="230" spans="1:37" s="1637" customFormat="1" ht="18.75" customHeight="1" x14ac:dyDescent="0.15">
      <c r="A230" s="1581"/>
      <c r="B230" s="1642"/>
      <c r="C230" s="1627">
        <v>1</v>
      </c>
      <c r="D230" s="1672">
        <f>'1_入力シート【基本情報】'!$AH$257</f>
        <v>0</v>
      </c>
      <c r="E230" s="1672">
        <f t="shared" si="79"/>
        <v>0</v>
      </c>
      <c r="F230" s="1672" t="str">
        <f t="shared" si="80"/>
        <v>0</v>
      </c>
      <c r="G230" s="1672" t="str">
        <f t="shared" si="81"/>
        <v>0</v>
      </c>
      <c r="H230" s="1628"/>
      <c r="I230" s="1660"/>
      <c r="J230" s="1531"/>
      <c r="K230" s="1627"/>
      <c r="L230" s="1627"/>
      <c r="M230" s="1629"/>
      <c r="N230" s="1627"/>
      <c r="O230" s="1627"/>
      <c r="P230" s="1627"/>
      <c r="Q230" s="1627"/>
      <c r="R230" s="1627"/>
      <c r="S230" s="1627" t="str">
        <f t="shared" si="70"/>
        <v/>
      </c>
      <c r="T230" s="1627"/>
      <c r="U230" s="1630" t="s">
        <v>1382</v>
      </c>
      <c r="V230" s="1631" t="s">
        <v>1383</v>
      </c>
      <c r="W230" s="1632" t="s">
        <v>1306</v>
      </c>
      <c r="X230" s="1631" t="s">
        <v>1233</v>
      </c>
      <c r="Y230" s="1633" t="s">
        <v>1307</v>
      </c>
      <c r="Z230" s="1762">
        <v>1</v>
      </c>
      <c r="AA230" s="1703"/>
      <c r="AB230" s="1631"/>
      <c r="AC230" s="1634"/>
      <c r="AD230" s="1635"/>
      <c r="AE230" s="1636"/>
      <c r="AF230" s="1636"/>
      <c r="AG230" s="1637" t="str">
        <f t="shared" si="71"/>
        <v>17建築物等に係る不具合等の状況-考えられる要因_1</v>
      </c>
      <c r="AI230" s="1636"/>
      <c r="AJ230" s="1636"/>
      <c r="AK230" s="1636"/>
    </row>
    <row r="231" spans="1:37" s="1637" customFormat="1" ht="18.75" customHeight="1" x14ac:dyDescent="0.15">
      <c r="A231" s="1578"/>
      <c r="B231" s="1627"/>
      <c r="C231" s="1627">
        <v>1</v>
      </c>
      <c r="D231" s="1672">
        <f>'1_入力シート【基本情報】'!$AT$257</f>
        <v>0</v>
      </c>
      <c r="E231" s="1672">
        <f t="shared" si="79"/>
        <v>0</v>
      </c>
      <c r="F231" s="1672" t="str">
        <f t="shared" si="80"/>
        <v>0</v>
      </c>
      <c r="G231" s="1672" t="str">
        <f t="shared" si="81"/>
        <v>0</v>
      </c>
      <c r="H231" s="1628"/>
      <c r="I231" s="1660"/>
      <c r="J231" s="1531"/>
      <c r="K231" s="1627"/>
      <c r="L231" s="1627"/>
      <c r="M231" s="1629"/>
      <c r="N231" s="1627"/>
      <c r="O231" s="1627"/>
      <c r="P231" s="1627"/>
      <c r="Q231" s="1627"/>
      <c r="R231" s="1627"/>
      <c r="S231" s="1627" t="str">
        <f t="shared" si="70"/>
        <v/>
      </c>
      <c r="T231" s="1627"/>
      <c r="U231" s="1630" t="s">
        <v>1382</v>
      </c>
      <c r="V231" s="1631" t="s">
        <v>1383</v>
      </c>
      <c r="W231" s="1632" t="s">
        <v>1306</v>
      </c>
      <c r="X231" s="1631" t="s">
        <v>878</v>
      </c>
      <c r="Y231" s="1633" t="s">
        <v>1307</v>
      </c>
      <c r="Z231" s="1762">
        <v>1</v>
      </c>
      <c r="AA231" s="1633"/>
      <c r="AB231" s="1631"/>
      <c r="AC231" s="1634"/>
      <c r="AD231" s="1635"/>
      <c r="AE231" s="1636"/>
      <c r="AF231" s="1636"/>
      <c r="AG231" s="1637" t="str">
        <f t="shared" si="71"/>
        <v>17建築物等に係る不具合等の状況-改善の状況_1</v>
      </c>
      <c r="AI231" s="1636"/>
      <c r="AJ231" s="1636"/>
      <c r="AK231" s="1636"/>
    </row>
    <row r="232" spans="1:37" s="1637" customFormat="1" ht="18.75" customHeight="1" x14ac:dyDescent="0.15">
      <c r="A232" s="1578"/>
      <c r="B232" s="1627"/>
      <c r="C232" s="1627">
        <v>1</v>
      </c>
      <c r="D232" s="1672">
        <f>'1_入力シート【基本情報】'!$AZ$257</f>
        <v>0</v>
      </c>
      <c r="E232" s="1672">
        <f t="shared" si="79"/>
        <v>0</v>
      </c>
      <c r="F232" s="1672" t="str">
        <f t="shared" si="80"/>
        <v>0</v>
      </c>
      <c r="G232" s="1672" t="str">
        <f t="shared" si="81"/>
        <v>0</v>
      </c>
      <c r="H232" s="1628"/>
      <c r="I232" s="1660"/>
      <c r="J232" s="1531"/>
      <c r="K232" s="1627"/>
      <c r="L232" s="1627"/>
      <c r="M232" s="1629"/>
      <c r="N232" s="1627"/>
      <c r="O232" s="1627"/>
      <c r="P232" s="1627"/>
      <c r="Q232" s="1627"/>
      <c r="R232" s="1627"/>
      <c r="S232" s="1627" t="str">
        <f t="shared" si="70"/>
        <v/>
      </c>
      <c r="T232" s="1627"/>
      <c r="U232" s="1630" t="s">
        <v>1382</v>
      </c>
      <c r="V232" s="1631" t="s">
        <v>1383</v>
      </c>
      <c r="W232" s="1632" t="s">
        <v>1306</v>
      </c>
      <c r="X232" s="1631" t="s">
        <v>352</v>
      </c>
      <c r="Y232" s="1633" t="s">
        <v>1306</v>
      </c>
      <c r="Z232" s="1631" t="s">
        <v>1387</v>
      </c>
      <c r="AA232" s="1633" t="s">
        <v>1307</v>
      </c>
      <c r="AB232" s="1686">
        <v>1</v>
      </c>
      <c r="AC232" s="1634"/>
      <c r="AD232" s="1635"/>
      <c r="AE232" s="1636"/>
      <c r="AF232" s="1636"/>
      <c r="AG232" s="1637" t="str">
        <f t="shared" si="71"/>
        <v>17建築物等に係る不具合等の状況-改善（予定）年月-年（令和）_1</v>
      </c>
      <c r="AI232" s="1636"/>
      <c r="AJ232" s="1636"/>
      <c r="AK232" s="1636"/>
    </row>
    <row r="233" spans="1:37" s="1637" customFormat="1" ht="18.75" customHeight="1" x14ac:dyDescent="0.15">
      <c r="A233" s="1578"/>
      <c r="B233" s="1627"/>
      <c r="C233" s="1627">
        <v>1</v>
      </c>
      <c r="D233" s="1672">
        <f>'1_入力シート【基本情報】'!$BC$257</f>
        <v>0</v>
      </c>
      <c r="E233" s="1672">
        <f t="shared" si="79"/>
        <v>0</v>
      </c>
      <c r="F233" s="1672" t="str">
        <f t="shared" si="80"/>
        <v>0</v>
      </c>
      <c r="G233" s="1672" t="str">
        <f t="shared" si="81"/>
        <v>0</v>
      </c>
      <c r="H233" s="1628"/>
      <c r="I233" s="1660"/>
      <c r="J233" s="1531"/>
      <c r="K233" s="1627"/>
      <c r="L233" s="1627"/>
      <c r="M233" s="1629"/>
      <c r="N233" s="1627"/>
      <c r="O233" s="1627"/>
      <c r="P233" s="1627"/>
      <c r="Q233" s="1627"/>
      <c r="R233" s="1627"/>
      <c r="S233" s="1627" t="str">
        <f t="shared" si="70"/>
        <v/>
      </c>
      <c r="T233" s="1627"/>
      <c r="U233" s="1630" t="s">
        <v>1382</v>
      </c>
      <c r="V233" s="1631" t="s">
        <v>1383</v>
      </c>
      <c r="W233" s="1632" t="s">
        <v>1306</v>
      </c>
      <c r="X233" s="1631" t="s">
        <v>352</v>
      </c>
      <c r="Y233" s="1633" t="s">
        <v>1306</v>
      </c>
      <c r="Z233" s="1640" t="s">
        <v>348</v>
      </c>
      <c r="AA233" s="1633" t="s">
        <v>1307</v>
      </c>
      <c r="AB233" s="1686">
        <v>1</v>
      </c>
      <c r="AC233" s="1634"/>
      <c r="AD233" s="1635"/>
      <c r="AE233" s="1636"/>
      <c r="AF233" s="1636"/>
      <c r="AG233" s="1637" t="str">
        <f t="shared" si="71"/>
        <v>17建築物等に係る不具合等の状況-改善（予定）年月-月_1</v>
      </c>
      <c r="AI233" s="1636"/>
      <c r="AJ233" s="1636"/>
      <c r="AK233" s="1636"/>
    </row>
    <row r="234" spans="1:37" s="1637" customFormat="1" ht="18.75" customHeight="1" x14ac:dyDescent="0.15">
      <c r="A234" s="1578"/>
      <c r="B234" s="1627"/>
      <c r="C234" s="1627">
        <v>1</v>
      </c>
      <c r="D234" s="1672">
        <f>'1_入力シート【基本情報】'!$BF$257</f>
        <v>0</v>
      </c>
      <c r="E234" s="1672">
        <f t="shared" si="79"/>
        <v>0</v>
      </c>
      <c r="F234" s="1672" t="str">
        <f t="shared" si="80"/>
        <v>0</v>
      </c>
      <c r="G234" s="1672" t="str">
        <f t="shared" si="81"/>
        <v>0</v>
      </c>
      <c r="H234" s="1628"/>
      <c r="I234" s="1660"/>
      <c r="J234" s="1531"/>
      <c r="K234" s="1627"/>
      <c r="L234" s="1627"/>
      <c r="M234" s="1629"/>
      <c r="N234" s="1627"/>
      <c r="O234" s="1627"/>
      <c r="P234" s="1627"/>
      <c r="Q234" s="1627"/>
      <c r="R234" s="1627"/>
      <c r="S234" s="1627" t="str">
        <f t="shared" si="70"/>
        <v/>
      </c>
      <c r="T234" s="1627"/>
      <c r="U234" s="1630" t="s">
        <v>1382</v>
      </c>
      <c r="V234" s="1631" t="s">
        <v>1383</v>
      </c>
      <c r="W234" s="1632" t="s">
        <v>1306</v>
      </c>
      <c r="X234" s="1639" t="s">
        <v>1388</v>
      </c>
      <c r="Y234" s="1633" t="s">
        <v>1307</v>
      </c>
      <c r="Z234" s="1762">
        <v>1</v>
      </c>
      <c r="AA234" s="1633"/>
      <c r="AB234" s="1631"/>
      <c r="AC234" s="1634"/>
      <c r="AD234" s="1635"/>
      <c r="AE234" s="1636"/>
      <c r="AF234" s="1636"/>
      <c r="AG234" s="1637" t="str">
        <f t="shared" si="71"/>
        <v>17建築物等に係る不具合等の状況-改善措置の概要等又は改善の予定がない場合は理由_1</v>
      </c>
      <c r="AI234" s="1636"/>
      <c r="AJ234" s="1636"/>
      <c r="AK234" s="1636"/>
    </row>
    <row r="235" spans="1:37" s="1637" customFormat="1" ht="18.75" customHeight="1" x14ac:dyDescent="0.15">
      <c r="A235" s="1578"/>
      <c r="B235" s="1627"/>
      <c r="C235" s="1627">
        <v>1</v>
      </c>
      <c r="D235" s="1672">
        <f>'1_入力シート【基本情報】'!$M$258</f>
        <v>0</v>
      </c>
      <c r="E235" s="1672">
        <f t="shared" si="79"/>
        <v>0</v>
      </c>
      <c r="F235" s="1672" t="str">
        <f t="shared" si="80"/>
        <v>0</v>
      </c>
      <c r="G235" s="1672" t="str">
        <f t="shared" si="81"/>
        <v>0</v>
      </c>
      <c r="H235" s="1628"/>
      <c r="I235" s="1660"/>
      <c r="J235" s="1531"/>
      <c r="K235" s="1627"/>
      <c r="L235" s="1627"/>
      <c r="M235" s="1629"/>
      <c r="N235" s="1627"/>
      <c r="O235" s="1627"/>
      <c r="P235" s="1627"/>
      <c r="Q235" s="1627"/>
      <c r="R235" s="1627"/>
      <c r="S235" s="1627" t="str">
        <f t="shared" si="70"/>
        <v/>
      </c>
      <c r="T235" s="1627"/>
      <c r="U235" s="1630" t="s">
        <v>1382</v>
      </c>
      <c r="V235" s="1631" t="s">
        <v>1383</v>
      </c>
      <c r="W235" s="1632" t="s">
        <v>1306</v>
      </c>
      <c r="X235" s="1631" t="s">
        <v>1386</v>
      </c>
      <c r="Y235" s="1633" t="s">
        <v>1306</v>
      </c>
      <c r="Z235" s="1640" t="s">
        <v>1102</v>
      </c>
      <c r="AA235" s="1633" t="s">
        <v>1307</v>
      </c>
      <c r="AB235" s="1686">
        <v>2</v>
      </c>
      <c r="AC235" s="1634"/>
      <c r="AD235" s="1635"/>
      <c r="AE235" s="1636"/>
      <c r="AF235" s="1636"/>
      <c r="AG235" s="1637" t="str">
        <f t="shared" si="71"/>
        <v>17建築物等に係る不具合等の状況-不具合等を把握した年月-元号_2</v>
      </c>
      <c r="AI235" s="1636"/>
      <c r="AJ235" s="1636"/>
      <c r="AK235" s="1636"/>
    </row>
    <row r="236" spans="1:37" s="1637" customFormat="1" ht="18.75" customHeight="1" x14ac:dyDescent="0.15">
      <c r="A236" s="1578"/>
      <c r="B236" s="1627"/>
      <c r="C236" s="1627">
        <v>1</v>
      </c>
      <c r="D236" s="1672">
        <f>'1_入力シート【基本情報】'!$P$258</f>
        <v>0</v>
      </c>
      <c r="E236" s="1672">
        <f t="shared" si="79"/>
        <v>0</v>
      </c>
      <c r="F236" s="1672" t="str">
        <f t="shared" si="80"/>
        <v>0</v>
      </c>
      <c r="G236" s="1672" t="str">
        <f t="shared" si="81"/>
        <v>0</v>
      </c>
      <c r="H236" s="1628"/>
      <c r="I236" s="1660"/>
      <c r="J236" s="1531"/>
      <c r="K236" s="1627"/>
      <c r="L236" s="1627"/>
      <c r="M236" s="1629"/>
      <c r="N236" s="1627"/>
      <c r="O236" s="1627"/>
      <c r="P236" s="1627"/>
      <c r="Q236" s="1627"/>
      <c r="R236" s="1627"/>
      <c r="S236" s="1627" t="str">
        <f t="shared" si="70"/>
        <v/>
      </c>
      <c r="T236" s="1627"/>
      <c r="U236" s="1630" t="s">
        <v>1382</v>
      </c>
      <c r="V236" s="1631" t="s">
        <v>1383</v>
      </c>
      <c r="W236" s="1632" t="s">
        <v>1306</v>
      </c>
      <c r="X236" s="1631" t="s">
        <v>1386</v>
      </c>
      <c r="Y236" s="1633" t="s">
        <v>1306</v>
      </c>
      <c r="Z236" s="1640" t="s">
        <v>12</v>
      </c>
      <c r="AA236" s="1633" t="s">
        <v>1307</v>
      </c>
      <c r="AB236" s="1686">
        <v>2</v>
      </c>
      <c r="AC236" s="1634"/>
      <c r="AD236" s="1635"/>
      <c r="AE236" s="1636"/>
      <c r="AF236" s="1636"/>
      <c r="AG236" s="1637" t="str">
        <f t="shared" si="71"/>
        <v>17建築物等に係る不具合等の状況-不具合等を把握した年月-年_2</v>
      </c>
      <c r="AI236" s="1636"/>
      <c r="AJ236" s="1636"/>
      <c r="AK236" s="1636"/>
    </row>
    <row r="237" spans="1:37" s="1637" customFormat="1" ht="18.75" customHeight="1" x14ac:dyDescent="0.15">
      <c r="A237" s="1581"/>
      <c r="B237" s="1642"/>
      <c r="C237" s="1627">
        <v>1</v>
      </c>
      <c r="D237" s="1672">
        <f>'1_入力シート【基本情報】'!$S$258</f>
        <v>0</v>
      </c>
      <c r="E237" s="1672">
        <f t="shared" si="79"/>
        <v>0</v>
      </c>
      <c r="F237" s="1672" t="str">
        <f t="shared" si="80"/>
        <v>0</v>
      </c>
      <c r="G237" s="1672" t="str">
        <f t="shared" si="81"/>
        <v>0</v>
      </c>
      <c r="H237" s="1628"/>
      <c r="I237" s="1660"/>
      <c r="J237" s="1531"/>
      <c r="K237" s="1627"/>
      <c r="L237" s="1627"/>
      <c r="M237" s="1629"/>
      <c r="N237" s="1627"/>
      <c r="O237" s="1627"/>
      <c r="P237" s="1627"/>
      <c r="Q237" s="1627"/>
      <c r="R237" s="1627"/>
      <c r="S237" s="1627" t="str">
        <f t="shared" si="70"/>
        <v/>
      </c>
      <c r="T237" s="1627"/>
      <c r="U237" s="1630" t="s">
        <v>1382</v>
      </c>
      <c r="V237" s="1631" t="s">
        <v>1383</v>
      </c>
      <c r="W237" s="1632" t="s">
        <v>1306</v>
      </c>
      <c r="X237" s="1631" t="s">
        <v>1386</v>
      </c>
      <c r="Y237" s="1633" t="s">
        <v>1306</v>
      </c>
      <c r="Z237" s="1640" t="s">
        <v>348</v>
      </c>
      <c r="AA237" s="1633" t="s">
        <v>1307</v>
      </c>
      <c r="AB237" s="1686">
        <v>2</v>
      </c>
      <c r="AC237" s="1634"/>
      <c r="AD237" s="1635"/>
      <c r="AE237" s="1636"/>
      <c r="AF237" s="1636"/>
      <c r="AG237" s="1637" t="str">
        <f t="shared" si="71"/>
        <v>17建築物等に係る不具合等の状況-不具合等を把握した年月-月_2</v>
      </c>
      <c r="AI237" s="1636"/>
      <c r="AJ237" s="1636"/>
      <c r="AK237" s="1636"/>
    </row>
    <row r="238" spans="1:37" s="1637" customFormat="1" ht="18.75" customHeight="1" x14ac:dyDescent="0.15">
      <c r="A238" s="1578"/>
      <c r="B238" s="1627"/>
      <c r="C238" s="1627">
        <v>1</v>
      </c>
      <c r="D238" s="1672">
        <f>'1_入力シート【基本情報】'!$V$258</f>
        <v>0</v>
      </c>
      <c r="E238" s="1672">
        <f t="shared" si="79"/>
        <v>0</v>
      </c>
      <c r="F238" s="1672" t="str">
        <f t="shared" si="80"/>
        <v>0</v>
      </c>
      <c r="G238" s="1672" t="str">
        <f t="shared" si="81"/>
        <v>0</v>
      </c>
      <c r="H238" s="1628"/>
      <c r="I238" s="1660"/>
      <c r="J238" s="1531"/>
      <c r="K238" s="1627"/>
      <c r="L238" s="1627"/>
      <c r="M238" s="1629"/>
      <c r="N238" s="1627"/>
      <c r="O238" s="1627"/>
      <c r="P238" s="1627"/>
      <c r="Q238" s="1627"/>
      <c r="R238" s="1627"/>
      <c r="S238" s="1627" t="str">
        <f t="shared" si="70"/>
        <v/>
      </c>
      <c r="T238" s="1627"/>
      <c r="U238" s="1630" t="s">
        <v>1382</v>
      </c>
      <c r="V238" s="1631" t="s">
        <v>1383</v>
      </c>
      <c r="W238" s="1632" t="s">
        <v>1306</v>
      </c>
      <c r="X238" s="1631" t="s">
        <v>351</v>
      </c>
      <c r="Y238" s="1633" t="s">
        <v>1307</v>
      </c>
      <c r="Z238" s="1762">
        <v>2</v>
      </c>
      <c r="AA238" s="1703"/>
      <c r="AB238" s="1631"/>
      <c r="AC238" s="1634"/>
      <c r="AD238" s="1635"/>
      <c r="AE238" s="1636"/>
      <c r="AF238" s="1636"/>
      <c r="AG238" s="1637" t="str">
        <f t="shared" si="71"/>
        <v>17建築物等に係る不具合等の状況-不具合等の概要_2</v>
      </c>
      <c r="AI238" s="1636"/>
      <c r="AJ238" s="1636"/>
      <c r="AK238" s="1636"/>
    </row>
    <row r="239" spans="1:37" s="1637" customFormat="1" ht="18.75" customHeight="1" x14ac:dyDescent="0.15">
      <c r="A239" s="1581"/>
      <c r="B239" s="1642"/>
      <c r="C239" s="1627">
        <v>1</v>
      </c>
      <c r="D239" s="1672">
        <f>'1_入力シート【基本情報】'!$AH$258</f>
        <v>0</v>
      </c>
      <c r="E239" s="1672">
        <f t="shared" si="79"/>
        <v>0</v>
      </c>
      <c r="F239" s="1672" t="str">
        <f t="shared" si="80"/>
        <v>0</v>
      </c>
      <c r="G239" s="1672" t="str">
        <f t="shared" si="81"/>
        <v>0</v>
      </c>
      <c r="H239" s="1628"/>
      <c r="I239" s="1660"/>
      <c r="J239" s="1531"/>
      <c r="K239" s="1627"/>
      <c r="L239" s="1627"/>
      <c r="M239" s="1629"/>
      <c r="N239" s="1627"/>
      <c r="O239" s="1627"/>
      <c r="P239" s="1627"/>
      <c r="Q239" s="1627"/>
      <c r="R239" s="1627"/>
      <c r="S239" s="1627" t="str">
        <f t="shared" si="70"/>
        <v/>
      </c>
      <c r="T239" s="1627"/>
      <c r="U239" s="1630" t="s">
        <v>1382</v>
      </c>
      <c r="V239" s="1631" t="s">
        <v>1383</v>
      </c>
      <c r="W239" s="1632" t="s">
        <v>1306</v>
      </c>
      <c r="X239" s="1631" t="s">
        <v>1233</v>
      </c>
      <c r="Y239" s="1633" t="s">
        <v>1307</v>
      </c>
      <c r="Z239" s="1762">
        <v>2</v>
      </c>
      <c r="AA239" s="1703"/>
      <c r="AB239" s="1631"/>
      <c r="AC239" s="1634"/>
      <c r="AD239" s="1635"/>
      <c r="AE239" s="1636"/>
      <c r="AF239" s="1636"/>
      <c r="AG239" s="1637" t="str">
        <f t="shared" si="71"/>
        <v>17建築物等に係る不具合等の状況-考えられる要因_2</v>
      </c>
      <c r="AI239" s="1636"/>
      <c r="AJ239" s="1636"/>
      <c r="AK239" s="1636"/>
    </row>
    <row r="240" spans="1:37" s="1637" customFormat="1" ht="18.75" customHeight="1" x14ac:dyDescent="0.15">
      <c r="A240" s="1578"/>
      <c r="B240" s="1627"/>
      <c r="C240" s="1627">
        <v>1</v>
      </c>
      <c r="D240" s="1672">
        <f>'1_入力シート【基本情報】'!$AT$258</f>
        <v>0</v>
      </c>
      <c r="E240" s="1672">
        <f t="shared" si="79"/>
        <v>0</v>
      </c>
      <c r="F240" s="1672" t="str">
        <f t="shared" si="80"/>
        <v>0</v>
      </c>
      <c r="G240" s="1672" t="str">
        <f t="shared" si="81"/>
        <v>0</v>
      </c>
      <c r="H240" s="1628"/>
      <c r="I240" s="1660"/>
      <c r="J240" s="1531"/>
      <c r="K240" s="1627"/>
      <c r="L240" s="1627"/>
      <c r="M240" s="1629"/>
      <c r="N240" s="1627"/>
      <c r="O240" s="1627"/>
      <c r="P240" s="1627"/>
      <c r="Q240" s="1627"/>
      <c r="R240" s="1627"/>
      <c r="S240" s="1627" t="str">
        <f t="shared" si="70"/>
        <v/>
      </c>
      <c r="T240" s="1627"/>
      <c r="U240" s="1630" t="s">
        <v>1382</v>
      </c>
      <c r="V240" s="1631" t="s">
        <v>1383</v>
      </c>
      <c r="W240" s="1632" t="s">
        <v>1306</v>
      </c>
      <c r="X240" s="1631" t="s">
        <v>878</v>
      </c>
      <c r="Y240" s="1633" t="s">
        <v>1307</v>
      </c>
      <c r="Z240" s="1762">
        <v>2</v>
      </c>
      <c r="AA240" s="1633"/>
      <c r="AB240" s="1631"/>
      <c r="AC240" s="1634"/>
      <c r="AD240" s="1635"/>
      <c r="AE240" s="1636"/>
      <c r="AF240" s="1636"/>
      <c r="AG240" s="1637" t="str">
        <f t="shared" si="71"/>
        <v>17建築物等に係る不具合等の状況-改善の状況_2</v>
      </c>
      <c r="AI240" s="1636"/>
      <c r="AJ240" s="1636"/>
      <c r="AK240" s="1636"/>
    </row>
    <row r="241" spans="1:37" s="1637" customFormat="1" ht="18.75" customHeight="1" x14ac:dyDescent="0.15">
      <c r="A241" s="1578"/>
      <c r="B241" s="1627"/>
      <c r="C241" s="1627">
        <v>1</v>
      </c>
      <c r="D241" s="1672">
        <f>'1_入力シート【基本情報】'!$AZ$258</f>
        <v>0</v>
      </c>
      <c r="E241" s="1672">
        <f t="shared" si="79"/>
        <v>0</v>
      </c>
      <c r="F241" s="1672" t="str">
        <f t="shared" si="80"/>
        <v>0</v>
      </c>
      <c r="G241" s="1672" t="str">
        <f t="shared" si="81"/>
        <v>0</v>
      </c>
      <c r="H241" s="1628"/>
      <c r="I241" s="1660"/>
      <c r="J241" s="1531"/>
      <c r="K241" s="1627"/>
      <c r="L241" s="1627"/>
      <c r="M241" s="1629"/>
      <c r="N241" s="1627"/>
      <c r="O241" s="1627"/>
      <c r="P241" s="1627"/>
      <c r="Q241" s="1627"/>
      <c r="R241" s="1627"/>
      <c r="S241" s="1627" t="str">
        <f t="shared" si="70"/>
        <v/>
      </c>
      <c r="T241" s="1627"/>
      <c r="U241" s="1630" t="s">
        <v>1382</v>
      </c>
      <c r="V241" s="1631" t="s">
        <v>1383</v>
      </c>
      <c r="W241" s="1632" t="s">
        <v>1306</v>
      </c>
      <c r="X241" s="1631" t="s">
        <v>352</v>
      </c>
      <c r="Y241" s="1633" t="s">
        <v>1306</v>
      </c>
      <c r="Z241" s="1631" t="s">
        <v>1387</v>
      </c>
      <c r="AA241" s="1633" t="s">
        <v>1307</v>
      </c>
      <c r="AB241" s="1686">
        <v>2</v>
      </c>
      <c r="AC241" s="1634"/>
      <c r="AD241" s="1635"/>
      <c r="AE241" s="1636"/>
      <c r="AF241" s="1636"/>
      <c r="AG241" s="1637" t="str">
        <f t="shared" si="71"/>
        <v>17建築物等に係る不具合等の状況-改善（予定）年月-年（令和）_2</v>
      </c>
      <c r="AI241" s="1636"/>
      <c r="AJ241" s="1636"/>
      <c r="AK241" s="1636"/>
    </row>
    <row r="242" spans="1:37" s="1637" customFormat="1" ht="18.75" customHeight="1" x14ac:dyDescent="0.15">
      <c r="A242" s="1578"/>
      <c r="B242" s="1627"/>
      <c r="C242" s="1627">
        <v>1</v>
      </c>
      <c r="D242" s="1672">
        <f>'1_入力シート【基本情報】'!$BC$258</f>
        <v>0</v>
      </c>
      <c r="E242" s="1672">
        <f t="shared" si="79"/>
        <v>0</v>
      </c>
      <c r="F242" s="1672" t="str">
        <f t="shared" si="80"/>
        <v>0</v>
      </c>
      <c r="G242" s="1672" t="str">
        <f t="shared" si="81"/>
        <v>0</v>
      </c>
      <c r="H242" s="1628"/>
      <c r="I242" s="1660"/>
      <c r="J242" s="1531"/>
      <c r="K242" s="1627"/>
      <c r="L242" s="1627"/>
      <c r="M242" s="1629"/>
      <c r="N242" s="1627"/>
      <c r="O242" s="1627"/>
      <c r="P242" s="1627"/>
      <c r="Q242" s="1627"/>
      <c r="R242" s="1627"/>
      <c r="S242" s="1627" t="str">
        <f t="shared" si="70"/>
        <v/>
      </c>
      <c r="T242" s="1627"/>
      <c r="U242" s="1630" t="s">
        <v>1382</v>
      </c>
      <c r="V242" s="1631" t="s">
        <v>1383</v>
      </c>
      <c r="W242" s="1632" t="s">
        <v>1306</v>
      </c>
      <c r="X242" s="1631" t="s">
        <v>352</v>
      </c>
      <c r="Y242" s="1633" t="s">
        <v>1306</v>
      </c>
      <c r="Z242" s="1640" t="s">
        <v>348</v>
      </c>
      <c r="AA242" s="1633" t="s">
        <v>1307</v>
      </c>
      <c r="AB242" s="1686">
        <v>2</v>
      </c>
      <c r="AC242" s="1634"/>
      <c r="AD242" s="1635"/>
      <c r="AE242" s="1636"/>
      <c r="AF242" s="1636"/>
      <c r="AG242" s="1637" t="str">
        <f t="shared" si="71"/>
        <v>17建築物等に係る不具合等の状況-改善（予定）年月-月_2</v>
      </c>
      <c r="AI242" s="1636"/>
      <c r="AJ242" s="1636"/>
      <c r="AK242" s="1636"/>
    </row>
    <row r="243" spans="1:37" s="1637" customFormat="1" ht="18.75" customHeight="1" x14ac:dyDescent="0.15">
      <c r="A243" s="1578"/>
      <c r="B243" s="1627"/>
      <c r="C243" s="1627">
        <v>1</v>
      </c>
      <c r="D243" s="1672">
        <f>'1_入力シート【基本情報】'!$BF$258</f>
        <v>0</v>
      </c>
      <c r="E243" s="1672">
        <f t="shared" si="79"/>
        <v>0</v>
      </c>
      <c r="F243" s="1672" t="str">
        <f t="shared" si="80"/>
        <v>0</v>
      </c>
      <c r="G243" s="1672" t="str">
        <f t="shared" si="81"/>
        <v>0</v>
      </c>
      <c r="H243" s="1628"/>
      <c r="I243" s="1660"/>
      <c r="J243" s="1531"/>
      <c r="K243" s="1627"/>
      <c r="L243" s="1627"/>
      <c r="M243" s="1629"/>
      <c r="N243" s="1627"/>
      <c r="O243" s="1627"/>
      <c r="P243" s="1627"/>
      <c r="Q243" s="1627"/>
      <c r="R243" s="1627"/>
      <c r="S243" s="1627" t="str">
        <f t="shared" si="70"/>
        <v/>
      </c>
      <c r="T243" s="1627"/>
      <c r="U243" s="1630" t="s">
        <v>1382</v>
      </c>
      <c r="V243" s="1631" t="s">
        <v>1383</v>
      </c>
      <c r="W243" s="1632" t="s">
        <v>1306</v>
      </c>
      <c r="X243" s="1639" t="s">
        <v>1388</v>
      </c>
      <c r="Y243" s="1633" t="s">
        <v>1307</v>
      </c>
      <c r="Z243" s="1762">
        <v>2</v>
      </c>
      <c r="AA243" s="1633"/>
      <c r="AB243" s="1631"/>
      <c r="AC243" s="1634"/>
      <c r="AD243" s="1635"/>
      <c r="AE243" s="1636"/>
      <c r="AF243" s="1636"/>
      <c r="AG243" s="1637" t="str">
        <f t="shared" si="71"/>
        <v>17建築物等に係る不具合等の状況-改善措置の概要等又は改善の予定がない場合は理由_2</v>
      </c>
      <c r="AI243" s="1636"/>
      <c r="AJ243" s="1636"/>
      <c r="AK243" s="1636"/>
    </row>
    <row r="244" spans="1:37" s="1637" customFormat="1" ht="18.75" customHeight="1" x14ac:dyDescent="0.15">
      <c r="A244" s="1578"/>
      <c r="B244" s="1627"/>
      <c r="C244" s="1627">
        <v>1</v>
      </c>
      <c r="D244" s="1672">
        <f>'1_入力シート【基本情報】'!$M$259</f>
        <v>0</v>
      </c>
      <c r="E244" s="1672">
        <f t="shared" si="79"/>
        <v>0</v>
      </c>
      <c r="F244" s="1672" t="str">
        <f t="shared" si="80"/>
        <v>0</v>
      </c>
      <c r="G244" s="1672" t="str">
        <f t="shared" si="81"/>
        <v>0</v>
      </c>
      <c r="H244" s="1628"/>
      <c r="I244" s="1660"/>
      <c r="J244" s="1531"/>
      <c r="K244" s="1627"/>
      <c r="L244" s="1627"/>
      <c r="M244" s="1629"/>
      <c r="N244" s="1627"/>
      <c r="O244" s="1627"/>
      <c r="P244" s="1627"/>
      <c r="Q244" s="1627"/>
      <c r="R244" s="1627"/>
      <c r="S244" s="1627" t="str">
        <f t="shared" si="70"/>
        <v/>
      </c>
      <c r="T244" s="1627"/>
      <c r="U244" s="1630" t="s">
        <v>1382</v>
      </c>
      <c r="V244" s="1631" t="s">
        <v>1383</v>
      </c>
      <c r="W244" s="1632" t="s">
        <v>1306</v>
      </c>
      <c r="X244" s="1631" t="s">
        <v>1386</v>
      </c>
      <c r="Y244" s="1633" t="s">
        <v>1306</v>
      </c>
      <c r="Z244" s="1640" t="s">
        <v>1102</v>
      </c>
      <c r="AA244" s="1633" t="s">
        <v>1307</v>
      </c>
      <c r="AB244" s="1686">
        <v>3</v>
      </c>
      <c r="AC244" s="1634"/>
      <c r="AD244" s="1635"/>
      <c r="AE244" s="1636"/>
      <c r="AF244" s="1636"/>
      <c r="AG244" s="1637" t="str">
        <f t="shared" si="71"/>
        <v>17建築物等に係る不具合等の状況-不具合等を把握した年月-元号_3</v>
      </c>
      <c r="AI244" s="1636"/>
      <c r="AJ244" s="1636"/>
      <c r="AK244" s="1636"/>
    </row>
    <row r="245" spans="1:37" s="1637" customFormat="1" ht="18.75" customHeight="1" x14ac:dyDescent="0.15">
      <c r="A245" s="1578"/>
      <c r="B245" s="1627"/>
      <c r="C245" s="1627">
        <v>1</v>
      </c>
      <c r="D245" s="1672">
        <f>'1_入力シート【基本情報】'!$P$259</f>
        <v>0</v>
      </c>
      <c r="E245" s="1672">
        <f t="shared" si="79"/>
        <v>0</v>
      </c>
      <c r="F245" s="1672" t="str">
        <f t="shared" si="80"/>
        <v>0</v>
      </c>
      <c r="G245" s="1672" t="str">
        <f t="shared" si="81"/>
        <v>0</v>
      </c>
      <c r="H245" s="1628"/>
      <c r="I245" s="1660"/>
      <c r="J245" s="1531"/>
      <c r="K245" s="1627"/>
      <c r="L245" s="1627"/>
      <c r="M245" s="1629"/>
      <c r="N245" s="1627"/>
      <c r="O245" s="1627"/>
      <c r="P245" s="1627"/>
      <c r="Q245" s="1627"/>
      <c r="R245" s="1627"/>
      <c r="S245" s="1627" t="str">
        <f t="shared" si="70"/>
        <v/>
      </c>
      <c r="T245" s="1627"/>
      <c r="U245" s="1630" t="s">
        <v>1382</v>
      </c>
      <c r="V245" s="1631" t="s">
        <v>1383</v>
      </c>
      <c r="W245" s="1632" t="s">
        <v>1306</v>
      </c>
      <c r="X245" s="1631" t="s">
        <v>1386</v>
      </c>
      <c r="Y245" s="1633" t="s">
        <v>1306</v>
      </c>
      <c r="Z245" s="1640" t="s">
        <v>12</v>
      </c>
      <c r="AA245" s="1633" t="s">
        <v>1307</v>
      </c>
      <c r="AB245" s="1686">
        <v>3</v>
      </c>
      <c r="AC245" s="1634"/>
      <c r="AD245" s="1635"/>
      <c r="AE245" s="1636"/>
      <c r="AF245" s="1636"/>
      <c r="AG245" s="1637" t="str">
        <f t="shared" si="71"/>
        <v>17建築物等に係る不具合等の状況-不具合等を把握した年月-年_3</v>
      </c>
      <c r="AI245" s="1636"/>
      <c r="AJ245" s="1636"/>
      <c r="AK245" s="1636"/>
    </row>
    <row r="246" spans="1:37" s="1637" customFormat="1" ht="18.75" customHeight="1" x14ac:dyDescent="0.15">
      <c r="A246" s="1581"/>
      <c r="B246" s="1642"/>
      <c r="C246" s="1627">
        <v>1</v>
      </c>
      <c r="D246" s="1672">
        <f>'1_入力シート【基本情報】'!$S$259</f>
        <v>0</v>
      </c>
      <c r="E246" s="1672">
        <f t="shared" si="79"/>
        <v>0</v>
      </c>
      <c r="F246" s="1672" t="str">
        <f t="shared" si="80"/>
        <v>0</v>
      </c>
      <c r="G246" s="1672" t="str">
        <f t="shared" si="81"/>
        <v>0</v>
      </c>
      <c r="H246" s="1628"/>
      <c r="I246" s="1660"/>
      <c r="J246" s="1531"/>
      <c r="K246" s="1627"/>
      <c r="L246" s="1627"/>
      <c r="M246" s="1629"/>
      <c r="N246" s="1627"/>
      <c r="O246" s="1627"/>
      <c r="P246" s="1627"/>
      <c r="Q246" s="1627"/>
      <c r="R246" s="1627"/>
      <c r="S246" s="1627" t="str">
        <f t="shared" si="70"/>
        <v/>
      </c>
      <c r="T246" s="1627"/>
      <c r="U246" s="1630" t="s">
        <v>1382</v>
      </c>
      <c r="V246" s="1631" t="s">
        <v>1383</v>
      </c>
      <c r="W246" s="1632" t="s">
        <v>1306</v>
      </c>
      <c r="X246" s="1631" t="s">
        <v>1386</v>
      </c>
      <c r="Y246" s="1633" t="s">
        <v>1306</v>
      </c>
      <c r="Z246" s="1640" t="s">
        <v>348</v>
      </c>
      <c r="AA246" s="1633" t="s">
        <v>1307</v>
      </c>
      <c r="AB246" s="1686">
        <v>3</v>
      </c>
      <c r="AC246" s="1634"/>
      <c r="AD246" s="1635"/>
      <c r="AE246" s="1636"/>
      <c r="AF246" s="1636"/>
      <c r="AG246" s="1637" t="str">
        <f t="shared" si="71"/>
        <v>17建築物等に係る不具合等の状況-不具合等を把握した年月-月_3</v>
      </c>
      <c r="AI246" s="1636"/>
      <c r="AJ246" s="1636"/>
      <c r="AK246" s="1636"/>
    </row>
    <row r="247" spans="1:37" s="1637" customFormat="1" ht="18.75" customHeight="1" x14ac:dyDescent="0.15">
      <c r="A247" s="1581"/>
      <c r="B247" s="1642"/>
      <c r="C247" s="1627">
        <v>1</v>
      </c>
      <c r="D247" s="1672">
        <f>'1_入力シート【基本情報】'!$V$259</f>
        <v>0</v>
      </c>
      <c r="E247" s="1672">
        <f t="shared" ref="E247:E307" si="82">D247</f>
        <v>0</v>
      </c>
      <c r="F247" s="1672" t="str">
        <f t="shared" ref="F247:F307" si="83">SUBSTITUTE(E247,CHAR(10),"")</f>
        <v>0</v>
      </c>
      <c r="G247" s="1672" t="str">
        <f t="shared" ref="G247:G307" si="84">TRIM(F247)</f>
        <v>0</v>
      </c>
      <c r="H247" s="1628"/>
      <c r="I247" s="1660"/>
      <c r="J247" s="1531"/>
      <c r="K247" s="1627"/>
      <c r="L247" s="1627"/>
      <c r="M247" s="1629"/>
      <c r="N247" s="1627"/>
      <c r="O247" s="1627"/>
      <c r="P247" s="1627"/>
      <c r="Q247" s="1627"/>
      <c r="R247" s="1627"/>
      <c r="S247" s="1627" t="str">
        <f t="shared" si="70"/>
        <v/>
      </c>
      <c r="T247" s="1627"/>
      <c r="U247" s="1630" t="s">
        <v>1382</v>
      </c>
      <c r="V247" s="1631" t="s">
        <v>1383</v>
      </c>
      <c r="W247" s="1632" t="s">
        <v>1306</v>
      </c>
      <c r="X247" s="1631" t="s">
        <v>351</v>
      </c>
      <c r="Y247" s="1633" t="s">
        <v>1307</v>
      </c>
      <c r="Z247" s="1762">
        <v>3</v>
      </c>
      <c r="AA247" s="1703"/>
      <c r="AB247" s="1631"/>
      <c r="AC247" s="1634"/>
      <c r="AD247" s="1635"/>
      <c r="AE247" s="1636"/>
      <c r="AF247" s="1636"/>
      <c r="AG247" s="1637" t="str">
        <f t="shared" si="71"/>
        <v>17建築物等に係る不具合等の状況-不具合等の概要_3</v>
      </c>
      <c r="AI247" s="1636"/>
      <c r="AJ247" s="1636"/>
      <c r="AK247" s="1636"/>
    </row>
    <row r="248" spans="1:37" s="1637" customFormat="1" ht="18.75" customHeight="1" x14ac:dyDescent="0.15">
      <c r="A248" s="1581"/>
      <c r="B248" s="1642"/>
      <c r="C248" s="1627">
        <v>1</v>
      </c>
      <c r="D248" s="1672">
        <f>'1_入力シート【基本情報】'!$AH$259</f>
        <v>0</v>
      </c>
      <c r="E248" s="1672">
        <f t="shared" si="82"/>
        <v>0</v>
      </c>
      <c r="F248" s="1672" t="str">
        <f t="shared" si="83"/>
        <v>0</v>
      </c>
      <c r="G248" s="1672" t="str">
        <f t="shared" si="84"/>
        <v>0</v>
      </c>
      <c r="H248" s="1628"/>
      <c r="I248" s="1660"/>
      <c r="J248" s="1531"/>
      <c r="K248" s="1627"/>
      <c r="L248" s="1627"/>
      <c r="M248" s="1629"/>
      <c r="N248" s="1627"/>
      <c r="O248" s="1627"/>
      <c r="P248" s="1627"/>
      <c r="Q248" s="1627"/>
      <c r="R248" s="1627"/>
      <c r="S248" s="1627" t="str">
        <f t="shared" si="70"/>
        <v/>
      </c>
      <c r="T248" s="1627"/>
      <c r="U248" s="1630" t="s">
        <v>1382</v>
      </c>
      <c r="V248" s="1631" t="s">
        <v>1383</v>
      </c>
      <c r="W248" s="1632" t="s">
        <v>1306</v>
      </c>
      <c r="X248" s="1631" t="s">
        <v>1233</v>
      </c>
      <c r="Y248" s="1633" t="s">
        <v>1307</v>
      </c>
      <c r="Z248" s="1762">
        <v>3</v>
      </c>
      <c r="AA248" s="1703"/>
      <c r="AB248" s="1631"/>
      <c r="AC248" s="1634"/>
      <c r="AD248" s="1635"/>
      <c r="AE248" s="1636"/>
      <c r="AF248" s="1636"/>
      <c r="AG248" s="1637" t="str">
        <f t="shared" si="71"/>
        <v>17建築物等に係る不具合等の状況-考えられる要因_3</v>
      </c>
      <c r="AI248" s="1636"/>
      <c r="AJ248" s="1636"/>
      <c r="AK248" s="1636"/>
    </row>
    <row r="249" spans="1:37" s="1637" customFormat="1" ht="18.75" customHeight="1" x14ac:dyDescent="0.15">
      <c r="A249" s="1581"/>
      <c r="B249" s="1642"/>
      <c r="C249" s="1627">
        <v>1</v>
      </c>
      <c r="D249" s="1672">
        <f>'1_入力シート【基本情報】'!$AT$259</f>
        <v>0</v>
      </c>
      <c r="E249" s="1672">
        <f t="shared" si="82"/>
        <v>0</v>
      </c>
      <c r="F249" s="1672" t="str">
        <f t="shared" si="83"/>
        <v>0</v>
      </c>
      <c r="G249" s="1672" t="str">
        <f t="shared" si="84"/>
        <v>0</v>
      </c>
      <c r="H249" s="1628"/>
      <c r="I249" s="1660"/>
      <c r="J249" s="1531"/>
      <c r="K249" s="1627"/>
      <c r="L249" s="1627"/>
      <c r="M249" s="1629"/>
      <c r="N249" s="1627"/>
      <c r="O249" s="1627"/>
      <c r="P249" s="1627"/>
      <c r="Q249" s="1627"/>
      <c r="R249" s="1627"/>
      <c r="S249" s="1627" t="str">
        <f t="shared" si="70"/>
        <v/>
      </c>
      <c r="T249" s="1627"/>
      <c r="U249" s="1630" t="s">
        <v>1382</v>
      </c>
      <c r="V249" s="1631" t="s">
        <v>1383</v>
      </c>
      <c r="W249" s="1632" t="s">
        <v>1306</v>
      </c>
      <c r="X249" s="1631" t="s">
        <v>878</v>
      </c>
      <c r="Y249" s="1633" t="s">
        <v>1307</v>
      </c>
      <c r="Z249" s="1762">
        <v>3</v>
      </c>
      <c r="AA249" s="1633"/>
      <c r="AB249" s="1631"/>
      <c r="AC249" s="1634"/>
      <c r="AD249" s="1635"/>
      <c r="AE249" s="1636"/>
      <c r="AF249" s="1636"/>
      <c r="AG249" s="1637" t="str">
        <f t="shared" si="71"/>
        <v>17建築物等に係る不具合等の状況-改善の状況_3</v>
      </c>
      <c r="AI249" s="1636"/>
      <c r="AJ249" s="1636"/>
      <c r="AK249" s="1636"/>
    </row>
    <row r="250" spans="1:37" s="1637" customFormat="1" ht="18.75" customHeight="1" x14ac:dyDescent="0.15">
      <c r="A250" s="1581"/>
      <c r="B250" s="1642"/>
      <c r="C250" s="1627">
        <v>1</v>
      </c>
      <c r="D250" s="1672">
        <f>'1_入力シート【基本情報】'!$AZ$259</f>
        <v>0</v>
      </c>
      <c r="E250" s="1672">
        <f t="shared" si="82"/>
        <v>0</v>
      </c>
      <c r="F250" s="1672" t="str">
        <f t="shared" si="83"/>
        <v>0</v>
      </c>
      <c r="G250" s="1672" t="str">
        <f t="shared" si="84"/>
        <v>0</v>
      </c>
      <c r="H250" s="1628"/>
      <c r="I250" s="1660"/>
      <c r="J250" s="1531"/>
      <c r="K250" s="1627"/>
      <c r="L250" s="1627"/>
      <c r="M250" s="1629"/>
      <c r="N250" s="1627"/>
      <c r="O250" s="1627"/>
      <c r="P250" s="1627"/>
      <c r="Q250" s="1627"/>
      <c r="R250" s="1627"/>
      <c r="S250" s="1627" t="str">
        <f t="shared" si="70"/>
        <v/>
      </c>
      <c r="T250" s="1627"/>
      <c r="U250" s="1630" t="s">
        <v>1382</v>
      </c>
      <c r="V250" s="1631" t="s">
        <v>1383</v>
      </c>
      <c r="W250" s="1632" t="s">
        <v>1306</v>
      </c>
      <c r="X250" s="1631" t="s">
        <v>352</v>
      </c>
      <c r="Y250" s="1633" t="s">
        <v>1306</v>
      </c>
      <c r="Z250" s="1631" t="s">
        <v>1387</v>
      </c>
      <c r="AA250" s="1633" t="s">
        <v>1307</v>
      </c>
      <c r="AB250" s="1686">
        <v>3</v>
      </c>
      <c r="AC250" s="1634"/>
      <c r="AD250" s="1635"/>
      <c r="AE250" s="1636"/>
      <c r="AF250" s="1636"/>
      <c r="AG250" s="1637" t="str">
        <f t="shared" si="71"/>
        <v>17建築物等に係る不具合等の状況-改善（予定）年月-年（令和）_3</v>
      </c>
      <c r="AI250" s="1636"/>
      <c r="AJ250" s="1636"/>
      <c r="AK250" s="1636"/>
    </row>
    <row r="251" spans="1:37" s="1637" customFormat="1" ht="18.75" customHeight="1" x14ac:dyDescent="0.15">
      <c r="A251" s="1581"/>
      <c r="B251" s="1642"/>
      <c r="C251" s="1627">
        <v>1</v>
      </c>
      <c r="D251" s="1672">
        <f>'1_入力シート【基本情報】'!$BC$259</f>
        <v>0</v>
      </c>
      <c r="E251" s="1672">
        <f t="shared" si="82"/>
        <v>0</v>
      </c>
      <c r="F251" s="1672" t="str">
        <f t="shared" si="83"/>
        <v>0</v>
      </c>
      <c r="G251" s="1672" t="str">
        <f t="shared" si="84"/>
        <v>0</v>
      </c>
      <c r="H251" s="1628"/>
      <c r="I251" s="1660"/>
      <c r="J251" s="1531"/>
      <c r="K251" s="1627"/>
      <c r="L251" s="1627"/>
      <c r="M251" s="1629"/>
      <c r="N251" s="1627"/>
      <c r="O251" s="1627"/>
      <c r="P251" s="1627"/>
      <c r="Q251" s="1627"/>
      <c r="R251" s="1627"/>
      <c r="S251" s="1627" t="str">
        <f t="shared" si="70"/>
        <v/>
      </c>
      <c r="T251" s="1627"/>
      <c r="U251" s="1630" t="s">
        <v>1382</v>
      </c>
      <c r="V251" s="1631" t="s">
        <v>1383</v>
      </c>
      <c r="W251" s="1632" t="s">
        <v>1306</v>
      </c>
      <c r="X251" s="1631" t="s">
        <v>352</v>
      </c>
      <c r="Y251" s="1633" t="s">
        <v>1306</v>
      </c>
      <c r="Z251" s="1640" t="s">
        <v>348</v>
      </c>
      <c r="AA251" s="1633" t="s">
        <v>1307</v>
      </c>
      <c r="AB251" s="1686">
        <v>3</v>
      </c>
      <c r="AC251" s="1634"/>
      <c r="AD251" s="1635"/>
      <c r="AE251" s="1636"/>
      <c r="AF251" s="1636"/>
      <c r="AG251" s="1637" t="str">
        <f t="shared" si="71"/>
        <v>17建築物等に係る不具合等の状況-改善（予定）年月-月_3</v>
      </c>
      <c r="AI251" s="1636"/>
      <c r="AJ251" s="1636"/>
      <c r="AK251" s="1636"/>
    </row>
    <row r="252" spans="1:37" s="1637" customFormat="1" ht="18.75" customHeight="1" x14ac:dyDescent="0.15">
      <c r="A252" s="1581"/>
      <c r="B252" s="1642"/>
      <c r="C252" s="1627">
        <v>1</v>
      </c>
      <c r="D252" s="1672">
        <f>'1_入力シート【基本情報】'!$BF$259</f>
        <v>0</v>
      </c>
      <c r="E252" s="1672">
        <f t="shared" si="82"/>
        <v>0</v>
      </c>
      <c r="F252" s="1672" t="str">
        <f t="shared" si="83"/>
        <v>0</v>
      </c>
      <c r="G252" s="1672" t="str">
        <f t="shared" si="84"/>
        <v>0</v>
      </c>
      <c r="H252" s="1628"/>
      <c r="I252" s="1660"/>
      <c r="J252" s="1531"/>
      <c r="K252" s="1627"/>
      <c r="L252" s="1627"/>
      <c r="M252" s="1629"/>
      <c r="N252" s="1627"/>
      <c r="O252" s="1627"/>
      <c r="P252" s="1627"/>
      <c r="Q252" s="1627"/>
      <c r="R252" s="1627"/>
      <c r="S252" s="1627"/>
      <c r="T252" s="1627"/>
      <c r="U252" s="1630" t="s">
        <v>1382</v>
      </c>
      <c r="V252" s="1631" t="s">
        <v>1383</v>
      </c>
      <c r="W252" s="1632" t="s">
        <v>1306</v>
      </c>
      <c r="X252" s="1639" t="s">
        <v>1388</v>
      </c>
      <c r="Y252" s="1633" t="s">
        <v>1307</v>
      </c>
      <c r="Z252" s="1762">
        <v>3</v>
      </c>
      <c r="AA252" s="1633"/>
      <c r="AB252" s="1631"/>
      <c r="AC252" s="1634"/>
      <c r="AD252" s="1635"/>
      <c r="AE252" s="1636"/>
      <c r="AF252" s="1636"/>
      <c r="AG252" s="1637" t="str">
        <f t="shared" si="71"/>
        <v>17建築物等に係る不具合等の状況-改善措置の概要等又は改善の予定がない場合は理由_3</v>
      </c>
      <c r="AI252" s="1636"/>
      <c r="AJ252" s="1636"/>
      <c r="AK252" s="1636"/>
    </row>
    <row r="253" spans="1:37" s="1637" customFormat="1" ht="18.75" customHeight="1" x14ac:dyDescent="0.15">
      <c r="A253" s="1581"/>
      <c r="B253" s="1642"/>
      <c r="C253" s="1627">
        <v>1</v>
      </c>
      <c r="D253" s="1672">
        <f>'1_入力シート【基本情報】'!$M$260</f>
        <v>0</v>
      </c>
      <c r="E253" s="1672">
        <f t="shared" si="82"/>
        <v>0</v>
      </c>
      <c r="F253" s="1672" t="str">
        <f t="shared" si="83"/>
        <v>0</v>
      </c>
      <c r="G253" s="1672" t="str">
        <f t="shared" si="84"/>
        <v>0</v>
      </c>
      <c r="H253" s="1628"/>
      <c r="I253" s="1660"/>
      <c r="J253" s="1531"/>
      <c r="K253" s="1627"/>
      <c r="L253" s="1627"/>
      <c r="M253" s="1629"/>
      <c r="N253" s="1627"/>
      <c r="O253" s="1627"/>
      <c r="P253" s="1627"/>
      <c r="Q253" s="1627"/>
      <c r="R253" s="1627"/>
      <c r="S253" s="1627"/>
      <c r="T253" s="1627"/>
      <c r="U253" s="1630" t="s">
        <v>1382</v>
      </c>
      <c r="V253" s="1631" t="s">
        <v>1383</v>
      </c>
      <c r="W253" s="1632" t="s">
        <v>1306</v>
      </c>
      <c r="X253" s="1631" t="s">
        <v>1386</v>
      </c>
      <c r="Y253" s="1633" t="s">
        <v>1306</v>
      </c>
      <c r="Z253" s="1640" t="s">
        <v>1102</v>
      </c>
      <c r="AA253" s="1633" t="s">
        <v>1307</v>
      </c>
      <c r="AB253" s="1686">
        <v>4</v>
      </c>
      <c r="AC253" s="1634"/>
      <c r="AD253" s="1635"/>
      <c r="AE253" s="1636"/>
      <c r="AF253" s="1636"/>
      <c r="AG253" s="1637" t="str">
        <f t="shared" si="71"/>
        <v>17建築物等に係る不具合等の状況-不具合等を把握した年月-元号_4</v>
      </c>
      <c r="AI253" s="1636"/>
      <c r="AJ253" s="1636"/>
      <c r="AK253" s="1636"/>
    </row>
    <row r="254" spans="1:37" s="1637" customFormat="1" ht="18.75" customHeight="1" x14ac:dyDescent="0.15">
      <c r="A254" s="1581"/>
      <c r="B254" s="1642"/>
      <c r="C254" s="1627">
        <v>1</v>
      </c>
      <c r="D254" s="1672">
        <f>'1_入力シート【基本情報】'!$P$260</f>
        <v>0</v>
      </c>
      <c r="E254" s="1672">
        <f t="shared" si="82"/>
        <v>0</v>
      </c>
      <c r="F254" s="1672" t="str">
        <f t="shared" si="83"/>
        <v>0</v>
      </c>
      <c r="G254" s="1672" t="str">
        <f t="shared" si="84"/>
        <v>0</v>
      </c>
      <c r="H254" s="1628"/>
      <c r="I254" s="1660"/>
      <c r="J254" s="1531"/>
      <c r="K254" s="1627"/>
      <c r="L254" s="1627"/>
      <c r="M254" s="1629"/>
      <c r="N254" s="1627"/>
      <c r="O254" s="1627"/>
      <c r="P254" s="1627"/>
      <c r="Q254" s="1627"/>
      <c r="R254" s="1627"/>
      <c r="S254" s="1627"/>
      <c r="T254" s="1627"/>
      <c r="U254" s="1630" t="s">
        <v>1382</v>
      </c>
      <c r="V254" s="1631" t="s">
        <v>1383</v>
      </c>
      <c r="W254" s="1632" t="s">
        <v>1306</v>
      </c>
      <c r="X254" s="1631" t="s">
        <v>1386</v>
      </c>
      <c r="Y254" s="1633" t="s">
        <v>1306</v>
      </c>
      <c r="Z254" s="1640" t="s">
        <v>12</v>
      </c>
      <c r="AA254" s="1633" t="s">
        <v>1307</v>
      </c>
      <c r="AB254" s="1686">
        <v>4</v>
      </c>
      <c r="AC254" s="1634"/>
      <c r="AD254" s="1635"/>
      <c r="AE254" s="1636"/>
      <c r="AF254" s="1636"/>
      <c r="AG254" s="1637" t="str">
        <f t="shared" si="71"/>
        <v>17建築物等に係る不具合等の状況-不具合等を把握した年月-年_4</v>
      </c>
      <c r="AI254" s="1636"/>
      <c r="AJ254" s="1636"/>
      <c r="AK254" s="1636"/>
    </row>
    <row r="255" spans="1:37" s="1637" customFormat="1" ht="18.75" customHeight="1" x14ac:dyDescent="0.15">
      <c r="A255" s="1578"/>
      <c r="B255" s="1627"/>
      <c r="C255" s="1627">
        <v>1</v>
      </c>
      <c r="D255" s="1672">
        <f>'1_入力シート【基本情報】'!$S$260</f>
        <v>0</v>
      </c>
      <c r="E255" s="1672">
        <f t="shared" si="82"/>
        <v>0</v>
      </c>
      <c r="F255" s="1672" t="str">
        <f t="shared" si="83"/>
        <v>0</v>
      </c>
      <c r="G255" s="1672" t="str">
        <f t="shared" si="84"/>
        <v>0</v>
      </c>
      <c r="H255" s="1628"/>
      <c r="I255" s="1660"/>
      <c r="J255" s="1531"/>
      <c r="K255" s="1627"/>
      <c r="L255" s="1627"/>
      <c r="M255" s="1629"/>
      <c r="N255" s="1627"/>
      <c r="O255" s="1627"/>
      <c r="P255" s="1627"/>
      <c r="Q255" s="1627"/>
      <c r="R255" s="1627"/>
      <c r="S255" s="1627"/>
      <c r="T255" s="1627"/>
      <c r="U255" s="1630" t="s">
        <v>1382</v>
      </c>
      <c r="V255" s="1631" t="s">
        <v>1383</v>
      </c>
      <c r="W255" s="1632" t="s">
        <v>1306</v>
      </c>
      <c r="X255" s="1631" t="s">
        <v>1386</v>
      </c>
      <c r="Y255" s="1633" t="s">
        <v>1306</v>
      </c>
      <c r="Z255" s="1640" t="s">
        <v>348</v>
      </c>
      <c r="AA255" s="1633" t="s">
        <v>1307</v>
      </c>
      <c r="AB255" s="1686">
        <v>4</v>
      </c>
      <c r="AC255" s="1634"/>
      <c r="AD255" s="1635"/>
      <c r="AE255" s="1636"/>
      <c r="AF255" s="1636"/>
      <c r="AG255" s="1637" t="str">
        <f t="shared" si="71"/>
        <v>17建築物等に係る不具合等の状況-不具合等を把握した年月-月_4</v>
      </c>
      <c r="AI255" s="1636"/>
      <c r="AJ255" s="1636"/>
      <c r="AK255" s="1636"/>
    </row>
    <row r="256" spans="1:37" s="1637" customFormat="1" ht="18.75" customHeight="1" x14ac:dyDescent="0.15">
      <c r="A256" s="1578"/>
      <c r="B256" s="1627"/>
      <c r="C256" s="1627">
        <v>1</v>
      </c>
      <c r="D256" s="1672">
        <f>'1_入力シート【基本情報】'!$V$260</f>
        <v>0</v>
      </c>
      <c r="E256" s="1672">
        <f t="shared" si="82"/>
        <v>0</v>
      </c>
      <c r="F256" s="1672" t="str">
        <f t="shared" si="83"/>
        <v>0</v>
      </c>
      <c r="G256" s="1672" t="str">
        <f t="shared" si="84"/>
        <v>0</v>
      </c>
      <c r="H256" s="1628"/>
      <c r="I256" s="1660"/>
      <c r="J256" s="1531"/>
      <c r="K256" s="1627"/>
      <c r="L256" s="1627"/>
      <c r="M256" s="1629"/>
      <c r="N256" s="1627"/>
      <c r="O256" s="1627"/>
      <c r="P256" s="1627"/>
      <c r="Q256" s="1627"/>
      <c r="R256" s="1627"/>
      <c r="S256" s="1627"/>
      <c r="T256" s="1627"/>
      <c r="U256" s="1630" t="s">
        <v>1382</v>
      </c>
      <c r="V256" s="1631" t="s">
        <v>1383</v>
      </c>
      <c r="W256" s="1632" t="s">
        <v>1306</v>
      </c>
      <c r="X256" s="1631" t="s">
        <v>351</v>
      </c>
      <c r="Y256" s="1633" t="s">
        <v>1307</v>
      </c>
      <c r="Z256" s="1762">
        <v>4</v>
      </c>
      <c r="AA256" s="1703"/>
      <c r="AB256" s="1631"/>
      <c r="AC256" s="1634"/>
      <c r="AD256" s="1635"/>
      <c r="AE256" s="1636"/>
      <c r="AF256" s="1636"/>
      <c r="AG256" s="1637" t="str">
        <f t="shared" si="71"/>
        <v>17建築物等に係る不具合等の状況-不具合等の概要_4</v>
      </c>
      <c r="AI256" s="1636"/>
      <c r="AJ256" s="1636"/>
      <c r="AK256" s="1636"/>
    </row>
    <row r="257" spans="1:37" s="1637" customFormat="1" ht="18.75" customHeight="1" x14ac:dyDescent="0.15">
      <c r="A257" s="1578"/>
      <c r="B257" s="1627"/>
      <c r="C257" s="1627">
        <v>1</v>
      </c>
      <c r="D257" s="1672">
        <f>'1_入力シート【基本情報】'!$AH$260</f>
        <v>0</v>
      </c>
      <c r="E257" s="1672">
        <f t="shared" si="82"/>
        <v>0</v>
      </c>
      <c r="F257" s="1672" t="str">
        <f t="shared" si="83"/>
        <v>0</v>
      </c>
      <c r="G257" s="1672" t="str">
        <f t="shared" si="84"/>
        <v>0</v>
      </c>
      <c r="H257" s="1628"/>
      <c r="I257" s="1660"/>
      <c r="J257" s="1531"/>
      <c r="K257" s="1627"/>
      <c r="L257" s="1627"/>
      <c r="M257" s="1629"/>
      <c r="N257" s="1627"/>
      <c r="O257" s="1627"/>
      <c r="P257" s="1627"/>
      <c r="Q257" s="1627"/>
      <c r="R257" s="1627"/>
      <c r="S257" s="1627"/>
      <c r="T257" s="1627"/>
      <c r="U257" s="1630" t="s">
        <v>1382</v>
      </c>
      <c r="V257" s="1631" t="s">
        <v>1383</v>
      </c>
      <c r="W257" s="1632" t="s">
        <v>1306</v>
      </c>
      <c r="X257" s="1631" t="s">
        <v>1233</v>
      </c>
      <c r="Y257" s="1633" t="s">
        <v>1307</v>
      </c>
      <c r="Z257" s="1762">
        <v>4</v>
      </c>
      <c r="AA257" s="1703"/>
      <c r="AB257" s="1631"/>
      <c r="AC257" s="1634"/>
      <c r="AD257" s="1635"/>
      <c r="AE257" s="1636"/>
      <c r="AF257" s="1636"/>
      <c r="AG257" s="1637" t="str">
        <f t="shared" si="71"/>
        <v>17建築物等に係る不具合等の状況-考えられる要因_4</v>
      </c>
      <c r="AI257" s="1636"/>
      <c r="AJ257" s="1636"/>
      <c r="AK257" s="1636"/>
    </row>
    <row r="258" spans="1:37" s="1637" customFormat="1" ht="18.75" customHeight="1" x14ac:dyDescent="0.15">
      <c r="A258" s="1578"/>
      <c r="B258" s="1627"/>
      <c r="C258" s="1627">
        <v>1</v>
      </c>
      <c r="D258" s="1672">
        <f>'1_入力シート【基本情報】'!$AT$260</f>
        <v>0</v>
      </c>
      <c r="E258" s="1672">
        <f t="shared" si="82"/>
        <v>0</v>
      </c>
      <c r="F258" s="1672" t="str">
        <f t="shared" si="83"/>
        <v>0</v>
      </c>
      <c r="G258" s="1672" t="str">
        <f t="shared" si="84"/>
        <v>0</v>
      </c>
      <c r="H258" s="1628"/>
      <c r="I258" s="1660"/>
      <c r="J258" s="1531"/>
      <c r="K258" s="1627"/>
      <c r="L258" s="1627"/>
      <c r="M258" s="1629"/>
      <c r="N258" s="1627"/>
      <c r="O258" s="1627"/>
      <c r="P258" s="1627"/>
      <c r="Q258" s="1627"/>
      <c r="R258" s="1627"/>
      <c r="S258" s="1627"/>
      <c r="T258" s="1627"/>
      <c r="U258" s="1630" t="s">
        <v>1382</v>
      </c>
      <c r="V258" s="1631" t="s">
        <v>1383</v>
      </c>
      <c r="W258" s="1632" t="s">
        <v>1306</v>
      </c>
      <c r="X258" s="1631" t="s">
        <v>878</v>
      </c>
      <c r="Y258" s="1633" t="s">
        <v>1307</v>
      </c>
      <c r="Z258" s="1762">
        <v>4</v>
      </c>
      <c r="AA258" s="1633"/>
      <c r="AB258" s="1631"/>
      <c r="AC258" s="1634"/>
      <c r="AD258" s="1635"/>
      <c r="AE258" s="1636"/>
      <c r="AF258" s="1636"/>
      <c r="AG258" s="1637" t="str">
        <f t="shared" si="71"/>
        <v>17建築物等に係る不具合等の状況-改善の状況_4</v>
      </c>
      <c r="AI258" s="1636"/>
      <c r="AJ258" s="1636"/>
      <c r="AK258" s="1636"/>
    </row>
    <row r="259" spans="1:37" s="1637" customFormat="1" ht="18.75" customHeight="1" x14ac:dyDescent="0.15">
      <c r="A259" s="1578"/>
      <c r="B259" s="1627"/>
      <c r="C259" s="1627">
        <v>1</v>
      </c>
      <c r="D259" s="1672">
        <f>'1_入力シート【基本情報】'!$AZ$260</f>
        <v>0</v>
      </c>
      <c r="E259" s="1672">
        <f t="shared" si="82"/>
        <v>0</v>
      </c>
      <c r="F259" s="1672" t="str">
        <f t="shared" si="83"/>
        <v>0</v>
      </c>
      <c r="G259" s="1672" t="str">
        <f t="shared" si="84"/>
        <v>0</v>
      </c>
      <c r="H259" s="1628"/>
      <c r="I259" s="1660"/>
      <c r="J259" s="1531"/>
      <c r="K259" s="1627"/>
      <c r="L259" s="1627"/>
      <c r="M259" s="1629"/>
      <c r="N259" s="1627"/>
      <c r="O259" s="1627"/>
      <c r="P259" s="1627"/>
      <c r="Q259" s="1627"/>
      <c r="R259" s="1627"/>
      <c r="S259" s="1627"/>
      <c r="T259" s="1627"/>
      <c r="U259" s="1630" t="s">
        <v>1382</v>
      </c>
      <c r="V259" s="1631" t="s">
        <v>1383</v>
      </c>
      <c r="W259" s="1632" t="s">
        <v>1306</v>
      </c>
      <c r="X259" s="1631" t="s">
        <v>352</v>
      </c>
      <c r="Y259" s="1633" t="s">
        <v>1306</v>
      </c>
      <c r="Z259" s="1631" t="s">
        <v>1387</v>
      </c>
      <c r="AA259" s="1633" t="s">
        <v>1307</v>
      </c>
      <c r="AB259" s="1686">
        <v>4</v>
      </c>
      <c r="AC259" s="1634"/>
      <c r="AD259" s="1635"/>
      <c r="AE259" s="1636"/>
      <c r="AF259" s="1636"/>
      <c r="AG259" s="1637" t="str">
        <f t="shared" si="71"/>
        <v>17建築物等に係る不具合等の状況-改善（予定）年月-年（令和）_4</v>
      </c>
      <c r="AI259" s="1636"/>
      <c r="AJ259" s="1636"/>
      <c r="AK259" s="1636"/>
    </row>
    <row r="260" spans="1:37" s="1637" customFormat="1" ht="18.75" customHeight="1" x14ac:dyDescent="0.15">
      <c r="A260" s="1581"/>
      <c r="B260" s="1642"/>
      <c r="C260" s="1627">
        <v>1</v>
      </c>
      <c r="D260" s="1672">
        <f>'1_入力シート【基本情報】'!$BC$260</f>
        <v>0</v>
      </c>
      <c r="E260" s="1672">
        <f t="shared" si="82"/>
        <v>0</v>
      </c>
      <c r="F260" s="1672" t="str">
        <f t="shared" si="83"/>
        <v>0</v>
      </c>
      <c r="G260" s="1672" t="str">
        <f t="shared" si="84"/>
        <v>0</v>
      </c>
      <c r="H260" s="1628"/>
      <c r="I260" s="1660"/>
      <c r="J260" s="1531"/>
      <c r="K260" s="1627"/>
      <c r="L260" s="1627"/>
      <c r="M260" s="1629"/>
      <c r="N260" s="1627"/>
      <c r="O260" s="1627"/>
      <c r="P260" s="1627"/>
      <c r="Q260" s="1627"/>
      <c r="R260" s="1627"/>
      <c r="S260" s="1627"/>
      <c r="T260" s="1627"/>
      <c r="U260" s="1630" t="s">
        <v>1382</v>
      </c>
      <c r="V260" s="1631" t="s">
        <v>1383</v>
      </c>
      <c r="W260" s="1632" t="s">
        <v>1306</v>
      </c>
      <c r="X260" s="1631" t="s">
        <v>352</v>
      </c>
      <c r="Y260" s="1633" t="s">
        <v>1306</v>
      </c>
      <c r="Z260" s="1640" t="s">
        <v>348</v>
      </c>
      <c r="AA260" s="1633" t="s">
        <v>1307</v>
      </c>
      <c r="AB260" s="1686">
        <v>4</v>
      </c>
      <c r="AC260" s="1634"/>
      <c r="AD260" s="1635"/>
      <c r="AE260" s="1636"/>
      <c r="AF260" s="1636"/>
      <c r="AG260" s="1637" t="str">
        <f t="shared" si="71"/>
        <v>17建築物等に係る不具合等の状況-改善（予定）年月-月_4</v>
      </c>
      <c r="AI260" s="1636"/>
      <c r="AJ260" s="1636"/>
      <c r="AK260" s="1636"/>
    </row>
    <row r="261" spans="1:37" s="1637" customFormat="1" ht="18.75" customHeight="1" x14ac:dyDescent="0.15">
      <c r="A261" s="1581"/>
      <c r="B261" s="1642"/>
      <c r="C261" s="1627">
        <v>1</v>
      </c>
      <c r="D261" s="1672">
        <f>'1_入力シート【基本情報】'!$BF$260</f>
        <v>0</v>
      </c>
      <c r="E261" s="1672">
        <f t="shared" si="82"/>
        <v>0</v>
      </c>
      <c r="F261" s="1672" t="str">
        <f t="shared" si="83"/>
        <v>0</v>
      </c>
      <c r="G261" s="1672" t="str">
        <f t="shared" si="84"/>
        <v>0</v>
      </c>
      <c r="H261" s="1628"/>
      <c r="I261" s="1660"/>
      <c r="J261" s="1531"/>
      <c r="K261" s="1627"/>
      <c r="L261" s="1627"/>
      <c r="M261" s="1629"/>
      <c r="N261" s="1627"/>
      <c r="O261" s="1627"/>
      <c r="P261" s="1627"/>
      <c r="Q261" s="1627"/>
      <c r="R261" s="1627"/>
      <c r="S261" s="1627"/>
      <c r="T261" s="1627"/>
      <c r="U261" s="1630" t="s">
        <v>1382</v>
      </c>
      <c r="V261" s="1631" t="s">
        <v>1383</v>
      </c>
      <c r="W261" s="1632" t="s">
        <v>1306</v>
      </c>
      <c r="X261" s="1639" t="s">
        <v>1388</v>
      </c>
      <c r="Y261" s="1633" t="s">
        <v>1307</v>
      </c>
      <c r="Z261" s="1762">
        <v>4</v>
      </c>
      <c r="AA261" s="1633"/>
      <c r="AB261" s="1631"/>
      <c r="AC261" s="1634"/>
      <c r="AD261" s="1635"/>
      <c r="AE261" s="1636"/>
      <c r="AF261" s="1636"/>
      <c r="AG261" s="1637" t="str">
        <f t="shared" si="71"/>
        <v>17建築物等に係る不具合等の状況-改善措置の概要等又は改善の予定がない場合は理由_4</v>
      </c>
      <c r="AI261" s="1636"/>
      <c r="AJ261" s="1636"/>
      <c r="AK261" s="1636"/>
    </row>
    <row r="262" spans="1:37" s="1637" customFormat="1" ht="18.75" customHeight="1" x14ac:dyDescent="0.15">
      <c r="A262" s="1581"/>
      <c r="B262" s="1642"/>
      <c r="C262" s="1627">
        <v>1</v>
      </c>
      <c r="D262" s="1672">
        <f>'1_入力シート【基本情報】'!$M$261</f>
        <v>0</v>
      </c>
      <c r="E262" s="1672">
        <f t="shared" si="82"/>
        <v>0</v>
      </c>
      <c r="F262" s="1672" t="str">
        <f t="shared" si="83"/>
        <v>0</v>
      </c>
      <c r="G262" s="1672" t="str">
        <f t="shared" si="84"/>
        <v>0</v>
      </c>
      <c r="H262" s="1628"/>
      <c r="I262" s="1660"/>
      <c r="J262" s="1531"/>
      <c r="K262" s="1627"/>
      <c r="L262" s="1627"/>
      <c r="M262" s="1629"/>
      <c r="N262" s="1627"/>
      <c r="O262" s="1627"/>
      <c r="P262" s="1627"/>
      <c r="Q262" s="1627"/>
      <c r="R262" s="1627"/>
      <c r="S262" s="1627"/>
      <c r="T262" s="1627"/>
      <c r="U262" s="1630" t="s">
        <v>1382</v>
      </c>
      <c r="V262" s="1631" t="s">
        <v>1383</v>
      </c>
      <c r="W262" s="1632" t="s">
        <v>1306</v>
      </c>
      <c r="X262" s="1631" t="s">
        <v>1386</v>
      </c>
      <c r="Y262" s="1633" t="s">
        <v>1306</v>
      </c>
      <c r="Z262" s="1640" t="s">
        <v>1102</v>
      </c>
      <c r="AA262" s="1633" t="s">
        <v>1307</v>
      </c>
      <c r="AB262" s="1686">
        <v>5</v>
      </c>
      <c r="AC262" s="1634"/>
      <c r="AD262" s="1635"/>
      <c r="AE262" s="1636"/>
      <c r="AF262" s="1636"/>
      <c r="AG262" s="1637" t="str">
        <f t="shared" si="71"/>
        <v>17建築物等に係る不具合等の状況-不具合等を把握した年月-元号_5</v>
      </c>
      <c r="AI262" s="1636"/>
      <c r="AJ262" s="1636"/>
      <c r="AK262" s="1636"/>
    </row>
    <row r="263" spans="1:37" s="1637" customFormat="1" ht="18.75" customHeight="1" x14ac:dyDescent="0.15">
      <c r="A263" s="1581"/>
      <c r="B263" s="1642"/>
      <c r="C263" s="1627">
        <v>1</v>
      </c>
      <c r="D263" s="1672">
        <f>'1_入力シート【基本情報】'!$P$261</f>
        <v>0</v>
      </c>
      <c r="E263" s="1672">
        <f t="shared" si="82"/>
        <v>0</v>
      </c>
      <c r="F263" s="1672" t="str">
        <f t="shared" si="83"/>
        <v>0</v>
      </c>
      <c r="G263" s="1672" t="str">
        <f t="shared" si="84"/>
        <v>0</v>
      </c>
      <c r="H263" s="1628"/>
      <c r="I263" s="1660"/>
      <c r="J263" s="1531"/>
      <c r="K263" s="1627"/>
      <c r="L263" s="1627"/>
      <c r="M263" s="1629"/>
      <c r="N263" s="1627"/>
      <c r="O263" s="1627"/>
      <c r="P263" s="1627"/>
      <c r="Q263" s="1627"/>
      <c r="R263" s="1627"/>
      <c r="S263" s="1627"/>
      <c r="T263" s="1627"/>
      <c r="U263" s="1630" t="s">
        <v>1382</v>
      </c>
      <c r="V263" s="1631" t="s">
        <v>1383</v>
      </c>
      <c r="W263" s="1632" t="s">
        <v>1306</v>
      </c>
      <c r="X263" s="1631" t="s">
        <v>1386</v>
      </c>
      <c r="Y263" s="1633" t="s">
        <v>1306</v>
      </c>
      <c r="Z263" s="1640" t="s">
        <v>12</v>
      </c>
      <c r="AA263" s="1633" t="s">
        <v>1307</v>
      </c>
      <c r="AB263" s="1686">
        <v>5</v>
      </c>
      <c r="AC263" s="1634"/>
      <c r="AD263" s="1635"/>
      <c r="AE263" s="1636"/>
      <c r="AF263" s="1636"/>
      <c r="AG263" s="1637" t="str">
        <f t="shared" si="71"/>
        <v>17建築物等に係る不具合等の状況-不具合等を把握した年月-年_5</v>
      </c>
      <c r="AI263" s="1636"/>
      <c r="AJ263" s="1636"/>
      <c r="AK263" s="1636"/>
    </row>
    <row r="264" spans="1:37" s="1637" customFormat="1" ht="18.75" customHeight="1" x14ac:dyDescent="0.15">
      <c r="A264" s="1578"/>
      <c r="B264" s="1627"/>
      <c r="C264" s="1627">
        <v>1</v>
      </c>
      <c r="D264" s="1672">
        <f>'1_入力シート【基本情報】'!$S$261</f>
        <v>0</v>
      </c>
      <c r="E264" s="1672">
        <f t="shared" si="82"/>
        <v>0</v>
      </c>
      <c r="F264" s="1672" t="str">
        <f t="shared" si="83"/>
        <v>0</v>
      </c>
      <c r="G264" s="1672" t="str">
        <f t="shared" si="84"/>
        <v>0</v>
      </c>
      <c r="H264" s="1628"/>
      <c r="I264" s="1660"/>
      <c r="J264" s="1531"/>
      <c r="K264" s="1627"/>
      <c r="L264" s="1627"/>
      <c r="M264" s="1629"/>
      <c r="N264" s="1627"/>
      <c r="O264" s="1627"/>
      <c r="P264" s="1627"/>
      <c r="Q264" s="1627"/>
      <c r="R264" s="1627"/>
      <c r="S264" s="1627"/>
      <c r="T264" s="1627"/>
      <c r="U264" s="1630" t="s">
        <v>1382</v>
      </c>
      <c r="V264" s="1631" t="s">
        <v>1383</v>
      </c>
      <c r="W264" s="1632" t="s">
        <v>1306</v>
      </c>
      <c r="X264" s="1631" t="s">
        <v>1386</v>
      </c>
      <c r="Y264" s="1633" t="s">
        <v>1306</v>
      </c>
      <c r="Z264" s="1640" t="s">
        <v>348</v>
      </c>
      <c r="AA264" s="1633" t="s">
        <v>1307</v>
      </c>
      <c r="AB264" s="1686">
        <v>5</v>
      </c>
      <c r="AC264" s="1634"/>
      <c r="AD264" s="1635"/>
      <c r="AE264" s="1636"/>
      <c r="AF264" s="1636"/>
      <c r="AG264" s="1637" t="str">
        <f t="shared" ref="AG264:AG307" si="85">CONCATENATE(U264,V264,W264,X264,Y264,Z264,AA264,AB264,AC264,AD264)</f>
        <v>17建築物等に係る不具合等の状況-不具合等を把握した年月-月_5</v>
      </c>
      <c r="AI264" s="1636"/>
      <c r="AJ264" s="1636"/>
      <c r="AK264" s="1636"/>
    </row>
    <row r="265" spans="1:37" s="1637" customFormat="1" ht="18.75" customHeight="1" x14ac:dyDescent="0.15">
      <c r="A265" s="1578"/>
      <c r="B265" s="1627"/>
      <c r="C265" s="1627">
        <v>1</v>
      </c>
      <c r="D265" s="1672">
        <f>'1_入力シート【基本情報】'!$V$261</f>
        <v>0</v>
      </c>
      <c r="E265" s="1672">
        <f t="shared" si="82"/>
        <v>0</v>
      </c>
      <c r="F265" s="1672" t="str">
        <f t="shared" si="83"/>
        <v>0</v>
      </c>
      <c r="G265" s="1672" t="str">
        <f t="shared" si="84"/>
        <v>0</v>
      </c>
      <c r="H265" s="1628"/>
      <c r="I265" s="1660"/>
      <c r="J265" s="1531"/>
      <c r="K265" s="1627"/>
      <c r="L265" s="1627"/>
      <c r="M265" s="1629"/>
      <c r="N265" s="1627"/>
      <c r="O265" s="1627"/>
      <c r="P265" s="1627"/>
      <c r="Q265" s="1627"/>
      <c r="R265" s="1627"/>
      <c r="S265" s="1627"/>
      <c r="T265" s="1627"/>
      <c r="U265" s="1630" t="s">
        <v>1382</v>
      </c>
      <c r="V265" s="1631" t="s">
        <v>1383</v>
      </c>
      <c r="W265" s="1632" t="s">
        <v>1306</v>
      </c>
      <c r="X265" s="1631" t="s">
        <v>351</v>
      </c>
      <c r="Y265" s="1633" t="s">
        <v>1307</v>
      </c>
      <c r="Z265" s="1762">
        <v>5</v>
      </c>
      <c r="AA265" s="1703"/>
      <c r="AB265" s="1631"/>
      <c r="AC265" s="1634"/>
      <c r="AD265" s="1635"/>
      <c r="AE265" s="1636"/>
      <c r="AF265" s="1636"/>
      <c r="AG265" s="1637" t="str">
        <f t="shared" si="85"/>
        <v>17建築物等に係る不具合等の状況-不具合等の概要_5</v>
      </c>
      <c r="AI265" s="1636"/>
      <c r="AJ265" s="1636"/>
      <c r="AK265" s="1636"/>
    </row>
    <row r="266" spans="1:37" s="1637" customFormat="1" ht="18.75" customHeight="1" x14ac:dyDescent="0.15">
      <c r="A266" s="1581"/>
      <c r="B266" s="1642"/>
      <c r="C266" s="1627">
        <v>1</v>
      </c>
      <c r="D266" s="1672">
        <f>'1_入力シート【基本情報】'!$AH$261</f>
        <v>0</v>
      </c>
      <c r="E266" s="1672">
        <f t="shared" si="82"/>
        <v>0</v>
      </c>
      <c r="F266" s="1672" t="str">
        <f t="shared" si="83"/>
        <v>0</v>
      </c>
      <c r="G266" s="1672" t="str">
        <f t="shared" si="84"/>
        <v>0</v>
      </c>
      <c r="H266" s="1628"/>
      <c r="I266" s="1660"/>
      <c r="J266" s="1531"/>
      <c r="K266" s="1627"/>
      <c r="L266" s="1627"/>
      <c r="M266" s="1629"/>
      <c r="N266" s="1627"/>
      <c r="O266" s="1627"/>
      <c r="P266" s="1627"/>
      <c r="Q266" s="1627"/>
      <c r="R266" s="1627"/>
      <c r="S266" s="1627"/>
      <c r="T266" s="1627"/>
      <c r="U266" s="1630" t="s">
        <v>1382</v>
      </c>
      <c r="V266" s="1631" t="s">
        <v>1383</v>
      </c>
      <c r="W266" s="1632" t="s">
        <v>1306</v>
      </c>
      <c r="X266" s="1631" t="s">
        <v>1233</v>
      </c>
      <c r="Y266" s="1633" t="s">
        <v>1307</v>
      </c>
      <c r="Z266" s="1762">
        <v>5</v>
      </c>
      <c r="AA266" s="1703"/>
      <c r="AB266" s="1631"/>
      <c r="AC266" s="1634"/>
      <c r="AD266" s="1635"/>
      <c r="AE266" s="1636"/>
      <c r="AF266" s="1636"/>
      <c r="AG266" s="1637" t="str">
        <f t="shared" si="85"/>
        <v>17建築物等に係る不具合等の状況-考えられる要因_5</v>
      </c>
      <c r="AI266" s="1636"/>
      <c r="AJ266" s="1636"/>
      <c r="AK266" s="1636"/>
    </row>
    <row r="267" spans="1:37" s="1637" customFormat="1" ht="18.75" customHeight="1" x14ac:dyDescent="0.15">
      <c r="A267" s="1581"/>
      <c r="B267" s="1642"/>
      <c r="C267" s="1627">
        <v>1</v>
      </c>
      <c r="D267" s="1672">
        <f>'1_入力シート【基本情報】'!$AT$261</f>
        <v>0</v>
      </c>
      <c r="E267" s="1672">
        <f t="shared" si="82"/>
        <v>0</v>
      </c>
      <c r="F267" s="1672" t="str">
        <f t="shared" si="83"/>
        <v>0</v>
      </c>
      <c r="G267" s="1672" t="str">
        <f t="shared" si="84"/>
        <v>0</v>
      </c>
      <c r="H267" s="1628"/>
      <c r="I267" s="1660"/>
      <c r="J267" s="1531"/>
      <c r="K267" s="1627"/>
      <c r="L267" s="1627"/>
      <c r="M267" s="1629"/>
      <c r="N267" s="1627"/>
      <c r="O267" s="1627"/>
      <c r="P267" s="1627"/>
      <c r="Q267" s="1627"/>
      <c r="R267" s="1627"/>
      <c r="S267" s="1627"/>
      <c r="T267" s="1627"/>
      <c r="U267" s="1630" t="s">
        <v>1382</v>
      </c>
      <c r="V267" s="1631" t="s">
        <v>1383</v>
      </c>
      <c r="W267" s="1632" t="s">
        <v>1306</v>
      </c>
      <c r="X267" s="1631" t="s">
        <v>878</v>
      </c>
      <c r="Y267" s="1633" t="s">
        <v>1307</v>
      </c>
      <c r="Z267" s="1762">
        <v>5</v>
      </c>
      <c r="AA267" s="1633"/>
      <c r="AB267" s="1631"/>
      <c r="AC267" s="1634"/>
      <c r="AD267" s="1635"/>
      <c r="AE267" s="1636"/>
      <c r="AF267" s="1636"/>
      <c r="AG267" s="1637" t="str">
        <f t="shared" si="85"/>
        <v>17建築物等に係る不具合等の状況-改善の状況_5</v>
      </c>
      <c r="AI267" s="1636"/>
      <c r="AJ267" s="1636"/>
      <c r="AK267" s="1636"/>
    </row>
    <row r="268" spans="1:37" s="1637" customFormat="1" ht="18.75" customHeight="1" x14ac:dyDescent="0.15">
      <c r="A268" s="1581"/>
      <c r="B268" s="1642"/>
      <c r="C268" s="1627">
        <v>1</v>
      </c>
      <c r="D268" s="1672">
        <f>'1_入力シート【基本情報】'!$AZ$261</f>
        <v>0</v>
      </c>
      <c r="E268" s="1672">
        <f t="shared" si="82"/>
        <v>0</v>
      </c>
      <c r="F268" s="1672" t="str">
        <f t="shared" si="83"/>
        <v>0</v>
      </c>
      <c r="G268" s="1672" t="str">
        <f t="shared" si="84"/>
        <v>0</v>
      </c>
      <c r="H268" s="1628"/>
      <c r="I268" s="1660"/>
      <c r="J268" s="1531"/>
      <c r="K268" s="1627"/>
      <c r="L268" s="1627"/>
      <c r="M268" s="1629"/>
      <c r="N268" s="1627"/>
      <c r="O268" s="1627"/>
      <c r="P268" s="1627"/>
      <c r="Q268" s="1627"/>
      <c r="R268" s="1627"/>
      <c r="S268" s="1627"/>
      <c r="T268" s="1627"/>
      <c r="U268" s="1630" t="s">
        <v>1382</v>
      </c>
      <c r="V268" s="1631" t="s">
        <v>1383</v>
      </c>
      <c r="W268" s="1632" t="s">
        <v>1306</v>
      </c>
      <c r="X268" s="1631" t="s">
        <v>352</v>
      </c>
      <c r="Y268" s="1633" t="s">
        <v>1306</v>
      </c>
      <c r="Z268" s="1631" t="s">
        <v>1387</v>
      </c>
      <c r="AA268" s="1633" t="s">
        <v>1307</v>
      </c>
      <c r="AB268" s="1686">
        <v>5</v>
      </c>
      <c r="AC268" s="1634"/>
      <c r="AD268" s="1635"/>
      <c r="AE268" s="1636"/>
      <c r="AF268" s="1636"/>
      <c r="AG268" s="1637" t="str">
        <f t="shared" si="85"/>
        <v>17建築物等に係る不具合等の状況-改善（予定）年月-年（令和）_5</v>
      </c>
      <c r="AI268" s="1636"/>
      <c r="AJ268" s="1636"/>
      <c r="AK268" s="1636"/>
    </row>
    <row r="269" spans="1:37" s="1637" customFormat="1" ht="18.75" customHeight="1" x14ac:dyDescent="0.15">
      <c r="A269" s="1581"/>
      <c r="B269" s="1642"/>
      <c r="C269" s="1627">
        <v>1</v>
      </c>
      <c r="D269" s="1672">
        <f>'1_入力シート【基本情報】'!$BC$261</f>
        <v>0</v>
      </c>
      <c r="E269" s="1672">
        <f t="shared" si="82"/>
        <v>0</v>
      </c>
      <c r="F269" s="1672" t="str">
        <f t="shared" si="83"/>
        <v>0</v>
      </c>
      <c r="G269" s="1672" t="str">
        <f t="shared" si="84"/>
        <v>0</v>
      </c>
      <c r="H269" s="1628"/>
      <c r="I269" s="1660"/>
      <c r="J269" s="1531"/>
      <c r="K269" s="1627"/>
      <c r="L269" s="1627"/>
      <c r="M269" s="1629"/>
      <c r="N269" s="1627"/>
      <c r="O269" s="1627"/>
      <c r="P269" s="1627"/>
      <c r="Q269" s="1627"/>
      <c r="R269" s="1627"/>
      <c r="S269" s="1627"/>
      <c r="T269" s="1627"/>
      <c r="U269" s="1630" t="s">
        <v>1382</v>
      </c>
      <c r="V269" s="1631" t="s">
        <v>1383</v>
      </c>
      <c r="W269" s="1632" t="s">
        <v>1306</v>
      </c>
      <c r="X269" s="1631" t="s">
        <v>352</v>
      </c>
      <c r="Y269" s="1633" t="s">
        <v>1306</v>
      </c>
      <c r="Z269" s="1640" t="s">
        <v>348</v>
      </c>
      <c r="AA269" s="1633" t="s">
        <v>1307</v>
      </c>
      <c r="AB269" s="1686">
        <v>5</v>
      </c>
      <c r="AC269" s="1634"/>
      <c r="AD269" s="1635"/>
      <c r="AE269" s="1636"/>
      <c r="AF269" s="1636"/>
      <c r="AG269" s="1637" t="str">
        <f t="shared" si="85"/>
        <v>17建築物等に係る不具合等の状況-改善（予定）年月-月_5</v>
      </c>
      <c r="AI269" s="1636"/>
      <c r="AJ269" s="1636"/>
      <c r="AK269" s="1636"/>
    </row>
    <row r="270" spans="1:37" s="1637" customFormat="1" ht="18.75" customHeight="1" x14ac:dyDescent="0.15">
      <c r="A270" s="1578"/>
      <c r="B270" s="1627"/>
      <c r="C270" s="1627">
        <v>1</v>
      </c>
      <c r="D270" s="1672">
        <f>'1_入力シート【基本情報】'!$BF$261</f>
        <v>0</v>
      </c>
      <c r="E270" s="1672">
        <f t="shared" si="82"/>
        <v>0</v>
      </c>
      <c r="F270" s="1672" t="str">
        <f t="shared" si="83"/>
        <v>0</v>
      </c>
      <c r="G270" s="1672" t="str">
        <f t="shared" si="84"/>
        <v>0</v>
      </c>
      <c r="H270" s="1628"/>
      <c r="I270" s="1660"/>
      <c r="J270" s="1531"/>
      <c r="K270" s="1627"/>
      <c r="L270" s="1627"/>
      <c r="M270" s="1629"/>
      <c r="N270" s="1627"/>
      <c r="O270" s="1627"/>
      <c r="P270" s="1627"/>
      <c r="Q270" s="1627"/>
      <c r="R270" s="1627"/>
      <c r="S270" s="1627"/>
      <c r="T270" s="1627"/>
      <c r="U270" s="1630" t="s">
        <v>1382</v>
      </c>
      <c r="V270" s="1631" t="s">
        <v>1383</v>
      </c>
      <c r="W270" s="1632" t="s">
        <v>1306</v>
      </c>
      <c r="X270" s="1639" t="s">
        <v>1388</v>
      </c>
      <c r="Y270" s="1633" t="s">
        <v>1307</v>
      </c>
      <c r="Z270" s="1762">
        <v>5</v>
      </c>
      <c r="AA270" s="1633"/>
      <c r="AB270" s="1631"/>
      <c r="AC270" s="1634"/>
      <c r="AD270" s="1635"/>
      <c r="AE270" s="1636"/>
      <c r="AF270" s="1636"/>
      <c r="AG270" s="1637" t="str">
        <f t="shared" si="85"/>
        <v>17建築物等に係る不具合等の状況-改善措置の概要等又は改善の予定がない場合は理由_5</v>
      </c>
      <c r="AI270" s="1636"/>
      <c r="AJ270" s="1636"/>
      <c r="AK270" s="1636"/>
    </row>
    <row r="271" spans="1:37" s="1637" customFormat="1" ht="18.75" customHeight="1" x14ac:dyDescent="0.15">
      <c r="A271" s="1627"/>
      <c r="B271" s="1627"/>
      <c r="C271" s="1627">
        <v>1</v>
      </c>
      <c r="D271" s="1625">
        <f>'1_入力シート【基本情報】'!$AB$267</f>
        <v>0</v>
      </c>
      <c r="E271" s="1672">
        <f t="shared" si="82"/>
        <v>0</v>
      </c>
      <c r="F271" s="1672" t="str">
        <f t="shared" si="83"/>
        <v>0</v>
      </c>
      <c r="G271" s="1672" t="str">
        <f t="shared" si="84"/>
        <v>0</v>
      </c>
      <c r="H271" s="1628"/>
      <c r="I271" s="1644"/>
      <c r="J271" s="1531"/>
      <c r="K271" s="1627"/>
      <c r="L271" s="1627"/>
      <c r="M271" s="1629"/>
      <c r="N271" s="1627"/>
      <c r="O271" s="1627"/>
      <c r="P271" s="1627"/>
      <c r="Q271" s="1627"/>
      <c r="R271" s="1627"/>
      <c r="S271" s="1627"/>
      <c r="T271" s="1627"/>
      <c r="U271" s="1630" t="s">
        <v>1389</v>
      </c>
      <c r="V271" s="1686" t="s">
        <v>1369</v>
      </c>
      <c r="W271" s="1632" t="s">
        <v>1306</v>
      </c>
      <c r="X271" s="1639" t="s">
        <v>1390</v>
      </c>
      <c r="Y271" s="1633"/>
      <c r="Z271" s="1640"/>
      <c r="AA271" s="1633"/>
      <c r="AB271" s="1656"/>
      <c r="AC271" s="1634"/>
      <c r="AD271" s="1635"/>
      <c r="AE271" s="1636"/>
      <c r="AF271" s="1636"/>
      <c r="AG271" s="1637" t="str">
        <f t="shared" si="85"/>
        <v>18備考-備考（3）</v>
      </c>
      <c r="AI271" s="1636"/>
      <c r="AJ271" s="1636"/>
      <c r="AK271" s="1636"/>
    </row>
    <row r="272" spans="1:37" s="1457" customFormat="1" ht="18.75" customHeight="1" x14ac:dyDescent="0.15">
      <c r="A272" s="1578"/>
      <c r="B272" s="1536" t="s">
        <v>2928</v>
      </c>
      <c r="C272" s="1462">
        <v>2</v>
      </c>
      <c r="D272" s="1650" t="str">
        <f>'1_入力シート【基本情報】'!$DT$272</f>
        <v/>
      </c>
      <c r="E272" s="1650" t="str">
        <f t="shared" si="82"/>
        <v/>
      </c>
      <c r="F272" s="1650" t="str">
        <f t="shared" si="83"/>
        <v/>
      </c>
      <c r="G272" s="1650" t="str">
        <f t="shared" si="84"/>
        <v/>
      </c>
      <c r="H272" s="1468"/>
      <c r="I272" s="1660"/>
      <c r="J272" s="1531"/>
      <c r="K272" s="1462" t="s">
        <v>3186</v>
      </c>
      <c r="L272" s="1462"/>
      <c r="M272" s="1493" t="s">
        <v>3187</v>
      </c>
      <c r="N272" s="1462"/>
      <c r="O272" s="1462"/>
      <c r="P272" s="1462"/>
      <c r="Q272" s="1462"/>
      <c r="R272" s="1462"/>
      <c r="S272" s="1462" t="str">
        <f t="shared" ref="S272:S273" si="86">CONCATENATE(K272,L272,M272,N272,O272,P272,Q272)</f>
        <v>全面打診[使用有]</v>
      </c>
      <c r="T272" s="1462"/>
      <c r="U272" s="1469" t="s">
        <v>1391</v>
      </c>
      <c r="V272" s="1486" t="s">
        <v>1392</v>
      </c>
      <c r="W272" s="1471" t="s">
        <v>1306</v>
      </c>
      <c r="X272" s="1472" t="s">
        <v>2441</v>
      </c>
      <c r="Y272" s="1473" t="s">
        <v>1306</v>
      </c>
      <c r="Z272" s="1474" t="s">
        <v>3148</v>
      </c>
      <c r="AA272" s="1473"/>
      <c r="AB272" s="1487"/>
      <c r="AC272" s="1475"/>
      <c r="AD272" s="1476"/>
      <c r="AE272" s="1477"/>
      <c r="AF272" s="1477"/>
      <c r="AG272" s="1457" t="str">
        <f t="shared" si="85"/>
        <v>19外装仕上げ材等について-外装仕上材のタイル・石貼り等、モルタル塗り等の使用-有</v>
      </c>
      <c r="AI272" s="1459"/>
      <c r="AJ272" s="1459"/>
      <c r="AK272" s="1459"/>
    </row>
    <row r="273" spans="1:41" s="1457" customFormat="1" ht="18.75" customHeight="1" x14ac:dyDescent="0.15">
      <c r="A273" s="1578"/>
      <c r="B273" s="1536" t="s">
        <v>2928</v>
      </c>
      <c r="C273" s="1462">
        <v>2</v>
      </c>
      <c r="D273" s="1650" t="str">
        <f>'1_入力シート【基本情報】'!$DT$273</f>
        <v/>
      </c>
      <c r="E273" s="1650" t="str">
        <f t="shared" si="82"/>
        <v/>
      </c>
      <c r="F273" s="1650" t="str">
        <f t="shared" si="83"/>
        <v/>
      </c>
      <c r="G273" s="1650" t="str">
        <f t="shared" si="84"/>
        <v/>
      </c>
      <c r="H273" s="1468"/>
      <c r="I273" s="1660"/>
      <c r="J273" s="1531"/>
      <c r="K273" s="1462" t="s">
        <v>3186</v>
      </c>
      <c r="L273" s="1462"/>
      <c r="M273" s="1493" t="s">
        <v>3188</v>
      </c>
      <c r="N273" s="1462"/>
      <c r="O273" s="1462"/>
      <c r="P273" s="1462"/>
      <c r="Q273" s="1462"/>
      <c r="R273" s="1462"/>
      <c r="S273" s="1462" t="str">
        <f t="shared" si="86"/>
        <v>全面打診[使用無]</v>
      </c>
      <c r="T273" s="1462"/>
      <c r="U273" s="1469" t="s">
        <v>1391</v>
      </c>
      <c r="V273" s="1486" t="s">
        <v>1392</v>
      </c>
      <c r="W273" s="1471" t="s">
        <v>1306</v>
      </c>
      <c r="X273" s="1472" t="s">
        <v>2441</v>
      </c>
      <c r="Y273" s="1473" t="s">
        <v>1306</v>
      </c>
      <c r="Z273" s="1474" t="s">
        <v>3155</v>
      </c>
      <c r="AA273" s="1473"/>
      <c r="AB273" s="1487"/>
      <c r="AC273" s="1475"/>
      <c r="AD273" s="1476"/>
      <c r="AE273" s="1477"/>
      <c r="AF273" s="1477"/>
      <c r="AG273" s="1457" t="str">
        <f t="shared" si="85"/>
        <v>19外装仕上げ材等について-外装仕上材のタイル・石貼り等、モルタル塗り等の使用-無</v>
      </c>
      <c r="AI273" s="1459"/>
      <c r="AJ273" s="1459"/>
      <c r="AK273" s="1459"/>
    </row>
    <row r="274" spans="1:41" ht="18.75" customHeight="1" x14ac:dyDescent="0.15">
      <c r="A274" s="1578"/>
      <c r="B274" s="1462"/>
      <c r="C274" s="1462">
        <v>1</v>
      </c>
      <c r="D274" s="1450">
        <f>'1_入力シート【基本情報】'!$AB$274</f>
        <v>0</v>
      </c>
      <c r="E274" s="1650">
        <f t="shared" si="82"/>
        <v>0</v>
      </c>
      <c r="F274" s="1650" t="str">
        <f t="shared" si="83"/>
        <v>0</v>
      </c>
      <c r="G274" s="1650" t="str">
        <f t="shared" si="84"/>
        <v>0</v>
      </c>
      <c r="H274" s="1468"/>
      <c r="I274" s="1660"/>
      <c r="J274" s="1531"/>
      <c r="K274" s="1462" t="s">
        <v>3186</v>
      </c>
      <c r="L274" s="1462" t="s">
        <v>1307</v>
      </c>
      <c r="M274" s="1493" t="s">
        <v>3189</v>
      </c>
      <c r="N274" s="1462"/>
      <c r="O274" s="1462"/>
      <c r="P274" s="1462"/>
      <c r="Q274" s="1462"/>
      <c r="R274" s="1462"/>
      <c r="S274" s="1462" t="str">
        <f t="shared" ref="S274:S286" si="87">CONCATENATE(K274,L274,M274,N274,O274,P274,Q274)</f>
        <v>全面打診_状況</v>
      </c>
      <c r="T274" s="1462"/>
      <c r="U274" s="1469" t="s">
        <v>1391</v>
      </c>
      <c r="V274" s="1486" t="s">
        <v>1392</v>
      </c>
      <c r="W274" s="1471"/>
      <c r="X274" s="1472" t="s">
        <v>1714</v>
      </c>
      <c r="Y274" s="1473"/>
      <c r="Z274" s="1474"/>
      <c r="AA274" s="1473"/>
      <c r="AB274" s="1470"/>
      <c r="AC274" s="1475"/>
      <c r="AD274" s="1476"/>
      <c r="AE274" s="1477"/>
      <c r="AF274" s="1477"/>
      <c r="AG274" s="1457" t="str">
        <f t="shared" si="85"/>
        <v>19外装仕上げ材等について全面打診等の実施状況</v>
      </c>
      <c r="AI274" s="1459"/>
      <c r="AJ274" s="1459"/>
      <c r="AK274" s="1459"/>
    </row>
    <row r="275" spans="1:41" ht="18.75" customHeight="1" x14ac:dyDescent="0.15">
      <c r="A275" s="1578"/>
      <c r="B275" s="1462"/>
      <c r="C275" s="1462">
        <v>1</v>
      </c>
      <c r="D275" s="1650">
        <f>'1_入力シート【基本情報】'!$AH$275</f>
        <v>0</v>
      </c>
      <c r="E275" s="1650">
        <f t="shared" si="82"/>
        <v>0</v>
      </c>
      <c r="F275" s="1650" t="str">
        <f t="shared" si="83"/>
        <v>0</v>
      </c>
      <c r="G275" s="1650" t="str">
        <f t="shared" si="84"/>
        <v>0</v>
      </c>
      <c r="H275" s="1468"/>
      <c r="I275" s="1660"/>
      <c r="J275" s="1531"/>
      <c r="K275" s="1462" t="s">
        <v>3186</v>
      </c>
      <c r="L275" s="1462" t="s">
        <v>1307</v>
      </c>
      <c r="M275" s="1493" t="s">
        <v>3149</v>
      </c>
      <c r="N275" s="1462"/>
      <c r="O275" s="1462"/>
      <c r="P275" s="1462"/>
      <c r="Q275" s="1462"/>
      <c r="R275" s="1462"/>
      <c r="S275" s="1462" t="str">
        <f t="shared" si="87"/>
        <v>全面打診_元号</v>
      </c>
      <c r="T275" s="1462"/>
      <c r="U275" s="1469" t="s">
        <v>1391</v>
      </c>
      <c r="V275" s="1486" t="s">
        <v>1392</v>
      </c>
      <c r="W275" s="1471" t="s">
        <v>1306</v>
      </c>
      <c r="X275" s="1472" t="s">
        <v>1714</v>
      </c>
      <c r="Y275" s="1473" t="s">
        <v>1306</v>
      </c>
      <c r="Z275" s="1474" t="s">
        <v>1393</v>
      </c>
      <c r="AA275" s="1473" t="s">
        <v>1306</v>
      </c>
      <c r="AB275" s="1470" t="s">
        <v>1102</v>
      </c>
      <c r="AC275" s="1475"/>
      <c r="AD275" s="1476"/>
      <c r="AE275" s="1477"/>
      <c r="AF275" s="1477"/>
      <c r="AG275" s="1457" t="str">
        <f t="shared" si="85"/>
        <v>19外装仕上げ材等について-全面打診等の実施状況-時期：-元号</v>
      </c>
      <c r="AI275" s="1459"/>
      <c r="AJ275" s="1459"/>
      <c r="AK275" s="1459"/>
    </row>
    <row r="276" spans="1:41" ht="18.75" customHeight="1" x14ac:dyDescent="0.15">
      <c r="A276" s="1578"/>
      <c r="B276" s="1462"/>
      <c r="C276" s="1462">
        <v>1</v>
      </c>
      <c r="D276" s="1650">
        <f>'1_入力シート【基本情報】'!$AK$275</f>
        <v>0</v>
      </c>
      <c r="E276" s="1650">
        <f t="shared" si="82"/>
        <v>0</v>
      </c>
      <c r="F276" s="1650" t="str">
        <f t="shared" si="83"/>
        <v>0</v>
      </c>
      <c r="G276" s="1650" t="str">
        <f t="shared" si="84"/>
        <v>0</v>
      </c>
      <c r="H276" s="1468"/>
      <c r="I276" s="1660"/>
      <c r="J276" s="1531"/>
      <c r="K276" s="1462" t="s">
        <v>3186</v>
      </c>
      <c r="L276" s="1462" t="s">
        <v>1307</v>
      </c>
      <c r="M276" s="1493" t="s">
        <v>3150</v>
      </c>
      <c r="N276" s="1462"/>
      <c r="O276" s="1462"/>
      <c r="P276" s="1462"/>
      <c r="Q276" s="1462"/>
      <c r="R276" s="1462"/>
      <c r="S276" s="1462" t="str">
        <f t="shared" si="87"/>
        <v>全面打診_和暦年</v>
      </c>
      <c r="T276" s="1462"/>
      <c r="U276" s="1469" t="s">
        <v>1391</v>
      </c>
      <c r="V276" s="1486" t="s">
        <v>1392</v>
      </c>
      <c r="W276" s="1471" t="s">
        <v>1306</v>
      </c>
      <c r="X276" s="1472" t="s">
        <v>1714</v>
      </c>
      <c r="Y276" s="1473" t="s">
        <v>1306</v>
      </c>
      <c r="Z276" s="1474" t="s">
        <v>1393</v>
      </c>
      <c r="AA276" s="1505" t="s">
        <v>1306</v>
      </c>
      <c r="AB276" s="1470" t="s">
        <v>12</v>
      </c>
      <c r="AC276" s="1475"/>
      <c r="AD276" s="1476"/>
      <c r="AE276" s="1477"/>
      <c r="AF276" s="1477"/>
      <c r="AG276" s="1457" t="str">
        <f t="shared" si="85"/>
        <v>19外装仕上げ材等について-全面打診等の実施状況-時期：-年</v>
      </c>
      <c r="AI276" s="1459"/>
      <c r="AJ276" s="1459"/>
      <c r="AK276" s="1459"/>
    </row>
    <row r="277" spans="1:41" ht="18.75" customHeight="1" x14ac:dyDescent="0.15">
      <c r="A277" s="1578"/>
      <c r="B277" s="1462"/>
      <c r="C277" s="1462">
        <v>1</v>
      </c>
      <c r="D277" s="1650">
        <f>'1_入力シート【基本情報】'!$AP$275</f>
        <v>0</v>
      </c>
      <c r="E277" s="1650">
        <f t="shared" si="82"/>
        <v>0</v>
      </c>
      <c r="F277" s="1650" t="str">
        <f t="shared" si="83"/>
        <v>0</v>
      </c>
      <c r="G277" s="1650" t="str">
        <f t="shared" si="84"/>
        <v>0</v>
      </c>
      <c r="H277" s="1468"/>
      <c r="I277" s="1660"/>
      <c r="J277" s="1531"/>
      <c r="K277" s="1462" t="s">
        <v>3186</v>
      </c>
      <c r="L277" s="1462" t="s">
        <v>1307</v>
      </c>
      <c r="M277" s="1493" t="s">
        <v>3151</v>
      </c>
      <c r="N277" s="1462"/>
      <c r="O277" s="1462"/>
      <c r="P277" s="1462"/>
      <c r="Q277" s="1462"/>
      <c r="R277" s="1462"/>
      <c r="S277" s="1462" t="str">
        <f t="shared" si="87"/>
        <v>全面打診_月</v>
      </c>
      <c r="T277" s="1462"/>
      <c r="U277" s="1469" t="s">
        <v>1391</v>
      </c>
      <c r="V277" s="1486" t="s">
        <v>1392</v>
      </c>
      <c r="W277" s="1471" t="s">
        <v>1306</v>
      </c>
      <c r="X277" s="1472" t="s">
        <v>1714</v>
      </c>
      <c r="Y277" s="1473" t="s">
        <v>1306</v>
      </c>
      <c r="Z277" s="1474" t="s">
        <v>1393</v>
      </c>
      <c r="AA277" s="1505" t="s">
        <v>1306</v>
      </c>
      <c r="AB277" s="1470" t="s">
        <v>1394</v>
      </c>
      <c r="AC277" s="1475"/>
      <c r="AD277" s="1476"/>
      <c r="AE277" s="1477"/>
      <c r="AF277" s="1477"/>
      <c r="AG277" s="1457" t="str">
        <f t="shared" si="85"/>
        <v>19外装仕上げ材等について-全面打診等の実施状況-時期：-月に</v>
      </c>
      <c r="AI277" s="1459"/>
      <c r="AJ277" s="1459"/>
      <c r="AK277" s="1459"/>
    </row>
    <row r="278" spans="1:41" ht="18.75" customHeight="1" x14ac:dyDescent="0.15">
      <c r="A278" s="1578"/>
      <c r="B278" s="1462"/>
      <c r="C278" s="1462">
        <v>1</v>
      </c>
      <c r="D278" s="1650">
        <f>'1_入力シート【基本情報】'!$AH$276</f>
        <v>0</v>
      </c>
      <c r="E278" s="1650">
        <f t="shared" si="82"/>
        <v>0</v>
      </c>
      <c r="F278" s="1650" t="str">
        <f t="shared" si="83"/>
        <v>0</v>
      </c>
      <c r="G278" s="1650" t="str">
        <f t="shared" si="84"/>
        <v>0</v>
      </c>
      <c r="H278" s="1468"/>
      <c r="I278" s="1660"/>
      <c r="J278" s="1531"/>
      <c r="K278" s="1462" t="s">
        <v>3186</v>
      </c>
      <c r="L278" s="1462" t="s">
        <v>1307</v>
      </c>
      <c r="M278" s="1493" t="s">
        <v>3190</v>
      </c>
      <c r="N278" s="1462"/>
      <c r="O278" s="1462"/>
      <c r="P278" s="1462"/>
      <c r="Q278" s="1462"/>
      <c r="R278" s="1462"/>
      <c r="S278" s="1462" t="str">
        <f t="shared" si="87"/>
        <v>全面打診_備考</v>
      </c>
      <c r="T278" s="1462"/>
      <c r="U278" s="1469" t="s">
        <v>1391</v>
      </c>
      <c r="V278" s="1486" t="s">
        <v>1392</v>
      </c>
      <c r="W278" s="1471" t="s">
        <v>1306</v>
      </c>
      <c r="X278" s="1472" t="s">
        <v>1714</v>
      </c>
      <c r="Y278" s="1473" t="s">
        <v>1306</v>
      </c>
      <c r="Z278" s="1474" t="s">
        <v>1395</v>
      </c>
      <c r="AA278" s="1505"/>
      <c r="AB278" s="1470"/>
      <c r="AC278" s="1475"/>
      <c r="AD278" s="1476"/>
      <c r="AE278" s="1477"/>
      <c r="AF278" s="1477"/>
      <c r="AG278" s="1457" t="str">
        <f t="shared" si="85"/>
        <v>19外装仕上げ材等について-全面打診等の実施状況-理由：</v>
      </c>
      <c r="AI278" s="1459"/>
      <c r="AJ278" s="1459"/>
      <c r="AK278" s="1459"/>
    </row>
    <row r="279" spans="1:41" s="1449" customFormat="1" ht="18.75" customHeight="1" x14ac:dyDescent="0.15">
      <c r="A279" s="1478"/>
      <c r="B279" s="1478"/>
      <c r="C279" s="1478">
        <v>1</v>
      </c>
      <c r="D279" s="1467">
        <f>'1_入力シート【基本情報】'!$AB$279</f>
        <v>0</v>
      </c>
      <c r="E279" s="1765">
        <f t="shared" si="82"/>
        <v>0</v>
      </c>
      <c r="F279" s="1765" t="str">
        <f t="shared" si="83"/>
        <v>0</v>
      </c>
      <c r="G279" s="1765" t="str">
        <f t="shared" si="84"/>
        <v>0</v>
      </c>
      <c r="H279" s="1766"/>
      <c r="I279" s="1644"/>
      <c r="J279" s="1531"/>
      <c r="K279" s="1478" t="s">
        <v>3191</v>
      </c>
      <c r="L279" s="1478"/>
      <c r="M279" s="1549"/>
      <c r="N279" s="1478"/>
      <c r="O279" s="1478"/>
      <c r="P279" s="1478"/>
      <c r="Q279" s="1478"/>
      <c r="R279" s="1478"/>
      <c r="S279" s="1462" t="str">
        <f t="shared" si="87"/>
        <v>直通階段の数</v>
      </c>
      <c r="T279" s="1478"/>
      <c r="U279" s="1469" t="s">
        <v>2427</v>
      </c>
      <c r="V279" s="1486" t="s">
        <v>2428</v>
      </c>
      <c r="W279" s="1471" t="s">
        <v>1366</v>
      </c>
      <c r="X279" s="1472" t="s">
        <v>2429</v>
      </c>
      <c r="Y279" s="1473"/>
      <c r="Z279" s="1474"/>
      <c r="AA279" s="1505"/>
      <c r="AB279" s="1470"/>
      <c r="AC279" s="1475"/>
      <c r="AD279" s="1476"/>
      <c r="AE279" s="1477"/>
      <c r="AF279" s="1477"/>
      <c r="AG279" s="1466" t="str">
        <f t="shared" si="85"/>
        <v>20直通階段の数について-直通階段の数</v>
      </c>
      <c r="AH279" s="1466"/>
      <c r="AI279" s="1477"/>
      <c r="AJ279" s="1477"/>
      <c r="AK279" s="1477"/>
      <c r="AL279" s="1466"/>
      <c r="AM279" s="1466"/>
      <c r="AN279" s="1466"/>
      <c r="AO279" s="1466"/>
    </row>
    <row r="280" spans="1:41" ht="18.75" customHeight="1" x14ac:dyDescent="0.15">
      <c r="A280" s="1578"/>
      <c r="B280" s="1462"/>
      <c r="C280" s="1462">
        <v>1</v>
      </c>
      <c r="D280" s="1650">
        <f>'1_入力シート【基本情報】'!$AB$282</f>
        <v>0</v>
      </c>
      <c r="E280" s="1650">
        <f t="shared" si="82"/>
        <v>0</v>
      </c>
      <c r="F280" s="1650" t="str">
        <f t="shared" si="83"/>
        <v>0</v>
      </c>
      <c r="G280" s="1650" t="str">
        <f t="shared" si="84"/>
        <v>0</v>
      </c>
      <c r="H280" s="1468" t="s">
        <v>3211</v>
      </c>
      <c r="I280" s="1660"/>
      <c r="J280" s="1531"/>
      <c r="K280" s="1462" t="s">
        <v>3212</v>
      </c>
      <c r="L280" s="1462" t="s">
        <v>1307</v>
      </c>
      <c r="M280" s="1462" t="s">
        <v>3196</v>
      </c>
      <c r="N280" s="1462" t="s">
        <v>1307</v>
      </c>
      <c r="O280" s="1493" t="s">
        <v>3197</v>
      </c>
      <c r="P280" s="1462"/>
      <c r="Q280" s="1462"/>
      <c r="R280" s="1462"/>
      <c r="S280" s="1462" t="str">
        <f t="shared" si="87"/>
        <v>チェック用_建築設備_有無</v>
      </c>
      <c r="T280" s="1462"/>
      <c r="U280" s="1469">
        <v>21</v>
      </c>
      <c r="V280" s="1486" t="s">
        <v>1396</v>
      </c>
      <c r="W280" s="1471" t="s">
        <v>1306</v>
      </c>
      <c r="X280" s="1472" t="s">
        <v>1397</v>
      </c>
      <c r="Y280" s="1473" t="s">
        <v>1306</v>
      </c>
      <c r="Z280" s="1474" t="s">
        <v>685</v>
      </c>
      <c r="AA280" s="1505"/>
      <c r="AB280" s="1476"/>
      <c r="AC280" s="1475"/>
      <c r="AD280" s="1476"/>
      <c r="AE280" s="1477"/>
      <c r="AF280" s="1477"/>
      <c r="AG280" s="1457" t="str">
        <f t="shared" si="85"/>
        <v>21設備（法第12条第三項関係など）-建築設備-有無</v>
      </c>
      <c r="AI280" s="1459"/>
      <c r="AJ280" s="1459"/>
      <c r="AK280" s="1459"/>
    </row>
    <row r="281" spans="1:41" ht="18.75" customHeight="1" x14ac:dyDescent="0.15">
      <c r="A281" s="1581"/>
      <c r="B281" s="1480"/>
      <c r="C281" s="1462">
        <v>1</v>
      </c>
      <c r="D281" s="1650">
        <f>'1_入力シート【基本情報】'!$AB$286</f>
        <v>0</v>
      </c>
      <c r="E281" s="1650">
        <f t="shared" si="82"/>
        <v>0</v>
      </c>
      <c r="F281" s="1650" t="str">
        <f t="shared" si="83"/>
        <v>0</v>
      </c>
      <c r="G281" s="1650" t="str">
        <f t="shared" si="84"/>
        <v>0</v>
      </c>
      <c r="H281" s="1468" t="s">
        <v>3211</v>
      </c>
      <c r="I281" s="1660"/>
      <c r="J281" s="1531"/>
      <c r="K281" s="1462" t="s">
        <v>3212</v>
      </c>
      <c r="L281" s="1462" t="s">
        <v>1307</v>
      </c>
      <c r="M281" s="1462" t="s">
        <v>3196</v>
      </c>
      <c r="N281" s="1462" t="s">
        <v>1307</v>
      </c>
      <c r="O281" s="1493" t="s">
        <v>699</v>
      </c>
      <c r="P281" s="1462"/>
      <c r="Q281" s="1462"/>
      <c r="R281" s="1462"/>
      <c r="S281" s="1462" t="str">
        <f t="shared" si="87"/>
        <v>チェック用_建築設備_定期報告対象</v>
      </c>
      <c r="T281" s="1462"/>
      <c r="U281" s="1469">
        <v>21</v>
      </c>
      <c r="V281" s="1486" t="s">
        <v>1396</v>
      </c>
      <c r="W281" s="1471" t="s">
        <v>1306</v>
      </c>
      <c r="X281" s="1472" t="s">
        <v>1397</v>
      </c>
      <c r="Y281" s="1473" t="s">
        <v>1306</v>
      </c>
      <c r="Z281" s="1474" t="s">
        <v>699</v>
      </c>
      <c r="AA281" s="1473"/>
      <c r="AB281" s="1470"/>
      <c r="AC281" s="1475"/>
      <c r="AD281" s="1476"/>
      <c r="AE281" s="1477"/>
      <c r="AF281" s="1477"/>
      <c r="AG281" s="1457" t="str">
        <f t="shared" si="85"/>
        <v>21設備（法第12条第三項関係など）-建築設備-定期報告対象</v>
      </c>
      <c r="AI281" s="1459"/>
      <c r="AJ281" s="1459"/>
      <c r="AK281" s="1459"/>
    </row>
    <row r="282" spans="1:41" ht="18.75" customHeight="1" x14ac:dyDescent="0.15">
      <c r="A282" s="1581"/>
      <c r="B282" s="1480"/>
      <c r="C282" s="1462">
        <v>1</v>
      </c>
      <c r="D282" s="1650">
        <f>'1_入力シート【基本情報】'!$AB$287</f>
        <v>0</v>
      </c>
      <c r="E282" s="1650">
        <f t="shared" si="82"/>
        <v>0</v>
      </c>
      <c r="F282" s="1650" t="str">
        <f t="shared" si="83"/>
        <v>0</v>
      </c>
      <c r="G282" s="1650" t="str">
        <f t="shared" si="84"/>
        <v>0</v>
      </c>
      <c r="H282" s="1468" t="s">
        <v>3211</v>
      </c>
      <c r="I282" s="1660"/>
      <c r="J282" s="1531"/>
      <c r="K282" s="1462" t="s">
        <v>3212</v>
      </c>
      <c r="L282" s="1462" t="s">
        <v>1307</v>
      </c>
      <c r="M282" s="1462" t="s">
        <v>3198</v>
      </c>
      <c r="N282" s="1462" t="s">
        <v>1307</v>
      </c>
      <c r="O282" s="1493" t="s">
        <v>3197</v>
      </c>
      <c r="P282" s="1462"/>
      <c r="Q282" s="1462"/>
      <c r="R282" s="1462"/>
      <c r="S282" s="1462" t="str">
        <f t="shared" si="87"/>
        <v>チェック用_防火設備_有無</v>
      </c>
      <c r="T282" s="1462"/>
      <c r="U282" s="1469">
        <v>21</v>
      </c>
      <c r="V282" s="1486" t="s">
        <v>1396</v>
      </c>
      <c r="W282" s="1471" t="s">
        <v>1306</v>
      </c>
      <c r="X282" s="1470" t="s">
        <v>696</v>
      </c>
      <c r="Y282" s="1473" t="s">
        <v>1306</v>
      </c>
      <c r="Z282" s="1474" t="s">
        <v>685</v>
      </c>
      <c r="AA282" s="1473"/>
      <c r="AB282" s="1470"/>
      <c r="AC282" s="1475"/>
      <c r="AD282" s="1476"/>
      <c r="AE282" s="1477"/>
      <c r="AF282" s="1477"/>
      <c r="AG282" s="1457" t="str">
        <f t="shared" si="85"/>
        <v>21設備（法第12条第三項関係など）-防火設備-有無</v>
      </c>
      <c r="AI282" s="1459"/>
      <c r="AJ282" s="1459"/>
      <c r="AK282" s="1459"/>
    </row>
    <row r="283" spans="1:41" s="1624" customFormat="1" ht="18.75" customHeight="1" x14ac:dyDescent="0.15">
      <c r="A283" s="1627"/>
      <c r="B283" s="1627"/>
      <c r="C283" s="1627">
        <v>1</v>
      </c>
      <c r="D283" s="1672">
        <f>'1_入力シート【基本情報】'!$AB$288</f>
        <v>0</v>
      </c>
      <c r="E283" s="1672">
        <f t="shared" si="82"/>
        <v>0</v>
      </c>
      <c r="F283" s="1672" t="str">
        <f t="shared" si="83"/>
        <v>0</v>
      </c>
      <c r="G283" s="1672" t="str">
        <f t="shared" si="84"/>
        <v>0</v>
      </c>
      <c r="H283" s="1628"/>
      <c r="I283" s="1660"/>
      <c r="J283" s="1531"/>
      <c r="K283" s="1627"/>
      <c r="L283" s="1627"/>
      <c r="M283" s="1629"/>
      <c r="N283" s="1627"/>
      <c r="O283" s="1627"/>
      <c r="P283" s="1627"/>
      <c r="Q283" s="1627"/>
      <c r="R283" s="1627"/>
      <c r="S283" s="1627" t="str">
        <f t="shared" si="87"/>
        <v/>
      </c>
      <c r="T283" s="1627"/>
      <c r="U283" s="1630">
        <v>21</v>
      </c>
      <c r="V283" s="1686" t="s">
        <v>1396</v>
      </c>
      <c r="W283" s="1632" t="s">
        <v>1306</v>
      </c>
      <c r="X283" s="1631" t="s">
        <v>696</v>
      </c>
      <c r="Y283" s="1633" t="s">
        <v>1306</v>
      </c>
      <c r="Z283" s="1640" t="s">
        <v>1398</v>
      </c>
      <c r="AA283" s="1703" t="s">
        <v>1306</v>
      </c>
      <c r="AB283" s="1631" t="s">
        <v>17</v>
      </c>
      <c r="AC283" s="1634"/>
      <c r="AD283" s="1635"/>
      <c r="AE283" s="1636"/>
      <c r="AF283" s="1636"/>
      <c r="AG283" s="1637" t="str">
        <f t="shared" si="85"/>
        <v>21設備（法第12条第三項関係など）-防火設備-設置されている階-階</v>
      </c>
      <c r="AH283" s="1637"/>
      <c r="AI283" s="1636"/>
      <c r="AJ283" s="1636"/>
      <c r="AK283" s="1636"/>
      <c r="AL283" s="1637"/>
      <c r="AM283" s="1637"/>
      <c r="AN283" s="1637"/>
      <c r="AO283" s="1637"/>
    </row>
    <row r="284" spans="1:41" ht="18.75" customHeight="1" x14ac:dyDescent="0.15">
      <c r="A284" s="1578"/>
      <c r="B284" s="1462"/>
      <c r="C284" s="1462">
        <v>1</v>
      </c>
      <c r="D284" s="1650">
        <f>'1_入力シート【基本情報】'!$AB$289</f>
        <v>0</v>
      </c>
      <c r="E284" s="1650">
        <f t="shared" si="82"/>
        <v>0</v>
      </c>
      <c r="F284" s="1650" t="str">
        <f t="shared" si="83"/>
        <v>0</v>
      </c>
      <c r="G284" s="1650" t="str">
        <f t="shared" si="84"/>
        <v>0</v>
      </c>
      <c r="H284" s="1468" t="s">
        <v>3211</v>
      </c>
      <c r="I284" s="1660"/>
      <c r="J284" s="1531"/>
      <c r="K284" s="1462" t="s">
        <v>3212</v>
      </c>
      <c r="L284" s="1462" t="s">
        <v>1307</v>
      </c>
      <c r="M284" s="1462" t="s">
        <v>3198</v>
      </c>
      <c r="N284" s="1462" t="s">
        <v>1307</v>
      </c>
      <c r="O284" s="1493" t="s">
        <v>699</v>
      </c>
      <c r="P284" s="1462"/>
      <c r="Q284" s="1462"/>
      <c r="R284" s="1462"/>
      <c r="S284" s="1462" t="str">
        <f t="shared" si="87"/>
        <v>チェック用_防火設備_定期報告対象</v>
      </c>
      <c r="T284" s="1462"/>
      <c r="U284" s="1469">
        <v>21</v>
      </c>
      <c r="V284" s="1486" t="s">
        <v>1396</v>
      </c>
      <c r="W284" s="1471" t="s">
        <v>1306</v>
      </c>
      <c r="X284" s="1470" t="s">
        <v>696</v>
      </c>
      <c r="Y284" s="1473" t="s">
        <v>1306</v>
      </c>
      <c r="Z284" s="1474" t="s">
        <v>699</v>
      </c>
      <c r="AA284" s="1505"/>
      <c r="AB284" s="1470"/>
      <c r="AC284" s="1475"/>
      <c r="AD284" s="1476"/>
      <c r="AE284" s="1477"/>
      <c r="AF284" s="1477"/>
      <c r="AG284" s="1457" t="str">
        <f t="shared" si="85"/>
        <v>21設備（法第12条第三項関係など）-防火設備-定期報告対象</v>
      </c>
      <c r="AI284" s="1459"/>
      <c r="AJ284" s="1459"/>
      <c r="AK284" s="1459"/>
    </row>
    <row r="285" spans="1:41" s="1624" customFormat="1" ht="18.75" customHeight="1" x14ac:dyDescent="0.15">
      <c r="A285" s="1627"/>
      <c r="B285" s="1627"/>
      <c r="C285" s="1627">
        <v>1</v>
      </c>
      <c r="D285" s="1672">
        <f>'1_入力シート【基本情報】'!$AB$290</f>
        <v>0</v>
      </c>
      <c r="E285" s="1672">
        <f t="shared" si="82"/>
        <v>0</v>
      </c>
      <c r="F285" s="1672" t="str">
        <f t="shared" si="83"/>
        <v>0</v>
      </c>
      <c r="G285" s="1672" t="str">
        <f t="shared" si="84"/>
        <v>0</v>
      </c>
      <c r="H285" s="1628"/>
      <c r="I285" s="1660"/>
      <c r="J285" s="1531"/>
      <c r="K285" s="1627"/>
      <c r="L285" s="1627"/>
      <c r="M285" s="1629"/>
      <c r="N285" s="1627"/>
      <c r="O285" s="1627"/>
      <c r="P285" s="1627"/>
      <c r="Q285" s="1627"/>
      <c r="R285" s="1627"/>
      <c r="S285" s="1627" t="str">
        <f t="shared" si="87"/>
        <v/>
      </c>
      <c r="T285" s="1627"/>
      <c r="U285" s="1630">
        <v>21</v>
      </c>
      <c r="V285" s="1686" t="s">
        <v>1396</v>
      </c>
      <c r="W285" s="1632" t="s">
        <v>1306</v>
      </c>
      <c r="X285" s="1631" t="s">
        <v>1399</v>
      </c>
      <c r="Y285" s="1633" t="s">
        <v>1306</v>
      </c>
      <c r="Z285" s="1640" t="s">
        <v>685</v>
      </c>
      <c r="AA285" s="1703"/>
      <c r="AB285" s="1631"/>
      <c r="AC285" s="1634"/>
      <c r="AD285" s="1635"/>
      <c r="AE285" s="1636"/>
      <c r="AF285" s="1636"/>
      <c r="AG285" s="1637" t="str">
        <f t="shared" si="85"/>
        <v>21設備（法第12条第三項関係など）-小荷物専用昇降機の有無-有無</v>
      </c>
      <c r="AH285" s="1637"/>
      <c r="AI285" s="1636"/>
      <c r="AJ285" s="1636"/>
      <c r="AK285" s="1636"/>
      <c r="AL285" s="1637"/>
      <c r="AM285" s="1637"/>
      <c r="AN285" s="1637"/>
      <c r="AO285" s="1637"/>
    </row>
    <row r="286" spans="1:41" s="1624" customFormat="1" ht="18.75" customHeight="1" x14ac:dyDescent="0.15">
      <c r="A286" s="1627"/>
      <c r="B286" s="1627"/>
      <c r="C286" s="1627">
        <v>1</v>
      </c>
      <c r="D286" s="1672">
        <f>'1_入力シート【基本情報】'!$AB$291</f>
        <v>0</v>
      </c>
      <c r="E286" s="1672">
        <f t="shared" si="82"/>
        <v>0</v>
      </c>
      <c r="F286" s="1672" t="str">
        <f t="shared" si="83"/>
        <v>0</v>
      </c>
      <c r="G286" s="1672" t="str">
        <f t="shared" si="84"/>
        <v>0</v>
      </c>
      <c r="H286" s="1628"/>
      <c r="I286" s="1660"/>
      <c r="J286" s="1531"/>
      <c r="K286" s="1627"/>
      <c r="L286" s="1627"/>
      <c r="M286" s="1629"/>
      <c r="N286" s="1627"/>
      <c r="O286" s="1627"/>
      <c r="P286" s="1627"/>
      <c r="Q286" s="1627"/>
      <c r="R286" s="1627"/>
      <c r="S286" s="1627" t="str">
        <f t="shared" si="87"/>
        <v/>
      </c>
      <c r="T286" s="1627"/>
      <c r="U286" s="1630">
        <v>21</v>
      </c>
      <c r="V286" s="1686" t="s">
        <v>1396</v>
      </c>
      <c r="W286" s="1632" t="s">
        <v>1306</v>
      </c>
      <c r="X286" s="1631" t="s">
        <v>1399</v>
      </c>
      <c r="Y286" s="1633" t="s">
        <v>1306</v>
      </c>
      <c r="Z286" s="1640" t="s">
        <v>699</v>
      </c>
      <c r="AA286" s="1633"/>
      <c r="AB286" s="1631"/>
      <c r="AC286" s="1634"/>
      <c r="AD286" s="1635"/>
      <c r="AE286" s="1636"/>
      <c r="AF286" s="1636"/>
      <c r="AG286" s="1637" t="str">
        <f t="shared" si="85"/>
        <v>21設備（法第12条第三項関係など）-小荷物専用昇降機の有無-定期報告対象</v>
      </c>
      <c r="AH286" s="1637"/>
      <c r="AI286" s="1636"/>
      <c r="AJ286" s="1636"/>
      <c r="AK286" s="1636"/>
      <c r="AL286" s="1637"/>
      <c r="AM286" s="1637"/>
      <c r="AN286" s="1637"/>
      <c r="AO286" s="1637"/>
    </row>
    <row r="287" spans="1:41" s="1624" customFormat="1" ht="18.75" customHeight="1" x14ac:dyDescent="0.15">
      <c r="A287" s="1627"/>
      <c r="B287" s="1627"/>
      <c r="C287" s="1627">
        <v>1</v>
      </c>
      <c r="D287" s="1626">
        <f>'1_入力シート【基本情報】'!$AB$302</f>
        <v>0</v>
      </c>
      <c r="E287" s="1672">
        <f t="shared" si="82"/>
        <v>0</v>
      </c>
      <c r="F287" s="1672" t="str">
        <f t="shared" si="83"/>
        <v>0</v>
      </c>
      <c r="G287" s="1672" t="str">
        <f t="shared" si="84"/>
        <v>0</v>
      </c>
      <c r="H287" s="1628"/>
      <c r="I287" s="1644"/>
      <c r="J287" s="1531"/>
      <c r="K287" s="1627"/>
      <c r="L287" s="1627"/>
      <c r="M287" s="1629"/>
      <c r="N287" s="1627"/>
      <c r="O287" s="1627"/>
      <c r="P287" s="1627"/>
      <c r="Q287" s="1627"/>
      <c r="R287" s="1627"/>
      <c r="S287" s="1627"/>
      <c r="T287" s="1627"/>
      <c r="U287" s="1630">
        <v>22</v>
      </c>
      <c r="V287" s="1686" t="s">
        <v>1400</v>
      </c>
      <c r="W287" s="1632" t="s">
        <v>1306</v>
      </c>
      <c r="X287" s="1631" t="s">
        <v>1647</v>
      </c>
      <c r="Y287" s="1633"/>
      <c r="Z287" s="1640"/>
      <c r="AA287" s="1633"/>
      <c r="AB287" s="1631"/>
      <c r="AC287" s="1634"/>
      <c r="AD287" s="1635"/>
      <c r="AE287" s="1636"/>
      <c r="AF287" s="1636"/>
      <c r="AG287" s="1637" t="str">
        <f t="shared" si="85"/>
        <v>22自由記入欄-その他特記事項</v>
      </c>
      <c r="AH287" s="1637"/>
      <c r="AI287" s="1636"/>
      <c r="AJ287" s="1636"/>
      <c r="AK287" s="1636"/>
      <c r="AL287" s="1637"/>
      <c r="AM287" s="1637"/>
      <c r="AN287" s="1637"/>
      <c r="AO287" s="1637"/>
    </row>
    <row r="288" spans="1:41" s="1624" customFormat="1" ht="18.75" customHeight="1" x14ac:dyDescent="0.15">
      <c r="A288" s="1627"/>
      <c r="B288" s="1627"/>
      <c r="C288" s="1627"/>
      <c r="D288" s="1626" t="str">
        <f>'2_入力シート【用途面積】'!$CJ$62</f>
        <v/>
      </c>
      <c r="E288" s="1672" t="str">
        <f t="shared" si="82"/>
        <v/>
      </c>
      <c r="F288" s="1672" t="str">
        <f t="shared" si="83"/>
        <v/>
      </c>
      <c r="G288" s="1672" t="str">
        <f t="shared" si="84"/>
        <v/>
      </c>
      <c r="H288" s="1628"/>
      <c r="I288" s="1786"/>
      <c r="J288" s="1627"/>
      <c r="K288" s="1627"/>
      <c r="L288" s="1627"/>
      <c r="M288" s="1629"/>
      <c r="N288" s="1627"/>
      <c r="O288" s="1627"/>
      <c r="P288" s="1627"/>
      <c r="Q288" s="1627"/>
      <c r="R288" s="1627"/>
      <c r="S288" s="1627"/>
      <c r="T288" s="1627"/>
      <c r="U288" s="1780"/>
      <c r="V288" s="1781" t="s">
        <v>1602</v>
      </c>
      <c r="W288" s="1782" t="s">
        <v>1366</v>
      </c>
      <c r="X288" s="1631" t="s">
        <v>2696</v>
      </c>
      <c r="Y288" s="1633"/>
      <c r="Z288" s="1640"/>
      <c r="AA288" s="1783"/>
      <c r="AB288" s="1784"/>
      <c r="AC288" s="1636"/>
      <c r="AD288" s="1785"/>
      <c r="AE288" s="1636"/>
      <c r="AF288" s="1636"/>
      <c r="AG288" s="1637" t="str">
        <f t="shared" si="85"/>
        <v>階別用途別床面積-存在用途</v>
      </c>
      <c r="AH288" s="1637"/>
      <c r="AI288" s="1636"/>
      <c r="AJ288" s="1636"/>
      <c r="AK288" s="1636"/>
      <c r="AL288" s="1637"/>
      <c r="AM288" s="1637"/>
      <c r="AN288" s="1637"/>
      <c r="AO288" s="1637"/>
    </row>
    <row r="289" spans="1:41" s="1624" customFormat="1" ht="18.75" customHeight="1" x14ac:dyDescent="0.15">
      <c r="A289" s="1627"/>
      <c r="B289" s="1627"/>
      <c r="C289" s="1627"/>
      <c r="D289" s="1626" t="str">
        <f>'2_入力シート【用途面積】'!$CJ$132</f>
        <v/>
      </c>
      <c r="E289" s="1672" t="str">
        <f t="shared" si="82"/>
        <v/>
      </c>
      <c r="F289" s="1672" t="str">
        <f t="shared" si="83"/>
        <v/>
      </c>
      <c r="G289" s="1672" t="str">
        <f t="shared" si="84"/>
        <v/>
      </c>
      <c r="H289" s="1628"/>
      <c r="I289" s="1786"/>
      <c r="J289" s="1627"/>
      <c r="K289" s="1627"/>
      <c r="L289" s="1627"/>
      <c r="M289" s="1629"/>
      <c r="N289" s="1627"/>
      <c r="O289" s="1627"/>
      <c r="P289" s="1627"/>
      <c r="Q289" s="1627"/>
      <c r="R289" s="1627"/>
      <c r="S289" s="1627"/>
      <c r="T289" s="1627"/>
      <c r="U289" s="1780"/>
      <c r="V289" s="1781" t="s">
        <v>1602</v>
      </c>
      <c r="W289" s="1782" t="s">
        <v>1366</v>
      </c>
      <c r="X289" s="1631" t="s">
        <v>2697</v>
      </c>
      <c r="Y289" s="1633"/>
      <c r="Z289" s="1640"/>
      <c r="AA289" s="1783"/>
      <c r="AB289" s="1784"/>
      <c r="AC289" s="1636"/>
      <c r="AD289" s="1785"/>
      <c r="AE289" s="1636"/>
      <c r="AF289" s="1636"/>
      <c r="AG289" s="1637" t="str">
        <f t="shared" si="85"/>
        <v>階別用途別床面積-対象用途ID記号（面積最大）</v>
      </c>
      <c r="AH289" s="1637"/>
      <c r="AI289" s="1636"/>
      <c r="AJ289" s="1636"/>
      <c r="AK289" s="1636"/>
      <c r="AL289" s="1637"/>
      <c r="AM289" s="1637"/>
      <c r="AN289" s="1637"/>
      <c r="AO289" s="1637"/>
    </row>
    <row r="290" spans="1:41" s="1449" customFormat="1" ht="18.75" customHeight="1" x14ac:dyDescent="0.15">
      <c r="A290" s="1478"/>
      <c r="B290" s="1478"/>
      <c r="C290" s="1478"/>
      <c r="D290" s="1467" t="str">
        <f>'2_入力シート【用途面積】'!$CJ$126</f>
        <v/>
      </c>
      <c r="E290" s="1765" t="str">
        <f t="shared" si="82"/>
        <v/>
      </c>
      <c r="F290" s="1765" t="str">
        <f t="shared" si="83"/>
        <v/>
      </c>
      <c r="G290" s="1765" t="str">
        <f t="shared" si="84"/>
        <v/>
      </c>
      <c r="H290" s="1468" t="s">
        <v>3211</v>
      </c>
      <c r="I290" s="1786"/>
      <c r="J290" s="1478"/>
      <c r="K290" s="1462" t="s">
        <v>3212</v>
      </c>
      <c r="L290" s="1462" t="s">
        <v>1307</v>
      </c>
      <c r="M290" s="1549" t="s">
        <v>3214</v>
      </c>
      <c r="N290" s="1462" t="s">
        <v>1307</v>
      </c>
      <c r="O290" s="1478" t="s">
        <v>2698</v>
      </c>
      <c r="P290" s="1478"/>
      <c r="Q290" s="1478"/>
      <c r="R290" s="1478"/>
      <c r="S290" s="1462" t="str">
        <f t="shared" ref="S290:S291" si="88">CONCATENATE(K290,L290,M290,N290,O290,P290,Q290)</f>
        <v>チェック用_用途_対象用途ID記号（全て）</v>
      </c>
      <c r="T290" s="1478"/>
      <c r="U290" s="1512"/>
      <c r="V290" s="1768" t="s">
        <v>1602</v>
      </c>
      <c r="W290" s="1511" t="s">
        <v>1366</v>
      </c>
      <c r="X290" s="1470" t="s">
        <v>2698</v>
      </c>
      <c r="Y290" s="1473"/>
      <c r="Z290" s="1474"/>
      <c r="AA290" s="1513"/>
      <c r="AB290" s="1515"/>
      <c r="AC290" s="1477"/>
      <c r="AD290" s="1516"/>
      <c r="AE290" s="1477"/>
      <c r="AF290" s="1477"/>
      <c r="AG290" s="1466" t="str">
        <f t="shared" si="85"/>
        <v>階別用途別床面積-対象用途ID記号（全て）</v>
      </c>
      <c r="AH290" s="1466"/>
      <c r="AI290" s="1477"/>
      <c r="AJ290" s="1477"/>
      <c r="AK290" s="1477"/>
      <c r="AL290" s="1466"/>
      <c r="AM290" s="1466"/>
      <c r="AN290" s="1466"/>
      <c r="AO290" s="1466"/>
    </row>
    <row r="291" spans="1:41" s="1449" customFormat="1" ht="18.75" customHeight="1" x14ac:dyDescent="0.15">
      <c r="A291" s="1478"/>
      <c r="B291" s="1478"/>
      <c r="C291" s="1478"/>
      <c r="D291" s="1467" t="str">
        <f>'2_入力シート【用途面積】'!$BR$177</f>
        <v/>
      </c>
      <c r="E291" s="1765" t="str">
        <f t="shared" si="82"/>
        <v/>
      </c>
      <c r="F291" s="1765" t="str">
        <f t="shared" si="83"/>
        <v/>
      </c>
      <c r="G291" s="1765" t="str">
        <f t="shared" si="84"/>
        <v/>
      </c>
      <c r="H291" s="1468" t="s">
        <v>3211</v>
      </c>
      <c r="I291" s="1786"/>
      <c r="J291" s="1478"/>
      <c r="K291" s="1462" t="s">
        <v>3212</v>
      </c>
      <c r="L291" s="1462" t="s">
        <v>1307</v>
      </c>
      <c r="M291" s="1549" t="s">
        <v>3214</v>
      </c>
      <c r="N291" s="1462" t="s">
        <v>1307</v>
      </c>
      <c r="O291" s="1478" t="s">
        <v>2699</v>
      </c>
      <c r="P291" s="1478"/>
      <c r="Q291" s="1478"/>
      <c r="R291" s="1478"/>
      <c r="S291" s="1462" t="str">
        <f t="shared" si="88"/>
        <v>チェック用_用途_対象種別ID分類番号</v>
      </c>
      <c r="T291" s="1478"/>
      <c r="U291" s="1512"/>
      <c r="V291" s="1768" t="s">
        <v>1602</v>
      </c>
      <c r="W291" s="1511" t="s">
        <v>1366</v>
      </c>
      <c r="X291" s="1470" t="s">
        <v>2699</v>
      </c>
      <c r="Y291" s="1473"/>
      <c r="Z291" s="1474"/>
      <c r="AA291" s="1513"/>
      <c r="AB291" s="1515"/>
      <c r="AC291" s="1477"/>
      <c r="AD291" s="1516"/>
      <c r="AE291" s="1477"/>
      <c r="AF291" s="1477"/>
      <c r="AG291" s="1466" t="str">
        <f t="shared" si="85"/>
        <v>階別用途別床面積-対象種別ID分類番号</v>
      </c>
      <c r="AH291" s="1466"/>
      <c r="AI291" s="1477"/>
      <c r="AJ291" s="1477"/>
      <c r="AK291" s="1477"/>
      <c r="AL291" s="1466"/>
      <c r="AM291" s="1466"/>
      <c r="AN291" s="1466"/>
      <c r="AO291" s="1466"/>
    </row>
    <row r="292" spans="1:41" s="1624" customFormat="1" ht="18.75" customHeight="1" x14ac:dyDescent="0.15">
      <c r="A292" s="1627"/>
      <c r="B292" s="1627"/>
      <c r="C292" s="1627"/>
      <c r="D292" s="1626" t="str">
        <f>'2_入力シート【用途面積】'!$CJ$111</f>
        <v/>
      </c>
      <c r="E292" s="1672" t="str">
        <f t="shared" si="82"/>
        <v/>
      </c>
      <c r="F292" s="1672" t="str">
        <f t="shared" si="83"/>
        <v/>
      </c>
      <c r="G292" s="1672" t="str">
        <f t="shared" si="84"/>
        <v/>
      </c>
      <c r="H292" s="1628"/>
      <c r="I292" s="1786"/>
      <c r="J292" s="1627"/>
      <c r="K292" s="1627"/>
      <c r="L292" s="1627"/>
      <c r="M292" s="1629"/>
      <c r="N292" s="1627"/>
      <c r="O292" s="1627"/>
      <c r="P292" s="1627"/>
      <c r="Q292" s="1627"/>
      <c r="R292" s="1627"/>
      <c r="S292" s="1627"/>
      <c r="T292" s="1627"/>
      <c r="U292" s="1780"/>
      <c r="V292" s="1781" t="s">
        <v>1602</v>
      </c>
      <c r="W292" s="1782" t="s">
        <v>1366</v>
      </c>
      <c r="X292" s="1631" t="s">
        <v>2700</v>
      </c>
      <c r="Y292" s="1633"/>
      <c r="Z292" s="1640"/>
      <c r="AA292" s="1783"/>
      <c r="AB292" s="1784"/>
      <c r="AC292" s="1636"/>
      <c r="AD292" s="1785"/>
      <c r="AE292" s="1636"/>
      <c r="AF292" s="1636"/>
      <c r="AG292" s="1637" t="str">
        <f t="shared" si="85"/>
        <v>階別用途別床面積-対象用途（国建）</v>
      </c>
      <c r="AH292" s="1637"/>
      <c r="AI292" s="1636"/>
      <c r="AJ292" s="1636"/>
      <c r="AK292" s="1636"/>
      <c r="AL292" s="1637"/>
      <c r="AM292" s="1637"/>
      <c r="AN292" s="1637"/>
      <c r="AO292" s="1637"/>
    </row>
    <row r="293" spans="1:41" s="1624" customFormat="1" ht="18.75" customHeight="1" x14ac:dyDescent="0.15">
      <c r="A293" s="1627"/>
      <c r="B293" s="1627"/>
      <c r="C293" s="1627"/>
      <c r="D293" s="1626" t="str">
        <f>'2_入力シート【用途面積】'!$CJ$114</f>
        <v/>
      </c>
      <c r="E293" s="1672" t="str">
        <f t="shared" si="82"/>
        <v/>
      </c>
      <c r="F293" s="1672" t="str">
        <f t="shared" si="83"/>
        <v/>
      </c>
      <c r="G293" s="1672" t="str">
        <f t="shared" si="84"/>
        <v/>
      </c>
      <c r="H293" s="1628"/>
      <c r="I293" s="1786"/>
      <c r="J293" s="1627"/>
      <c r="K293" s="1627"/>
      <c r="L293" s="1627"/>
      <c r="M293" s="1629"/>
      <c r="N293" s="1627"/>
      <c r="O293" s="1627"/>
      <c r="P293" s="1627"/>
      <c r="Q293" s="1627"/>
      <c r="R293" s="1627"/>
      <c r="S293" s="1627"/>
      <c r="T293" s="1627"/>
      <c r="U293" s="1780"/>
      <c r="V293" s="1781" t="s">
        <v>1602</v>
      </c>
      <c r="W293" s="1782" t="s">
        <v>1366</v>
      </c>
      <c r="X293" s="1631" t="s">
        <v>2701</v>
      </c>
      <c r="Y293" s="1633"/>
      <c r="Z293" s="1640"/>
      <c r="AA293" s="1783"/>
      <c r="AB293" s="1784"/>
      <c r="AC293" s="1636"/>
      <c r="AD293" s="1785"/>
      <c r="AE293" s="1636"/>
      <c r="AF293" s="1636"/>
      <c r="AG293" s="1637" t="str">
        <f t="shared" si="85"/>
        <v>階別用途別床面積-対象用途（市新建）</v>
      </c>
      <c r="AH293" s="1637"/>
      <c r="AI293" s="1636"/>
      <c r="AJ293" s="1636"/>
      <c r="AK293" s="1636"/>
      <c r="AL293" s="1637"/>
      <c r="AM293" s="1637"/>
      <c r="AN293" s="1637"/>
      <c r="AO293" s="1637"/>
    </row>
    <row r="294" spans="1:41" s="1624" customFormat="1" ht="18.75" customHeight="1" x14ac:dyDescent="0.15">
      <c r="A294" s="1627"/>
      <c r="B294" s="1627"/>
      <c r="C294" s="1627"/>
      <c r="D294" s="1626" t="str">
        <f>'2_入力シート【用途面積】'!$CJ$117</f>
        <v/>
      </c>
      <c r="E294" s="1672" t="str">
        <f t="shared" si="82"/>
        <v/>
      </c>
      <c r="F294" s="1672" t="str">
        <f t="shared" si="83"/>
        <v/>
      </c>
      <c r="G294" s="1672" t="str">
        <f t="shared" si="84"/>
        <v/>
      </c>
      <c r="H294" s="1628"/>
      <c r="I294" s="1786"/>
      <c r="J294" s="1627"/>
      <c r="K294" s="1627"/>
      <c r="L294" s="1627"/>
      <c r="M294" s="1629"/>
      <c r="N294" s="1627"/>
      <c r="O294" s="1627"/>
      <c r="P294" s="1627"/>
      <c r="Q294" s="1627"/>
      <c r="R294" s="1627"/>
      <c r="S294" s="1627"/>
      <c r="T294" s="1627"/>
      <c r="U294" s="1780"/>
      <c r="V294" s="1781" t="s">
        <v>1602</v>
      </c>
      <c r="W294" s="1782" t="s">
        <v>1366</v>
      </c>
      <c r="X294" s="1631" t="s">
        <v>2702</v>
      </c>
      <c r="Y294" s="1633"/>
      <c r="Z294" s="1640"/>
      <c r="AA294" s="1783"/>
      <c r="AB294" s="1784"/>
      <c r="AC294" s="1636"/>
      <c r="AD294" s="1785"/>
      <c r="AE294" s="1636"/>
      <c r="AF294" s="1636"/>
      <c r="AG294" s="1637" t="str">
        <f t="shared" si="85"/>
        <v>階別用途別床面積-対象用途（市従建）</v>
      </c>
      <c r="AH294" s="1637"/>
      <c r="AI294" s="1636"/>
      <c r="AJ294" s="1636"/>
      <c r="AK294" s="1636"/>
      <c r="AL294" s="1637"/>
      <c r="AM294" s="1637"/>
      <c r="AN294" s="1637"/>
      <c r="AO294" s="1637"/>
    </row>
    <row r="295" spans="1:41" s="1624" customFormat="1" ht="18.75" customHeight="1" x14ac:dyDescent="0.15">
      <c r="A295" s="1627"/>
      <c r="B295" s="1627"/>
      <c r="C295" s="1627"/>
      <c r="D295" s="1626" t="str">
        <f>'2_入力シート【用途面積】'!$CJ$120</f>
        <v/>
      </c>
      <c r="E295" s="1672" t="str">
        <f t="shared" si="82"/>
        <v/>
      </c>
      <c r="F295" s="1672" t="str">
        <f t="shared" si="83"/>
        <v/>
      </c>
      <c r="G295" s="1672" t="str">
        <f t="shared" si="84"/>
        <v/>
      </c>
      <c r="H295" s="1628"/>
      <c r="I295" s="1786"/>
      <c r="J295" s="1627"/>
      <c r="K295" s="1627"/>
      <c r="L295" s="1627"/>
      <c r="M295" s="1629"/>
      <c r="N295" s="1627"/>
      <c r="O295" s="1627"/>
      <c r="P295" s="1627"/>
      <c r="Q295" s="1627"/>
      <c r="R295" s="1627"/>
      <c r="S295" s="1627"/>
      <c r="T295" s="1627"/>
      <c r="U295" s="1780"/>
      <c r="V295" s="1781" t="s">
        <v>1602</v>
      </c>
      <c r="W295" s="1782" t="s">
        <v>1366</v>
      </c>
      <c r="X295" s="1631" t="s">
        <v>2703</v>
      </c>
      <c r="Y295" s="1633"/>
      <c r="Z295" s="1640"/>
      <c r="AA295" s="1783"/>
      <c r="AB295" s="1784"/>
      <c r="AC295" s="1636"/>
      <c r="AD295" s="1785"/>
      <c r="AE295" s="1636"/>
      <c r="AF295" s="1636"/>
      <c r="AG295" s="1637" t="str">
        <f t="shared" si="85"/>
        <v>階別用途別床面積-対象用途（市建）</v>
      </c>
      <c r="AH295" s="1637"/>
      <c r="AI295" s="1636"/>
      <c r="AJ295" s="1636"/>
      <c r="AK295" s="1636"/>
      <c r="AL295" s="1637"/>
      <c r="AM295" s="1637"/>
      <c r="AN295" s="1637"/>
      <c r="AO295" s="1637"/>
    </row>
    <row r="296" spans="1:41" s="1449" customFormat="1" ht="18.75" customHeight="1" x14ac:dyDescent="0.15">
      <c r="A296" s="1478"/>
      <c r="B296" s="1478"/>
      <c r="C296" s="1478"/>
      <c r="D296" s="1467" t="str">
        <f>'2_入力シート【用途面積】'!$CJ$123</f>
        <v/>
      </c>
      <c r="E296" s="1765" t="str">
        <f t="shared" si="82"/>
        <v/>
      </c>
      <c r="F296" s="1765" t="str">
        <f t="shared" si="83"/>
        <v/>
      </c>
      <c r="G296" s="1765" t="str">
        <f t="shared" si="84"/>
        <v/>
      </c>
      <c r="H296" s="1468" t="s">
        <v>3211</v>
      </c>
      <c r="I296" s="1786"/>
      <c r="J296" s="1478"/>
      <c r="K296" s="1462" t="s">
        <v>3212</v>
      </c>
      <c r="L296" s="1462" t="s">
        <v>1307</v>
      </c>
      <c r="M296" s="1549" t="s">
        <v>3214</v>
      </c>
      <c r="N296" s="1478"/>
      <c r="O296" s="1478" t="s">
        <v>2704</v>
      </c>
      <c r="P296" s="1478"/>
      <c r="Q296" s="1478"/>
      <c r="R296" s="1478"/>
      <c r="S296" s="1462" t="str">
        <f t="shared" ref="S296" si="89">CONCATENATE(K296,L296,M296,N296,O296,P296,Q296)</f>
        <v>チェック用_用途対象用途（建築物）</v>
      </c>
      <c r="T296" s="1478"/>
      <c r="U296" s="1512"/>
      <c r="V296" s="1768" t="s">
        <v>1602</v>
      </c>
      <c r="W296" s="1511" t="s">
        <v>1366</v>
      </c>
      <c r="X296" s="1470" t="s">
        <v>2704</v>
      </c>
      <c r="Y296" s="1473"/>
      <c r="Z296" s="1474"/>
      <c r="AA296" s="1513"/>
      <c r="AB296" s="1515"/>
      <c r="AC296" s="1477"/>
      <c r="AD296" s="1516"/>
      <c r="AE296" s="1477"/>
      <c r="AF296" s="1477"/>
      <c r="AG296" s="1466" t="str">
        <f t="shared" si="85"/>
        <v>階別用途別床面積-対象用途（建築物）</v>
      </c>
      <c r="AH296" s="1466"/>
      <c r="AI296" s="1477"/>
      <c r="AJ296" s="1477"/>
      <c r="AK296" s="1477"/>
      <c r="AL296" s="1466"/>
      <c r="AM296" s="1466"/>
      <c r="AN296" s="1466"/>
      <c r="AO296" s="1466"/>
    </row>
    <row r="297" spans="1:41" s="1624" customFormat="1" ht="18.75" customHeight="1" x14ac:dyDescent="0.15">
      <c r="A297" s="1627"/>
      <c r="B297" s="1627"/>
      <c r="C297" s="1627"/>
      <c r="D297" s="1626" t="str">
        <f>'2_入力シート【用途面積】'!$CJ$146</f>
        <v/>
      </c>
      <c r="E297" s="1672" t="str">
        <f t="shared" si="82"/>
        <v/>
      </c>
      <c r="F297" s="1672" t="str">
        <f t="shared" si="83"/>
        <v/>
      </c>
      <c r="G297" s="1672" t="str">
        <f t="shared" si="84"/>
        <v/>
      </c>
      <c r="H297" s="1628"/>
      <c r="I297" s="1786"/>
      <c r="J297" s="1627"/>
      <c r="K297" s="1627"/>
      <c r="L297" s="1627"/>
      <c r="M297" s="1629"/>
      <c r="N297" s="1627"/>
      <c r="O297" s="1627"/>
      <c r="P297" s="1627"/>
      <c r="Q297" s="1627"/>
      <c r="R297" s="1627"/>
      <c r="S297" s="1627"/>
      <c r="T297" s="1627"/>
      <c r="U297" s="1780"/>
      <c r="V297" s="1781" t="s">
        <v>1602</v>
      </c>
      <c r="W297" s="1782" t="s">
        <v>1366</v>
      </c>
      <c r="X297" s="1631" t="s">
        <v>2705</v>
      </c>
      <c r="Y297" s="1633"/>
      <c r="Z297" s="1640"/>
      <c r="AA297" s="1783"/>
      <c r="AB297" s="1784"/>
      <c r="AC297" s="1636"/>
      <c r="AD297" s="1785"/>
      <c r="AE297" s="1636"/>
      <c r="AF297" s="1636"/>
      <c r="AG297" s="1637" t="str">
        <f t="shared" si="85"/>
        <v>階別用途別床面積-対象用途（市設）</v>
      </c>
      <c r="AH297" s="1637"/>
      <c r="AI297" s="1636"/>
      <c r="AJ297" s="1636"/>
      <c r="AK297" s="1636"/>
      <c r="AL297" s="1637"/>
      <c r="AM297" s="1637"/>
      <c r="AN297" s="1637"/>
      <c r="AO297" s="1637"/>
    </row>
    <row r="298" spans="1:41" s="1624" customFormat="1" ht="18.75" customHeight="1" x14ac:dyDescent="0.15">
      <c r="A298" s="1627"/>
      <c r="B298" s="1627"/>
      <c r="C298" s="1627"/>
      <c r="D298" s="1626" t="str">
        <f>'2_入力シート【用途面積】'!$CJ$159</f>
        <v/>
      </c>
      <c r="E298" s="1672" t="str">
        <f t="shared" si="82"/>
        <v/>
      </c>
      <c r="F298" s="1672" t="str">
        <f t="shared" si="83"/>
        <v/>
      </c>
      <c r="G298" s="1672" t="str">
        <f t="shared" si="84"/>
        <v/>
      </c>
      <c r="H298" s="1628"/>
      <c r="I298" s="1786"/>
      <c r="J298" s="1627"/>
      <c r="K298" s="1627"/>
      <c r="L298" s="1627"/>
      <c r="M298" s="1629"/>
      <c r="N298" s="1627"/>
      <c r="O298" s="1627"/>
      <c r="P298" s="1627"/>
      <c r="Q298" s="1627"/>
      <c r="R298" s="1627"/>
      <c r="S298" s="1627"/>
      <c r="T298" s="1627"/>
      <c r="U298" s="1780"/>
      <c r="V298" s="1781" t="s">
        <v>1602</v>
      </c>
      <c r="W298" s="1782" t="s">
        <v>1366</v>
      </c>
      <c r="X298" s="1631" t="s">
        <v>2706</v>
      </c>
      <c r="Y298" s="1633"/>
      <c r="Z298" s="1640"/>
      <c r="AA298" s="1783"/>
      <c r="AB298" s="1784"/>
      <c r="AC298" s="1636"/>
      <c r="AD298" s="1785"/>
      <c r="AE298" s="1636"/>
      <c r="AF298" s="1636"/>
      <c r="AG298" s="1637" t="str">
        <f t="shared" si="85"/>
        <v>階別用途別床面積-対象用途（国防）</v>
      </c>
      <c r="AH298" s="1637"/>
      <c r="AI298" s="1636"/>
      <c r="AJ298" s="1636"/>
      <c r="AK298" s="1636"/>
      <c r="AL298" s="1637"/>
      <c r="AM298" s="1637"/>
      <c r="AN298" s="1637"/>
      <c r="AO298" s="1637"/>
    </row>
    <row r="299" spans="1:41" s="1624" customFormat="1" ht="18.75" customHeight="1" x14ac:dyDescent="0.15">
      <c r="A299" s="1627"/>
      <c r="B299" s="1627"/>
      <c r="C299" s="1627"/>
      <c r="D299" s="1626" t="str">
        <f>'2_入力シート【用途面積】'!$CJ$162</f>
        <v/>
      </c>
      <c r="E299" s="1672" t="str">
        <f t="shared" si="82"/>
        <v/>
      </c>
      <c r="F299" s="1672" t="str">
        <f t="shared" si="83"/>
        <v/>
      </c>
      <c r="G299" s="1672" t="str">
        <f t="shared" si="84"/>
        <v/>
      </c>
      <c r="H299" s="1628"/>
      <c r="I299" s="1786"/>
      <c r="J299" s="1627"/>
      <c r="K299" s="1627"/>
      <c r="L299" s="1627"/>
      <c r="M299" s="1629"/>
      <c r="N299" s="1627"/>
      <c r="O299" s="1627"/>
      <c r="P299" s="1627"/>
      <c r="Q299" s="1627"/>
      <c r="R299" s="1627"/>
      <c r="S299" s="1627"/>
      <c r="T299" s="1627"/>
      <c r="U299" s="1780"/>
      <c r="V299" s="1781" t="s">
        <v>1602</v>
      </c>
      <c r="W299" s="1782" t="s">
        <v>1366</v>
      </c>
      <c r="X299" s="1631" t="s">
        <v>2707</v>
      </c>
      <c r="Y299" s="1633"/>
      <c r="Z299" s="1640"/>
      <c r="AA299" s="1783"/>
      <c r="AB299" s="1784"/>
      <c r="AC299" s="1636"/>
      <c r="AD299" s="1785"/>
      <c r="AE299" s="1636"/>
      <c r="AF299" s="1636"/>
      <c r="AG299" s="1637" t="str">
        <f t="shared" si="85"/>
        <v>階別用途別床面積-対象用途（市新防）</v>
      </c>
      <c r="AH299" s="1637"/>
      <c r="AI299" s="1636"/>
      <c r="AJ299" s="1636"/>
      <c r="AK299" s="1636"/>
      <c r="AL299" s="1637"/>
      <c r="AM299" s="1637"/>
      <c r="AN299" s="1637"/>
      <c r="AO299" s="1637"/>
    </row>
    <row r="300" spans="1:41" s="1624" customFormat="1" ht="18.75" customHeight="1" x14ac:dyDescent="0.15">
      <c r="A300" s="1627"/>
      <c r="B300" s="1627"/>
      <c r="C300" s="1627"/>
      <c r="D300" s="1626" t="str">
        <f>'2_入力シート【用途面積】'!$CJ$165</f>
        <v/>
      </c>
      <c r="E300" s="1672" t="str">
        <f t="shared" si="82"/>
        <v/>
      </c>
      <c r="F300" s="1672" t="str">
        <f t="shared" si="83"/>
        <v/>
      </c>
      <c r="G300" s="1672" t="str">
        <f t="shared" si="84"/>
        <v/>
      </c>
      <c r="H300" s="1628"/>
      <c r="I300" s="1786"/>
      <c r="J300" s="1627"/>
      <c r="K300" s="1627"/>
      <c r="L300" s="1627"/>
      <c r="M300" s="1629"/>
      <c r="N300" s="1627"/>
      <c r="O300" s="1627"/>
      <c r="P300" s="1627"/>
      <c r="Q300" s="1627"/>
      <c r="R300" s="1627"/>
      <c r="S300" s="1627"/>
      <c r="T300" s="1627"/>
      <c r="U300" s="1780"/>
      <c r="V300" s="1781" t="s">
        <v>1602</v>
      </c>
      <c r="W300" s="1782" t="s">
        <v>1366</v>
      </c>
      <c r="X300" s="1631" t="s">
        <v>2708</v>
      </c>
      <c r="Y300" s="1633"/>
      <c r="Z300" s="1640"/>
      <c r="AA300" s="1783"/>
      <c r="AB300" s="1784"/>
      <c r="AC300" s="1636"/>
      <c r="AD300" s="1785"/>
      <c r="AE300" s="1636"/>
      <c r="AF300" s="1636"/>
      <c r="AG300" s="1637" t="str">
        <f t="shared" si="85"/>
        <v>階別用途別床面積-対象用途（防火設備）</v>
      </c>
      <c r="AH300" s="1637"/>
      <c r="AI300" s="1636"/>
      <c r="AJ300" s="1636"/>
      <c r="AK300" s="1636"/>
      <c r="AL300" s="1637"/>
      <c r="AM300" s="1637"/>
      <c r="AN300" s="1637"/>
      <c r="AO300" s="1637"/>
    </row>
    <row r="301" spans="1:41" s="1449" customFormat="1" ht="18.75" customHeight="1" x14ac:dyDescent="0.15">
      <c r="A301" s="1478"/>
      <c r="B301" s="1478"/>
      <c r="C301" s="1478"/>
      <c r="D301" s="1467">
        <f>'2_入力シート【用途面積】'!$BS$184</f>
        <v>0</v>
      </c>
      <c r="E301" s="1765">
        <f t="shared" si="82"/>
        <v>0</v>
      </c>
      <c r="F301" s="1765" t="str">
        <f t="shared" si="83"/>
        <v>0</v>
      </c>
      <c r="G301" s="1765" t="str">
        <f t="shared" si="84"/>
        <v>0</v>
      </c>
      <c r="H301" s="1468"/>
      <c r="I301" s="1660"/>
      <c r="J301" s="1478"/>
      <c r="K301" s="1478" t="s">
        <v>3204</v>
      </c>
      <c r="L301" s="1478" t="s">
        <v>3203</v>
      </c>
      <c r="M301" s="1549" t="s">
        <v>3205</v>
      </c>
      <c r="N301" s="1478"/>
      <c r="O301" s="1478"/>
      <c r="P301" s="1478"/>
      <c r="Q301" s="1478"/>
      <c r="R301" s="1478"/>
      <c r="S301" s="1462" t="str">
        <f t="shared" ref="S301:S307" si="90">CONCATENATE(K301,L301,M301,N301,O301,P301,Q301)</f>
        <v>照合用_①ID用途面積</v>
      </c>
      <c r="T301" s="1478"/>
      <c r="U301" s="1512"/>
      <c r="V301" s="1768" t="s">
        <v>1602</v>
      </c>
      <c r="W301" s="1511" t="s">
        <v>1366</v>
      </c>
      <c r="X301" s="1470" t="s">
        <v>2669</v>
      </c>
      <c r="Y301" s="1473"/>
      <c r="Z301" s="1474"/>
      <c r="AA301" s="1513"/>
      <c r="AB301" s="1515"/>
      <c r="AC301" s="1477"/>
      <c r="AD301" s="1516"/>
      <c r="AE301" s="1477"/>
      <c r="AF301" s="1477"/>
      <c r="AG301" s="1466" t="str">
        <f t="shared" si="85"/>
        <v>階別用途別床面積-ID用途面積</v>
      </c>
      <c r="AH301" s="1466"/>
      <c r="AI301" s="1477"/>
      <c r="AJ301" s="1477"/>
      <c r="AK301" s="1477"/>
      <c r="AL301" s="1466"/>
      <c r="AM301" s="1466"/>
      <c r="AN301" s="1466"/>
      <c r="AO301" s="1466"/>
    </row>
    <row r="302" spans="1:41" s="1449" customFormat="1" ht="18.75" customHeight="1" x14ac:dyDescent="0.15">
      <c r="A302" s="1478"/>
      <c r="B302" s="1478"/>
      <c r="C302" s="1478"/>
      <c r="D302" s="1467">
        <f>'2_入力シート【用途面積】'!$BS$185</f>
        <v>0</v>
      </c>
      <c r="E302" s="1765">
        <f t="shared" si="82"/>
        <v>0</v>
      </c>
      <c r="F302" s="1765" t="str">
        <f t="shared" si="83"/>
        <v>0</v>
      </c>
      <c r="G302" s="1765" t="str">
        <f t="shared" si="84"/>
        <v>0</v>
      </c>
      <c r="H302" s="1468"/>
      <c r="I302" s="1660"/>
      <c r="J302" s="1478"/>
      <c r="K302" s="1478" t="s">
        <v>3204</v>
      </c>
      <c r="L302" s="1478" t="s">
        <v>3203</v>
      </c>
      <c r="M302" s="1549" t="s">
        <v>3207</v>
      </c>
      <c r="N302" s="1478"/>
      <c r="O302" s="1478"/>
      <c r="P302" s="1478"/>
      <c r="Q302" s="1478"/>
      <c r="R302" s="1478"/>
      <c r="S302" s="1462" t="str">
        <f t="shared" si="90"/>
        <v>照合用_②建築設備対象面積</v>
      </c>
      <c r="T302" s="1478"/>
      <c r="U302" s="1512"/>
      <c r="V302" s="1768" t="s">
        <v>1602</v>
      </c>
      <c r="W302" s="1511" t="s">
        <v>1366</v>
      </c>
      <c r="X302" s="1470" t="s">
        <v>2671</v>
      </c>
      <c r="Y302" s="1473"/>
      <c r="Z302" s="1474"/>
      <c r="AA302" s="1513"/>
      <c r="AB302" s="1515"/>
      <c r="AC302" s="1477"/>
      <c r="AD302" s="1516"/>
      <c r="AE302" s="1477"/>
      <c r="AF302" s="1477"/>
      <c r="AG302" s="1466" t="str">
        <f t="shared" si="85"/>
        <v>階別用途別床面積-建築設備対象面積</v>
      </c>
      <c r="AH302" s="1466"/>
      <c r="AI302" s="1477"/>
      <c r="AJ302" s="1477"/>
      <c r="AK302" s="1477"/>
      <c r="AL302" s="1466"/>
      <c r="AM302" s="1466"/>
      <c r="AN302" s="1466"/>
      <c r="AO302" s="1466"/>
    </row>
    <row r="303" spans="1:41" s="1449" customFormat="1" ht="18.75" customHeight="1" x14ac:dyDescent="0.15">
      <c r="A303" s="1478"/>
      <c r="B303" s="1478"/>
      <c r="C303" s="1478"/>
      <c r="D303" s="1467" t="str">
        <f>'2_入力シート【用途面積】'!$BS$186</f>
        <v/>
      </c>
      <c r="E303" s="1765" t="str">
        <f t="shared" si="82"/>
        <v/>
      </c>
      <c r="F303" s="1765" t="str">
        <f t="shared" si="83"/>
        <v/>
      </c>
      <c r="G303" s="1765" t="str">
        <f t="shared" si="84"/>
        <v/>
      </c>
      <c r="H303" s="1468"/>
      <c r="I303" s="1660"/>
      <c r="J303" s="1478"/>
      <c r="K303" s="1478" t="s">
        <v>3209</v>
      </c>
      <c r="L303" s="1478"/>
      <c r="M303" s="1549"/>
      <c r="N303" s="1478"/>
      <c r="O303" s="1478"/>
      <c r="P303" s="1478"/>
      <c r="Q303" s="1478"/>
      <c r="R303" s="1478"/>
      <c r="S303" s="1462" t="str">
        <f t="shared" si="90"/>
        <v>建築設備対象用途</v>
      </c>
      <c r="T303" s="1478"/>
      <c r="U303" s="1512"/>
      <c r="V303" s="1768" t="s">
        <v>1602</v>
      </c>
      <c r="W303" s="1511" t="s">
        <v>1366</v>
      </c>
      <c r="X303" s="1470" t="s">
        <v>2709</v>
      </c>
      <c r="Y303" s="1473"/>
      <c r="Z303" s="1474"/>
      <c r="AA303" s="1513"/>
      <c r="AB303" s="1515"/>
      <c r="AC303" s="1477"/>
      <c r="AD303" s="1516"/>
      <c r="AE303" s="1477"/>
      <c r="AF303" s="1477"/>
      <c r="AG303" s="1466" t="str">
        <f t="shared" si="85"/>
        <v>階別用途別床面積-建築設備対象用途ID記号</v>
      </c>
      <c r="AH303" s="1466"/>
      <c r="AI303" s="1477"/>
      <c r="AJ303" s="1477"/>
      <c r="AK303" s="1477"/>
      <c r="AL303" s="1466"/>
      <c r="AM303" s="1466"/>
      <c r="AN303" s="1466"/>
      <c r="AO303" s="1466"/>
    </row>
    <row r="304" spans="1:41" s="1449" customFormat="1" ht="18.75" customHeight="1" x14ac:dyDescent="0.15">
      <c r="A304" s="1478"/>
      <c r="B304" s="1478"/>
      <c r="C304" s="1478"/>
      <c r="D304" s="1467">
        <f>'2_入力シート【用途面積】'!$BS$187</f>
        <v>0</v>
      </c>
      <c r="E304" s="1765">
        <f t="shared" si="82"/>
        <v>0</v>
      </c>
      <c r="F304" s="1765" t="str">
        <f t="shared" si="83"/>
        <v>0</v>
      </c>
      <c r="G304" s="1765" t="str">
        <f t="shared" si="84"/>
        <v>0</v>
      </c>
      <c r="H304" s="1468"/>
      <c r="I304" s="1660"/>
      <c r="J304" s="1478"/>
      <c r="K304" s="1478" t="s">
        <v>3204</v>
      </c>
      <c r="L304" s="1478" t="s">
        <v>3203</v>
      </c>
      <c r="M304" s="1549" t="s">
        <v>3210</v>
      </c>
      <c r="N304" s="1478"/>
      <c r="O304" s="1478"/>
      <c r="P304" s="1478"/>
      <c r="Q304" s="1478"/>
      <c r="R304" s="1478"/>
      <c r="S304" s="1462" t="str">
        <f t="shared" si="90"/>
        <v>照合用_③特殊建築物面積</v>
      </c>
      <c r="T304" s="1478"/>
      <c r="U304" s="1512"/>
      <c r="V304" s="1768" t="s">
        <v>1602</v>
      </c>
      <c r="W304" s="1511" t="s">
        <v>1366</v>
      </c>
      <c r="X304" s="1470" t="s">
        <v>2673</v>
      </c>
      <c r="Y304" s="1473"/>
      <c r="Z304" s="1474"/>
      <c r="AA304" s="1513"/>
      <c r="AB304" s="1515"/>
      <c r="AC304" s="1477"/>
      <c r="AD304" s="1516"/>
      <c r="AE304" s="1477"/>
      <c r="AF304" s="1477"/>
      <c r="AG304" s="1466" t="str">
        <f t="shared" si="85"/>
        <v>階別用途別床面積-特殊建築物面積</v>
      </c>
      <c r="AH304" s="1466"/>
      <c r="AI304" s="1477"/>
      <c r="AJ304" s="1477"/>
      <c r="AK304" s="1477"/>
      <c r="AL304" s="1466"/>
      <c r="AM304" s="1466"/>
      <c r="AN304" s="1466"/>
      <c r="AO304" s="1466"/>
    </row>
    <row r="305" spans="1:41" s="1449" customFormat="1" ht="18.75" customHeight="1" x14ac:dyDescent="0.15">
      <c r="A305" s="1478"/>
      <c r="B305" s="1478"/>
      <c r="C305" s="1478"/>
      <c r="D305" s="1467" t="str">
        <f>'2_入力シート【用途面積】'!$BS$189</f>
        <v/>
      </c>
      <c r="E305" s="1765" t="str">
        <f t="shared" si="82"/>
        <v/>
      </c>
      <c r="F305" s="1765" t="str">
        <f t="shared" si="83"/>
        <v/>
      </c>
      <c r="G305" s="1765" t="str">
        <f t="shared" si="84"/>
        <v/>
      </c>
      <c r="H305" s="1468" t="s">
        <v>3211</v>
      </c>
      <c r="I305" s="1660"/>
      <c r="J305" s="1478"/>
      <c r="K305" s="1462" t="s">
        <v>3212</v>
      </c>
      <c r="L305" s="1462" t="s">
        <v>1307</v>
      </c>
      <c r="M305" s="1549" t="s">
        <v>3214</v>
      </c>
      <c r="N305" s="1462" t="s">
        <v>1307</v>
      </c>
      <c r="O305" s="1478" t="s">
        <v>2675</v>
      </c>
      <c r="P305" s="1478"/>
      <c r="Q305" s="1478"/>
      <c r="R305" s="1478"/>
      <c r="S305" s="1462" t="str">
        <f t="shared" si="90"/>
        <v>チェック用_用途_指定根拠分類</v>
      </c>
      <c r="T305" s="1478"/>
      <c r="U305" s="1512"/>
      <c r="V305" s="1768" t="s">
        <v>1602</v>
      </c>
      <c r="W305" s="1511" t="s">
        <v>1366</v>
      </c>
      <c r="X305" s="1470" t="s">
        <v>2675</v>
      </c>
      <c r="Y305" s="1473"/>
      <c r="Z305" s="1474"/>
      <c r="AA305" s="1513"/>
      <c r="AB305" s="1515"/>
      <c r="AC305" s="1477"/>
      <c r="AD305" s="1516"/>
      <c r="AE305" s="1477"/>
      <c r="AF305" s="1477"/>
      <c r="AG305" s="1466" t="str">
        <f t="shared" si="85"/>
        <v>階別用途別床面積-指定根拠分類</v>
      </c>
      <c r="AH305" s="1466"/>
      <c r="AI305" s="1477"/>
      <c r="AJ305" s="1477"/>
      <c r="AK305" s="1477"/>
      <c r="AL305" s="1466"/>
      <c r="AM305" s="1466"/>
      <c r="AN305" s="1466"/>
      <c r="AO305" s="1466"/>
    </row>
    <row r="306" spans="1:41" s="1449" customFormat="1" ht="18.75" customHeight="1" x14ac:dyDescent="0.15">
      <c r="A306" s="1478"/>
      <c r="B306" s="1478"/>
      <c r="C306" s="1478"/>
      <c r="D306" s="1467">
        <f>'2_入力シート【用途面積】'!$E$13</f>
        <v>0</v>
      </c>
      <c r="E306" s="1765">
        <f t="shared" si="82"/>
        <v>0</v>
      </c>
      <c r="F306" s="1765" t="str">
        <f t="shared" si="83"/>
        <v>0</v>
      </c>
      <c r="G306" s="1765" t="str">
        <f t="shared" si="84"/>
        <v>0</v>
      </c>
      <c r="H306" s="1468"/>
      <c r="I306" s="1660"/>
      <c r="J306" s="1478"/>
      <c r="K306" s="1478" t="s">
        <v>2711</v>
      </c>
      <c r="L306" s="1478"/>
      <c r="M306" s="1549"/>
      <c r="N306" s="1478"/>
      <c r="O306" s="1478"/>
      <c r="P306" s="1478"/>
      <c r="Q306" s="1478"/>
      <c r="R306" s="1478"/>
      <c r="S306" s="1462" t="str">
        <f t="shared" si="90"/>
        <v>延床面積</v>
      </c>
      <c r="T306" s="1478"/>
      <c r="U306" s="1512"/>
      <c r="V306" s="1768" t="s">
        <v>1602</v>
      </c>
      <c r="W306" s="1511" t="s">
        <v>1366</v>
      </c>
      <c r="X306" s="1470" t="s">
        <v>2711</v>
      </c>
      <c r="Y306" s="1473"/>
      <c r="Z306" s="1474"/>
      <c r="AA306" s="1513"/>
      <c r="AB306" s="1515"/>
      <c r="AC306" s="1477"/>
      <c r="AD306" s="1516"/>
      <c r="AE306" s="1477"/>
      <c r="AF306" s="1477"/>
      <c r="AG306" s="1466" t="str">
        <f t="shared" si="85"/>
        <v>階別用途別床面積-延床面積</v>
      </c>
      <c r="AH306" s="1466"/>
      <c r="AI306" s="1477"/>
      <c r="AJ306" s="1477"/>
      <c r="AK306" s="1477"/>
      <c r="AL306" s="1466"/>
      <c r="AM306" s="1466"/>
      <c r="AN306" s="1466"/>
      <c r="AO306" s="1466"/>
    </row>
    <row r="307" spans="1:41" s="1449" customFormat="1" ht="18.75" customHeight="1" x14ac:dyDescent="0.15">
      <c r="A307" s="1478"/>
      <c r="B307" s="1478"/>
      <c r="C307" s="1478"/>
      <c r="D307" s="1467" t="str">
        <f>'2_入力シート【用途面積】'!$X$12</f>
        <v/>
      </c>
      <c r="E307" s="1765" t="str">
        <f t="shared" si="82"/>
        <v/>
      </c>
      <c r="F307" s="1765" t="str">
        <f t="shared" si="83"/>
        <v/>
      </c>
      <c r="G307" s="1765" t="str">
        <f t="shared" si="84"/>
        <v/>
      </c>
      <c r="H307" s="1766"/>
      <c r="I307" s="1660"/>
      <c r="J307" s="1478"/>
      <c r="K307" s="1478" t="s">
        <v>3201</v>
      </c>
      <c r="L307" s="1478"/>
      <c r="M307" s="1549"/>
      <c r="N307" s="1478"/>
      <c r="O307" s="1478"/>
      <c r="P307" s="1478"/>
      <c r="Q307" s="1478"/>
      <c r="R307" s="1478"/>
      <c r="S307" s="1462" t="str">
        <f t="shared" si="90"/>
        <v>特記用途</v>
      </c>
      <c r="T307" s="1478"/>
      <c r="U307" s="1512"/>
      <c r="V307" s="1768" t="s">
        <v>1602</v>
      </c>
      <c r="W307" s="1511" t="s">
        <v>1366</v>
      </c>
      <c r="X307" s="1470" t="s">
        <v>3201</v>
      </c>
      <c r="Y307" s="1473"/>
      <c r="Z307" s="1474"/>
      <c r="AA307" s="1513"/>
      <c r="AB307" s="1515"/>
      <c r="AC307" s="1477"/>
      <c r="AD307" s="1516"/>
      <c r="AE307" s="1477"/>
      <c r="AF307" s="1477"/>
      <c r="AG307" s="1466" t="str">
        <f t="shared" si="85"/>
        <v>階別用途別床面積-特記用途</v>
      </c>
      <c r="AH307" s="1466"/>
      <c r="AI307" s="1477"/>
      <c r="AJ307" s="1477"/>
      <c r="AK307" s="1477"/>
      <c r="AL307" s="1466"/>
      <c r="AM307" s="1466"/>
      <c r="AN307" s="1466"/>
      <c r="AO307" s="1466"/>
    </row>
    <row r="308" spans="1:41" s="1624" customFormat="1" ht="18.75" customHeight="1" x14ac:dyDescent="0.15">
      <c r="A308" s="1627"/>
      <c r="B308" s="1627"/>
      <c r="C308" s="1627"/>
      <c r="D308" s="1626">
        <f>'2_入力シート【用途面積】'!$G4</f>
        <v>0</v>
      </c>
      <c r="E308" s="1672">
        <f t="shared" ref="E308:E353" si="91">D308</f>
        <v>0</v>
      </c>
      <c r="F308" s="1672" t="str">
        <f t="shared" ref="F308:F353" si="92">SUBSTITUTE(E308,CHAR(10),"")</f>
        <v>0</v>
      </c>
      <c r="G308" s="1672" t="str">
        <f t="shared" ref="G308:G353" si="93">TRIM(F308)</f>
        <v>0</v>
      </c>
      <c r="H308" s="1628"/>
      <c r="I308" s="1627"/>
      <c r="J308" s="1627"/>
      <c r="K308" s="1627"/>
      <c r="L308" s="1627"/>
      <c r="M308" s="1629"/>
      <c r="N308" s="1627"/>
      <c r="O308" s="1627"/>
      <c r="P308" s="1627"/>
      <c r="Q308" s="1627"/>
      <c r="R308" s="1627"/>
      <c r="S308" s="1627"/>
      <c r="T308" s="1627"/>
      <c r="U308" s="1780"/>
      <c r="V308" s="1781" t="s">
        <v>1602</v>
      </c>
      <c r="W308" s="1782" t="s">
        <v>1366</v>
      </c>
      <c r="X308" s="1631">
        <v>1</v>
      </c>
      <c r="Y308" s="1633" t="s">
        <v>1306</v>
      </c>
      <c r="Z308" s="1640" t="s">
        <v>1597</v>
      </c>
      <c r="AA308" s="1783"/>
      <c r="AB308" s="1787"/>
      <c r="AC308" s="1698"/>
      <c r="AD308" s="1699"/>
      <c r="AE308" s="1698"/>
      <c r="AF308" s="1698"/>
      <c r="AG308" s="1637" t="str">
        <f t="shared" ref="AG308:AG327" si="94">CONCATENATE(U308,V308,W308,X308,Y308,Z308,AA308,AB308,AC308,AD308)</f>
        <v>階別用途別床面積-1-大分類</v>
      </c>
      <c r="AH308" s="1637"/>
      <c r="AI308" s="1636"/>
      <c r="AJ308" s="1636"/>
      <c r="AK308" s="1636"/>
      <c r="AL308" s="1637"/>
      <c r="AM308" s="1637"/>
      <c r="AN308" s="1637"/>
      <c r="AO308" s="1637"/>
    </row>
    <row r="309" spans="1:41" s="1449" customFormat="1" ht="18.75" customHeight="1" x14ac:dyDescent="0.15">
      <c r="A309" s="1478"/>
      <c r="B309" s="1478"/>
      <c r="C309" s="1478"/>
      <c r="D309" s="1467">
        <f>'2_入力シート【用途面積】'!$G$7</f>
        <v>0</v>
      </c>
      <c r="E309" s="1765">
        <f t="shared" si="91"/>
        <v>0</v>
      </c>
      <c r="F309" s="1765" t="str">
        <f t="shared" si="92"/>
        <v>0</v>
      </c>
      <c r="G309" s="1765" t="str">
        <f t="shared" si="93"/>
        <v>0</v>
      </c>
      <c r="H309" s="1766"/>
      <c r="I309" s="1478"/>
      <c r="J309" s="1531"/>
      <c r="K309" s="1478" t="s">
        <v>3217</v>
      </c>
      <c r="L309" s="1478"/>
      <c r="M309" s="1549"/>
      <c r="N309" s="1478"/>
      <c r="O309" s="1478"/>
      <c r="P309" s="1478"/>
      <c r="Q309" s="1478"/>
      <c r="R309" s="1478"/>
      <c r="S309" s="1462" t="str">
        <f t="shared" ref="S309" si="95">CONCATENATE(K309,L309,M309,N309,O309,P309,Q309)</f>
        <v>用途1</v>
      </c>
      <c r="T309" s="1478"/>
      <c r="U309" s="1512"/>
      <c r="V309" s="1768" t="s">
        <v>1602</v>
      </c>
      <c r="W309" s="1511" t="s">
        <v>1306</v>
      </c>
      <c r="X309" s="1470">
        <v>1</v>
      </c>
      <c r="Y309" s="1473" t="s">
        <v>1306</v>
      </c>
      <c r="Z309" s="1474" t="s">
        <v>1598</v>
      </c>
      <c r="AA309" s="1513"/>
      <c r="AB309" s="1514"/>
      <c r="AC309" s="1501"/>
      <c r="AD309" s="1503"/>
      <c r="AE309" s="1501"/>
      <c r="AF309" s="1501"/>
      <c r="AG309" s="1466" t="str">
        <f t="shared" si="94"/>
        <v>階別用途別床面積-1-小分類</v>
      </c>
      <c r="AH309" s="1466"/>
      <c r="AI309" s="1477"/>
      <c r="AJ309" s="1477"/>
      <c r="AK309" s="1477"/>
      <c r="AL309" s="1466"/>
      <c r="AM309" s="1466"/>
      <c r="AN309" s="1466"/>
      <c r="AO309" s="1466"/>
    </row>
    <row r="310" spans="1:41" s="1624" customFormat="1" ht="18.75" customHeight="1" x14ac:dyDescent="0.15">
      <c r="A310" s="1627"/>
      <c r="B310" s="1627"/>
      <c r="C310" s="1627"/>
      <c r="D310" s="1626">
        <f>'2_入力シート【用途面積】'!$G$12</f>
        <v>0</v>
      </c>
      <c r="E310" s="1672">
        <f t="shared" si="91"/>
        <v>0</v>
      </c>
      <c r="F310" s="1672" t="str">
        <f t="shared" si="92"/>
        <v>0</v>
      </c>
      <c r="G310" s="1672" t="str">
        <f t="shared" si="93"/>
        <v>0</v>
      </c>
      <c r="H310" s="1628"/>
      <c r="I310" s="1627"/>
      <c r="J310" s="1627"/>
      <c r="K310" s="1627"/>
      <c r="L310" s="1627"/>
      <c r="M310" s="1629"/>
      <c r="N310" s="1627"/>
      <c r="O310" s="1627"/>
      <c r="P310" s="1627"/>
      <c r="Q310" s="1627"/>
      <c r="R310" s="1627"/>
      <c r="S310" s="1627"/>
      <c r="T310" s="1627"/>
      <c r="U310" s="1780"/>
      <c r="V310" s="1781" t="s">
        <v>2434</v>
      </c>
      <c r="W310" s="1782" t="s">
        <v>1366</v>
      </c>
      <c r="X310" s="1631">
        <v>1</v>
      </c>
      <c r="Y310" s="1633" t="s">
        <v>1366</v>
      </c>
      <c r="Z310" s="1640" t="s">
        <v>2433</v>
      </c>
      <c r="AA310" s="1783"/>
      <c r="AB310" s="1787"/>
      <c r="AC310" s="1698"/>
      <c r="AD310" s="1699"/>
      <c r="AE310" s="1698"/>
      <c r="AF310" s="1698"/>
      <c r="AG310" s="1637" t="str">
        <f t="shared" si="94"/>
        <v>階別用途別床面積-1-特記</v>
      </c>
      <c r="AH310" s="1637"/>
      <c r="AI310" s="1636"/>
      <c r="AJ310" s="1636"/>
      <c r="AK310" s="1636"/>
      <c r="AL310" s="1637"/>
      <c r="AM310" s="1637"/>
      <c r="AN310" s="1637"/>
      <c r="AO310" s="1637"/>
    </row>
    <row r="311" spans="1:41" s="1624" customFormat="1" ht="18.75" customHeight="1" x14ac:dyDescent="0.15">
      <c r="A311" s="1627"/>
      <c r="B311" s="1627"/>
      <c r="C311" s="1627"/>
      <c r="D311" s="1626">
        <f>'2_入力シート【用途面積】'!$G14</f>
        <v>0</v>
      </c>
      <c r="E311" s="1672">
        <f t="shared" si="91"/>
        <v>0</v>
      </c>
      <c r="F311" s="1672" t="str">
        <f t="shared" si="92"/>
        <v>0</v>
      </c>
      <c r="G311" s="1672" t="str">
        <f t="shared" si="93"/>
        <v>0</v>
      </c>
      <c r="H311" s="1628"/>
      <c r="I311" s="1627"/>
      <c r="J311" s="1627"/>
      <c r="K311" s="1627"/>
      <c r="L311" s="1627"/>
      <c r="M311" s="1629"/>
      <c r="N311" s="1627"/>
      <c r="O311" s="1627"/>
      <c r="P311" s="1627"/>
      <c r="Q311" s="1627"/>
      <c r="R311" s="1627"/>
      <c r="S311" s="1627"/>
      <c r="T311" s="1627"/>
      <c r="U311" s="1780"/>
      <c r="V311" s="1781" t="s">
        <v>1602</v>
      </c>
      <c r="W311" s="1782" t="s">
        <v>1306</v>
      </c>
      <c r="X311" s="1631">
        <v>1</v>
      </c>
      <c r="Y311" s="1633" t="s">
        <v>1306</v>
      </c>
      <c r="Z311" s="1640" t="s">
        <v>1538</v>
      </c>
      <c r="AA311" s="1783"/>
      <c r="AB311" s="1787"/>
      <c r="AC311" s="1698"/>
      <c r="AD311" s="1699"/>
      <c r="AE311" s="1698"/>
      <c r="AF311" s="1698"/>
      <c r="AG311" s="1637" t="str">
        <f t="shared" si="94"/>
        <v>階別用途別床面積-1-地下1階</v>
      </c>
      <c r="AH311" s="1637"/>
      <c r="AI311" s="1636"/>
      <c r="AJ311" s="1636"/>
      <c r="AK311" s="1636"/>
      <c r="AL311" s="1637"/>
      <c r="AM311" s="1637"/>
      <c r="AN311" s="1637"/>
      <c r="AO311" s="1637"/>
    </row>
    <row r="312" spans="1:41" s="1624" customFormat="1" ht="18.75" customHeight="1" x14ac:dyDescent="0.15">
      <c r="A312" s="1627"/>
      <c r="B312" s="1627"/>
      <c r="C312" s="1627"/>
      <c r="D312" s="1626">
        <f>'2_入力シート【用途面積】'!$G15</f>
        <v>0</v>
      </c>
      <c r="E312" s="1672">
        <f t="shared" si="91"/>
        <v>0</v>
      </c>
      <c r="F312" s="1672" t="str">
        <f t="shared" si="92"/>
        <v>0</v>
      </c>
      <c r="G312" s="1672" t="str">
        <f t="shared" si="93"/>
        <v>0</v>
      </c>
      <c r="H312" s="1628"/>
      <c r="I312" s="1627"/>
      <c r="J312" s="1627"/>
      <c r="K312" s="1627"/>
      <c r="L312" s="1627"/>
      <c r="M312" s="1629"/>
      <c r="N312" s="1627"/>
      <c r="O312" s="1627"/>
      <c r="P312" s="1627"/>
      <c r="Q312" s="1627"/>
      <c r="R312" s="1627"/>
      <c r="S312" s="1627"/>
      <c r="T312" s="1627"/>
      <c r="U312" s="1780"/>
      <c r="V312" s="1781" t="s">
        <v>1602</v>
      </c>
      <c r="W312" s="1782" t="s">
        <v>1306</v>
      </c>
      <c r="X312" s="1631">
        <v>1</v>
      </c>
      <c r="Y312" s="1633" t="s">
        <v>1306</v>
      </c>
      <c r="Z312" s="1640" t="s">
        <v>1539</v>
      </c>
      <c r="AA312" s="1783"/>
      <c r="AB312" s="1784"/>
      <c r="AC312" s="1636"/>
      <c r="AD312" s="1785"/>
      <c r="AE312" s="1698"/>
      <c r="AF312" s="1698"/>
      <c r="AG312" s="1637" t="str">
        <f t="shared" si="94"/>
        <v>階別用途別床面積-1-地下2階</v>
      </c>
      <c r="AH312" s="1637"/>
      <c r="AI312" s="1636"/>
      <c r="AJ312" s="1636"/>
      <c r="AK312" s="1636"/>
      <c r="AL312" s="1637"/>
      <c r="AM312" s="1637"/>
      <c r="AN312" s="1637"/>
      <c r="AO312" s="1637"/>
    </row>
    <row r="313" spans="1:41" s="1624" customFormat="1" ht="18.75" customHeight="1" x14ac:dyDescent="0.15">
      <c r="A313" s="1627"/>
      <c r="B313" s="1627"/>
      <c r="C313" s="1627"/>
      <c r="D313" s="1626">
        <f>'2_入力シート【用途面積】'!$G16</f>
        <v>0</v>
      </c>
      <c r="E313" s="1672">
        <f t="shared" si="91"/>
        <v>0</v>
      </c>
      <c r="F313" s="1672" t="str">
        <f t="shared" si="92"/>
        <v>0</v>
      </c>
      <c r="G313" s="1672" t="str">
        <f t="shared" si="93"/>
        <v>0</v>
      </c>
      <c r="H313" s="1628"/>
      <c r="I313" s="1627"/>
      <c r="J313" s="1627"/>
      <c r="K313" s="1627"/>
      <c r="L313" s="1627"/>
      <c r="M313" s="1629"/>
      <c r="N313" s="1627"/>
      <c r="O313" s="1627"/>
      <c r="P313" s="1627"/>
      <c r="Q313" s="1627"/>
      <c r="R313" s="1627"/>
      <c r="S313" s="1627"/>
      <c r="T313" s="1627"/>
      <c r="U313" s="1780"/>
      <c r="V313" s="1781" t="s">
        <v>1602</v>
      </c>
      <c r="W313" s="1782" t="s">
        <v>1306</v>
      </c>
      <c r="X313" s="1631">
        <v>1</v>
      </c>
      <c r="Y313" s="1633" t="s">
        <v>1306</v>
      </c>
      <c r="Z313" s="1640" t="s">
        <v>1540</v>
      </c>
      <c r="AA313" s="1783"/>
      <c r="AB313" s="1784"/>
      <c r="AC313" s="1698"/>
      <c r="AD313" s="1699"/>
      <c r="AE313" s="1698"/>
      <c r="AF313" s="1698"/>
      <c r="AG313" s="1637" t="str">
        <f t="shared" si="94"/>
        <v>階別用途別床面積-1-地下3階</v>
      </c>
      <c r="AH313" s="1637"/>
      <c r="AI313" s="1636"/>
      <c r="AJ313" s="1636"/>
      <c r="AK313" s="1636"/>
      <c r="AL313" s="1637"/>
      <c r="AM313" s="1637"/>
      <c r="AN313" s="1637"/>
      <c r="AO313" s="1637"/>
    </row>
    <row r="314" spans="1:41" s="1624" customFormat="1" ht="18.75" customHeight="1" x14ac:dyDescent="0.15">
      <c r="A314" s="1627"/>
      <c r="B314" s="1627"/>
      <c r="C314" s="1627"/>
      <c r="D314" s="1626">
        <f>'2_入力シート【用途面積】'!$G17</f>
        <v>0</v>
      </c>
      <c r="E314" s="1672">
        <f t="shared" si="91"/>
        <v>0</v>
      </c>
      <c r="F314" s="1672" t="str">
        <f t="shared" si="92"/>
        <v>0</v>
      </c>
      <c r="G314" s="1672" t="str">
        <f t="shared" si="93"/>
        <v>0</v>
      </c>
      <c r="H314" s="1628"/>
      <c r="I314" s="1627"/>
      <c r="J314" s="1627"/>
      <c r="K314" s="1627"/>
      <c r="L314" s="1627"/>
      <c r="M314" s="1629"/>
      <c r="N314" s="1627"/>
      <c r="O314" s="1627"/>
      <c r="P314" s="1627"/>
      <c r="Q314" s="1627"/>
      <c r="R314" s="1627"/>
      <c r="S314" s="1627"/>
      <c r="T314" s="1627"/>
      <c r="U314" s="1780"/>
      <c r="V314" s="1781" t="s">
        <v>1602</v>
      </c>
      <c r="W314" s="1782" t="s">
        <v>1306</v>
      </c>
      <c r="X314" s="1631">
        <v>1</v>
      </c>
      <c r="Y314" s="1633" t="s">
        <v>1306</v>
      </c>
      <c r="Z314" s="1640" t="s">
        <v>1541</v>
      </c>
      <c r="AA314" s="1783"/>
      <c r="AB314" s="1784"/>
      <c r="AC314" s="1698"/>
      <c r="AD314" s="1699"/>
      <c r="AE314" s="1698"/>
      <c r="AF314" s="1698"/>
      <c r="AG314" s="1637" t="str">
        <f t="shared" si="94"/>
        <v>階別用途別床面積-1-地下4階</v>
      </c>
      <c r="AH314" s="1637"/>
      <c r="AI314" s="1636"/>
      <c r="AJ314" s="1636"/>
      <c r="AK314" s="1636"/>
      <c r="AL314" s="1637"/>
      <c r="AM314" s="1637"/>
      <c r="AN314" s="1637"/>
      <c r="AO314" s="1637"/>
    </row>
    <row r="315" spans="1:41" s="1624" customFormat="1" ht="18.75" customHeight="1" x14ac:dyDescent="0.15">
      <c r="A315" s="1627"/>
      <c r="B315" s="1627"/>
      <c r="C315" s="1627"/>
      <c r="D315" s="1626">
        <f>'2_入力シート【用途面積】'!$G18</f>
        <v>0</v>
      </c>
      <c r="E315" s="1672">
        <f t="shared" si="91"/>
        <v>0</v>
      </c>
      <c r="F315" s="1672" t="str">
        <f t="shared" si="92"/>
        <v>0</v>
      </c>
      <c r="G315" s="1672" t="str">
        <f t="shared" si="93"/>
        <v>0</v>
      </c>
      <c r="H315" s="1628"/>
      <c r="I315" s="1627"/>
      <c r="J315" s="1627"/>
      <c r="K315" s="1627"/>
      <c r="L315" s="1627"/>
      <c r="M315" s="1629"/>
      <c r="N315" s="1627"/>
      <c r="O315" s="1627"/>
      <c r="P315" s="1627"/>
      <c r="Q315" s="1627"/>
      <c r="R315" s="1627"/>
      <c r="S315" s="1627"/>
      <c r="T315" s="1627"/>
      <c r="U315" s="1780"/>
      <c r="V315" s="1781" t="s">
        <v>1602</v>
      </c>
      <c r="W315" s="1782" t="s">
        <v>1306</v>
      </c>
      <c r="X315" s="1631">
        <v>1</v>
      </c>
      <c r="Y315" s="1633" t="s">
        <v>1306</v>
      </c>
      <c r="Z315" s="1640" t="s">
        <v>1542</v>
      </c>
      <c r="AA315" s="1783"/>
      <c r="AB315" s="1784"/>
      <c r="AC315" s="1698"/>
      <c r="AD315" s="1699"/>
      <c r="AE315" s="1636"/>
      <c r="AF315" s="1636"/>
      <c r="AG315" s="1637" t="str">
        <f t="shared" si="94"/>
        <v>階別用途別床面積-1-塔屋 1階</v>
      </c>
      <c r="AH315" s="1637"/>
      <c r="AI315" s="1636"/>
      <c r="AJ315" s="1636"/>
      <c r="AK315" s="1636"/>
      <c r="AL315" s="1637"/>
      <c r="AM315" s="1637"/>
      <c r="AN315" s="1637"/>
      <c r="AO315" s="1637"/>
    </row>
    <row r="316" spans="1:41" s="1624" customFormat="1" ht="18.75" customHeight="1" x14ac:dyDescent="0.15">
      <c r="A316" s="1627"/>
      <c r="B316" s="1627"/>
      <c r="C316" s="1627"/>
      <c r="D316" s="1626">
        <f>'2_入力シート【用途面積】'!$G19</f>
        <v>0</v>
      </c>
      <c r="E316" s="1672">
        <f t="shared" si="91"/>
        <v>0</v>
      </c>
      <c r="F316" s="1672" t="str">
        <f t="shared" si="92"/>
        <v>0</v>
      </c>
      <c r="G316" s="1672" t="str">
        <f t="shared" si="93"/>
        <v>0</v>
      </c>
      <c r="H316" s="1628"/>
      <c r="I316" s="1627"/>
      <c r="J316" s="1627"/>
      <c r="K316" s="1627"/>
      <c r="L316" s="1627"/>
      <c r="M316" s="1629"/>
      <c r="N316" s="1627"/>
      <c r="O316" s="1627"/>
      <c r="P316" s="1627"/>
      <c r="Q316" s="1627"/>
      <c r="R316" s="1627"/>
      <c r="S316" s="1627"/>
      <c r="T316" s="1627"/>
      <c r="U316" s="1780"/>
      <c r="V316" s="1781" t="s">
        <v>1602</v>
      </c>
      <c r="W316" s="1782" t="s">
        <v>1306</v>
      </c>
      <c r="X316" s="1631">
        <v>1</v>
      </c>
      <c r="Y316" s="1633" t="s">
        <v>1306</v>
      </c>
      <c r="Z316" s="1640" t="s">
        <v>1543</v>
      </c>
      <c r="AA316" s="1783"/>
      <c r="AB316" s="1784"/>
      <c r="AC316" s="1698"/>
      <c r="AD316" s="1699"/>
      <c r="AE316" s="1698"/>
      <c r="AF316" s="1698"/>
      <c r="AG316" s="1637" t="str">
        <f t="shared" si="94"/>
        <v>階別用途別床面積-1-塔屋 2階</v>
      </c>
      <c r="AH316" s="1637"/>
      <c r="AI316" s="1636"/>
      <c r="AJ316" s="1636"/>
      <c r="AK316" s="1636"/>
      <c r="AL316" s="1637"/>
      <c r="AM316" s="1637"/>
      <c r="AN316" s="1637"/>
      <c r="AO316" s="1637"/>
    </row>
    <row r="317" spans="1:41" s="1624" customFormat="1" ht="18.75" customHeight="1" x14ac:dyDescent="0.15">
      <c r="A317" s="1627"/>
      <c r="B317" s="1627"/>
      <c r="C317" s="1627"/>
      <c r="D317" s="1626">
        <f>'2_入力シート【用途面積】'!$G20</f>
        <v>0</v>
      </c>
      <c r="E317" s="1672">
        <f t="shared" si="91"/>
        <v>0</v>
      </c>
      <c r="F317" s="1672" t="str">
        <f t="shared" si="92"/>
        <v>0</v>
      </c>
      <c r="G317" s="1672" t="str">
        <f t="shared" si="93"/>
        <v>0</v>
      </c>
      <c r="H317" s="1628"/>
      <c r="I317" s="1627"/>
      <c r="J317" s="1627"/>
      <c r="K317" s="1627"/>
      <c r="L317" s="1627"/>
      <c r="M317" s="1629"/>
      <c r="N317" s="1627"/>
      <c r="O317" s="1627"/>
      <c r="P317" s="1627"/>
      <c r="Q317" s="1627"/>
      <c r="R317" s="1627"/>
      <c r="S317" s="1627"/>
      <c r="T317" s="1627"/>
      <c r="U317" s="1780"/>
      <c r="V317" s="1781" t="s">
        <v>1602</v>
      </c>
      <c r="W317" s="1782" t="s">
        <v>1306</v>
      </c>
      <c r="X317" s="1631">
        <v>1</v>
      </c>
      <c r="Y317" s="1633" t="s">
        <v>1306</v>
      </c>
      <c r="Z317" s="1640" t="s">
        <v>1544</v>
      </c>
      <c r="AA317" s="1783"/>
      <c r="AB317" s="1787"/>
      <c r="AC317" s="1698"/>
      <c r="AD317" s="1699"/>
      <c r="AE317" s="1698"/>
      <c r="AF317" s="1698"/>
      <c r="AG317" s="1637" t="str">
        <f t="shared" si="94"/>
        <v>階別用途別床面積-1-塔屋 3階</v>
      </c>
      <c r="AH317" s="1637"/>
      <c r="AI317" s="1636"/>
      <c r="AJ317" s="1636"/>
      <c r="AK317" s="1636"/>
      <c r="AL317" s="1637"/>
      <c r="AM317" s="1637"/>
      <c r="AN317" s="1637"/>
      <c r="AO317" s="1637"/>
    </row>
    <row r="318" spans="1:41" s="1624" customFormat="1" ht="18.75" customHeight="1" x14ac:dyDescent="0.15">
      <c r="A318" s="1627"/>
      <c r="B318" s="1627"/>
      <c r="C318" s="1627"/>
      <c r="D318" s="1626">
        <f>'2_入力シート【用途面積】'!$G21</f>
        <v>0</v>
      </c>
      <c r="E318" s="1672">
        <f t="shared" si="91"/>
        <v>0</v>
      </c>
      <c r="F318" s="1672" t="str">
        <f t="shared" si="92"/>
        <v>0</v>
      </c>
      <c r="G318" s="1672" t="str">
        <f t="shared" si="93"/>
        <v>0</v>
      </c>
      <c r="H318" s="1628"/>
      <c r="I318" s="1627"/>
      <c r="J318" s="1627"/>
      <c r="K318" s="1627"/>
      <c r="L318" s="1627"/>
      <c r="M318" s="1629"/>
      <c r="N318" s="1627"/>
      <c r="O318" s="1627"/>
      <c r="P318" s="1627"/>
      <c r="Q318" s="1627"/>
      <c r="R318" s="1627"/>
      <c r="S318" s="1627"/>
      <c r="T318" s="1627"/>
      <c r="U318" s="1780"/>
      <c r="V318" s="1781" t="s">
        <v>1602</v>
      </c>
      <c r="W318" s="1782" t="s">
        <v>1306</v>
      </c>
      <c r="X318" s="1631">
        <v>1</v>
      </c>
      <c r="Y318" s="1633" t="s">
        <v>1306</v>
      </c>
      <c r="Z318" s="1640" t="s">
        <v>1545</v>
      </c>
      <c r="AA318" s="1783"/>
      <c r="AB318" s="1787"/>
      <c r="AC318" s="1698"/>
      <c r="AD318" s="1699"/>
      <c r="AE318" s="1698"/>
      <c r="AF318" s="1698"/>
      <c r="AG318" s="1637" t="str">
        <f t="shared" si="94"/>
        <v>階別用途別床面積-1-塔屋 4階</v>
      </c>
      <c r="AH318" s="1637"/>
      <c r="AI318" s="1636"/>
      <c r="AJ318" s="1636"/>
      <c r="AK318" s="1636"/>
      <c r="AL318" s="1637"/>
      <c r="AM318" s="1637"/>
      <c r="AN318" s="1637"/>
      <c r="AO318" s="1637"/>
    </row>
    <row r="319" spans="1:41" s="1624" customFormat="1" ht="18.75" customHeight="1" x14ac:dyDescent="0.15">
      <c r="A319" s="1627"/>
      <c r="B319" s="1627"/>
      <c r="C319" s="1627"/>
      <c r="D319" s="1626">
        <f>'2_入力シート【用途面積】'!$G22</f>
        <v>0</v>
      </c>
      <c r="E319" s="1672">
        <f t="shared" si="91"/>
        <v>0</v>
      </c>
      <c r="F319" s="1672" t="str">
        <f t="shared" si="92"/>
        <v>0</v>
      </c>
      <c r="G319" s="1672" t="str">
        <f t="shared" si="93"/>
        <v>0</v>
      </c>
      <c r="H319" s="1628"/>
      <c r="I319" s="1627"/>
      <c r="J319" s="1627"/>
      <c r="K319" s="1627"/>
      <c r="L319" s="1627"/>
      <c r="M319" s="1629"/>
      <c r="N319" s="1627"/>
      <c r="O319" s="1627"/>
      <c r="P319" s="1627"/>
      <c r="Q319" s="1627"/>
      <c r="R319" s="1627"/>
      <c r="S319" s="1627"/>
      <c r="T319" s="1627"/>
      <c r="U319" s="1780"/>
      <c r="V319" s="1781" t="s">
        <v>1602</v>
      </c>
      <c r="W319" s="1782" t="s">
        <v>1306</v>
      </c>
      <c r="X319" s="1631">
        <v>1</v>
      </c>
      <c r="Y319" s="1633" t="s">
        <v>1306</v>
      </c>
      <c r="Z319" s="1640" t="s">
        <v>1546</v>
      </c>
      <c r="AA319" s="1783"/>
      <c r="AB319" s="1787"/>
      <c r="AC319" s="1698"/>
      <c r="AD319" s="1699"/>
      <c r="AE319" s="1698"/>
      <c r="AF319" s="1698"/>
      <c r="AG319" s="1637" t="str">
        <f t="shared" si="94"/>
        <v>階別用途別床面積-1-塔屋 5階</v>
      </c>
      <c r="AH319" s="1637"/>
      <c r="AI319" s="1636"/>
      <c r="AJ319" s="1636"/>
      <c r="AK319" s="1636"/>
      <c r="AL319" s="1637"/>
      <c r="AM319" s="1637"/>
      <c r="AN319" s="1637"/>
      <c r="AO319" s="1637"/>
    </row>
    <row r="320" spans="1:41" s="1624" customFormat="1" ht="18.75" customHeight="1" x14ac:dyDescent="0.15">
      <c r="A320" s="1627"/>
      <c r="B320" s="1627"/>
      <c r="C320" s="1627"/>
      <c r="D320" s="1626">
        <f>'2_入力シート【用途面積】'!$G23</f>
        <v>0</v>
      </c>
      <c r="E320" s="1672">
        <f t="shared" si="91"/>
        <v>0</v>
      </c>
      <c r="F320" s="1672" t="str">
        <f t="shared" si="92"/>
        <v>0</v>
      </c>
      <c r="G320" s="1672" t="str">
        <f t="shared" si="93"/>
        <v>0</v>
      </c>
      <c r="H320" s="1628"/>
      <c r="I320" s="1627"/>
      <c r="J320" s="1627"/>
      <c r="K320" s="1627"/>
      <c r="L320" s="1627"/>
      <c r="M320" s="1629"/>
      <c r="N320" s="1627"/>
      <c r="O320" s="1627"/>
      <c r="P320" s="1627"/>
      <c r="Q320" s="1627"/>
      <c r="R320" s="1627"/>
      <c r="S320" s="1627"/>
      <c r="T320" s="1627"/>
      <c r="U320" s="1780"/>
      <c r="V320" s="1781" t="s">
        <v>1602</v>
      </c>
      <c r="W320" s="1782" t="s">
        <v>1306</v>
      </c>
      <c r="X320" s="1631">
        <v>1</v>
      </c>
      <c r="Y320" s="1633" t="s">
        <v>1306</v>
      </c>
      <c r="Z320" s="1640" t="s">
        <v>1547</v>
      </c>
      <c r="AA320" s="1783"/>
      <c r="AB320" s="1784"/>
      <c r="AC320" s="1636"/>
      <c r="AD320" s="1785"/>
      <c r="AE320" s="1698"/>
      <c r="AF320" s="1698"/>
      <c r="AG320" s="1637" t="str">
        <f t="shared" si="94"/>
        <v>階別用途別床面積-1-1階</v>
      </c>
      <c r="AH320" s="1637"/>
      <c r="AI320" s="1636"/>
      <c r="AJ320" s="1636"/>
      <c r="AK320" s="1636"/>
      <c r="AL320" s="1637"/>
      <c r="AM320" s="1637"/>
      <c r="AN320" s="1637"/>
      <c r="AO320" s="1637"/>
    </row>
    <row r="321" spans="1:41" s="1624" customFormat="1" ht="18.75" customHeight="1" x14ac:dyDescent="0.15">
      <c r="A321" s="1627"/>
      <c r="B321" s="1627"/>
      <c r="C321" s="1627"/>
      <c r="D321" s="1626">
        <f>'2_入力シート【用途面積】'!$G24</f>
        <v>0</v>
      </c>
      <c r="E321" s="1672">
        <f t="shared" si="91"/>
        <v>0</v>
      </c>
      <c r="F321" s="1672" t="str">
        <f t="shared" si="92"/>
        <v>0</v>
      </c>
      <c r="G321" s="1672" t="str">
        <f t="shared" si="93"/>
        <v>0</v>
      </c>
      <c r="H321" s="1628"/>
      <c r="I321" s="1627"/>
      <c r="J321" s="1627"/>
      <c r="K321" s="1627"/>
      <c r="L321" s="1627"/>
      <c r="M321" s="1629"/>
      <c r="N321" s="1627"/>
      <c r="O321" s="1627"/>
      <c r="P321" s="1627"/>
      <c r="Q321" s="1627"/>
      <c r="R321" s="1627"/>
      <c r="S321" s="1627"/>
      <c r="T321" s="1627"/>
      <c r="U321" s="1780"/>
      <c r="V321" s="1781" t="s">
        <v>1602</v>
      </c>
      <c r="W321" s="1782" t="s">
        <v>1306</v>
      </c>
      <c r="X321" s="1631">
        <v>1</v>
      </c>
      <c r="Y321" s="1633" t="s">
        <v>1306</v>
      </c>
      <c r="Z321" s="1640" t="s">
        <v>1548</v>
      </c>
      <c r="AA321" s="1783"/>
      <c r="AB321" s="1784"/>
      <c r="AC321" s="1698"/>
      <c r="AD321" s="1699"/>
      <c r="AE321" s="1698"/>
      <c r="AF321" s="1698"/>
      <c r="AG321" s="1637" t="str">
        <f t="shared" si="94"/>
        <v>階別用途別床面積-1-2階</v>
      </c>
      <c r="AH321" s="1637"/>
      <c r="AI321" s="1636"/>
      <c r="AJ321" s="1636"/>
      <c r="AK321" s="1636"/>
      <c r="AL321" s="1637"/>
      <c r="AM321" s="1637"/>
      <c r="AN321" s="1637"/>
      <c r="AO321" s="1637"/>
    </row>
    <row r="322" spans="1:41" s="1624" customFormat="1" ht="18.75" customHeight="1" x14ac:dyDescent="0.15">
      <c r="A322" s="1627"/>
      <c r="B322" s="1627"/>
      <c r="C322" s="1627"/>
      <c r="D322" s="1626">
        <f>'2_入力シート【用途面積】'!$G25</f>
        <v>0</v>
      </c>
      <c r="E322" s="1672">
        <f t="shared" si="91"/>
        <v>0</v>
      </c>
      <c r="F322" s="1672" t="str">
        <f t="shared" si="92"/>
        <v>0</v>
      </c>
      <c r="G322" s="1672" t="str">
        <f t="shared" si="93"/>
        <v>0</v>
      </c>
      <c r="H322" s="1628"/>
      <c r="I322" s="1627"/>
      <c r="J322" s="1627"/>
      <c r="K322" s="1627"/>
      <c r="L322" s="1627"/>
      <c r="M322" s="1629"/>
      <c r="N322" s="1627"/>
      <c r="O322" s="1627"/>
      <c r="P322" s="1627"/>
      <c r="Q322" s="1627"/>
      <c r="R322" s="1627"/>
      <c r="S322" s="1627"/>
      <c r="T322" s="1627"/>
      <c r="U322" s="1780"/>
      <c r="V322" s="1781" t="s">
        <v>1602</v>
      </c>
      <c r="W322" s="1782" t="s">
        <v>1306</v>
      </c>
      <c r="X322" s="1631">
        <v>1</v>
      </c>
      <c r="Y322" s="1633" t="s">
        <v>1306</v>
      </c>
      <c r="Z322" s="1640" t="s">
        <v>1549</v>
      </c>
      <c r="AA322" s="1783"/>
      <c r="AB322" s="1784"/>
      <c r="AC322" s="1698"/>
      <c r="AD322" s="1699"/>
      <c r="AE322" s="1698"/>
      <c r="AF322" s="1698"/>
      <c r="AG322" s="1637" t="str">
        <f t="shared" si="94"/>
        <v>階別用途別床面積-1-3階</v>
      </c>
      <c r="AH322" s="1637"/>
      <c r="AI322" s="1636"/>
      <c r="AJ322" s="1636"/>
      <c r="AK322" s="1636"/>
      <c r="AL322" s="1637"/>
      <c r="AM322" s="1637"/>
      <c r="AN322" s="1637"/>
      <c r="AO322" s="1637"/>
    </row>
    <row r="323" spans="1:41" s="1624" customFormat="1" ht="18.75" customHeight="1" x14ac:dyDescent="0.15">
      <c r="A323" s="1627"/>
      <c r="B323" s="1627"/>
      <c r="C323" s="1627"/>
      <c r="D323" s="1626">
        <f>'2_入力シート【用途面積】'!$G26</f>
        <v>0</v>
      </c>
      <c r="E323" s="1672">
        <f t="shared" si="91"/>
        <v>0</v>
      </c>
      <c r="F323" s="1672" t="str">
        <f t="shared" si="92"/>
        <v>0</v>
      </c>
      <c r="G323" s="1672" t="str">
        <f t="shared" si="93"/>
        <v>0</v>
      </c>
      <c r="H323" s="1628"/>
      <c r="I323" s="1627"/>
      <c r="J323" s="1627"/>
      <c r="K323" s="1627"/>
      <c r="L323" s="1627"/>
      <c r="M323" s="1629"/>
      <c r="N323" s="1627"/>
      <c r="O323" s="1627"/>
      <c r="P323" s="1627"/>
      <c r="Q323" s="1627"/>
      <c r="R323" s="1627"/>
      <c r="S323" s="1627"/>
      <c r="T323" s="1627"/>
      <c r="U323" s="1780"/>
      <c r="V323" s="1781" t="s">
        <v>1602</v>
      </c>
      <c r="W323" s="1782" t="s">
        <v>1306</v>
      </c>
      <c r="X323" s="1631">
        <v>1</v>
      </c>
      <c r="Y323" s="1633" t="s">
        <v>1306</v>
      </c>
      <c r="Z323" s="1640" t="s">
        <v>1550</v>
      </c>
      <c r="AA323" s="1783"/>
      <c r="AB323" s="1784"/>
      <c r="AC323" s="1698"/>
      <c r="AD323" s="1699"/>
      <c r="AE323" s="1636"/>
      <c r="AF323" s="1636"/>
      <c r="AG323" s="1637" t="str">
        <f t="shared" si="94"/>
        <v>階別用途別床面積-1-4階</v>
      </c>
      <c r="AH323" s="1637"/>
      <c r="AI323" s="1636"/>
      <c r="AJ323" s="1636"/>
      <c r="AK323" s="1636"/>
      <c r="AL323" s="1637"/>
      <c r="AM323" s="1637"/>
      <c r="AN323" s="1637"/>
      <c r="AO323" s="1637"/>
    </row>
    <row r="324" spans="1:41" s="1637" customFormat="1" ht="18.75" customHeight="1" x14ac:dyDescent="0.15">
      <c r="A324" s="1627"/>
      <c r="B324" s="1627"/>
      <c r="C324" s="1627"/>
      <c r="D324" s="1626">
        <f>'2_入力シート【用途面積】'!$G27</f>
        <v>0</v>
      </c>
      <c r="E324" s="1672">
        <f t="shared" si="91"/>
        <v>0</v>
      </c>
      <c r="F324" s="1672" t="str">
        <f t="shared" si="92"/>
        <v>0</v>
      </c>
      <c r="G324" s="1672" t="str">
        <f t="shared" si="93"/>
        <v>0</v>
      </c>
      <c r="H324" s="1628"/>
      <c r="I324" s="1627"/>
      <c r="J324" s="1627"/>
      <c r="K324" s="1627"/>
      <c r="L324" s="1627"/>
      <c r="M324" s="1629"/>
      <c r="N324" s="1627"/>
      <c r="O324" s="1627"/>
      <c r="P324" s="1627"/>
      <c r="Q324" s="1627"/>
      <c r="R324" s="1627"/>
      <c r="S324" s="1627"/>
      <c r="T324" s="1627"/>
      <c r="U324" s="1780"/>
      <c r="V324" s="1781" t="s">
        <v>1602</v>
      </c>
      <c r="W324" s="1782" t="s">
        <v>1306</v>
      </c>
      <c r="X324" s="1631">
        <v>1</v>
      </c>
      <c r="Y324" s="1633" t="s">
        <v>1306</v>
      </c>
      <c r="Z324" s="1640" t="s">
        <v>1551</v>
      </c>
      <c r="AA324" s="1783"/>
      <c r="AB324" s="1784"/>
      <c r="AC324" s="1698"/>
      <c r="AD324" s="1699"/>
      <c r="AE324" s="1698"/>
      <c r="AF324" s="1698"/>
      <c r="AG324" s="1637" t="str">
        <f t="shared" si="94"/>
        <v>階別用途別床面積-1-5階</v>
      </c>
      <c r="AI324" s="1636"/>
      <c r="AJ324" s="1636"/>
      <c r="AK324" s="1636"/>
    </row>
    <row r="325" spans="1:41" s="1637" customFormat="1" ht="18.75" customHeight="1" x14ac:dyDescent="0.15">
      <c r="A325" s="1627"/>
      <c r="B325" s="1627"/>
      <c r="C325" s="1627"/>
      <c r="D325" s="1626">
        <f>'2_入力シート【用途面積】'!$G28</f>
        <v>0</v>
      </c>
      <c r="E325" s="1672">
        <f t="shared" si="91"/>
        <v>0</v>
      </c>
      <c r="F325" s="1672" t="str">
        <f t="shared" si="92"/>
        <v>0</v>
      </c>
      <c r="G325" s="1672" t="str">
        <f t="shared" si="93"/>
        <v>0</v>
      </c>
      <c r="H325" s="1628"/>
      <c r="I325" s="1627"/>
      <c r="J325" s="1627"/>
      <c r="K325" s="1627"/>
      <c r="L325" s="1627"/>
      <c r="M325" s="1629"/>
      <c r="N325" s="1627"/>
      <c r="O325" s="1627"/>
      <c r="P325" s="1627"/>
      <c r="Q325" s="1627"/>
      <c r="R325" s="1627"/>
      <c r="S325" s="1627"/>
      <c r="T325" s="1627"/>
      <c r="U325" s="1780"/>
      <c r="V325" s="1781" t="s">
        <v>1602</v>
      </c>
      <c r="W325" s="1782" t="s">
        <v>1306</v>
      </c>
      <c r="X325" s="1631">
        <v>1</v>
      </c>
      <c r="Y325" s="1633" t="s">
        <v>1306</v>
      </c>
      <c r="Z325" s="1640" t="s">
        <v>1552</v>
      </c>
      <c r="AA325" s="1783"/>
      <c r="AB325" s="1787"/>
      <c r="AC325" s="1698"/>
      <c r="AD325" s="1699"/>
      <c r="AE325" s="1698"/>
      <c r="AF325" s="1698"/>
      <c r="AG325" s="1637" t="str">
        <f t="shared" si="94"/>
        <v>階別用途別床面積-1-6階</v>
      </c>
      <c r="AI325" s="1636"/>
      <c r="AJ325" s="1636"/>
      <c r="AK325" s="1636"/>
    </row>
    <row r="326" spans="1:41" s="1637" customFormat="1" ht="18.75" customHeight="1" x14ac:dyDescent="0.15">
      <c r="A326" s="1627"/>
      <c r="B326" s="1627"/>
      <c r="C326" s="1627"/>
      <c r="D326" s="1626">
        <f>'2_入力シート【用途面積】'!$G29</f>
        <v>0</v>
      </c>
      <c r="E326" s="1672">
        <f t="shared" si="91"/>
        <v>0</v>
      </c>
      <c r="F326" s="1672" t="str">
        <f t="shared" si="92"/>
        <v>0</v>
      </c>
      <c r="G326" s="1672" t="str">
        <f t="shared" si="93"/>
        <v>0</v>
      </c>
      <c r="H326" s="1628"/>
      <c r="I326" s="1627"/>
      <c r="J326" s="1627"/>
      <c r="K326" s="1627"/>
      <c r="L326" s="1627"/>
      <c r="M326" s="1629"/>
      <c r="N326" s="1627"/>
      <c r="O326" s="1627"/>
      <c r="P326" s="1627"/>
      <c r="Q326" s="1627"/>
      <c r="R326" s="1627"/>
      <c r="S326" s="1627"/>
      <c r="T326" s="1627"/>
      <c r="U326" s="1780"/>
      <c r="V326" s="1781" t="s">
        <v>1602</v>
      </c>
      <c r="W326" s="1782" t="s">
        <v>1306</v>
      </c>
      <c r="X326" s="1631">
        <v>1</v>
      </c>
      <c r="Y326" s="1633" t="s">
        <v>1306</v>
      </c>
      <c r="Z326" s="1640" t="s">
        <v>1553</v>
      </c>
      <c r="AA326" s="1783"/>
      <c r="AB326" s="1787"/>
      <c r="AC326" s="1698"/>
      <c r="AD326" s="1699"/>
      <c r="AE326" s="1698"/>
      <c r="AF326" s="1698"/>
      <c r="AG326" s="1637" t="str">
        <f t="shared" si="94"/>
        <v>階別用途別床面積-1-7階</v>
      </c>
      <c r="AI326" s="1636"/>
      <c r="AJ326" s="1636"/>
      <c r="AK326" s="1636"/>
    </row>
    <row r="327" spans="1:41" s="1637" customFormat="1" ht="18.75" customHeight="1" x14ac:dyDescent="0.15">
      <c r="A327" s="1627"/>
      <c r="B327" s="1627"/>
      <c r="C327" s="1627"/>
      <c r="D327" s="1626">
        <f>'2_入力シート【用途面積】'!$G30</f>
        <v>0</v>
      </c>
      <c r="E327" s="1672">
        <f t="shared" si="91"/>
        <v>0</v>
      </c>
      <c r="F327" s="1672" t="str">
        <f t="shared" si="92"/>
        <v>0</v>
      </c>
      <c r="G327" s="1672" t="str">
        <f t="shared" si="93"/>
        <v>0</v>
      </c>
      <c r="H327" s="1628"/>
      <c r="I327" s="1627"/>
      <c r="J327" s="1627"/>
      <c r="K327" s="1627"/>
      <c r="L327" s="1627"/>
      <c r="M327" s="1629"/>
      <c r="N327" s="1627"/>
      <c r="O327" s="1627"/>
      <c r="P327" s="1627"/>
      <c r="Q327" s="1627"/>
      <c r="R327" s="1627"/>
      <c r="S327" s="1627"/>
      <c r="T327" s="1627"/>
      <c r="U327" s="1780"/>
      <c r="V327" s="1781" t="s">
        <v>1602</v>
      </c>
      <c r="W327" s="1782" t="s">
        <v>1306</v>
      </c>
      <c r="X327" s="1631">
        <v>1</v>
      </c>
      <c r="Y327" s="1633" t="s">
        <v>1306</v>
      </c>
      <c r="Z327" s="1640" t="s">
        <v>1554</v>
      </c>
      <c r="AA327" s="1783"/>
      <c r="AB327" s="1787"/>
      <c r="AC327" s="1698"/>
      <c r="AD327" s="1699"/>
      <c r="AE327" s="1698"/>
      <c r="AF327" s="1698"/>
      <c r="AG327" s="1637" t="str">
        <f t="shared" si="94"/>
        <v>階別用途別床面積-1-8階</v>
      </c>
      <c r="AI327" s="1636"/>
      <c r="AJ327" s="1636"/>
      <c r="AK327" s="1636"/>
    </row>
    <row r="328" spans="1:41" s="1637" customFormat="1" ht="18.75" customHeight="1" x14ac:dyDescent="0.15">
      <c r="A328" s="1627"/>
      <c r="B328" s="1627"/>
      <c r="C328" s="1627"/>
      <c r="D328" s="1626">
        <f>'2_入力シート【用途面積】'!$G31</f>
        <v>0</v>
      </c>
      <c r="E328" s="1672">
        <f t="shared" si="91"/>
        <v>0</v>
      </c>
      <c r="F328" s="1672" t="str">
        <f t="shared" si="92"/>
        <v>0</v>
      </c>
      <c r="G328" s="1672" t="str">
        <f t="shared" si="93"/>
        <v>0</v>
      </c>
      <c r="H328" s="1628"/>
      <c r="I328" s="1627"/>
      <c r="J328" s="1627"/>
      <c r="K328" s="1627"/>
      <c r="L328" s="1627"/>
      <c r="M328" s="1629"/>
      <c r="N328" s="1627"/>
      <c r="O328" s="1627"/>
      <c r="P328" s="1627"/>
      <c r="Q328" s="1627"/>
      <c r="R328" s="1627"/>
      <c r="S328" s="1627"/>
      <c r="T328" s="1627"/>
      <c r="U328" s="1780"/>
      <c r="V328" s="1781" t="s">
        <v>1602</v>
      </c>
      <c r="W328" s="1782" t="s">
        <v>1306</v>
      </c>
      <c r="X328" s="1631">
        <v>1</v>
      </c>
      <c r="Y328" s="1633" t="s">
        <v>1306</v>
      </c>
      <c r="Z328" s="1640" t="s">
        <v>1555</v>
      </c>
      <c r="AA328" s="1783"/>
      <c r="AB328" s="1784"/>
      <c r="AC328" s="1636"/>
      <c r="AD328" s="1785"/>
      <c r="AE328" s="1698"/>
      <c r="AF328" s="1698"/>
      <c r="AG328" s="1637" t="str">
        <f t="shared" ref="AG328:AG391" si="96">CONCATENATE(U328,V328,W328,X328,Y328,Z328,AA328,AB328,AC328,AD328)</f>
        <v>階別用途別床面積-1-9階</v>
      </c>
      <c r="AI328" s="1636"/>
      <c r="AJ328" s="1636"/>
      <c r="AK328" s="1636"/>
    </row>
    <row r="329" spans="1:41" s="1637" customFormat="1" ht="18.75" customHeight="1" x14ac:dyDescent="0.15">
      <c r="A329" s="1627"/>
      <c r="B329" s="1627"/>
      <c r="C329" s="1627"/>
      <c r="D329" s="1626">
        <f>'2_入力シート【用途面積】'!$G32</f>
        <v>0</v>
      </c>
      <c r="E329" s="1672">
        <f t="shared" si="91"/>
        <v>0</v>
      </c>
      <c r="F329" s="1672" t="str">
        <f t="shared" si="92"/>
        <v>0</v>
      </c>
      <c r="G329" s="1672" t="str">
        <f t="shared" si="93"/>
        <v>0</v>
      </c>
      <c r="H329" s="1628"/>
      <c r="I329" s="1627"/>
      <c r="J329" s="1627"/>
      <c r="K329" s="1627"/>
      <c r="L329" s="1627"/>
      <c r="M329" s="1629"/>
      <c r="N329" s="1627"/>
      <c r="O329" s="1627"/>
      <c r="P329" s="1627"/>
      <c r="Q329" s="1627"/>
      <c r="R329" s="1627"/>
      <c r="S329" s="1627"/>
      <c r="T329" s="1627"/>
      <c r="U329" s="1780"/>
      <c r="V329" s="1781" t="s">
        <v>1602</v>
      </c>
      <c r="W329" s="1782" t="s">
        <v>1306</v>
      </c>
      <c r="X329" s="1631">
        <v>1</v>
      </c>
      <c r="Y329" s="1633" t="s">
        <v>1306</v>
      </c>
      <c r="Z329" s="1640" t="s">
        <v>1556</v>
      </c>
      <c r="AA329" s="1783"/>
      <c r="AB329" s="1784"/>
      <c r="AC329" s="1698"/>
      <c r="AD329" s="1699"/>
      <c r="AE329" s="1698"/>
      <c r="AF329" s="1698"/>
      <c r="AG329" s="1637" t="str">
        <f t="shared" si="96"/>
        <v>階別用途別床面積-1-10階</v>
      </c>
      <c r="AI329" s="1636"/>
      <c r="AJ329" s="1636"/>
      <c r="AK329" s="1636"/>
    </row>
    <row r="330" spans="1:41" s="1637" customFormat="1" ht="18.75" customHeight="1" x14ac:dyDescent="0.15">
      <c r="A330" s="1627"/>
      <c r="B330" s="1627"/>
      <c r="C330" s="1627"/>
      <c r="D330" s="1626">
        <f>'2_入力シート【用途面積】'!$G33</f>
        <v>0</v>
      </c>
      <c r="E330" s="1672">
        <f t="shared" si="91"/>
        <v>0</v>
      </c>
      <c r="F330" s="1672" t="str">
        <f t="shared" si="92"/>
        <v>0</v>
      </c>
      <c r="G330" s="1672" t="str">
        <f t="shared" si="93"/>
        <v>0</v>
      </c>
      <c r="H330" s="1628"/>
      <c r="I330" s="1627"/>
      <c r="J330" s="1627"/>
      <c r="K330" s="1627"/>
      <c r="L330" s="1627"/>
      <c r="M330" s="1629"/>
      <c r="N330" s="1627"/>
      <c r="O330" s="1627"/>
      <c r="P330" s="1627"/>
      <c r="Q330" s="1627"/>
      <c r="R330" s="1627"/>
      <c r="S330" s="1627"/>
      <c r="T330" s="1627"/>
      <c r="U330" s="1780"/>
      <c r="V330" s="1781" t="s">
        <v>1602</v>
      </c>
      <c r="W330" s="1782" t="s">
        <v>1306</v>
      </c>
      <c r="X330" s="1631">
        <v>1</v>
      </c>
      <c r="Y330" s="1633" t="s">
        <v>1306</v>
      </c>
      <c r="Z330" s="1640" t="s">
        <v>1557</v>
      </c>
      <c r="AA330" s="1783"/>
      <c r="AB330" s="1784"/>
      <c r="AC330" s="1698"/>
      <c r="AD330" s="1699"/>
      <c r="AE330" s="1698"/>
      <c r="AF330" s="1698"/>
      <c r="AG330" s="1637" t="str">
        <f t="shared" si="96"/>
        <v>階別用途別床面積-1-11階</v>
      </c>
      <c r="AI330" s="1636"/>
      <c r="AJ330" s="1636"/>
      <c r="AK330" s="1636"/>
    </row>
    <row r="331" spans="1:41" s="1637" customFormat="1" ht="18.75" customHeight="1" x14ac:dyDescent="0.15">
      <c r="A331" s="1627"/>
      <c r="B331" s="1627"/>
      <c r="C331" s="1627"/>
      <c r="D331" s="1626">
        <f>'2_入力シート【用途面積】'!$G34</f>
        <v>0</v>
      </c>
      <c r="E331" s="1672">
        <f t="shared" si="91"/>
        <v>0</v>
      </c>
      <c r="F331" s="1672" t="str">
        <f t="shared" si="92"/>
        <v>0</v>
      </c>
      <c r="G331" s="1672" t="str">
        <f t="shared" si="93"/>
        <v>0</v>
      </c>
      <c r="H331" s="1628"/>
      <c r="I331" s="1627"/>
      <c r="J331" s="1627"/>
      <c r="K331" s="1627"/>
      <c r="L331" s="1627"/>
      <c r="M331" s="1629"/>
      <c r="N331" s="1627"/>
      <c r="O331" s="1627"/>
      <c r="P331" s="1627"/>
      <c r="Q331" s="1627"/>
      <c r="R331" s="1627"/>
      <c r="S331" s="1627"/>
      <c r="T331" s="1627"/>
      <c r="U331" s="1780"/>
      <c r="V331" s="1781" t="s">
        <v>1602</v>
      </c>
      <c r="W331" s="1782" t="s">
        <v>1306</v>
      </c>
      <c r="X331" s="1631">
        <v>1</v>
      </c>
      <c r="Y331" s="1633" t="s">
        <v>1306</v>
      </c>
      <c r="Z331" s="1640" t="s">
        <v>1558</v>
      </c>
      <c r="AA331" s="1783"/>
      <c r="AB331" s="1784"/>
      <c r="AC331" s="1698"/>
      <c r="AD331" s="1699"/>
      <c r="AE331" s="1636"/>
      <c r="AF331" s="1636"/>
      <c r="AG331" s="1637" t="str">
        <f t="shared" si="96"/>
        <v>階別用途別床面積-1-12階</v>
      </c>
      <c r="AI331" s="1636"/>
      <c r="AJ331" s="1636"/>
      <c r="AK331" s="1636"/>
    </row>
    <row r="332" spans="1:41" s="1637" customFormat="1" ht="18.75" customHeight="1" x14ac:dyDescent="0.15">
      <c r="A332" s="1627"/>
      <c r="B332" s="1627"/>
      <c r="C332" s="1627"/>
      <c r="D332" s="1626">
        <f>'2_入力シート【用途面積】'!$G35</f>
        <v>0</v>
      </c>
      <c r="E332" s="1672">
        <f t="shared" si="91"/>
        <v>0</v>
      </c>
      <c r="F332" s="1672" t="str">
        <f t="shared" si="92"/>
        <v>0</v>
      </c>
      <c r="G332" s="1672" t="str">
        <f t="shared" si="93"/>
        <v>0</v>
      </c>
      <c r="H332" s="1628"/>
      <c r="I332" s="1627"/>
      <c r="J332" s="1627"/>
      <c r="K332" s="1627"/>
      <c r="L332" s="1627"/>
      <c r="M332" s="1629"/>
      <c r="N332" s="1627"/>
      <c r="O332" s="1627"/>
      <c r="P332" s="1627"/>
      <c r="Q332" s="1627"/>
      <c r="R332" s="1627"/>
      <c r="S332" s="1627"/>
      <c r="T332" s="1627"/>
      <c r="U332" s="1780"/>
      <c r="V332" s="1781" t="s">
        <v>1602</v>
      </c>
      <c r="W332" s="1782" t="s">
        <v>1306</v>
      </c>
      <c r="X332" s="1631">
        <v>1</v>
      </c>
      <c r="Y332" s="1633" t="s">
        <v>1306</v>
      </c>
      <c r="Z332" s="1640" t="s">
        <v>1559</v>
      </c>
      <c r="AA332" s="1783"/>
      <c r="AB332" s="1784"/>
      <c r="AC332" s="1698"/>
      <c r="AD332" s="1699"/>
      <c r="AE332" s="1698"/>
      <c r="AF332" s="1698"/>
      <c r="AG332" s="1637" t="str">
        <f t="shared" si="96"/>
        <v>階別用途別床面積-1-13階</v>
      </c>
      <c r="AI332" s="1636"/>
      <c r="AJ332" s="1636"/>
      <c r="AK332" s="1636"/>
    </row>
    <row r="333" spans="1:41" s="1637" customFormat="1" ht="18.75" customHeight="1" x14ac:dyDescent="0.15">
      <c r="A333" s="1627"/>
      <c r="B333" s="1627"/>
      <c r="C333" s="1627"/>
      <c r="D333" s="1626">
        <f>'2_入力シート【用途面積】'!$G36</f>
        <v>0</v>
      </c>
      <c r="E333" s="1672">
        <f t="shared" si="91"/>
        <v>0</v>
      </c>
      <c r="F333" s="1672" t="str">
        <f t="shared" si="92"/>
        <v>0</v>
      </c>
      <c r="G333" s="1672" t="str">
        <f t="shared" si="93"/>
        <v>0</v>
      </c>
      <c r="H333" s="1628"/>
      <c r="I333" s="1627"/>
      <c r="J333" s="1627"/>
      <c r="K333" s="1627"/>
      <c r="L333" s="1627"/>
      <c r="M333" s="1629"/>
      <c r="N333" s="1627"/>
      <c r="O333" s="1627"/>
      <c r="P333" s="1627"/>
      <c r="Q333" s="1627"/>
      <c r="R333" s="1627"/>
      <c r="S333" s="1627"/>
      <c r="T333" s="1627"/>
      <c r="U333" s="1780"/>
      <c r="V333" s="1781" t="s">
        <v>1602</v>
      </c>
      <c r="W333" s="1782" t="s">
        <v>1306</v>
      </c>
      <c r="X333" s="1631">
        <v>1</v>
      </c>
      <c r="Y333" s="1633" t="s">
        <v>1306</v>
      </c>
      <c r="Z333" s="1640" t="s">
        <v>1560</v>
      </c>
      <c r="AA333" s="1783"/>
      <c r="AB333" s="1787"/>
      <c r="AC333" s="1698"/>
      <c r="AD333" s="1699"/>
      <c r="AE333" s="1698"/>
      <c r="AF333" s="1698"/>
      <c r="AG333" s="1637" t="str">
        <f t="shared" si="96"/>
        <v>階別用途別床面積-1-14階</v>
      </c>
      <c r="AI333" s="1636"/>
      <c r="AJ333" s="1636"/>
      <c r="AK333" s="1636"/>
    </row>
    <row r="334" spans="1:41" s="1637" customFormat="1" ht="18.75" customHeight="1" x14ac:dyDescent="0.15">
      <c r="A334" s="1627"/>
      <c r="B334" s="1627"/>
      <c r="C334" s="1627"/>
      <c r="D334" s="1626">
        <f>'2_入力シート【用途面積】'!$G37</f>
        <v>0</v>
      </c>
      <c r="E334" s="1672">
        <f t="shared" si="91"/>
        <v>0</v>
      </c>
      <c r="F334" s="1672" t="str">
        <f t="shared" si="92"/>
        <v>0</v>
      </c>
      <c r="G334" s="1672" t="str">
        <f t="shared" si="93"/>
        <v>0</v>
      </c>
      <c r="H334" s="1628"/>
      <c r="I334" s="1627"/>
      <c r="J334" s="1627"/>
      <c r="K334" s="1627"/>
      <c r="L334" s="1627"/>
      <c r="M334" s="1629"/>
      <c r="N334" s="1627"/>
      <c r="O334" s="1627"/>
      <c r="P334" s="1627"/>
      <c r="Q334" s="1627"/>
      <c r="R334" s="1627"/>
      <c r="S334" s="1627"/>
      <c r="T334" s="1627"/>
      <c r="U334" s="1780"/>
      <c r="V334" s="1781" t="s">
        <v>1602</v>
      </c>
      <c r="W334" s="1782" t="s">
        <v>1306</v>
      </c>
      <c r="X334" s="1631">
        <v>1</v>
      </c>
      <c r="Y334" s="1633" t="s">
        <v>1306</v>
      </c>
      <c r="Z334" s="1640" t="s">
        <v>1561</v>
      </c>
      <c r="AA334" s="1783"/>
      <c r="AB334" s="1787"/>
      <c r="AC334" s="1698"/>
      <c r="AD334" s="1699"/>
      <c r="AE334" s="1698"/>
      <c r="AF334" s="1698"/>
      <c r="AG334" s="1637" t="str">
        <f t="shared" si="96"/>
        <v>階別用途別床面積-1-15階</v>
      </c>
      <c r="AI334" s="1636"/>
      <c r="AJ334" s="1636"/>
      <c r="AK334" s="1636"/>
    </row>
    <row r="335" spans="1:41" s="1637" customFormat="1" ht="18.75" customHeight="1" x14ac:dyDescent="0.15">
      <c r="A335" s="1627"/>
      <c r="B335" s="1627"/>
      <c r="C335" s="1627"/>
      <c r="D335" s="1626">
        <f>'2_入力シート【用途面積】'!$G38</f>
        <v>0</v>
      </c>
      <c r="E335" s="1672">
        <f t="shared" si="91"/>
        <v>0</v>
      </c>
      <c r="F335" s="1672" t="str">
        <f t="shared" si="92"/>
        <v>0</v>
      </c>
      <c r="G335" s="1672" t="str">
        <f t="shared" si="93"/>
        <v>0</v>
      </c>
      <c r="H335" s="1628"/>
      <c r="I335" s="1627"/>
      <c r="J335" s="1627"/>
      <c r="K335" s="1627"/>
      <c r="L335" s="1627"/>
      <c r="M335" s="1629"/>
      <c r="N335" s="1627"/>
      <c r="O335" s="1627"/>
      <c r="P335" s="1627"/>
      <c r="Q335" s="1627"/>
      <c r="R335" s="1627"/>
      <c r="S335" s="1627"/>
      <c r="T335" s="1627"/>
      <c r="U335" s="1780"/>
      <c r="V335" s="1781" t="s">
        <v>1602</v>
      </c>
      <c r="W335" s="1782" t="s">
        <v>1306</v>
      </c>
      <c r="X335" s="1631">
        <v>1</v>
      </c>
      <c r="Y335" s="1633" t="s">
        <v>1306</v>
      </c>
      <c r="Z335" s="1640" t="s">
        <v>1562</v>
      </c>
      <c r="AA335" s="1783"/>
      <c r="AB335" s="1787"/>
      <c r="AC335" s="1698"/>
      <c r="AD335" s="1699"/>
      <c r="AE335" s="1698"/>
      <c r="AF335" s="1698"/>
      <c r="AG335" s="1637" t="str">
        <f t="shared" si="96"/>
        <v>階別用途別床面積-1-16階</v>
      </c>
      <c r="AI335" s="1636"/>
      <c r="AJ335" s="1636"/>
      <c r="AK335" s="1636"/>
    </row>
    <row r="336" spans="1:41" s="1637" customFormat="1" ht="18.75" customHeight="1" x14ac:dyDescent="0.15">
      <c r="A336" s="1627"/>
      <c r="B336" s="1627"/>
      <c r="C336" s="1627"/>
      <c r="D336" s="1626">
        <f>'2_入力シート【用途面積】'!$G39</f>
        <v>0</v>
      </c>
      <c r="E336" s="1672">
        <f t="shared" si="91"/>
        <v>0</v>
      </c>
      <c r="F336" s="1672" t="str">
        <f t="shared" si="92"/>
        <v>0</v>
      </c>
      <c r="G336" s="1672" t="str">
        <f t="shared" si="93"/>
        <v>0</v>
      </c>
      <c r="H336" s="1628"/>
      <c r="I336" s="1627"/>
      <c r="J336" s="1627"/>
      <c r="K336" s="1627"/>
      <c r="L336" s="1627"/>
      <c r="M336" s="1629"/>
      <c r="N336" s="1627"/>
      <c r="O336" s="1627"/>
      <c r="P336" s="1627"/>
      <c r="Q336" s="1627"/>
      <c r="R336" s="1627"/>
      <c r="S336" s="1627"/>
      <c r="T336" s="1627"/>
      <c r="U336" s="1780"/>
      <c r="V336" s="1781" t="s">
        <v>1602</v>
      </c>
      <c r="W336" s="1782" t="s">
        <v>1306</v>
      </c>
      <c r="X336" s="1631">
        <v>1</v>
      </c>
      <c r="Y336" s="1633" t="s">
        <v>1306</v>
      </c>
      <c r="Z336" s="1640" t="s">
        <v>1563</v>
      </c>
      <c r="AA336" s="1783"/>
      <c r="AB336" s="1784"/>
      <c r="AC336" s="1636"/>
      <c r="AD336" s="1785"/>
      <c r="AE336" s="1698"/>
      <c r="AF336" s="1698"/>
      <c r="AG336" s="1637" t="str">
        <f t="shared" si="96"/>
        <v>階別用途別床面積-1-17階</v>
      </c>
      <c r="AI336" s="1636"/>
      <c r="AJ336" s="1636"/>
      <c r="AK336" s="1636"/>
    </row>
    <row r="337" spans="1:37" s="1637" customFormat="1" ht="18.75" customHeight="1" x14ac:dyDescent="0.15">
      <c r="A337" s="1627"/>
      <c r="B337" s="1627"/>
      <c r="C337" s="1627"/>
      <c r="D337" s="1626">
        <f>'2_入力シート【用途面積】'!$G40</f>
        <v>0</v>
      </c>
      <c r="E337" s="1672">
        <f t="shared" si="91"/>
        <v>0</v>
      </c>
      <c r="F337" s="1672" t="str">
        <f t="shared" si="92"/>
        <v>0</v>
      </c>
      <c r="G337" s="1672" t="str">
        <f t="shared" si="93"/>
        <v>0</v>
      </c>
      <c r="H337" s="1628"/>
      <c r="I337" s="1627"/>
      <c r="J337" s="1627"/>
      <c r="K337" s="1627"/>
      <c r="L337" s="1627"/>
      <c r="M337" s="1629"/>
      <c r="N337" s="1627"/>
      <c r="O337" s="1627"/>
      <c r="P337" s="1627"/>
      <c r="Q337" s="1627"/>
      <c r="R337" s="1627"/>
      <c r="S337" s="1627"/>
      <c r="T337" s="1627"/>
      <c r="U337" s="1780"/>
      <c r="V337" s="1781" t="s">
        <v>1602</v>
      </c>
      <c r="W337" s="1782" t="s">
        <v>1306</v>
      </c>
      <c r="X337" s="1631">
        <v>1</v>
      </c>
      <c r="Y337" s="1633" t="s">
        <v>1306</v>
      </c>
      <c r="Z337" s="1640" t="s">
        <v>1564</v>
      </c>
      <c r="AA337" s="1783"/>
      <c r="AB337" s="1784"/>
      <c r="AC337" s="1698"/>
      <c r="AD337" s="1699"/>
      <c r="AE337" s="1698"/>
      <c r="AF337" s="1698"/>
      <c r="AG337" s="1637" t="str">
        <f t="shared" si="96"/>
        <v>階別用途別床面積-1-18階</v>
      </c>
      <c r="AI337" s="1636"/>
      <c r="AJ337" s="1636"/>
      <c r="AK337" s="1636"/>
    </row>
    <row r="338" spans="1:37" s="1637" customFormat="1" ht="18.75" customHeight="1" x14ac:dyDescent="0.15">
      <c r="A338" s="1627"/>
      <c r="B338" s="1627"/>
      <c r="C338" s="1627"/>
      <c r="D338" s="1626">
        <f>'2_入力シート【用途面積】'!$G41</f>
        <v>0</v>
      </c>
      <c r="E338" s="1672">
        <f t="shared" si="91"/>
        <v>0</v>
      </c>
      <c r="F338" s="1672" t="str">
        <f t="shared" si="92"/>
        <v>0</v>
      </c>
      <c r="G338" s="1672" t="str">
        <f t="shared" si="93"/>
        <v>0</v>
      </c>
      <c r="H338" s="1628"/>
      <c r="I338" s="1627"/>
      <c r="J338" s="1627"/>
      <c r="K338" s="1627"/>
      <c r="L338" s="1627"/>
      <c r="M338" s="1629"/>
      <c r="N338" s="1627"/>
      <c r="O338" s="1627"/>
      <c r="P338" s="1627"/>
      <c r="Q338" s="1627"/>
      <c r="R338" s="1627"/>
      <c r="S338" s="1627"/>
      <c r="T338" s="1627"/>
      <c r="U338" s="1780"/>
      <c r="V338" s="1781" t="s">
        <v>1602</v>
      </c>
      <c r="W338" s="1782" t="s">
        <v>1306</v>
      </c>
      <c r="X338" s="1631">
        <v>1</v>
      </c>
      <c r="Y338" s="1633" t="s">
        <v>1306</v>
      </c>
      <c r="Z338" s="1640" t="s">
        <v>1565</v>
      </c>
      <c r="AA338" s="1783"/>
      <c r="AB338" s="1784"/>
      <c r="AC338" s="1698"/>
      <c r="AD338" s="1699"/>
      <c r="AE338" s="1698"/>
      <c r="AF338" s="1698"/>
      <c r="AG338" s="1637" t="str">
        <f t="shared" si="96"/>
        <v>階別用途別床面積-1-19階</v>
      </c>
      <c r="AI338" s="1636"/>
      <c r="AJ338" s="1636"/>
      <c r="AK338" s="1636"/>
    </row>
    <row r="339" spans="1:37" s="1637" customFormat="1" ht="18.75" customHeight="1" x14ac:dyDescent="0.15">
      <c r="A339" s="1627"/>
      <c r="B339" s="1627"/>
      <c r="C339" s="1627"/>
      <c r="D339" s="1626">
        <f>'2_入力シート【用途面積】'!$G42</f>
        <v>0</v>
      </c>
      <c r="E339" s="1672">
        <f t="shared" si="91"/>
        <v>0</v>
      </c>
      <c r="F339" s="1672" t="str">
        <f t="shared" si="92"/>
        <v>0</v>
      </c>
      <c r="G339" s="1672" t="str">
        <f t="shared" si="93"/>
        <v>0</v>
      </c>
      <c r="H339" s="1628"/>
      <c r="I339" s="1627"/>
      <c r="J339" s="1627"/>
      <c r="K339" s="1627"/>
      <c r="L339" s="1627"/>
      <c r="M339" s="1629"/>
      <c r="N339" s="1627"/>
      <c r="O339" s="1627"/>
      <c r="P339" s="1627"/>
      <c r="Q339" s="1627"/>
      <c r="R339" s="1627"/>
      <c r="S339" s="1627"/>
      <c r="T339" s="1627"/>
      <c r="U339" s="1780"/>
      <c r="V339" s="1781" t="s">
        <v>1602</v>
      </c>
      <c r="W339" s="1782" t="s">
        <v>1306</v>
      </c>
      <c r="X339" s="1631">
        <v>1</v>
      </c>
      <c r="Y339" s="1633" t="s">
        <v>1306</v>
      </c>
      <c r="Z339" s="1640" t="s">
        <v>1566</v>
      </c>
      <c r="AA339" s="1783"/>
      <c r="AB339" s="1784"/>
      <c r="AC339" s="1698"/>
      <c r="AD339" s="1699"/>
      <c r="AE339" s="1636"/>
      <c r="AF339" s="1636"/>
      <c r="AG339" s="1637" t="str">
        <f t="shared" si="96"/>
        <v>階別用途別床面積-1-20階</v>
      </c>
      <c r="AI339" s="1636"/>
      <c r="AJ339" s="1636"/>
      <c r="AK339" s="1636"/>
    </row>
    <row r="340" spans="1:37" s="1637" customFormat="1" ht="18.75" customHeight="1" x14ac:dyDescent="0.15">
      <c r="A340" s="1627"/>
      <c r="B340" s="1627"/>
      <c r="C340" s="1627"/>
      <c r="D340" s="1626">
        <f>'2_入力シート【用途面積】'!$G43</f>
        <v>0</v>
      </c>
      <c r="E340" s="1672">
        <f t="shared" si="91"/>
        <v>0</v>
      </c>
      <c r="F340" s="1672" t="str">
        <f t="shared" si="92"/>
        <v>0</v>
      </c>
      <c r="G340" s="1672" t="str">
        <f t="shared" si="93"/>
        <v>0</v>
      </c>
      <c r="H340" s="1628"/>
      <c r="I340" s="1627"/>
      <c r="J340" s="1627"/>
      <c r="K340" s="1627"/>
      <c r="L340" s="1627"/>
      <c r="M340" s="1629"/>
      <c r="N340" s="1627"/>
      <c r="O340" s="1627"/>
      <c r="P340" s="1627"/>
      <c r="Q340" s="1627"/>
      <c r="R340" s="1627"/>
      <c r="S340" s="1627"/>
      <c r="T340" s="1627"/>
      <c r="U340" s="1780"/>
      <c r="V340" s="1781" t="s">
        <v>1602</v>
      </c>
      <c r="W340" s="1782" t="s">
        <v>1306</v>
      </c>
      <c r="X340" s="1631">
        <v>1</v>
      </c>
      <c r="Y340" s="1633" t="s">
        <v>1306</v>
      </c>
      <c r="Z340" s="1640" t="s">
        <v>1567</v>
      </c>
      <c r="AA340" s="1783"/>
      <c r="AB340" s="1784"/>
      <c r="AC340" s="1698"/>
      <c r="AD340" s="1699"/>
      <c r="AE340" s="1698"/>
      <c r="AF340" s="1698"/>
      <c r="AG340" s="1637" t="str">
        <f t="shared" si="96"/>
        <v>階別用途別床面積-1-21階</v>
      </c>
      <c r="AI340" s="1636"/>
      <c r="AJ340" s="1636"/>
      <c r="AK340" s="1636"/>
    </row>
    <row r="341" spans="1:37" s="1637" customFormat="1" ht="18.75" customHeight="1" x14ac:dyDescent="0.15">
      <c r="A341" s="1627"/>
      <c r="B341" s="1627"/>
      <c r="C341" s="1627"/>
      <c r="D341" s="1626">
        <f>'2_入力シート【用途面積】'!$G44</f>
        <v>0</v>
      </c>
      <c r="E341" s="1672">
        <f t="shared" si="91"/>
        <v>0</v>
      </c>
      <c r="F341" s="1672" t="str">
        <f t="shared" si="92"/>
        <v>0</v>
      </c>
      <c r="G341" s="1672" t="str">
        <f t="shared" si="93"/>
        <v>0</v>
      </c>
      <c r="H341" s="1628"/>
      <c r="I341" s="1627"/>
      <c r="J341" s="1627"/>
      <c r="K341" s="1627"/>
      <c r="L341" s="1627"/>
      <c r="M341" s="1629"/>
      <c r="N341" s="1627"/>
      <c r="O341" s="1627"/>
      <c r="P341" s="1627"/>
      <c r="Q341" s="1627"/>
      <c r="R341" s="1627"/>
      <c r="S341" s="1627"/>
      <c r="T341" s="1627"/>
      <c r="U341" s="1780"/>
      <c r="V341" s="1781" t="s">
        <v>1602</v>
      </c>
      <c r="W341" s="1782" t="s">
        <v>1306</v>
      </c>
      <c r="X341" s="1631">
        <v>1</v>
      </c>
      <c r="Y341" s="1633" t="s">
        <v>1306</v>
      </c>
      <c r="Z341" s="1640" t="s">
        <v>1568</v>
      </c>
      <c r="AA341" s="1783"/>
      <c r="AB341" s="1787"/>
      <c r="AC341" s="1698"/>
      <c r="AD341" s="1699"/>
      <c r="AE341" s="1698"/>
      <c r="AF341" s="1698"/>
      <c r="AG341" s="1637" t="str">
        <f t="shared" si="96"/>
        <v>階別用途別床面積-1-22階</v>
      </c>
      <c r="AI341" s="1636"/>
      <c r="AJ341" s="1636"/>
      <c r="AK341" s="1636"/>
    </row>
    <row r="342" spans="1:37" s="1637" customFormat="1" ht="18.75" customHeight="1" x14ac:dyDescent="0.15">
      <c r="A342" s="1627"/>
      <c r="B342" s="1627"/>
      <c r="C342" s="1627"/>
      <c r="D342" s="1626">
        <f>'2_入力シート【用途面積】'!$G45</f>
        <v>0</v>
      </c>
      <c r="E342" s="1672">
        <f t="shared" si="91"/>
        <v>0</v>
      </c>
      <c r="F342" s="1672" t="str">
        <f t="shared" si="92"/>
        <v>0</v>
      </c>
      <c r="G342" s="1672" t="str">
        <f t="shared" si="93"/>
        <v>0</v>
      </c>
      <c r="H342" s="1628"/>
      <c r="I342" s="1627"/>
      <c r="J342" s="1627"/>
      <c r="K342" s="1627"/>
      <c r="L342" s="1627"/>
      <c r="M342" s="1629"/>
      <c r="N342" s="1627"/>
      <c r="O342" s="1627"/>
      <c r="P342" s="1627"/>
      <c r="Q342" s="1627"/>
      <c r="R342" s="1627"/>
      <c r="S342" s="1627"/>
      <c r="T342" s="1627"/>
      <c r="U342" s="1780"/>
      <c r="V342" s="1781" t="s">
        <v>1602</v>
      </c>
      <c r="W342" s="1782" t="s">
        <v>1306</v>
      </c>
      <c r="X342" s="1631">
        <v>1</v>
      </c>
      <c r="Y342" s="1633" t="s">
        <v>1306</v>
      </c>
      <c r="Z342" s="1640" t="s">
        <v>1569</v>
      </c>
      <c r="AA342" s="1783"/>
      <c r="AB342" s="1787"/>
      <c r="AC342" s="1698"/>
      <c r="AD342" s="1699"/>
      <c r="AE342" s="1698"/>
      <c r="AF342" s="1698"/>
      <c r="AG342" s="1637" t="str">
        <f t="shared" si="96"/>
        <v>階別用途別床面積-1-23階</v>
      </c>
      <c r="AI342" s="1636"/>
      <c r="AJ342" s="1636"/>
      <c r="AK342" s="1636"/>
    </row>
    <row r="343" spans="1:37" s="1637" customFormat="1" ht="18.75" customHeight="1" x14ac:dyDescent="0.15">
      <c r="A343" s="1627"/>
      <c r="B343" s="1627"/>
      <c r="C343" s="1627"/>
      <c r="D343" s="1626">
        <f>'2_入力シート【用途面積】'!$G46</f>
        <v>0</v>
      </c>
      <c r="E343" s="1672">
        <f t="shared" si="91"/>
        <v>0</v>
      </c>
      <c r="F343" s="1672" t="str">
        <f t="shared" si="92"/>
        <v>0</v>
      </c>
      <c r="G343" s="1672" t="str">
        <f t="shared" si="93"/>
        <v>0</v>
      </c>
      <c r="H343" s="1628"/>
      <c r="I343" s="1627"/>
      <c r="J343" s="1627"/>
      <c r="K343" s="1627"/>
      <c r="L343" s="1627"/>
      <c r="M343" s="1629"/>
      <c r="N343" s="1627"/>
      <c r="O343" s="1627"/>
      <c r="P343" s="1627"/>
      <c r="Q343" s="1627"/>
      <c r="R343" s="1627"/>
      <c r="S343" s="1627"/>
      <c r="T343" s="1627"/>
      <c r="U343" s="1780"/>
      <c r="V343" s="1781" t="s">
        <v>1602</v>
      </c>
      <c r="W343" s="1782" t="s">
        <v>1306</v>
      </c>
      <c r="X343" s="1631">
        <v>1</v>
      </c>
      <c r="Y343" s="1633" t="s">
        <v>1306</v>
      </c>
      <c r="Z343" s="1640" t="s">
        <v>1570</v>
      </c>
      <c r="AA343" s="1783"/>
      <c r="AB343" s="1787"/>
      <c r="AC343" s="1698"/>
      <c r="AD343" s="1699"/>
      <c r="AE343" s="1698"/>
      <c r="AF343" s="1698"/>
      <c r="AG343" s="1637" t="str">
        <f t="shared" si="96"/>
        <v>階別用途別床面積-1-24階</v>
      </c>
      <c r="AI343" s="1636"/>
      <c r="AJ343" s="1636"/>
      <c r="AK343" s="1636"/>
    </row>
    <row r="344" spans="1:37" s="1637" customFormat="1" ht="18.75" customHeight="1" x14ac:dyDescent="0.15">
      <c r="A344" s="1627"/>
      <c r="B344" s="1627"/>
      <c r="C344" s="1627"/>
      <c r="D344" s="1626">
        <f>'2_入力シート【用途面積】'!$G47</f>
        <v>0</v>
      </c>
      <c r="E344" s="1672">
        <f t="shared" si="91"/>
        <v>0</v>
      </c>
      <c r="F344" s="1672" t="str">
        <f t="shared" si="92"/>
        <v>0</v>
      </c>
      <c r="G344" s="1672" t="str">
        <f t="shared" si="93"/>
        <v>0</v>
      </c>
      <c r="H344" s="1628"/>
      <c r="I344" s="1627"/>
      <c r="J344" s="1627"/>
      <c r="K344" s="1627"/>
      <c r="L344" s="1627"/>
      <c r="M344" s="1629"/>
      <c r="N344" s="1627"/>
      <c r="O344" s="1627"/>
      <c r="P344" s="1627"/>
      <c r="Q344" s="1627"/>
      <c r="R344" s="1627"/>
      <c r="S344" s="1627"/>
      <c r="T344" s="1627"/>
      <c r="U344" s="1780"/>
      <c r="V344" s="1781" t="s">
        <v>1602</v>
      </c>
      <c r="W344" s="1782" t="s">
        <v>1306</v>
      </c>
      <c r="X344" s="1631">
        <v>1</v>
      </c>
      <c r="Y344" s="1633" t="s">
        <v>1306</v>
      </c>
      <c r="Z344" s="1640" t="s">
        <v>1571</v>
      </c>
      <c r="AA344" s="1783"/>
      <c r="AB344" s="1784"/>
      <c r="AC344" s="1636"/>
      <c r="AD344" s="1785"/>
      <c r="AE344" s="1698"/>
      <c r="AF344" s="1698"/>
      <c r="AG344" s="1637" t="str">
        <f t="shared" si="96"/>
        <v>階別用途別床面積-1-25階</v>
      </c>
      <c r="AI344" s="1636"/>
      <c r="AJ344" s="1636"/>
      <c r="AK344" s="1636"/>
    </row>
    <row r="345" spans="1:37" s="1637" customFormat="1" ht="18.75" customHeight="1" x14ac:dyDescent="0.15">
      <c r="A345" s="1627"/>
      <c r="B345" s="1627"/>
      <c r="C345" s="1627"/>
      <c r="D345" s="1626">
        <f>'2_入力シート【用途面積】'!$G48</f>
        <v>0</v>
      </c>
      <c r="E345" s="1672">
        <f t="shared" si="91"/>
        <v>0</v>
      </c>
      <c r="F345" s="1672" t="str">
        <f t="shared" si="92"/>
        <v>0</v>
      </c>
      <c r="G345" s="1672" t="str">
        <f t="shared" si="93"/>
        <v>0</v>
      </c>
      <c r="H345" s="1628"/>
      <c r="I345" s="1627"/>
      <c r="J345" s="1627"/>
      <c r="K345" s="1627"/>
      <c r="L345" s="1627"/>
      <c r="M345" s="1629"/>
      <c r="N345" s="1627"/>
      <c r="O345" s="1627"/>
      <c r="P345" s="1627"/>
      <c r="Q345" s="1627"/>
      <c r="R345" s="1627"/>
      <c r="S345" s="1627"/>
      <c r="T345" s="1627"/>
      <c r="U345" s="1780"/>
      <c r="V345" s="1781" t="s">
        <v>1602</v>
      </c>
      <c r="W345" s="1782" t="s">
        <v>1306</v>
      </c>
      <c r="X345" s="1631">
        <v>1</v>
      </c>
      <c r="Y345" s="1633" t="s">
        <v>1306</v>
      </c>
      <c r="Z345" s="1640" t="s">
        <v>1572</v>
      </c>
      <c r="AA345" s="1783"/>
      <c r="AB345" s="1784"/>
      <c r="AC345" s="1698"/>
      <c r="AD345" s="1699"/>
      <c r="AE345" s="1698"/>
      <c r="AF345" s="1698"/>
      <c r="AG345" s="1637" t="str">
        <f t="shared" si="96"/>
        <v>階別用途別床面積-1-26階</v>
      </c>
      <c r="AI345" s="1636"/>
      <c r="AJ345" s="1636"/>
      <c r="AK345" s="1636"/>
    </row>
    <row r="346" spans="1:37" s="1637" customFormat="1" ht="18.75" customHeight="1" x14ac:dyDescent="0.15">
      <c r="A346" s="1627"/>
      <c r="B346" s="1627"/>
      <c r="C346" s="1627"/>
      <c r="D346" s="1626">
        <f>'2_入力シート【用途面積】'!$G49</f>
        <v>0</v>
      </c>
      <c r="E346" s="1672">
        <f t="shared" si="91"/>
        <v>0</v>
      </c>
      <c r="F346" s="1672" t="str">
        <f t="shared" si="92"/>
        <v>0</v>
      </c>
      <c r="G346" s="1672" t="str">
        <f t="shared" si="93"/>
        <v>0</v>
      </c>
      <c r="H346" s="1628"/>
      <c r="I346" s="1627"/>
      <c r="J346" s="1627"/>
      <c r="K346" s="1627"/>
      <c r="L346" s="1627"/>
      <c r="M346" s="1629"/>
      <c r="N346" s="1627"/>
      <c r="O346" s="1627"/>
      <c r="P346" s="1627"/>
      <c r="Q346" s="1627"/>
      <c r="R346" s="1627"/>
      <c r="S346" s="1627"/>
      <c r="T346" s="1627"/>
      <c r="U346" s="1780"/>
      <c r="V346" s="1781" t="s">
        <v>1602</v>
      </c>
      <c r="W346" s="1782" t="s">
        <v>1306</v>
      </c>
      <c r="X346" s="1631">
        <v>1</v>
      </c>
      <c r="Y346" s="1633" t="s">
        <v>1306</v>
      </c>
      <c r="Z346" s="1640" t="s">
        <v>1573</v>
      </c>
      <c r="AA346" s="1783"/>
      <c r="AB346" s="1784"/>
      <c r="AC346" s="1698"/>
      <c r="AD346" s="1699"/>
      <c r="AE346" s="1698"/>
      <c r="AF346" s="1698"/>
      <c r="AG346" s="1637" t="str">
        <f t="shared" si="96"/>
        <v>階別用途別床面積-1-27階</v>
      </c>
      <c r="AI346" s="1636"/>
      <c r="AJ346" s="1636"/>
      <c r="AK346" s="1636"/>
    </row>
    <row r="347" spans="1:37" s="1637" customFormat="1" ht="18.75" customHeight="1" x14ac:dyDescent="0.15">
      <c r="A347" s="1627"/>
      <c r="B347" s="1627"/>
      <c r="C347" s="1627"/>
      <c r="D347" s="1626">
        <f>'2_入力シート【用途面積】'!$G50</f>
        <v>0</v>
      </c>
      <c r="E347" s="1672">
        <f t="shared" si="91"/>
        <v>0</v>
      </c>
      <c r="F347" s="1672" t="str">
        <f t="shared" si="92"/>
        <v>0</v>
      </c>
      <c r="G347" s="1672" t="str">
        <f t="shared" si="93"/>
        <v>0</v>
      </c>
      <c r="H347" s="1628"/>
      <c r="I347" s="1627"/>
      <c r="J347" s="1627"/>
      <c r="K347" s="1627"/>
      <c r="L347" s="1627"/>
      <c r="M347" s="1629"/>
      <c r="N347" s="1627"/>
      <c r="O347" s="1627"/>
      <c r="P347" s="1627"/>
      <c r="Q347" s="1627"/>
      <c r="R347" s="1627"/>
      <c r="S347" s="1627"/>
      <c r="T347" s="1627"/>
      <c r="U347" s="1780"/>
      <c r="V347" s="1781" t="s">
        <v>1602</v>
      </c>
      <c r="W347" s="1782" t="s">
        <v>1306</v>
      </c>
      <c r="X347" s="1631">
        <v>1</v>
      </c>
      <c r="Y347" s="1633" t="s">
        <v>1306</v>
      </c>
      <c r="Z347" s="1640" t="s">
        <v>1574</v>
      </c>
      <c r="AA347" s="1783"/>
      <c r="AB347" s="1784"/>
      <c r="AC347" s="1698"/>
      <c r="AD347" s="1699"/>
      <c r="AE347" s="1636"/>
      <c r="AF347" s="1636"/>
      <c r="AG347" s="1637" t="str">
        <f t="shared" si="96"/>
        <v>階別用途別床面積-1-28階</v>
      </c>
      <c r="AI347" s="1636"/>
      <c r="AJ347" s="1636"/>
      <c r="AK347" s="1636"/>
    </row>
    <row r="348" spans="1:37" s="1637" customFormat="1" ht="18.75" customHeight="1" x14ac:dyDescent="0.15">
      <c r="A348" s="1627"/>
      <c r="B348" s="1627"/>
      <c r="C348" s="1627"/>
      <c r="D348" s="1626">
        <f>'2_入力シート【用途面積】'!$G51</f>
        <v>0</v>
      </c>
      <c r="E348" s="1672">
        <f t="shared" si="91"/>
        <v>0</v>
      </c>
      <c r="F348" s="1672" t="str">
        <f t="shared" si="92"/>
        <v>0</v>
      </c>
      <c r="G348" s="1672" t="str">
        <f t="shared" si="93"/>
        <v>0</v>
      </c>
      <c r="H348" s="1628"/>
      <c r="I348" s="1627"/>
      <c r="J348" s="1627"/>
      <c r="K348" s="1627"/>
      <c r="L348" s="1627"/>
      <c r="M348" s="1629"/>
      <c r="N348" s="1627"/>
      <c r="O348" s="1627"/>
      <c r="P348" s="1627"/>
      <c r="Q348" s="1627"/>
      <c r="R348" s="1627"/>
      <c r="S348" s="1627"/>
      <c r="T348" s="1627"/>
      <c r="U348" s="1780"/>
      <c r="V348" s="1781" t="s">
        <v>1602</v>
      </c>
      <c r="W348" s="1782" t="s">
        <v>1306</v>
      </c>
      <c r="X348" s="1631">
        <v>1</v>
      </c>
      <c r="Y348" s="1633" t="s">
        <v>1306</v>
      </c>
      <c r="Z348" s="1640" t="s">
        <v>1575</v>
      </c>
      <c r="AA348" s="1783"/>
      <c r="AB348" s="1784"/>
      <c r="AC348" s="1698"/>
      <c r="AD348" s="1699"/>
      <c r="AE348" s="1698"/>
      <c r="AF348" s="1698"/>
      <c r="AG348" s="1637" t="str">
        <f t="shared" si="96"/>
        <v>階別用途別床面積-1-29階</v>
      </c>
      <c r="AI348" s="1636"/>
      <c r="AJ348" s="1636"/>
      <c r="AK348" s="1636"/>
    </row>
    <row r="349" spans="1:37" s="1637" customFormat="1" ht="18.75" customHeight="1" x14ac:dyDescent="0.15">
      <c r="A349" s="1627"/>
      <c r="B349" s="1627"/>
      <c r="C349" s="1627"/>
      <c r="D349" s="1626">
        <f>'2_入力シート【用途面積】'!$G52</f>
        <v>0</v>
      </c>
      <c r="E349" s="1672">
        <f t="shared" si="91"/>
        <v>0</v>
      </c>
      <c r="F349" s="1672" t="str">
        <f t="shared" si="92"/>
        <v>0</v>
      </c>
      <c r="G349" s="1672" t="str">
        <f t="shared" si="93"/>
        <v>0</v>
      </c>
      <c r="H349" s="1628"/>
      <c r="I349" s="1627"/>
      <c r="J349" s="1627"/>
      <c r="K349" s="1627"/>
      <c r="L349" s="1627"/>
      <c r="M349" s="1629"/>
      <c r="N349" s="1627"/>
      <c r="O349" s="1627"/>
      <c r="P349" s="1627"/>
      <c r="Q349" s="1627"/>
      <c r="R349" s="1627"/>
      <c r="S349" s="1627"/>
      <c r="T349" s="1627"/>
      <c r="U349" s="1780"/>
      <c r="V349" s="1781" t="s">
        <v>1602</v>
      </c>
      <c r="W349" s="1782" t="s">
        <v>1306</v>
      </c>
      <c r="X349" s="1631">
        <v>1</v>
      </c>
      <c r="Y349" s="1633" t="s">
        <v>1306</v>
      </c>
      <c r="Z349" s="1640" t="s">
        <v>1576</v>
      </c>
      <c r="AA349" s="1783"/>
      <c r="AB349" s="1787"/>
      <c r="AC349" s="1698"/>
      <c r="AD349" s="1699"/>
      <c r="AE349" s="1698"/>
      <c r="AF349" s="1698"/>
      <c r="AG349" s="1637" t="str">
        <f t="shared" si="96"/>
        <v>階別用途別床面積-1-30階</v>
      </c>
      <c r="AI349" s="1636"/>
      <c r="AJ349" s="1636"/>
      <c r="AK349" s="1636"/>
    </row>
    <row r="350" spans="1:37" s="1637" customFormat="1" ht="18.75" customHeight="1" x14ac:dyDescent="0.15">
      <c r="A350" s="1627"/>
      <c r="B350" s="1627"/>
      <c r="C350" s="1627"/>
      <c r="D350" s="1626">
        <f>'2_入力シート【用途面積】'!$G53</f>
        <v>0</v>
      </c>
      <c r="E350" s="1672">
        <f t="shared" si="91"/>
        <v>0</v>
      </c>
      <c r="F350" s="1672" t="str">
        <f t="shared" si="92"/>
        <v>0</v>
      </c>
      <c r="G350" s="1672" t="str">
        <f t="shared" si="93"/>
        <v>0</v>
      </c>
      <c r="H350" s="1628"/>
      <c r="I350" s="1627"/>
      <c r="J350" s="1627"/>
      <c r="K350" s="1627"/>
      <c r="L350" s="1627"/>
      <c r="M350" s="1629"/>
      <c r="N350" s="1627"/>
      <c r="O350" s="1627"/>
      <c r="P350" s="1627"/>
      <c r="Q350" s="1627"/>
      <c r="R350" s="1627"/>
      <c r="S350" s="1627"/>
      <c r="T350" s="1627"/>
      <c r="U350" s="1780"/>
      <c r="V350" s="1781" t="s">
        <v>1602</v>
      </c>
      <c r="W350" s="1782" t="s">
        <v>1306</v>
      </c>
      <c r="X350" s="1631">
        <v>1</v>
      </c>
      <c r="Y350" s="1633" t="s">
        <v>1306</v>
      </c>
      <c r="Z350" s="1640" t="s">
        <v>1577</v>
      </c>
      <c r="AA350" s="1783"/>
      <c r="AB350" s="1787"/>
      <c r="AC350" s="1698"/>
      <c r="AD350" s="1699"/>
      <c r="AE350" s="1698"/>
      <c r="AF350" s="1698"/>
      <c r="AG350" s="1637" t="str">
        <f t="shared" si="96"/>
        <v>階別用途別床面積-1-31階</v>
      </c>
      <c r="AI350" s="1636"/>
      <c r="AJ350" s="1636"/>
      <c r="AK350" s="1636"/>
    </row>
    <row r="351" spans="1:37" s="1637" customFormat="1" ht="18.75" customHeight="1" x14ac:dyDescent="0.15">
      <c r="A351" s="1627"/>
      <c r="B351" s="1627"/>
      <c r="C351" s="1627"/>
      <c r="D351" s="1626">
        <f>'2_入力シート【用途面積】'!$G54</f>
        <v>0</v>
      </c>
      <c r="E351" s="1672">
        <f t="shared" si="91"/>
        <v>0</v>
      </c>
      <c r="F351" s="1672" t="str">
        <f t="shared" si="92"/>
        <v>0</v>
      </c>
      <c r="G351" s="1672" t="str">
        <f t="shared" si="93"/>
        <v>0</v>
      </c>
      <c r="H351" s="1628"/>
      <c r="I351" s="1627"/>
      <c r="J351" s="1627"/>
      <c r="K351" s="1627"/>
      <c r="L351" s="1627"/>
      <c r="M351" s="1629"/>
      <c r="N351" s="1627"/>
      <c r="O351" s="1627"/>
      <c r="P351" s="1627"/>
      <c r="Q351" s="1627"/>
      <c r="R351" s="1627"/>
      <c r="S351" s="1627"/>
      <c r="T351" s="1627"/>
      <c r="U351" s="1780"/>
      <c r="V351" s="1781" t="s">
        <v>1602</v>
      </c>
      <c r="W351" s="1782" t="s">
        <v>1306</v>
      </c>
      <c r="X351" s="1631">
        <v>1</v>
      </c>
      <c r="Y351" s="1633" t="s">
        <v>1306</v>
      </c>
      <c r="Z351" s="1640" t="s">
        <v>1578</v>
      </c>
      <c r="AA351" s="1783"/>
      <c r="AB351" s="1787"/>
      <c r="AC351" s="1698"/>
      <c r="AD351" s="1699"/>
      <c r="AE351" s="1698"/>
      <c r="AF351" s="1698"/>
      <c r="AG351" s="1637" t="str">
        <f t="shared" si="96"/>
        <v>階別用途別床面積-1-32階</v>
      </c>
      <c r="AI351" s="1636"/>
      <c r="AJ351" s="1636"/>
      <c r="AK351" s="1636"/>
    </row>
    <row r="352" spans="1:37" s="1637" customFormat="1" ht="18.75" customHeight="1" x14ac:dyDescent="0.15">
      <c r="A352" s="1627"/>
      <c r="B352" s="1627"/>
      <c r="C352" s="1627"/>
      <c r="D352" s="1626">
        <f>'2_入力シート【用途面積】'!$G55</f>
        <v>0</v>
      </c>
      <c r="E352" s="1672">
        <f t="shared" si="91"/>
        <v>0</v>
      </c>
      <c r="F352" s="1672" t="str">
        <f t="shared" si="92"/>
        <v>0</v>
      </c>
      <c r="G352" s="1672" t="str">
        <f t="shared" si="93"/>
        <v>0</v>
      </c>
      <c r="H352" s="1628"/>
      <c r="I352" s="1627"/>
      <c r="J352" s="1627"/>
      <c r="K352" s="1627"/>
      <c r="L352" s="1627"/>
      <c r="M352" s="1629"/>
      <c r="N352" s="1627"/>
      <c r="O352" s="1627"/>
      <c r="P352" s="1627"/>
      <c r="Q352" s="1627"/>
      <c r="R352" s="1627"/>
      <c r="S352" s="1627"/>
      <c r="T352" s="1627"/>
      <c r="U352" s="1780"/>
      <c r="V352" s="1781" t="s">
        <v>1602</v>
      </c>
      <c r="W352" s="1782" t="s">
        <v>1306</v>
      </c>
      <c r="X352" s="1631">
        <v>1</v>
      </c>
      <c r="Y352" s="1633" t="s">
        <v>1306</v>
      </c>
      <c r="Z352" s="1640" t="s">
        <v>1579</v>
      </c>
      <c r="AA352" s="1783"/>
      <c r="AB352" s="1784"/>
      <c r="AC352" s="1636"/>
      <c r="AD352" s="1785"/>
      <c r="AE352" s="1698"/>
      <c r="AF352" s="1698"/>
      <c r="AG352" s="1637" t="str">
        <f t="shared" si="96"/>
        <v>階別用途別床面積-1-33階</v>
      </c>
      <c r="AI352" s="1636"/>
      <c r="AJ352" s="1636"/>
      <c r="AK352" s="1636"/>
    </row>
    <row r="353" spans="1:37" s="1637" customFormat="1" ht="18.75" customHeight="1" x14ac:dyDescent="0.15">
      <c r="A353" s="1627"/>
      <c r="B353" s="1627"/>
      <c r="C353" s="1627"/>
      <c r="D353" s="1626">
        <f>'2_入力シート【用途面積】'!$G56</f>
        <v>0</v>
      </c>
      <c r="E353" s="1672">
        <f t="shared" si="91"/>
        <v>0</v>
      </c>
      <c r="F353" s="1672" t="str">
        <f t="shared" si="92"/>
        <v>0</v>
      </c>
      <c r="G353" s="1672" t="str">
        <f t="shared" si="93"/>
        <v>0</v>
      </c>
      <c r="H353" s="1628"/>
      <c r="I353" s="1627"/>
      <c r="J353" s="1627"/>
      <c r="K353" s="1627"/>
      <c r="L353" s="1627"/>
      <c r="M353" s="1629"/>
      <c r="N353" s="1627"/>
      <c r="O353" s="1627"/>
      <c r="P353" s="1627"/>
      <c r="Q353" s="1627"/>
      <c r="R353" s="1627"/>
      <c r="S353" s="1627"/>
      <c r="T353" s="1627"/>
      <c r="U353" s="1780"/>
      <c r="V353" s="1781" t="s">
        <v>1602</v>
      </c>
      <c r="W353" s="1782" t="s">
        <v>1306</v>
      </c>
      <c r="X353" s="1631">
        <v>1</v>
      </c>
      <c r="Y353" s="1633" t="s">
        <v>1306</v>
      </c>
      <c r="Z353" s="1640" t="s">
        <v>1580</v>
      </c>
      <c r="AA353" s="1783"/>
      <c r="AB353" s="1784"/>
      <c r="AC353" s="1698"/>
      <c r="AD353" s="1699"/>
      <c r="AE353" s="1698"/>
      <c r="AF353" s="1698"/>
      <c r="AG353" s="1637" t="str">
        <f t="shared" si="96"/>
        <v>階別用途別床面積-1-34階</v>
      </c>
      <c r="AI353" s="1636"/>
      <c r="AJ353" s="1636"/>
      <c r="AK353" s="1636"/>
    </row>
    <row r="354" spans="1:37" s="1637" customFormat="1" ht="18.75" customHeight="1" x14ac:dyDescent="0.15">
      <c r="A354" s="1627"/>
      <c r="B354" s="1627"/>
      <c r="C354" s="1627"/>
      <c r="D354" s="1626">
        <f>'2_入力シート【用途面積】'!$G57</f>
        <v>0</v>
      </c>
      <c r="E354" s="1672">
        <f t="shared" ref="E354:E417" si="97">D354</f>
        <v>0</v>
      </c>
      <c r="F354" s="1672" t="str">
        <f t="shared" ref="F354:F417" si="98">SUBSTITUTE(E354,CHAR(10),"")</f>
        <v>0</v>
      </c>
      <c r="G354" s="1672" t="str">
        <f t="shared" ref="G354:G417" si="99">TRIM(F354)</f>
        <v>0</v>
      </c>
      <c r="H354" s="1628"/>
      <c r="I354" s="1627"/>
      <c r="J354" s="1627"/>
      <c r="K354" s="1627"/>
      <c r="L354" s="1627"/>
      <c r="M354" s="1629"/>
      <c r="N354" s="1627"/>
      <c r="O354" s="1627"/>
      <c r="P354" s="1627"/>
      <c r="Q354" s="1627"/>
      <c r="R354" s="1627"/>
      <c r="S354" s="1627"/>
      <c r="T354" s="1627"/>
      <c r="U354" s="1780"/>
      <c r="V354" s="1781" t="s">
        <v>1602</v>
      </c>
      <c r="W354" s="1782" t="s">
        <v>1306</v>
      </c>
      <c r="X354" s="1631">
        <v>1</v>
      </c>
      <c r="Y354" s="1633" t="s">
        <v>1306</v>
      </c>
      <c r="Z354" s="1640" t="s">
        <v>1581</v>
      </c>
      <c r="AA354" s="1783"/>
      <c r="AB354" s="1784"/>
      <c r="AC354" s="1698"/>
      <c r="AD354" s="1699"/>
      <c r="AE354" s="1698"/>
      <c r="AF354" s="1698"/>
      <c r="AG354" s="1637" t="str">
        <f t="shared" si="96"/>
        <v>階別用途別床面積-1-35階</v>
      </c>
      <c r="AI354" s="1636"/>
      <c r="AJ354" s="1636"/>
      <c r="AK354" s="1636"/>
    </row>
    <row r="355" spans="1:37" s="1637" customFormat="1" ht="18.75" customHeight="1" x14ac:dyDescent="0.15">
      <c r="A355" s="1627"/>
      <c r="B355" s="1627"/>
      <c r="C355" s="1627"/>
      <c r="D355" s="1626">
        <f>'2_入力シート【用途面積】'!$G58</f>
        <v>0</v>
      </c>
      <c r="E355" s="1672">
        <f t="shared" si="97"/>
        <v>0</v>
      </c>
      <c r="F355" s="1672" t="str">
        <f t="shared" si="98"/>
        <v>0</v>
      </c>
      <c r="G355" s="1672" t="str">
        <f t="shared" si="99"/>
        <v>0</v>
      </c>
      <c r="H355" s="1628"/>
      <c r="I355" s="1627"/>
      <c r="J355" s="1627"/>
      <c r="K355" s="1627"/>
      <c r="L355" s="1627"/>
      <c r="M355" s="1629"/>
      <c r="N355" s="1627"/>
      <c r="O355" s="1627"/>
      <c r="P355" s="1627"/>
      <c r="Q355" s="1627"/>
      <c r="R355" s="1627"/>
      <c r="S355" s="1627"/>
      <c r="T355" s="1627"/>
      <c r="U355" s="1780"/>
      <c r="V355" s="1781" t="s">
        <v>1602</v>
      </c>
      <c r="W355" s="1782" t="s">
        <v>1306</v>
      </c>
      <c r="X355" s="1631">
        <v>1</v>
      </c>
      <c r="Y355" s="1633" t="s">
        <v>1306</v>
      </c>
      <c r="Z355" s="1640" t="s">
        <v>1582</v>
      </c>
      <c r="AA355" s="1783"/>
      <c r="AB355" s="1784"/>
      <c r="AC355" s="1698"/>
      <c r="AD355" s="1699"/>
      <c r="AE355" s="1636"/>
      <c r="AF355" s="1636"/>
      <c r="AG355" s="1637" t="str">
        <f t="shared" si="96"/>
        <v>階別用途別床面積-1-36階</v>
      </c>
      <c r="AI355" s="1636"/>
      <c r="AJ355" s="1636"/>
      <c r="AK355" s="1636"/>
    </row>
    <row r="356" spans="1:37" s="1637" customFormat="1" ht="18.75" customHeight="1" x14ac:dyDescent="0.15">
      <c r="A356" s="1627"/>
      <c r="B356" s="1627"/>
      <c r="C356" s="1627"/>
      <c r="D356" s="1626">
        <f>'2_入力シート【用途面積】'!$G59</f>
        <v>0</v>
      </c>
      <c r="E356" s="1672">
        <f t="shared" si="97"/>
        <v>0</v>
      </c>
      <c r="F356" s="1672" t="str">
        <f t="shared" si="98"/>
        <v>0</v>
      </c>
      <c r="G356" s="1672" t="str">
        <f t="shared" si="99"/>
        <v>0</v>
      </c>
      <c r="H356" s="1628"/>
      <c r="I356" s="1627"/>
      <c r="J356" s="1627"/>
      <c r="K356" s="1627"/>
      <c r="L356" s="1627"/>
      <c r="M356" s="1629"/>
      <c r="N356" s="1627"/>
      <c r="O356" s="1627"/>
      <c r="P356" s="1627"/>
      <c r="Q356" s="1627"/>
      <c r="R356" s="1627"/>
      <c r="S356" s="1627"/>
      <c r="T356" s="1627"/>
      <c r="U356" s="1780"/>
      <c r="V356" s="1781" t="s">
        <v>1602</v>
      </c>
      <c r="W356" s="1782" t="s">
        <v>1306</v>
      </c>
      <c r="X356" s="1631">
        <v>1</v>
      </c>
      <c r="Y356" s="1633" t="s">
        <v>1306</v>
      </c>
      <c r="Z356" s="1640" t="s">
        <v>1583</v>
      </c>
      <c r="AA356" s="1783"/>
      <c r="AB356" s="1784"/>
      <c r="AC356" s="1698"/>
      <c r="AD356" s="1699"/>
      <c r="AE356" s="1698"/>
      <c r="AF356" s="1698"/>
      <c r="AG356" s="1637" t="str">
        <f t="shared" si="96"/>
        <v>階別用途別床面積-1-37階</v>
      </c>
      <c r="AI356" s="1636"/>
      <c r="AJ356" s="1636"/>
      <c r="AK356" s="1636"/>
    </row>
    <row r="357" spans="1:37" s="1637" customFormat="1" ht="18.75" customHeight="1" x14ac:dyDescent="0.15">
      <c r="A357" s="1627"/>
      <c r="B357" s="1627"/>
      <c r="C357" s="1627"/>
      <c r="D357" s="1626">
        <f>'2_入力シート【用途面積】'!$G60</f>
        <v>0</v>
      </c>
      <c r="E357" s="1672">
        <f t="shared" si="97"/>
        <v>0</v>
      </c>
      <c r="F357" s="1672" t="str">
        <f t="shared" si="98"/>
        <v>0</v>
      </c>
      <c r="G357" s="1672" t="str">
        <f t="shared" si="99"/>
        <v>0</v>
      </c>
      <c r="H357" s="1628"/>
      <c r="I357" s="1627"/>
      <c r="J357" s="1627"/>
      <c r="K357" s="1627"/>
      <c r="L357" s="1627"/>
      <c r="M357" s="1629"/>
      <c r="N357" s="1627"/>
      <c r="O357" s="1627"/>
      <c r="P357" s="1627"/>
      <c r="Q357" s="1627"/>
      <c r="R357" s="1627"/>
      <c r="S357" s="1627"/>
      <c r="T357" s="1627"/>
      <c r="U357" s="1780"/>
      <c r="V357" s="1781" t="s">
        <v>1602</v>
      </c>
      <c r="W357" s="1782" t="s">
        <v>1306</v>
      </c>
      <c r="X357" s="1631">
        <v>1</v>
      </c>
      <c r="Y357" s="1633" t="s">
        <v>1306</v>
      </c>
      <c r="Z357" s="1640" t="s">
        <v>1584</v>
      </c>
      <c r="AA357" s="1783"/>
      <c r="AB357" s="1787"/>
      <c r="AC357" s="1698"/>
      <c r="AD357" s="1699"/>
      <c r="AE357" s="1698"/>
      <c r="AF357" s="1698"/>
      <c r="AG357" s="1637" t="str">
        <f t="shared" si="96"/>
        <v>階別用途別床面積-1-38階</v>
      </c>
      <c r="AI357" s="1636"/>
      <c r="AJ357" s="1636"/>
      <c r="AK357" s="1636"/>
    </row>
    <row r="358" spans="1:37" s="1637" customFormat="1" ht="18.75" customHeight="1" x14ac:dyDescent="0.15">
      <c r="A358" s="1627"/>
      <c r="B358" s="1627"/>
      <c r="C358" s="1627"/>
      <c r="D358" s="1626">
        <f>'2_入力シート【用途面積】'!$G61</f>
        <v>0</v>
      </c>
      <c r="E358" s="1672">
        <f t="shared" si="97"/>
        <v>0</v>
      </c>
      <c r="F358" s="1672" t="str">
        <f t="shared" si="98"/>
        <v>0</v>
      </c>
      <c r="G358" s="1672" t="str">
        <f t="shared" si="99"/>
        <v>0</v>
      </c>
      <c r="H358" s="1628"/>
      <c r="I358" s="1627"/>
      <c r="J358" s="1627"/>
      <c r="K358" s="1627"/>
      <c r="L358" s="1627"/>
      <c r="M358" s="1629"/>
      <c r="N358" s="1627"/>
      <c r="O358" s="1627"/>
      <c r="P358" s="1627"/>
      <c r="Q358" s="1627"/>
      <c r="R358" s="1627"/>
      <c r="S358" s="1627"/>
      <c r="T358" s="1627"/>
      <c r="U358" s="1780"/>
      <c r="V358" s="1781" t="s">
        <v>1602</v>
      </c>
      <c r="W358" s="1782" t="s">
        <v>1306</v>
      </c>
      <c r="X358" s="1631">
        <v>1</v>
      </c>
      <c r="Y358" s="1633" t="s">
        <v>1306</v>
      </c>
      <c r="Z358" s="1640" t="s">
        <v>1585</v>
      </c>
      <c r="AA358" s="1783"/>
      <c r="AB358" s="1787"/>
      <c r="AC358" s="1698"/>
      <c r="AD358" s="1699"/>
      <c r="AE358" s="1698"/>
      <c r="AF358" s="1698"/>
      <c r="AG358" s="1637" t="str">
        <f t="shared" si="96"/>
        <v>階別用途別床面積-1-39階</v>
      </c>
      <c r="AI358" s="1636"/>
      <c r="AJ358" s="1636"/>
      <c r="AK358" s="1636"/>
    </row>
    <row r="359" spans="1:37" s="1637" customFormat="1" ht="18.75" customHeight="1" x14ac:dyDescent="0.15">
      <c r="A359" s="1627"/>
      <c r="B359" s="1627"/>
      <c r="C359" s="1627"/>
      <c r="D359" s="1626">
        <f>'2_入力シート【用途面積】'!$G62</f>
        <v>0</v>
      </c>
      <c r="E359" s="1672">
        <f t="shared" si="97"/>
        <v>0</v>
      </c>
      <c r="F359" s="1672" t="str">
        <f t="shared" si="98"/>
        <v>0</v>
      </c>
      <c r="G359" s="1672" t="str">
        <f t="shared" si="99"/>
        <v>0</v>
      </c>
      <c r="H359" s="1628"/>
      <c r="I359" s="1627"/>
      <c r="J359" s="1627"/>
      <c r="K359" s="1627"/>
      <c r="L359" s="1627"/>
      <c r="M359" s="1629"/>
      <c r="N359" s="1627"/>
      <c r="O359" s="1627"/>
      <c r="P359" s="1627"/>
      <c r="Q359" s="1627"/>
      <c r="R359" s="1627"/>
      <c r="S359" s="1627"/>
      <c r="T359" s="1627"/>
      <c r="U359" s="1780"/>
      <c r="V359" s="1781" t="s">
        <v>1602</v>
      </c>
      <c r="W359" s="1782" t="s">
        <v>1306</v>
      </c>
      <c r="X359" s="1631">
        <v>1</v>
      </c>
      <c r="Y359" s="1633" t="s">
        <v>1306</v>
      </c>
      <c r="Z359" s="1640" t="s">
        <v>1586</v>
      </c>
      <c r="AA359" s="1783"/>
      <c r="AB359" s="1787"/>
      <c r="AC359" s="1698"/>
      <c r="AD359" s="1699"/>
      <c r="AE359" s="1698"/>
      <c r="AF359" s="1698"/>
      <c r="AG359" s="1637" t="str">
        <f t="shared" si="96"/>
        <v>階別用途別床面積-1-40階</v>
      </c>
      <c r="AI359" s="1636"/>
      <c r="AJ359" s="1636"/>
      <c r="AK359" s="1636"/>
    </row>
    <row r="360" spans="1:37" s="1637" customFormat="1" ht="18.75" customHeight="1" x14ac:dyDescent="0.15">
      <c r="A360" s="1627"/>
      <c r="B360" s="1627"/>
      <c r="C360" s="1627"/>
      <c r="D360" s="1626">
        <f>'2_入力シート【用途面積】'!$G63</f>
        <v>0</v>
      </c>
      <c r="E360" s="1672">
        <f t="shared" si="97"/>
        <v>0</v>
      </c>
      <c r="F360" s="1672" t="str">
        <f t="shared" si="98"/>
        <v>0</v>
      </c>
      <c r="G360" s="1672" t="str">
        <f t="shared" si="99"/>
        <v>0</v>
      </c>
      <c r="H360" s="1628"/>
      <c r="I360" s="1627"/>
      <c r="J360" s="1627"/>
      <c r="K360" s="1627"/>
      <c r="L360" s="1627"/>
      <c r="M360" s="1629"/>
      <c r="N360" s="1627"/>
      <c r="O360" s="1627"/>
      <c r="P360" s="1627"/>
      <c r="Q360" s="1627"/>
      <c r="R360" s="1627"/>
      <c r="S360" s="1627"/>
      <c r="T360" s="1627"/>
      <c r="U360" s="1780"/>
      <c r="V360" s="1781" t="s">
        <v>1602</v>
      </c>
      <c r="W360" s="1782" t="s">
        <v>1306</v>
      </c>
      <c r="X360" s="1631">
        <v>1</v>
      </c>
      <c r="Y360" s="1633" t="s">
        <v>1306</v>
      </c>
      <c r="Z360" s="1640" t="s">
        <v>1587</v>
      </c>
      <c r="AA360" s="1783"/>
      <c r="AB360" s="1784"/>
      <c r="AC360" s="1636"/>
      <c r="AD360" s="1785"/>
      <c r="AE360" s="1698"/>
      <c r="AF360" s="1698"/>
      <c r="AG360" s="1637" t="str">
        <f t="shared" si="96"/>
        <v>階別用途別床面積-1-41階</v>
      </c>
      <c r="AI360" s="1636"/>
      <c r="AJ360" s="1636"/>
      <c r="AK360" s="1636"/>
    </row>
    <row r="361" spans="1:37" s="1637" customFormat="1" ht="18.75" customHeight="1" x14ac:dyDescent="0.15">
      <c r="A361" s="1627"/>
      <c r="B361" s="1627"/>
      <c r="C361" s="1627"/>
      <c r="D361" s="1626">
        <f>'2_入力シート【用途面積】'!$G64</f>
        <v>0</v>
      </c>
      <c r="E361" s="1672">
        <f t="shared" si="97"/>
        <v>0</v>
      </c>
      <c r="F361" s="1672" t="str">
        <f t="shared" si="98"/>
        <v>0</v>
      </c>
      <c r="G361" s="1672" t="str">
        <f t="shared" si="99"/>
        <v>0</v>
      </c>
      <c r="H361" s="1628"/>
      <c r="I361" s="1627"/>
      <c r="J361" s="1627"/>
      <c r="K361" s="1627"/>
      <c r="L361" s="1627"/>
      <c r="M361" s="1629"/>
      <c r="N361" s="1627"/>
      <c r="O361" s="1627"/>
      <c r="P361" s="1627"/>
      <c r="Q361" s="1627"/>
      <c r="R361" s="1627"/>
      <c r="S361" s="1627"/>
      <c r="T361" s="1627"/>
      <c r="U361" s="1780"/>
      <c r="V361" s="1781" t="s">
        <v>1602</v>
      </c>
      <c r="W361" s="1782" t="s">
        <v>1306</v>
      </c>
      <c r="X361" s="1631">
        <v>1</v>
      </c>
      <c r="Y361" s="1633" t="s">
        <v>1306</v>
      </c>
      <c r="Z361" s="1640" t="s">
        <v>1588</v>
      </c>
      <c r="AA361" s="1783"/>
      <c r="AB361" s="1784"/>
      <c r="AC361" s="1698"/>
      <c r="AD361" s="1699"/>
      <c r="AE361" s="1698"/>
      <c r="AF361" s="1698"/>
      <c r="AG361" s="1637" t="str">
        <f t="shared" si="96"/>
        <v>階別用途別床面積-1-42階</v>
      </c>
      <c r="AI361" s="1636"/>
      <c r="AJ361" s="1636"/>
      <c r="AK361" s="1636"/>
    </row>
    <row r="362" spans="1:37" s="1637" customFormat="1" ht="18.75" customHeight="1" x14ac:dyDescent="0.15">
      <c r="A362" s="1627"/>
      <c r="B362" s="1627"/>
      <c r="C362" s="1627"/>
      <c r="D362" s="1626">
        <f>'2_入力シート【用途面積】'!$G65</f>
        <v>0</v>
      </c>
      <c r="E362" s="1672">
        <f t="shared" si="97"/>
        <v>0</v>
      </c>
      <c r="F362" s="1672" t="str">
        <f t="shared" si="98"/>
        <v>0</v>
      </c>
      <c r="G362" s="1672" t="str">
        <f t="shared" si="99"/>
        <v>0</v>
      </c>
      <c r="H362" s="1628"/>
      <c r="I362" s="1627"/>
      <c r="J362" s="1627"/>
      <c r="K362" s="1627"/>
      <c r="L362" s="1627"/>
      <c r="M362" s="1629"/>
      <c r="N362" s="1627"/>
      <c r="O362" s="1627"/>
      <c r="P362" s="1627"/>
      <c r="Q362" s="1627"/>
      <c r="R362" s="1627"/>
      <c r="S362" s="1627"/>
      <c r="T362" s="1627"/>
      <c r="U362" s="1780"/>
      <c r="V362" s="1781" t="s">
        <v>1602</v>
      </c>
      <c r="W362" s="1782" t="s">
        <v>1306</v>
      </c>
      <c r="X362" s="1631">
        <v>1</v>
      </c>
      <c r="Y362" s="1633" t="s">
        <v>1306</v>
      </c>
      <c r="Z362" s="1640" t="s">
        <v>1589</v>
      </c>
      <c r="AA362" s="1783"/>
      <c r="AB362" s="1784"/>
      <c r="AC362" s="1698"/>
      <c r="AD362" s="1699"/>
      <c r="AE362" s="1698"/>
      <c r="AF362" s="1698"/>
      <c r="AG362" s="1637" t="str">
        <f t="shared" si="96"/>
        <v>階別用途別床面積-1-43階</v>
      </c>
      <c r="AI362" s="1636"/>
      <c r="AJ362" s="1636"/>
      <c r="AK362" s="1636"/>
    </row>
    <row r="363" spans="1:37" s="1637" customFormat="1" ht="18.75" customHeight="1" x14ac:dyDescent="0.15">
      <c r="A363" s="1627"/>
      <c r="B363" s="1627"/>
      <c r="C363" s="1627"/>
      <c r="D363" s="1626">
        <f>'2_入力シート【用途面積】'!$G66</f>
        <v>0</v>
      </c>
      <c r="E363" s="1672">
        <f t="shared" si="97"/>
        <v>0</v>
      </c>
      <c r="F363" s="1672" t="str">
        <f t="shared" si="98"/>
        <v>0</v>
      </c>
      <c r="G363" s="1672" t="str">
        <f t="shared" si="99"/>
        <v>0</v>
      </c>
      <c r="H363" s="1628"/>
      <c r="I363" s="1627"/>
      <c r="J363" s="1627"/>
      <c r="K363" s="1627"/>
      <c r="L363" s="1627"/>
      <c r="M363" s="1629"/>
      <c r="N363" s="1627"/>
      <c r="O363" s="1627"/>
      <c r="P363" s="1627"/>
      <c r="Q363" s="1627"/>
      <c r="R363" s="1627"/>
      <c r="S363" s="1627"/>
      <c r="T363" s="1627"/>
      <c r="U363" s="1780"/>
      <c r="V363" s="1781" t="s">
        <v>1602</v>
      </c>
      <c r="W363" s="1782" t="s">
        <v>1306</v>
      </c>
      <c r="X363" s="1631">
        <v>1</v>
      </c>
      <c r="Y363" s="1633" t="s">
        <v>1306</v>
      </c>
      <c r="Z363" s="1640" t="s">
        <v>1590</v>
      </c>
      <c r="AA363" s="1783"/>
      <c r="AB363" s="1784"/>
      <c r="AC363" s="1698"/>
      <c r="AD363" s="1699"/>
      <c r="AE363" s="1636"/>
      <c r="AF363" s="1636"/>
      <c r="AG363" s="1637" t="str">
        <f t="shared" si="96"/>
        <v>階別用途別床面積-1-44階</v>
      </c>
      <c r="AI363" s="1636"/>
      <c r="AJ363" s="1636"/>
      <c r="AK363" s="1636"/>
    </row>
    <row r="364" spans="1:37" s="1637" customFormat="1" ht="18.75" customHeight="1" x14ac:dyDescent="0.15">
      <c r="A364" s="1627"/>
      <c r="B364" s="1627"/>
      <c r="C364" s="1627"/>
      <c r="D364" s="1626">
        <f>'2_入力シート【用途面積】'!$G67</f>
        <v>0</v>
      </c>
      <c r="E364" s="1672">
        <f t="shared" si="97"/>
        <v>0</v>
      </c>
      <c r="F364" s="1672" t="str">
        <f t="shared" si="98"/>
        <v>0</v>
      </c>
      <c r="G364" s="1672" t="str">
        <f t="shared" si="99"/>
        <v>0</v>
      </c>
      <c r="H364" s="1628"/>
      <c r="I364" s="1627"/>
      <c r="J364" s="1627"/>
      <c r="K364" s="1627"/>
      <c r="L364" s="1627"/>
      <c r="M364" s="1629"/>
      <c r="N364" s="1627"/>
      <c r="O364" s="1627"/>
      <c r="P364" s="1627"/>
      <c r="Q364" s="1627"/>
      <c r="R364" s="1627"/>
      <c r="S364" s="1627"/>
      <c r="T364" s="1627"/>
      <c r="U364" s="1780"/>
      <c r="V364" s="1781" t="s">
        <v>1602</v>
      </c>
      <c r="W364" s="1782" t="s">
        <v>1306</v>
      </c>
      <c r="X364" s="1631">
        <v>1</v>
      </c>
      <c r="Y364" s="1633" t="s">
        <v>1306</v>
      </c>
      <c r="Z364" s="1640" t="s">
        <v>1591</v>
      </c>
      <c r="AA364" s="1783"/>
      <c r="AB364" s="1784"/>
      <c r="AC364" s="1698"/>
      <c r="AD364" s="1699"/>
      <c r="AE364" s="1698"/>
      <c r="AF364" s="1698"/>
      <c r="AG364" s="1637" t="str">
        <f t="shared" si="96"/>
        <v>階別用途別床面積-1-45階</v>
      </c>
      <c r="AI364" s="1636"/>
      <c r="AJ364" s="1636"/>
      <c r="AK364" s="1636"/>
    </row>
    <row r="365" spans="1:37" s="1637" customFormat="1" ht="18.75" customHeight="1" x14ac:dyDescent="0.15">
      <c r="A365" s="1627"/>
      <c r="B365" s="1627"/>
      <c r="C365" s="1627"/>
      <c r="D365" s="1626">
        <f>'2_入力シート【用途面積】'!$G68</f>
        <v>0</v>
      </c>
      <c r="E365" s="1672">
        <f t="shared" si="97"/>
        <v>0</v>
      </c>
      <c r="F365" s="1672" t="str">
        <f t="shared" si="98"/>
        <v>0</v>
      </c>
      <c r="G365" s="1672" t="str">
        <f t="shared" si="99"/>
        <v>0</v>
      </c>
      <c r="H365" s="1628"/>
      <c r="I365" s="1627"/>
      <c r="J365" s="1627"/>
      <c r="K365" s="1627"/>
      <c r="L365" s="1627"/>
      <c r="M365" s="1629"/>
      <c r="N365" s="1627"/>
      <c r="O365" s="1627"/>
      <c r="P365" s="1627"/>
      <c r="Q365" s="1627"/>
      <c r="R365" s="1627"/>
      <c r="S365" s="1627"/>
      <c r="T365" s="1627"/>
      <c r="U365" s="1780"/>
      <c r="V365" s="1781" t="s">
        <v>1602</v>
      </c>
      <c r="W365" s="1782" t="s">
        <v>1306</v>
      </c>
      <c r="X365" s="1631">
        <v>1</v>
      </c>
      <c r="Y365" s="1633" t="s">
        <v>1306</v>
      </c>
      <c r="Z365" s="1640" t="s">
        <v>1592</v>
      </c>
      <c r="AA365" s="1783"/>
      <c r="AB365" s="1787"/>
      <c r="AC365" s="1698"/>
      <c r="AD365" s="1699"/>
      <c r="AE365" s="1698"/>
      <c r="AF365" s="1698"/>
      <c r="AG365" s="1637" t="str">
        <f t="shared" si="96"/>
        <v>階別用途別床面積-1-46階</v>
      </c>
      <c r="AI365" s="1636"/>
      <c r="AJ365" s="1636"/>
      <c r="AK365" s="1636"/>
    </row>
    <row r="366" spans="1:37" s="1637" customFormat="1" ht="18.75" customHeight="1" x14ac:dyDescent="0.15">
      <c r="A366" s="1627"/>
      <c r="B366" s="1627"/>
      <c r="C366" s="1627"/>
      <c r="D366" s="1626">
        <f>'2_入力シート【用途面積】'!$G69</f>
        <v>0</v>
      </c>
      <c r="E366" s="1672">
        <f t="shared" si="97"/>
        <v>0</v>
      </c>
      <c r="F366" s="1672" t="str">
        <f t="shared" si="98"/>
        <v>0</v>
      </c>
      <c r="G366" s="1672" t="str">
        <f t="shared" si="99"/>
        <v>0</v>
      </c>
      <c r="H366" s="1628"/>
      <c r="I366" s="1627"/>
      <c r="J366" s="1627"/>
      <c r="K366" s="1627"/>
      <c r="L366" s="1627"/>
      <c r="M366" s="1629"/>
      <c r="N366" s="1627"/>
      <c r="O366" s="1627"/>
      <c r="P366" s="1627"/>
      <c r="Q366" s="1627"/>
      <c r="R366" s="1627"/>
      <c r="S366" s="1627"/>
      <c r="T366" s="1627"/>
      <c r="U366" s="1780"/>
      <c r="V366" s="1781" t="s">
        <v>1602</v>
      </c>
      <c r="W366" s="1782" t="s">
        <v>1306</v>
      </c>
      <c r="X366" s="1631">
        <v>1</v>
      </c>
      <c r="Y366" s="1633" t="s">
        <v>1306</v>
      </c>
      <c r="Z366" s="1640" t="s">
        <v>1593</v>
      </c>
      <c r="AA366" s="1783"/>
      <c r="AB366" s="1787"/>
      <c r="AC366" s="1698"/>
      <c r="AD366" s="1699"/>
      <c r="AE366" s="1698"/>
      <c r="AF366" s="1698"/>
      <c r="AG366" s="1637" t="str">
        <f t="shared" si="96"/>
        <v>階別用途別床面積-1-47階</v>
      </c>
      <c r="AI366" s="1636"/>
      <c r="AJ366" s="1636"/>
      <c r="AK366" s="1636"/>
    </row>
    <row r="367" spans="1:37" s="1637" customFormat="1" ht="18.75" customHeight="1" x14ac:dyDescent="0.15">
      <c r="A367" s="1627"/>
      <c r="B367" s="1627"/>
      <c r="C367" s="1627"/>
      <c r="D367" s="1626">
        <f>'2_入力シート【用途面積】'!$G70</f>
        <v>0</v>
      </c>
      <c r="E367" s="1672">
        <f t="shared" si="97"/>
        <v>0</v>
      </c>
      <c r="F367" s="1672" t="str">
        <f t="shared" si="98"/>
        <v>0</v>
      </c>
      <c r="G367" s="1672" t="str">
        <f t="shared" si="99"/>
        <v>0</v>
      </c>
      <c r="H367" s="1628"/>
      <c r="I367" s="1627"/>
      <c r="J367" s="1627"/>
      <c r="K367" s="1627"/>
      <c r="L367" s="1627"/>
      <c r="M367" s="1629"/>
      <c r="N367" s="1627"/>
      <c r="O367" s="1627"/>
      <c r="P367" s="1627"/>
      <c r="Q367" s="1627"/>
      <c r="R367" s="1627"/>
      <c r="S367" s="1627"/>
      <c r="T367" s="1627"/>
      <c r="U367" s="1780"/>
      <c r="V367" s="1781" t="s">
        <v>1602</v>
      </c>
      <c r="W367" s="1782" t="s">
        <v>1306</v>
      </c>
      <c r="X367" s="1631">
        <v>1</v>
      </c>
      <c r="Y367" s="1633" t="s">
        <v>1306</v>
      </c>
      <c r="Z367" s="1640" t="s">
        <v>1594</v>
      </c>
      <c r="AA367" s="1783"/>
      <c r="AB367" s="1787"/>
      <c r="AC367" s="1698"/>
      <c r="AD367" s="1699"/>
      <c r="AE367" s="1698"/>
      <c r="AF367" s="1698"/>
      <c r="AG367" s="1637" t="str">
        <f t="shared" si="96"/>
        <v>階別用途別床面積-1-48階</v>
      </c>
      <c r="AI367" s="1636"/>
      <c r="AJ367" s="1636"/>
      <c r="AK367" s="1636"/>
    </row>
    <row r="368" spans="1:37" s="1637" customFormat="1" ht="18.75" customHeight="1" x14ac:dyDescent="0.15">
      <c r="A368" s="1627"/>
      <c r="B368" s="1627"/>
      <c r="C368" s="1627"/>
      <c r="D368" s="1626">
        <f>'2_入力シート【用途面積】'!$G71</f>
        <v>0</v>
      </c>
      <c r="E368" s="1672">
        <f t="shared" si="97"/>
        <v>0</v>
      </c>
      <c r="F368" s="1672" t="str">
        <f t="shared" si="98"/>
        <v>0</v>
      </c>
      <c r="G368" s="1672" t="str">
        <f t="shared" si="99"/>
        <v>0</v>
      </c>
      <c r="H368" s="1628"/>
      <c r="I368" s="1627"/>
      <c r="J368" s="1627"/>
      <c r="K368" s="1627"/>
      <c r="L368" s="1627"/>
      <c r="M368" s="1629"/>
      <c r="N368" s="1627"/>
      <c r="O368" s="1627"/>
      <c r="P368" s="1627"/>
      <c r="Q368" s="1627"/>
      <c r="R368" s="1627"/>
      <c r="S368" s="1627"/>
      <c r="T368" s="1627"/>
      <c r="U368" s="1780"/>
      <c r="V368" s="1781" t="s">
        <v>1602</v>
      </c>
      <c r="W368" s="1782" t="s">
        <v>1306</v>
      </c>
      <c r="X368" s="1631">
        <v>1</v>
      </c>
      <c r="Y368" s="1633" t="s">
        <v>1306</v>
      </c>
      <c r="Z368" s="1640" t="s">
        <v>1595</v>
      </c>
      <c r="AA368" s="1783"/>
      <c r="AB368" s="1784"/>
      <c r="AC368" s="1636"/>
      <c r="AD368" s="1785"/>
      <c r="AE368" s="1698"/>
      <c r="AF368" s="1698"/>
      <c r="AG368" s="1637" t="str">
        <f t="shared" si="96"/>
        <v>階別用途別床面積-1-49階</v>
      </c>
      <c r="AI368" s="1636"/>
      <c r="AJ368" s="1636"/>
      <c r="AK368" s="1636"/>
    </row>
    <row r="369" spans="1:41" s="1637" customFormat="1" ht="18.75" customHeight="1" x14ac:dyDescent="0.15">
      <c r="A369" s="1627"/>
      <c r="B369" s="1627"/>
      <c r="C369" s="1627"/>
      <c r="D369" s="1626">
        <f>'2_入力シート【用途面積】'!$G72</f>
        <v>0</v>
      </c>
      <c r="E369" s="1672">
        <f t="shared" si="97"/>
        <v>0</v>
      </c>
      <c r="F369" s="1672" t="str">
        <f t="shared" si="98"/>
        <v>0</v>
      </c>
      <c r="G369" s="1672" t="str">
        <f t="shared" si="99"/>
        <v>0</v>
      </c>
      <c r="H369" s="1628"/>
      <c r="I369" s="1627"/>
      <c r="J369" s="1627"/>
      <c r="K369" s="1627"/>
      <c r="L369" s="1627"/>
      <c r="M369" s="1629"/>
      <c r="N369" s="1627"/>
      <c r="O369" s="1627"/>
      <c r="P369" s="1627"/>
      <c r="Q369" s="1627"/>
      <c r="R369" s="1627"/>
      <c r="S369" s="1627"/>
      <c r="T369" s="1627"/>
      <c r="U369" s="1780"/>
      <c r="V369" s="1781" t="s">
        <v>1602</v>
      </c>
      <c r="W369" s="1782" t="s">
        <v>1306</v>
      </c>
      <c r="X369" s="1631">
        <v>1</v>
      </c>
      <c r="Y369" s="1633" t="s">
        <v>1306</v>
      </c>
      <c r="Z369" s="1640" t="s">
        <v>1596</v>
      </c>
      <c r="AA369" s="1783"/>
      <c r="AB369" s="1784"/>
      <c r="AC369" s="1698"/>
      <c r="AD369" s="1699"/>
      <c r="AE369" s="1698"/>
      <c r="AF369" s="1698"/>
      <c r="AG369" s="1637" t="str">
        <f t="shared" si="96"/>
        <v>階別用途別床面積-1-50階</v>
      </c>
      <c r="AI369" s="1636"/>
      <c r="AJ369" s="1636"/>
      <c r="AK369" s="1636"/>
    </row>
    <row r="370" spans="1:41" s="1637" customFormat="1" ht="18.75" customHeight="1" x14ac:dyDescent="0.15">
      <c r="A370" s="1627"/>
      <c r="B370" s="1627"/>
      <c r="C370" s="1627"/>
      <c r="D370" s="1626">
        <f>'2_入力シート【用途面積】'!$I$4</f>
        <v>0</v>
      </c>
      <c r="E370" s="1672">
        <f t="shared" si="97"/>
        <v>0</v>
      </c>
      <c r="F370" s="1672" t="str">
        <f t="shared" si="98"/>
        <v>0</v>
      </c>
      <c r="G370" s="1672" t="str">
        <f t="shared" si="99"/>
        <v>0</v>
      </c>
      <c r="H370" s="1628"/>
      <c r="I370" s="1627"/>
      <c r="J370" s="1627"/>
      <c r="K370" s="1627"/>
      <c r="L370" s="1627"/>
      <c r="M370" s="1629"/>
      <c r="N370" s="1627"/>
      <c r="O370" s="1627"/>
      <c r="P370" s="1627"/>
      <c r="Q370" s="1627"/>
      <c r="R370" s="1627"/>
      <c r="S370" s="1627"/>
      <c r="T370" s="1627"/>
      <c r="U370" s="1780"/>
      <c r="V370" s="1781" t="s">
        <v>1602</v>
      </c>
      <c r="W370" s="1782" t="s">
        <v>1306</v>
      </c>
      <c r="X370" s="1631">
        <v>2</v>
      </c>
      <c r="Y370" s="1633" t="s">
        <v>1306</v>
      </c>
      <c r="Z370" s="1640" t="s">
        <v>1597</v>
      </c>
      <c r="AA370" s="1783"/>
      <c r="AB370" s="1784"/>
      <c r="AC370" s="1698"/>
      <c r="AD370" s="1699"/>
      <c r="AE370" s="1698"/>
      <c r="AF370" s="1698"/>
      <c r="AG370" s="1637" t="str">
        <f t="shared" si="96"/>
        <v>階別用途別床面積-2-大分類</v>
      </c>
      <c r="AI370" s="1636"/>
      <c r="AJ370" s="1636"/>
      <c r="AK370" s="1636"/>
    </row>
    <row r="371" spans="1:41" s="1466" customFormat="1" ht="18.75" customHeight="1" x14ac:dyDescent="0.15">
      <c r="A371" s="1478"/>
      <c r="B371" s="1478"/>
      <c r="C371" s="1478"/>
      <c r="D371" s="1467">
        <f>'2_入力シート【用途面積】'!$I$7</f>
        <v>0</v>
      </c>
      <c r="E371" s="1765">
        <f t="shared" si="97"/>
        <v>0</v>
      </c>
      <c r="F371" s="1765" t="str">
        <f t="shared" si="98"/>
        <v>0</v>
      </c>
      <c r="G371" s="1765" t="str">
        <f t="shared" si="99"/>
        <v>0</v>
      </c>
      <c r="H371" s="1766"/>
      <c r="I371" s="1478"/>
      <c r="J371" s="1531"/>
      <c r="K371" s="1478" t="s">
        <v>3218</v>
      </c>
      <c r="L371" s="1478"/>
      <c r="M371" s="1549"/>
      <c r="N371" s="1478"/>
      <c r="O371" s="1478"/>
      <c r="P371" s="1478"/>
      <c r="Q371" s="1478"/>
      <c r="R371" s="1478"/>
      <c r="S371" s="1462" t="str">
        <f t="shared" ref="S371" si="100">CONCATENATE(K371,L371,M371,N371,O371,P371,Q371)</f>
        <v>用途2</v>
      </c>
      <c r="T371" s="1478"/>
      <c r="U371" s="1512"/>
      <c r="V371" s="1768" t="s">
        <v>1602</v>
      </c>
      <c r="W371" s="1511" t="s">
        <v>1306</v>
      </c>
      <c r="X371" s="1470">
        <v>2</v>
      </c>
      <c r="Y371" s="1473" t="s">
        <v>1306</v>
      </c>
      <c r="Z371" s="1474" t="s">
        <v>1598</v>
      </c>
      <c r="AA371" s="1513"/>
      <c r="AB371" s="1515"/>
      <c r="AC371" s="1501"/>
      <c r="AD371" s="1503"/>
      <c r="AE371" s="1477"/>
      <c r="AF371" s="1477"/>
      <c r="AG371" s="1466" t="str">
        <f t="shared" si="96"/>
        <v>階別用途別床面積-2-小分類</v>
      </c>
      <c r="AI371" s="1477"/>
      <c r="AJ371" s="1477"/>
      <c r="AK371" s="1477"/>
    </row>
    <row r="372" spans="1:41" s="1624" customFormat="1" ht="18.75" customHeight="1" x14ac:dyDescent="0.15">
      <c r="A372" s="1627"/>
      <c r="B372" s="1627"/>
      <c r="C372" s="1627"/>
      <c r="D372" s="1626">
        <f>'2_入力シート【用途面積】'!$I$12</f>
        <v>0</v>
      </c>
      <c r="E372" s="1672">
        <f t="shared" si="97"/>
        <v>0</v>
      </c>
      <c r="F372" s="1672" t="str">
        <f t="shared" si="98"/>
        <v>0</v>
      </c>
      <c r="G372" s="1672" t="str">
        <f t="shared" si="99"/>
        <v>0</v>
      </c>
      <c r="H372" s="1628"/>
      <c r="I372" s="1627"/>
      <c r="J372" s="1627"/>
      <c r="K372" s="1627"/>
      <c r="L372" s="1627"/>
      <c r="M372" s="1629"/>
      <c r="N372" s="1627"/>
      <c r="O372" s="1627"/>
      <c r="P372" s="1627"/>
      <c r="Q372" s="1627"/>
      <c r="R372" s="1627"/>
      <c r="S372" s="1627"/>
      <c r="T372" s="1627"/>
      <c r="U372" s="1780"/>
      <c r="V372" s="1781" t="s">
        <v>2434</v>
      </c>
      <c r="W372" s="1782" t="s">
        <v>1366</v>
      </c>
      <c r="X372" s="1631">
        <v>2</v>
      </c>
      <c r="Y372" s="1633" t="s">
        <v>1366</v>
      </c>
      <c r="Z372" s="1640" t="s">
        <v>2433</v>
      </c>
      <c r="AA372" s="1783"/>
      <c r="AB372" s="1787"/>
      <c r="AC372" s="1698"/>
      <c r="AD372" s="1699"/>
      <c r="AE372" s="1698"/>
      <c r="AF372" s="1698"/>
      <c r="AG372" s="1637" t="str">
        <f t="shared" si="96"/>
        <v>階別用途別床面積-2-特記</v>
      </c>
      <c r="AH372" s="1637"/>
      <c r="AI372" s="1636"/>
      <c r="AJ372" s="1636"/>
      <c r="AK372" s="1636"/>
      <c r="AL372" s="1637"/>
      <c r="AM372" s="1637"/>
      <c r="AN372" s="1637"/>
      <c r="AO372" s="1637"/>
    </row>
    <row r="373" spans="1:41" s="1624" customFormat="1" ht="18.75" customHeight="1" x14ac:dyDescent="0.15">
      <c r="A373" s="1627"/>
      <c r="B373" s="1627"/>
      <c r="C373" s="1627"/>
      <c r="D373" s="1626">
        <f>'2_入力シート【用途面積】'!$I14</f>
        <v>0</v>
      </c>
      <c r="E373" s="1672">
        <f t="shared" si="97"/>
        <v>0</v>
      </c>
      <c r="F373" s="1672" t="str">
        <f t="shared" si="98"/>
        <v>0</v>
      </c>
      <c r="G373" s="1672" t="str">
        <f t="shared" si="99"/>
        <v>0</v>
      </c>
      <c r="H373" s="1628"/>
      <c r="I373" s="1627"/>
      <c r="J373" s="1627"/>
      <c r="K373" s="1627"/>
      <c r="L373" s="1627"/>
      <c r="M373" s="1629"/>
      <c r="N373" s="1627"/>
      <c r="O373" s="1627"/>
      <c r="P373" s="1627"/>
      <c r="Q373" s="1627"/>
      <c r="R373" s="1627"/>
      <c r="S373" s="1627"/>
      <c r="T373" s="1627"/>
      <c r="U373" s="1780"/>
      <c r="V373" s="1781" t="s">
        <v>1602</v>
      </c>
      <c r="W373" s="1782" t="s">
        <v>1306</v>
      </c>
      <c r="X373" s="1631">
        <v>2</v>
      </c>
      <c r="Y373" s="1633" t="s">
        <v>1306</v>
      </c>
      <c r="Z373" s="1640" t="s">
        <v>1538</v>
      </c>
      <c r="AA373" s="1783"/>
      <c r="AB373" s="1784"/>
      <c r="AC373" s="1698"/>
      <c r="AD373" s="1699"/>
      <c r="AE373" s="1698"/>
      <c r="AF373" s="1698"/>
      <c r="AG373" s="1637" t="str">
        <f t="shared" si="96"/>
        <v>階別用途別床面積-2-地下1階</v>
      </c>
      <c r="AH373" s="1637"/>
      <c r="AI373" s="1636"/>
      <c r="AJ373" s="1636"/>
      <c r="AK373" s="1636"/>
      <c r="AL373" s="1637"/>
      <c r="AM373" s="1637"/>
      <c r="AN373" s="1637"/>
      <c r="AO373" s="1637"/>
    </row>
    <row r="374" spans="1:41" s="1624" customFormat="1" ht="18.75" customHeight="1" x14ac:dyDescent="0.15">
      <c r="A374" s="1627"/>
      <c r="B374" s="1627"/>
      <c r="C374" s="1627"/>
      <c r="D374" s="1626">
        <f>'2_入力シート【用途面積】'!$I15</f>
        <v>0</v>
      </c>
      <c r="E374" s="1672">
        <f t="shared" si="97"/>
        <v>0</v>
      </c>
      <c r="F374" s="1672" t="str">
        <f t="shared" si="98"/>
        <v>0</v>
      </c>
      <c r="G374" s="1672" t="str">
        <f t="shared" si="99"/>
        <v>0</v>
      </c>
      <c r="H374" s="1628"/>
      <c r="I374" s="1627"/>
      <c r="J374" s="1627"/>
      <c r="K374" s="1627"/>
      <c r="L374" s="1627"/>
      <c r="M374" s="1629"/>
      <c r="N374" s="1627"/>
      <c r="O374" s="1627"/>
      <c r="P374" s="1627"/>
      <c r="Q374" s="1627"/>
      <c r="R374" s="1627"/>
      <c r="S374" s="1627"/>
      <c r="T374" s="1627"/>
      <c r="U374" s="1780"/>
      <c r="V374" s="1781" t="s">
        <v>1602</v>
      </c>
      <c r="W374" s="1782" t="s">
        <v>1306</v>
      </c>
      <c r="X374" s="1631">
        <v>2</v>
      </c>
      <c r="Y374" s="1633" t="s">
        <v>1306</v>
      </c>
      <c r="Z374" s="1640" t="s">
        <v>1539</v>
      </c>
      <c r="AA374" s="1783"/>
      <c r="AB374" s="1787"/>
      <c r="AC374" s="1698"/>
      <c r="AD374" s="1699"/>
      <c r="AE374" s="1698"/>
      <c r="AF374" s="1698"/>
      <c r="AG374" s="1637" t="str">
        <f t="shared" si="96"/>
        <v>階別用途別床面積-2-地下2階</v>
      </c>
      <c r="AH374" s="1637"/>
      <c r="AI374" s="1636"/>
      <c r="AJ374" s="1636"/>
      <c r="AK374" s="1636"/>
      <c r="AL374" s="1637"/>
      <c r="AM374" s="1637"/>
      <c r="AN374" s="1637"/>
      <c r="AO374" s="1637"/>
    </row>
    <row r="375" spans="1:41" s="1624" customFormat="1" ht="18.75" customHeight="1" x14ac:dyDescent="0.15">
      <c r="A375" s="1627"/>
      <c r="B375" s="1627"/>
      <c r="C375" s="1627"/>
      <c r="D375" s="1626">
        <f>'2_入力シート【用途面積】'!$I16</f>
        <v>0</v>
      </c>
      <c r="E375" s="1672">
        <f t="shared" si="97"/>
        <v>0</v>
      </c>
      <c r="F375" s="1672" t="str">
        <f t="shared" si="98"/>
        <v>0</v>
      </c>
      <c r="G375" s="1672" t="str">
        <f t="shared" si="99"/>
        <v>0</v>
      </c>
      <c r="H375" s="1628"/>
      <c r="I375" s="1627"/>
      <c r="J375" s="1627"/>
      <c r="K375" s="1627"/>
      <c r="L375" s="1627"/>
      <c r="M375" s="1629"/>
      <c r="N375" s="1627"/>
      <c r="O375" s="1627"/>
      <c r="P375" s="1627"/>
      <c r="Q375" s="1627"/>
      <c r="R375" s="1627"/>
      <c r="S375" s="1627"/>
      <c r="T375" s="1627"/>
      <c r="U375" s="1780"/>
      <c r="V375" s="1781" t="s">
        <v>1602</v>
      </c>
      <c r="W375" s="1782" t="s">
        <v>1306</v>
      </c>
      <c r="X375" s="1631">
        <v>2</v>
      </c>
      <c r="Y375" s="1633" t="s">
        <v>1306</v>
      </c>
      <c r="Z375" s="1640" t="s">
        <v>1540</v>
      </c>
      <c r="AA375" s="1783"/>
      <c r="AB375" s="1787"/>
      <c r="AC375" s="1698"/>
      <c r="AD375" s="1699"/>
      <c r="AE375" s="1698"/>
      <c r="AF375" s="1698"/>
      <c r="AG375" s="1637" t="str">
        <f t="shared" si="96"/>
        <v>階別用途別床面積-2-地下3階</v>
      </c>
      <c r="AH375" s="1637"/>
      <c r="AI375" s="1636"/>
      <c r="AJ375" s="1636"/>
      <c r="AK375" s="1636"/>
      <c r="AL375" s="1637"/>
      <c r="AM375" s="1637"/>
      <c r="AN375" s="1637"/>
      <c r="AO375" s="1637"/>
    </row>
    <row r="376" spans="1:41" s="1624" customFormat="1" ht="18.75" customHeight="1" x14ac:dyDescent="0.15">
      <c r="A376" s="1627"/>
      <c r="B376" s="1627"/>
      <c r="C376" s="1627"/>
      <c r="D376" s="1626">
        <f>'2_入力シート【用途面積】'!$I17</f>
        <v>0</v>
      </c>
      <c r="E376" s="1672">
        <f t="shared" si="97"/>
        <v>0</v>
      </c>
      <c r="F376" s="1672" t="str">
        <f t="shared" si="98"/>
        <v>0</v>
      </c>
      <c r="G376" s="1672" t="str">
        <f t="shared" si="99"/>
        <v>0</v>
      </c>
      <c r="H376" s="1628"/>
      <c r="I376" s="1627"/>
      <c r="J376" s="1627"/>
      <c r="K376" s="1627"/>
      <c r="L376" s="1627"/>
      <c r="M376" s="1629"/>
      <c r="N376" s="1627"/>
      <c r="O376" s="1627"/>
      <c r="P376" s="1627"/>
      <c r="Q376" s="1627"/>
      <c r="R376" s="1627"/>
      <c r="S376" s="1627"/>
      <c r="T376" s="1627"/>
      <c r="U376" s="1780"/>
      <c r="V376" s="1781" t="s">
        <v>1602</v>
      </c>
      <c r="W376" s="1782" t="s">
        <v>1306</v>
      </c>
      <c r="X376" s="1631">
        <v>2</v>
      </c>
      <c r="Y376" s="1633" t="s">
        <v>1306</v>
      </c>
      <c r="Z376" s="1640" t="s">
        <v>1541</v>
      </c>
      <c r="AA376" s="1783"/>
      <c r="AB376" s="1787"/>
      <c r="AC376" s="1698"/>
      <c r="AD376" s="1699"/>
      <c r="AE376" s="1698"/>
      <c r="AF376" s="1698"/>
      <c r="AG376" s="1637" t="str">
        <f t="shared" si="96"/>
        <v>階別用途別床面積-2-地下4階</v>
      </c>
      <c r="AH376" s="1637"/>
      <c r="AI376" s="1636"/>
      <c r="AJ376" s="1636"/>
      <c r="AK376" s="1636"/>
      <c r="AL376" s="1637"/>
      <c r="AM376" s="1637"/>
      <c r="AN376" s="1637"/>
      <c r="AO376" s="1637"/>
    </row>
    <row r="377" spans="1:41" s="1624" customFormat="1" ht="18.75" customHeight="1" x14ac:dyDescent="0.15">
      <c r="A377" s="1627"/>
      <c r="B377" s="1627"/>
      <c r="C377" s="1627"/>
      <c r="D377" s="1626">
        <f>'2_入力シート【用途面積】'!$I18</f>
        <v>0</v>
      </c>
      <c r="E377" s="1672">
        <f t="shared" si="97"/>
        <v>0</v>
      </c>
      <c r="F377" s="1672" t="str">
        <f t="shared" si="98"/>
        <v>0</v>
      </c>
      <c r="G377" s="1672" t="str">
        <f t="shared" si="99"/>
        <v>0</v>
      </c>
      <c r="H377" s="1628"/>
      <c r="I377" s="1627"/>
      <c r="J377" s="1627"/>
      <c r="K377" s="1627"/>
      <c r="L377" s="1627"/>
      <c r="M377" s="1629"/>
      <c r="N377" s="1627"/>
      <c r="O377" s="1627"/>
      <c r="P377" s="1627"/>
      <c r="Q377" s="1627"/>
      <c r="R377" s="1627"/>
      <c r="S377" s="1627"/>
      <c r="T377" s="1627"/>
      <c r="U377" s="1780"/>
      <c r="V377" s="1781" t="s">
        <v>1602</v>
      </c>
      <c r="W377" s="1782" t="s">
        <v>1306</v>
      </c>
      <c r="X377" s="1631">
        <v>2</v>
      </c>
      <c r="Y377" s="1633" t="s">
        <v>1306</v>
      </c>
      <c r="Z377" s="1640" t="s">
        <v>1542</v>
      </c>
      <c r="AA377" s="1783"/>
      <c r="AB377" s="1784"/>
      <c r="AC377" s="1636"/>
      <c r="AD377" s="1785"/>
      <c r="AE377" s="1698"/>
      <c r="AF377" s="1698"/>
      <c r="AG377" s="1637" t="str">
        <f t="shared" si="96"/>
        <v>階別用途別床面積-2-塔屋 1階</v>
      </c>
      <c r="AH377" s="1637"/>
      <c r="AI377" s="1636"/>
      <c r="AJ377" s="1636"/>
      <c r="AK377" s="1636"/>
      <c r="AL377" s="1637"/>
      <c r="AM377" s="1637"/>
      <c r="AN377" s="1637"/>
      <c r="AO377" s="1637"/>
    </row>
    <row r="378" spans="1:41" s="1624" customFormat="1" ht="18.75" customHeight="1" x14ac:dyDescent="0.15">
      <c r="A378" s="1627"/>
      <c r="B378" s="1627"/>
      <c r="C378" s="1627"/>
      <c r="D378" s="1626">
        <f>'2_入力シート【用途面積】'!$I19</f>
        <v>0</v>
      </c>
      <c r="E378" s="1672">
        <f t="shared" si="97"/>
        <v>0</v>
      </c>
      <c r="F378" s="1672" t="str">
        <f t="shared" si="98"/>
        <v>0</v>
      </c>
      <c r="G378" s="1672" t="str">
        <f t="shared" si="99"/>
        <v>0</v>
      </c>
      <c r="H378" s="1628"/>
      <c r="I378" s="1627"/>
      <c r="J378" s="1627"/>
      <c r="K378" s="1627"/>
      <c r="L378" s="1627"/>
      <c r="M378" s="1629"/>
      <c r="N378" s="1627"/>
      <c r="O378" s="1627"/>
      <c r="P378" s="1627"/>
      <c r="Q378" s="1627"/>
      <c r="R378" s="1627"/>
      <c r="S378" s="1627"/>
      <c r="T378" s="1627"/>
      <c r="U378" s="1780"/>
      <c r="V378" s="1781" t="s">
        <v>1602</v>
      </c>
      <c r="W378" s="1782" t="s">
        <v>1306</v>
      </c>
      <c r="X378" s="1631">
        <v>2</v>
      </c>
      <c r="Y378" s="1633" t="s">
        <v>1306</v>
      </c>
      <c r="Z378" s="1640" t="s">
        <v>1543</v>
      </c>
      <c r="AA378" s="1783"/>
      <c r="AB378" s="1784"/>
      <c r="AC378" s="1698"/>
      <c r="AD378" s="1699"/>
      <c r="AE378" s="1698"/>
      <c r="AF378" s="1698"/>
      <c r="AG378" s="1637" t="str">
        <f t="shared" si="96"/>
        <v>階別用途別床面積-2-塔屋 2階</v>
      </c>
      <c r="AH378" s="1637"/>
      <c r="AI378" s="1636"/>
      <c r="AJ378" s="1636"/>
      <c r="AK378" s="1636"/>
      <c r="AL378" s="1637"/>
      <c r="AM378" s="1637"/>
      <c r="AN378" s="1637"/>
      <c r="AO378" s="1637"/>
    </row>
    <row r="379" spans="1:41" s="1624" customFormat="1" ht="18.75" customHeight="1" x14ac:dyDescent="0.15">
      <c r="A379" s="1627"/>
      <c r="B379" s="1627"/>
      <c r="C379" s="1627"/>
      <c r="D379" s="1626">
        <f>'2_入力シート【用途面積】'!$I20</f>
        <v>0</v>
      </c>
      <c r="E379" s="1672">
        <f t="shared" si="97"/>
        <v>0</v>
      </c>
      <c r="F379" s="1672" t="str">
        <f t="shared" si="98"/>
        <v>0</v>
      </c>
      <c r="G379" s="1672" t="str">
        <f t="shared" si="99"/>
        <v>0</v>
      </c>
      <c r="H379" s="1628"/>
      <c r="I379" s="1627"/>
      <c r="J379" s="1627"/>
      <c r="K379" s="1627"/>
      <c r="L379" s="1627"/>
      <c r="M379" s="1629"/>
      <c r="N379" s="1627"/>
      <c r="O379" s="1627"/>
      <c r="P379" s="1627"/>
      <c r="Q379" s="1627"/>
      <c r="R379" s="1627"/>
      <c r="S379" s="1627"/>
      <c r="T379" s="1627"/>
      <c r="U379" s="1780"/>
      <c r="V379" s="1781" t="s">
        <v>1602</v>
      </c>
      <c r="W379" s="1782" t="s">
        <v>1306</v>
      </c>
      <c r="X379" s="1631">
        <v>2</v>
      </c>
      <c r="Y379" s="1633" t="s">
        <v>1306</v>
      </c>
      <c r="Z379" s="1640" t="s">
        <v>1544</v>
      </c>
      <c r="AA379" s="1783"/>
      <c r="AB379" s="1784"/>
      <c r="AC379" s="1698"/>
      <c r="AD379" s="1699"/>
      <c r="AE379" s="1698"/>
      <c r="AF379" s="1698"/>
      <c r="AG379" s="1637" t="str">
        <f t="shared" si="96"/>
        <v>階別用途別床面積-2-塔屋 3階</v>
      </c>
      <c r="AH379" s="1637"/>
      <c r="AI379" s="1636"/>
      <c r="AJ379" s="1636"/>
      <c r="AK379" s="1636"/>
      <c r="AL379" s="1637"/>
      <c r="AM379" s="1637"/>
      <c r="AN379" s="1637"/>
      <c r="AO379" s="1637"/>
    </row>
    <row r="380" spans="1:41" s="1624" customFormat="1" ht="18.75" customHeight="1" x14ac:dyDescent="0.15">
      <c r="A380" s="1627"/>
      <c r="B380" s="1627"/>
      <c r="C380" s="1627"/>
      <c r="D380" s="1626">
        <f>'2_入力シート【用途面積】'!$I21</f>
        <v>0</v>
      </c>
      <c r="E380" s="1672">
        <f t="shared" si="97"/>
        <v>0</v>
      </c>
      <c r="F380" s="1672" t="str">
        <f t="shared" si="98"/>
        <v>0</v>
      </c>
      <c r="G380" s="1672" t="str">
        <f t="shared" si="99"/>
        <v>0</v>
      </c>
      <c r="H380" s="1628"/>
      <c r="I380" s="1627"/>
      <c r="J380" s="1627"/>
      <c r="K380" s="1627"/>
      <c r="L380" s="1627"/>
      <c r="M380" s="1629"/>
      <c r="N380" s="1627"/>
      <c r="O380" s="1627"/>
      <c r="P380" s="1627"/>
      <c r="Q380" s="1627"/>
      <c r="R380" s="1627"/>
      <c r="S380" s="1627"/>
      <c r="T380" s="1627"/>
      <c r="U380" s="1780"/>
      <c r="V380" s="1781" t="s">
        <v>1602</v>
      </c>
      <c r="W380" s="1782" t="s">
        <v>1306</v>
      </c>
      <c r="X380" s="1631">
        <v>2</v>
      </c>
      <c r="Y380" s="1633" t="s">
        <v>1306</v>
      </c>
      <c r="Z380" s="1640" t="s">
        <v>1545</v>
      </c>
      <c r="AA380" s="1783"/>
      <c r="AB380" s="1784"/>
      <c r="AC380" s="1698"/>
      <c r="AD380" s="1699"/>
      <c r="AE380" s="1636"/>
      <c r="AF380" s="1636"/>
      <c r="AG380" s="1637" t="str">
        <f t="shared" si="96"/>
        <v>階別用途別床面積-2-塔屋 4階</v>
      </c>
      <c r="AH380" s="1637"/>
      <c r="AI380" s="1636"/>
      <c r="AJ380" s="1636"/>
      <c r="AK380" s="1636"/>
      <c r="AL380" s="1637"/>
      <c r="AM380" s="1637"/>
      <c r="AN380" s="1637"/>
      <c r="AO380" s="1637"/>
    </row>
    <row r="381" spans="1:41" s="1624" customFormat="1" ht="18.75" customHeight="1" x14ac:dyDescent="0.15">
      <c r="A381" s="1627"/>
      <c r="B381" s="1627"/>
      <c r="C381" s="1627"/>
      <c r="D381" s="1626">
        <f>'2_入力シート【用途面積】'!$I22</f>
        <v>0</v>
      </c>
      <c r="E381" s="1672">
        <f t="shared" si="97"/>
        <v>0</v>
      </c>
      <c r="F381" s="1672" t="str">
        <f t="shared" si="98"/>
        <v>0</v>
      </c>
      <c r="G381" s="1672" t="str">
        <f t="shared" si="99"/>
        <v>0</v>
      </c>
      <c r="H381" s="1628"/>
      <c r="I381" s="1627"/>
      <c r="J381" s="1627"/>
      <c r="K381" s="1627"/>
      <c r="L381" s="1627"/>
      <c r="M381" s="1629"/>
      <c r="N381" s="1627"/>
      <c r="O381" s="1627"/>
      <c r="P381" s="1627"/>
      <c r="Q381" s="1627"/>
      <c r="R381" s="1627"/>
      <c r="S381" s="1627"/>
      <c r="T381" s="1627"/>
      <c r="U381" s="1780"/>
      <c r="V381" s="1781" t="s">
        <v>1602</v>
      </c>
      <c r="W381" s="1782" t="s">
        <v>1306</v>
      </c>
      <c r="X381" s="1631">
        <v>2</v>
      </c>
      <c r="Y381" s="1633" t="s">
        <v>1306</v>
      </c>
      <c r="Z381" s="1640" t="s">
        <v>1546</v>
      </c>
      <c r="AA381" s="1783"/>
      <c r="AB381" s="1784"/>
      <c r="AC381" s="1698"/>
      <c r="AD381" s="1699"/>
      <c r="AE381" s="1698"/>
      <c r="AF381" s="1698"/>
      <c r="AG381" s="1637" t="str">
        <f t="shared" si="96"/>
        <v>階別用途別床面積-2-塔屋 5階</v>
      </c>
      <c r="AH381" s="1637"/>
      <c r="AI381" s="1636"/>
      <c r="AJ381" s="1636"/>
      <c r="AK381" s="1636"/>
      <c r="AL381" s="1637"/>
      <c r="AM381" s="1637"/>
      <c r="AN381" s="1637"/>
      <c r="AO381" s="1637"/>
    </row>
    <row r="382" spans="1:41" s="1624" customFormat="1" ht="18.75" customHeight="1" x14ac:dyDescent="0.15">
      <c r="A382" s="1627"/>
      <c r="B382" s="1627"/>
      <c r="C382" s="1627"/>
      <c r="D382" s="1626">
        <f>'2_入力シート【用途面積】'!$I23</f>
        <v>0</v>
      </c>
      <c r="E382" s="1672">
        <f t="shared" si="97"/>
        <v>0</v>
      </c>
      <c r="F382" s="1672" t="str">
        <f t="shared" si="98"/>
        <v>0</v>
      </c>
      <c r="G382" s="1672" t="str">
        <f t="shared" si="99"/>
        <v>0</v>
      </c>
      <c r="H382" s="1628"/>
      <c r="I382" s="1627"/>
      <c r="J382" s="1627"/>
      <c r="K382" s="1627"/>
      <c r="L382" s="1627"/>
      <c r="M382" s="1629"/>
      <c r="N382" s="1627"/>
      <c r="O382" s="1627"/>
      <c r="P382" s="1627"/>
      <c r="Q382" s="1627"/>
      <c r="R382" s="1627"/>
      <c r="S382" s="1627"/>
      <c r="T382" s="1627"/>
      <c r="U382" s="1780"/>
      <c r="V382" s="1781" t="s">
        <v>1602</v>
      </c>
      <c r="W382" s="1782" t="s">
        <v>1306</v>
      </c>
      <c r="X382" s="1631">
        <v>2</v>
      </c>
      <c r="Y382" s="1633" t="s">
        <v>1306</v>
      </c>
      <c r="Z382" s="1640" t="s">
        <v>1547</v>
      </c>
      <c r="AA382" s="1783"/>
      <c r="AB382" s="1787"/>
      <c r="AC382" s="1698"/>
      <c r="AD382" s="1699"/>
      <c r="AE382" s="1698"/>
      <c r="AF382" s="1698"/>
      <c r="AG382" s="1637" t="str">
        <f t="shared" si="96"/>
        <v>階別用途別床面積-2-1階</v>
      </c>
      <c r="AH382" s="1637"/>
      <c r="AI382" s="1636"/>
      <c r="AJ382" s="1636"/>
      <c r="AK382" s="1636"/>
      <c r="AL382" s="1637"/>
      <c r="AM382" s="1637"/>
      <c r="AN382" s="1637"/>
      <c r="AO382" s="1637"/>
    </row>
    <row r="383" spans="1:41" s="1624" customFormat="1" ht="18.75" customHeight="1" x14ac:dyDescent="0.15">
      <c r="A383" s="1627"/>
      <c r="B383" s="1627"/>
      <c r="C383" s="1627"/>
      <c r="D383" s="1626">
        <f>'2_入力シート【用途面積】'!$I24</f>
        <v>0</v>
      </c>
      <c r="E383" s="1672">
        <f t="shared" si="97"/>
        <v>0</v>
      </c>
      <c r="F383" s="1672" t="str">
        <f t="shared" si="98"/>
        <v>0</v>
      </c>
      <c r="G383" s="1672" t="str">
        <f t="shared" si="99"/>
        <v>0</v>
      </c>
      <c r="H383" s="1628"/>
      <c r="I383" s="1627"/>
      <c r="J383" s="1627"/>
      <c r="K383" s="1627"/>
      <c r="L383" s="1627"/>
      <c r="M383" s="1629"/>
      <c r="N383" s="1627"/>
      <c r="O383" s="1627"/>
      <c r="P383" s="1627"/>
      <c r="Q383" s="1627"/>
      <c r="R383" s="1627"/>
      <c r="S383" s="1627"/>
      <c r="T383" s="1627"/>
      <c r="U383" s="1780"/>
      <c r="V383" s="1781" t="s">
        <v>1602</v>
      </c>
      <c r="W383" s="1782" t="s">
        <v>1306</v>
      </c>
      <c r="X383" s="1631">
        <v>2</v>
      </c>
      <c r="Y383" s="1633" t="s">
        <v>1306</v>
      </c>
      <c r="Z383" s="1640" t="s">
        <v>1548</v>
      </c>
      <c r="AA383" s="1783"/>
      <c r="AB383" s="1787"/>
      <c r="AC383" s="1698"/>
      <c r="AD383" s="1699"/>
      <c r="AE383" s="1698"/>
      <c r="AF383" s="1698"/>
      <c r="AG383" s="1637" t="str">
        <f t="shared" si="96"/>
        <v>階別用途別床面積-2-2階</v>
      </c>
      <c r="AH383" s="1637"/>
      <c r="AI383" s="1636"/>
      <c r="AJ383" s="1636"/>
      <c r="AK383" s="1636"/>
      <c r="AL383" s="1637"/>
      <c r="AM383" s="1637"/>
      <c r="AN383" s="1637"/>
      <c r="AO383" s="1637"/>
    </row>
    <row r="384" spans="1:41" s="1624" customFormat="1" ht="18.75" customHeight="1" x14ac:dyDescent="0.15">
      <c r="A384" s="1627"/>
      <c r="B384" s="1627"/>
      <c r="C384" s="1627"/>
      <c r="D384" s="1626">
        <f>'2_入力シート【用途面積】'!$I25</f>
        <v>0</v>
      </c>
      <c r="E384" s="1672">
        <f t="shared" si="97"/>
        <v>0</v>
      </c>
      <c r="F384" s="1672" t="str">
        <f t="shared" si="98"/>
        <v>0</v>
      </c>
      <c r="G384" s="1672" t="str">
        <f t="shared" si="99"/>
        <v>0</v>
      </c>
      <c r="H384" s="1628"/>
      <c r="I384" s="1627"/>
      <c r="J384" s="1627"/>
      <c r="K384" s="1627"/>
      <c r="L384" s="1627"/>
      <c r="M384" s="1629"/>
      <c r="N384" s="1627"/>
      <c r="O384" s="1627"/>
      <c r="P384" s="1627"/>
      <c r="Q384" s="1627"/>
      <c r="R384" s="1627"/>
      <c r="S384" s="1627"/>
      <c r="T384" s="1627"/>
      <c r="U384" s="1780"/>
      <c r="V384" s="1781" t="s">
        <v>1602</v>
      </c>
      <c r="W384" s="1782" t="s">
        <v>1306</v>
      </c>
      <c r="X384" s="1631">
        <v>2</v>
      </c>
      <c r="Y384" s="1633" t="s">
        <v>1306</v>
      </c>
      <c r="Z384" s="1640" t="s">
        <v>1549</v>
      </c>
      <c r="AA384" s="1783"/>
      <c r="AB384" s="1787"/>
      <c r="AC384" s="1698"/>
      <c r="AD384" s="1699"/>
      <c r="AE384" s="1698"/>
      <c r="AF384" s="1698"/>
      <c r="AG384" s="1637" t="str">
        <f t="shared" si="96"/>
        <v>階別用途別床面積-2-3階</v>
      </c>
      <c r="AH384" s="1637"/>
      <c r="AI384" s="1636"/>
      <c r="AJ384" s="1636"/>
      <c r="AK384" s="1636"/>
      <c r="AL384" s="1637"/>
      <c r="AM384" s="1637"/>
      <c r="AN384" s="1637"/>
      <c r="AO384" s="1637"/>
    </row>
    <row r="385" spans="1:41" s="1624" customFormat="1" ht="18.75" customHeight="1" x14ac:dyDescent="0.15">
      <c r="A385" s="1627"/>
      <c r="B385" s="1627"/>
      <c r="C385" s="1627"/>
      <c r="D385" s="1626">
        <f>'2_入力シート【用途面積】'!$I26</f>
        <v>0</v>
      </c>
      <c r="E385" s="1672">
        <f t="shared" si="97"/>
        <v>0</v>
      </c>
      <c r="F385" s="1672" t="str">
        <f t="shared" si="98"/>
        <v>0</v>
      </c>
      <c r="G385" s="1672" t="str">
        <f t="shared" si="99"/>
        <v>0</v>
      </c>
      <c r="H385" s="1628"/>
      <c r="I385" s="1627"/>
      <c r="J385" s="1627"/>
      <c r="K385" s="1627"/>
      <c r="L385" s="1627"/>
      <c r="M385" s="1629"/>
      <c r="N385" s="1627"/>
      <c r="O385" s="1627"/>
      <c r="P385" s="1627"/>
      <c r="Q385" s="1627"/>
      <c r="R385" s="1627"/>
      <c r="S385" s="1627"/>
      <c r="T385" s="1627"/>
      <c r="U385" s="1780"/>
      <c r="V385" s="1781" t="s">
        <v>1602</v>
      </c>
      <c r="W385" s="1782" t="s">
        <v>1306</v>
      </c>
      <c r="X385" s="1631">
        <v>2</v>
      </c>
      <c r="Y385" s="1633" t="s">
        <v>1306</v>
      </c>
      <c r="Z385" s="1640" t="s">
        <v>1550</v>
      </c>
      <c r="AA385" s="1783"/>
      <c r="AB385" s="1784"/>
      <c r="AC385" s="1636"/>
      <c r="AD385" s="1785"/>
      <c r="AE385" s="1698"/>
      <c r="AF385" s="1698"/>
      <c r="AG385" s="1637" t="str">
        <f t="shared" si="96"/>
        <v>階別用途別床面積-2-4階</v>
      </c>
      <c r="AH385" s="1637"/>
      <c r="AI385" s="1636"/>
      <c r="AJ385" s="1636"/>
      <c r="AK385" s="1636"/>
      <c r="AL385" s="1637"/>
      <c r="AM385" s="1637"/>
      <c r="AN385" s="1637"/>
      <c r="AO385" s="1637"/>
    </row>
    <row r="386" spans="1:41" s="1624" customFormat="1" ht="18.75" customHeight="1" x14ac:dyDescent="0.15">
      <c r="A386" s="1627"/>
      <c r="B386" s="1627"/>
      <c r="C386" s="1627"/>
      <c r="D386" s="1626">
        <f>'2_入力シート【用途面積】'!$I27</f>
        <v>0</v>
      </c>
      <c r="E386" s="1672">
        <f t="shared" si="97"/>
        <v>0</v>
      </c>
      <c r="F386" s="1672" t="str">
        <f t="shared" si="98"/>
        <v>0</v>
      </c>
      <c r="G386" s="1672" t="str">
        <f t="shared" si="99"/>
        <v>0</v>
      </c>
      <c r="H386" s="1628"/>
      <c r="I386" s="1627"/>
      <c r="J386" s="1627"/>
      <c r="K386" s="1627"/>
      <c r="L386" s="1627"/>
      <c r="M386" s="1629"/>
      <c r="N386" s="1627"/>
      <c r="O386" s="1627"/>
      <c r="P386" s="1627"/>
      <c r="Q386" s="1627"/>
      <c r="R386" s="1627"/>
      <c r="S386" s="1627"/>
      <c r="T386" s="1627"/>
      <c r="U386" s="1780"/>
      <c r="V386" s="1781" t="s">
        <v>1602</v>
      </c>
      <c r="W386" s="1782" t="s">
        <v>1306</v>
      </c>
      <c r="X386" s="1631">
        <v>2</v>
      </c>
      <c r="Y386" s="1633" t="s">
        <v>1306</v>
      </c>
      <c r="Z386" s="1640" t="s">
        <v>1551</v>
      </c>
      <c r="AA386" s="1783"/>
      <c r="AB386" s="1784"/>
      <c r="AC386" s="1698"/>
      <c r="AD386" s="1699"/>
      <c r="AE386" s="1698"/>
      <c r="AF386" s="1698"/>
      <c r="AG386" s="1637" t="str">
        <f t="shared" si="96"/>
        <v>階別用途別床面積-2-5階</v>
      </c>
      <c r="AH386" s="1637"/>
      <c r="AI386" s="1636"/>
      <c r="AJ386" s="1636"/>
      <c r="AK386" s="1636"/>
      <c r="AL386" s="1637"/>
      <c r="AM386" s="1637"/>
      <c r="AN386" s="1637"/>
      <c r="AO386" s="1637"/>
    </row>
    <row r="387" spans="1:41" s="1624" customFormat="1" ht="18.75" customHeight="1" x14ac:dyDescent="0.15">
      <c r="A387" s="1627"/>
      <c r="B387" s="1627"/>
      <c r="C387" s="1627"/>
      <c r="D387" s="1626">
        <f>'2_入力シート【用途面積】'!$I28</f>
        <v>0</v>
      </c>
      <c r="E387" s="1672">
        <f t="shared" si="97"/>
        <v>0</v>
      </c>
      <c r="F387" s="1672" t="str">
        <f t="shared" si="98"/>
        <v>0</v>
      </c>
      <c r="G387" s="1672" t="str">
        <f t="shared" si="99"/>
        <v>0</v>
      </c>
      <c r="H387" s="1628"/>
      <c r="I387" s="1627"/>
      <c r="J387" s="1627"/>
      <c r="K387" s="1627"/>
      <c r="L387" s="1627"/>
      <c r="M387" s="1629"/>
      <c r="N387" s="1627"/>
      <c r="O387" s="1627"/>
      <c r="P387" s="1627"/>
      <c r="Q387" s="1627"/>
      <c r="R387" s="1627"/>
      <c r="S387" s="1627"/>
      <c r="T387" s="1627"/>
      <c r="U387" s="1780"/>
      <c r="V387" s="1781" t="s">
        <v>1602</v>
      </c>
      <c r="W387" s="1782" t="s">
        <v>1306</v>
      </c>
      <c r="X387" s="1631">
        <v>2</v>
      </c>
      <c r="Y387" s="1633" t="s">
        <v>1306</v>
      </c>
      <c r="Z387" s="1640" t="s">
        <v>1552</v>
      </c>
      <c r="AA387" s="1783"/>
      <c r="AB387" s="1784"/>
      <c r="AC387" s="1698"/>
      <c r="AD387" s="1699"/>
      <c r="AE387" s="1698"/>
      <c r="AF387" s="1698"/>
      <c r="AG387" s="1637" t="str">
        <f t="shared" si="96"/>
        <v>階別用途別床面積-2-6階</v>
      </c>
      <c r="AH387" s="1637"/>
      <c r="AI387" s="1636"/>
      <c r="AJ387" s="1636"/>
      <c r="AK387" s="1636"/>
      <c r="AL387" s="1637"/>
      <c r="AM387" s="1637"/>
      <c r="AN387" s="1637"/>
      <c r="AO387" s="1637"/>
    </row>
    <row r="388" spans="1:41" s="1637" customFormat="1" ht="18.75" customHeight="1" x14ac:dyDescent="0.15">
      <c r="A388" s="1627"/>
      <c r="B388" s="1627"/>
      <c r="C388" s="1627"/>
      <c r="D388" s="1626">
        <f>'2_入力シート【用途面積】'!$I29</f>
        <v>0</v>
      </c>
      <c r="E388" s="1672">
        <f t="shared" si="97"/>
        <v>0</v>
      </c>
      <c r="F388" s="1672" t="str">
        <f t="shared" si="98"/>
        <v>0</v>
      </c>
      <c r="G388" s="1672" t="str">
        <f t="shared" si="99"/>
        <v>0</v>
      </c>
      <c r="H388" s="1628"/>
      <c r="I388" s="1627"/>
      <c r="J388" s="1627"/>
      <c r="K388" s="1627"/>
      <c r="L388" s="1627"/>
      <c r="M388" s="1629"/>
      <c r="N388" s="1627"/>
      <c r="O388" s="1627"/>
      <c r="P388" s="1627"/>
      <c r="Q388" s="1627"/>
      <c r="R388" s="1627"/>
      <c r="S388" s="1627"/>
      <c r="T388" s="1627"/>
      <c r="U388" s="1780"/>
      <c r="V388" s="1781" t="s">
        <v>1602</v>
      </c>
      <c r="W388" s="1782" t="s">
        <v>1306</v>
      </c>
      <c r="X388" s="1631">
        <v>2</v>
      </c>
      <c r="Y388" s="1633" t="s">
        <v>1306</v>
      </c>
      <c r="Z388" s="1640" t="s">
        <v>1553</v>
      </c>
      <c r="AA388" s="1783"/>
      <c r="AB388" s="1784"/>
      <c r="AC388" s="1698"/>
      <c r="AD388" s="1699"/>
      <c r="AE388" s="1636"/>
      <c r="AF388" s="1636"/>
      <c r="AG388" s="1637" t="str">
        <f t="shared" si="96"/>
        <v>階別用途別床面積-2-7階</v>
      </c>
      <c r="AI388" s="1636"/>
      <c r="AJ388" s="1636"/>
      <c r="AK388" s="1636"/>
    </row>
    <row r="389" spans="1:41" s="1637" customFormat="1" ht="18.75" customHeight="1" x14ac:dyDescent="0.15">
      <c r="A389" s="1627"/>
      <c r="B389" s="1627"/>
      <c r="C389" s="1627"/>
      <c r="D389" s="1626">
        <f>'2_入力シート【用途面積】'!$I30</f>
        <v>0</v>
      </c>
      <c r="E389" s="1672">
        <f t="shared" si="97"/>
        <v>0</v>
      </c>
      <c r="F389" s="1672" t="str">
        <f t="shared" si="98"/>
        <v>0</v>
      </c>
      <c r="G389" s="1672" t="str">
        <f t="shared" si="99"/>
        <v>0</v>
      </c>
      <c r="H389" s="1628"/>
      <c r="I389" s="1627"/>
      <c r="J389" s="1627"/>
      <c r="K389" s="1627"/>
      <c r="L389" s="1627"/>
      <c r="M389" s="1629"/>
      <c r="N389" s="1627"/>
      <c r="O389" s="1627"/>
      <c r="P389" s="1627"/>
      <c r="Q389" s="1627"/>
      <c r="R389" s="1627"/>
      <c r="S389" s="1627"/>
      <c r="T389" s="1627"/>
      <c r="U389" s="1780"/>
      <c r="V389" s="1781" t="s">
        <v>1602</v>
      </c>
      <c r="W389" s="1782" t="s">
        <v>1306</v>
      </c>
      <c r="X389" s="1631">
        <v>2</v>
      </c>
      <c r="Y389" s="1633" t="s">
        <v>1306</v>
      </c>
      <c r="Z389" s="1640" t="s">
        <v>1554</v>
      </c>
      <c r="AA389" s="1783"/>
      <c r="AB389" s="1784"/>
      <c r="AC389" s="1698"/>
      <c r="AD389" s="1699"/>
      <c r="AE389" s="1698"/>
      <c r="AF389" s="1698"/>
      <c r="AG389" s="1637" t="str">
        <f t="shared" si="96"/>
        <v>階別用途別床面積-2-8階</v>
      </c>
      <c r="AI389" s="1636"/>
      <c r="AJ389" s="1636"/>
      <c r="AK389" s="1636"/>
    </row>
    <row r="390" spans="1:41" s="1637" customFormat="1" ht="18.75" customHeight="1" x14ac:dyDescent="0.15">
      <c r="A390" s="1627"/>
      <c r="B390" s="1627"/>
      <c r="C390" s="1627"/>
      <c r="D390" s="1626">
        <f>'2_入力シート【用途面積】'!$I31</f>
        <v>0</v>
      </c>
      <c r="E390" s="1672">
        <f t="shared" si="97"/>
        <v>0</v>
      </c>
      <c r="F390" s="1672" t="str">
        <f t="shared" si="98"/>
        <v>0</v>
      </c>
      <c r="G390" s="1672" t="str">
        <f t="shared" si="99"/>
        <v>0</v>
      </c>
      <c r="H390" s="1628"/>
      <c r="I390" s="1627"/>
      <c r="J390" s="1627"/>
      <c r="K390" s="1627"/>
      <c r="L390" s="1627"/>
      <c r="M390" s="1629"/>
      <c r="N390" s="1627"/>
      <c r="O390" s="1627"/>
      <c r="P390" s="1627"/>
      <c r="Q390" s="1627"/>
      <c r="R390" s="1627"/>
      <c r="S390" s="1627"/>
      <c r="T390" s="1627"/>
      <c r="U390" s="1780"/>
      <c r="V390" s="1781" t="s">
        <v>1602</v>
      </c>
      <c r="W390" s="1782" t="s">
        <v>1306</v>
      </c>
      <c r="X390" s="1631">
        <v>2</v>
      </c>
      <c r="Y390" s="1633" t="s">
        <v>1306</v>
      </c>
      <c r="Z390" s="1640" t="s">
        <v>1555</v>
      </c>
      <c r="AA390" s="1783"/>
      <c r="AB390" s="1787"/>
      <c r="AC390" s="1698"/>
      <c r="AD390" s="1699"/>
      <c r="AE390" s="1698"/>
      <c r="AF390" s="1698"/>
      <c r="AG390" s="1637" t="str">
        <f t="shared" si="96"/>
        <v>階別用途別床面積-2-9階</v>
      </c>
      <c r="AI390" s="1636"/>
      <c r="AJ390" s="1636"/>
      <c r="AK390" s="1636"/>
    </row>
    <row r="391" spans="1:41" s="1637" customFormat="1" ht="18.75" customHeight="1" x14ac:dyDescent="0.15">
      <c r="A391" s="1627"/>
      <c r="B391" s="1627"/>
      <c r="C391" s="1627"/>
      <c r="D391" s="1626">
        <f>'2_入力シート【用途面積】'!$I32</f>
        <v>0</v>
      </c>
      <c r="E391" s="1672">
        <f t="shared" si="97"/>
        <v>0</v>
      </c>
      <c r="F391" s="1672" t="str">
        <f t="shared" si="98"/>
        <v>0</v>
      </c>
      <c r="G391" s="1672" t="str">
        <f t="shared" si="99"/>
        <v>0</v>
      </c>
      <c r="H391" s="1628"/>
      <c r="I391" s="1627"/>
      <c r="J391" s="1627"/>
      <c r="K391" s="1627"/>
      <c r="L391" s="1627"/>
      <c r="M391" s="1629"/>
      <c r="N391" s="1627"/>
      <c r="O391" s="1627"/>
      <c r="P391" s="1627"/>
      <c r="Q391" s="1627"/>
      <c r="R391" s="1627"/>
      <c r="S391" s="1627"/>
      <c r="T391" s="1627"/>
      <c r="U391" s="1780"/>
      <c r="V391" s="1781" t="s">
        <v>1602</v>
      </c>
      <c r="W391" s="1782" t="s">
        <v>1306</v>
      </c>
      <c r="X391" s="1631">
        <v>2</v>
      </c>
      <c r="Y391" s="1633" t="s">
        <v>1306</v>
      </c>
      <c r="Z391" s="1640" t="s">
        <v>1556</v>
      </c>
      <c r="AA391" s="1783"/>
      <c r="AB391" s="1787"/>
      <c r="AC391" s="1698"/>
      <c r="AD391" s="1699"/>
      <c r="AE391" s="1698"/>
      <c r="AF391" s="1698"/>
      <c r="AG391" s="1637" t="str">
        <f t="shared" si="96"/>
        <v>階別用途別床面積-2-10階</v>
      </c>
      <c r="AI391" s="1636"/>
      <c r="AJ391" s="1636"/>
      <c r="AK391" s="1636"/>
    </row>
    <row r="392" spans="1:41" s="1637" customFormat="1" ht="18.75" customHeight="1" x14ac:dyDescent="0.15">
      <c r="A392" s="1627"/>
      <c r="B392" s="1627"/>
      <c r="C392" s="1627"/>
      <c r="D392" s="1626">
        <f>'2_入力シート【用途面積】'!$I33</f>
        <v>0</v>
      </c>
      <c r="E392" s="1672">
        <f t="shared" si="97"/>
        <v>0</v>
      </c>
      <c r="F392" s="1672" t="str">
        <f t="shared" si="98"/>
        <v>0</v>
      </c>
      <c r="G392" s="1672" t="str">
        <f t="shared" si="99"/>
        <v>0</v>
      </c>
      <c r="H392" s="1628"/>
      <c r="I392" s="1627"/>
      <c r="J392" s="1627"/>
      <c r="K392" s="1627"/>
      <c r="L392" s="1627"/>
      <c r="M392" s="1629"/>
      <c r="N392" s="1627"/>
      <c r="O392" s="1627"/>
      <c r="P392" s="1627"/>
      <c r="Q392" s="1627"/>
      <c r="R392" s="1627"/>
      <c r="S392" s="1627"/>
      <c r="T392" s="1627"/>
      <c r="U392" s="1780"/>
      <c r="V392" s="1781" t="s">
        <v>1602</v>
      </c>
      <c r="W392" s="1782" t="s">
        <v>1306</v>
      </c>
      <c r="X392" s="1631">
        <v>2</v>
      </c>
      <c r="Y392" s="1633" t="s">
        <v>1306</v>
      </c>
      <c r="Z392" s="1640" t="s">
        <v>1557</v>
      </c>
      <c r="AA392" s="1783"/>
      <c r="AB392" s="1787"/>
      <c r="AC392" s="1698"/>
      <c r="AD392" s="1699"/>
      <c r="AE392" s="1698"/>
      <c r="AF392" s="1698"/>
      <c r="AG392" s="1637" t="str">
        <f t="shared" ref="AG392:AG456" si="101">CONCATENATE(U392,V392,W392,X392,Y392,Z392,AA392,AB392,AC392,AD392)</f>
        <v>階別用途別床面積-2-11階</v>
      </c>
      <c r="AI392" s="1636"/>
      <c r="AJ392" s="1636"/>
      <c r="AK392" s="1636"/>
    </row>
    <row r="393" spans="1:41" s="1637" customFormat="1" ht="18.75" customHeight="1" x14ac:dyDescent="0.15">
      <c r="A393" s="1627"/>
      <c r="B393" s="1627"/>
      <c r="C393" s="1627"/>
      <c r="D393" s="1626">
        <f>'2_入力シート【用途面積】'!$I34</f>
        <v>0</v>
      </c>
      <c r="E393" s="1672">
        <f t="shared" si="97"/>
        <v>0</v>
      </c>
      <c r="F393" s="1672" t="str">
        <f t="shared" si="98"/>
        <v>0</v>
      </c>
      <c r="G393" s="1672" t="str">
        <f t="shared" si="99"/>
        <v>0</v>
      </c>
      <c r="H393" s="1628"/>
      <c r="I393" s="1627"/>
      <c r="J393" s="1627"/>
      <c r="K393" s="1627"/>
      <c r="L393" s="1627"/>
      <c r="M393" s="1629"/>
      <c r="N393" s="1627"/>
      <c r="O393" s="1627"/>
      <c r="P393" s="1627"/>
      <c r="Q393" s="1627"/>
      <c r="R393" s="1627"/>
      <c r="S393" s="1627"/>
      <c r="T393" s="1627"/>
      <c r="U393" s="1780"/>
      <c r="V393" s="1781" t="s">
        <v>1602</v>
      </c>
      <c r="W393" s="1782" t="s">
        <v>1306</v>
      </c>
      <c r="X393" s="1631">
        <v>2</v>
      </c>
      <c r="Y393" s="1633" t="s">
        <v>1306</v>
      </c>
      <c r="Z393" s="1640" t="s">
        <v>1558</v>
      </c>
      <c r="AA393" s="1783"/>
      <c r="AB393" s="1784"/>
      <c r="AC393" s="1636"/>
      <c r="AD393" s="1785"/>
      <c r="AE393" s="1698"/>
      <c r="AF393" s="1698"/>
      <c r="AG393" s="1637" t="str">
        <f t="shared" si="101"/>
        <v>階別用途別床面積-2-12階</v>
      </c>
      <c r="AI393" s="1636"/>
      <c r="AJ393" s="1636"/>
      <c r="AK393" s="1636"/>
    </row>
    <row r="394" spans="1:41" s="1637" customFormat="1" ht="18.75" customHeight="1" x14ac:dyDescent="0.15">
      <c r="A394" s="1627"/>
      <c r="B394" s="1627"/>
      <c r="C394" s="1627"/>
      <c r="D394" s="1626">
        <f>'2_入力シート【用途面積】'!$I35</f>
        <v>0</v>
      </c>
      <c r="E394" s="1672">
        <f t="shared" si="97"/>
        <v>0</v>
      </c>
      <c r="F394" s="1672" t="str">
        <f t="shared" si="98"/>
        <v>0</v>
      </c>
      <c r="G394" s="1672" t="str">
        <f t="shared" si="99"/>
        <v>0</v>
      </c>
      <c r="H394" s="1628"/>
      <c r="I394" s="1627"/>
      <c r="J394" s="1627"/>
      <c r="K394" s="1627"/>
      <c r="L394" s="1627"/>
      <c r="M394" s="1629"/>
      <c r="N394" s="1627"/>
      <c r="O394" s="1627"/>
      <c r="P394" s="1627"/>
      <c r="Q394" s="1627"/>
      <c r="R394" s="1627"/>
      <c r="S394" s="1627"/>
      <c r="T394" s="1627"/>
      <c r="U394" s="1780"/>
      <c r="V394" s="1781" t="s">
        <v>1602</v>
      </c>
      <c r="W394" s="1782" t="s">
        <v>1306</v>
      </c>
      <c r="X394" s="1631">
        <v>2</v>
      </c>
      <c r="Y394" s="1633" t="s">
        <v>1306</v>
      </c>
      <c r="Z394" s="1640" t="s">
        <v>1559</v>
      </c>
      <c r="AA394" s="1783"/>
      <c r="AB394" s="1784"/>
      <c r="AC394" s="1698"/>
      <c r="AD394" s="1699"/>
      <c r="AE394" s="1698"/>
      <c r="AF394" s="1698"/>
      <c r="AG394" s="1637" t="str">
        <f t="shared" si="101"/>
        <v>階別用途別床面積-2-13階</v>
      </c>
      <c r="AI394" s="1636"/>
      <c r="AJ394" s="1636"/>
      <c r="AK394" s="1636"/>
    </row>
    <row r="395" spans="1:41" s="1637" customFormat="1" ht="18.75" customHeight="1" x14ac:dyDescent="0.15">
      <c r="A395" s="1627"/>
      <c r="B395" s="1627"/>
      <c r="C395" s="1627"/>
      <c r="D395" s="1626">
        <f>'2_入力シート【用途面積】'!$I36</f>
        <v>0</v>
      </c>
      <c r="E395" s="1672">
        <f t="shared" si="97"/>
        <v>0</v>
      </c>
      <c r="F395" s="1672" t="str">
        <f t="shared" si="98"/>
        <v>0</v>
      </c>
      <c r="G395" s="1672" t="str">
        <f t="shared" si="99"/>
        <v>0</v>
      </c>
      <c r="H395" s="1628"/>
      <c r="I395" s="1627"/>
      <c r="J395" s="1627"/>
      <c r="K395" s="1627"/>
      <c r="L395" s="1627"/>
      <c r="M395" s="1629"/>
      <c r="N395" s="1627"/>
      <c r="O395" s="1627"/>
      <c r="P395" s="1627"/>
      <c r="Q395" s="1627"/>
      <c r="R395" s="1627"/>
      <c r="S395" s="1627"/>
      <c r="T395" s="1627"/>
      <c r="U395" s="1780"/>
      <c r="V395" s="1781" t="s">
        <v>1602</v>
      </c>
      <c r="W395" s="1782" t="s">
        <v>1306</v>
      </c>
      <c r="X395" s="1631">
        <v>2</v>
      </c>
      <c r="Y395" s="1633" t="s">
        <v>1306</v>
      </c>
      <c r="Z395" s="1640" t="s">
        <v>1560</v>
      </c>
      <c r="AA395" s="1783"/>
      <c r="AB395" s="1784"/>
      <c r="AC395" s="1698"/>
      <c r="AD395" s="1699"/>
      <c r="AE395" s="1698"/>
      <c r="AF395" s="1698"/>
      <c r="AG395" s="1637" t="str">
        <f t="shared" si="101"/>
        <v>階別用途別床面積-2-14階</v>
      </c>
      <c r="AI395" s="1636"/>
      <c r="AJ395" s="1636"/>
      <c r="AK395" s="1636"/>
    </row>
    <row r="396" spans="1:41" s="1637" customFormat="1" ht="18.75" customHeight="1" x14ac:dyDescent="0.15">
      <c r="A396" s="1627"/>
      <c r="B396" s="1627"/>
      <c r="C396" s="1627"/>
      <c r="D396" s="1626">
        <f>'2_入力シート【用途面積】'!$I37</f>
        <v>0</v>
      </c>
      <c r="E396" s="1672">
        <f t="shared" si="97"/>
        <v>0</v>
      </c>
      <c r="F396" s="1672" t="str">
        <f t="shared" si="98"/>
        <v>0</v>
      </c>
      <c r="G396" s="1672" t="str">
        <f t="shared" si="99"/>
        <v>0</v>
      </c>
      <c r="H396" s="1628"/>
      <c r="I396" s="1627"/>
      <c r="J396" s="1627"/>
      <c r="K396" s="1627"/>
      <c r="L396" s="1627"/>
      <c r="M396" s="1629"/>
      <c r="N396" s="1627"/>
      <c r="O396" s="1627"/>
      <c r="P396" s="1627"/>
      <c r="Q396" s="1627"/>
      <c r="R396" s="1627"/>
      <c r="S396" s="1627"/>
      <c r="T396" s="1627"/>
      <c r="U396" s="1780"/>
      <c r="V396" s="1781" t="s">
        <v>1602</v>
      </c>
      <c r="W396" s="1782" t="s">
        <v>1306</v>
      </c>
      <c r="X396" s="1631">
        <v>2</v>
      </c>
      <c r="Y396" s="1633" t="s">
        <v>1306</v>
      </c>
      <c r="Z396" s="1640" t="s">
        <v>1561</v>
      </c>
      <c r="AA396" s="1783"/>
      <c r="AB396" s="1784"/>
      <c r="AC396" s="1698"/>
      <c r="AD396" s="1699"/>
      <c r="AE396" s="1636"/>
      <c r="AF396" s="1636"/>
      <c r="AG396" s="1637" t="str">
        <f t="shared" si="101"/>
        <v>階別用途別床面積-2-15階</v>
      </c>
      <c r="AI396" s="1636"/>
      <c r="AJ396" s="1636"/>
      <c r="AK396" s="1636"/>
    </row>
    <row r="397" spans="1:41" s="1637" customFormat="1" ht="18.75" customHeight="1" x14ac:dyDescent="0.15">
      <c r="A397" s="1627"/>
      <c r="B397" s="1627"/>
      <c r="C397" s="1627"/>
      <c r="D397" s="1626">
        <f>'2_入力シート【用途面積】'!$I38</f>
        <v>0</v>
      </c>
      <c r="E397" s="1672">
        <f t="shared" si="97"/>
        <v>0</v>
      </c>
      <c r="F397" s="1672" t="str">
        <f t="shared" si="98"/>
        <v>0</v>
      </c>
      <c r="G397" s="1672" t="str">
        <f t="shared" si="99"/>
        <v>0</v>
      </c>
      <c r="H397" s="1628"/>
      <c r="I397" s="1627"/>
      <c r="J397" s="1627"/>
      <c r="K397" s="1627"/>
      <c r="L397" s="1627"/>
      <c r="M397" s="1629"/>
      <c r="N397" s="1627"/>
      <c r="O397" s="1627"/>
      <c r="P397" s="1627"/>
      <c r="Q397" s="1627"/>
      <c r="R397" s="1627"/>
      <c r="S397" s="1627"/>
      <c r="T397" s="1627"/>
      <c r="U397" s="1780"/>
      <c r="V397" s="1781" t="s">
        <v>1602</v>
      </c>
      <c r="W397" s="1782" t="s">
        <v>1306</v>
      </c>
      <c r="X397" s="1631">
        <v>2</v>
      </c>
      <c r="Y397" s="1633" t="s">
        <v>1306</v>
      </c>
      <c r="Z397" s="1640" t="s">
        <v>1562</v>
      </c>
      <c r="AA397" s="1783"/>
      <c r="AB397" s="1784"/>
      <c r="AC397" s="1698"/>
      <c r="AD397" s="1699"/>
      <c r="AE397" s="1698"/>
      <c r="AF397" s="1698"/>
      <c r="AG397" s="1637" t="str">
        <f t="shared" si="101"/>
        <v>階別用途別床面積-2-16階</v>
      </c>
      <c r="AI397" s="1636"/>
      <c r="AJ397" s="1636"/>
      <c r="AK397" s="1636"/>
    </row>
    <row r="398" spans="1:41" s="1637" customFormat="1" ht="18.75" customHeight="1" x14ac:dyDescent="0.15">
      <c r="A398" s="1627"/>
      <c r="B398" s="1627"/>
      <c r="C398" s="1627"/>
      <c r="D398" s="1626">
        <f>'2_入力シート【用途面積】'!$I39</f>
        <v>0</v>
      </c>
      <c r="E398" s="1672">
        <f t="shared" si="97"/>
        <v>0</v>
      </c>
      <c r="F398" s="1672" t="str">
        <f t="shared" si="98"/>
        <v>0</v>
      </c>
      <c r="G398" s="1672" t="str">
        <f t="shared" si="99"/>
        <v>0</v>
      </c>
      <c r="H398" s="1628"/>
      <c r="I398" s="1627"/>
      <c r="J398" s="1627"/>
      <c r="K398" s="1627"/>
      <c r="L398" s="1627"/>
      <c r="M398" s="1629"/>
      <c r="N398" s="1627"/>
      <c r="O398" s="1627"/>
      <c r="P398" s="1627"/>
      <c r="Q398" s="1627"/>
      <c r="R398" s="1627"/>
      <c r="S398" s="1627"/>
      <c r="T398" s="1627"/>
      <c r="U398" s="1780"/>
      <c r="V398" s="1781" t="s">
        <v>1602</v>
      </c>
      <c r="W398" s="1782" t="s">
        <v>1306</v>
      </c>
      <c r="X398" s="1631">
        <v>2</v>
      </c>
      <c r="Y398" s="1633" t="s">
        <v>1306</v>
      </c>
      <c r="Z398" s="1640" t="s">
        <v>1563</v>
      </c>
      <c r="AA398" s="1783"/>
      <c r="AB398" s="1787"/>
      <c r="AC398" s="1698"/>
      <c r="AD398" s="1699"/>
      <c r="AE398" s="1698"/>
      <c r="AF398" s="1698"/>
      <c r="AG398" s="1637" t="str">
        <f t="shared" si="101"/>
        <v>階別用途別床面積-2-17階</v>
      </c>
      <c r="AI398" s="1636"/>
      <c r="AJ398" s="1636"/>
      <c r="AK398" s="1636"/>
    </row>
    <row r="399" spans="1:41" s="1637" customFormat="1" ht="18.75" customHeight="1" x14ac:dyDescent="0.15">
      <c r="A399" s="1627"/>
      <c r="B399" s="1627"/>
      <c r="C399" s="1627"/>
      <c r="D399" s="1626">
        <f>'2_入力シート【用途面積】'!$I40</f>
        <v>0</v>
      </c>
      <c r="E399" s="1672">
        <f t="shared" si="97"/>
        <v>0</v>
      </c>
      <c r="F399" s="1672" t="str">
        <f t="shared" si="98"/>
        <v>0</v>
      </c>
      <c r="G399" s="1672" t="str">
        <f t="shared" si="99"/>
        <v>0</v>
      </c>
      <c r="H399" s="1628"/>
      <c r="I399" s="1627"/>
      <c r="J399" s="1627"/>
      <c r="K399" s="1627"/>
      <c r="L399" s="1627"/>
      <c r="M399" s="1629"/>
      <c r="N399" s="1627"/>
      <c r="O399" s="1627"/>
      <c r="P399" s="1627"/>
      <c r="Q399" s="1627"/>
      <c r="R399" s="1627"/>
      <c r="S399" s="1627"/>
      <c r="T399" s="1627"/>
      <c r="U399" s="1780"/>
      <c r="V399" s="1781" t="s">
        <v>1602</v>
      </c>
      <c r="W399" s="1782" t="s">
        <v>1306</v>
      </c>
      <c r="X399" s="1631">
        <v>2</v>
      </c>
      <c r="Y399" s="1633" t="s">
        <v>1306</v>
      </c>
      <c r="Z399" s="1640" t="s">
        <v>1564</v>
      </c>
      <c r="AA399" s="1783"/>
      <c r="AB399" s="1787"/>
      <c r="AC399" s="1698"/>
      <c r="AD399" s="1699"/>
      <c r="AE399" s="1698"/>
      <c r="AF399" s="1698"/>
      <c r="AG399" s="1637" t="str">
        <f t="shared" si="101"/>
        <v>階別用途別床面積-2-18階</v>
      </c>
      <c r="AI399" s="1636"/>
      <c r="AJ399" s="1636"/>
      <c r="AK399" s="1636"/>
    </row>
    <row r="400" spans="1:41" s="1637" customFormat="1" ht="18.75" customHeight="1" x14ac:dyDescent="0.15">
      <c r="A400" s="1627"/>
      <c r="B400" s="1627"/>
      <c r="C400" s="1627"/>
      <c r="D400" s="1626">
        <f>'2_入力シート【用途面積】'!$I41</f>
        <v>0</v>
      </c>
      <c r="E400" s="1672">
        <f t="shared" si="97"/>
        <v>0</v>
      </c>
      <c r="F400" s="1672" t="str">
        <f t="shared" si="98"/>
        <v>0</v>
      </c>
      <c r="G400" s="1672" t="str">
        <f t="shared" si="99"/>
        <v>0</v>
      </c>
      <c r="H400" s="1628"/>
      <c r="I400" s="1627"/>
      <c r="J400" s="1627"/>
      <c r="K400" s="1627"/>
      <c r="L400" s="1627"/>
      <c r="M400" s="1629"/>
      <c r="N400" s="1627"/>
      <c r="O400" s="1627"/>
      <c r="P400" s="1627"/>
      <c r="Q400" s="1627"/>
      <c r="R400" s="1627"/>
      <c r="S400" s="1627"/>
      <c r="T400" s="1627"/>
      <c r="U400" s="1780"/>
      <c r="V400" s="1781" t="s">
        <v>1602</v>
      </c>
      <c r="W400" s="1782" t="s">
        <v>1306</v>
      </c>
      <c r="X400" s="1631">
        <v>2</v>
      </c>
      <c r="Y400" s="1633" t="s">
        <v>1306</v>
      </c>
      <c r="Z400" s="1640" t="s">
        <v>1565</v>
      </c>
      <c r="AA400" s="1783"/>
      <c r="AB400" s="1787"/>
      <c r="AC400" s="1698"/>
      <c r="AD400" s="1699"/>
      <c r="AE400" s="1698"/>
      <c r="AF400" s="1698"/>
      <c r="AG400" s="1637" t="str">
        <f t="shared" si="101"/>
        <v>階別用途別床面積-2-19階</v>
      </c>
      <c r="AI400" s="1636"/>
      <c r="AJ400" s="1636"/>
      <c r="AK400" s="1636"/>
    </row>
    <row r="401" spans="1:37" s="1637" customFormat="1" ht="18.75" customHeight="1" x14ac:dyDescent="0.15">
      <c r="A401" s="1627"/>
      <c r="B401" s="1627"/>
      <c r="C401" s="1627"/>
      <c r="D401" s="1626">
        <f>'2_入力シート【用途面積】'!$I42</f>
        <v>0</v>
      </c>
      <c r="E401" s="1672">
        <f t="shared" si="97"/>
        <v>0</v>
      </c>
      <c r="F401" s="1672" t="str">
        <f t="shared" si="98"/>
        <v>0</v>
      </c>
      <c r="G401" s="1672" t="str">
        <f t="shared" si="99"/>
        <v>0</v>
      </c>
      <c r="H401" s="1628"/>
      <c r="I401" s="1627"/>
      <c r="J401" s="1627"/>
      <c r="K401" s="1627"/>
      <c r="L401" s="1627"/>
      <c r="M401" s="1629"/>
      <c r="N401" s="1627"/>
      <c r="O401" s="1627"/>
      <c r="P401" s="1627"/>
      <c r="Q401" s="1627"/>
      <c r="R401" s="1627"/>
      <c r="S401" s="1627"/>
      <c r="T401" s="1627"/>
      <c r="U401" s="1780"/>
      <c r="V401" s="1781" t="s">
        <v>1602</v>
      </c>
      <c r="W401" s="1782" t="s">
        <v>1306</v>
      </c>
      <c r="X401" s="1631">
        <v>2</v>
      </c>
      <c r="Y401" s="1633" t="s">
        <v>1306</v>
      </c>
      <c r="Z401" s="1640" t="s">
        <v>1566</v>
      </c>
      <c r="AA401" s="1783"/>
      <c r="AB401" s="1784"/>
      <c r="AC401" s="1636"/>
      <c r="AD401" s="1785"/>
      <c r="AE401" s="1698"/>
      <c r="AF401" s="1698"/>
      <c r="AG401" s="1637" t="str">
        <f t="shared" si="101"/>
        <v>階別用途別床面積-2-20階</v>
      </c>
      <c r="AI401" s="1636"/>
      <c r="AJ401" s="1636"/>
      <c r="AK401" s="1636"/>
    </row>
    <row r="402" spans="1:37" s="1637" customFormat="1" ht="18.75" customHeight="1" x14ac:dyDescent="0.15">
      <c r="A402" s="1627"/>
      <c r="B402" s="1627"/>
      <c r="C402" s="1627"/>
      <c r="D402" s="1626">
        <f>'2_入力シート【用途面積】'!$I43</f>
        <v>0</v>
      </c>
      <c r="E402" s="1672">
        <f t="shared" si="97"/>
        <v>0</v>
      </c>
      <c r="F402" s="1672" t="str">
        <f t="shared" si="98"/>
        <v>0</v>
      </c>
      <c r="G402" s="1672" t="str">
        <f t="shared" si="99"/>
        <v>0</v>
      </c>
      <c r="H402" s="1628"/>
      <c r="I402" s="1627"/>
      <c r="J402" s="1627"/>
      <c r="K402" s="1627"/>
      <c r="L402" s="1627"/>
      <c r="M402" s="1629"/>
      <c r="N402" s="1627"/>
      <c r="O402" s="1627"/>
      <c r="P402" s="1627"/>
      <c r="Q402" s="1627"/>
      <c r="R402" s="1627"/>
      <c r="S402" s="1627"/>
      <c r="T402" s="1627"/>
      <c r="U402" s="1780"/>
      <c r="V402" s="1781" t="s">
        <v>1602</v>
      </c>
      <c r="W402" s="1782" t="s">
        <v>1306</v>
      </c>
      <c r="X402" s="1631">
        <v>2</v>
      </c>
      <c r="Y402" s="1633" t="s">
        <v>1306</v>
      </c>
      <c r="Z402" s="1640" t="s">
        <v>1567</v>
      </c>
      <c r="AA402" s="1783"/>
      <c r="AB402" s="1784"/>
      <c r="AC402" s="1698"/>
      <c r="AD402" s="1699"/>
      <c r="AE402" s="1698"/>
      <c r="AF402" s="1698"/>
      <c r="AG402" s="1637" t="str">
        <f t="shared" si="101"/>
        <v>階別用途別床面積-2-21階</v>
      </c>
      <c r="AI402" s="1636"/>
      <c r="AJ402" s="1636"/>
      <c r="AK402" s="1636"/>
    </row>
    <row r="403" spans="1:37" s="1637" customFormat="1" ht="18.75" customHeight="1" x14ac:dyDescent="0.15">
      <c r="A403" s="1627"/>
      <c r="B403" s="1627"/>
      <c r="C403" s="1627"/>
      <c r="D403" s="1626">
        <f>'2_入力シート【用途面積】'!$I44</f>
        <v>0</v>
      </c>
      <c r="E403" s="1672">
        <f t="shared" si="97"/>
        <v>0</v>
      </c>
      <c r="F403" s="1672" t="str">
        <f t="shared" si="98"/>
        <v>0</v>
      </c>
      <c r="G403" s="1672" t="str">
        <f t="shared" si="99"/>
        <v>0</v>
      </c>
      <c r="H403" s="1628"/>
      <c r="I403" s="1627"/>
      <c r="J403" s="1627"/>
      <c r="K403" s="1627"/>
      <c r="L403" s="1627"/>
      <c r="M403" s="1629"/>
      <c r="N403" s="1627"/>
      <c r="O403" s="1627"/>
      <c r="P403" s="1627"/>
      <c r="Q403" s="1627"/>
      <c r="R403" s="1627"/>
      <c r="S403" s="1627"/>
      <c r="T403" s="1627"/>
      <c r="U403" s="1780"/>
      <c r="V403" s="1781" t="s">
        <v>1602</v>
      </c>
      <c r="W403" s="1782" t="s">
        <v>1306</v>
      </c>
      <c r="X403" s="1631">
        <v>2</v>
      </c>
      <c r="Y403" s="1633" t="s">
        <v>1306</v>
      </c>
      <c r="Z403" s="1640" t="s">
        <v>1568</v>
      </c>
      <c r="AA403" s="1783"/>
      <c r="AB403" s="1784"/>
      <c r="AC403" s="1698"/>
      <c r="AD403" s="1699"/>
      <c r="AE403" s="1698"/>
      <c r="AF403" s="1698"/>
      <c r="AG403" s="1637" t="str">
        <f t="shared" si="101"/>
        <v>階別用途別床面積-2-22階</v>
      </c>
      <c r="AI403" s="1636"/>
      <c r="AJ403" s="1636"/>
      <c r="AK403" s="1636"/>
    </row>
    <row r="404" spans="1:37" s="1637" customFormat="1" ht="18.75" customHeight="1" x14ac:dyDescent="0.15">
      <c r="A404" s="1627"/>
      <c r="B404" s="1627"/>
      <c r="C404" s="1627"/>
      <c r="D404" s="1626">
        <f>'2_入力シート【用途面積】'!$I45</f>
        <v>0</v>
      </c>
      <c r="E404" s="1672">
        <f t="shared" si="97"/>
        <v>0</v>
      </c>
      <c r="F404" s="1672" t="str">
        <f t="shared" si="98"/>
        <v>0</v>
      </c>
      <c r="G404" s="1672" t="str">
        <f t="shared" si="99"/>
        <v>0</v>
      </c>
      <c r="H404" s="1628"/>
      <c r="I404" s="1627"/>
      <c r="J404" s="1627"/>
      <c r="K404" s="1627"/>
      <c r="L404" s="1627"/>
      <c r="M404" s="1629"/>
      <c r="N404" s="1627"/>
      <c r="O404" s="1627"/>
      <c r="P404" s="1627"/>
      <c r="Q404" s="1627"/>
      <c r="R404" s="1627"/>
      <c r="S404" s="1627"/>
      <c r="T404" s="1627"/>
      <c r="U404" s="1780"/>
      <c r="V404" s="1781" t="s">
        <v>1602</v>
      </c>
      <c r="W404" s="1782" t="s">
        <v>1306</v>
      </c>
      <c r="X404" s="1631">
        <v>2</v>
      </c>
      <c r="Y404" s="1633" t="s">
        <v>1306</v>
      </c>
      <c r="Z404" s="1640" t="s">
        <v>1569</v>
      </c>
      <c r="AA404" s="1783"/>
      <c r="AB404" s="1784"/>
      <c r="AC404" s="1698"/>
      <c r="AD404" s="1699"/>
      <c r="AE404" s="1636"/>
      <c r="AF404" s="1636"/>
      <c r="AG404" s="1637" t="str">
        <f t="shared" si="101"/>
        <v>階別用途別床面積-2-23階</v>
      </c>
      <c r="AI404" s="1636"/>
      <c r="AJ404" s="1636"/>
      <c r="AK404" s="1636"/>
    </row>
    <row r="405" spans="1:37" s="1637" customFormat="1" ht="18.75" customHeight="1" x14ac:dyDescent="0.15">
      <c r="A405" s="1627"/>
      <c r="B405" s="1627"/>
      <c r="C405" s="1627"/>
      <c r="D405" s="1626">
        <f>'2_入力シート【用途面積】'!$I46</f>
        <v>0</v>
      </c>
      <c r="E405" s="1672">
        <f t="shared" si="97"/>
        <v>0</v>
      </c>
      <c r="F405" s="1672" t="str">
        <f t="shared" si="98"/>
        <v>0</v>
      </c>
      <c r="G405" s="1672" t="str">
        <f t="shared" si="99"/>
        <v>0</v>
      </c>
      <c r="H405" s="1628"/>
      <c r="I405" s="1627"/>
      <c r="J405" s="1627"/>
      <c r="K405" s="1627"/>
      <c r="L405" s="1627"/>
      <c r="M405" s="1629"/>
      <c r="N405" s="1627"/>
      <c r="O405" s="1627"/>
      <c r="P405" s="1627"/>
      <c r="Q405" s="1627"/>
      <c r="R405" s="1627"/>
      <c r="S405" s="1627"/>
      <c r="T405" s="1627"/>
      <c r="U405" s="1780"/>
      <c r="V405" s="1781" t="s">
        <v>1602</v>
      </c>
      <c r="W405" s="1782" t="s">
        <v>1306</v>
      </c>
      <c r="X405" s="1631">
        <v>2</v>
      </c>
      <c r="Y405" s="1633" t="s">
        <v>1306</v>
      </c>
      <c r="Z405" s="1640" t="s">
        <v>1570</v>
      </c>
      <c r="AA405" s="1783"/>
      <c r="AB405" s="1784"/>
      <c r="AC405" s="1698"/>
      <c r="AD405" s="1699"/>
      <c r="AE405" s="1698"/>
      <c r="AF405" s="1698"/>
      <c r="AG405" s="1637" t="str">
        <f t="shared" si="101"/>
        <v>階別用途別床面積-2-24階</v>
      </c>
      <c r="AI405" s="1636"/>
      <c r="AJ405" s="1636"/>
      <c r="AK405" s="1636"/>
    </row>
    <row r="406" spans="1:37" s="1637" customFormat="1" ht="18.75" customHeight="1" x14ac:dyDescent="0.15">
      <c r="A406" s="1627"/>
      <c r="B406" s="1627"/>
      <c r="C406" s="1627"/>
      <c r="D406" s="1626">
        <f>'2_入力シート【用途面積】'!$I47</f>
        <v>0</v>
      </c>
      <c r="E406" s="1672">
        <f t="shared" si="97"/>
        <v>0</v>
      </c>
      <c r="F406" s="1672" t="str">
        <f t="shared" si="98"/>
        <v>0</v>
      </c>
      <c r="G406" s="1672" t="str">
        <f t="shared" si="99"/>
        <v>0</v>
      </c>
      <c r="H406" s="1628"/>
      <c r="I406" s="1627"/>
      <c r="J406" s="1627"/>
      <c r="K406" s="1627"/>
      <c r="L406" s="1627"/>
      <c r="M406" s="1629"/>
      <c r="N406" s="1627"/>
      <c r="O406" s="1627"/>
      <c r="P406" s="1627"/>
      <c r="Q406" s="1627"/>
      <c r="R406" s="1627"/>
      <c r="S406" s="1627"/>
      <c r="T406" s="1627"/>
      <c r="U406" s="1780"/>
      <c r="V406" s="1781" t="s">
        <v>1602</v>
      </c>
      <c r="W406" s="1782" t="s">
        <v>1306</v>
      </c>
      <c r="X406" s="1631">
        <v>2</v>
      </c>
      <c r="Y406" s="1633" t="s">
        <v>1306</v>
      </c>
      <c r="Z406" s="1640" t="s">
        <v>1571</v>
      </c>
      <c r="AA406" s="1783"/>
      <c r="AB406" s="1787"/>
      <c r="AC406" s="1698"/>
      <c r="AD406" s="1699"/>
      <c r="AE406" s="1698"/>
      <c r="AF406" s="1698"/>
      <c r="AG406" s="1637" t="str">
        <f t="shared" si="101"/>
        <v>階別用途別床面積-2-25階</v>
      </c>
      <c r="AI406" s="1636"/>
      <c r="AJ406" s="1636"/>
      <c r="AK406" s="1636"/>
    </row>
    <row r="407" spans="1:37" s="1637" customFormat="1" ht="18.75" customHeight="1" x14ac:dyDescent="0.15">
      <c r="A407" s="1627"/>
      <c r="B407" s="1627"/>
      <c r="C407" s="1627"/>
      <c r="D407" s="1626">
        <f>'2_入力シート【用途面積】'!$I48</f>
        <v>0</v>
      </c>
      <c r="E407" s="1672">
        <f t="shared" si="97"/>
        <v>0</v>
      </c>
      <c r="F407" s="1672" t="str">
        <f t="shared" si="98"/>
        <v>0</v>
      </c>
      <c r="G407" s="1672" t="str">
        <f t="shared" si="99"/>
        <v>0</v>
      </c>
      <c r="H407" s="1628"/>
      <c r="I407" s="1627"/>
      <c r="J407" s="1627"/>
      <c r="K407" s="1627"/>
      <c r="L407" s="1627"/>
      <c r="M407" s="1629"/>
      <c r="N407" s="1627"/>
      <c r="O407" s="1627"/>
      <c r="P407" s="1627"/>
      <c r="Q407" s="1627"/>
      <c r="R407" s="1627"/>
      <c r="S407" s="1627"/>
      <c r="T407" s="1627"/>
      <c r="U407" s="1780"/>
      <c r="V407" s="1781" t="s">
        <v>1602</v>
      </c>
      <c r="W407" s="1782" t="s">
        <v>1306</v>
      </c>
      <c r="X407" s="1631">
        <v>2</v>
      </c>
      <c r="Y407" s="1633" t="s">
        <v>1306</v>
      </c>
      <c r="Z407" s="1640" t="s">
        <v>1572</v>
      </c>
      <c r="AA407" s="1783"/>
      <c r="AB407" s="1787"/>
      <c r="AC407" s="1698"/>
      <c r="AD407" s="1699"/>
      <c r="AE407" s="1698"/>
      <c r="AF407" s="1698"/>
      <c r="AG407" s="1637" t="str">
        <f t="shared" si="101"/>
        <v>階別用途別床面積-2-26階</v>
      </c>
      <c r="AI407" s="1636"/>
      <c r="AJ407" s="1636"/>
      <c r="AK407" s="1636"/>
    </row>
    <row r="408" spans="1:37" s="1637" customFormat="1" ht="18.75" customHeight="1" x14ac:dyDescent="0.15">
      <c r="A408" s="1627"/>
      <c r="B408" s="1627"/>
      <c r="C408" s="1627"/>
      <c r="D408" s="1626">
        <f>'2_入力シート【用途面積】'!$I49</f>
        <v>0</v>
      </c>
      <c r="E408" s="1672">
        <f t="shared" si="97"/>
        <v>0</v>
      </c>
      <c r="F408" s="1672" t="str">
        <f t="shared" si="98"/>
        <v>0</v>
      </c>
      <c r="G408" s="1672" t="str">
        <f t="shared" si="99"/>
        <v>0</v>
      </c>
      <c r="H408" s="1628"/>
      <c r="I408" s="1627"/>
      <c r="J408" s="1627"/>
      <c r="K408" s="1627"/>
      <c r="L408" s="1627"/>
      <c r="M408" s="1629"/>
      <c r="N408" s="1627"/>
      <c r="O408" s="1627"/>
      <c r="P408" s="1627"/>
      <c r="Q408" s="1627"/>
      <c r="R408" s="1627"/>
      <c r="S408" s="1627"/>
      <c r="T408" s="1627"/>
      <c r="U408" s="1780"/>
      <c r="V408" s="1781" t="s">
        <v>1602</v>
      </c>
      <c r="W408" s="1782" t="s">
        <v>1306</v>
      </c>
      <c r="X408" s="1631">
        <v>2</v>
      </c>
      <c r="Y408" s="1633" t="s">
        <v>1306</v>
      </c>
      <c r="Z408" s="1640" t="s">
        <v>1573</v>
      </c>
      <c r="AA408" s="1783"/>
      <c r="AB408" s="1787"/>
      <c r="AC408" s="1698"/>
      <c r="AD408" s="1699"/>
      <c r="AE408" s="1698"/>
      <c r="AF408" s="1698"/>
      <c r="AG408" s="1637" t="str">
        <f t="shared" si="101"/>
        <v>階別用途別床面積-2-27階</v>
      </c>
      <c r="AI408" s="1636"/>
      <c r="AJ408" s="1636"/>
      <c r="AK408" s="1636"/>
    </row>
    <row r="409" spans="1:37" s="1637" customFormat="1" ht="18.75" customHeight="1" x14ac:dyDescent="0.15">
      <c r="A409" s="1627"/>
      <c r="B409" s="1627"/>
      <c r="C409" s="1627"/>
      <c r="D409" s="1626">
        <f>'2_入力シート【用途面積】'!$I50</f>
        <v>0</v>
      </c>
      <c r="E409" s="1672">
        <f t="shared" si="97"/>
        <v>0</v>
      </c>
      <c r="F409" s="1672" t="str">
        <f t="shared" si="98"/>
        <v>0</v>
      </c>
      <c r="G409" s="1672" t="str">
        <f t="shared" si="99"/>
        <v>0</v>
      </c>
      <c r="H409" s="1628"/>
      <c r="I409" s="1627"/>
      <c r="J409" s="1627"/>
      <c r="K409" s="1627"/>
      <c r="L409" s="1627"/>
      <c r="M409" s="1629"/>
      <c r="N409" s="1627"/>
      <c r="O409" s="1627"/>
      <c r="P409" s="1627"/>
      <c r="Q409" s="1627"/>
      <c r="R409" s="1627"/>
      <c r="S409" s="1627"/>
      <c r="T409" s="1627"/>
      <c r="U409" s="1780"/>
      <c r="V409" s="1781" t="s">
        <v>1602</v>
      </c>
      <c r="W409" s="1782" t="s">
        <v>1306</v>
      </c>
      <c r="X409" s="1631">
        <v>2</v>
      </c>
      <c r="Y409" s="1633" t="s">
        <v>1306</v>
      </c>
      <c r="Z409" s="1640" t="s">
        <v>1574</v>
      </c>
      <c r="AA409" s="1783"/>
      <c r="AB409" s="1784"/>
      <c r="AC409" s="1636"/>
      <c r="AD409" s="1785"/>
      <c r="AE409" s="1698"/>
      <c r="AF409" s="1698"/>
      <c r="AG409" s="1637" t="str">
        <f t="shared" si="101"/>
        <v>階別用途別床面積-2-28階</v>
      </c>
      <c r="AI409" s="1636"/>
      <c r="AJ409" s="1636"/>
      <c r="AK409" s="1636"/>
    </row>
    <row r="410" spans="1:37" s="1637" customFormat="1" ht="18.75" customHeight="1" x14ac:dyDescent="0.15">
      <c r="A410" s="1627"/>
      <c r="B410" s="1627"/>
      <c r="C410" s="1627"/>
      <c r="D410" s="1626">
        <f>'2_入力シート【用途面積】'!$I51</f>
        <v>0</v>
      </c>
      <c r="E410" s="1672">
        <f t="shared" si="97"/>
        <v>0</v>
      </c>
      <c r="F410" s="1672" t="str">
        <f t="shared" si="98"/>
        <v>0</v>
      </c>
      <c r="G410" s="1672" t="str">
        <f t="shared" si="99"/>
        <v>0</v>
      </c>
      <c r="H410" s="1628"/>
      <c r="I410" s="1627"/>
      <c r="J410" s="1627"/>
      <c r="K410" s="1627"/>
      <c r="L410" s="1627"/>
      <c r="M410" s="1629"/>
      <c r="N410" s="1627"/>
      <c r="O410" s="1627"/>
      <c r="P410" s="1627"/>
      <c r="Q410" s="1627"/>
      <c r="R410" s="1627"/>
      <c r="S410" s="1627"/>
      <c r="T410" s="1627"/>
      <c r="U410" s="1780"/>
      <c r="V410" s="1781" t="s">
        <v>1602</v>
      </c>
      <c r="W410" s="1782" t="s">
        <v>1306</v>
      </c>
      <c r="X410" s="1631">
        <v>2</v>
      </c>
      <c r="Y410" s="1633" t="s">
        <v>1306</v>
      </c>
      <c r="Z410" s="1640" t="s">
        <v>1575</v>
      </c>
      <c r="AA410" s="1783"/>
      <c r="AB410" s="1784"/>
      <c r="AC410" s="1698"/>
      <c r="AD410" s="1699"/>
      <c r="AE410" s="1698"/>
      <c r="AF410" s="1698"/>
      <c r="AG410" s="1637" t="str">
        <f t="shared" si="101"/>
        <v>階別用途別床面積-2-29階</v>
      </c>
      <c r="AI410" s="1636"/>
      <c r="AJ410" s="1636"/>
      <c r="AK410" s="1636"/>
    </row>
    <row r="411" spans="1:37" s="1637" customFormat="1" ht="18.75" customHeight="1" x14ac:dyDescent="0.15">
      <c r="A411" s="1627"/>
      <c r="B411" s="1627"/>
      <c r="C411" s="1627"/>
      <c r="D411" s="1626">
        <f>'2_入力シート【用途面積】'!$I52</f>
        <v>0</v>
      </c>
      <c r="E411" s="1672">
        <f t="shared" si="97"/>
        <v>0</v>
      </c>
      <c r="F411" s="1672" t="str">
        <f t="shared" si="98"/>
        <v>0</v>
      </c>
      <c r="G411" s="1672" t="str">
        <f t="shared" si="99"/>
        <v>0</v>
      </c>
      <c r="H411" s="1628"/>
      <c r="I411" s="1627"/>
      <c r="J411" s="1627"/>
      <c r="K411" s="1627"/>
      <c r="L411" s="1627"/>
      <c r="M411" s="1629"/>
      <c r="N411" s="1627"/>
      <c r="O411" s="1627"/>
      <c r="P411" s="1627"/>
      <c r="Q411" s="1627"/>
      <c r="R411" s="1627"/>
      <c r="S411" s="1627"/>
      <c r="T411" s="1627"/>
      <c r="U411" s="1780"/>
      <c r="V411" s="1781" t="s">
        <v>1602</v>
      </c>
      <c r="W411" s="1782" t="s">
        <v>1306</v>
      </c>
      <c r="X411" s="1631">
        <v>2</v>
      </c>
      <c r="Y411" s="1633" t="s">
        <v>1306</v>
      </c>
      <c r="Z411" s="1640" t="s">
        <v>1576</v>
      </c>
      <c r="AA411" s="1783"/>
      <c r="AB411" s="1784"/>
      <c r="AC411" s="1698"/>
      <c r="AD411" s="1699"/>
      <c r="AE411" s="1698"/>
      <c r="AF411" s="1698"/>
      <c r="AG411" s="1637" t="str">
        <f t="shared" si="101"/>
        <v>階別用途別床面積-2-30階</v>
      </c>
      <c r="AI411" s="1636"/>
      <c r="AJ411" s="1636"/>
      <c r="AK411" s="1636"/>
    </row>
    <row r="412" spans="1:37" s="1637" customFormat="1" ht="18.75" customHeight="1" x14ac:dyDescent="0.15">
      <c r="A412" s="1627"/>
      <c r="B412" s="1627"/>
      <c r="C412" s="1627"/>
      <c r="D412" s="1626">
        <f>'2_入力シート【用途面積】'!$I53</f>
        <v>0</v>
      </c>
      <c r="E412" s="1672">
        <f t="shared" si="97"/>
        <v>0</v>
      </c>
      <c r="F412" s="1672" t="str">
        <f t="shared" si="98"/>
        <v>0</v>
      </c>
      <c r="G412" s="1672" t="str">
        <f t="shared" si="99"/>
        <v>0</v>
      </c>
      <c r="H412" s="1628"/>
      <c r="I412" s="1627"/>
      <c r="J412" s="1627"/>
      <c r="K412" s="1627"/>
      <c r="L412" s="1627"/>
      <c r="M412" s="1629"/>
      <c r="N412" s="1627"/>
      <c r="O412" s="1627"/>
      <c r="P412" s="1627"/>
      <c r="Q412" s="1627"/>
      <c r="R412" s="1627"/>
      <c r="S412" s="1627"/>
      <c r="T412" s="1627"/>
      <c r="U412" s="1780"/>
      <c r="V412" s="1781" t="s">
        <v>1602</v>
      </c>
      <c r="W412" s="1782" t="s">
        <v>1306</v>
      </c>
      <c r="X412" s="1631">
        <v>2</v>
      </c>
      <c r="Y412" s="1633" t="s">
        <v>1306</v>
      </c>
      <c r="Z412" s="1640" t="s">
        <v>1577</v>
      </c>
      <c r="AA412" s="1783"/>
      <c r="AB412" s="1784"/>
      <c r="AC412" s="1698"/>
      <c r="AD412" s="1699"/>
      <c r="AE412" s="1636"/>
      <c r="AF412" s="1636"/>
      <c r="AG412" s="1637" t="str">
        <f t="shared" si="101"/>
        <v>階別用途別床面積-2-31階</v>
      </c>
      <c r="AI412" s="1636"/>
      <c r="AJ412" s="1636"/>
      <c r="AK412" s="1636"/>
    </row>
    <row r="413" spans="1:37" s="1637" customFormat="1" ht="18.75" customHeight="1" x14ac:dyDescent="0.15">
      <c r="A413" s="1627"/>
      <c r="B413" s="1627"/>
      <c r="C413" s="1627"/>
      <c r="D413" s="1626">
        <f>'2_入力シート【用途面積】'!$I54</f>
        <v>0</v>
      </c>
      <c r="E413" s="1672">
        <f t="shared" si="97"/>
        <v>0</v>
      </c>
      <c r="F413" s="1672" t="str">
        <f t="shared" si="98"/>
        <v>0</v>
      </c>
      <c r="G413" s="1672" t="str">
        <f t="shared" si="99"/>
        <v>0</v>
      </c>
      <c r="H413" s="1628"/>
      <c r="I413" s="1627"/>
      <c r="J413" s="1627"/>
      <c r="K413" s="1627"/>
      <c r="L413" s="1627"/>
      <c r="M413" s="1629"/>
      <c r="N413" s="1627"/>
      <c r="O413" s="1627"/>
      <c r="P413" s="1627"/>
      <c r="Q413" s="1627"/>
      <c r="R413" s="1627"/>
      <c r="S413" s="1627"/>
      <c r="T413" s="1627"/>
      <c r="U413" s="1780"/>
      <c r="V413" s="1781" t="s">
        <v>1602</v>
      </c>
      <c r="W413" s="1782" t="s">
        <v>1306</v>
      </c>
      <c r="X413" s="1631">
        <v>2</v>
      </c>
      <c r="Y413" s="1633" t="s">
        <v>1306</v>
      </c>
      <c r="Z413" s="1640" t="s">
        <v>1578</v>
      </c>
      <c r="AA413" s="1783"/>
      <c r="AB413" s="1784"/>
      <c r="AC413" s="1698"/>
      <c r="AD413" s="1699"/>
      <c r="AE413" s="1698"/>
      <c r="AF413" s="1698"/>
      <c r="AG413" s="1637" t="str">
        <f t="shared" si="101"/>
        <v>階別用途別床面積-2-32階</v>
      </c>
      <c r="AI413" s="1636"/>
      <c r="AJ413" s="1636"/>
      <c r="AK413" s="1636"/>
    </row>
    <row r="414" spans="1:37" s="1637" customFormat="1" ht="18.75" customHeight="1" x14ac:dyDescent="0.15">
      <c r="A414" s="1627"/>
      <c r="B414" s="1627"/>
      <c r="C414" s="1627"/>
      <c r="D414" s="1626">
        <f>'2_入力シート【用途面積】'!$I55</f>
        <v>0</v>
      </c>
      <c r="E414" s="1672">
        <f t="shared" si="97"/>
        <v>0</v>
      </c>
      <c r="F414" s="1672" t="str">
        <f t="shared" si="98"/>
        <v>0</v>
      </c>
      <c r="G414" s="1672" t="str">
        <f t="shared" si="99"/>
        <v>0</v>
      </c>
      <c r="H414" s="1628"/>
      <c r="I414" s="1627"/>
      <c r="J414" s="1627"/>
      <c r="K414" s="1627"/>
      <c r="L414" s="1627"/>
      <c r="M414" s="1629"/>
      <c r="N414" s="1627"/>
      <c r="O414" s="1627"/>
      <c r="P414" s="1627"/>
      <c r="Q414" s="1627"/>
      <c r="R414" s="1627"/>
      <c r="S414" s="1627"/>
      <c r="T414" s="1627"/>
      <c r="U414" s="1780"/>
      <c r="V414" s="1781" t="s">
        <v>1602</v>
      </c>
      <c r="W414" s="1782" t="s">
        <v>1306</v>
      </c>
      <c r="X414" s="1631">
        <v>2</v>
      </c>
      <c r="Y414" s="1633" t="s">
        <v>1306</v>
      </c>
      <c r="Z414" s="1640" t="s">
        <v>1579</v>
      </c>
      <c r="AA414" s="1783"/>
      <c r="AB414" s="1787"/>
      <c r="AC414" s="1698"/>
      <c r="AD414" s="1699"/>
      <c r="AE414" s="1698"/>
      <c r="AF414" s="1698"/>
      <c r="AG414" s="1637" t="str">
        <f t="shared" si="101"/>
        <v>階別用途別床面積-2-33階</v>
      </c>
      <c r="AI414" s="1636"/>
      <c r="AJ414" s="1636"/>
      <c r="AK414" s="1636"/>
    </row>
    <row r="415" spans="1:37" s="1637" customFormat="1" ht="18.75" customHeight="1" x14ac:dyDescent="0.15">
      <c r="A415" s="1627"/>
      <c r="B415" s="1627"/>
      <c r="C415" s="1627"/>
      <c r="D415" s="1626">
        <f>'2_入力シート【用途面積】'!$I56</f>
        <v>0</v>
      </c>
      <c r="E415" s="1672">
        <f t="shared" si="97"/>
        <v>0</v>
      </c>
      <c r="F415" s="1672" t="str">
        <f t="shared" si="98"/>
        <v>0</v>
      </c>
      <c r="G415" s="1672" t="str">
        <f t="shared" si="99"/>
        <v>0</v>
      </c>
      <c r="H415" s="1628"/>
      <c r="I415" s="1627"/>
      <c r="J415" s="1627"/>
      <c r="K415" s="1627"/>
      <c r="L415" s="1627"/>
      <c r="M415" s="1629"/>
      <c r="N415" s="1627"/>
      <c r="O415" s="1627"/>
      <c r="P415" s="1627"/>
      <c r="Q415" s="1627"/>
      <c r="R415" s="1627"/>
      <c r="S415" s="1627"/>
      <c r="T415" s="1627"/>
      <c r="U415" s="1780"/>
      <c r="V415" s="1781" t="s">
        <v>1602</v>
      </c>
      <c r="W415" s="1782" t="s">
        <v>1306</v>
      </c>
      <c r="X415" s="1631">
        <v>2</v>
      </c>
      <c r="Y415" s="1633" t="s">
        <v>1306</v>
      </c>
      <c r="Z415" s="1640" t="s">
        <v>1580</v>
      </c>
      <c r="AA415" s="1783"/>
      <c r="AB415" s="1787"/>
      <c r="AC415" s="1698"/>
      <c r="AD415" s="1699"/>
      <c r="AE415" s="1698"/>
      <c r="AF415" s="1698"/>
      <c r="AG415" s="1637" t="str">
        <f t="shared" si="101"/>
        <v>階別用途別床面積-2-34階</v>
      </c>
      <c r="AI415" s="1636"/>
      <c r="AJ415" s="1636"/>
      <c r="AK415" s="1636"/>
    </row>
    <row r="416" spans="1:37" s="1637" customFormat="1" ht="18.75" customHeight="1" x14ac:dyDescent="0.15">
      <c r="A416" s="1627"/>
      <c r="B416" s="1627"/>
      <c r="C416" s="1627"/>
      <c r="D416" s="1626">
        <f>'2_入力シート【用途面積】'!$I57</f>
        <v>0</v>
      </c>
      <c r="E416" s="1672">
        <f t="shared" si="97"/>
        <v>0</v>
      </c>
      <c r="F416" s="1672" t="str">
        <f t="shared" si="98"/>
        <v>0</v>
      </c>
      <c r="G416" s="1672" t="str">
        <f t="shared" si="99"/>
        <v>0</v>
      </c>
      <c r="H416" s="1628"/>
      <c r="I416" s="1627"/>
      <c r="J416" s="1627"/>
      <c r="K416" s="1627"/>
      <c r="L416" s="1627"/>
      <c r="M416" s="1629"/>
      <c r="N416" s="1627"/>
      <c r="O416" s="1627"/>
      <c r="P416" s="1627"/>
      <c r="Q416" s="1627"/>
      <c r="R416" s="1627"/>
      <c r="S416" s="1627"/>
      <c r="T416" s="1627"/>
      <c r="U416" s="1780"/>
      <c r="V416" s="1781" t="s">
        <v>1602</v>
      </c>
      <c r="W416" s="1782" t="s">
        <v>1306</v>
      </c>
      <c r="X416" s="1631">
        <v>2</v>
      </c>
      <c r="Y416" s="1633" t="s">
        <v>1306</v>
      </c>
      <c r="Z416" s="1640" t="s">
        <v>1581</v>
      </c>
      <c r="AA416" s="1783"/>
      <c r="AB416" s="1787"/>
      <c r="AC416" s="1698"/>
      <c r="AD416" s="1699"/>
      <c r="AE416" s="1698"/>
      <c r="AF416" s="1698"/>
      <c r="AG416" s="1637" t="str">
        <f t="shared" si="101"/>
        <v>階別用途別床面積-2-35階</v>
      </c>
      <c r="AI416" s="1636"/>
      <c r="AJ416" s="1636"/>
      <c r="AK416" s="1636"/>
    </row>
    <row r="417" spans="1:41" s="1637" customFormat="1" ht="18.75" customHeight="1" x14ac:dyDescent="0.15">
      <c r="A417" s="1627"/>
      <c r="B417" s="1627"/>
      <c r="C417" s="1627"/>
      <c r="D417" s="1626">
        <f>'2_入力シート【用途面積】'!$I58</f>
        <v>0</v>
      </c>
      <c r="E417" s="1672">
        <f t="shared" si="97"/>
        <v>0</v>
      </c>
      <c r="F417" s="1672" t="str">
        <f t="shared" si="98"/>
        <v>0</v>
      </c>
      <c r="G417" s="1672" t="str">
        <f t="shared" si="99"/>
        <v>0</v>
      </c>
      <c r="H417" s="1628"/>
      <c r="I417" s="1627"/>
      <c r="J417" s="1627"/>
      <c r="K417" s="1627"/>
      <c r="L417" s="1627"/>
      <c r="M417" s="1629"/>
      <c r="N417" s="1627"/>
      <c r="O417" s="1627"/>
      <c r="P417" s="1627"/>
      <c r="Q417" s="1627"/>
      <c r="R417" s="1627"/>
      <c r="S417" s="1627"/>
      <c r="T417" s="1627"/>
      <c r="U417" s="1780"/>
      <c r="V417" s="1781" t="s">
        <v>1602</v>
      </c>
      <c r="W417" s="1782" t="s">
        <v>1306</v>
      </c>
      <c r="X417" s="1631">
        <v>2</v>
      </c>
      <c r="Y417" s="1633" t="s">
        <v>1306</v>
      </c>
      <c r="Z417" s="1640" t="s">
        <v>1582</v>
      </c>
      <c r="AA417" s="1783"/>
      <c r="AB417" s="1784"/>
      <c r="AC417" s="1636"/>
      <c r="AD417" s="1785"/>
      <c r="AE417" s="1698"/>
      <c r="AF417" s="1698"/>
      <c r="AG417" s="1637" t="str">
        <f t="shared" si="101"/>
        <v>階別用途別床面積-2-36階</v>
      </c>
      <c r="AI417" s="1636"/>
      <c r="AJ417" s="1636"/>
      <c r="AK417" s="1636"/>
    </row>
    <row r="418" spans="1:41" s="1637" customFormat="1" ht="18.75" customHeight="1" x14ac:dyDescent="0.15">
      <c r="A418" s="1627"/>
      <c r="B418" s="1627"/>
      <c r="C418" s="1627"/>
      <c r="D418" s="1626">
        <f>'2_入力シート【用途面積】'!$I59</f>
        <v>0</v>
      </c>
      <c r="E418" s="1672">
        <f t="shared" ref="E418:E481" si="102">D418</f>
        <v>0</v>
      </c>
      <c r="F418" s="1672" t="str">
        <f t="shared" ref="F418:F481" si="103">SUBSTITUTE(E418,CHAR(10),"")</f>
        <v>0</v>
      </c>
      <c r="G418" s="1672" t="str">
        <f t="shared" ref="G418:G481" si="104">TRIM(F418)</f>
        <v>0</v>
      </c>
      <c r="H418" s="1628"/>
      <c r="I418" s="1627"/>
      <c r="J418" s="1627"/>
      <c r="K418" s="1627"/>
      <c r="L418" s="1627"/>
      <c r="M418" s="1629"/>
      <c r="N418" s="1627"/>
      <c r="O418" s="1627"/>
      <c r="P418" s="1627"/>
      <c r="Q418" s="1627"/>
      <c r="R418" s="1627"/>
      <c r="S418" s="1627"/>
      <c r="T418" s="1627"/>
      <c r="U418" s="1780"/>
      <c r="V418" s="1781" t="s">
        <v>1602</v>
      </c>
      <c r="W418" s="1782" t="s">
        <v>1306</v>
      </c>
      <c r="X418" s="1631">
        <v>2</v>
      </c>
      <c r="Y418" s="1633" t="s">
        <v>1306</v>
      </c>
      <c r="Z418" s="1640" t="s">
        <v>1583</v>
      </c>
      <c r="AA418" s="1783"/>
      <c r="AB418" s="1784"/>
      <c r="AC418" s="1698"/>
      <c r="AD418" s="1699"/>
      <c r="AE418" s="1698"/>
      <c r="AF418" s="1698"/>
      <c r="AG418" s="1637" t="str">
        <f t="shared" si="101"/>
        <v>階別用途別床面積-2-37階</v>
      </c>
      <c r="AI418" s="1636"/>
      <c r="AJ418" s="1636"/>
      <c r="AK418" s="1636"/>
    </row>
    <row r="419" spans="1:41" s="1637" customFormat="1" ht="18.75" customHeight="1" x14ac:dyDescent="0.15">
      <c r="A419" s="1627"/>
      <c r="B419" s="1627"/>
      <c r="C419" s="1627"/>
      <c r="D419" s="1626">
        <f>'2_入力シート【用途面積】'!$I60</f>
        <v>0</v>
      </c>
      <c r="E419" s="1672">
        <f t="shared" si="102"/>
        <v>0</v>
      </c>
      <c r="F419" s="1672" t="str">
        <f t="shared" si="103"/>
        <v>0</v>
      </c>
      <c r="G419" s="1672" t="str">
        <f t="shared" si="104"/>
        <v>0</v>
      </c>
      <c r="H419" s="1628"/>
      <c r="I419" s="1627"/>
      <c r="J419" s="1627"/>
      <c r="K419" s="1627"/>
      <c r="L419" s="1627"/>
      <c r="M419" s="1629"/>
      <c r="N419" s="1627"/>
      <c r="O419" s="1627"/>
      <c r="P419" s="1627"/>
      <c r="Q419" s="1627"/>
      <c r="R419" s="1627"/>
      <c r="S419" s="1627"/>
      <c r="T419" s="1627"/>
      <c r="U419" s="1780"/>
      <c r="V419" s="1781" t="s">
        <v>1602</v>
      </c>
      <c r="W419" s="1782" t="s">
        <v>1306</v>
      </c>
      <c r="X419" s="1631">
        <v>2</v>
      </c>
      <c r="Y419" s="1633" t="s">
        <v>1306</v>
      </c>
      <c r="Z419" s="1640" t="s">
        <v>1584</v>
      </c>
      <c r="AA419" s="1783"/>
      <c r="AB419" s="1784"/>
      <c r="AC419" s="1698"/>
      <c r="AD419" s="1699"/>
      <c r="AE419" s="1698"/>
      <c r="AF419" s="1698"/>
      <c r="AG419" s="1637" t="str">
        <f t="shared" si="101"/>
        <v>階別用途別床面積-2-38階</v>
      </c>
      <c r="AI419" s="1636"/>
      <c r="AJ419" s="1636"/>
      <c r="AK419" s="1636"/>
    </row>
    <row r="420" spans="1:41" s="1624" customFormat="1" ht="18.75" customHeight="1" x14ac:dyDescent="0.15">
      <c r="A420" s="1627"/>
      <c r="B420" s="1627"/>
      <c r="C420" s="1627"/>
      <c r="D420" s="1626">
        <f>'2_入力シート【用途面積】'!$I61</f>
        <v>0</v>
      </c>
      <c r="E420" s="1672">
        <f t="shared" si="102"/>
        <v>0</v>
      </c>
      <c r="F420" s="1672" t="str">
        <f t="shared" si="103"/>
        <v>0</v>
      </c>
      <c r="G420" s="1672" t="str">
        <f t="shared" si="104"/>
        <v>0</v>
      </c>
      <c r="H420" s="1628"/>
      <c r="I420" s="1627"/>
      <c r="J420" s="1627"/>
      <c r="K420" s="1627"/>
      <c r="L420" s="1627"/>
      <c r="M420" s="1629"/>
      <c r="N420" s="1627"/>
      <c r="O420" s="1627"/>
      <c r="P420" s="1627"/>
      <c r="Q420" s="1627"/>
      <c r="R420" s="1627"/>
      <c r="S420" s="1627"/>
      <c r="T420" s="1627"/>
      <c r="U420" s="1780"/>
      <c r="V420" s="1781" t="s">
        <v>1602</v>
      </c>
      <c r="W420" s="1782" t="s">
        <v>1306</v>
      </c>
      <c r="X420" s="1631">
        <v>2</v>
      </c>
      <c r="Y420" s="1633" t="s">
        <v>1306</v>
      </c>
      <c r="Z420" s="1640" t="s">
        <v>1585</v>
      </c>
      <c r="AA420" s="1783"/>
      <c r="AB420" s="1784"/>
      <c r="AC420" s="1698"/>
      <c r="AD420" s="1699"/>
      <c r="AE420" s="1636"/>
      <c r="AF420" s="1636"/>
      <c r="AG420" s="1637" t="str">
        <f t="shared" si="101"/>
        <v>階別用途別床面積-2-39階</v>
      </c>
      <c r="AH420" s="1637"/>
      <c r="AI420" s="1636"/>
      <c r="AJ420" s="1636"/>
      <c r="AK420" s="1636"/>
      <c r="AL420" s="1637"/>
      <c r="AM420" s="1637"/>
      <c r="AN420" s="1637"/>
      <c r="AO420" s="1637"/>
    </row>
    <row r="421" spans="1:41" s="1624" customFormat="1" ht="18.75" customHeight="1" x14ac:dyDescent="0.15">
      <c r="A421" s="1627"/>
      <c r="B421" s="1627"/>
      <c r="C421" s="1627"/>
      <c r="D421" s="1626">
        <f>'2_入力シート【用途面積】'!$I62</f>
        <v>0</v>
      </c>
      <c r="E421" s="1672">
        <f t="shared" si="102"/>
        <v>0</v>
      </c>
      <c r="F421" s="1672" t="str">
        <f t="shared" si="103"/>
        <v>0</v>
      </c>
      <c r="G421" s="1672" t="str">
        <f t="shared" si="104"/>
        <v>0</v>
      </c>
      <c r="H421" s="1628"/>
      <c r="I421" s="1627"/>
      <c r="J421" s="1627"/>
      <c r="K421" s="1627"/>
      <c r="L421" s="1627"/>
      <c r="M421" s="1629"/>
      <c r="N421" s="1627"/>
      <c r="O421" s="1627"/>
      <c r="P421" s="1627"/>
      <c r="Q421" s="1627"/>
      <c r="R421" s="1627"/>
      <c r="S421" s="1627"/>
      <c r="T421" s="1627"/>
      <c r="U421" s="1780"/>
      <c r="V421" s="1781" t="s">
        <v>1602</v>
      </c>
      <c r="W421" s="1782" t="s">
        <v>1306</v>
      </c>
      <c r="X421" s="1631">
        <v>2</v>
      </c>
      <c r="Y421" s="1633" t="s">
        <v>1306</v>
      </c>
      <c r="Z421" s="1640" t="s">
        <v>1586</v>
      </c>
      <c r="AA421" s="1783"/>
      <c r="AB421" s="1784"/>
      <c r="AC421" s="1698"/>
      <c r="AD421" s="1699"/>
      <c r="AE421" s="1698"/>
      <c r="AF421" s="1698"/>
      <c r="AG421" s="1637" t="str">
        <f t="shared" si="101"/>
        <v>階別用途別床面積-2-40階</v>
      </c>
      <c r="AH421" s="1637"/>
      <c r="AI421" s="1636"/>
      <c r="AJ421" s="1636"/>
      <c r="AK421" s="1636"/>
      <c r="AL421" s="1637"/>
      <c r="AM421" s="1637"/>
      <c r="AN421" s="1637"/>
      <c r="AO421" s="1637"/>
    </row>
    <row r="422" spans="1:41" s="1624" customFormat="1" ht="18.75" customHeight="1" x14ac:dyDescent="0.15">
      <c r="A422" s="1627"/>
      <c r="B422" s="1627"/>
      <c r="C422" s="1627"/>
      <c r="D422" s="1626">
        <f>'2_入力シート【用途面積】'!$I63</f>
        <v>0</v>
      </c>
      <c r="E422" s="1672">
        <f t="shared" si="102"/>
        <v>0</v>
      </c>
      <c r="F422" s="1672" t="str">
        <f t="shared" si="103"/>
        <v>0</v>
      </c>
      <c r="G422" s="1672" t="str">
        <f t="shared" si="104"/>
        <v>0</v>
      </c>
      <c r="H422" s="1628"/>
      <c r="I422" s="1627"/>
      <c r="J422" s="1627"/>
      <c r="K422" s="1627"/>
      <c r="L422" s="1627"/>
      <c r="M422" s="1629"/>
      <c r="N422" s="1627"/>
      <c r="O422" s="1627"/>
      <c r="P422" s="1627"/>
      <c r="Q422" s="1627"/>
      <c r="R422" s="1627"/>
      <c r="S422" s="1627"/>
      <c r="T422" s="1627"/>
      <c r="U422" s="1780"/>
      <c r="V422" s="1781" t="s">
        <v>1602</v>
      </c>
      <c r="W422" s="1782" t="s">
        <v>1306</v>
      </c>
      <c r="X422" s="1631">
        <v>2</v>
      </c>
      <c r="Y422" s="1633" t="s">
        <v>1306</v>
      </c>
      <c r="Z422" s="1640" t="s">
        <v>1587</v>
      </c>
      <c r="AA422" s="1783"/>
      <c r="AB422" s="1787"/>
      <c r="AC422" s="1698"/>
      <c r="AD422" s="1699"/>
      <c r="AE422" s="1698"/>
      <c r="AF422" s="1698"/>
      <c r="AG422" s="1637" t="str">
        <f t="shared" si="101"/>
        <v>階別用途別床面積-2-41階</v>
      </c>
      <c r="AH422" s="1637"/>
      <c r="AI422" s="1636"/>
      <c r="AJ422" s="1636"/>
      <c r="AK422" s="1636"/>
      <c r="AL422" s="1637"/>
      <c r="AM422" s="1637"/>
      <c r="AN422" s="1637"/>
      <c r="AO422" s="1637"/>
    </row>
    <row r="423" spans="1:41" s="1624" customFormat="1" ht="18.75" customHeight="1" x14ac:dyDescent="0.15">
      <c r="A423" s="1627"/>
      <c r="B423" s="1627"/>
      <c r="C423" s="1627"/>
      <c r="D423" s="1626">
        <f>'2_入力シート【用途面積】'!$I64</f>
        <v>0</v>
      </c>
      <c r="E423" s="1672">
        <f t="shared" si="102"/>
        <v>0</v>
      </c>
      <c r="F423" s="1672" t="str">
        <f t="shared" si="103"/>
        <v>0</v>
      </c>
      <c r="G423" s="1672" t="str">
        <f t="shared" si="104"/>
        <v>0</v>
      </c>
      <c r="H423" s="1628"/>
      <c r="I423" s="1627"/>
      <c r="J423" s="1627"/>
      <c r="K423" s="1627"/>
      <c r="L423" s="1627"/>
      <c r="M423" s="1629"/>
      <c r="N423" s="1627"/>
      <c r="O423" s="1627"/>
      <c r="P423" s="1627"/>
      <c r="Q423" s="1627"/>
      <c r="R423" s="1627"/>
      <c r="S423" s="1627"/>
      <c r="T423" s="1627"/>
      <c r="U423" s="1780"/>
      <c r="V423" s="1781" t="s">
        <v>1602</v>
      </c>
      <c r="W423" s="1782" t="s">
        <v>1306</v>
      </c>
      <c r="X423" s="1631">
        <v>2</v>
      </c>
      <c r="Y423" s="1633" t="s">
        <v>1306</v>
      </c>
      <c r="Z423" s="1640" t="s">
        <v>1588</v>
      </c>
      <c r="AA423" s="1783"/>
      <c r="AB423" s="1787"/>
      <c r="AC423" s="1698"/>
      <c r="AD423" s="1699"/>
      <c r="AE423" s="1698"/>
      <c r="AF423" s="1698"/>
      <c r="AG423" s="1637" t="str">
        <f t="shared" si="101"/>
        <v>階別用途別床面積-2-42階</v>
      </c>
      <c r="AH423" s="1637"/>
      <c r="AI423" s="1636"/>
      <c r="AJ423" s="1636"/>
      <c r="AK423" s="1636"/>
      <c r="AL423" s="1637"/>
      <c r="AM423" s="1637"/>
      <c r="AN423" s="1637"/>
      <c r="AO423" s="1637"/>
    </row>
    <row r="424" spans="1:41" s="1624" customFormat="1" ht="18.75" customHeight="1" x14ac:dyDescent="0.15">
      <c r="A424" s="1627"/>
      <c r="B424" s="1627"/>
      <c r="C424" s="1627"/>
      <c r="D424" s="1626">
        <f>'2_入力シート【用途面積】'!$I65</f>
        <v>0</v>
      </c>
      <c r="E424" s="1672">
        <f t="shared" si="102"/>
        <v>0</v>
      </c>
      <c r="F424" s="1672" t="str">
        <f t="shared" si="103"/>
        <v>0</v>
      </c>
      <c r="G424" s="1672" t="str">
        <f t="shared" si="104"/>
        <v>0</v>
      </c>
      <c r="H424" s="1628"/>
      <c r="I424" s="1627"/>
      <c r="J424" s="1627"/>
      <c r="K424" s="1627"/>
      <c r="L424" s="1627"/>
      <c r="M424" s="1629"/>
      <c r="N424" s="1627"/>
      <c r="O424" s="1627"/>
      <c r="P424" s="1627"/>
      <c r="Q424" s="1627"/>
      <c r="R424" s="1627"/>
      <c r="S424" s="1627"/>
      <c r="T424" s="1627"/>
      <c r="U424" s="1780"/>
      <c r="V424" s="1781" t="s">
        <v>1602</v>
      </c>
      <c r="W424" s="1782" t="s">
        <v>1306</v>
      </c>
      <c r="X424" s="1631">
        <v>2</v>
      </c>
      <c r="Y424" s="1633" t="s">
        <v>1306</v>
      </c>
      <c r="Z424" s="1640" t="s">
        <v>1589</v>
      </c>
      <c r="AA424" s="1783"/>
      <c r="AB424" s="1787"/>
      <c r="AC424" s="1698"/>
      <c r="AD424" s="1699"/>
      <c r="AE424" s="1698"/>
      <c r="AF424" s="1698"/>
      <c r="AG424" s="1637" t="str">
        <f t="shared" si="101"/>
        <v>階別用途別床面積-2-43階</v>
      </c>
      <c r="AH424" s="1637"/>
      <c r="AI424" s="1636"/>
      <c r="AJ424" s="1636"/>
      <c r="AK424" s="1636"/>
      <c r="AL424" s="1637"/>
      <c r="AM424" s="1637"/>
      <c r="AN424" s="1637"/>
      <c r="AO424" s="1637"/>
    </row>
    <row r="425" spans="1:41" s="1624" customFormat="1" ht="18.75" customHeight="1" x14ac:dyDescent="0.15">
      <c r="A425" s="1627"/>
      <c r="B425" s="1627"/>
      <c r="C425" s="1627"/>
      <c r="D425" s="1626">
        <f>'2_入力シート【用途面積】'!$I66</f>
        <v>0</v>
      </c>
      <c r="E425" s="1672">
        <f t="shared" si="102"/>
        <v>0</v>
      </c>
      <c r="F425" s="1672" t="str">
        <f t="shared" si="103"/>
        <v>0</v>
      </c>
      <c r="G425" s="1672" t="str">
        <f t="shared" si="104"/>
        <v>0</v>
      </c>
      <c r="H425" s="1628"/>
      <c r="I425" s="1627"/>
      <c r="J425" s="1627"/>
      <c r="K425" s="1627"/>
      <c r="L425" s="1627"/>
      <c r="M425" s="1629"/>
      <c r="N425" s="1627"/>
      <c r="O425" s="1627"/>
      <c r="P425" s="1627"/>
      <c r="Q425" s="1627"/>
      <c r="R425" s="1627"/>
      <c r="S425" s="1627"/>
      <c r="T425" s="1627"/>
      <c r="U425" s="1780"/>
      <c r="V425" s="1781" t="s">
        <v>1602</v>
      </c>
      <c r="W425" s="1782" t="s">
        <v>1306</v>
      </c>
      <c r="X425" s="1631">
        <v>2</v>
      </c>
      <c r="Y425" s="1633" t="s">
        <v>1306</v>
      </c>
      <c r="Z425" s="1640" t="s">
        <v>1590</v>
      </c>
      <c r="AA425" s="1783"/>
      <c r="AB425" s="1784"/>
      <c r="AC425" s="1636"/>
      <c r="AD425" s="1785"/>
      <c r="AE425" s="1698"/>
      <c r="AF425" s="1698"/>
      <c r="AG425" s="1637" t="str">
        <f t="shared" si="101"/>
        <v>階別用途別床面積-2-44階</v>
      </c>
      <c r="AH425" s="1637"/>
      <c r="AI425" s="1636"/>
      <c r="AJ425" s="1636"/>
      <c r="AK425" s="1636"/>
      <c r="AL425" s="1637"/>
      <c r="AM425" s="1637"/>
      <c r="AN425" s="1637"/>
      <c r="AO425" s="1637"/>
    </row>
    <row r="426" spans="1:41" s="1624" customFormat="1" ht="18.75" customHeight="1" x14ac:dyDescent="0.15">
      <c r="A426" s="1627"/>
      <c r="B426" s="1627"/>
      <c r="C426" s="1627"/>
      <c r="D426" s="1626">
        <f>'2_入力シート【用途面積】'!$I67</f>
        <v>0</v>
      </c>
      <c r="E426" s="1672">
        <f t="shared" si="102"/>
        <v>0</v>
      </c>
      <c r="F426" s="1672" t="str">
        <f t="shared" si="103"/>
        <v>0</v>
      </c>
      <c r="G426" s="1672" t="str">
        <f t="shared" si="104"/>
        <v>0</v>
      </c>
      <c r="H426" s="1628"/>
      <c r="I426" s="1627"/>
      <c r="J426" s="1627"/>
      <c r="K426" s="1627"/>
      <c r="L426" s="1627"/>
      <c r="M426" s="1629"/>
      <c r="N426" s="1627"/>
      <c r="O426" s="1627"/>
      <c r="P426" s="1627"/>
      <c r="Q426" s="1627"/>
      <c r="R426" s="1627"/>
      <c r="S426" s="1627"/>
      <c r="T426" s="1627"/>
      <c r="U426" s="1780"/>
      <c r="V426" s="1781" t="s">
        <v>1602</v>
      </c>
      <c r="W426" s="1782" t="s">
        <v>1306</v>
      </c>
      <c r="X426" s="1631">
        <v>2</v>
      </c>
      <c r="Y426" s="1633" t="s">
        <v>1306</v>
      </c>
      <c r="Z426" s="1640" t="s">
        <v>1591</v>
      </c>
      <c r="AA426" s="1783"/>
      <c r="AB426" s="1784"/>
      <c r="AC426" s="1698"/>
      <c r="AD426" s="1699"/>
      <c r="AE426" s="1698"/>
      <c r="AF426" s="1698"/>
      <c r="AG426" s="1637" t="str">
        <f t="shared" si="101"/>
        <v>階別用途別床面積-2-45階</v>
      </c>
      <c r="AH426" s="1637"/>
      <c r="AI426" s="1636"/>
      <c r="AJ426" s="1636"/>
      <c r="AK426" s="1636"/>
      <c r="AL426" s="1637"/>
      <c r="AM426" s="1637"/>
      <c r="AN426" s="1637"/>
      <c r="AO426" s="1637"/>
    </row>
    <row r="427" spans="1:41" s="1624" customFormat="1" ht="18.75" customHeight="1" x14ac:dyDescent="0.15">
      <c r="A427" s="1627"/>
      <c r="B427" s="1627"/>
      <c r="C427" s="1627"/>
      <c r="D427" s="1626">
        <f>'2_入力シート【用途面積】'!$I68</f>
        <v>0</v>
      </c>
      <c r="E427" s="1672">
        <f t="shared" si="102"/>
        <v>0</v>
      </c>
      <c r="F427" s="1672" t="str">
        <f t="shared" si="103"/>
        <v>0</v>
      </c>
      <c r="G427" s="1672" t="str">
        <f t="shared" si="104"/>
        <v>0</v>
      </c>
      <c r="H427" s="1628"/>
      <c r="I427" s="1627"/>
      <c r="J427" s="1627"/>
      <c r="K427" s="1627"/>
      <c r="L427" s="1627"/>
      <c r="M427" s="1629"/>
      <c r="N427" s="1627"/>
      <c r="O427" s="1627"/>
      <c r="P427" s="1627"/>
      <c r="Q427" s="1627"/>
      <c r="R427" s="1627"/>
      <c r="S427" s="1627"/>
      <c r="T427" s="1627"/>
      <c r="U427" s="1780"/>
      <c r="V427" s="1781" t="s">
        <v>1602</v>
      </c>
      <c r="W427" s="1782" t="s">
        <v>1306</v>
      </c>
      <c r="X427" s="1631">
        <v>2</v>
      </c>
      <c r="Y427" s="1633" t="s">
        <v>1306</v>
      </c>
      <c r="Z427" s="1640" t="s">
        <v>1592</v>
      </c>
      <c r="AA427" s="1783"/>
      <c r="AB427" s="1784"/>
      <c r="AC427" s="1698"/>
      <c r="AD427" s="1699"/>
      <c r="AE427" s="1698"/>
      <c r="AF427" s="1698"/>
      <c r="AG427" s="1637" t="str">
        <f t="shared" si="101"/>
        <v>階別用途別床面積-2-46階</v>
      </c>
      <c r="AH427" s="1637"/>
      <c r="AI427" s="1636"/>
      <c r="AJ427" s="1636"/>
      <c r="AK427" s="1636"/>
      <c r="AL427" s="1637"/>
      <c r="AM427" s="1637"/>
      <c r="AN427" s="1637"/>
      <c r="AO427" s="1637"/>
    </row>
    <row r="428" spans="1:41" s="1624" customFormat="1" ht="18.75" customHeight="1" x14ac:dyDescent="0.15">
      <c r="A428" s="1627"/>
      <c r="B428" s="1627"/>
      <c r="C428" s="1627"/>
      <c r="D428" s="1626">
        <f>'2_入力シート【用途面積】'!$I69</f>
        <v>0</v>
      </c>
      <c r="E428" s="1672">
        <f t="shared" si="102"/>
        <v>0</v>
      </c>
      <c r="F428" s="1672" t="str">
        <f t="shared" si="103"/>
        <v>0</v>
      </c>
      <c r="G428" s="1672" t="str">
        <f t="shared" si="104"/>
        <v>0</v>
      </c>
      <c r="H428" s="1628"/>
      <c r="I428" s="1627"/>
      <c r="J428" s="1627"/>
      <c r="K428" s="1627"/>
      <c r="L428" s="1627"/>
      <c r="M428" s="1629"/>
      <c r="N428" s="1627"/>
      <c r="O428" s="1627"/>
      <c r="P428" s="1627"/>
      <c r="Q428" s="1627"/>
      <c r="R428" s="1627"/>
      <c r="S428" s="1627"/>
      <c r="T428" s="1627"/>
      <c r="U428" s="1780"/>
      <c r="V428" s="1781" t="s">
        <v>1602</v>
      </c>
      <c r="W428" s="1782" t="s">
        <v>1306</v>
      </c>
      <c r="X428" s="1631">
        <v>2</v>
      </c>
      <c r="Y428" s="1633" t="s">
        <v>1306</v>
      </c>
      <c r="Z428" s="1640" t="s">
        <v>1593</v>
      </c>
      <c r="AA428" s="1783"/>
      <c r="AB428" s="1784"/>
      <c r="AC428" s="1698"/>
      <c r="AD428" s="1699"/>
      <c r="AE428" s="1636"/>
      <c r="AF428" s="1636"/>
      <c r="AG428" s="1637" t="str">
        <f t="shared" si="101"/>
        <v>階別用途別床面積-2-47階</v>
      </c>
      <c r="AH428" s="1637"/>
      <c r="AI428" s="1636"/>
      <c r="AJ428" s="1636"/>
      <c r="AK428" s="1636"/>
      <c r="AL428" s="1637"/>
      <c r="AM428" s="1637"/>
      <c r="AN428" s="1637"/>
      <c r="AO428" s="1637"/>
    </row>
    <row r="429" spans="1:41" s="1624" customFormat="1" ht="18.75" customHeight="1" x14ac:dyDescent="0.15">
      <c r="A429" s="1627"/>
      <c r="B429" s="1627"/>
      <c r="C429" s="1627"/>
      <c r="D429" s="1626">
        <f>'2_入力シート【用途面積】'!$I70</f>
        <v>0</v>
      </c>
      <c r="E429" s="1672">
        <f t="shared" si="102"/>
        <v>0</v>
      </c>
      <c r="F429" s="1672" t="str">
        <f t="shared" si="103"/>
        <v>0</v>
      </c>
      <c r="G429" s="1672" t="str">
        <f t="shared" si="104"/>
        <v>0</v>
      </c>
      <c r="H429" s="1628"/>
      <c r="I429" s="1627"/>
      <c r="J429" s="1627"/>
      <c r="K429" s="1627"/>
      <c r="L429" s="1627"/>
      <c r="M429" s="1629"/>
      <c r="N429" s="1627"/>
      <c r="O429" s="1627"/>
      <c r="P429" s="1627"/>
      <c r="Q429" s="1627"/>
      <c r="R429" s="1627"/>
      <c r="S429" s="1627"/>
      <c r="T429" s="1627"/>
      <c r="U429" s="1780"/>
      <c r="V429" s="1781" t="s">
        <v>1602</v>
      </c>
      <c r="W429" s="1782" t="s">
        <v>1306</v>
      </c>
      <c r="X429" s="1631">
        <v>2</v>
      </c>
      <c r="Y429" s="1633" t="s">
        <v>1306</v>
      </c>
      <c r="Z429" s="1640" t="s">
        <v>1594</v>
      </c>
      <c r="AA429" s="1783"/>
      <c r="AB429" s="1784"/>
      <c r="AC429" s="1698"/>
      <c r="AD429" s="1699"/>
      <c r="AE429" s="1698"/>
      <c r="AF429" s="1698"/>
      <c r="AG429" s="1637" t="str">
        <f t="shared" si="101"/>
        <v>階別用途別床面積-2-48階</v>
      </c>
      <c r="AH429" s="1637"/>
      <c r="AI429" s="1636"/>
      <c r="AJ429" s="1636"/>
      <c r="AK429" s="1636"/>
      <c r="AL429" s="1637"/>
      <c r="AM429" s="1637"/>
      <c r="AN429" s="1637"/>
      <c r="AO429" s="1637"/>
    </row>
    <row r="430" spans="1:41" s="1624" customFormat="1" ht="18.75" customHeight="1" x14ac:dyDescent="0.15">
      <c r="A430" s="1627"/>
      <c r="B430" s="1627"/>
      <c r="C430" s="1627"/>
      <c r="D430" s="1626">
        <f>'2_入力シート【用途面積】'!$I71</f>
        <v>0</v>
      </c>
      <c r="E430" s="1672">
        <f t="shared" si="102"/>
        <v>0</v>
      </c>
      <c r="F430" s="1672" t="str">
        <f t="shared" si="103"/>
        <v>0</v>
      </c>
      <c r="G430" s="1672" t="str">
        <f t="shared" si="104"/>
        <v>0</v>
      </c>
      <c r="H430" s="1628"/>
      <c r="I430" s="1627"/>
      <c r="J430" s="1627"/>
      <c r="K430" s="1627"/>
      <c r="L430" s="1627"/>
      <c r="M430" s="1629"/>
      <c r="N430" s="1627"/>
      <c r="O430" s="1627"/>
      <c r="P430" s="1627"/>
      <c r="Q430" s="1627"/>
      <c r="R430" s="1627"/>
      <c r="S430" s="1627"/>
      <c r="T430" s="1627"/>
      <c r="U430" s="1780"/>
      <c r="V430" s="1781" t="s">
        <v>1602</v>
      </c>
      <c r="W430" s="1782" t="s">
        <v>1306</v>
      </c>
      <c r="X430" s="1631">
        <v>2</v>
      </c>
      <c r="Y430" s="1633" t="s">
        <v>1306</v>
      </c>
      <c r="Z430" s="1640" t="s">
        <v>1595</v>
      </c>
      <c r="AA430" s="1783"/>
      <c r="AB430" s="1787"/>
      <c r="AC430" s="1698"/>
      <c r="AD430" s="1699"/>
      <c r="AE430" s="1698"/>
      <c r="AF430" s="1698"/>
      <c r="AG430" s="1637" t="str">
        <f t="shared" si="101"/>
        <v>階別用途別床面積-2-49階</v>
      </c>
      <c r="AH430" s="1637"/>
      <c r="AI430" s="1636"/>
      <c r="AJ430" s="1636"/>
      <c r="AK430" s="1636"/>
      <c r="AL430" s="1637"/>
      <c r="AM430" s="1637"/>
      <c r="AN430" s="1637"/>
      <c r="AO430" s="1637"/>
    </row>
    <row r="431" spans="1:41" s="1624" customFormat="1" ht="18.75" customHeight="1" x14ac:dyDescent="0.15">
      <c r="A431" s="1627"/>
      <c r="B431" s="1627"/>
      <c r="C431" s="1627"/>
      <c r="D431" s="1626">
        <f>'2_入力シート【用途面積】'!$I72</f>
        <v>0</v>
      </c>
      <c r="E431" s="1672">
        <f t="shared" si="102"/>
        <v>0</v>
      </c>
      <c r="F431" s="1672" t="str">
        <f t="shared" si="103"/>
        <v>0</v>
      </c>
      <c r="G431" s="1672" t="str">
        <f t="shared" si="104"/>
        <v>0</v>
      </c>
      <c r="H431" s="1628"/>
      <c r="I431" s="1627"/>
      <c r="J431" s="1627"/>
      <c r="K431" s="1627"/>
      <c r="L431" s="1627"/>
      <c r="M431" s="1629"/>
      <c r="N431" s="1627"/>
      <c r="O431" s="1627"/>
      <c r="P431" s="1627"/>
      <c r="Q431" s="1627"/>
      <c r="R431" s="1627"/>
      <c r="S431" s="1627"/>
      <c r="T431" s="1627"/>
      <c r="U431" s="1780"/>
      <c r="V431" s="1781" t="s">
        <v>1602</v>
      </c>
      <c r="W431" s="1782" t="s">
        <v>1306</v>
      </c>
      <c r="X431" s="1631">
        <v>2</v>
      </c>
      <c r="Y431" s="1633" t="s">
        <v>1306</v>
      </c>
      <c r="Z431" s="1640" t="s">
        <v>1596</v>
      </c>
      <c r="AA431" s="1783"/>
      <c r="AB431" s="1787"/>
      <c r="AC431" s="1698"/>
      <c r="AD431" s="1699"/>
      <c r="AE431" s="1698"/>
      <c r="AF431" s="1698"/>
      <c r="AG431" s="1637" t="str">
        <f t="shared" si="101"/>
        <v>階別用途別床面積-2-50階</v>
      </c>
      <c r="AH431" s="1637"/>
      <c r="AI431" s="1636"/>
      <c r="AJ431" s="1636"/>
      <c r="AK431" s="1636"/>
      <c r="AL431" s="1637"/>
      <c r="AM431" s="1637"/>
      <c r="AN431" s="1637"/>
      <c r="AO431" s="1637"/>
    </row>
    <row r="432" spans="1:41" s="1624" customFormat="1" ht="18.75" customHeight="1" x14ac:dyDescent="0.15">
      <c r="A432" s="1627"/>
      <c r="B432" s="1627"/>
      <c r="C432" s="1627"/>
      <c r="D432" s="1626">
        <f>'2_入力シート【用途面積】'!$K$4</f>
        <v>0</v>
      </c>
      <c r="E432" s="1672">
        <f t="shared" si="102"/>
        <v>0</v>
      </c>
      <c r="F432" s="1672" t="str">
        <f t="shared" si="103"/>
        <v>0</v>
      </c>
      <c r="G432" s="1672" t="str">
        <f t="shared" si="104"/>
        <v>0</v>
      </c>
      <c r="H432" s="1628"/>
      <c r="I432" s="1627"/>
      <c r="J432" s="1627"/>
      <c r="K432" s="1627"/>
      <c r="L432" s="1627"/>
      <c r="M432" s="1629"/>
      <c r="N432" s="1627"/>
      <c r="O432" s="1627"/>
      <c r="P432" s="1627"/>
      <c r="Q432" s="1627"/>
      <c r="R432" s="1627"/>
      <c r="S432" s="1627"/>
      <c r="T432" s="1627"/>
      <c r="U432" s="1780"/>
      <c r="V432" s="1781" t="s">
        <v>1602</v>
      </c>
      <c r="W432" s="1782" t="s">
        <v>1306</v>
      </c>
      <c r="X432" s="1631">
        <v>3</v>
      </c>
      <c r="Y432" s="1633" t="s">
        <v>1306</v>
      </c>
      <c r="Z432" s="1640" t="s">
        <v>1597</v>
      </c>
      <c r="AA432" s="1783"/>
      <c r="AB432" s="1787"/>
      <c r="AC432" s="1698"/>
      <c r="AD432" s="1699"/>
      <c r="AE432" s="1698"/>
      <c r="AF432" s="1698"/>
      <c r="AG432" s="1637" t="str">
        <f t="shared" si="101"/>
        <v>階別用途別床面積-3-大分類</v>
      </c>
      <c r="AH432" s="1637"/>
      <c r="AI432" s="1636"/>
      <c r="AJ432" s="1636"/>
      <c r="AK432" s="1636"/>
      <c r="AL432" s="1637"/>
      <c r="AM432" s="1637"/>
      <c r="AN432" s="1637"/>
      <c r="AO432" s="1637"/>
    </row>
    <row r="433" spans="1:41" s="1624" customFormat="1" ht="18.75" customHeight="1" x14ac:dyDescent="0.15">
      <c r="A433" s="1627"/>
      <c r="B433" s="1627"/>
      <c r="C433" s="1627"/>
      <c r="D433" s="1626">
        <f>'2_入力シート【用途面積】'!$K$7</f>
        <v>0</v>
      </c>
      <c r="E433" s="1672">
        <f t="shared" si="102"/>
        <v>0</v>
      </c>
      <c r="F433" s="1672" t="str">
        <f t="shared" si="103"/>
        <v>0</v>
      </c>
      <c r="G433" s="1672" t="str">
        <f t="shared" si="104"/>
        <v>0</v>
      </c>
      <c r="H433" s="1628"/>
      <c r="I433" s="1627"/>
      <c r="J433" s="1627"/>
      <c r="K433" s="1627"/>
      <c r="L433" s="1627"/>
      <c r="M433" s="1629"/>
      <c r="N433" s="1627"/>
      <c r="O433" s="1627"/>
      <c r="P433" s="1627"/>
      <c r="Q433" s="1627"/>
      <c r="R433" s="1627"/>
      <c r="S433" s="1627"/>
      <c r="T433" s="1627"/>
      <c r="U433" s="1780"/>
      <c r="V433" s="1781" t="s">
        <v>1602</v>
      </c>
      <c r="W433" s="1782" t="s">
        <v>1306</v>
      </c>
      <c r="X433" s="1631">
        <v>3</v>
      </c>
      <c r="Y433" s="1633" t="s">
        <v>1306</v>
      </c>
      <c r="Z433" s="1640" t="s">
        <v>1598</v>
      </c>
      <c r="AA433" s="1783"/>
      <c r="AB433" s="1784"/>
      <c r="AC433" s="1636"/>
      <c r="AD433" s="1785"/>
      <c r="AE433" s="1698"/>
      <c r="AF433" s="1698"/>
      <c r="AG433" s="1637" t="str">
        <f t="shared" si="101"/>
        <v>階別用途別床面積-3-小分類</v>
      </c>
      <c r="AH433" s="1637"/>
      <c r="AI433" s="1636"/>
      <c r="AJ433" s="1636"/>
      <c r="AK433" s="1636"/>
      <c r="AL433" s="1637"/>
      <c r="AM433" s="1637"/>
      <c r="AN433" s="1637"/>
      <c r="AO433" s="1637"/>
    </row>
    <row r="434" spans="1:41" s="1624" customFormat="1" ht="18.75" customHeight="1" x14ac:dyDescent="0.15">
      <c r="A434" s="1627"/>
      <c r="B434" s="1627"/>
      <c r="C434" s="1627"/>
      <c r="D434" s="1626">
        <f>'2_入力シート【用途面積】'!$K$12</f>
        <v>0</v>
      </c>
      <c r="E434" s="1672">
        <f t="shared" si="102"/>
        <v>0</v>
      </c>
      <c r="F434" s="1672" t="str">
        <f t="shared" si="103"/>
        <v>0</v>
      </c>
      <c r="G434" s="1672" t="str">
        <f t="shared" si="104"/>
        <v>0</v>
      </c>
      <c r="H434" s="1628"/>
      <c r="I434" s="1627"/>
      <c r="J434" s="1627"/>
      <c r="K434" s="1627"/>
      <c r="L434" s="1627"/>
      <c r="M434" s="1629"/>
      <c r="N434" s="1627"/>
      <c r="O434" s="1627"/>
      <c r="P434" s="1627"/>
      <c r="Q434" s="1627"/>
      <c r="R434" s="1627"/>
      <c r="S434" s="1627"/>
      <c r="T434" s="1627"/>
      <c r="U434" s="1780"/>
      <c r="V434" s="1781" t="s">
        <v>2434</v>
      </c>
      <c r="W434" s="1782" t="s">
        <v>1366</v>
      </c>
      <c r="X434" s="1631">
        <v>3</v>
      </c>
      <c r="Y434" s="1633" t="s">
        <v>1366</v>
      </c>
      <c r="Z434" s="1640" t="s">
        <v>2433</v>
      </c>
      <c r="AA434" s="1783"/>
      <c r="AB434" s="1787"/>
      <c r="AC434" s="1698"/>
      <c r="AD434" s="1699"/>
      <c r="AE434" s="1698"/>
      <c r="AF434" s="1698"/>
      <c r="AG434" s="1637" t="str">
        <f t="shared" si="101"/>
        <v>階別用途別床面積-3-特記</v>
      </c>
      <c r="AH434" s="1637"/>
      <c r="AI434" s="1636"/>
      <c r="AJ434" s="1636"/>
      <c r="AK434" s="1636"/>
      <c r="AL434" s="1637"/>
      <c r="AM434" s="1637"/>
      <c r="AN434" s="1637"/>
      <c r="AO434" s="1637"/>
    </row>
    <row r="435" spans="1:41" s="1624" customFormat="1" ht="18.75" customHeight="1" x14ac:dyDescent="0.15">
      <c r="A435" s="1627"/>
      <c r="B435" s="1627"/>
      <c r="C435" s="1627"/>
      <c r="D435" s="1626">
        <f>'2_入力シート【用途面積】'!$K14</f>
        <v>0</v>
      </c>
      <c r="E435" s="1672">
        <f t="shared" si="102"/>
        <v>0</v>
      </c>
      <c r="F435" s="1672" t="str">
        <f t="shared" si="103"/>
        <v>0</v>
      </c>
      <c r="G435" s="1672" t="str">
        <f t="shared" si="104"/>
        <v>0</v>
      </c>
      <c r="H435" s="1628"/>
      <c r="I435" s="1627"/>
      <c r="J435" s="1627"/>
      <c r="K435" s="1627"/>
      <c r="L435" s="1627"/>
      <c r="M435" s="1629"/>
      <c r="N435" s="1627"/>
      <c r="O435" s="1627"/>
      <c r="P435" s="1627"/>
      <c r="Q435" s="1627"/>
      <c r="R435" s="1627"/>
      <c r="S435" s="1627"/>
      <c r="T435" s="1627"/>
      <c r="U435" s="1780"/>
      <c r="V435" s="1781" t="s">
        <v>1602</v>
      </c>
      <c r="W435" s="1782" t="s">
        <v>1306</v>
      </c>
      <c r="X435" s="1631">
        <v>3</v>
      </c>
      <c r="Y435" s="1633" t="s">
        <v>1306</v>
      </c>
      <c r="Z435" s="1640" t="s">
        <v>1538</v>
      </c>
      <c r="AA435" s="1783"/>
      <c r="AB435" s="1784"/>
      <c r="AC435" s="1698"/>
      <c r="AD435" s="1699"/>
      <c r="AE435" s="1698"/>
      <c r="AF435" s="1698"/>
      <c r="AG435" s="1637" t="str">
        <f t="shared" si="101"/>
        <v>階別用途別床面積-3-地下1階</v>
      </c>
      <c r="AH435" s="1637"/>
      <c r="AI435" s="1636"/>
      <c r="AJ435" s="1636"/>
      <c r="AK435" s="1636"/>
      <c r="AL435" s="1637"/>
      <c r="AM435" s="1637"/>
      <c r="AN435" s="1637"/>
      <c r="AO435" s="1637"/>
    </row>
    <row r="436" spans="1:41" s="1637" customFormat="1" ht="18.75" customHeight="1" x14ac:dyDescent="0.15">
      <c r="A436" s="1627"/>
      <c r="B436" s="1627"/>
      <c r="C436" s="1627"/>
      <c r="D436" s="1626">
        <f>'2_入力シート【用途面積】'!$K15</f>
        <v>0</v>
      </c>
      <c r="E436" s="1672">
        <f t="shared" si="102"/>
        <v>0</v>
      </c>
      <c r="F436" s="1672" t="str">
        <f t="shared" si="103"/>
        <v>0</v>
      </c>
      <c r="G436" s="1672" t="str">
        <f t="shared" si="104"/>
        <v>0</v>
      </c>
      <c r="H436" s="1628"/>
      <c r="I436" s="1627"/>
      <c r="J436" s="1627"/>
      <c r="K436" s="1627"/>
      <c r="L436" s="1627"/>
      <c r="M436" s="1629"/>
      <c r="N436" s="1627"/>
      <c r="O436" s="1627"/>
      <c r="P436" s="1627"/>
      <c r="Q436" s="1627"/>
      <c r="R436" s="1627"/>
      <c r="S436" s="1627"/>
      <c r="T436" s="1627"/>
      <c r="U436" s="1780"/>
      <c r="V436" s="1781" t="s">
        <v>1602</v>
      </c>
      <c r="W436" s="1782" t="s">
        <v>1306</v>
      </c>
      <c r="X436" s="1631">
        <v>3</v>
      </c>
      <c r="Y436" s="1633" t="s">
        <v>1306</v>
      </c>
      <c r="Z436" s="1640" t="s">
        <v>1539</v>
      </c>
      <c r="AA436" s="1783"/>
      <c r="AB436" s="1784"/>
      <c r="AC436" s="1698"/>
      <c r="AD436" s="1699"/>
      <c r="AE436" s="1698"/>
      <c r="AF436" s="1698"/>
      <c r="AG436" s="1637" t="str">
        <f t="shared" si="101"/>
        <v>階別用途別床面積-3-地下2階</v>
      </c>
      <c r="AI436" s="1636"/>
      <c r="AJ436" s="1636"/>
      <c r="AK436" s="1636"/>
    </row>
    <row r="437" spans="1:41" s="1637" customFormat="1" ht="18.75" customHeight="1" x14ac:dyDescent="0.15">
      <c r="A437" s="1627"/>
      <c r="B437" s="1627"/>
      <c r="C437" s="1627"/>
      <c r="D437" s="1626">
        <f>'2_入力シート【用途面積】'!$K16</f>
        <v>0</v>
      </c>
      <c r="E437" s="1672">
        <f t="shared" si="102"/>
        <v>0</v>
      </c>
      <c r="F437" s="1672" t="str">
        <f t="shared" si="103"/>
        <v>0</v>
      </c>
      <c r="G437" s="1672" t="str">
        <f t="shared" si="104"/>
        <v>0</v>
      </c>
      <c r="H437" s="1628"/>
      <c r="I437" s="1627"/>
      <c r="J437" s="1627"/>
      <c r="K437" s="1627"/>
      <c r="L437" s="1627"/>
      <c r="M437" s="1629"/>
      <c r="N437" s="1627"/>
      <c r="O437" s="1627"/>
      <c r="P437" s="1627"/>
      <c r="Q437" s="1627"/>
      <c r="R437" s="1627"/>
      <c r="S437" s="1627"/>
      <c r="T437" s="1627"/>
      <c r="U437" s="1780"/>
      <c r="V437" s="1781" t="s">
        <v>1602</v>
      </c>
      <c r="W437" s="1782" t="s">
        <v>1306</v>
      </c>
      <c r="X437" s="1631">
        <v>3</v>
      </c>
      <c r="Y437" s="1633" t="s">
        <v>1306</v>
      </c>
      <c r="Z437" s="1640" t="s">
        <v>1540</v>
      </c>
      <c r="AA437" s="1783"/>
      <c r="AB437" s="1784"/>
      <c r="AC437" s="1698"/>
      <c r="AD437" s="1699"/>
      <c r="AE437" s="1636"/>
      <c r="AF437" s="1636"/>
      <c r="AG437" s="1637" t="str">
        <f t="shared" si="101"/>
        <v>階別用途別床面積-3-地下3階</v>
      </c>
      <c r="AI437" s="1636"/>
      <c r="AJ437" s="1636"/>
      <c r="AK437" s="1636"/>
    </row>
    <row r="438" spans="1:41" s="1637" customFormat="1" ht="18.75" customHeight="1" x14ac:dyDescent="0.15">
      <c r="A438" s="1627"/>
      <c r="B438" s="1627"/>
      <c r="C438" s="1627"/>
      <c r="D438" s="1626">
        <f>'2_入力シート【用途面積】'!$K17</f>
        <v>0</v>
      </c>
      <c r="E438" s="1672">
        <f t="shared" si="102"/>
        <v>0</v>
      </c>
      <c r="F438" s="1672" t="str">
        <f t="shared" si="103"/>
        <v>0</v>
      </c>
      <c r="G438" s="1672" t="str">
        <f t="shared" si="104"/>
        <v>0</v>
      </c>
      <c r="H438" s="1628"/>
      <c r="I438" s="1627"/>
      <c r="J438" s="1627"/>
      <c r="K438" s="1627"/>
      <c r="L438" s="1627"/>
      <c r="M438" s="1629"/>
      <c r="N438" s="1627"/>
      <c r="O438" s="1627"/>
      <c r="P438" s="1627"/>
      <c r="Q438" s="1627"/>
      <c r="R438" s="1627"/>
      <c r="S438" s="1627"/>
      <c r="T438" s="1627"/>
      <c r="U438" s="1780"/>
      <c r="V438" s="1781" t="s">
        <v>1602</v>
      </c>
      <c r="W438" s="1782" t="s">
        <v>1306</v>
      </c>
      <c r="X438" s="1631">
        <v>3</v>
      </c>
      <c r="Y438" s="1633" t="s">
        <v>1306</v>
      </c>
      <c r="Z438" s="1640" t="s">
        <v>1541</v>
      </c>
      <c r="AA438" s="1783"/>
      <c r="AB438" s="1784"/>
      <c r="AC438" s="1698"/>
      <c r="AD438" s="1699"/>
      <c r="AE438" s="1698"/>
      <c r="AF438" s="1698"/>
      <c r="AG438" s="1637" t="str">
        <f t="shared" si="101"/>
        <v>階別用途別床面積-3-地下4階</v>
      </c>
      <c r="AI438" s="1636"/>
      <c r="AJ438" s="1636"/>
      <c r="AK438" s="1636"/>
    </row>
    <row r="439" spans="1:41" s="1637" customFormat="1" ht="18.75" customHeight="1" x14ac:dyDescent="0.15">
      <c r="A439" s="1627"/>
      <c r="B439" s="1627"/>
      <c r="C439" s="1627"/>
      <c r="D439" s="1626">
        <f>'2_入力シート【用途面積】'!$K18</f>
        <v>0</v>
      </c>
      <c r="E439" s="1672">
        <f t="shared" si="102"/>
        <v>0</v>
      </c>
      <c r="F439" s="1672" t="str">
        <f t="shared" si="103"/>
        <v>0</v>
      </c>
      <c r="G439" s="1672" t="str">
        <f t="shared" si="104"/>
        <v>0</v>
      </c>
      <c r="H439" s="1628"/>
      <c r="I439" s="1627"/>
      <c r="J439" s="1627"/>
      <c r="K439" s="1627"/>
      <c r="L439" s="1627"/>
      <c r="M439" s="1629"/>
      <c r="N439" s="1627"/>
      <c r="O439" s="1627"/>
      <c r="P439" s="1627"/>
      <c r="Q439" s="1627"/>
      <c r="R439" s="1627"/>
      <c r="S439" s="1627"/>
      <c r="T439" s="1627"/>
      <c r="U439" s="1780"/>
      <c r="V439" s="1781" t="s">
        <v>1602</v>
      </c>
      <c r="W439" s="1782" t="s">
        <v>1306</v>
      </c>
      <c r="X439" s="1631">
        <v>3</v>
      </c>
      <c r="Y439" s="1633" t="s">
        <v>1306</v>
      </c>
      <c r="Z439" s="1640" t="s">
        <v>1542</v>
      </c>
      <c r="AA439" s="1783"/>
      <c r="AB439" s="1787"/>
      <c r="AC439" s="1698"/>
      <c r="AD439" s="1699"/>
      <c r="AE439" s="1698"/>
      <c r="AF439" s="1698"/>
      <c r="AG439" s="1637" t="str">
        <f t="shared" si="101"/>
        <v>階別用途別床面積-3-塔屋 1階</v>
      </c>
      <c r="AI439" s="1636"/>
      <c r="AJ439" s="1636"/>
      <c r="AK439" s="1636"/>
    </row>
    <row r="440" spans="1:41" s="1637" customFormat="1" ht="18.75" customHeight="1" x14ac:dyDescent="0.15">
      <c r="A440" s="1627"/>
      <c r="B440" s="1627"/>
      <c r="C440" s="1627"/>
      <c r="D440" s="1626">
        <f>'2_入力シート【用途面積】'!$K19</f>
        <v>0</v>
      </c>
      <c r="E440" s="1672">
        <f t="shared" si="102"/>
        <v>0</v>
      </c>
      <c r="F440" s="1672" t="str">
        <f t="shared" si="103"/>
        <v>0</v>
      </c>
      <c r="G440" s="1672" t="str">
        <f t="shared" si="104"/>
        <v>0</v>
      </c>
      <c r="H440" s="1628"/>
      <c r="I440" s="1627"/>
      <c r="J440" s="1627"/>
      <c r="K440" s="1627"/>
      <c r="L440" s="1627"/>
      <c r="M440" s="1629"/>
      <c r="N440" s="1627"/>
      <c r="O440" s="1627"/>
      <c r="P440" s="1627"/>
      <c r="Q440" s="1627"/>
      <c r="R440" s="1627"/>
      <c r="S440" s="1627"/>
      <c r="T440" s="1627"/>
      <c r="U440" s="1780"/>
      <c r="V440" s="1781" t="s">
        <v>1602</v>
      </c>
      <c r="W440" s="1782" t="s">
        <v>1306</v>
      </c>
      <c r="X440" s="1631">
        <v>3</v>
      </c>
      <c r="Y440" s="1633" t="s">
        <v>1306</v>
      </c>
      <c r="Z440" s="1640" t="s">
        <v>1543</v>
      </c>
      <c r="AA440" s="1783"/>
      <c r="AB440" s="1787"/>
      <c r="AC440" s="1698"/>
      <c r="AD440" s="1699"/>
      <c r="AE440" s="1698"/>
      <c r="AF440" s="1698"/>
      <c r="AG440" s="1637" t="str">
        <f t="shared" si="101"/>
        <v>階別用途別床面積-3-塔屋 2階</v>
      </c>
      <c r="AI440" s="1636"/>
      <c r="AJ440" s="1636"/>
      <c r="AK440" s="1636"/>
    </row>
    <row r="441" spans="1:41" s="1637" customFormat="1" ht="18.75" customHeight="1" x14ac:dyDescent="0.15">
      <c r="A441" s="1627"/>
      <c r="B441" s="1627"/>
      <c r="C441" s="1627"/>
      <c r="D441" s="1626">
        <f>'2_入力シート【用途面積】'!$K20</f>
        <v>0</v>
      </c>
      <c r="E441" s="1672">
        <f t="shared" si="102"/>
        <v>0</v>
      </c>
      <c r="F441" s="1672" t="str">
        <f t="shared" si="103"/>
        <v>0</v>
      </c>
      <c r="G441" s="1672" t="str">
        <f t="shared" si="104"/>
        <v>0</v>
      </c>
      <c r="H441" s="1628"/>
      <c r="I441" s="1627"/>
      <c r="J441" s="1627"/>
      <c r="K441" s="1627"/>
      <c r="L441" s="1627"/>
      <c r="M441" s="1629"/>
      <c r="N441" s="1627"/>
      <c r="O441" s="1627"/>
      <c r="P441" s="1627"/>
      <c r="Q441" s="1627"/>
      <c r="R441" s="1627"/>
      <c r="S441" s="1627"/>
      <c r="T441" s="1627"/>
      <c r="U441" s="1780"/>
      <c r="V441" s="1781" t="s">
        <v>1602</v>
      </c>
      <c r="W441" s="1782" t="s">
        <v>1306</v>
      </c>
      <c r="X441" s="1631">
        <v>3</v>
      </c>
      <c r="Y441" s="1633" t="s">
        <v>1306</v>
      </c>
      <c r="Z441" s="1640" t="s">
        <v>1544</v>
      </c>
      <c r="AA441" s="1783"/>
      <c r="AB441" s="1787"/>
      <c r="AC441" s="1698"/>
      <c r="AD441" s="1699"/>
      <c r="AE441" s="1698"/>
      <c r="AF441" s="1698"/>
      <c r="AG441" s="1637" t="str">
        <f t="shared" si="101"/>
        <v>階別用途別床面積-3-塔屋 3階</v>
      </c>
      <c r="AI441" s="1636"/>
      <c r="AJ441" s="1636"/>
      <c r="AK441" s="1636"/>
    </row>
    <row r="442" spans="1:41" s="1637" customFormat="1" ht="18.75" customHeight="1" x14ac:dyDescent="0.15">
      <c r="A442" s="1627"/>
      <c r="B442" s="1627"/>
      <c r="C442" s="1627"/>
      <c r="D442" s="1626">
        <f>'2_入力シート【用途面積】'!$K21</f>
        <v>0</v>
      </c>
      <c r="E442" s="1672">
        <f t="shared" si="102"/>
        <v>0</v>
      </c>
      <c r="F442" s="1672" t="str">
        <f t="shared" si="103"/>
        <v>0</v>
      </c>
      <c r="G442" s="1672" t="str">
        <f t="shared" si="104"/>
        <v>0</v>
      </c>
      <c r="H442" s="1628"/>
      <c r="I442" s="1627"/>
      <c r="J442" s="1627"/>
      <c r="K442" s="1627"/>
      <c r="L442" s="1627"/>
      <c r="M442" s="1629"/>
      <c r="N442" s="1627"/>
      <c r="O442" s="1627"/>
      <c r="P442" s="1627"/>
      <c r="Q442" s="1627"/>
      <c r="R442" s="1627"/>
      <c r="S442" s="1627"/>
      <c r="T442" s="1627"/>
      <c r="U442" s="1780"/>
      <c r="V442" s="1781" t="s">
        <v>1602</v>
      </c>
      <c r="W442" s="1782" t="s">
        <v>1306</v>
      </c>
      <c r="X442" s="1631">
        <v>3</v>
      </c>
      <c r="Y442" s="1633" t="s">
        <v>1306</v>
      </c>
      <c r="Z442" s="1640" t="s">
        <v>1545</v>
      </c>
      <c r="AA442" s="1783"/>
      <c r="AB442" s="1784"/>
      <c r="AC442" s="1636"/>
      <c r="AD442" s="1785"/>
      <c r="AE442" s="1698"/>
      <c r="AF442" s="1698"/>
      <c r="AG442" s="1637" t="str">
        <f t="shared" si="101"/>
        <v>階別用途別床面積-3-塔屋 4階</v>
      </c>
      <c r="AI442" s="1636"/>
      <c r="AJ442" s="1636"/>
      <c r="AK442" s="1636"/>
    </row>
    <row r="443" spans="1:41" s="1637" customFormat="1" ht="18.75" customHeight="1" x14ac:dyDescent="0.15">
      <c r="A443" s="1627"/>
      <c r="B443" s="1627"/>
      <c r="C443" s="1627"/>
      <c r="D443" s="1626">
        <f>'2_入力シート【用途面積】'!$K22</f>
        <v>0</v>
      </c>
      <c r="E443" s="1672">
        <f t="shared" si="102"/>
        <v>0</v>
      </c>
      <c r="F443" s="1672" t="str">
        <f t="shared" si="103"/>
        <v>0</v>
      </c>
      <c r="G443" s="1672" t="str">
        <f t="shared" si="104"/>
        <v>0</v>
      </c>
      <c r="H443" s="1628"/>
      <c r="I443" s="1627"/>
      <c r="J443" s="1627"/>
      <c r="K443" s="1627"/>
      <c r="L443" s="1627"/>
      <c r="M443" s="1629"/>
      <c r="N443" s="1627"/>
      <c r="O443" s="1627"/>
      <c r="P443" s="1627"/>
      <c r="Q443" s="1627"/>
      <c r="R443" s="1627"/>
      <c r="S443" s="1627"/>
      <c r="T443" s="1627"/>
      <c r="U443" s="1780"/>
      <c r="V443" s="1781" t="s">
        <v>1602</v>
      </c>
      <c r="W443" s="1782" t="s">
        <v>1306</v>
      </c>
      <c r="X443" s="1631">
        <v>3</v>
      </c>
      <c r="Y443" s="1633" t="s">
        <v>1306</v>
      </c>
      <c r="Z443" s="1640" t="s">
        <v>1546</v>
      </c>
      <c r="AA443" s="1783"/>
      <c r="AB443" s="1784"/>
      <c r="AC443" s="1698"/>
      <c r="AD443" s="1699"/>
      <c r="AE443" s="1698"/>
      <c r="AF443" s="1698"/>
      <c r="AG443" s="1637" t="str">
        <f t="shared" si="101"/>
        <v>階別用途別床面積-3-塔屋 5階</v>
      </c>
      <c r="AI443" s="1636"/>
      <c r="AJ443" s="1636"/>
      <c r="AK443" s="1636"/>
    </row>
    <row r="444" spans="1:41" s="1637" customFormat="1" ht="18.75" customHeight="1" x14ac:dyDescent="0.15">
      <c r="A444" s="1627"/>
      <c r="B444" s="1627"/>
      <c r="C444" s="1627"/>
      <c r="D444" s="1626">
        <f>'2_入力シート【用途面積】'!$K23</f>
        <v>0</v>
      </c>
      <c r="E444" s="1672">
        <f t="shared" si="102"/>
        <v>0</v>
      </c>
      <c r="F444" s="1672" t="str">
        <f t="shared" si="103"/>
        <v>0</v>
      </c>
      <c r="G444" s="1672" t="str">
        <f t="shared" si="104"/>
        <v>0</v>
      </c>
      <c r="H444" s="1628"/>
      <c r="I444" s="1627"/>
      <c r="J444" s="1627"/>
      <c r="K444" s="1627"/>
      <c r="L444" s="1627"/>
      <c r="M444" s="1629"/>
      <c r="N444" s="1627"/>
      <c r="O444" s="1627"/>
      <c r="P444" s="1627"/>
      <c r="Q444" s="1627"/>
      <c r="R444" s="1627"/>
      <c r="S444" s="1627"/>
      <c r="T444" s="1627"/>
      <c r="U444" s="1780"/>
      <c r="V444" s="1781" t="s">
        <v>1602</v>
      </c>
      <c r="W444" s="1782" t="s">
        <v>1306</v>
      </c>
      <c r="X444" s="1631">
        <v>3</v>
      </c>
      <c r="Y444" s="1633" t="s">
        <v>1306</v>
      </c>
      <c r="Z444" s="1640" t="s">
        <v>1547</v>
      </c>
      <c r="AA444" s="1783"/>
      <c r="AB444" s="1784"/>
      <c r="AC444" s="1698"/>
      <c r="AD444" s="1699"/>
      <c r="AE444" s="1698"/>
      <c r="AF444" s="1698"/>
      <c r="AG444" s="1637" t="str">
        <f t="shared" si="101"/>
        <v>階別用途別床面積-3-1階</v>
      </c>
      <c r="AI444" s="1636"/>
      <c r="AJ444" s="1636"/>
      <c r="AK444" s="1636"/>
    </row>
    <row r="445" spans="1:41" s="1637" customFormat="1" ht="18.75" customHeight="1" x14ac:dyDescent="0.15">
      <c r="A445" s="1627"/>
      <c r="B445" s="1627"/>
      <c r="C445" s="1627"/>
      <c r="D445" s="1626">
        <f>'2_入力シート【用途面積】'!$K24</f>
        <v>0</v>
      </c>
      <c r="E445" s="1672">
        <f t="shared" si="102"/>
        <v>0</v>
      </c>
      <c r="F445" s="1672" t="str">
        <f t="shared" si="103"/>
        <v>0</v>
      </c>
      <c r="G445" s="1672" t="str">
        <f t="shared" si="104"/>
        <v>0</v>
      </c>
      <c r="H445" s="1628"/>
      <c r="I445" s="1627"/>
      <c r="J445" s="1627"/>
      <c r="K445" s="1627"/>
      <c r="L445" s="1627"/>
      <c r="M445" s="1629"/>
      <c r="N445" s="1627"/>
      <c r="O445" s="1627"/>
      <c r="P445" s="1627"/>
      <c r="Q445" s="1627"/>
      <c r="R445" s="1627"/>
      <c r="S445" s="1627"/>
      <c r="T445" s="1627"/>
      <c r="U445" s="1780"/>
      <c r="V445" s="1781" t="s">
        <v>1602</v>
      </c>
      <c r="W445" s="1782" t="s">
        <v>1306</v>
      </c>
      <c r="X445" s="1631">
        <v>3</v>
      </c>
      <c r="Y445" s="1633" t="s">
        <v>1306</v>
      </c>
      <c r="Z445" s="1640" t="s">
        <v>1548</v>
      </c>
      <c r="AA445" s="1783"/>
      <c r="AB445" s="1784"/>
      <c r="AC445" s="1698"/>
      <c r="AD445" s="1699"/>
      <c r="AE445" s="1636"/>
      <c r="AF445" s="1636"/>
      <c r="AG445" s="1637" t="str">
        <f t="shared" si="101"/>
        <v>階別用途別床面積-3-2階</v>
      </c>
      <c r="AI445" s="1636"/>
      <c r="AJ445" s="1636"/>
      <c r="AK445" s="1636"/>
    </row>
    <row r="446" spans="1:41" s="1637" customFormat="1" ht="18.75" customHeight="1" x14ac:dyDescent="0.15">
      <c r="A446" s="1627"/>
      <c r="B446" s="1627"/>
      <c r="C446" s="1627"/>
      <c r="D446" s="1626">
        <f>'2_入力シート【用途面積】'!$K25</f>
        <v>0</v>
      </c>
      <c r="E446" s="1672">
        <f t="shared" si="102"/>
        <v>0</v>
      </c>
      <c r="F446" s="1672" t="str">
        <f t="shared" si="103"/>
        <v>0</v>
      </c>
      <c r="G446" s="1672" t="str">
        <f t="shared" si="104"/>
        <v>0</v>
      </c>
      <c r="H446" s="1628"/>
      <c r="I446" s="1627"/>
      <c r="J446" s="1627"/>
      <c r="K446" s="1627"/>
      <c r="L446" s="1627"/>
      <c r="M446" s="1629"/>
      <c r="N446" s="1627"/>
      <c r="O446" s="1627"/>
      <c r="P446" s="1627"/>
      <c r="Q446" s="1627"/>
      <c r="R446" s="1627"/>
      <c r="S446" s="1627"/>
      <c r="T446" s="1627"/>
      <c r="U446" s="1780"/>
      <c r="V446" s="1781" t="s">
        <v>1602</v>
      </c>
      <c r="W446" s="1782" t="s">
        <v>1306</v>
      </c>
      <c r="X446" s="1631">
        <v>3</v>
      </c>
      <c r="Y446" s="1633" t="s">
        <v>1306</v>
      </c>
      <c r="Z446" s="1640" t="s">
        <v>1549</v>
      </c>
      <c r="AA446" s="1783"/>
      <c r="AB446" s="1784"/>
      <c r="AC446" s="1698"/>
      <c r="AD446" s="1699"/>
      <c r="AE446" s="1698"/>
      <c r="AF446" s="1698"/>
      <c r="AG446" s="1637" t="str">
        <f t="shared" si="101"/>
        <v>階別用途別床面積-3-3階</v>
      </c>
      <c r="AI446" s="1636"/>
      <c r="AJ446" s="1636"/>
      <c r="AK446" s="1636"/>
    </row>
    <row r="447" spans="1:41" s="1637" customFormat="1" ht="18.75" customHeight="1" x14ac:dyDescent="0.15">
      <c r="A447" s="1627"/>
      <c r="B447" s="1627"/>
      <c r="C447" s="1627"/>
      <c r="D447" s="1626">
        <f>'2_入力シート【用途面積】'!$K26</f>
        <v>0</v>
      </c>
      <c r="E447" s="1672">
        <f t="shared" si="102"/>
        <v>0</v>
      </c>
      <c r="F447" s="1672" t="str">
        <f t="shared" si="103"/>
        <v>0</v>
      </c>
      <c r="G447" s="1672" t="str">
        <f t="shared" si="104"/>
        <v>0</v>
      </c>
      <c r="H447" s="1628"/>
      <c r="I447" s="1627"/>
      <c r="J447" s="1627"/>
      <c r="K447" s="1627"/>
      <c r="L447" s="1627"/>
      <c r="M447" s="1629"/>
      <c r="N447" s="1627"/>
      <c r="O447" s="1627"/>
      <c r="P447" s="1627"/>
      <c r="Q447" s="1627"/>
      <c r="R447" s="1627"/>
      <c r="S447" s="1627"/>
      <c r="T447" s="1627"/>
      <c r="U447" s="1780"/>
      <c r="V447" s="1781" t="s">
        <v>1602</v>
      </c>
      <c r="W447" s="1782" t="s">
        <v>1306</v>
      </c>
      <c r="X447" s="1631">
        <v>3</v>
      </c>
      <c r="Y447" s="1633" t="s">
        <v>1306</v>
      </c>
      <c r="Z447" s="1640" t="s">
        <v>1550</v>
      </c>
      <c r="AA447" s="1783"/>
      <c r="AB447" s="1787"/>
      <c r="AC447" s="1698"/>
      <c r="AD447" s="1699"/>
      <c r="AE447" s="1698"/>
      <c r="AF447" s="1698"/>
      <c r="AG447" s="1637" t="str">
        <f t="shared" si="101"/>
        <v>階別用途別床面積-3-4階</v>
      </c>
      <c r="AI447" s="1636"/>
      <c r="AJ447" s="1636"/>
      <c r="AK447" s="1636"/>
    </row>
    <row r="448" spans="1:41" s="1637" customFormat="1" ht="18.75" customHeight="1" x14ac:dyDescent="0.15">
      <c r="A448" s="1627"/>
      <c r="B448" s="1627"/>
      <c r="C448" s="1627"/>
      <c r="D448" s="1626">
        <f>'2_入力シート【用途面積】'!$K27</f>
        <v>0</v>
      </c>
      <c r="E448" s="1672">
        <f t="shared" si="102"/>
        <v>0</v>
      </c>
      <c r="F448" s="1672" t="str">
        <f t="shared" si="103"/>
        <v>0</v>
      </c>
      <c r="G448" s="1672" t="str">
        <f t="shared" si="104"/>
        <v>0</v>
      </c>
      <c r="H448" s="1628"/>
      <c r="I448" s="1627"/>
      <c r="J448" s="1627"/>
      <c r="K448" s="1627"/>
      <c r="L448" s="1627"/>
      <c r="M448" s="1629"/>
      <c r="N448" s="1627"/>
      <c r="O448" s="1627"/>
      <c r="P448" s="1627"/>
      <c r="Q448" s="1627"/>
      <c r="R448" s="1627"/>
      <c r="S448" s="1627"/>
      <c r="T448" s="1627"/>
      <c r="U448" s="1780"/>
      <c r="V448" s="1781" t="s">
        <v>1602</v>
      </c>
      <c r="W448" s="1782" t="s">
        <v>1306</v>
      </c>
      <c r="X448" s="1631">
        <v>3</v>
      </c>
      <c r="Y448" s="1633" t="s">
        <v>1306</v>
      </c>
      <c r="Z448" s="1640" t="s">
        <v>1551</v>
      </c>
      <c r="AA448" s="1783"/>
      <c r="AB448" s="1787"/>
      <c r="AC448" s="1698"/>
      <c r="AD448" s="1699"/>
      <c r="AE448" s="1698"/>
      <c r="AF448" s="1698"/>
      <c r="AG448" s="1637" t="str">
        <f t="shared" si="101"/>
        <v>階別用途別床面積-3-5階</v>
      </c>
      <c r="AI448" s="1636"/>
      <c r="AJ448" s="1636"/>
      <c r="AK448" s="1636"/>
    </row>
    <row r="449" spans="1:37" s="1637" customFormat="1" ht="18.75" customHeight="1" x14ac:dyDescent="0.15">
      <c r="A449" s="1627"/>
      <c r="B449" s="1627"/>
      <c r="C449" s="1627"/>
      <c r="D449" s="1626">
        <f>'2_入力シート【用途面積】'!$K28</f>
        <v>0</v>
      </c>
      <c r="E449" s="1672">
        <f t="shared" si="102"/>
        <v>0</v>
      </c>
      <c r="F449" s="1672" t="str">
        <f t="shared" si="103"/>
        <v>0</v>
      </c>
      <c r="G449" s="1672" t="str">
        <f t="shared" si="104"/>
        <v>0</v>
      </c>
      <c r="H449" s="1628"/>
      <c r="I449" s="1627"/>
      <c r="J449" s="1627"/>
      <c r="K449" s="1627"/>
      <c r="L449" s="1627"/>
      <c r="M449" s="1629"/>
      <c r="N449" s="1627"/>
      <c r="O449" s="1627"/>
      <c r="P449" s="1627"/>
      <c r="Q449" s="1627"/>
      <c r="R449" s="1627"/>
      <c r="S449" s="1627"/>
      <c r="T449" s="1627"/>
      <c r="U449" s="1780"/>
      <c r="V449" s="1781" t="s">
        <v>1602</v>
      </c>
      <c r="W449" s="1782" t="s">
        <v>1306</v>
      </c>
      <c r="X449" s="1631">
        <v>3</v>
      </c>
      <c r="Y449" s="1633" t="s">
        <v>1306</v>
      </c>
      <c r="Z449" s="1640" t="s">
        <v>1552</v>
      </c>
      <c r="AA449" s="1783"/>
      <c r="AB449" s="1787"/>
      <c r="AC449" s="1698"/>
      <c r="AD449" s="1699"/>
      <c r="AE449" s="1698"/>
      <c r="AF449" s="1698"/>
      <c r="AG449" s="1637" t="str">
        <f t="shared" si="101"/>
        <v>階別用途別床面積-3-6階</v>
      </c>
      <c r="AI449" s="1636"/>
      <c r="AJ449" s="1636"/>
      <c r="AK449" s="1636"/>
    </row>
    <row r="450" spans="1:37" s="1637" customFormat="1" ht="18.75" customHeight="1" x14ac:dyDescent="0.15">
      <c r="A450" s="1627"/>
      <c r="B450" s="1627"/>
      <c r="C450" s="1627"/>
      <c r="D450" s="1626">
        <f>'2_入力シート【用途面積】'!$K29</f>
        <v>0</v>
      </c>
      <c r="E450" s="1672">
        <f t="shared" si="102"/>
        <v>0</v>
      </c>
      <c r="F450" s="1672" t="str">
        <f t="shared" si="103"/>
        <v>0</v>
      </c>
      <c r="G450" s="1672" t="str">
        <f t="shared" si="104"/>
        <v>0</v>
      </c>
      <c r="H450" s="1628"/>
      <c r="I450" s="1627"/>
      <c r="J450" s="1627"/>
      <c r="K450" s="1627"/>
      <c r="L450" s="1627"/>
      <c r="M450" s="1629"/>
      <c r="N450" s="1627"/>
      <c r="O450" s="1627"/>
      <c r="P450" s="1627"/>
      <c r="Q450" s="1627"/>
      <c r="R450" s="1627"/>
      <c r="S450" s="1627"/>
      <c r="T450" s="1627"/>
      <c r="U450" s="1780"/>
      <c r="V450" s="1781" t="s">
        <v>1602</v>
      </c>
      <c r="W450" s="1782" t="s">
        <v>1306</v>
      </c>
      <c r="X450" s="1631">
        <v>3</v>
      </c>
      <c r="Y450" s="1633" t="s">
        <v>1306</v>
      </c>
      <c r="Z450" s="1640" t="s">
        <v>1553</v>
      </c>
      <c r="AA450" s="1783"/>
      <c r="AB450" s="1784"/>
      <c r="AC450" s="1636"/>
      <c r="AD450" s="1785"/>
      <c r="AE450" s="1698"/>
      <c r="AF450" s="1698"/>
      <c r="AG450" s="1637" t="str">
        <f t="shared" si="101"/>
        <v>階別用途別床面積-3-7階</v>
      </c>
      <c r="AI450" s="1636"/>
      <c r="AJ450" s="1636"/>
      <c r="AK450" s="1636"/>
    </row>
    <row r="451" spans="1:37" s="1637" customFormat="1" ht="18.75" customHeight="1" x14ac:dyDescent="0.15">
      <c r="A451" s="1627"/>
      <c r="B451" s="1627"/>
      <c r="C451" s="1627"/>
      <c r="D451" s="1626">
        <f>'2_入力シート【用途面積】'!$K30</f>
        <v>0</v>
      </c>
      <c r="E451" s="1672">
        <f t="shared" si="102"/>
        <v>0</v>
      </c>
      <c r="F451" s="1672" t="str">
        <f t="shared" si="103"/>
        <v>0</v>
      </c>
      <c r="G451" s="1672" t="str">
        <f t="shared" si="104"/>
        <v>0</v>
      </c>
      <c r="H451" s="1628"/>
      <c r="I451" s="1627"/>
      <c r="J451" s="1627"/>
      <c r="K451" s="1627"/>
      <c r="L451" s="1627"/>
      <c r="M451" s="1629"/>
      <c r="N451" s="1627"/>
      <c r="O451" s="1627"/>
      <c r="P451" s="1627"/>
      <c r="Q451" s="1627"/>
      <c r="R451" s="1627"/>
      <c r="S451" s="1627"/>
      <c r="T451" s="1627"/>
      <c r="U451" s="1780"/>
      <c r="V451" s="1781" t="s">
        <v>1602</v>
      </c>
      <c r="W451" s="1782" t="s">
        <v>1306</v>
      </c>
      <c r="X451" s="1631">
        <v>3</v>
      </c>
      <c r="Y451" s="1633" t="s">
        <v>1306</v>
      </c>
      <c r="Z451" s="1640" t="s">
        <v>1554</v>
      </c>
      <c r="AA451" s="1783"/>
      <c r="AB451" s="1784"/>
      <c r="AC451" s="1698"/>
      <c r="AD451" s="1699"/>
      <c r="AE451" s="1698"/>
      <c r="AF451" s="1698"/>
      <c r="AG451" s="1637" t="str">
        <f t="shared" si="101"/>
        <v>階別用途別床面積-3-8階</v>
      </c>
      <c r="AI451" s="1636"/>
      <c r="AJ451" s="1636"/>
      <c r="AK451" s="1636"/>
    </row>
    <row r="452" spans="1:37" s="1637" customFormat="1" ht="18.75" customHeight="1" x14ac:dyDescent="0.15">
      <c r="A452" s="1627"/>
      <c r="B452" s="1627"/>
      <c r="C452" s="1627"/>
      <c r="D452" s="1626">
        <f>'2_入力シート【用途面積】'!$K31</f>
        <v>0</v>
      </c>
      <c r="E452" s="1672">
        <f t="shared" si="102"/>
        <v>0</v>
      </c>
      <c r="F452" s="1672" t="str">
        <f t="shared" si="103"/>
        <v>0</v>
      </c>
      <c r="G452" s="1672" t="str">
        <f t="shared" si="104"/>
        <v>0</v>
      </c>
      <c r="H452" s="1628"/>
      <c r="I452" s="1627"/>
      <c r="J452" s="1627"/>
      <c r="K452" s="1627"/>
      <c r="L452" s="1627"/>
      <c r="M452" s="1629"/>
      <c r="N452" s="1627"/>
      <c r="O452" s="1627"/>
      <c r="P452" s="1627"/>
      <c r="Q452" s="1627"/>
      <c r="R452" s="1627"/>
      <c r="S452" s="1627"/>
      <c r="T452" s="1627"/>
      <c r="U452" s="1780"/>
      <c r="V452" s="1781" t="s">
        <v>1602</v>
      </c>
      <c r="W452" s="1782" t="s">
        <v>1306</v>
      </c>
      <c r="X452" s="1631">
        <v>3</v>
      </c>
      <c r="Y452" s="1633" t="s">
        <v>1306</v>
      </c>
      <c r="Z452" s="1640" t="s">
        <v>1555</v>
      </c>
      <c r="AA452" s="1783"/>
      <c r="AB452" s="1784"/>
      <c r="AC452" s="1698"/>
      <c r="AD452" s="1699"/>
      <c r="AE452" s="1698"/>
      <c r="AF452" s="1698"/>
      <c r="AG452" s="1637" t="str">
        <f t="shared" si="101"/>
        <v>階別用途別床面積-3-9階</v>
      </c>
      <c r="AI452" s="1636"/>
      <c r="AJ452" s="1636"/>
      <c r="AK452" s="1636"/>
    </row>
    <row r="453" spans="1:37" s="1637" customFormat="1" ht="18.75" customHeight="1" x14ac:dyDescent="0.15">
      <c r="A453" s="1627"/>
      <c r="B453" s="1627"/>
      <c r="C453" s="1627"/>
      <c r="D453" s="1626">
        <f>'2_入力シート【用途面積】'!$K32</f>
        <v>0</v>
      </c>
      <c r="E453" s="1672">
        <f t="shared" si="102"/>
        <v>0</v>
      </c>
      <c r="F453" s="1672" t="str">
        <f t="shared" si="103"/>
        <v>0</v>
      </c>
      <c r="G453" s="1672" t="str">
        <f t="shared" si="104"/>
        <v>0</v>
      </c>
      <c r="H453" s="1628"/>
      <c r="I453" s="1627"/>
      <c r="J453" s="1627"/>
      <c r="K453" s="1627"/>
      <c r="L453" s="1627"/>
      <c r="M453" s="1629"/>
      <c r="N453" s="1627"/>
      <c r="O453" s="1627"/>
      <c r="P453" s="1627"/>
      <c r="Q453" s="1627"/>
      <c r="R453" s="1627"/>
      <c r="S453" s="1627"/>
      <c r="T453" s="1627"/>
      <c r="U453" s="1780"/>
      <c r="V453" s="1781" t="s">
        <v>1602</v>
      </c>
      <c r="W453" s="1782" t="s">
        <v>1306</v>
      </c>
      <c r="X453" s="1631">
        <v>3</v>
      </c>
      <c r="Y453" s="1633" t="s">
        <v>1306</v>
      </c>
      <c r="Z453" s="1640" t="s">
        <v>1556</v>
      </c>
      <c r="AA453" s="1783"/>
      <c r="AB453" s="1784"/>
      <c r="AC453" s="1698"/>
      <c r="AD453" s="1699"/>
      <c r="AE453" s="1636"/>
      <c r="AF453" s="1636"/>
      <c r="AG453" s="1637" t="str">
        <f t="shared" si="101"/>
        <v>階別用途別床面積-3-10階</v>
      </c>
      <c r="AI453" s="1636"/>
      <c r="AJ453" s="1636"/>
      <c r="AK453" s="1636"/>
    </row>
    <row r="454" spans="1:37" s="1637" customFormat="1" ht="18.75" customHeight="1" x14ac:dyDescent="0.15">
      <c r="A454" s="1627"/>
      <c r="B454" s="1627"/>
      <c r="C454" s="1627"/>
      <c r="D454" s="1626">
        <f>'2_入力シート【用途面積】'!$K33</f>
        <v>0</v>
      </c>
      <c r="E454" s="1672">
        <f t="shared" si="102"/>
        <v>0</v>
      </c>
      <c r="F454" s="1672" t="str">
        <f t="shared" si="103"/>
        <v>0</v>
      </c>
      <c r="G454" s="1672" t="str">
        <f t="shared" si="104"/>
        <v>0</v>
      </c>
      <c r="H454" s="1628"/>
      <c r="I454" s="1627"/>
      <c r="J454" s="1627"/>
      <c r="K454" s="1627"/>
      <c r="L454" s="1627"/>
      <c r="M454" s="1629"/>
      <c r="N454" s="1627"/>
      <c r="O454" s="1627"/>
      <c r="P454" s="1627"/>
      <c r="Q454" s="1627"/>
      <c r="R454" s="1627"/>
      <c r="S454" s="1627"/>
      <c r="T454" s="1627"/>
      <c r="U454" s="1780"/>
      <c r="V454" s="1781" t="s">
        <v>1602</v>
      </c>
      <c r="W454" s="1782" t="s">
        <v>1306</v>
      </c>
      <c r="X454" s="1631">
        <v>3</v>
      </c>
      <c r="Y454" s="1633" t="s">
        <v>1306</v>
      </c>
      <c r="Z454" s="1640" t="s">
        <v>1557</v>
      </c>
      <c r="AA454" s="1783"/>
      <c r="AB454" s="1784"/>
      <c r="AC454" s="1698"/>
      <c r="AD454" s="1699"/>
      <c r="AE454" s="1698"/>
      <c r="AF454" s="1698"/>
      <c r="AG454" s="1637" t="str">
        <f t="shared" si="101"/>
        <v>階別用途別床面積-3-11階</v>
      </c>
      <c r="AI454" s="1636"/>
      <c r="AJ454" s="1636"/>
      <c r="AK454" s="1636"/>
    </row>
    <row r="455" spans="1:37" s="1637" customFormat="1" ht="18.75" customHeight="1" x14ac:dyDescent="0.15">
      <c r="A455" s="1627"/>
      <c r="B455" s="1627"/>
      <c r="C455" s="1627"/>
      <c r="D455" s="1626">
        <f>'2_入力シート【用途面積】'!$K34</f>
        <v>0</v>
      </c>
      <c r="E455" s="1672">
        <f t="shared" si="102"/>
        <v>0</v>
      </c>
      <c r="F455" s="1672" t="str">
        <f t="shared" si="103"/>
        <v>0</v>
      </c>
      <c r="G455" s="1672" t="str">
        <f t="shared" si="104"/>
        <v>0</v>
      </c>
      <c r="H455" s="1628"/>
      <c r="I455" s="1627"/>
      <c r="J455" s="1627"/>
      <c r="K455" s="1627"/>
      <c r="L455" s="1627"/>
      <c r="M455" s="1629"/>
      <c r="N455" s="1627"/>
      <c r="O455" s="1627"/>
      <c r="P455" s="1627"/>
      <c r="Q455" s="1627"/>
      <c r="R455" s="1627"/>
      <c r="S455" s="1627"/>
      <c r="T455" s="1627"/>
      <c r="U455" s="1780"/>
      <c r="V455" s="1781" t="s">
        <v>1602</v>
      </c>
      <c r="W455" s="1782" t="s">
        <v>1306</v>
      </c>
      <c r="X455" s="1631">
        <v>3</v>
      </c>
      <c r="Y455" s="1633" t="s">
        <v>1306</v>
      </c>
      <c r="Z455" s="1640" t="s">
        <v>1558</v>
      </c>
      <c r="AA455" s="1783"/>
      <c r="AB455" s="1787"/>
      <c r="AC455" s="1698"/>
      <c r="AD455" s="1699"/>
      <c r="AE455" s="1698"/>
      <c r="AF455" s="1698"/>
      <c r="AG455" s="1637" t="str">
        <f t="shared" si="101"/>
        <v>階別用途別床面積-3-12階</v>
      </c>
      <c r="AI455" s="1636"/>
      <c r="AJ455" s="1636"/>
      <c r="AK455" s="1636"/>
    </row>
    <row r="456" spans="1:37" s="1637" customFormat="1" ht="18.75" customHeight="1" x14ac:dyDescent="0.15">
      <c r="A456" s="1627"/>
      <c r="B456" s="1627"/>
      <c r="C456" s="1627"/>
      <c r="D456" s="1626">
        <f>'2_入力シート【用途面積】'!$K35</f>
        <v>0</v>
      </c>
      <c r="E456" s="1672">
        <f t="shared" si="102"/>
        <v>0</v>
      </c>
      <c r="F456" s="1672" t="str">
        <f t="shared" si="103"/>
        <v>0</v>
      </c>
      <c r="G456" s="1672" t="str">
        <f t="shared" si="104"/>
        <v>0</v>
      </c>
      <c r="H456" s="1628"/>
      <c r="I456" s="1627"/>
      <c r="J456" s="1627"/>
      <c r="K456" s="1627"/>
      <c r="L456" s="1627"/>
      <c r="M456" s="1629"/>
      <c r="N456" s="1627"/>
      <c r="O456" s="1627"/>
      <c r="P456" s="1627"/>
      <c r="Q456" s="1627"/>
      <c r="R456" s="1627"/>
      <c r="S456" s="1627"/>
      <c r="T456" s="1627"/>
      <c r="U456" s="1780"/>
      <c r="V456" s="1781" t="s">
        <v>1602</v>
      </c>
      <c r="W456" s="1782" t="s">
        <v>1306</v>
      </c>
      <c r="X456" s="1631">
        <v>3</v>
      </c>
      <c r="Y456" s="1633" t="s">
        <v>1306</v>
      </c>
      <c r="Z456" s="1640" t="s">
        <v>1559</v>
      </c>
      <c r="AA456" s="1783"/>
      <c r="AB456" s="1787"/>
      <c r="AC456" s="1698"/>
      <c r="AD456" s="1699"/>
      <c r="AE456" s="1698"/>
      <c r="AF456" s="1698"/>
      <c r="AG456" s="1637" t="str">
        <f t="shared" si="101"/>
        <v>階別用途別床面積-3-13階</v>
      </c>
      <c r="AI456" s="1636"/>
      <c r="AJ456" s="1636"/>
      <c r="AK456" s="1636"/>
    </row>
    <row r="457" spans="1:37" s="1637" customFormat="1" ht="18.75" customHeight="1" x14ac:dyDescent="0.15">
      <c r="A457" s="1627"/>
      <c r="B457" s="1627"/>
      <c r="C457" s="1627"/>
      <c r="D457" s="1626">
        <f>'2_入力シート【用途面積】'!$K36</f>
        <v>0</v>
      </c>
      <c r="E457" s="1672">
        <f t="shared" si="102"/>
        <v>0</v>
      </c>
      <c r="F457" s="1672" t="str">
        <f t="shared" si="103"/>
        <v>0</v>
      </c>
      <c r="G457" s="1672" t="str">
        <f t="shared" si="104"/>
        <v>0</v>
      </c>
      <c r="H457" s="1628"/>
      <c r="I457" s="1627"/>
      <c r="J457" s="1627"/>
      <c r="K457" s="1627"/>
      <c r="L457" s="1627"/>
      <c r="M457" s="1629"/>
      <c r="N457" s="1627"/>
      <c r="O457" s="1627"/>
      <c r="P457" s="1627"/>
      <c r="Q457" s="1627"/>
      <c r="R457" s="1627"/>
      <c r="S457" s="1627"/>
      <c r="T457" s="1627"/>
      <c r="U457" s="1780"/>
      <c r="V457" s="1781" t="s">
        <v>1602</v>
      </c>
      <c r="W457" s="1782" t="s">
        <v>1306</v>
      </c>
      <c r="X457" s="1631">
        <v>3</v>
      </c>
      <c r="Y457" s="1633" t="s">
        <v>1306</v>
      </c>
      <c r="Z457" s="1640" t="s">
        <v>1560</v>
      </c>
      <c r="AA457" s="1783"/>
      <c r="AB457" s="1787"/>
      <c r="AC457" s="1698"/>
      <c r="AD457" s="1699"/>
      <c r="AE457" s="1698"/>
      <c r="AF457" s="1698"/>
      <c r="AG457" s="1637" t="str">
        <f t="shared" ref="AG457:AG521" si="105">CONCATENATE(U457,V457,W457,X457,Y457,Z457,AA457,AB457,AC457,AD457)</f>
        <v>階別用途別床面積-3-14階</v>
      </c>
      <c r="AI457" s="1636"/>
      <c r="AJ457" s="1636"/>
      <c r="AK457" s="1636"/>
    </row>
    <row r="458" spans="1:37" s="1637" customFormat="1" ht="18.75" customHeight="1" x14ac:dyDescent="0.15">
      <c r="A458" s="1627"/>
      <c r="B458" s="1627"/>
      <c r="C458" s="1627"/>
      <c r="D458" s="1626">
        <f>'2_入力シート【用途面積】'!$K37</f>
        <v>0</v>
      </c>
      <c r="E458" s="1672">
        <f t="shared" si="102"/>
        <v>0</v>
      </c>
      <c r="F458" s="1672" t="str">
        <f t="shared" si="103"/>
        <v>0</v>
      </c>
      <c r="G458" s="1672" t="str">
        <f t="shared" si="104"/>
        <v>0</v>
      </c>
      <c r="H458" s="1628"/>
      <c r="I458" s="1627"/>
      <c r="J458" s="1627"/>
      <c r="K458" s="1627"/>
      <c r="L458" s="1627"/>
      <c r="M458" s="1629"/>
      <c r="N458" s="1627"/>
      <c r="O458" s="1627"/>
      <c r="P458" s="1627"/>
      <c r="Q458" s="1627"/>
      <c r="R458" s="1627"/>
      <c r="S458" s="1627"/>
      <c r="T458" s="1627"/>
      <c r="U458" s="1780"/>
      <c r="V458" s="1781" t="s">
        <v>1602</v>
      </c>
      <c r="W458" s="1782" t="s">
        <v>1306</v>
      </c>
      <c r="X458" s="1631">
        <v>3</v>
      </c>
      <c r="Y458" s="1633" t="s">
        <v>1306</v>
      </c>
      <c r="Z458" s="1640" t="s">
        <v>1561</v>
      </c>
      <c r="AA458" s="1783"/>
      <c r="AB458" s="1784"/>
      <c r="AC458" s="1636"/>
      <c r="AD458" s="1785"/>
      <c r="AE458" s="1698"/>
      <c r="AF458" s="1698"/>
      <c r="AG458" s="1637" t="str">
        <f t="shared" si="105"/>
        <v>階別用途別床面積-3-15階</v>
      </c>
      <c r="AI458" s="1636"/>
      <c r="AJ458" s="1636"/>
      <c r="AK458" s="1636"/>
    </row>
    <row r="459" spans="1:37" s="1637" customFormat="1" ht="18.75" customHeight="1" x14ac:dyDescent="0.15">
      <c r="A459" s="1627"/>
      <c r="B459" s="1627"/>
      <c r="C459" s="1627"/>
      <c r="D459" s="1626">
        <f>'2_入力シート【用途面積】'!$K38</f>
        <v>0</v>
      </c>
      <c r="E459" s="1672">
        <f t="shared" si="102"/>
        <v>0</v>
      </c>
      <c r="F459" s="1672" t="str">
        <f t="shared" si="103"/>
        <v>0</v>
      </c>
      <c r="G459" s="1672" t="str">
        <f t="shared" si="104"/>
        <v>0</v>
      </c>
      <c r="H459" s="1628"/>
      <c r="I459" s="1627"/>
      <c r="J459" s="1627"/>
      <c r="K459" s="1627"/>
      <c r="L459" s="1627"/>
      <c r="M459" s="1629"/>
      <c r="N459" s="1627"/>
      <c r="O459" s="1627"/>
      <c r="P459" s="1627"/>
      <c r="Q459" s="1627"/>
      <c r="R459" s="1627"/>
      <c r="S459" s="1627"/>
      <c r="T459" s="1627"/>
      <c r="U459" s="1780"/>
      <c r="V459" s="1781" t="s">
        <v>1602</v>
      </c>
      <c r="W459" s="1782" t="s">
        <v>1306</v>
      </c>
      <c r="X459" s="1631">
        <v>3</v>
      </c>
      <c r="Y459" s="1633" t="s">
        <v>1306</v>
      </c>
      <c r="Z459" s="1640" t="s">
        <v>1562</v>
      </c>
      <c r="AA459" s="1783"/>
      <c r="AB459" s="1784"/>
      <c r="AC459" s="1698"/>
      <c r="AD459" s="1699"/>
      <c r="AE459" s="1698"/>
      <c r="AF459" s="1698"/>
      <c r="AG459" s="1637" t="str">
        <f t="shared" si="105"/>
        <v>階別用途別床面積-3-16階</v>
      </c>
      <c r="AI459" s="1636"/>
      <c r="AJ459" s="1636"/>
      <c r="AK459" s="1636"/>
    </row>
    <row r="460" spans="1:37" s="1637" customFormat="1" ht="18.75" customHeight="1" x14ac:dyDescent="0.15">
      <c r="A460" s="1627"/>
      <c r="B460" s="1627"/>
      <c r="C460" s="1627"/>
      <c r="D460" s="1626">
        <f>'2_入力シート【用途面積】'!$K39</f>
        <v>0</v>
      </c>
      <c r="E460" s="1672">
        <f t="shared" si="102"/>
        <v>0</v>
      </c>
      <c r="F460" s="1672" t="str">
        <f t="shared" si="103"/>
        <v>0</v>
      </c>
      <c r="G460" s="1672" t="str">
        <f t="shared" si="104"/>
        <v>0</v>
      </c>
      <c r="H460" s="1628"/>
      <c r="I460" s="1627"/>
      <c r="J460" s="1627"/>
      <c r="K460" s="1627"/>
      <c r="L460" s="1627"/>
      <c r="M460" s="1629"/>
      <c r="N460" s="1627"/>
      <c r="O460" s="1627"/>
      <c r="P460" s="1627"/>
      <c r="Q460" s="1627"/>
      <c r="R460" s="1627"/>
      <c r="S460" s="1627"/>
      <c r="T460" s="1627"/>
      <c r="U460" s="1780"/>
      <c r="V460" s="1781" t="s">
        <v>1602</v>
      </c>
      <c r="W460" s="1782" t="s">
        <v>1306</v>
      </c>
      <c r="X460" s="1631">
        <v>3</v>
      </c>
      <c r="Y460" s="1633" t="s">
        <v>1306</v>
      </c>
      <c r="Z460" s="1640" t="s">
        <v>1563</v>
      </c>
      <c r="AA460" s="1783"/>
      <c r="AB460" s="1784"/>
      <c r="AC460" s="1698"/>
      <c r="AD460" s="1699"/>
      <c r="AE460" s="1698"/>
      <c r="AF460" s="1698"/>
      <c r="AG460" s="1637" t="str">
        <f t="shared" si="105"/>
        <v>階別用途別床面積-3-17階</v>
      </c>
      <c r="AI460" s="1636"/>
      <c r="AJ460" s="1636"/>
      <c r="AK460" s="1636"/>
    </row>
    <row r="461" spans="1:37" s="1637" customFormat="1" ht="18.75" customHeight="1" x14ac:dyDescent="0.15">
      <c r="A461" s="1627"/>
      <c r="B461" s="1627"/>
      <c r="C461" s="1627"/>
      <c r="D461" s="1626">
        <f>'2_入力シート【用途面積】'!$K40</f>
        <v>0</v>
      </c>
      <c r="E461" s="1672">
        <f t="shared" si="102"/>
        <v>0</v>
      </c>
      <c r="F461" s="1672" t="str">
        <f t="shared" si="103"/>
        <v>0</v>
      </c>
      <c r="G461" s="1672" t="str">
        <f t="shared" si="104"/>
        <v>0</v>
      </c>
      <c r="H461" s="1628"/>
      <c r="I461" s="1627"/>
      <c r="J461" s="1627"/>
      <c r="K461" s="1627"/>
      <c r="L461" s="1627"/>
      <c r="M461" s="1629"/>
      <c r="N461" s="1627"/>
      <c r="O461" s="1627"/>
      <c r="P461" s="1627"/>
      <c r="Q461" s="1627"/>
      <c r="R461" s="1627"/>
      <c r="S461" s="1627"/>
      <c r="T461" s="1627"/>
      <c r="U461" s="1780"/>
      <c r="V461" s="1781" t="s">
        <v>1602</v>
      </c>
      <c r="W461" s="1782" t="s">
        <v>1306</v>
      </c>
      <c r="X461" s="1631">
        <v>3</v>
      </c>
      <c r="Y461" s="1633" t="s">
        <v>1306</v>
      </c>
      <c r="Z461" s="1640" t="s">
        <v>1564</v>
      </c>
      <c r="AA461" s="1783"/>
      <c r="AB461" s="1784"/>
      <c r="AC461" s="1698"/>
      <c r="AD461" s="1699"/>
      <c r="AE461" s="1636"/>
      <c r="AF461" s="1636"/>
      <c r="AG461" s="1637" t="str">
        <f t="shared" si="105"/>
        <v>階別用途別床面積-3-18階</v>
      </c>
      <c r="AI461" s="1636"/>
      <c r="AJ461" s="1636"/>
      <c r="AK461" s="1636"/>
    </row>
    <row r="462" spans="1:37" s="1637" customFormat="1" ht="18.75" customHeight="1" x14ac:dyDescent="0.15">
      <c r="A462" s="1627"/>
      <c r="B462" s="1627"/>
      <c r="C462" s="1627"/>
      <c r="D462" s="1626">
        <f>'2_入力シート【用途面積】'!$K41</f>
        <v>0</v>
      </c>
      <c r="E462" s="1672">
        <f t="shared" si="102"/>
        <v>0</v>
      </c>
      <c r="F462" s="1672" t="str">
        <f t="shared" si="103"/>
        <v>0</v>
      </c>
      <c r="G462" s="1672" t="str">
        <f t="shared" si="104"/>
        <v>0</v>
      </c>
      <c r="H462" s="1628"/>
      <c r="I462" s="1627"/>
      <c r="J462" s="1627"/>
      <c r="K462" s="1627"/>
      <c r="L462" s="1627"/>
      <c r="M462" s="1629"/>
      <c r="N462" s="1627"/>
      <c r="O462" s="1627"/>
      <c r="P462" s="1627"/>
      <c r="Q462" s="1627"/>
      <c r="R462" s="1627"/>
      <c r="S462" s="1627"/>
      <c r="T462" s="1627"/>
      <c r="U462" s="1780"/>
      <c r="V462" s="1781" t="s">
        <v>1602</v>
      </c>
      <c r="W462" s="1782" t="s">
        <v>1306</v>
      </c>
      <c r="X462" s="1631">
        <v>3</v>
      </c>
      <c r="Y462" s="1633" t="s">
        <v>1306</v>
      </c>
      <c r="Z462" s="1640" t="s">
        <v>1565</v>
      </c>
      <c r="AA462" s="1783"/>
      <c r="AB462" s="1784"/>
      <c r="AC462" s="1698"/>
      <c r="AD462" s="1699"/>
      <c r="AE462" s="1698"/>
      <c r="AF462" s="1698"/>
      <c r="AG462" s="1637" t="str">
        <f t="shared" si="105"/>
        <v>階別用途別床面積-3-19階</v>
      </c>
      <c r="AI462" s="1636"/>
      <c r="AJ462" s="1636"/>
      <c r="AK462" s="1636"/>
    </row>
    <row r="463" spans="1:37" s="1637" customFormat="1" ht="18.75" customHeight="1" x14ac:dyDescent="0.15">
      <c r="A463" s="1627"/>
      <c r="B463" s="1627"/>
      <c r="C463" s="1627"/>
      <c r="D463" s="1626">
        <f>'2_入力シート【用途面積】'!$K42</f>
        <v>0</v>
      </c>
      <c r="E463" s="1672">
        <f t="shared" si="102"/>
        <v>0</v>
      </c>
      <c r="F463" s="1672" t="str">
        <f t="shared" si="103"/>
        <v>0</v>
      </c>
      <c r="G463" s="1672" t="str">
        <f t="shared" si="104"/>
        <v>0</v>
      </c>
      <c r="H463" s="1628"/>
      <c r="I463" s="1627"/>
      <c r="J463" s="1627"/>
      <c r="K463" s="1627"/>
      <c r="L463" s="1627"/>
      <c r="M463" s="1629"/>
      <c r="N463" s="1627"/>
      <c r="O463" s="1627"/>
      <c r="P463" s="1627"/>
      <c r="Q463" s="1627"/>
      <c r="R463" s="1627"/>
      <c r="S463" s="1627"/>
      <c r="T463" s="1627"/>
      <c r="U463" s="1780"/>
      <c r="V463" s="1781" t="s">
        <v>1602</v>
      </c>
      <c r="W463" s="1782" t="s">
        <v>1306</v>
      </c>
      <c r="X463" s="1631">
        <v>3</v>
      </c>
      <c r="Y463" s="1633" t="s">
        <v>1306</v>
      </c>
      <c r="Z463" s="1640" t="s">
        <v>1566</v>
      </c>
      <c r="AA463" s="1783"/>
      <c r="AB463" s="1784"/>
      <c r="AC463" s="1698"/>
      <c r="AD463" s="1699"/>
      <c r="AE463" s="1698"/>
      <c r="AF463" s="1698"/>
      <c r="AG463" s="1637" t="str">
        <f t="shared" si="105"/>
        <v>階別用途別床面積-3-20階</v>
      </c>
      <c r="AI463" s="1636"/>
      <c r="AJ463" s="1636"/>
      <c r="AK463" s="1636"/>
    </row>
    <row r="464" spans="1:37" s="1637" customFormat="1" ht="18.75" customHeight="1" x14ac:dyDescent="0.15">
      <c r="A464" s="1627"/>
      <c r="B464" s="1627"/>
      <c r="C464" s="1627"/>
      <c r="D464" s="1626">
        <f>'2_入力シート【用途面積】'!$K43</f>
        <v>0</v>
      </c>
      <c r="E464" s="1672">
        <f t="shared" si="102"/>
        <v>0</v>
      </c>
      <c r="F464" s="1672" t="str">
        <f t="shared" si="103"/>
        <v>0</v>
      </c>
      <c r="G464" s="1672" t="str">
        <f t="shared" si="104"/>
        <v>0</v>
      </c>
      <c r="H464" s="1628"/>
      <c r="I464" s="1627"/>
      <c r="J464" s="1627"/>
      <c r="K464" s="1627"/>
      <c r="L464" s="1627"/>
      <c r="M464" s="1629"/>
      <c r="N464" s="1627"/>
      <c r="O464" s="1627"/>
      <c r="P464" s="1627"/>
      <c r="Q464" s="1627"/>
      <c r="R464" s="1627"/>
      <c r="S464" s="1627"/>
      <c r="T464" s="1627"/>
      <c r="U464" s="1780"/>
      <c r="V464" s="1781" t="s">
        <v>1602</v>
      </c>
      <c r="W464" s="1782" t="s">
        <v>1306</v>
      </c>
      <c r="X464" s="1631">
        <v>3</v>
      </c>
      <c r="Y464" s="1633" t="s">
        <v>1306</v>
      </c>
      <c r="Z464" s="1640" t="s">
        <v>1567</v>
      </c>
      <c r="AA464" s="1783"/>
      <c r="AB464" s="1787"/>
      <c r="AC464" s="1698"/>
      <c r="AD464" s="1699"/>
      <c r="AE464" s="1698"/>
      <c r="AF464" s="1698"/>
      <c r="AG464" s="1637" t="str">
        <f t="shared" si="105"/>
        <v>階別用途別床面積-3-21階</v>
      </c>
      <c r="AI464" s="1636"/>
      <c r="AJ464" s="1636"/>
      <c r="AK464" s="1636"/>
    </row>
    <row r="465" spans="1:37" s="1637" customFormat="1" ht="18.75" customHeight="1" x14ac:dyDescent="0.15">
      <c r="A465" s="1627"/>
      <c r="B465" s="1627"/>
      <c r="C465" s="1627"/>
      <c r="D465" s="1626">
        <f>'2_入力シート【用途面積】'!$K44</f>
        <v>0</v>
      </c>
      <c r="E465" s="1672">
        <f t="shared" si="102"/>
        <v>0</v>
      </c>
      <c r="F465" s="1672" t="str">
        <f t="shared" si="103"/>
        <v>0</v>
      </c>
      <c r="G465" s="1672" t="str">
        <f t="shared" si="104"/>
        <v>0</v>
      </c>
      <c r="H465" s="1628"/>
      <c r="I465" s="1627"/>
      <c r="J465" s="1627"/>
      <c r="K465" s="1627"/>
      <c r="L465" s="1627"/>
      <c r="M465" s="1629"/>
      <c r="N465" s="1627"/>
      <c r="O465" s="1627"/>
      <c r="P465" s="1627"/>
      <c r="Q465" s="1627"/>
      <c r="R465" s="1627"/>
      <c r="S465" s="1627"/>
      <c r="T465" s="1627"/>
      <c r="U465" s="1780"/>
      <c r="V465" s="1781" t="s">
        <v>1602</v>
      </c>
      <c r="W465" s="1782" t="s">
        <v>1306</v>
      </c>
      <c r="X465" s="1631">
        <v>3</v>
      </c>
      <c r="Y465" s="1633" t="s">
        <v>1306</v>
      </c>
      <c r="Z465" s="1640" t="s">
        <v>1568</v>
      </c>
      <c r="AA465" s="1783"/>
      <c r="AB465" s="1787"/>
      <c r="AC465" s="1698"/>
      <c r="AD465" s="1699"/>
      <c r="AE465" s="1698"/>
      <c r="AF465" s="1698"/>
      <c r="AG465" s="1637" t="str">
        <f t="shared" si="105"/>
        <v>階別用途別床面積-3-22階</v>
      </c>
      <c r="AI465" s="1636"/>
      <c r="AJ465" s="1636"/>
      <c r="AK465" s="1636"/>
    </row>
    <row r="466" spans="1:37" s="1637" customFormat="1" ht="18.75" customHeight="1" x14ac:dyDescent="0.15">
      <c r="A466" s="1627"/>
      <c r="B466" s="1627"/>
      <c r="C466" s="1627"/>
      <c r="D466" s="1626">
        <f>'2_入力シート【用途面積】'!$K45</f>
        <v>0</v>
      </c>
      <c r="E466" s="1672">
        <f t="shared" si="102"/>
        <v>0</v>
      </c>
      <c r="F466" s="1672" t="str">
        <f t="shared" si="103"/>
        <v>0</v>
      </c>
      <c r="G466" s="1672" t="str">
        <f t="shared" si="104"/>
        <v>0</v>
      </c>
      <c r="H466" s="1628"/>
      <c r="I466" s="1627"/>
      <c r="J466" s="1627"/>
      <c r="K466" s="1627"/>
      <c r="L466" s="1627"/>
      <c r="M466" s="1629"/>
      <c r="N466" s="1627"/>
      <c r="O466" s="1627"/>
      <c r="P466" s="1627"/>
      <c r="Q466" s="1627"/>
      <c r="R466" s="1627"/>
      <c r="S466" s="1627"/>
      <c r="T466" s="1627"/>
      <c r="U466" s="1780"/>
      <c r="V466" s="1781" t="s">
        <v>1602</v>
      </c>
      <c r="W466" s="1782" t="s">
        <v>1306</v>
      </c>
      <c r="X466" s="1631">
        <v>3</v>
      </c>
      <c r="Y466" s="1633" t="s">
        <v>1306</v>
      </c>
      <c r="Z466" s="1640" t="s">
        <v>1569</v>
      </c>
      <c r="AA466" s="1783"/>
      <c r="AB466" s="1787"/>
      <c r="AC466" s="1698"/>
      <c r="AD466" s="1699"/>
      <c r="AE466" s="1698"/>
      <c r="AF466" s="1698"/>
      <c r="AG466" s="1637" t="str">
        <f t="shared" si="105"/>
        <v>階別用途別床面積-3-23階</v>
      </c>
      <c r="AI466" s="1636"/>
      <c r="AJ466" s="1636"/>
      <c r="AK466" s="1636"/>
    </row>
    <row r="467" spans="1:37" s="1637" customFormat="1" ht="18.75" customHeight="1" x14ac:dyDescent="0.15">
      <c r="A467" s="1627"/>
      <c r="B467" s="1627"/>
      <c r="C467" s="1627"/>
      <c r="D467" s="1626">
        <f>'2_入力シート【用途面積】'!$K46</f>
        <v>0</v>
      </c>
      <c r="E467" s="1672">
        <f t="shared" si="102"/>
        <v>0</v>
      </c>
      <c r="F467" s="1672" t="str">
        <f t="shared" si="103"/>
        <v>0</v>
      </c>
      <c r="G467" s="1672" t="str">
        <f t="shared" si="104"/>
        <v>0</v>
      </c>
      <c r="H467" s="1628"/>
      <c r="I467" s="1627"/>
      <c r="J467" s="1627"/>
      <c r="K467" s="1627"/>
      <c r="L467" s="1627"/>
      <c r="M467" s="1629"/>
      <c r="N467" s="1627"/>
      <c r="O467" s="1627"/>
      <c r="P467" s="1627"/>
      <c r="Q467" s="1627"/>
      <c r="R467" s="1627"/>
      <c r="S467" s="1627"/>
      <c r="T467" s="1627"/>
      <c r="U467" s="1780"/>
      <c r="V467" s="1781" t="s">
        <v>1602</v>
      </c>
      <c r="W467" s="1782" t="s">
        <v>1306</v>
      </c>
      <c r="X467" s="1631">
        <v>3</v>
      </c>
      <c r="Y467" s="1633" t="s">
        <v>1306</v>
      </c>
      <c r="Z467" s="1640" t="s">
        <v>1570</v>
      </c>
      <c r="AA467" s="1783"/>
      <c r="AB467" s="1784"/>
      <c r="AC467" s="1636"/>
      <c r="AD467" s="1785"/>
      <c r="AE467" s="1698"/>
      <c r="AF467" s="1698"/>
      <c r="AG467" s="1637" t="str">
        <f t="shared" si="105"/>
        <v>階別用途別床面積-3-24階</v>
      </c>
      <c r="AI467" s="1636"/>
      <c r="AJ467" s="1636"/>
      <c r="AK467" s="1636"/>
    </row>
    <row r="468" spans="1:37" s="1637" customFormat="1" ht="18.75" customHeight="1" x14ac:dyDescent="0.15">
      <c r="A468" s="1627"/>
      <c r="B468" s="1627"/>
      <c r="C468" s="1627"/>
      <c r="D468" s="1626">
        <f>'2_入力シート【用途面積】'!$K47</f>
        <v>0</v>
      </c>
      <c r="E468" s="1672">
        <f t="shared" si="102"/>
        <v>0</v>
      </c>
      <c r="F468" s="1672" t="str">
        <f t="shared" si="103"/>
        <v>0</v>
      </c>
      <c r="G468" s="1672" t="str">
        <f t="shared" si="104"/>
        <v>0</v>
      </c>
      <c r="H468" s="1628"/>
      <c r="I468" s="1627"/>
      <c r="J468" s="1627"/>
      <c r="K468" s="1627"/>
      <c r="L468" s="1627"/>
      <c r="M468" s="1629"/>
      <c r="N468" s="1627"/>
      <c r="O468" s="1627"/>
      <c r="P468" s="1627"/>
      <c r="Q468" s="1627"/>
      <c r="R468" s="1627"/>
      <c r="S468" s="1627"/>
      <c r="T468" s="1627"/>
      <c r="U468" s="1780"/>
      <c r="V468" s="1781" t="s">
        <v>1602</v>
      </c>
      <c r="W468" s="1782" t="s">
        <v>1306</v>
      </c>
      <c r="X468" s="1631">
        <v>3</v>
      </c>
      <c r="Y468" s="1633" t="s">
        <v>1306</v>
      </c>
      <c r="Z468" s="1640" t="s">
        <v>1571</v>
      </c>
      <c r="AA468" s="1783"/>
      <c r="AB468" s="1784"/>
      <c r="AC468" s="1698"/>
      <c r="AD468" s="1699"/>
      <c r="AE468" s="1698"/>
      <c r="AF468" s="1698"/>
      <c r="AG468" s="1637" t="str">
        <f t="shared" si="105"/>
        <v>階別用途別床面積-3-25階</v>
      </c>
      <c r="AI468" s="1636"/>
      <c r="AJ468" s="1636"/>
      <c r="AK468" s="1636"/>
    </row>
    <row r="469" spans="1:37" s="1637" customFormat="1" ht="18.75" customHeight="1" x14ac:dyDescent="0.15">
      <c r="A469" s="1627"/>
      <c r="B469" s="1627"/>
      <c r="C469" s="1627"/>
      <c r="D469" s="1626">
        <f>'2_入力シート【用途面積】'!$K48</f>
        <v>0</v>
      </c>
      <c r="E469" s="1672">
        <f t="shared" si="102"/>
        <v>0</v>
      </c>
      <c r="F469" s="1672" t="str">
        <f t="shared" si="103"/>
        <v>0</v>
      </c>
      <c r="G469" s="1672" t="str">
        <f t="shared" si="104"/>
        <v>0</v>
      </c>
      <c r="H469" s="1628"/>
      <c r="I469" s="1627"/>
      <c r="J469" s="1627"/>
      <c r="K469" s="1627"/>
      <c r="L469" s="1627"/>
      <c r="M469" s="1629"/>
      <c r="N469" s="1627"/>
      <c r="O469" s="1627"/>
      <c r="P469" s="1627"/>
      <c r="Q469" s="1627"/>
      <c r="R469" s="1627"/>
      <c r="S469" s="1627"/>
      <c r="T469" s="1627"/>
      <c r="U469" s="1780"/>
      <c r="V469" s="1781" t="s">
        <v>1602</v>
      </c>
      <c r="W469" s="1782" t="s">
        <v>1306</v>
      </c>
      <c r="X469" s="1631">
        <v>3</v>
      </c>
      <c r="Y469" s="1633" t="s">
        <v>1306</v>
      </c>
      <c r="Z469" s="1640" t="s">
        <v>1572</v>
      </c>
      <c r="AA469" s="1783"/>
      <c r="AB469" s="1784"/>
      <c r="AC469" s="1698"/>
      <c r="AD469" s="1699"/>
      <c r="AE469" s="1636"/>
      <c r="AF469" s="1636"/>
      <c r="AG469" s="1637" t="str">
        <f t="shared" si="105"/>
        <v>階別用途別床面積-3-26階</v>
      </c>
      <c r="AI469" s="1636"/>
      <c r="AJ469" s="1636"/>
      <c r="AK469" s="1636"/>
    </row>
    <row r="470" spans="1:37" s="1637" customFormat="1" ht="18.75" customHeight="1" x14ac:dyDescent="0.15">
      <c r="A470" s="1627"/>
      <c r="B470" s="1627"/>
      <c r="C470" s="1627"/>
      <c r="D470" s="1626">
        <f>'2_入力シート【用途面積】'!$K49</f>
        <v>0</v>
      </c>
      <c r="E470" s="1672">
        <f t="shared" si="102"/>
        <v>0</v>
      </c>
      <c r="F470" s="1672" t="str">
        <f t="shared" si="103"/>
        <v>0</v>
      </c>
      <c r="G470" s="1672" t="str">
        <f t="shared" si="104"/>
        <v>0</v>
      </c>
      <c r="H470" s="1628"/>
      <c r="I470" s="1627"/>
      <c r="J470" s="1627"/>
      <c r="K470" s="1627"/>
      <c r="L470" s="1627"/>
      <c r="M470" s="1629"/>
      <c r="N470" s="1627"/>
      <c r="O470" s="1627"/>
      <c r="P470" s="1627"/>
      <c r="Q470" s="1627"/>
      <c r="R470" s="1627"/>
      <c r="S470" s="1627"/>
      <c r="T470" s="1627"/>
      <c r="U470" s="1780"/>
      <c r="V470" s="1781" t="s">
        <v>1602</v>
      </c>
      <c r="W470" s="1782" t="s">
        <v>1306</v>
      </c>
      <c r="X470" s="1631">
        <v>3</v>
      </c>
      <c r="Y470" s="1633" t="s">
        <v>1306</v>
      </c>
      <c r="Z470" s="1640" t="s">
        <v>1573</v>
      </c>
      <c r="AA470" s="1783"/>
      <c r="AB470" s="1784"/>
      <c r="AC470" s="1698"/>
      <c r="AD470" s="1699"/>
      <c r="AE470" s="1698"/>
      <c r="AF470" s="1698"/>
      <c r="AG470" s="1637" t="str">
        <f t="shared" si="105"/>
        <v>階別用途別床面積-3-27階</v>
      </c>
      <c r="AI470" s="1636"/>
      <c r="AJ470" s="1636"/>
      <c r="AK470" s="1636"/>
    </row>
    <row r="471" spans="1:37" s="1637" customFormat="1" ht="18.75" customHeight="1" x14ac:dyDescent="0.15">
      <c r="A471" s="1627"/>
      <c r="B471" s="1627"/>
      <c r="C471" s="1627"/>
      <c r="D471" s="1626">
        <f>'2_入力シート【用途面積】'!$K50</f>
        <v>0</v>
      </c>
      <c r="E471" s="1672">
        <f t="shared" si="102"/>
        <v>0</v>
      </c>
      <c r="F471" s="1672" t="str">
        <f t="shared" si="103"/>
        <v>0</v>
      </c>
      <c r="G471" s="1672" t="str">
        <f t="shared" si="104"/>
        <v>0</v>
      </c>
      <c r="H471" s="1628"/>
      <c r="I471" s="1627"/>
      <c r="J471" s="1627"/>
      <c r="K471" s="1627"/>
      <c r="L471" s="1627"/>
      <c r="M471" s="1629"/>
      <c r="N471" s="1627"/>
      <c r="O471" s="1627"/>
      <c r="P471" s="1627"/>
      <c r="Q471" s="1627"/>
      <c r="R471" s="1627"/>
      <c r="S471" s="1627"/>
      <c r="T471" s="1627"/>
      <c r="U471" s="1780"/>
      <c r="V471" s="1781" t="s">
        <v>1602</v>
      </c>
      <c r="W471" s="1782" t="s">
        <v>1306</v>
      </c>
      <c r="X471" s="1631">
        <v>3</v>
      </c>
      <c r="Y471" s="1633" t="s">
        <v>1306</v>
      </c>
      <c r="Z471" s="1640" t="s">
        <v>1574</v>
      </c>
      <c r="AA471" s="1783"/>
      <c r="AB471" s="1784"/>
      <c r="AC471" s="1698"/>
      <c r="AD471" s="1699"/>
      <c r="AE471" s="1698"/>
      <c r="AF471" s="1698"/>
      <c r="AG471" s="1637" t="str">
        <f t="shared" si="105"/>
        <v>階別用途別床面積-3-28階</v>
      </c>
      <c r="AI471" s="1636"/>
      <c r="AJ471" s="1636"/>
      <c r="AK471" s="1636"/>
    </row>
    <row r="472" spans="1:37" s="1637" customFormat="1" ht="18.75" customHeight="1" x14ac:dyDescent="0.15">
      <c r="A472" s="1627"/>
      <c r="B472" s="1627"/>
      <c r="C472" s="1627"/>
      <c r="D472" s="1626">
        <f>'2_入力シート【用途面積】'!$K51</f>
        <v>0</v>
      </c>
      <c r="E472" s="1672">
        <f t="shared" si="102"/>
        <v>0</v>
      </c>
      <c r="F472" s="1672" t="str">
        <f t="shared" si="103"/>
        <v>0</v>
      </c>
      <c r="G472" s="1672" t="str">
        <f t="shared" si="104"/>
        <v>0</v>
      </c>
      <c r="H472" s="1628"/>
      <c r="I472" s="1627"/>
      <c r="J472" s="1627"/>
      <c r="K472" s="1627"/>
      <c r="L472" s="1627"/>
      <c r="M472" s="1629"/>
      <c r="N472" s="1627"/>
      <c r="O472" s="1627"/>
      <c r="P472" s="1627"/>
      <c r="Q472" s="1627"/>
      <c r="R472" s="1627"/>
      <c r="S472" s="1627"/>
      <c r="T472" s="1627"/>
      <c r="U472" s="1780"/>
      <c r="V472" s="1781" t="s">
        <v>1602</v>
      </c>
      <c r="W472" s="1782" t="s">
        <v>1306</v>
      </c>
      <c r="X472" s="1631">
        <v>3</v>
      </c>
      <c r="Y472" s="1633" t="s">
        <v>1306</v>
      </c>
      <c r="Z472" s="1640" t="s">
        <v>1575</v>
      </c>
      <c r="AA472" s="1783"/>
      <c r="AB472" s="1784"/>
      <c r="AC472" s="1698"/>
      <c r="AD472" s="1699"/>
      <c r="AE472" s="1698"/>
      <c r="AF472" s="1698"/>
      <c r="AG472" s="1637" t="str">
        <f t="shared" si="105"/>
        <v>階別用途別床面積-3-29階</v>
      </c>
      <c r="AI472" s="1636"/>
      <c r="AJ472" s="1636"/>
      <c r="AK472" s="1636"/>
    </row>
    <row r="473" spans="1:37" s="1637" customFormat="1" ht="18.75" customHeight="1" x14ac:dyDescent="0.15">
      <c r="A473" s="1627"/>
      <c r="B473" s="1627"/>
      <c r="C473" s="1627"/>
      <c r="D473" s="1626">
        <f>'2_入力シート【用途面積】'!$K52</f>
        <v>0</v>
      </c>
      <c r="E473" s="1672">
        <f t="shared" si="102"/>
        <v>0</v>
      </c>
      <c r="F473" s="1672" t="str">
        <f t="shared" si="103"/>
        <v>0</v>
      </c>
      <c r="G473" s="1672" t="str">
        <f t="shared" si="104"/>
        <v>0</v>
      </c>
      <c r="H473" s="1628"/>
      <c r="I473" s="1627"/>
      <c r="J473" s="1627"/>
      <c r="K473" s="1627"/>
      <c r="L473" s="1627"/>
      <c r="M473" s="1629"/>
      <c r="N473" s="1627"/>
      <c r="O473" s="1627"/>
      <c r="P473" s="1627"/>
      <c r="Q473" s="1627"/>
      <c r="R473" s="1627"/>
      <c r="S473" s="1627"/>
      <c r="T473" s="1627"/>
      <c r="U473" s="1780"/>
      <c r="V473" s="1781" t="s">
        <v>1602</v>
      </c>
      <c r="W473" s="1782" t="s">
        <v>1306</v>
      </c>
      <c r="X473" s="1631">
        <v>3</v>
      </c>
      <c r="Y473" s="1633" t="s">
        <v>1306</v>
      </c>
      <c r="Z473" s="1640" t="s">
        <v>1576</v>
      </c>
      <c r="AA473" s="1783"/>
      <c r="AB473" s="1787"/>
      <c r="AC473" s="1698"/>
      <c r="AD473" s="1699"/>
      <c r="AE473" s="1698"/>
      <c r="AF473" s="1698"/>
      <c r="AG473" s="1637" t="str">
        <f t="shared" si="105"/>
        <v>階別用途別床面積-3-30階</v>
      </c>
      <c r="AI473" s="1636"/>
      <c r="AJ473" s="1636"/>
      <c r="AK473" s="1636"/>
    </row>
    <row r="474" spans="1:37" s="1637" customFormat="1" ht="18.75" customHeight="1" x14ac:dyDescent="0.15">
      <c r="A474" s="1627"/>
      <c r="B474" s="1627"/>
      <c r="C474" s="1627"/>
      <c r="D474" s="1626">
        <f>'2_入力シート【用途面積】'!$K53</f>
        <v>0</v>
      </c>
      <c r="E474" s="1672">
        <f t="shared" si="102"/>
        <v>0</v>
      </c>
      <c r="F474" s="1672" t="str">
        <f t="shared" si="103"/>
        <v>0</v>
      </c>
      <c r="G474" s="1672" t="str">
        <f t="shared" si="104"/>
        <v>0</v>
      </c>
      <c r="H474" s="1628"/>
      <c r="I474" s="1627"/>
      <c r="J474" s="1627"/>
      <c r="K474" s="1627"/>
      <c r="L474" s="1627"/>
      <c r="M474" s="1629"/>
      <c r="N474" s="1627"/>
      <c r="O474" s="1627"/>
      <c r="P474" s="1627"/>
      <c r="Q474" s="1627"/>
      <c r="R474" s="1627"/>
      <c r="S474" s="1627"/>
      <c r="T474" s="1627"/>
      <c r="U474" s="1780"/>
      <c r="V474" s="1781" t="s">
        <v>1602</v>
      </c>
      <c r="W474" s="1782" t="s">
        <v>1306</v>
      </c>
      <c r="X474" s="1631">
        <v>3</v>
      </c>
      <c r="Y474" s="1633" t="s">
        <v>1306</v>
      </c>
      <c r="Z474" s="1640" t="s">
        <v>1577</v>
      </c>
      <c r="AA474" s="1783"/>
      <c r="AB474" s="1787"/>
      <c r="AC474" s="1698"/>
      <c r="AD474" s="1699"/>
      <c r="AE474" s="1698"/>
      <c r="AF474" s="1698"/>
      <c r="AG474" s="1637" t="str">
        <f t="shared" si="105"/>
        <v>階別用途別床面積-3-31階</v>
      </c>
      <c r="AI474" s="1636"/>
      <c r="AJ474" s="1636"/>
      <c r="AK474" s="1636"/>
    </row>
    <row r="475" spans="1:37" s="1637" customFormat="1" ht="18.75" customHeight="1" x14ac:dyDescent="0.15">
      <c r="A475" s="1627"/>
      <c r="B475" s="1627"/>
      <c r="C475" s="1627"/>
      <c r="D475" s="1626">
        <f>'2_入力シート【用途面積】'!$K54</f>
        <v>0</v>
      </c>
      <c r="E475" s="1672">
        <f t="shared" si="102"/>
        <v>0</v>
      </c>
      <c r="F475" s="1672" t="str">
        <f t="shared" si="103"/>
        <v>0</v>
      </c>
      <c r="G475" s="1672" t="str">
        <f t="shared" si="104"/>
        <v>0</v>
      </c>
      <c r="H475" s="1628"/>
      <c r="I475" s="1627"/>
      <c r="J475" s="1627"/>
      <c r="K475" s="1627"/>
      <c r="L475" s="1627"/>
      <c r="M475" s="1629"/>
      <c r="N475" s="1627"/>
      <c r="O475" s="1627"/>
      <c r="P475" s="1627"/>
      <c r="Q475" s="1627"/>
      <c r="R475" s="1627"/>
      <c r="S475" s="1627"/>
      <c r="T475" s="1627"/>
      <c r="U475" s="1780"/>
      <c r="V475" s="1781" t="s">
        <v>1602</v>
      </c>
      <c r="W475" s="1782" t="s">
        <v>1306</v>
      </c>
      <c r="X475" s="1631">
        <v>3</v>
      </c>
      <c r="Y475" s="1633" t="s">
        <v>1306</v>
      </c>
      <c r="Z475" s="1640" t="s">
        <v>1578</v>
      </c>
      <c r="AA475" s="1783"/>
      <c r="AB475" s="1787"/>
      <c r="AC475" s="1698"/>
      <c r="AD475" s="1699"/>
      <c r="AE475" s="1698"/>
      <c r="AF475" s="1698"/>
      <c r="AG475" s="1637" t="str">
        <f t="shared" si="105"/>
        <v>階別用途別床面積-3-32階</v>
      </c>
      <c r="AI475" s="1636"/>
      <c r="AJ475" s="1636"/>
      <c r="AK475" s="1636"/>
    </row>
    <row r="476" spans="1:37" s="1637" customFormat="1" ht="18.75" customHeight="1" x14ac:dyDescent="0.15">
      <c r="A476" s="1627"/>
      <c r="B476" s="1627"/>
      <c r="C476" s="1627"/>
      <c r="D476" s="1626">
        <f>'2_入力シート【用途面積】'!$K55</f>
        <v>0</v>
      </c>
      <c r="E476" s="1672">
        <f t="shared" si="102"/>
        <v>0</v>
      </c>
      <c r="F476" s="1672" t="str">
        <f t="shared" si="103"/>
        <v>0</v>
      </c>
      <c r="G476" s="1672" t="str">
        <f t="shared" si="104"/>
        <v>0</v>
      </c>
      <c r="H476" s="1628"/>
      <c r="I476" s="1627"/>
      <c r="J476" s="1627"/>
      <c r="K476" s="1627"/>
      <c r="L476" s="1627"/>
      <c r="M476" s="1629"/>
      <c r="N476" s="1627"/>
      <c r="O476" s="1627"/>
      <c r="P476" s="1627"/>
      <c r="Q476" s="1627"/>
      <c r="R476" s="1627"/>
      <c r="S476" s="1627"/>
      <c r="T476" s="1627"/>
      <c r="U476" s="1780"/>
      <c r="V476" s="1781" t="s">
        <v>1602</v>
      </c>
      <c r="W476" s="1782" t="s">
        <v>1306</v>
      </c>
      <c r="X476" s="1631">
        <v>3</v>
      </c>
      <c r="Y476" s="1633" t="s">
        <v>1306</v>
      </c>
      <c r="Z476" s="1640" t="s">
        <v>1579</v>
      </c>
      <c r="AA476" s="1783"/>
      <c r="AB476" s="1784"/>
      <c r="AC476" s="1636"/>
      <c r="AD476" s="1785"/>
      <c r="AE476" s="1698"/>
      <c r="AF476" s="1698"/>
      <c r="AG476" s="1637" t="str">
        <f t="shared" si="105"/>
        <v>階別用途別床面積-3-33階</v>
      </c>
      <c r="AI476" s="1636"/>
      <c r="AJ476" s="1636"/>
      <c r="AK476" s="1636"/>
    </row>
    <row r="477" spans="1:37" s="1637" customFormat="1" ht="18.75" customHeight="1" x14ac:dyDescent="0.15">
      <c r="A477" s="1627"/>
      <c r="B477" s="1627"/>
      <c r="C477" s="1627"/>
      <c r="D477" s="1626">
        <f>'2_入力シート【用途面積】'!$K56</f>
        <v>0</v>
      </c>
      <c r="E477" s="1672">
        <f t="shared" si="102"/>
        <v>0</v>
      </c>
      <c r="F477" s="1672" t="str">
        <f t="shared" si="103"/>
        <v>0</v>
      </c>
      <c r="G477" s="1672" t="str">
        <f t="shared" si="104"/>
        <v>0</v>
      </c>
      <c r="H477" s="1628"/>
      <c r="I477" s="1627"/>
      <c r="J477" s="1627"/>
      <c r="K477" s="1627"/>
      <c r="L477" s="1627"/>
      <c r="M477" s="1629"/>
      <c r="N477" s="1627"/>
      <c r="O477" s="1627"/>
      <c r="P477" s="1627"/>
      <c r="Q477" s="1627"/>
      <c r="R477" s="1627"/>
      <c r="S477" s="1627"/>
      <c r="T477" s="1627"/>
      <c r="U477" s="1780"/>
      <c r="V477" s="1781" t="s">
        <v>1602</v>
      </c>
      <c r="W477" s="1782" t="s">
        <v>1306</v>
      </c>
      <c r="X477" s="1631">
        <v>3</v>
      </c>
      <c r="Y477" s="1633" t="s">
        <v>1306</v>
      </c>
      <c r="Z477" s="1640" t="s">
        <v>1580</v>
      </c>
      <c r="AA477" s="1783"/>
      <c r="AB477" s="1784"/>
      <c r="AC477" s="1698"/>
      <c r="AD477" s="1699"/>
      <c r="AE477" s="1698"/>
      <c r="AF477" s="1698"/>
      <c r="AG477" s="1637" t="str">
        <f t="shared" si="105"/>
        <v>階別用途別床面積-3-34階</v>
      </c>
      <c r="AI477" s="1636"/>
      <c r="AJ477" s="1636"/>
      <c r="AK477" s="1636"/>
    </row>
    <row r="478" spans="1:37" s="1637" customFormat="1" ht="18.75" customHeight="1" x14ac:dyDescent="0.15">
      <c r="A478" s="1627"/>
      <c r="B478" s="1627"/>
      <c r="C478" s="1627"/>
      <c r="D478" s="1626">
        <f>'2_入力シート【用途面積】'!$K57</f>
        <v>0</v>
      </c>
      <c r="E478" s="1672">
        <f t="shared" si="102"/>
        <v>0</v>
      </c>
      <c r="F478" s="1672" t="str">
        <f t="shared" si="103"/>
        <v>0</v>
      </c>
      <c r="G478" s="1672" t="str">
        <f t="shared" si="104"/>
        <v>0</v>
      </c>
      <c r="H478" s="1628"/>
      <c r="I478" s="1627"/>
      <c r="J478" s="1627"/>
      <c r="K478" s="1627"/>
      <c r="L478" s="1627"/>
      <c r="M478" s="1629"/>
      <c r="N478" s="1627"/>
      <c r="O478" s="1627"/>
      <c r="P478" s="1627"/>
      <c r="Q478" s="1627"/>
      <c r="R478" s="1627"/>
      <c r="S478" s="1627"/>
      <c r="T478" s="1627"/>
      <c r="U478" s="1780"/>
      <c r="V478" s="1781" t="s">
        <v>1602</v>
      </c>
      <c r="W478" s="1782" t="s">
        <v>1306</v>
      </c>
      <c r="X478" s="1631">
        <v>3</v>
      </c>
      <c r="Y478" s="1633" t="s">
        <v>1306</v>
      </c>
      <c r="Z478" s="1640" t="s">
        <v>1581</v>
      </c>
      <c r="AA478" s="1783"/>
      <c r="AB478" s="1784"/>
      <c r="AC478" s="1698"/>
      <c r="AD478" s="1699"/>
      <c r="AE478" s="1636"/>
      <c r="AF478" s="1636"/>
      <c r="AG478" s="1637" t="str">
        <f t="shared" si="105"/>
        <v>階別用途別床面積-3-35階</v>
      </c>
      <c r="AI478" s="1636"/>
      <c r="AJ478" s="1636"/>
      <c r="AK478" s="1636"/>
    </row>
    <row r="479" spans="1:37" s="1637" customFormat="1" ht="18.75" customHeight="1" x14ac:dyDescent="0.15">
      <c r="A479" s="1627"/>
      <c r="B479" s="1627"/>
      <c r="C479" s="1627"/>
      <c r="D479" s="1626">
        <f>'2_入力シート【用途面積】'!$K58</f>
        <v>0</v>
      </c>
      <c r="E479" s="1672">
        <f t="shared" si="102"/>
        <v>0</v>
      </c>
      <c r="F479" s="1672" t="str">
        <f t="shared" si="103"/>
        <v>0</v>
      </c>
      <c r="G479" s="1672" t="str">
        <f t="shared" si="104"/>
        <v>0</v>
      </c>
      <c r="H479" s="1628"/>
      <c r="I479" s="1627"/>
      <c r="J479" s="1627"/>
      <c r="K479" s="1627"/>
      <c r="L479" s="1627"/>
      <c r="M479" s="1629"/>
      <c r="N479" s="1627"/>
      <c r="O479" s="1627"/>
      <c r="P479" s="1627"/>
      <c r="Q479" s="1627"/>
      <c r="R479" s="1627"/>
      <c r="S479" s="1627"/>
      <c r="T479" s="1627"/>
      <c r="U479" s="1780"/>
      <c r="V479" s="1781" t="s">
        <v>1602</v>
      </c>
      <c r="W479" s="1782" t="s">
        <v>1306</v>
      </c>
      <c r="X479" s="1631">
        <v>3</v>
      </c>
      <c r="Y479" s="1633" t="s">
        <v>1306</v>
      </c>
      <c r="Z479" s="1640" t="s">
        <v>1582</v>
      </c>
      <c r="AA479" s="1783"/>
      <c r="AB479" s="1784"/>
      <c r="AC479" s="1698"/>
      <c r="AD479" s="1699"/>
      <c r="AE479" s="1698"/>
      <c r="AF479" s="1698"/>
      <c r="AG479" s="1637" t="str">
        <f t="shared" si="105"/>
        <v>階別用途別床面積-3-36階</v>
      </c>
      <c r="AI479" s="1636"/>
      <c r="AJ479" s="1636"/>
      <c r="AK479" s="1636"/>
    </row>
    <row r="480" spans="1:37" s="1637" customFormat="1" ht="18.75" customHeight="1" x14ac:dyDescent="0.15">
      <c r="A480" s="1627"/>
      <c r="B480" s="1627"/>
      <c r="C480" s="1627"/>
      <c r="D480" s="1626">
        <f>'2_入力シート【用途面積】'!$K59</f>
        <v>0</v>
      </c>
      <c r="E480" s="1672">
        <f t="shared" si="102"/>
        <v>0</v>
      </c>
      <c r="F480" s="1672" t="str">
        <f t="shared" si="103"/>
        <v>0</v>
      </c>
      <c r="G480" s="1672" t="str">
        <f t="shared" si="104"/>
        <v>0</v>
      </c>
      <c r="H480" s="1628"/>
      <c r="I480" s="1627"/>
      <c r="J480" s="1627"/>
      <c r="K480" s="1627"/>
      <c r="L480" s="1627"/>
      <c r="M480" s="1629"/>
      <c r="N480" s="1627"/>
      <c r="O480" s="1627"/>
      <c r="P480" s="1627"/>
      <c r="Q480" s="1627"/>
      <c r="R480" s="1627"/>
      <c r="S480" s="1627"/>
      <c r="T480" s="1627"/>
      <c r="U480" s="1780"/>
      <c r="V480" s="1781" t="s">
        <v>1602</v>
      </c>
      <c r="W480" s="1782" t="s">
        <v>1306</v>
      </c>
      <c r="X480" s="1631">
        <v>3</v>
      </c>
      <c r="Y480" s="1633" t="s">
        <v>1306</v>
      </c>
      <c r="Z480" s="1640" t="s">
        <v>1583</v>
      </c>
      <c r="AA480" s="1783"/>
      <c r="AB480" s="1784"/>
      <c r="AC480" s="1698"/>
      <c r="AD480" s="1699"/>
      <c r="AE480" s="1698"/>
      <c r="AF480" s="1698"/>
      <c r="AG480" s="1637" t="str">
        <f t="shared" si="105"/>
        <v>階別用途別床面積-3-37階</v>
      </c>
      <c r="AI480" s="1636"/>
      <c r="AJ480" s="1636"/>
      <c r="AK480" s="1636"/>
    </row>
    <row r="481" spans="1:41" s="1637" customFormat="1" ht="18.75" customHeight="1" x14ac:dyDescent="0.15">
      <c r="A481" s="1627"/>
      <c r="B481" s="1627"/>
      <c r="C481" s="1627"/>
      <c r="D481" s="1626">
        <f>'2_入力シート【用途面積】'!$K60</f>
        <v>0</v>
      </c>
      <c r="E481" s="1672">
        <f t="shared" si="102"/>
        <v>0</v>
      </c>
      <c r="F481" s="1672" t="str">
        <f t="shared" si="103"/>
        <v>0</v>
      </c>
      <c r="G481" s="1672" t="str">
        <f t="shared" si="104"/>
        <v>0</v>
      </c>
      <c r="H481" s="1628"/>
      <c r="I481" s="1627"/>
      <c r="J481" s="1627"/>
      <c r="K481" s="1627"/>
      <c r="L481" s="1627"/>
      <c r="M481" s="1629"/>
      <c r="N481" s="1627"/>
      <c r="O481" s="1627"/>
      <c r="P481" s="1627"/>
      <c r="Q481" s="1627"/>
      <c r="R481" s="1627"/>
      <c r="S481" s="1627"/>
      <c r="T481" s="1627"/>
      <c r="U481" s="1780"/>
      <c r="V481" s="1781" t="s">
        <v>1602</v>
      </c>
      <c r="W481" s="1782" t="s">
        <v>1306</v>
      </c>
      <c r="X481" s="1631">
        <v>3</v>
      </c>
      <c r="Y481" s="1633" t="s">
        <v>1306</v>
      </c>
      <c r="Z481" s="1640" t="s">
        <v>1584</v>
      </c>
      <c r="AA481" s="1783"/>
      <c r="AB481" s="1784"/>
      <c r="AC481" s="1698"/>
      <c r="AD481" s="1699"/>
      <c r="AE481" s="1698"/>
      <c r="AF481" s="1698"/>
      <c r="AG481" s="1637" t="str">
        <f t="shared" si="105"/>
        <v>階別用途別床面積-3-38階</v>
      </c>
      <c r="AI481" s="1636"/>
      <c r="AJ481" s="1636"/>
      <c r="AK481" s="1636"/>
    </row>
    <row r="482" spans="1:41" s="1637" customFormat="1" ht="18.75" customHeight="1" x14ac:dyDescent="0.15">
      <c r="A482" s="1627"/>
      <c r="B482" s="1627"/>
      <c r="C482" s="1627"/>
      <c r="D482" s="1626">
        <f>'2_入力シート【用途面積】'!$K61</f>
        <v>0</v>
      </c>
      <c r="E482" s="1672">
        <f t="shared" ref="E482:E545" si="106">D482</f>
        <v>0</v>
      </c>
      <c r="F482" s="1672" t="str">
        <f t="shared" ref="F482:F545" si="107">SUBSTITUTE(E482,CHAR(10),"")</f>
        <v>0</v>
      </c>
      <c r="G482" s="1672" t="str">
        <f t="shared" ref="G482:G545" si="108">TRIM(F482)</f>
        <v>0</v>
      </c>
      <c r="H482" s="1628"/>
      <c r="I482" s="1627"/>
      <c r="J482" s="1627"/>
      <c r="K482" s="1627"/>
      <c r="L482" s="1627"/>
      <c r="M482" s="1629"/>
      <c r="N482" s="1627"/>
      <c r="O482" s="1627"/>
      <c r="P482" s="1627"/>
      <c r="Q482" s="1627"/>
      <c r="R482" s="1627"/>
      <c r="S482" s="1627"/>
      <c r="T482" s="1627"/>
      <c r="U482" s="1780"/>
      <c r="V482" s="1781" t="s">
        <v>1602</v>
      </c>
      <c r="W482" s="1782" t="s">
        <v>1306</v>
      </c>
      <c r="X482" s="1631">
        <v>3</v>
      </c>
      <c r="Y482" s="1633" t="s">
        <v>1306</v>
      </c>
      <c r="Z482" s="1640" t="s">
        <v>1585</v>
      </c>
      <c r="AA482" s="1783"/>
      <c r="AB482" s="1787"/>
      <c r="AC482" s="1698"/>
      <c r="AD482" s="1699"/>
      <c r="AE482" s="1698"/>
      <c r="AF482" s="1698"/>
      <c r="AG482" s="1637" t="str">
        <f t="shared" si="105"/>
        <v>階別用途別床面積-3-39階</v>
      </c>
      <c r="AI482" s="1636"/>
      <c r="AJ482" s="1636"/>
      <c r="AK482" s="1636"/>
    </row>
    <row r="483" spans="1:41" s="1637" customFormat="1" ht="18.75" customHeight="1" x14ac:dyDescent="0.15">
      <c r="A483" s="1627"/>
      <c r="B483" s="1627"/>
      <c r="C483" s="1627"/>
      <c r="D483" s="1626">
        <f>'2_入力シート【用途面積】'!$K62</f>
        <v>0</v>
      </c>
      <c r="E483" s="1672">
        <f t="shared" si="106"/>
        <v>0</v>
      </c>
      <c r="F483" s="1672" t="str">
        <f t="shared" si="107"/>
        <v>0</v>
      </c>
      <c r="G483" s="1672" t="str">
        <f t="shared" si="108"/>
        <v>0</v>
      </c>
      <c r="H483" s="1628"/>
      <c r="I483" s="1627"/>
      <c r="J483" s="1627"/>
      <c r="K483" s="1627"/>
      <c r="L483" s="1627"/>
      <c r="M483" s="1629"/>
      <c r="N483" s="1627"/>
      <c r="O483" s="1627"/>
      <c r="P483" s="1627"/>
      <c r="Q483" s="1627"/>
      <c r="R483" s="1627"/>
      <c r="S483" s="1627"/>
      <c r="T483" s="1627"/>
      <c r="U483" s="1780"/>
      <c r="V483" s="1781" t="s">
        <v>1602</v>
      </c>
      <c r="W483" s="1782" t="s">
        <v>1306</v>
      </c>
      <c r="X483" s="1631">
        <v>3</v>
      </c>
      <c r="Y483" s="1633" t="s">
        <v>1306</v>
      </c>
      <c r="Z483" s="1640" t="s">
        <v>1586</v>
      </c>
      <c r="AA483" s="1783"/>
      <c r="AB483" s="1787"/>
      <c r="AC483" s="1698"/>
      <c r="AD483" s="1699"/>
      <c r="AE483" s="1698"/>
      <c r="AF483" s="1698"/>
      <c r="AG483" s="1637" t="str">
        <f t="shared" si="105"/>
        <v>階別用途別床面積-3-40階</v>
      </c>
      <c r="AI483" s="1636"/>
      <c r="AJ483" s="1636"/>
      <c r="AK483" s="1636"/>
    </row>
    <row r="484" spans="1:41" s="1624" customFormat="1" ht="18.75" customHeight="1" x14ac:dyDescent="0.15">
      <c r="A484" s="1627"/>
      <c r="B484" s="1627"/>
      <c r="C484" s="1627"/>
      <c r="D484" s="1626">
        <f>'2_入力シート【用途面積】'!$K63</f>
        <v>0</v>
      </c>
      <c r="E484" s="1672">
        <f t="shared" si="106"/>
        <v>0</v>
      </c>
      <c r="F484" s="1672" t="str">
        <f t="shared" si="107"/>
        <v>0</v>
      </c>
      <c r="G484" s="1672" t="str">
        <f t="shared" si="108"/>
        <v>0</v>
      </c>
      <c r="H484" s="1628"/>
      <c r="I484" s="1627"/>
      <c r="J484" s="1627"/>
      <c r="K484" s="1627"/>
      <c r="L484" s="1627"/>
      <c r="M484" s="1629"/>
      <c r="N484" s="1627"/>
      <c r="O484" s="1627"/>
      <c r="P484" s="1627"/>
      <c r="Q484" s="1627"/>
      <c r="R484" s="1627"/>
      <c r="S484" s="1627"/>
      <c r="T484" s="1627"/>
      <c r="U484" s="1780"/>
      <c r="V484" s="1781" t="s">
        <v>1602</v>
      </c>
      <c r="W484" s="1782" t="s">
        <v>1306</v>
      </c>
      <c r="X484" s="1631">
        <v>3</v>
      </c>
      <c r="Y484" s="1633" t="s">
        <v>1306</v>
      </c>
      <c r="Z484" s="1640" t="s">
        <v>1587</v>
      </c>
      <c r="AA484" s="1783"/>
      <c r="AB484" s="1787"/>
      <c r="AC484" s="1698"/>
      <c r="AD484" s="1699"/>
      <c r="AE484" s="1698"/>
      <c r="AF484" s="1698"/>
      <c r="AG484" s="1637" t="str">
        <f t="shared" si="105"/>
        <v>階別用途別床面積-3-41階</v>
      </c>
      <c r="AH484" s="1637"/>
      <c r="AI484" s="1636"/>
      <c r="AJ484" s="1636"/>
      <c r="AK484" s="1636"/>
      <c r="AL484" s="1637"/>
      <c r="AM484" s="1637"/>
      <c r="AN484" s="1637"/>
      <c r="AO484" s="1637"/>
    </row>
    <row r="485" spans="1:41" s="1624" customFormat="1" ht="18.75" customHeight="1" x14ac:dyDescent="0.15">
      <c r="A485" s="1627"/>
      <c r="B485" s="1627"/>
      <c r="C485" s="1627"/>
      <c r="D485" s="1626">
        <f>'2_入力シート【用途面積】'!$K64</f>
        <v>0</v>
      </c>
      <c r="E485" s="1672">
        <f t="shared" si="106"/>
        <v>0</v>
      </c>
      <c r="F485" s="1672" t="str">
        <f t="shared" si="107"/>
        <v>0</v>
      </c>
      <c r="G485" s="1672" t="str">
        <f t="shared" si="108"/>
        <v>0</v>
      </c>
      <c r="H485" s="1628"/>
      <c r="I485" s="1627"/>
      <c r="J485" s="1627"/>
      <c r="K485" s="1627"/>
      <c r="L485" s="1627"/>
      <c r="M485" s="1629"/>
      <c r="N485" s="1627"/>
      <c r="O485" s="1627"/>
      <c r="P485" s="1627"/>
      <c r="Q485" s="1627"/>
      <c r="R485" s="1627"/>
      <c r="S485" s="1627"/>
      <c r="T485" s="1627"/>
      <c r="U485" s="1780"/>
      <c r="V485" s="1781" t="s">
        <v>1602</v>
      </c>
      <c r="W485" s="1782" t="s">
        <v>1306</v>
      </c>
      <c r="X485" s="1631">
        <v>3</v>
      </c>
      <c r="Y485" s="1633" t="s">
        <v>1306</v>
      </c>
      <c r="Z485" s="1640" t="s">
        <v>1588</v>
      </c>
      <c r="AA485" s="1783"/>
      <c r="AB485" s="1784"/>
      <c r="AC485" s="1636"/>
      <c r="AD485" s="1785"/>
      <c r="AE485" s="1698"/>
      <c r="AF485" s="1698"/>
      <c r="AG485" s="1637" t="str">
        <f t="shared" si="105"/>
        <v>階別用途別床面積-3-42階</v>
      </c>
      <c r="AH485" s="1637"/>
      <c r="AI485" s="1636"/>
      <c r="AJ485" s="1636"/>
      <c r="AK485" s="1636"/>
      <c r="AL485" s="1637"/>
      <c r="AM485" s="1637"/>
      <c r="AN485" s="1637"/>
      <c r="AO485" s="1637"/>
    </row>
    <row r="486" spans="1:41" s="1624" customFormat="1" ht="18.75" customHeight="1" x14ac:dyDescent="0.15">
      <c r="A486" s="1627"/>
      <c r="B486" s="1627"/>
      <c r="C486" s="1627"/>
      <c r="D486" s="1626">
        <f>'2_入力シート【用途面積】'!$K65</f>
        <v>0</v>
      </c>
      <c r="E486" s="1672">
        <f t="shared" si="106"/>
        <v>0</v>
      </c>
      <c r="F486" s="1672" t="str">
        <f t="shared" si="107"/>
        <v>0</v>
      </c>
      <c r="G486" s="1672" t="str">
        <f t="shared" si="108"/>
        <v>0</v>
      </c>
      <c r="H486" s="1628"/>
      <c r="I486" s="1627"/>
      <c r="J486" s="1627"/>
      <c r="K486" s="1627"/>
      <c r="L486" s="1627"/>
      <c r="M486" s="1629"/>
      <c r="N486" s="1627"/>
      <c r="O486" s="1627"/>
      <c r="P486" s="1627"/>
      <c r="Q486" s="1627"/>
      <c r="R486" s="1627"/>
      <c r="S486" s="1627"/>
      <c r="T486" s="1627"/>
      <c r="U486" s="1780"/>
      <c r="V486" s="1781" t="s">
        <v>1602</v>
      </c>
      <c r="W486" s="1782" t="s">
        <v>1306</v>
      </c>
      <c r="X486" s="1631">
        <v>3</v>
      </c>
      <c r="Y486" s="1633" t="s">
        <v>1306</v>
      </c>
      <c r="Z486" s="1640" t="s">
        <v>1589</v>
      </c>
      <c r="AA486" s="1783"/>
      <c r="AB486" s="1784"/>
      <c r="AC486" s="1698"/>
      <c r="AD486" s="1699"/>
      <c r="AE486" s="1698"/>
      <c r="AF486" s="1698"/>
      <c r="AG486" s="1637" t="str">
        <f t="shared" si="105"/>
        <v>階別用途別床面積-3-43階</v>
      </c>
      <c r="AH486" s="1637"/>
      <c r="AI486" s="1636"/>
      <c r="AJ486" s="1636"/>
      <c r="AK486" s="1636"/>
      <c r="AL486" s="1637"/>
      <c r="AM486" s="1637"/>
      <c r="AN486" s="1637"/>
      <c r="AO486" s="1637"/>
    </row>
    <row r="487" spans="1:41" s="1624" customFormat="1" ht="18.75" customHeight="1" x14ac:dyDescent="0.15">
      <c r="A487" s="1627"/>
      <c r="B487" s="1627"/>
      <c r="C487" s="1627"/>
      <c r="D487" s="1626">
        <f>'2_入力シート【用途面積】'!$K66</f>
        <v>0</v>
      </c>
      <c r="E487" s="1672">
        <f t="shared" si="106"/>
        <v>0</v>
      </c>
      <c r="F487" s="1672" t="str">
        <f t="shared" si="107"/>
        <v>0</v>
      </c>
      <c r="G487" s="1672" t="str">
        <f t="shared" si="108"/>
        <v>0</v>
      </c>
      <c r="H487" s="1628"/>
      <c r="I487" s="1627"/>
      <c r="J487" s="1627"/>
      <c r="K487" s="1627"/>
      <c r="L487" s="1627"/>
      <c r="M487" s="1629"/>
      <c r="N487" s="1627"/>
      <c r="O487" s="1627"/>
      <c r="P487" s="1627"/>
      <c r="Q487" s="1627"/>
      <c r="R487" s="1627"/>
      <c r="S487" s="1627"/>
      <c r="T487" s="1627"/>
      <c r="U487" s="1780"/>
      <c r="V487" s="1781" t="s">
        <v>1602</v>
      </c>
      <c r="W487" s="1782" t="s">
        <v>1306</v>
      </c>
      <c r="X487" s="1631">
        <v>3</v>
      </c>
      <c r="Y487" s="1633" t="s">
        <v>1306</v>
      </c>
      <c r="Z487" s="1640" t="s">
        <v>1590</v>
      </c>
      <c r="AA487" s="1783"/>
      <c r="AB487" s="1784"/>
      <c r="AC487" s="1698"/>
      <c r="AD487" s="1699"/>
      <c r="AE487" s="1636"/>
      <c r="AF487" s="1636"/>
      <c r="AG487" s="1637" t="str">
        <f t="shared" si="105"/>
        <v>階別用途別床面積-3-44階</v>
      </c>
      <c r="AH487" s="1637"/>
      <c r="AI487" s="1636"/>
      <c r="AJ487" s="1636"/>
      <c r="AK487" s="1636"/>
      <c r="AL487" s="1637"/>
      <c r="AM487" s="1637"/>
      <c r="AN487" s="1637"/>
      <c r="AO487" s="1637"/>
    </row>
    <row r="488" spans="1:41" s="1624" customFormat="1" ht="18.75" customHeight="1" x14ac:dyDescent="0.15">
      <c r="A488" s="1627"/>
      <c r="B488" s="1627"/>
      <c r="C488" s="1627"/>
      <c r="D488" s="1626">
        <f>'2_入力シート【用途面積】'!$K67</f>
        <v>0</v>
      </c>
      <c r="E488" s="1672">
        <f t="shared" si="106"/>
        <v>0</v>
      </c>
      <c r="F488" s="1672" t="str">
        <f t="shared" si="107"/>
        <v>0</v>
      </c>
      <c r="G488" s="1672" t="str">
        <f t="shared" si="108"/>
        <v>0</v>
      </c>
      <c r="H488" s="1628"/>
      <c r="I488" s="1627"/>
      <c r="J488" s="1627"/>
      <c r="K488" s="1627"/>
      <c r="L488" s="1627"/>
      <c r="M488" s="1629"/>
      <c r="N488" s="1627"/>
      <c r="O488" s="1627"/>
      <c r="P488" s="1627"/>
      <c r="Q488" s="1627"/>
      <c r="R488" s="1627"/>
      <c r="S488" s="1627"/>
      <c r="T488" s="1627"/>
      <c r="U488" s="1780"/>
      <c r="V488" s="1781" t="s">
        <v>1602</v>
      </c>
      <c r="W488" s="1782" t="s">
        <v>1306</v>
      </c>
      <c r="X488" s="1631">
        <v>3</v>
      </c>
      <c r="Y488" s="1633" t="s">
        <v>1306</v>
      </c>
      <c r="Z488" s="1640" t="s">
        <v>1591</v>
      </c>
      <c r="AA488" s="1783"/>
      <c r="AB488" s="1784"/>
      <c r="AC488" s="1698"/>
      <c r="AD488" s="1699"/>
      <c r="AE488" s="1698"/>
      <c r="AF488" s="1698"/>
      <c r="AG488" s="1637" t="str">
        <f t="shared" si="105"/>
        <v>階別用途別床面積-3-45階</v>
      </c>
      <c r="AH488" s="1637"/>
      <c r="AI488" s="1636"/>
      <c r="AJ488" s="1636"/>
      <c r="AK488" s="1636"/>
      <c r="AL488" s="1637"/>
      <c r="AM488" s="1637"/>
      <c r="AN488" s="1637"/>
      <c r="AO488" s="1637"/>
    </row>
    <row r="489" spans="1:41" s="1624" customFormat="1" ht="18.75" customHeight="1" x14ac:dyDescent="0.15">
      <c r="A489" s="1627"/>
      <c r="B489" s="1627"/>
      <c r="C489" s="1627"/>
      <c r="D489" s="1626">
        <f>'2_入力シート【用途面積】'!$K68</f>
        <v>0</v>
      </c>
      <c r="E489" s="1672">
        <f t="shared" si="106"/>
        <v>0</v>
      </c>
      <c r="F489" s="1672" t="str">
        <f t="shared" si="107"/>
        <v>0</v>
      </c>
      <c r="G489" s="1672" t="str">
        <f t="shared" si="108"/>
        <v>0</v>
      </c>
      <c r="H489" s="1628"/>
      <c r="I489" s="1627"/>
      <c r="J489" s="1627"/>
      <c r="K489" s="1627"/>
      <c r="L489" s="1627"/>
      <c r="M489" s="1629"/>
      <c r="N489" s="1627"/>
      <c r="O489" s="1627"/>
      <c r="P489" s="1627"/>
      <c r="Q489" s="1627"/>
      <c r="R489" s="1627"/>
      <c r="S489" s="1627"/>
      <c r="T489" s="1627"/>
      <c r="U489" s="1780"/>
      <c r="V489" s="1781" t="s">
        <v>1602</v>
      </c>
      <c r="W489" s="1782" t="s">
        <v>1306</v>
      </c>
      <c r="X489" s="1631">
        <v>3</v>
      </c>
      <c r="Y489" s="1633" t="s">
        <v>1306</v>
      </c>
      <c r="Z489" s="1640" t="s">
        <v>1592</v>
      </c>
      <c r="AA489" s="1783"/>
      <c r="AB489" s="1784"/>
      <c r="AC489" s="1698"/>
      <c r="AD489" s="1699"/>
      <c r="AE489" s="1698"/>
      <c r="AF489" s="1698"/>
      <c r="AG489" s="1637" t="str">
        <f t="shared" si="105"/>
        <v>階別用途別床面積-3-46階</v>
      </c>
      <c r="AH489" s="1637"/>
      <c r="AI489" s="1636"/>
      <c r="AJ489" s="1636"/>
      <c r="AK489" s="1636"/>
      <c r="AL489" s="1637"/>
      <c r="AM489" s="1637"/>
      <c r="AN489" s="1637"/>
      <c r="AO489" s="1637"/>
    </row>
    <row r="490" spans="1:41" s="1624" customFormat="1" ht="18.75" customHeight="1" x14ac:dyDescent="0.15">
      <c r="A490" s="1627"/>
      <c r="B490" s="1627"/>
      <c r="C490" s="1627"/>
      <c r="D490" s="1626">
        <f>'2_入力シート【用途面積】'!$K69</f>
        <v>0</v>
      </c>
      <c r="E490" s="1672">
        <f t="shared" si="106"/>
        <v>0</v>
      </c>
      <c r="F490" s="1672" t="str">
        <f t="shared" si="107"/>
        <v>0</v>
      </c>
      <c r="G490" s="1672" t="str">
        <f t="shared" si="108"/>
        <v>0</v>
      </c>
      <c r="H490" s="1628"/>
      <c r="I490" s="1627"/>
      <c r="J490" s="1627"/>
      <c r="K490" s="1627"/>
      <c r="L490" s="1627"/>
      <c r="M490" s="1629"/>
      <c r="N490" s="1627"/>
      <c r="O490" s="1627"/>
      <c r="P490" s="1627"/>
      <c r="Q490" s="1627"/>
      <c r="R490" s="1627"/>
      <c r="S490" s="1627"/>
      <c r="T490" s="1627"/>
      <c r="U490" s="1780"/>
      <c r="V490" s="1781" t="s">
        <v>1602</v>
      </c>
      <c r="W490" s="1782" t="s">
        <v>1306</v>
      </c>
      <c r="X490" s="1631">
        <v>3</v>
      </c>
      <c r="Y490" s="1633" t="s">
        <v>1306</v>
      </c>
      <c r="Z490" s="1640" t="s">
        <v>1593</v>
      </c>
      <c r="AA490" s="1783"/>
      <c r="AB490" s="1784"/>
      <c r="AC490" s="1698"/>
      <c r="AD490" s="1699"/>
      <c r="AE490" s="1698"/>
      <c r="AF490" s="1698"/>
      <c r="AG490" s="1637" t="str">
        <f t="shared" si="105"/>
        <v>階別用途別床面積-3-47階</v>
      </c>
      <c r="AH490" s="1637"/>
      <c r="AI490" s="1636"/>
      <c r="AJ490" s="1636"/>
      <c r="AK490" s="1636"/>
      <c r="AL490" s="1637"/>
      <c r="AM490" s="1637"/>
      <c r="AN490" s="1637"/>
      <c r="AO490" s="1637"/>
    </row>
    <row r="491" spans="1:41" s="1624" customFormat="1" ht="18.75" customHeight="1" x14ac:dyDescent="0.15">
      <c r="A491" s="1627"/>
      <c r="B491" s="1627"/>
      <c r="C491" s="1627"/>
      <c r="D491" s="1626">
        <f>'2_入力シート【用途面積】'!$K70</f>
        <v>0</v>
      </c>
      <c r="E491" s="1672">
        <f t="shared" si="106"/>
        <v>0</v>
      </c>
      <c r="F491" s="1672" t="str">
        <f t="shared" si="107"/>
        <v>0</v>
      </c>
      <c r="G491" s="1672" t="str">
        <f t="shared" si="108"/>
        <v>0</v>
      </c>
      <c r="H491" s="1628"/>
      <c r="I491" s="1627"/>
      <c r="J491" s="1627"/>
      <c r="K491" s="1627"/>
      <c r="L491" s="1627"/>
      <c r="M491" s="1629"/>
      <c r="N491" s="1627"/>
      <c r="O491" s="1627"/>
      <c r="P491" s="1627"/>
      <c r="Q491" s="1627"/>
      <c r="R491" s="1627"/>
      <c r="S491" s="1627"/>
      <c r="T491" s="1627"/>
      <c r="U491" s="1780"/>
      <c r="V491" s="1781" t="s">
        <v>1602</v>
      </c>
      <c r="W491" s="1782" t="s">
        <v>1306</v>
      </c>
      <c r="X491" s="1631">
        <v>3</v>
      </c>
      <c r="Y491" s="1633" t="s">
        <v>1306</v>
      </c>
      <c r="Z491" s="1640" t="s">
        <v>1594</v>
      </c>
      <c r="AA491" s="1783"/>
      <c r="AB491" s="1787"/>
      <c r="AC491" s="1698"/>
      <c r="AD491" s="1699"/>
      <c r="AE491" s="1698"/>
      <c r="AF491" s="1698"/>
      <c r="AG491" s="1637" t="str">
        <f t="shared" si="105"/>
        <v>階別用途別床面積-3-48階</v>
      </c>
      <c r="AH491" s="1637"/>
      <c r="AI491" s="1636"/>
      <c r="AJ491" s="1636"/>
      <c r="AK491" s="1636"/>
      <c r="AL491" s="1637"/>
      <c r="AM491" s="1637"/>
      <c r="AN491" s="1637"/>
      <c r="AO491" s="1637"/>
    </row>
    <row r="492" spans="1:41" s="1624" customFormat="1" ht="18.75" customHeight="1" x14ac:dyDescent="0.15">
      <c r="A492" s="1627"/>
      <c r="B492" s="1627"/>
      <c r="C492" s="1627"/>
      <c r="D492" s="1626">
        <f>'2_入力シート【用途面積】'!$K71</f>
        <v>0</v>
      </c>
      <c r="E492" s="1672">
        <f t="shared" si="106"/>
        <v>0</v>
      </c>
      <c r="F492" s="1672" t="str">
        <f t="shared" si="107"/>
        <v>0</v>
      </c>
      <c r="G492" s="1672" t="str">
        <f t="shared" si="108"/>
        <v>0</v>
      </c>
      <c r="H492" s="1628"/>
      <c r="I492" s="1627"/>
      <c r="J492" s="1627"/>
      <c r="K492" s="1627"/>
      <c r="L492" s="1627"/>
      <c r="M492" s="1629"/>
      <c r="N492" s="1627"/>
      <c r="O492" s="1627"/>
      <c r="P492" s="1627"/>
      <c r="Q492" s="1627"/>
      <c r="R492" s="1627"/>
      <c r="S492" s="1627"/>
      <c r="T492" s="1627"/>
      <c r="U492" s="1780"/>
      <c r="V492" s="1781" t="s">
        <v>1602</v>
      </c>
      <c r="W492" s="1782" t="s">
        <v>1306</v>
      </c>
      <c r="X492" s="1631">
        <v>3</v>
      </c>
      <c r="Y492" s="1633" t="s">
        <v>1306</v>
      </c>
      <c r="Z492" s="1640" t="s">
        <v>1595</v>
      </c>
      <c r="AA492" s="1783"/>
      <c r="AB492" s="1787"/>
      <c r="AC492" s="1698"/>
      <c r="AD492" s="1699"/>
      <c r="AE492" s="1698"/>
      <c r="AF492" s="1698"/>
      <c r="AG492" s="1637" t="str">
        <f t="shared" si="105"/>
        <v>階別用途別床面積-3-49階</v>
      </c>
      <c r="AH492" s="1637"/>
      <c r="AI492" s="1636"/>
      <c r="AJ492" s="1636"/>
      <c r="AK492" s="1636"/>
      <c r="AL492" s="1637"/>
      <c r="AM492" s="1637"/>
      <c r="AN492" s="1637"/>
      <c r="AO492" s="1637"/>
    </row>
    <row r="493" spans="1:41" s="1624" customFormat="1" ht="18.75" customHeight="1" x14ac:dyDescent="0.15">
      <c r="A493" s="1627"/>
      <c r="B493" s="1627"/>
      <c r="C493" s="1627"/>
      <c r="D493" s="1626">
        <f>'2_入力シート【用途面積】'!$K72</f>
        <v>0</v>
      </c>
      <c r="E493" s="1672">
        <f t="shared" si="106"/>
        <v>0</v>
      </c>
      <c r="F493" s="1672" t="str">
        <f t="shared" si="107"/>
        <v>0</v>
      </c>
      <c r="G493" s="1672" t="str">
        <f t="shared" si="108"/>
        <v>0</v>
      </c>
      <c r="H493" s="1628"/>
      <c r="I493" s="1627"/>
      <c r="J493" s="1627"/>
      <c r="K493" s="1627"/>
      <c r="L493" s="1627"/>
      <c r="M493" s="1629"/>
      <c r="N493" s="1627"/>
      <c r="O493" s="1627"/>
      <c r="P493" s="1627"/>
      <c r="Q493" s="1627"/>
      <c r="R493" s="1627"/>
      <c r="S493" s="1627"/>
      <c r="T493" s="1627"/>
      <c r="U493" s="1780"/>
      <c r="V493" s="1781" t="s">
        <v>1602</v>
      </c>
      <c r="W493" s="1782" t="s">
        <v>1306</v>
      </c>
      <c r="X493" s="1631">
        <v>3</v>
      </c>
      <c r="Y493" s="1633" t="s">
        <v>1306</v>
      </c>
      <c r="Z493" s="1640" t="s">
        <v>1596</v>
      </c>
      <c r="AA493" s="1783"/>
      <c r="AB493" s="1787"/>
      <c r="AC493" s="1698"/>
      <c r="AD493" s="1699"/>
      <c r="AE493" s="1698"/>
      <c r="AF493" s="1698"/>
      <c r="AG493" s="1637" t="str">
        <f t="shared" si="105"/>
        <v>階別用途別床面積-3-50階</v>
      </c>
      <c r="AH493" s="1637"/>
      <c r="AI493" s="1636"/>
      <c r="AJ493" s="1636"/>
      <c r="AK493" s="1636"/>
      <c r="AL493" s="1637"/>
      <c r="AM493" s="1637"/>
      <c r="AN493" s="1637"/>
      <c r="AO493" s="1637"/>
    </row>
    <row r="494" spans="1:41" s="1624" customFormat="1" ht="18.75" customHeight="1" x14ac:dyDescent="0.15">
      <c r="A494" s="1627"/>
      <c r="B494" s="1627"/>
      <c r="C494" s="1627"/>
      <c r="D494" s="1626">
        <f>'2_入力シート【用途面積】'!$M$4</f>
        <v>0</v>
      </c>
      <c r="E494" s="1672">
        <f t="shared" si="106"/>
        <v>0</v>
      </c>
      <c r="F494" s="1672" t="str">
        <f t="shared" si="107"/>
        <v>0</v>
      </c>
      <c r="G494" s="1672" t="str">
        <f t="shared" si="108"/>
        <v>0</v>
      </c>
      <c r="H494" s="1628"/>
      <c r="I494" s="1627"/>
      <c r="J494" s="1627"/>
      <c r="K494" s="1627"/>
      <c r="L494" s="1627"/>
      <c r="M494" s="1629"/>
      <c r="N494" s="1627"/>
      <c r="O494" s="1627"/>
      <c r="P494" s="1627"/>
      <c r="Q494" s="1627"/>
      <c r="R494" s="1627"/>
      <c r="S494" s="1627"/>
      <c r="T494" s="1627"/>
      <c r="U494" s="1780"/>
      <c r="V494" s="1781" t="s">
        <v>1602</v>
      </c>
      <c r="W494" s="1782" t="s">
        <v>1306</v>
      </c>
      <c r="X494" s="1631">
        <v>4</v>
      </c>
      <c r="Y494" s="1633" t="s">
        <v>1306</v>
      </c>
      <c r="Z494" s="1640" t="s">
        <v>1597</v>
      </c>
      <c r="AA494" s="1783"/>
      <c r="AB494" s="1784"/>
      <c r="AC494" s="1636"/>
      <c r="AD494" s="1785"/>
      <c r="AE494" s="1698"/>
      <c r="AF494" s="1698"/>
      <c r="AG494" s="1637" t="str">
        <f t="shared" si="105"/>
        <v>階別用途別床面積-4-大分類</v>
      </c>
      <c r="AH494" s="1637"/>
      <c r="AI494" s="1636"/>
      <c r="AJ494" s="1636"/>
      <c r="AK494" s="1636"/>
      <c r="AL494" s="1637"/>
      <c r="AM494" s="1637"/>
      <c r="AN494" s="1637"/>
      <c r="AO494" s="1637"/>
    </row>
    <row r="495" spans="1:41" s="1624" customFormat="1" ht="18.75" customHeight="1" x14ac:dyDescent="0.15">
      <c r="A495" s="1627"/>
      <c r="B495" s="1627"/>
      <c r="C495" s="1627"/>
      <c r="D495" s="1626">
        <f>'2_入力シート【用途面積】'!$M$7</f>
        <v>0</v>
      </c>
      <c r="E495" s="1672">
        <f t="shared" si="106"/>
        <v>0</v>
      </c>
      <c r="F495" s="1672" t="str">
        <f t="shared" si="107"/>
        <v>0</v>
      </c>
      <c r="G495" s="1672" t="str">
        <f t="shared" si="108"/>
        <v>0</v>
      </c>
      <c r="H495" s="1628"/>
      <c r="I495" s="1627"/>
      <c r="J495" s="1627"/>
      <c r="K495" s="1627"/>
      <c r="L495" s="1627"/>
      <c r="M495" s="1629"/>
      <c r="N495" s="1627"/>
      <c r="O495" s="1627"/>
      <c r="P495" s="1627"/>
      <c r="Q495" s="1627"/>
      <c r="R495" s="1627"/>
      <c r="S495" s="1627"/>
      <c r="T495" s="1627"/>
      <c r="U495" s="1780"/>
      <c r="V495" s="1781" t="s">
        <v>1602</v>
      </c>
      <c r="W495" s="1782" t="s">
        <v>1306</v>
      </c>
      <c r="X495" s="1631">
        <v>4</v>
      </c>
      <c r="Y495" s="1633" t="s">
        <v>1306</v>
      </c>
      <c r="Z495" s="1640" t="s">
        <v>1598</v>
      </c>
      <c r="AA495" s="1783"/>
      <c r="AB495" s="1784"/>
      <c r="AC495" s="1698"/>
      <c r="AD495" s="1699"/>
      <c r="AE495" s="1698"/>
      <c r="AF495" s="1698"/>
      <c r="AG495" s="1637" t="str">
        <f t="shared" si="105"/>
        <v>階別用途別床面積-4-小分類</v>
      </c>
      <c r="AH495" s="1637"/>
      <c r="AI495" s="1636"/>
      <c r="AJ495" s="1636"/>
      <c r="AK495" s="1636"/>
      <c r="AL495" s="1637"/>
      <c r="AM495" s="1637"/>
      <c r="AN495" s="1637"/>
      <c r="AO495" s="1637"/>
    </row>
    <row r="496" spans="1:41" s="1624" customFormat="1" ht="18.75" customHeight="1" x14ac:dyDescent="0.15">
      <c r="A496" s="1627"/>
      <c r="B496" s="1627"/>
      <c r="C496" s="1627"/>
      <c r="D496" s="1626">
        <f>'2_入力シート【用途面積】'!$M$12</f>
        <v>0</v>
      </c>
      <c r="E496" s="1672">
        <f t="shared" si="106"/>
        <v>0</v>
      </c>
      <c r="F496" s="1672" t="str">
        <f t="shared" si="107"/>
        <v>0</v>
      </c>
      <c r="G496" s="1672" t="str">
        <f t="shared" si="108"/>
        <v>0</v>
      </c>
      <c r="H496" s="1628"/>
      <c r="I496" s="1627"/>
      <c r="J496" s="1627"/>
      <c r="K496" s="1627"/>
      <c r="L496" s="1627"/>
      <c r="M496" s="1629"/>
      <c r="N496" s="1627"/>
      <c r="O496" s="1627"/>
      <c r="P496" s="1627"/>
      <c r="Q496" s="1627"/>
      <c r="R496" s="1627"/>
      <c r="S496" s="1627"/>
      <c r="T496" s="1627"/>
      <c r="U496" s="1780"/>
      <c r="V496" s="1781" t="s">
        <v>2434</v>
      </c>
      <c r="W496" s="1782" t="s">
        <v>1366</v>
      </c>
      <c r="X496" s="1631">
        <v>4</v>
      </c>
      <c r="Y496" s="1633" t="s">
        <v>1366</v>
      </c>
      <c r="Z496" s="1640" t="s">
        <v>2433</v>
      </c>
      <c r="AA496" s="1783"/>
      <c r="AB496" s="1787"/>
      <c r="AC496" s="1698"/>
      <c r="AD496" s="1699"/>
      <c r="AE496" s="1698"/>
      <c r="AF496" s="1698"/>
      <c r="AG496" s="1637" t="str">
        <f t="shared" si="105"/>
        <v>階別用途別床面積-4-特記</v>
      </c>
      <c r="AH496" s="1637"/>
      <c r="AI496" s="1636"/>
      <c r="AJ496" s="1636"/>
      <c r="AK496" s="1636"/>
      <c r="AL496" s="1637"/>
      <c r="AM496" s="1637"/>
      <c r="AN496" s="1637"/>
      <c r="AO496" s="1637"/>
    </row>
    <row r="497" spans="1:41" s="1624" customFormat="1" ht="18.75" customHeight="1" x14ac:dyDescent="0.15">
      <c r="A497" s="1627"/>
      <c r="B497" s="1627"/>
      <c r="C497" s="1627"/>
      <c r="D497" s="1626">
        <f>'2_入力シート【用途面積】'!$M14</f>
        <v>0</v>
      </c>
      <c r="E497" s="1672">
        <f t="shared" si="106"/>
        <v>0</v>
      </c>
      <c r="F497" s="1672" t="str">
        <f t="shared" si="107"/>
        <v>0</v>
      </c>
      <c r="G497" s="1672" t="str">
        <f t="shared" si="108"/>
        <v>0</v>
      </c>
      <c r="H497" s="1628"/>
      <c r="I497" s="1627"/>
      <c r="J497" s="1627"/>
      <c r="K497" s="1627"/>
      <c r="L497" s="1627"/>
      <c r="M497" s="1629"/>
      <c r="N497" s="1627"/>
      <c r="O497" s="1627"/>
      <c r="P497" s="1627"/>
      <c r="Q497" s="1627"/>
      <c r="R497" s="1627"/>
      <c r="S497" s="1627"/>
      <c r="T497" s="1627"/>
      <c r="U497" s="1780"/>
      <c r="V497" s="1781" t="s">
        <v>1602</v>
      </c>
      <c r="W497" s="1782" t="s">
        <v>1306</v>
      </c>
      <c r="X497" s="1631">
        <v>4</v>
      </c>
      <c r="Y497" s="1633" t="s">
        <v>1306</v>
      </c>
      <c r="Z497" s="1788" t="s">
        <v>1538</v>
      </c>
      <c r="AA497" s="1783"/>
      <c r="AB497" s="1784"/>
      <c r="AC497" s="1698"/>
      <c r="AD497" s="1699"/>
      <c r="AE497" s="1636"/>
      <c r="AF497" s="1636"/>
      <c r="AG497" s="1637" t="str">
        <f t="shared" si="105"/>
        <v>階別用途別床面積-4-地下1階</v>
      </c>
      <c r="AH497" s="1637"/>
      <c r="AI497" s="1636"/>
      <c r="AJ497" s="1636"/>
      <c r="AK497" s="1636"/>
      <c r="AL497" s="1637"/>
      <c r="AM497" s="1637"/>
      <c r="AN497" s="1637"/>
      <c r="AO497" s="1637"/>
    </row>
    <row r="498" spans="1:41" s="1624" customFormat="1" ht="18.75" customHeight="1" x14ac:dyDescent="0.15">
      <c r="A498" s="1627"/>
      <c r="B498" s="1627"/>
      <c r="C498" s="1627"/>
      <c r="D498" s="1626">
        <f>'2_入力シート【用途面積】'!$M15</f>
        <v>0</v>
      </c>
      <c r="E498" s="1672">
        <f t="shared" si="106"/>
        <v>0</v>
      </c>
      <c r="F498" s="1672" t="str">
        <f t="shared" si="107"/>
        <v>0</v>
      </c>
      <c r="G498" s="1672" t="str">
        <f t="shared" si="108"/>
        <v>0</v>
      </c>
      <c r="H498" s="1628"/>
      <c r="I498" s="1627"/>
      <c r="J498" s="1627"/>
      <c r="K498" s="1627"/>
      <c r="L498" s="1627"/>
      <c r="M498" s="1629"/>
      <c r="N498" s="1627"/>
      <c r="O498" s="1627"/>
      <c r="P498" s="1627"/>
      <c r="Q498" s="1627"/>
      <c r="R498" s="1627"/>
      <c r="S498" s="1627"/>
      <c r="T498" s="1627"/>
      <c r="U498" s="1780"/>
      <c r="V498" s="1781" t="s">
        <v>1602</v>
      </c>
      <c r="W498" s="1782" t="s">
        <v>1306</v>
      </c>
      <c r="X498" s="1631">
        <v>4</v>
      </c>
      <c r="Y498" s="1633" t="s">
        <v>1306</v>
      </c>
      <c r="Z498" s="1788" t="s">
        <v>1539</v>
      </c>
      <c r="AA498" s="1783"/>
      <c r="AB498" s="1784"/>
      <c r="AC498" s="1698"/>
      <c r="AD498" s="1699"/>
      <c r="AE498" s="1698"/>
      <c r="AF498" s="1698"/>
      <c r="AG498" s="1637" t="str">
        <f t="shared" si="105"/>
        <v>階別用途別床面積-4-地下2階</v>
      </c>
      <c r="AH498" s="1637"/>
      <c r="AI498" s="1636"/>
      <c r="AJ498" s="1636"/>
      <c r="AK498" s="1636"/>
      <c r="AL498" s="1637"/>
      <c r="AM498" s="1637"/>
      <c r="AN498" s="1637"/>
      <c r="AO498" s="1637"/>
    </row>
    <row r="499" spans="1:41" s="1624" customFormat="1" ht="18.75" customHeight="1" x14ac:dyDescent="0.15">
      <c r="A499" s="1627"/>
      <c r="B499" s="1627"/>
      <c r="C499" s="1627"/>
      <c r="D499" s="1626">
        <f>'2_入力シート【用途面積】'!$M16</f>
        <v>0</v>
      </c>
      <c r="E499" s="1672">
        <f t="shared" si="106"/>
        <v>0</v>
      </c>
      <c r="F499" s="1672" t="str">
        <f t="shared" si="107"/>
        <v>0</v>
      </c>
      <c r="G499" s="1672" t="str">
        <f t="shared" si="108"/>
        <v>0</v>
      </c>
      <c r="H499" s="1628"/>
      <c r="I499" s="1627"/>
      <c r="J499" s="1627"/>
      <c r="K499" s="1627"/>
      <c r="L499" s="1627"/>
      <c r="M499" s="1629"/>
      <c r="N499" s="1627"/>
      <c r="O499" s="1627"/>
      <c r="P499" s="1627"/>
      <c r="Q499" s="1627"/>
      <c r="R499" s="1627"/>
      <c r="S499" s="1627"/>
      <c r="T499" s="1627"/>
      <c r="U499" s="1780"/>
      <c r="V499" s="1781" t="s">
        <v>1602</v>
      </c>
      <c r="W499" s="1782" t="s">
        <v>1306</v>
      </c>
      <c r="X499" s="1631">
        <v>4</v>
      </c>
      <c r="Y499" s="1633" t="s">
        <v>1306</v>
      </c>
      <c r="Z499" s="1788" t="s">
        <v>1540</v>
      </c>
      <c r="AA499" s="1783"/>
      <c r="AB499" s="1784"/>
      <c r="AC499" s="1698"/>
      <c r="AD499" s="1699"/>
      <c r="AE499" s="1698"/>
      <c r="AF499" s="1698"/>
      <c r="AG499" s="1637" t="str">
        <f t="shared" si="105"/>
        <v>階別用途別床面積-4-地下3階</v>
      </c>
      <c r="AH499" s="1637"/>
      <c r="AI499" s="1636"/>
      <c r="AJ499" s="1636"/>
      <c r="AK499" s="1636"/>
      <c r="AL499" s="1637"/>
      <c r="AM499" s="1637"/>
      <c r="AN499" s="1637"/>
      <c r="AO499" s="1637"/>
    </row>
    <row r="500" spans="1:41" s="1637" customFormat="1" ht="18.75" customHeight="1" x14ac:dyDescent="0.15">
      <c r="A500" s="1627"/>
      <c r="B500" s="1627"/>
      <c r="C500" s="1627"/>
      <c r="D500" s="1626">
        <f>'2_入力シート【用途面積】'!$M17</f>
        <v>0</v>
      </c>
      <c r="E500" s="1672">
        <f t="shared" si="106"/>
        <v>0</v>
      </c>
      <c r="F500" s="1672" t="str">
        <f t="shared" si="107"/>
        <v>0</v>
      </c>
      <c r="G500" s="1672" t="str">
        <f t="shared" si="108"/>
        <v>0</v>
      </c>
      <c r="H500" s="1628"/>
      <c r="I500" s="1627"/>
      <c r="J500" s="1627"/>
      <c r="K500" s="1627"/>
      <c r="L500" s="1627"/>
      <c r="M500" s="1629"/>
      <c r="N500" s="1627"/>
      <c r="O500" s="1627"/>
      <c r="P500" s="1627"/>
      <c r="Q500" s="1627"/>
      <c r="R500" s="1627"/>
      <c r="S500" s="1627"/>
      <c r="T500" s="1627"/>
      <c r="U500" s="1780"/>
      <c r="V500" s="1781" t="s">
        <v>1602</v>
      </c>
      <c r="W500" s="1782" t="s">
        <v>1306</v>
      </c>
      <c r="X500" s="1631">
        <v>4</v>
      </c>
      <c r="Y500" s="1633" t="s">
        <v>1306</v>
      </c>
      <c r="Z500" s="1788" t="s">
        <v>1541</v>
      </c>
      <c r="AA500" s="1783"/>
      <c r="AB500" s="1784"/>
      <c r="AC500" s="1698"/>
      <c r="AD500" s="1699"/>
      <c r="AE500" s="1698"/>
      <c r="AF500" s="1698"/>
      <c r="AG500" s="1637" t="str">
        <f t="shared" si="105"/>
        <v>階別用途別床面積-4-地下4階</v>
      </c>
      <c r="AI500" s="1636"/>
      <c r="AJ500" s="1636"/>
      <c r="AK500" s="1636"/>
    </row>
    <row r="501" spans="1:41" s="1637" customFormat="1" ht="18.75" customHeight="1" x14ac:dyDescent="0.15">
      <c r="A501" s="1627"/>
      <c r="B501" s="1627"/>
      <c r="C501" s="1627"/>
      <c r="D501" s="1626">
        <f>'2_入力シート【用途面積】'!$M18</f>
        <v>0</v>
      </c>
      <c r="E501" s="1672">
        <f t="shared" si="106"/>
        <v>0</v>
      </c>
      <c r="F501" s="1672" t="str">
        <f t="shared" si="107"/>
        <v>0</v>
      </c>
      <c r="G501" s="1672" t="str">
        <f t="shared" si="108"/>
        <v>0</v>
      </c>
      <c r="H501" s="1628"/>
      <c r="I501" s="1627"/>
      <c r="J501" s="1627"/>
      <c r="K501" s="1627"/>
      <c r="L501" s="1627"/>
      <c r="M501" s="1629"/>
      <c r="N501" s="1627"/>
      <c r="O501" s="1627"/>
      <c r="P501" s="1627"/>
      <c r="Q501" s="1627"/>
      <c r="R501" s="1627"/>
      <c r="S501" s="1627"/>
      <c r="T501" s="1627"/>
      <c r="U501" s="1780"/>
      <c r="V501" s="1781" t="s">
        <v>1602</v>
      </c>
      <c r="W501" s="1782" t="s">
        <v>1306</v>
      </c>
      <c r="X501" s="1631">
        <v>4</v>
      </c>
      <c r="Y501" s="1633" t="s">
        <v>1306</v>
      </c>
      <c r="Z501" s="1788" t="s">
        <v>1542</v>
      </c>
      <c r="AA501" s="1783"/>
      <c r="AB501" s="1787"/>
      <c r="AC501" s="1698"/>
      <c r="AD501" s="1699"/>
      <c r="AE501" s="1698"/>
      <c r="AF501" s="1698"/>
      <c r="AG501" s="1637" t="str">
        <f t="shared" si="105"/>
        <v>階別用途別床面積-4-塔屋 1階</v>
      </c>
      <c r="AI501" s="1636"/>
      <c r="AJ501" s="1636"/>
      <c r="AK501" s="1636"/>
    </row>
    <row r="502" spans="1:41" s="1637" customFormat="1" ht="18.75" customHeight="1" x14ac:dyDescent="0.15">
      <c r="A502" s="1627"/>
      <c r="B502" s="1627"/>
      <c r="C502" s="1627"/>
      <c r="D502" s="1626">
        <f>'2_入力シート【用途面積】'!$M19</f>
        <v>0</v>
      </c>
      <c r="E502" s="1672">
        <f t="shared" si="106"/>
        <v>0</v>
      </c>
      <c r="F502" s="1672" t="str">
        <f t="shared" si="107"/>
        <v>0</v>
      </c>
      <c r="G502" s="1672" t="str">
        <f t="shared" si="108"/>
        <v>0</v>
      </c>
      <c r="H502" s="1628"/>
      <c r="I502" s="1627"/>
      <c r="J502" s="1627"/>
      <c r="K502" s="1627"/>
      <c r="L502" s="1627"/>
      <c r="M502" s="1629"/>
      <c r="N502" s="1627"/>
      <c r="O502" s="1627"/>
      <c r="P502" s="1627"/>
      <c r="Q502" s="1627"/>
      <c r="R502" s="1627"/>
      <c r="S502" s="1627"/>
      <c r="T502" s="1627"/>
      <c r="U502" s="1780"/>
      <c r="V502" s="1781" t="s">
        <v>1602</v>
      </c>
      <c r="W502" s="1782" t="s">
        <v>1306</v>
      </c>
      <c r="X502" s="1631">
        <v>4</v>
      </c>
      <c r="Y502" s="1633" t="s">
        <v>1306</v>
      </c>
      <c r="Z502" s="1788" t="s">
        <v>1543</v>
      </c>
      <c r="AA502" s="1783"/>
      <c r="AB502" s="1787"/>
      <c r="AC502" s="1698"/>
      <c r="AD502" s="1699"/>
      <c r="AE502" s="1698"/>
      <c r="AF502" s="1698"/>
      <c r="AG502" s="1637" t="str">
        <f t="shared" si="105"/>
        <v>階別用途別床面積-4-塔屋 2階</v>
      </c>
      <c r="AI502" s="1636"/>
      <c r="AJ502" s="1636"/>
      <c r="AK502" s="1636"/>
    </row>
    <row r="503" spans="1:41" s="1637" customFormat="1" ht="18.75" customHeight="1" x14ac:dyDescent="0.15">
      <c r="A503" s="1627"/>
      <c r="B503" s="1627"/>
      <c r="C503" s="1627"/>
      <c r="D503" s="1626">
        <f>'2_入力シート【用途面積】'!$M20</f>
        <v>0</v>
      </c>
      <c r="E503" s="1672">
        <f t="shared" si="106"/>
        <v>0</v>
      </c>
      <c r="F503" s="1672" t="str">
        <f t="shared" si="107"/>
        <v>0</v>
      </c>
      <c r="G503" s="1672" t="str">
        <f t="shared" si="108"/>
        <v>0</v>
      </c>
      <c r="H503" s="1628"/>
      <c r="I503" s="1627"/>
      <c r="J503" s="1627"/>
      <c r="K503" s="1627"/>
      <c r="L503" s="1627"/>
      <c r="M503" s="1629"/>
      <c r="N503" s="1627"/>
      <c r="O503" s="1627"/>
      <c r="P503" s="1627"/>
      <c r="Q503" s="1627"/>
      <c r="R503" s="1627"/>
      <c r="S503" s="1627"/>
      <c r="T503" s="1627"/>
      <c r="U503" s="1780"/>
      <c r="V503" s="1781" t="s">
        <v>1602</v>
      </c>
      <c r="W503" s="1782" t="s">
        <v>1306</v>
      </c>
      <c r="X503" s="1631">
        <v>4</v>
      </c>
      <c r="Y503" s="1633" t="s">
        <v>1306</v>
      </c>
      <c r="Z503" s="1788" t="s">
        <v>1544</v>
      </c>
      <c r="AA503" s="1783"/>
      <c r="AB503" s="1787"/>
      <c r="AC503" s="1698"/>
      <c r="AD503" s="1699"/>
      <c r="AE503" s="1698"/>
      <c r="AF503" s="1698"/>
      <c r="AG503" s="1637" t="str">
        <f t="shared" si="105"/>
        <v>階別用途別床面積-4-塔屋 3階</v>
      </c>
      <c r="AI503" s="1636"/>
      <c r="AJ503" s="1636"/>
      <c r="AK503" s="1636"/>
    </row>
    <row r="504" spans="1:41" s="1637" customFormat="1" ht="18.75" customHeight="1" x14ac:dyDescent="0.15">
      <c r="A504" s="1627"/>
      <c r="B504" s="1627"/>
      <c r="C504" s="1627"/>
      <c r="D504" s="1626">
        <f>'2_入力シート【用途面積】'!$M21</f>
        <v>0</v>
      </c>
      <c r="E504" s="1672">
        <f t="shared" si="106"/>
        <v>0</v>
      </c>
      <c r="F504" s="1672" t="str">
        <f t="shared" si="107"/>
        <v>0</v>
      </c>
      <c r="G504" s="1672" t="str">
        <f t="shared" si="108"/>
        <v>0</v>
      </c>
      <c r="H504" s="1628"/>
      <c r="I504" s="1627"/>
      <c r="J504" s="1627"/>
      <c r="K504" s="1627"/>
      <c r="L504" s="1627"/>
      <c r="M504" s="1629"/>
      <c r="N504" s="1627"/>
      <c r="O504" s="1627"/>
      <c r="P504" s="1627"/>
      <c r="Q504" s="1627"/>
      <c r="R504" s="1627"/>
      <c r="S504" s="1627"/>
      <c r="T504" s="1627"/>
      <c r="U504" s="1780"/>
      <c r="V504" s="1781" t="s">
        <v>1602</v>
      </c>
      <c r="W504" s="1782" t="s">
        <v>1306</v>
      </c>
      <c r="X504" s="1631">
        <v>4</v>
      </c>
      <c r="Y504" s="1633" t="s">
        <v>1306</v>
      </c>
      <c r="Z504" s="1788" t="s">
        <v>1545</v>
      </c>
      <c r="AA504" s="1783"/>
      <c r="AB504" s="1784"/>
      <c r="AC504" s="1636"/>
      <c r="AD504" s="1785"/>
      <c r="AE504" s="1698"/>
      <c r="AF504" s="1698"/>
      <c r="AG504" s="1637" t="str">
        <f t="shared" si="105"/>
        <v>階別用途別床面積-4-塔屋 4階</v>
      </c>
      <c r="AI504" s="1636"/>
      <c r="AJ504" s="1636"/>
      <c r="AK504" s="1636"/>
    </row>
    <row r="505" spans="1:41" s="1637" customFormat="1" ht="18.75" customHeight="1" x14ac:dyDescent="0.15">
      <c r="A505" s="1627"/>
      <c r="B505" s="1627"/>
      <c r="C505" s="1627"/>
      <c r="D505" s="1626">
        <f>'2_入力シート【用途面積】'!$M22</f>
        <v>0</v>
      </c>
      <c r="E505" s="1672">
        <f t="shared" si="106"/>
        <v>0</v>
      </c>
      <c r="F505" s="1672" t="str">
        <f t="shared" si="107"/>
        <v>0</v>
      </c>
      <c r="G505" s="1672" t="str">
        <f t="shared" si="108"/>
        <v>0</v>
      </c>
      <c r="H505" s="1628"/>
      <c r="I505" s="1627"/>
      <c r="J505" s="1627"/>
      <c r="K505" s="1627"/>
      <c r="L505" s="1627"/>
      <c r="M505" s="1629"/>
      <c r="N505" s="1627"/>
      <c r="O505" s="1627"/>
      <c r="P505" s="1627"/>
      <c r="Q505" s="1627"/>
      <c r="R505" s="1627"/>
      <c r="S505" s="1627"/>
      <c r="T505" s="1627"/>
      <c r="U505" s="1780"/>
      <c r="V505" s="1781" t="s">
        <v>1602</v>
      </c>
      <c r="W505" s="1782" t="s">
        <v>1306</v>
      </c>
      <c r="X505" s="1631">
        <v>4</v>
      </c>
      <c r="Y505" s="1633" t="s">
        <v>1306</v>
      </c>
      <c r="Z505" s="1788" t="s">
        <v>1546</v>
      </c>
      <c r="AA505" s="1783"/>
      <c r="AB505" s="1784"/>
      <c r="AC505" s="1698"/>
      <c r="AD505" s="1699"/>
      <c r="AE505" s="1698"/>
      <c r="AF505" s="1698"/>
      <c r="AG505" s="1637" t="str">
        <f t="shared" si="105"/>
        <v>階別用途別床面積-4-塔屋 5階</v>
      </c>
      <c r="AI505" s="1636"/>
      <c r="AJ505" s="1636"/>
      <c r="AK505" s="1636"/>
    </row>
    <row r="506" spans="1:41" s="1637" customFormat="1" ht="18.75" customHeight="1" x14ac:dyDescent="0.15">
      <c r="A506" s="1627"/>
      <c r="B506" s="1627"/>
      <c r="C506" s="1627"/>
      <c r="D506" s="1626">
        <f>'2_入力シート【用途面積】'!$M23</f>
        <v>0</v>
      </c>
      <c r="E506" s="1672">
        <f t="shared" si="106"/>
        <v>0</v>
      </c>
      <c r="F506" s="1672" t="str">
        <f t="shared" si="107"/>
        <v>0</v>
      </c>
      <c r="G506" s="1672" t="str">
        <f t="shared" si="108"/>
        <v>0</v>
      </c>
      <c r="H506" s="1628"/>
      <c r="I506" s="1627"/>
      <c r="J506" s="1627"/>
      <c r="K506" s="1627"/>
      <c r="L506" s="1627"/>
      <c r="M506" s="1629"/>
      <c r="N506" s="1627"/>
      <c r="O506" s="1627"/>
      <c r="P506" s="1627"/>
      <c r="Q506" s="1627"/>
      <c r="R506" s="1627"/>
      <c r="S506" s="1627"/>
      <c r="T506" s="1627"/>
      <c r="U506" s="1780"/>
      <c r="V506" s="1781" t="s">
        <v>1602</v>
      </c>
      <c r="W506" s="1782" t="s">
        <v>1306</v>
      </c>
      <c r="X506" s="1631">
        <v>4</v>
      </c>
      <c r="Y506" s="1633" t="s">
        <v>1306</v>
      </c>
      <c r="Z506" s="1788" t="s">
        <v>1547</v>
      </c>
      <c r="AA506" s="1783"/>
      <c r="AB506" s="1784"/>
      <c r="AC506" s="1698"/>
      <c r="AD506" s="1699"/>
      <c r="AE506" s="1636"/>
      <c r="AF506" s="1636"/>
      <c r="AG506" s="1637" t="str">
        <f t="shared" si="105"/>
        <v>階別用途別床面積-4-1階</v>
      </c>
      <c r="AI506" s="1636"/>
      <c r="AJ506" s="1636"/>
      <c r="AK506" s="1636"/>
    </row>
    <row r="507" spans="1:41" s="1637" customFormat="1" ht="18.75" customHeight="1" x14ac:dyDescent="0.15">
      <c r="A507" s="1627"/>
      <c r="B507" s="1627"/>
      <c r="C507" s="1627"/>
      <c r="D507" s="1626">
        <f>'2_入力シート【用途面積】'!$M24</f>
        <v>0</v>
      </c>
      <c r="E507" s="1672">
        <f t="shared" si="106"/>
        <v>0</v>
      </c>
      <c r="F507" s="1672" t="str">
        <f t="shared" si="107"/>
        <v>0</v>
      </c>
      <c r="G507" s="1672" t="str">
        <f t="shared" si="108"/>
        <v>0</v>
      </c>
      <c r="H507" s="1628"/>
      <c r="I507" s="1627"/>
      <c r="J507" s="1627"/>
      <c r="K507" s="1627"/>
      <c r="L507" s="1627"/>
      <c r="M507" s="1629"/>
      <c r="N507" s="1627"/>
      <c r="O507" s="1627"/>
      <c r="P507" s="1627"/>
      <c r="Q507" s="1627"/>
      <c r="R507" s="1627"/>
      <c r="S507" s="1627"/>
      <c r="T507" s="1627"/>
      <c r="U507" s="1780"/>
      <c r="V507" s="1781" t="s">
        <v>1602</v>
      </c>
      <c r="W507" s="1782" t="s">
        <v>1306</v>
      </c>
      <c r="X507" s="1631">
        <v>4</v>
      </c>
      <c r="Y507" s="1633" t="s">
        <v>1306</v>
      </c>
      <c r="Z507" s="1788" t="s">
        <v>1548</v>
      </c>
      <c r="AA507" s="1783"/>
      <c r="AB507" s="1784"/>
      <c r="AC507" s="1698"/>
      <c r="AD507" s="1699"/>
      <c r="AE507" s="1698"/>
      <c r="AF507" s="1698"/>
      <c r="AG507" s="1637" t="str">
        <f t="shared" si="105"/>
        <v>階別用途別床面積-4-2階</v>
      </c>
      <c r="AI507" s="1636"/>
      <c r="AJ507" s="1636"/>
      <c r="AK507" s="1636"/>
    </row>
    <row r="508" spans="1:41" s="1637" customFormat="1" ht="18.75" customHeight="1" x14ac:dyDescent="0.15">
      <c r="A508" s="1627"/>
      <c r="B508" s="1627"/>
      <c r="C508" s="1627"/>
      <c r="D508" s="1626">
        <f>'2_入力シート【用途面積】'!$M25</f>
        <v>0</v>
      </c>
      <c r="E508" s="1672">
        <f t="shared" si="106"/>
        <v>0</v>
      </c>
      <c r="F508" s="1672" t="str">
        <f t="shared" si="107"/>
        <v>0</v>
      </c>
      <c r="G508" s="1672" t="str">
        <f t="shared" si="108"/>
        <v>0</v>
      </c>
      <c r="H508" s="1628"/>
      <c r="I508" s="1627"/>
      <c r="J508" s="1627"/>
      <c r="K508" s="1627"/>
      <c r="L508" s="1627"/>
      <c r="M508" s="1629"/>
      <c r="N508" s="1627"/>
      <c r="O508" s="1627"/>
      <c r="P508" s="1627"/>
      <c r="Q508" s="1627"/>
      <c r="R508" s="1627"/>
      <c r="S508" s="1627"/>
      <c r="T508" s="1627"/>
      <c r="U508" s="1780"/>
      <c r="V508" s="1781" t="s">
        <v>1602</v>
      </c>
      <c r="W508" s="1782" t="s">
        <v>1306</v>
      </c>
      <c r="X508" s="1631">
        <v>4</v>
      </c>
      <c r="Y508" s="1633" t="s">
        <v>1306</v>
      </c>
      <c r="Z508" s="1788" t="s">
        <v>1549</v>
      </c>
      <c r="AA508" s="1783"/>
      <c r="AB508" s="1784"/>
      <c r="AC508" s="1698"/>
      <c r="AD508" s="1699"/>
      <c r="AE508" s="1698"/>
      <c r="AF508" s="1698"/>
      <c r="AG508" s="1637" t="str">
        <f t="shared" si="105"/>
        <v>階別用途別床面積-4-3階</v>
      </c>
      <c r="AI508" s="1636"/>
      <c r="AJ508" s="1636"/>
      <c r="AK508" s="1636"/>
    </row>
    <row r="509" spans="1:41" s="1637" customFormat="1" ht="18.75" customHeight="1" x14ac:dyDescent="0.15">
      <c r="A509" s="1627"/>
      <c r="B509" s="1627"/>
      <c r="C509" s="1627"/>
      <c r="D509" s="1626">
        <f>'2_入力シート【用途面積】'!$M26</f>
        <v>0</v>
      </c>
      <c r="E509" s="1672">
        <f t="shared" si="106"/>
        <v>0</v>
      </c>
      <c r="F509" s="1672" t="str">
        <f t="shared" si="107"/>
        <v>0</v>
      </c>
      <c r="G509" s="1672" t="str">
        <f t="shared" si="108"/>
        <v>0</v>
      </c>
      <c r="H509" s="1628"/>
      <c r="I509" s="1627"/>
      <c r="J509" s="1627"/>
      <c r="K509" s="1627"/>
      <c r="L509" s="1627"/>
      <c r="M509" s="1629"/>
      <c r="N509" s="1627"/>
      <c r="O509" s="1627"/>
      <c r="P509" s="1627"/>
      <c r="Q509" s="1627"/>
      <c r="R509" s="1627"/>
      <c r="S509" s="1627"/>
      <c r="T509" s="1627"/>
      <c r="U509" s="1780"/>
      <c r="V509" s="1781" t="s">
        <v>1602</v>
      </c>
      <c r="W509" s="1782" t="s">
        <v>1306</v>
      </c>
      <c r="X509" s="1631">
        <v>4</v>
      </c>
      <c r="Y509" s="1633" t="s">
        <v>1306</v>
      </c>
      <c r="Z509" s="1788" t="s">
        <v>1550</v>
      </c>
      <c r="AA509" s="1783"/>
      <c r="AB509" s="1784"/>
      <c r="AC509" s="1698"/>
      <c r="AD509" s="1699"/>
      <c r="AE509" s="1698"/>
      <c r="AF509" s="1698"/>
      <c r="AG509" s="1637" t="str">
        <f t="shared" si="105"/>
        <v>階別用途別床面積-4-4階</v>
      </c>
      <c r="AI509" s="1636"/>
      <c r="AJ509" s="1636"/>
      <c r="AK509" s="1636"/>
    </row>
    <row r="510" spans="1:41" s="1637" customFormat="1" ht="18.75" customHeight="1" x14ac:dyDescent="0.15">
      <c r="A510" s="1627"/>
      <c r="B510" s="1627"/>
      <c r="C510" s="1627"/>
      <c r="D510" s="1626">
        <f>'2_入力シート【用途面積】'!$M27</f>
        <v>0</v>
      </c>
      <c r="E510" s="1672">
        <f t="shared" si="106"/>
        <v>0</v>
      </c>
      <c r="F510" s="1672" t="str">
        <f t="shared" si="107"/>
        <v>0</v>
      </c>
      <c r="G510" s="1672" t="str">
        <f t="shared" si="108"/>
        <v>0</v>
      </c>
      <c r="H510" s="1628"/>
      <c r="I510" s="1627"/>
      <c r="J510" s="1627"/>
      <c r="K510" s="1627"/>
      <c r="L510" s="1627"/>
      <c r="M510" s="1629"/>
      <c r="N510" s="1627"/>
      <c r="O510" s="1627"/>
      <c r="P510" s="1627"/>
      <c r="Q510" s="1627"/>
      <c r="R510" s="1627"/>
      <c r="S510" s="1627"/>
      <c r="T510" s="1627"/>
      <c r="U510" s="1780"/>
      <c r="V510" s="1781" t="s">
        <v>1602</v>
      </c>
      <c r="W510" s="1782" t="s">
        <v>1306</v>
      </c>
      <c r="X510" s="1631">
        <v>4</v>
      </c>
      <c r="Y510" s="1633" t="s">
        <v>1306</v>
      </c>
      <c r="Z510" s="1788" t="s">
        <v>1551</v>
      </c>
      <c r="AA510" s="1783"/>
      <c r="AB510" s="1787"/>
      <c r="AC510" s="1698"/>
      <c r="AD510" s="1699"/>
      <c r="AE510" s="1698"/>
      <c r="AF510" s="1698"/>
      <c r="AG510" s="1637" t="str">
        <f t="shared" si="105"/>
        <v>階別用途別床面積-4-5階</v>
      </c>
      <c r="AI510" s="1636"/>
      <c r="AJ510" s="1636"/>
      <c r="AK510" s="1636"/>
    </row>
    <row r="511" spans="1:41" s="1637" customFormat="1" ht="18.75" customHeight="1" x14ac:dyDescent="0.15">
      <c r="A511" s="1627"/>
      <c r="B511" s="1627"/>
      <c r="C511" s="1627"/>
      <c r="D511" s="1626">
        <f>'2_入力シート【用途面積】'!$M28</f>
        <v>0</v>
      </c>
      <c r="E511" s="1672">
        <f t="shared" si="106"/>
        <v>0</v>
      </c>
      <c r="F511" s="1672" t="str">
        <f t="shared" si="107"/>
        <v>0</v>
      </c>
      <c r="G511" s="1672" t="str">
        <f t="shared" si="108"/>
        <v>0</v>
      </c>
      <c r="H511" s="1628"/>
      <c r="I511" s="1627"/>
      <c r="J511" s="1627"/>
      <c r="K511" s="1627"/>
      <c r="L511" s="1627"/>
      <c r="M511" s="1629"/>
      <c r="N511" s="1627"/>
      <c r="O511" s="1627"/>
      <c r="P511" s="1627"/>
      <c r="Q511" s="1627"/>
      <c r="R511" s="1627"/>
      <c r="S511" s="1627"/>
      <c r="T511" s="1627"/>
      <c r="U511" s="1780"/>
      <c r="V511" s="1781" t="s">
        <v>1602</v>
      </c>
      <c r="W511" s="1782" t="s">
        <v>1306</v>
      </c>
      <c r="X511" s="1631">
        <v>4</v>
      </c>
      <c r="Y511" s="1633" t="s">
        <v>1306</v>
      </c>
      <c r="Z511" s="1788" t="s">
        <v>1552</v>
      </c>
      <c r="AA511" s="1783"/>
      <c r="AB511" s="1787"/>
      <c r="AC511" s="1698"/>
      <c r="AD511" s="1699"/>
      <c r="AE511" s="1698"/>
      <c r="AF511" s="1698"/>
      <c r="AG511" s="1637" t="str">
        <f t="shared" si="105"/>
        <v>階別用途別床面積-4-6階</v>
      </c>
      <c r="AI511" s="1636"/>
      <c r="AJ511" s="1636"/>
      <c r="AK511" s="1636"/>
    </row>
    <row r="512" spans="1:41" s="1637" customFormat="1" ht="18.75" customHeight="1" x14ac:dyDescent="0.15">
      <c r="A512" s="1627"/>
      <c r="B512" s="1627"/>
      <c r="C512" s="1627"/>
      <c r="D512" s="1626">
        <f>'2_入力シート【用途面積】'!$M29</f>
        <v>0</v>
      </c>
      <c r="E512" s="1672">
        <f t="shared" si="106"/>
        <v>0</v>
      </c>
      <c r="F512" s="1672" t="str">
        <f t="shared" si="107"/>
        <v>0</v>
      </c>
      <c r="G512" s="1672" t="str">
        <f t="shared" si="108"/>
        <v>0</v>
      </c>
      <c r="H512" s="1628"/>
      <c r="I512" s="1627"/>
      <c r="J512" s="1627"/>
      <c r="K512" s="1627"/>
      <c r="L512" s="1627"/>
      <c r="M512" s="1629"/>
      <c r="N512" s="1627"/>
      <c r="O512" s="1627"/>
      <c r="P512" s="1627"/>
      <c r="Q512" s="1627"/>
      <c r="R512" s="1627"/>
      <c r="S512" s="1627"/>
      <c r="T512" s="1627"/>
      <c r="U512" s="1780"/>
      <c r="V512" s="1781" t="s">
        <v>1602</v>
      </c>
      <c r="W512" s="1782" t="s">
        <v>1306</v>
      </c>
      <c r="X512" s="1631">
        <v>4</v>
      </c>
      <c r="Y512" s="1633" t="s">
        <v>1306</v>
      </c>
      <c r="Z512" s="1788" t="s">
        <v>1553</v>
      </c>
      <c r="AA512" s="1783"/>
      <c r="AB512" s="1787"/>
      <c r="AC512" s="1698"/>
      <c r="AD512" s="1699"/>
      <c r="AE512" s="1698"/>
      <c r="AF512" s="1698"/>
      <c r="AG512" s="1637" t="str">
        <f t="shared" si="105"/>
        <v>階別用途別床面積-4-7階</v>
      </c>
      <c r="AI512" s="1636"/>
      <c r="AJ512" s="1636"/>
      <c r="AK512" s="1636"/>
    </row>
    <row r="513" spans="1:37" s="1637" customFormat="1" ht="18.75" customHeight="1" x14ac:dyDescent="0.15">
      <c r="A513" s="1627"/>
      <c r="B513" s="1627"/>
      <c r="C513" s="1627"/>
      <c r="D513" s="1626">
        <f>'2_入力シート【用途面積】'!$M30</f>
        <v>0</v>
      </c>
      <c r="E513" s="1672">
        <f t="shared" si="106"/>
        <v>0</v>
      </c>
      <c r="F513" s="1672" t="str">
        <f t="shared" si="107"/>
        <v>0</v>
      </c>
      <c r="G513" s="1672" t="str">
        <f t="shared" si="108"/>
        <v>0</v>
      </c>
      <c r="H513" s="1628"/>
      <c r="I513" s="1627"/>
      <c r="J513" s="1627"/>
      <c r="K513" s="1627"/>
      <c r="L513" s="1627"/>
      <c r="M513" s="1629"/>
      <c r="N513" s="1627"/>
      <c r="O513" s="1627"/>
      <c r="P513" s="1627"/>
      <c r="Q513" s="1627"/>
      <c r="R513" s="1627"/>
      <c r="S513" s="1627"/>
      <c r="T513" s="1627"/>
      <c r="U513" s="1780"/>
      <c r="V513" s="1781" t="s">
        <v>1602</v>
      </c>
      <c r="W513" s="1782" t="s">
        <v>1306</v>
      </c>
      <c r="X513" s="1631">
        <v>4</v>
      </c>
      <c r="Y513" s="1633" t="s">
        <v>1306</v>
      </c>
      <c r="Z513" s="1788" t="s">
        <v>1554</v>
      </c>
      <c r="AA513" s="1783"/>
      <c r="AB513" s="1784"/>
      <c r="AC513" s="1636"/>
      <c r="AD513" s="1785"/>
      <c r="AE513" s="1698"/>
      <c r="AF513" s="1698"/>
      <c r="AG513" s="1637" t="str">
        <f t="shared" si="105"/>
        <v>階別用途別床面積-4-8階</v>
      </c>
      <c r="AI513" s="1636"/>
      <c r="AJ513" s="1636"/>
      <c r="AK513" s="1636"/>
    </row>
    <row r="514" spans="1:37" s="1637" customFormat="1" ht="18.75" customHeight="1" x14ac:dyDescent="0.15">
      <c r="A514" s="1627"/>
      <c r="B514" s="1627"/>
      <c r="C514" s="1627"/>
      <c r="D514" s="1626">
        <f>'2_入力シート【用途面積】'!$M31</f>
        <v>0</v>
      </c>
      <c r="E514" s="1672">
        <f t="shared" si="106"/>
        <v>0</v>
      </c>
      <c r="F514" s="1672" t="str">
        <f t="shared" si="107"/>
        <v>0</v>
      </c>
      <c r="G514" s="1672" t="str">
        <f t="shared" si="108"/>
        <v>0</v>
      </c>
      <c r="H514" s="1628"/>
      <c r="I514" s="1627"/>
      <c r="J514" s="1627"/>
      <c r="K514" s="1627"/>
      <c r="L514" s="1627"/>
      <c r="M514" s="1629"/>
      <c r="N514" s="1627"/>
      <c r="O514" s="1627"/>
      <c r="P514" s="1627"/>
      <c r="Q514" s="1627"/>
      <c r="R514" s="1627"/>
      <c r="S514" s="1627"/>
      <c r="T514" s="1627"/>
      <c r="U514" s="1780"/>
      <c r="V514" s="1781" t="s">
        <v>1602</v>
      </c>
      <c r="W514" s="1782" t="s">
        <v>1306</v>
      </c>
      <c r="X514" s="1631">
        <v>4</v>
      </c>
      <c r="Y514" s="1633" t="s">
        <v>1306</v>
      </c>
      <c r="Z514" s="1788" t="s">
        <v>1555</v>
      </c>
      <c r="AA514" s="1783"/>
      <c r="AB514" s="1784"/>
      <c r="AC514" s="1698"/>
      <c r="AD514" s="1699"/>
      <c r="AE514" s="1698"/>
      <c r="AF514" s="1698"/>
      <c r="AG514" s="1637" t="str">
        <f t="shared" si="105"/>
        <v>階別用途別床面積-4-9階</v>
      </c>
      <c r="AI514" s="1636"/>
      <c r="AJ514" s="1636"/>
      <c r="AK514" s="1636"/>
    </row>
    <row r="515" spans="1:37" s="1637" customFormat="1" ht="18.75" customHeight="1" x14ac:dyDescent="0.15">
      <c r="A515" s="1627"/>
      <c r="B515" s="1627"/>
      <c r="C515" s="1627"/>
      <c r="D515" s="1626">
        <f>'2_入力シート【用途面積】'!$M32</f>
        <v>0</v>
      </c>
      <c r="E515" s="1672">
        <f t="shared" si="106"/>
        <v>0</v>
      </c>
      <c r="F515" s="1672" t="str">
        <f t="shared" si="107"/>
        <v>0</v>
      </c>
      <c r="G515" s="1672" t="str">
        <f t="shared" si="108"/>
        <v>0</v>
      </c>
      <c r="H515" s="1628"/>
      <c r="I515" s="1627"/>
      <c r="J515" s="1627"/>
      <c r="K515" s="1627"/>
      <c r="L515" s="1627"/>
      <c r="M515" s="1629"/>
      <c r="N515" s="1627"/>
      <c r="O515" s="1627"/>
      <c r="P515" s="1627"/>
      <c r="Q515" s="1627"/>
      <c r="R515" s="1627"/>
      <c r="S515" s="1627"/>
      <c r="T515" s="1627"/>
      <c r="U515" s="1780"/>
      <c r="V515" s="1781" t="s">
        <v>1602</v>
      </c>
      <c r="W515" s="1782" t="s">
        <v>1306</v>
      </c>
      <c r="X515" s="1631">
        <v>4</v>
      </c>
      <c r="Y515" s="1633" t="s">
        <v>1306</v>
      </c>
      <c r="Z515" s="1788" t="s">
        <v>1556</v>
      </c>
      <c r="AA515" s="1783"/>
      <c r="AB515" s="1784"/>
      <c r="AC515" s="1698"/>
      <c r="AD515" s="1699"/>
      <c r="AE515" s="1636"/>
      <c r="AF515" s="1636"/>
      <c r="AG515" s="1637" t="str">
        <f t="shared" si="105"/>
        <v>階別用途別床面積-4-10階</v>
      </c>
      <c r="AI515" s="1636"/>
      <c r="AJ515" s="1636"/>
      <c r="AK515" s="1636"/>
    </row>
    <row r="516" spans="1:37" s="1637" customFormat="1" ht="18.75" customHeight="1" x14ac:dyDescent="0.15">
      <c r="A516" s="1627"/>
      <c r="B516" s="1627"/>
      <c r="C516" s="1627"/>
      <c r="D516" s="1626">
        <f>'2_入力シート【用途面積】'!$M33</f>
        <v>0</v>
      </c>
      <c r="E516" s="1672">
        <f t="shared" si="106"/>
        <v>0</v>
      </c>
      <c r="F516" s="1672" t="str">
        <f t="shared" si="107"/>
        <v>0</v>
      </c>
      <c r="G516" s="1672" t="str">
        <f t="shared" si="108"/>
        <v>0</v>
      </c>
      <c r="H516" s="1628"/>
      <c r="I516" s="1627"/>
      <c r="J516" s="1627"/>
      <c r="K516" s="1627"/>
      <c r="L516" s="1627"/>
      <c r="M516" s="1629"/>
      <c r="N516" s="1627"/>
      <c r="O516" s="1627"/>
      <c r="P516" s="1627"/>
      <c r="Q516" s="1627"/>
      <c r="R516" s="1627"/>
      <c r="S516" s="1627"/>
      <c r="T516" s="1627"/>
      <c r="U516" s="1780"/>
      <c r="V516" s="1781" t="s">
        <v>1602</v>
      </c>
      <c r="W516" s="1782" t="s">
        <v>1306</v>
      </c>
      <c r="X516" s="1631">
        <v>4</v>
      </c>
      <c r="Y516" s="1633" t="s">
        <v>1306</v>
      </c>
      <c r="Z516" s="1788" t="s">
        <v>1557</v>
      </c>
      <c r="AA516" s="1783"/>
      <c r="AB516" s="1784"/>
      <c r="AC516" s="1698"/>
      <c r="AD516" s="1699"/>
      <c r="AE516" s="1698"/>
      <c r="AF516" s="1698"/>
      <c r="AG516" s="1637" t="str">
        <f t="shared" si="105"/>
        <v>階別用途別床面積-4-11階</v>
      </c>
      <c r="AI516" s="1636"/>
      <c r="AJ516" s="1636"/>
      <c r="AK516" s="1636"/>
    </row>
    <row r="517" spans="1:37" s="1637" customFormat="1" ht="18.75" customHeight="1" x14ac:dyDescent="0.15">
      <c r="A517" s="1627"/>
      <c r="B517" s="1627"/>
      <c r="C517" s="1627"/>
      <c r="D517" s="1626">
        <f>'2_入力シート【用途面積】'!$M34</f>
        <v>0</v>
      </c>
      <c r="E517" s="1672">
        <f t="shared" si="106"/>
        <v>0</v>
      </c>
      <c r="F517" s="1672" t="str">
        <f t="shared" si="107"/>
        <v>0</v>
      </c>
      <c r="G517" s="1672" t="str">
        <f t="shared" si="108"/>
        <v>0</v>
      </c>
      <c r="H517" s="1628"/>
      <c r="I517" s="1627"/>
      <c r="J517" s="1627"/>
      <c r="K517" s="1627"/>
      <c r="L517" s="1627"/>
      <c r="M517" s="1629"/>
      <c r="N517" s="1627"/>
      <c r="O517" s="1627"/>
      <c r="P517" s="1627"/>
      <c r="Q517" s="1627"/>
      <c r="R517" s="1627"/>
      <c r="S517" s="1627"/>
      <c r="T517" s="1627"/>
      <c r="U517" s="1780"/>
      <c r="V517" s="1781" t="s">
        <v>1602</v>
      </c>
      <c r="W517" s="1782" t="s">
        <v>1306</v>
      </c>
      <c r="X517" s="1631">
        <v>4</v>
      </c>
      <c r="Y517" s="1633" t="s">
        <v>1306</v>
      </c>
      <c r="Z517" s="1788" t="s">
        <v>1558</v>
      </c>
      <c r="AA517" s="1783"/>
      <c r="AB517" s="1784"/>
      <c r="AC517" s="1698"/>
      <c r="AD517" s="1699"/>
      <c r="AE517" s="1698"/>
      <c r="AF517" s="1698"/>
      <c r="AG517" s="1637" t="str">
        <f t="shared" si="105"/>
        <v>階別用途別床面積-4-12階</v>
      </c>
      <c r="AI517" s="1636"/>
      <c r="AJ517" s="1636"/>
      <c r="AK517" s="1636"/>
    </row>
    <row r="518" spans="1:37" s="1637" customFormat="1" ht="18.75" customHeight="1" x14ac:dyDescent="0.15">
      <c r="A518" s="1627"/>
      <c r="B518" s="1627"/>
      <c r="C518" s="1627"/>
      <c r="D518" s="1626">
        <f>'2_入力シート【用途面積】'!$M35</f>
        <v>0</v>
      </c>
      <c r="E518" s="1672">
        <f t="shared" si="106"/>
        <v>0</v>
      </c>
      <c r="F518" s="1672" t="str">
        <f t="shared" si="107"/>
        <v>0</v>
      </c>
      <c r="G518" s="1672" t="str">
        <f t="shared" si="108"/>
        <v>0</v>
      </c>
      <c r="H518" s="1628"/>
      <c r="I518" s="1627"/>
      <c r="J518" s="1627"/>
      <c r="K518" s="1627"/>
      <c r="L518" s="1627"/>
      <c r="M518" s="1629"/>
      <c r="N518" s="1627"/>
      <c r="O518" s="1627"/>
      <c r="P518" s="1627"/>
      <c r="Q518" s="1627"/>
      <c r="R518" s="1627"/>
      <c r="S518" s="1627"/>
      <c r="T518" s="1627"/>
      <c r="U518" s="1780"/>
      <c r="V518" s="1781" t="s">
        <v>1602</v>
      </c>
      <c r="W518" s="1782" t="s">
        <v>1306</v>
      </c>
      <c r="X518" s="1631">
        <v>4</v>
      </c>
      <c r="Y518" s="1633" t="s">
        <v>1306</v>
      </c>
      <c r="Z518" s="1788" t="s">
        <v>1559</v>
      </c>
      <c r="AA518" s="1783"/>
      <c r="AB518" s="1784"/>
      <c r="AC518" s="1698"/>
      <c r="AD518" s="1699"/>
      <c r="AE518" s="1698"/>
      <c r="AF518" s="1698"/>
      <c r="AG518" s="1637" t="str">
        <f t="shared" si="105"/>
        <v>階別用途別床面積-4-13階</v>
      </c>
      <c r="AI518" s="1636"/>
      <c r="AJ518" s="1636"/>
      <c r="AK518" s="1636"/>
    </row>
    <row r="519" spans="1:37" s="1637" customFormat="1" ht="18.75" customHeight="1" x14ac:dyDescent="0.15">
      <c r="A519" s="1627"/>
      <c r="B519" s="1627"/>
      <c r="C519" s="1627"/>
      <c r="D519" s="1626">
        <f>'2_入力シート【用途面積】'!$M36</f>
        <v>0</v>
      </c>
      <c r="E519" s="1672">
        <f t="shared" si="106"/>
        <v>0</v>
      </c>
      <c r="F519" s="1672" t="str">
        <f t="shared" si="107"/>
        <v>0</v>
      </c>
      <c r="G519" s="1672" t="str">
        <f t="shared" si="108"/>
        <v>0</v>
      </c>
      <c r="H519" s="1628"/>
      <c r="I519" s="1627"/>
      <c r="J519" s="1627"/>
      <c r="K519" s="1627"/>
      <c r="L519" s="1627"/>
      <c r="M519" s="1629"/>
      <c r="N519" s="1627"/>
      <c r="O519" s="1627"/>
      <c r="P519" s="1627"/>
      <c r="Q519" s="1627"/>
      <c r="R519" s="1627"/>
      <c r="S519" s="1627"/>
      <c r="T519" s="1627"/>
      <c r="U519" s="1780"/>
      <c r="V519" s="1781" t="s">
        <v>1602</v>
      </c>
      <c r="W519" s="1782" t="s">
        <v>1306</v>
      </c>
      <c r="X519" s="1631">
        <v>4</v>
      </c>
      <c r="Y519" s="1633" t="s">
        <v>1306</v>
      </c>
      <c r="Z519" s="1788" t="s">
        <v>1560</v>
      </c>
      <c r="AA519" s="1783"/>
      <c r="AB519" s="1787"/>
      <c r="AC519" s="1698"/>
      <c r="AD519" s="1699"/>
      <c r="AE519" s="1698"/>
      <c r="AF519" s="1698"/>
      <c r="AG519" s="1637" t="str">
        <f t="shared" si="105"/>
        <v>階別用途別床面積-4-14階</v>
      </c>
      <c r="AI519" s="1636"/>
      <c r="AJ519" s="1636"/>
      <c r="AK519" s="1636"/>
    </row>
    <row r="520" spans="1:37" s="1637" customFormat="1" ht="18.75" customHeight="1" x14ac:dyDescent="0.15">
      <c r="A520" s="1627"/>
      <c r="B520" s="1627"/>
      <c r="C520" s="1627"/>
      <c r="D520" s="1626">
        <f>'2_入力シート【用途面積】'!$M37</f>
        <v>0</v>
      </c>
      <c r="E520" s="1672">
        <f t="shared" si="106"/>
        <v>0</v>
      </c>
      <c r="F520" s="1672" t="str">
        <f t="shared" si="107"/>
        <v>0</v>
      </c>
      <c r="G520" s="1672" t="str">
        <f t="shared" si="108"/>
        <v>0</v>
      </c>
      <c r="H520" s="1628"/>
      <c r="I520" s="1627"/>
      <c r="J520" s="1627"/>
      <c r="K520" s="1627"/>
      <c r="L520" s="1627"/>
      <c r="M520" s="1629"/>
      <c r="N520" s="1627"/>
      <c r="O520" s="1627"/>
      <c r="P520" s="1627"/>
      <c r="Q520" s="1627"/>
      <c r="R520" s="1627"/>
      <c r="S520" s="1627"/>
      <c r="T520" s="1627"/>
      <c r="U520" s="1780"/>
      <c r="V520" s="1781" t="s">
        <v>1602</v>
      </c>
      <c r="W520" s="1782" t="s">
        <v>1306</v>
      </c>
      <c r="X520" s="1631">
        <v>4</v>
      </c>
      <c r="Y520" s="1633" t="s">
        <v>1306</v>
      </c>
      <c r="Z520" s="1788" t="s">
        <v>1561</v>
      </c>
      <c r="AA520" s="1783"/>
      <c r="AB520" s="1787"/>
      <c r="AC520" s="1698"/>
      <c r="AD520" s="1699"/>
      <c r="AE520" s="1698"/>
      <c r="AF520" s="1698"/>
      <c r="AG520" s="1637" t="str">
        <f t="shared" si="105"/>
        <v>階別用途別床面積-4-15階</v>
      </c>
      <c r="AI520" s="1636"/>
      <c r="AJ520" s="1636"/>
      <c r="AK520" s="1636"/>
    </row>
    <row r="521" spans="1:37" s="1637" customFormat="1" ht="18.75" customHeight="1" x14ac:dyDescent="0.15">
      <c r="A521" s="1627"/>
      <c r="B521" s="1627"/>
      <c r="C521" s="1627"/>
      <c r="D521" s="1626">
        <f>'2_入力シート【用途面積】'!$M38</f>
        <v>0</v>
      </c>
      <c r="E521" s="1672">
        <f t="shared" si="106"/>
        <v>0</v>
      </c>
      <c r="F521" s="1672" t="str">
        <f t="shared" si="107"/>
        <v>0</v>
      </c>
      <c r="G521" s="1672" t="str">
        <f t="shared" si="108"/>
        <v>0</v>
      </c>
      <c r="H521" s="1628"/>
      <c r="I521" s="1627"/>
      <c r="J521" s="1627"/>
      <c r="K521" s="1627"/>
      <c r="L521" s="1627"/>
      <c r="M521" s="1629"/>
      <c r="N521" s="1627"/>
      <c r="O521" s="1627"/>
      <c r="P521" s="1627"/>
      <c r="Q521" s="1627"/>
      <c r="R521" s="1627"/>
      <c r="S521" s="1627"/>
      <c r="T521" s="1627"/>
      <c r="U521" s="1780"/>
      <c r="V521" s="1781" t="s">
        <v>1602</v>
      </c>
      <c r="W521" s="1782" t="s">
        <v>1306</v>
      </c>
      <c r="X521" s="1631">
        <v>4</v>
      </c>
      <c r="Y521" s="1633" t="s">
        <v>1306</v>
      </c>
      <c r="Z521" s="1788" t="s">
        <v>1562</v>
      </c>
      <c r="AA521" s="1783"/>
      <c r="AB521" s="1787"/>
      <c r="AC521" s="1698"/>
      <c r="AD521" s="1699"/>
      <c r="AE521" s="1698"/>
      <c r="AF521" s="1698"/>
      <c r="AG521" s="1637" t="str">
        <f t="shared" si="105"/>
        <v>階別用途別床面積-4-16階</v>
      </c>
      <c r="AI521" s="1636"/>
      <c r="AJ521" s="1636"/>
      <c r="AK521" s="1636"/>
    </row>
    <row r="522" spans="1:37" s="1637" customFormat="1" ht="18.75" customHeight="1" x14ac:dyDescent="0.15">
      <c r="A522" s="1627"/>
      <c r="B522" s="1627"/>
      <c r="C522" s="1627"/>
      <c r="D522" s="1626">
        <f>'2_入力シート【用途面積】'!$M39</f>
        <v>0</v>
      </c>
      <c r="E522" s="1672">
        <f t="shared" si="106"/>
        <v>0</v>
      </c>
      <c r="F522" s="1672" t="str">
        <f t="shared" si="107"/>
        <v>0</v>
      </c>
      <c r="G522" s="1672" t="str">
        <f t="shared" si="108"/>
        <v>0</v>
      </c>
      <c r="H522" s="1628"/>
      <c r="I522" s="1627"/>
      <c r="J522" s="1627"/>
      <c r="K522" s="1627"/>
      <c r="L522" s="1627"/>
      <c r="M522" s="1629"/>
      <c r="N522" s="1627"/>
      <c r="O522" s="1627"/>
      <c r="P522" s="1627"/>
      <c r="Q522" s="1627"/>
      <c r="R522" s="1627"/>
      <c r="S522" s="1627"/>
      <c r="T522" s="1627"/>
      <c r="U522" s="1780"/>
      <c r="V522" s="1781" t="s">
        <v>1602</v>
      </c>
      <c r="W522" s="1782" t="s">
        <v>1306</v>
      </c>
      <c r="X522" s="1631">
        <v>4</v>
      </c>
      <c r="Y522" s="1633" t="s">
        <v>1306</v>
      </c>
      <c r="Z522" s="1788" t="s">
        <v>1563</v>
      </c>
      <c r="AA522" s="1783"/>
      <c r="AB522" s="1784"/>
      <c r="AC522" s="1636"/>
      <c r="AD522" s="1785"/>
      <c r="AE522" s="1698"/>
      <c r="AF522" s="1698"/>
      <c r="AG522" s="1637" t="str">
        <f t="shared" ref="AG522:AG586" si="109">CONCATENATE(U522,V522,W522,X522,Y522,Z522,AA522,AB522,AC522,AD522)</f>
        <v>階別用途別床面積-4-17階</v>
      </c>
      <c r="AI522" s="1636"/>
      <c r="AJ522" s="1636"/>
      <c r="AK522" s="1636"/>
    </row>
    <row r="523" spans="1:37" s="1637" customFormat="1" ht="18.75" customHeight="1" x14ac:dyDescent="0.15">
      <c r="A523" s="1627"/>
      <c r="B523" s="1627"/>
      <c r="C523" s="1627"/>
      <c r="D523" s="1626">
        <f>'2_入力シート【用途面積】'!$M40</f>
        <v>0</v>
      </c>
      <c r="E523" s="1672">
        <f t="shared" si="106"/>
        <v>0</v>
      </c>
      <c r="F523" s="1672" t="str">
        <f t="shared" si="107"/>
        <v>0</v>
      </c>
      <c r="G523" s="1672" t="str">
        <f t="shared" si="108"/>
        <v>0</v>
      </c>
      <c r="H523" s="1628"/>
      <c r="I523" s="1627"/>
      <c r="J523" s="1627"/>
      <c r="K523" s="1627"/>
      <c r="L523" s="1627"/>
      <c r="M523" s="1629"/>
      <c r="N523" s="1627"/>
      <c r="O523" s="1627"/>
      <c r="P523" s="1627"/>
      <c r="Q523" s="1627"/>
      <c r="R523" s="1627"/>
      <c r="S523" s="1627"/>
      <c r="T523" s="1627"/>
      <c r="U523" s="1780"/>
      <c r="V523" s="1781" t="s">
        <v>1602</v>
      </c>
      <c r="W523" s="1782" t="s">
        <v>1306</v>
      </c>
      <c r="X523" s="1631">
        <v>4</v>
      </c>
      <c r="Y523" s="1633" t="s">
        <v>1306</v>
      </c>
      <c r="Z523" s="1788" t="s">
        <v>1564</v>
      </c>
      <c r="AA523" s="1783"/>
      <c r="AB523" s="1784"/>
      <c r="AC523" s="1698"/>
      <c r="AD523" s="1699"/>
      <c r="AE523" s="1698"/>
      <c r="AF523" s="1698"/>
      <c r="AG523" s="1637" t="str">
        <f t="shared" si="109"/>
        <v>階別用途別床面積-4-18階</v>
      </c>
      <c r="AI523" s="1636"/>
      <c r="AJ523" s="1636"/>
      <c r="AK523" s="1636"/>
    </row>
    <row r="524" spans="1:37" s="1637" customFormat="1" ht="18.75" customHeight="1" x14ac:dyDescent="0.15">
      <c r="A524" s="1627"/>
      <c r="B524" s="1627"/>
      <c r="C524" s="1627"/>
      <c r="D524" s="1626">
        <f>'2_入力シート【用途面積】'!$M41</f>
        <v>0</v>
      </c>
      <c r="E524" s="1672">
        <f t="shared" si="106"/>
        <v>0</v>
      </c>
      <c r="F524" s="1672" t="str">
        <f t="shared" si="107"/>
        <v>0</v>
      </c>
      <c r="G524" s="1672" t="str">
        <f t="shared" si="108"/>
        <v>0</v>
      </c>
      <c r="H524" s="1628"/>
      <c r="I524" s="1627"/>
      <c r="J524" s="1627"/>
      <c r="K524" s="1627"/>
      <c r="L524" s="1627"/>
      <c r="M524" s="1629"/>
      <c r="N524" s="1627"/>
      <c r="O524" s="1627"/>
      <c r="P524" s="1627"/>
      <c r="Q524" s="1627"/>
      <c r="R524" s="1627"/>
      <c r="S524" s="1627"/>
      <c r="T524" s="1627"/>
      <c r="U524" s="1780"/>
      <c r="V524" s="1781" t="s">
        <v>1602</v>
      </c>
      <c r="W524" s="1782" t="s">
        <v>1306</v>
      </c>
      <c r="X524" s="1631">
        <v>4</v>
      </c>
      <c r="Y524" s="1633" t="s">
        <v>1306</v>
      </c>
      <c r="Z524" s="1788" t="s">
        <v>1565</v>
      </c>
      <c r="AA524" s="1783"/>
      <c r="AB524" s="1784"/>
      <c r="AC524" s="1698"/>
      <c r="AD524" s="1699"/>
      <c r="AE524" s="1636"/>
      <c r="AF524" s="1636"/>
      <c r="AG524" s="1637" t="str">
        <f t="shared" si="109"/>
        <v>階別用途別床面積-4-19階</v>
      </c>
      <c r="AI524" s="1636"/>
      <c r="AJ524" s="1636"/>
      <c r="AK524" s="1636"/>
    </row>
    <row r="525" spans="1:37" s="1637" customFormat="1" ht="18.75" customHeight="1" x14ac:dyDescent="0.15">
      <c r="A525" s="1627"/>
      <c r="B525" s="1627"/>
      <c r="C525" s="1627"/>
      <c r="D525" s="1626">
        <f>'2_入力シート【用途面積】'!$M42</f>
        <v>0</v>
      </c>
      <c r="E525" s="1672">
        <f t="shared" si="106"/>
        <v>0</v>
      </c>
      <c r="F525" s="1672" t="str">
        <f t="shared" si="107"/>
        <v>0</v>
      </c>
      <c r="G525" s="1672" t="str">
        <f t="shared" si="108"/>
        <v>0</v>
      </c>
      <c r="H525" s="1628"/>
      <c r="I525" s="1627"/>
      <c r="J525" s="1627"/>
      <c r="K525" s="1627"/>
      <c r="L525" s="1627"/>
      <c r="M525" s="1629"/>
      <c r="N525" s="1627"/>
      <c r="O525" s="1627"/>
      <c r="P525" s="1627"/>
      <c r="Q525" s="1627"/>
      <c r="R525" s="1627"/>
      <c r="S525" s="1627"/>
      <c r="T525" s="1627"/>
      <c r="U525" s="1780"/>
      <c r="V525" s="1781" t="s">
        <v>1602</v>
      </c>
      <c r="W525" s="1782" t="s">
        <v>1306</v>
      </c>
      <c r="X525" s="1631">
        <v>4</v>
      </c>
      <c r="Y525" s="1633" t="s">
        <v>1306</v>
      </c>
      <c r="Z525" s="1788" t="s">
        <v>1566</v>
      </c>
      <c r="AA525" s="1783"/>
      <c r="AB525" s="1784"/>
      <c r="AC525" s="1698"/>
      <c r="AD525" s="1699"/>
      <c r="AE525" s="1698"/>
      <c r="AF525" s="1698"/>
      <c r="AG525" s="1637" t="str">
        <f t="shared" si="109"/>
        <v>階別用途別床面積-4-20階</v>
      </c>
      <c r="AI525" s="1636"/>
      <c r="AJ525" s="1636"/>
      <c r="AK525" s="1636"/>
    </row>
    <row r="526" spans="1:37" s="1637" customFormat="1" ht="18.75" customHeight="1" x14ac:dyDescent="0.15">
      <c r="A526" s="1627"/>
      <c r="B526" s="1627"/>
      <c r="C526" s="1627"/>
      <c r="D526" s="1626">
        <f>'2_入力シート【用途面積】'!$M43</f>
        <v>0</v>
      </c>
      <c r="E526" s="1672">
        <f t="shared" si="106"/>
        <v>0</v>
      </c>
      <c r="F526" s="1672" t="str">
        <f t="shared" si="107"/>
        <v>0</v>
      </c>
      <c r="G526" s="1672" t="str">
        <f t="shared" si="108"/>
        <v>0</v>
      </c>
      <c r="H526" s="1628"/>
      <c r="I526" s="1627"/>
      <c r="J526" s="1627"/>
      <c r="K526" s="1627"/>
      <c r="L526" s="1627"/>
      <c r="M526" s="1629"/>
      <c r="N526" s="1627"/>
      <c r="O526" s="1627"/>
      <c r="P526" s="1627"/>
      <c r="Q526" s="1627"/>
      <c r="R526" s="1627"/>
      <c r="S526" s="1627"/>
      <c r="T526" s="1627"/>
      <c r="U526" s="1780"/>
      <c r="V526" s="1781" t="s">
        <v>1602</v>
      </c>
      <c r="W526" s="1782" t="s">
        <v>1306</v>
      </c>
      <c r="X526" s="1631">
        <v>4</v>
      </c>
      <c r="Y526" s="1633" t="s">
        <v>1306</v>
      </c>
      <c r="Z526" s="1788" t="s">
        <v>1567</v>
      </c>
      <c r="AA526" s="1783"/>
      <c r="AB526" s="1784"/>
      <c r="AC526" s="1698"/>
      <c r="AD526" s="1699"/>
      <c r="AE526" s="1698"/>
      <c r="AF526" s="1698"/>
      <c r="AG526" s="1637" t="str">
        <f t="shared" si="109"/>
        <v>階別用途別床面積-4-21階</v>
      </c>
      <c r="AI526" s="1636"/>
      <c r="AJ526" s="1636"/>
      <c r="AK526" s="1636"/>
    </row>
    <row r="527" spans="1:37" s="1637" customFormat="1" ht="18.75" customHeight="1" x14ac:dyDescent="0.15">
      <c r="A527" s="1627"/>
      <c r="B527" s="1627"/>
      <c r="C527" s="1627"/>
      <c r="D527" s="1626">
        <f>'2_入力シート【用途面積】'!$M44</f>
        <v>0</v>
      </c>
      <c r="E527" s="1672">
        <f t="shared" si="106"/>
        <v>0</v>
      </c>
      <c r="F527" s="1672" t="str">
        <f t="shared" si="107"/>
        <v>0</v>
      </c>
      <c r="G527" s="1672" t="str">
        <f t="shared" si="108"/>
        <v>0</v>
      </c>
      <c r="H527" s="1628"/>
      <c r="I527" s="1627"/>
      <c r="J527" s="1627"/>
      <c r="K527" s="1627"/>
      <c r="L527" s="1627"/>
      <c r="M527" s="1629"/>
      <c r="N527" s="1627"/>
      <c r="O527" s="1627"/>
      <c r="P527" s="1627"/>
      <c r="Q527" s="1627"/>
      <c r="R527" s="1627"/>
      <c r="S527" s="1627"/>
      <c r="T527" s="1627"/>
      <c r="U527" s="1780"/>
      <c r="V527" s="1781" t="s">
        <v>1602</v>
      </c>
      <c r="W527" s="1782" t="s">
        <v>1306</v>
      </c>
      <c r="X527" s="1631">
        <v>4</v>
      </c>
      <c r="Y527" s="1633" t="s">
        <v>1306</v>
      </c>
      <c r="Z527" s="1788" t="s">
        <v>1568</v>
      </c>
      <c r="AA527" s="1783"/>
      <c r="AB527" s="1784"/>
      <c r="AC527" s="1698"/>
      <c r="AD527" s="1699"/>
      <c r="AE527" s="1698"/>
      <c r="AF527" s="1698"/>
      <c r="AG527" s="1637" t="str">
        <f t="shared" si="109"/>
        <v>階別用途別床面積-4-22階</v>
      </c>
      <c r="AI527" s="1636"/>
      <c r="AJ527" s="1636"/>
      <c r="AK527" s="1636"/>
    </row>
    <row r="528" spans="1:37" s="1637" customFormat="1" ht="18.75" customHeight="1" x14ac:dyDescent="0.15">
      <c r="A528" s="1627"/>
      <c r="B528" s="1627"/>
      <c r="C528" s="1627"/>
      <c r="D528" s="1626">
        <f>'2_入力シート【用途面積】'!$M45</f>
        <v>0</v>
      </c>
      <c r="E528" s="1672">
        <f t="shared" si="106"/>
        <v>0</v>
      </c>
      <c r="F528" s="1672" t="str">
        <f t="shared" si="107"/>
        <v>0</v>
      </c>
      <c r="G528" s="1672" t="str">
        <f t="shared" si="108"/>
        <v>0</v>
      </c>
      <c r="H528" s="1628"/>
      <c r="I528" s="1627"/>
      <c r="J528" s="1627"/>
      <c r="K528" s="1627"/>
      <c r="L528" s="1627"/>
      <c r="M528" s="1629"/>
      <c r="N528" s="1627"/>
      <c r="O528" s="1627"/>
      <c r="P528" s="1627"/>
      <c r="Q528" s="1627"/>
      <c r="R528" s="1627"/>
      <c r="S528" s="1627"/>
      <c r="T528" s="1627"/>
      <c r="U528" s="1780"/>
      <c r="V528" s="1781" t="s">
        <v>1602</v>
      </c>
      <c r="W528" s="1782" t="s">
        <v>1306</v>
      </c>
      <c r="X528" s="1631">
        <v>4</v>
      </c>
      <c r="Y528" s="1633" t="s">
        <v>1306</v>
      </c>
      <c r="Z528" s="1788" t="s">
        <v>1569</v>
      </c>
      <c r="AA528" s="1783"/>
      <c r="AB528" s="1787"/>
      <c r="AC528" s="1698"/>
      <c r="AD528" s="1699"/>
      <c r="AE528" s="1698"/>
      <c r="AF528" s="1698"/>
      <c r="AG528" s="1637" t="str">
        <f t="shared" si="109"/>
        <v>階別用途別床面積-4-23階</v>
      </c>
      <c r="AI528" s="1636"/>
      <c r="AJ528" s="1636"/>
      <c r="AK528" s="1636"/>
    </row>
    <row r="529" spans="1:37" s="1637" customFormat="1" ht="18.75" customHeight="1" x14ac:dyDescent="0.15">
      <c r="A529" s="1627"/>
      <c r="B529" s="1627"/>
      <c r="C529" s="1627"/>
      <c r="D529" s="1626">
        <f>'2_入力シート【用途面積】'!$M46</f>
        <v>0</v>
      </c>
      <c r="E529" s="1672">
        <f t="shared" si="106"/>
        <v>0</v>
      </c>
      <c r="F529" s="1672" t="str">
        <f t="shared" si="107"/>
        <v>0</v>
      </c>
      <c r="G529" s="1672" t="str">
        <f t="shared" si="108"/>
        <v>0</v>
      </c>
      <c r="H529" s="1628"/>
      <c r="I529" s="1627"/>
      <c r="J529" s="1627"/>
      <c r="K529" s="1627"/>
      <c r="L529" s="1627"/>
      <c r="M529" s="1629"/>
      <c r="N529" s="1627"/>
      <c r="O529" s="1627"/>
      <c r="P529" s="1627"/>
      <c r="Q529" s="1627"/>
      <c r="R529" s="1627"/>
      <c r="S529" s="1627"/>
      <c r="T529" s="1627"/>
      <c r="U529" s="1780"/>
      <c r="V529" s="1781" t="s">
        <v>1602</v>
      </c>
      <c r="W529" s="1782" t="s">
        <v>1306</v>
      </c>
      <c r="X529" s="1631">
        <v>4</v>
      </c>
      <c r="Y529" s="1633" t="s">
        <v>1306</v>
      </c>
      <c r="Z529" s="1788" t="s">
        <v>1570</v>
      </c>
      <c r="AA529" s="1783"/>
      <c r="AB529" s="1787"/>
      <c r="AC529" s="1698"/>
      <c r="AD529" s="1699"/>
      <c r="AE529" s="1698"/>
      <c r="AF529" s="1698"/>
      <c r="AG529" s="1637" t="str">
        <f t="shared" si="109"/>
        <v>階別用途別床面積-4-24階</v>
      </c>
      <c r="AI529" s="1636"/>
      <c r="AJ529" s="1636"/>
      <c r="AK529" s="1636"/>
    </row>
    <row r="530" spans="1:37" s="1637" customFormat="1" ht="18.75" customHeight="1" x14ac:dyDescent="0.15">
      <c r="A530" s="1627"/>
      <c r="B530" s="1627"/>
      <c r="C530" s="1627"/>
      <c r="D530" s="1626">
        <f>'2_入力シート【用途面積】'!$M47</f>
        <v>0</v>
      </c>
      <c r="E530" s="1672">
        <f t="shared" si="106"/>
        <v>0</v>
      </c>
      <c r="F530" s="1672" t="str">
        <f t="shared" si="107"/>
        <v>0</v>
      </c>
      <c r="G530" s="1672" t="str">
        <f t="shared" si="108"/>
        <v>0</v>
      </c>
      <c r="H530" s="1628"/>
      <c r="I530" s="1627"/>
      <c r="J530" s="1627"/>
      <c r="K530" s="1627"/>
      <c r="L530" s="1627"/>
      <c r="M530" s="1629"/>
      <c r="N530" s="1627"/>
      <c r="O530" s="1627"/>
      <c r="P530" s="1627"/>
      <c r="Q530" s="1627"/>
      <c r="R530" s="1627"/>
      <c r="S530" s="1627"/>
      <c r="T530" s="1627"/>
      <c r="U530" s="1780"/>
      <c r="V530" s="1781" t="s">
        <v>1602</v>
      </c>
      <c r="W530" s="1782" t="s">
        <v>1306</v>
      </c>
      <c r="X530" s="1631">
        <v>4</v>
      </c>
      <c r="Y530" s="1633" t="s">
        <v>1306</v>
      </c>
      <c r="Z530" s="1788" t="s">
        <v>1571</v>
      </c>
      <c r="AA530" s="1783"/>
      <c r="AB530" s="1787"/>
      <c r="AC530" s="1698"/>
      <c r="AD530" s="1699"/>
      <c r="AE530" s="1698"/>
      <c r="AF530" s="1698"/>
      <c r="AG530" s="1637" t="str">
        <f t="shared" si="109"/>
        <v>階別用途別床面積-4-25階</v>
      </c>
      <c r="AI530" s="1636"/>
      <c r="AJ530" s="1636"/>
      <c r="AK530" s="1636"/>
    </row>
    <row r="531" spans="1:37" s="1637" customFormat="1" ht="18.75" customHeight="1" x14ac:dyDescent="0.15">
      <c r="A531" s="1627"/>
      <c r="B531" s="1627"/>
      <c r="C531" s="1627"/>
      <c r="D531" s="1626">
        <f>'2_入力シート【用途面積】'!$M48</f>
        <v>0</v>
      </c>
      <c r="E531" s="1672">
        <f t="shared" si="106"/>
        <v>0</v>
      </c>
      <c r="F531" s="1672" t="str">
        <f t="shared" si="107"/>
        <v>0</v>
      </c>
      <c r="G531" s="1672" t="str">
        <f t="shared" si="108"/>
        <v>0</v>
      </c>
      <c r="H531" s="1628"/>
      <c r="I531" s="1627"/>
      <c r="J531" s="1627"/>
      <c r="K531" s="1627"/>
      <c r="L531" s="1627"/>
      <c r="M531" s="1629"/>
      <c r="N531" s="1627"/>
      <c r="O531" s="1627"/>
      <c r="P531" s="1627"/>
      <c r="Q531" s="1627"/>
      <c r="R531" s="1627"/>
      <c r="S531" s="1627"/>
      <c r="T531" s="1627"/>
      <c r="U531" s="1780"/>
      <c r="V531" s="1781" t="s">
        <v>1602</v>
      </c>
      <c r="W531" s="1782" t="s">
        <v>1306</v>
      </c>
      <c r="X531" s="1631">
        <v>4</v>
      </c>
      <c r="Y531" s="1633" t="s">
        <v>1306</v>
      </c>
      <c r="Z531" s="1788" t="s">
        <v>1572</v>
      </c>
      <c r="AA531" s="1783"/>
      <c r="AB531" s="1784"/>
      <c r="AC531" s="1636"/>
      <c r="AD531" s="1785"/>
      <c r="AE531" s="1698"/>
      <c r="AF531" s="1698"/>
      <c r="AG531" s="1637" t="str">
        <f t="shared" si="109"/>
        <v>階別用途別床面積-4-26階</v>
      </c>
      <c r="AI531" s="1636"/>
      <c r="AJ531" s="1636"/>
      <c r="AK531" s="1636"/>
    </row>
    <row r="532" spans="1:37" s="1637" customFormat="1" ht="18.75" customHeight="1" x14ac:dyDescent="0.15">
      <c r="A532" s="1627"/>
      <c r="B532" s="1627"/>
      <c r="C532" s="1627"/>
      <c r="D532" s="1626">
        <f>'2_入力シート【用途面積】'!$M49</f>
        <v>0</v>
      </c>
      <c r="E532" s="1672">
        <f t="shared" si="106"/>
        <v>0</v>
      </c>
      <c r="F532" s="1672" t="str">
        <f t="shared" si="107"/>
        <v>0</v>
      </c>
      <c r="G532" s="1672" t="str">
        <f t="shared" si="108"/>
        <v>0</v>
      </c>
      <c r="H532" s="1628"/>
      <c r="I532" s="1627"/>
      <c r="J532" s="1627"/>
      <c r="K532" s="1627"/>
      <c r="L532" s="1627"/>
      <c r="M532" s="1629"/>
      <c r="N532" s="1627"/>
      <c r="O532" s="1627"/>
      <c r="P532" s="1627"/>
      <c r="Q532" s="1627"/>
      <c r="R532" s="1627"/>
      <c r="S532" s="1627"/>
      <c r="T532" s="1627"/>
      <c r="U532" s="1780"/>
      <c r="V532" s="1781" t="s">
        <v>1602</v>
      </c>
      <c r="W532" s="1782" t="s">
        <v>1306</v>
      </c>
      <c r="X532" s="1631">
        <v>4</v>
      </c>
      <c r="Y532" s="1633" t="s">
        <v>1306</v>
      </c>
      <c r="Z532" s="1788" t="s">
        <v>1573</v>
      </c>
      <c r="AA532" s="1783"/>
      <c r="AB532" s="1784"/>
      <c r="AC532" s="1698"/>
      <c r="AD532" s="1699"/>
      <c r="AE532" s="1698"/>
      <c r="AF532" s="1698"/>
      <c r="AG532" s="1637" t="str">
        <f t="shared" si="109"/>
        <v>階別用途別床面積-4-27階</v>
      </c>
      <c r="AI532" s="1636"/>
      <c r="AJ532" s="1636"/>
      <c r="AK532" s="1636"/>
    </row>
    <row r="533" spans="1:37" s="1637" customFormat="1" ht="18.75" customHeight="1" x14ac:dyDescent="0.15">
      <c r="A533" s="1627"/>
      <c r="B533" s="1627"/>
      <c r="C533" s="1627"/>
      <c r="D533" s="1626">
        <f>'2_入力シート【用途面積】'!$M50</f>
        <v>0</v>
      </c>
      <c r="E533" s="1672">
        <f t="shared" si="106"/>
        <v>0</v>
      </c>
      <c r="F533" s="1672" t="str">
        <f t="shared" si="107"/>
        <v>0</v>
      </c>
      <c r="G533" s="1672" t="str">
        <f t="shared" si="108"/>
        <v>0</v>
      </c>
      <c r="H533" s="1628"/>
      <c r="I533" s="1627"/>
      <c r="J533" s="1627"/>
      <c r="K533" s="1627"/>
      <c r="L533" s="1627"/>
      <c r="M533" s="1629"/>
      <c r="N533" s="1627"/>
      <c r="O533" s="1627"/>
      <c r="P533" s="1627"/>
      <c r="Q533" s="1627"/>
      <c r="R533" s="1627"/>
      <c r="S533" s="1627"/>
      <c r="T533" s="1627"/>
      <c r="U533" s="1780"/>
      <c r="V533" s="1781" t="s">
        <v>1602</v>
      </c>
      <c r="W533" s="1782" t="s">
        <v>1306</v>
      </c>
      <c r="X533" s="1631">
        <v>4</v>
      </c>
      <c r="Y533" s="1633" t="s">
        <v>1306</v>
      </c>
      <c r="Z533" s="1788" t="s">
        <v>1574</v>
      </c>
      <c r="AA533" s="1783"/>
      <c r="AB533" s="1784"/>
      <c r="AC533" s="1698"/>
      <c r="AD533" s="1699"/>
      <c r="AE533" s="1636"/>
      <c r="AF533" s="1636"/>
      <c r="AG533" s="1637" t="str">
        <f t="shared" si="109"/>
        <v>階別用途別床面積-4-28階</v>
      </c>
      <c r="AI533" s="1636"/>
      <c r="AJ533" s="1636"/>
      <c r="AK533" s="1636"/>
    </row>
    <row r="534" spans="1:37" s="1637" customFormat="1" ht="18.75" customHeight="1" x14ac:dyDescent="0.15">
      <c r="A534" s="1627"/>
      <c r="B534" s="1627"/>
      <c r="C534" s="1627"/>
      <c r="D534" s="1626">
        <f>'2_入力シート【用途面積】'!$M51</f>
        <v>0</v>
      </c>
      <c r="E534" s="1672">
        <f t="shared" si="106"/>
        <v>0</v>
      </c>
      <c r="F534" s="1672" t="str">
        <f t="shared" si="107"/>
        <v>0</v>
      </c>
      <c r="G534" s="1672" t="str">
        <f t="shared" si="108"/>
        <v>0</v>
      </c>
      <c r="H534" s="1628"/>
      <c r="I534" s="1627"/>
      <c r="J534" s="1627"/>
      <c r="K534" s="1627"/>
      <c r="L534" s="1627"/>
      <c r="M534" s="1629"/>
      <c r="N534" s="1627"/>
      <c r="O534" s="1627"/>
      <c r="P534" s="1627"/>
      <c r="Q534" s="1627"/>
      <c r="R534" s="1627"/>
      <c r="S534" s="1627"/>
      <c r="T534" s="1627"/>
      <c r="U534" s="1780"/>
      <c r="V534" s="1781" t="s">
        <v>1602</v>
      </c>
      <c r="W534" s="1782" t="s">
        <v>1306</v>
      </c>
      <c r="X534" s="1631">
        <v>4</v>
      </c>
      <c r="Y534" s="1633" t="s">
        <v>1306</v>
      </c>
      <c r="Z534" s="1788" t="s">
        <v>1575</v>
      </c>
      <c r="AA534" s="1783"/>
      <c r="AB534" s="1784"/>
      <c r="AC534" s="1698"/>
      <c r="AD534" s="1699"/>
      <c r="AE534" s="1698"/>
      <c r="AF534" s="1698"/>
      <c r="AG534" s="1637" t="str">
        <f t="shared" si="109"/>
        <v>階別用途別床面積-4-29階</v>
      </c>
      <c r="AI534" s="1636"/>
      <c r="AJ534" s="1636"/>
      <c r="AK534" s="1636"/>
    </row>
    <row r="535" spans="1:37" s="1637" customFormat="1" ht="18.75" customHeight="1" x14ac:dyDescent="0.15">
      <c r="A535" s="1627"/>
      <c r="B535" s="1627"/>
      <c r="C535" s="1627"/>
      <c r="D535" s="1626">
        <f>'2_入力シート【用途面積】'!$M52</f>
        <v>0</v>
      </c>
      <c r="E535" s="1672">
        <f t="shared" si="106"/>
        <v>0</v>
      </c>
      <c r="F535" s="1672" t="str">
        <f t="shared" si="107"/>
        <v>0</v>
      </c>
      <c r="G535" s="1672" t="str">
        <f t="shared" si="108"/>
        <v>0</v>
      </c>
      <c r="H535" s="1628"/>
      <c r="I535" s="1627"/>
      <c r="J535" s="1627"/>
      <c r="K535" s="1627"/>
      <c r="L535" s="1627"/>
      <c r="M535" s="1629"/>
      <c r="N535" s="1627"/>
      <c r="O535" s="1627"/>
      <c r="P535" s="1627"/>
      <c r="Q535" s="1627"/>
      <c r="R535" s="1627"/>
      <c r="S535" s="1627"/>
      <c r="T535" s="1627"/>
      <c r="U535" s="1780"/>
      <c r="V535" s="1781" t="s">
        <v>1602</v>
      </c>
      <c r="W535" s="1782" t="s">
        <v>1306</v>
      </c>
      <c r="X535" s="1631">
        <v>4</v>
      </c>
      <c r="Y535" s="1633" t="s">
        <v>1306</v>
      </c>
      <c r="Z535" s="1788" t="s">
        <v>1576</v>
      </c>
      <c r="AA535" s="1783"/>
      <c r="AB535" s="1784"/>
      <c r="AC535" s="1698"/>
      <c r="AD535" s="1699"/>
      <c r="AE535" s="1698"/>
      <c r="AF535" s="1698"/>
      <c r="AG535" s="1637" t="str">
        <f t="shared" si="109"/>
        <v>階別用途別床面積-4-30階</v>
      </c>
      <c r="AI535" s="1636"/>
      <c r="AJ535" s="1636"/>
      <c r="AK535" s="1636"/>
    </row>
    <row r="536" spans="1:37" s="1637" customFormat="1" ht="18.75" customHeight="1" x14ac:dyDescent="0.15">
      <c r="A536" s="1627"/>
      <c r="B536" s="1627"/>
      <c r="C536" s="1627"/>
      <c r="D536" s="1626">
        <f>'2_入力シート【用途面積】'!$M53</f>
        <v>0</v>
      </c>
      <c r="E536" s="1672">
        <f t="shared" si="106"/>
        <v>0</v>
      </c>
      <c r="F536" s="1672" t="str">
        <f t="shared" si="107"/>
        <v>0</v>
      </c>
      <c r="G536" s="1672" t="str">
        <f t="shared" si="108"/>
        <v>0</v>
      </c>
      <c r="H536" s="1628"/>
      <c r="I536" s="1627"/>
      <c r="J536" s="1627"/>
      <c r="K536" s="1627"/>
      <c r="L536" s="1627"/>
      <c r="M536" s="1629"/>
      <c r="N536" s="1627"/>
      <c r="O536" s="1627"/>
      <c r="P536" s="1627"/>
      <c r="Q536" s="1627"/>
      <c r="R536" s="1627"/>
      <c r="S536" s="1627"/>
      <c r="T536" s="1627"/>
      <c r="U536" s="1780"/>
      <c r="V536" s="1781" t="s">
        <v>1602</v>
      </c>
      <c r="W536" s="1782" t="s">
        <v>1306</v>
      </c>
      <c r="X536" s="1631">
        <v>4</v>
      </c>
      <c r="Y536" s="1633" t="s">
        <v>1306</v>
      </c>
      <c r="Z536" s="1788" t="s">
        <v>1577</v>
      </c>
      <c r="AA536" s="1783"/>
      <c r="AB536" s="1784"/>
      <c r="AC536" s="1698"/>
      <c r="AD536" s="1699"/>
      <c r="AE536" s="1698"/>
      <c r="AF536" s="1698"/>
      <c r="AG536" s="1637" t="str">
        <f t="shared" si="109"/>
        <v>階別用途別床面積-4-31階</v>
      </c>
      <c r="AI536" s="1636"/>
      <c r="AJ536" s="1636"/>
      <c r="AK536" s="1636"/>
    </row>
    <row r="537" spans="1:37" s="1637" customFormat="1" ht="18.75" customHeight="1" x14ac:dyDescent="0.15">
      <c r="A537" s="1627"/>
      <c r="B537" s="1627"/>
      <c r="C537" s="1627"/>
      <c r="D537" s="1626">
        <f>'2_入力シート【用途面積】'!$M54</f>
        <v>0</v>
      </c>
      <c r="E537" s="1672">
        <f t="shared" si="106"/>
        <v>0</v>
      </c>
      <c r="F537" s="1672" t="str">
        <f t="shared" si="107"/>
        <v>0</v>
      </c>
      <c r="G537" s="1672" t="str">
        <f t="shared" si="108"/>
        <v>0</v>
      </c>
      <c r="H537" s="1628"/>
      <c r="I537" s="1627"/>
      <c r="J537" s="1627"/>
      <c r="K537" s="1627"/>
      <c r="L537" s="1627"/>
      <c r="M537" s="1629"/>
      <c r="N537" s="1627"/>
      <c r="O537" s="1627"/>
      <c r="P537" s="1627"/>
      <c r="Q537" s="1627"/>
      <c r="R537" s="1627"/>
      <c r="S537" s="1627"/>
      <c r="T537" s="1627"/>
      <c r="U537" s="1780"/>
      <c r="V537" s="1781" t="s">
        <v>1602</v>
      </c>
      <c r="W537" s="1782" t="s">
        <v>1306</v>
      </c>
      <c r="X537" s="1631">
        <v>4</v>
      </c>
      <c r="Y537" s="1633" t="s">
        <v>1306</v>
      </c>
      <c r="Z537" s="1788" t="s">
        <v>1578</v>
      </c>
      <c r="AA537" s="1783"/>
      <c r="AB537" s="1787"/>
      <c r="AC537" s="1698"/>
      <c r="AD537" s="1699"/>
      <c r="AE537" s="1698"/>
      <c r="AF537" s="1698"/>
      <c r="AG537" s="1637" t="str">
        <f t="shared" si="109"/>
        <v>階別用途別床面積-4-32階</v>
      </c>
      <c r="AI537" s="1636"/>
      <c r="AJ537" s="1636"/>
      <c r="AK537" s="1636"/>
    </row>
    <row r="538" spans="1:37" s="1637" customFormat="1" ht="18.75" customHeight="1" x14ac:dyDescent="0.15">
      <c r="A538" s="1627"/>
      <c r="B538" s="1627"/>
      <c r="C538" s="1627"/>
      <c r="D538" s="1626">
        <f>'2_入力シート【用途面積】'!$M55</f>
        <v>0</v>
      </c>
      <c r="E538" s="1672">
        <f t="shared" si="106"/>
        <v>0</v>
      </c>
      <c r="F538" s="1672" t="str">
        <f t="shared" si="107"/>
        <v>0</v>
      </c>
      <c r="G538" s="1672" t="str">
        <f t="shared" si="108"/>
        <v>0</v>
      </c>
      <c r="H538" s="1628"/>
      <c r="I538" s="1627"/>
      <c r="J538" s="1627"/>
      <c r="K538" s="1627"/>
      <c r="L538" s="1627"/>
      <c r="M538" s="1629"/>
      <c r="N538" s="1627"/>
      <c r="O538" s="1627"/>
      <c r="P538" s="1627"/>
      <c r="Q538" s="1627"/>
      <c r="R538" s="1627"/>
      <c r="S538" s="1627"/>
      <c r="T538" s="1627"/>
      <c r="U538" s="1780"/>
      <c r="V538" s="1781" t="s">
        <v>1602</v>
      </c>
      <c r="W538" s="1782" t="s">
        <v>1306</v>
      </c>
      <c r="X538" s="1631">
        <v>4</v>
      </c>
      <c r="Y538" s="1633" t="s">
        <v>1306</v>
      </c>
      <c r="Z538" s="1788" t="s">
        <v>1579</v>
      </c>
      <c r="AA538" s="1783"/>
      <c r="AB538" s="1787"/>
      <c r="AC538" s="1698"/>
      <c r="AD538" s="1699"/>
      <c r="AE538" s="1698"/>
      <c r="AF538" s="1698"/>
      <c r="AG538" s="1637" t="str">
        <f t="shared" si="109"/>
        <v>階別用途別床面積-4-33階</v>
      </c>
      <c r="AI538" s="1636"/>
      <c r="AJ538" s="1636"/>
      <c r="AK538" s="1636"/>
    </row>
    <row r="539" spans="1:37" s="1637" customFormat="1" ht="18.75" customHeight="1" x14ac:dyDescent="0.15">
      <c r="A539" s="1627"/>
      <c r="B539" s="1627"/>
      <c r="C539" s="1627"/>
      <c r="D539" s="1626">
        <f>'2_入力シート【用途面積】'!$M56</f>
        <v>0</v>
      </c>
      <c r="E539" s="1672">
        <f t="shared" si="106"/>
        <v>0</v>
      </c>
      <c r="F539" s="1672" t="str">
        <f t="shared" si="107"/>
        <v>0</v>
      </c>
      <c r="G539" s="1672" t="str">
        <f t="shared" si="108"/>
        <v>0</v>
      </c>
      <c r="H539" s="1628"/>
      <c r="I539" s="1627"/>
      <c r="J539" s="1627"/>
      <c r="K539" s="1627"/>
      <c r="L539" s="1627"/>
      <c r="M539" s="1629"/>
      <c r="N539" s="1627"/>
      <c r="O539" s="1627"/>
      <c r="P539" s="1627"/>
      <c r="Q539" s="1627"/>
      <c r="R539" s="1627"/>
      <c r="S539" s="1627"/>
      <c r="T539" s="1627"/>
      <c r="U539" s="1780"/>
      <c r="V539" s="1781" t="s">
        <v>1602</v>
      </c>
      <c r="W539" s="1782" t="s">
        <v>1306</v>
      </c>
      <c r="X539" s="1631">
        <v>4</v>
      </c>
      <c r="Y539" s="1633" t="s">
        <v>1306</v>
      </c>
      <c r="Z539" s="1788" t="s">
        <v>1580</v>
      </c>
      <c r="AA539" s="1783"/>
      <c r="AB539" s="1787"/>
      <c r="AC539" s="1698"/>
      <c r="AD539" s="1699"/>
      <c r="AE539" s="1698"/>
      <c r="AF539" s="1698"/>
      <c r="AG539" s="1637" t="str">
        <f t="shared" si="109"/>
        <v>階別用途別床面積-4-34階</v>
      </c>
      <c r="AI539" s="1636"/>
      <c r="AJ539" s="1636"/>
      <c r="AK539" s="1636"/>
    </row>
    <row r="540" spans="1:37" s="1637" customFormat="1" ht="18.75" customHeight="1" x14ac:dyDescent="0.15">
      <c r="A540" s="1627"/>
      <c r="B540" s="1627"/>
      <c r="C540" s="1627"/>
      <c r="D540" s="1626">
        <f>'2_入力シート【用途面積】'!$M57</f>
        <v>0</v>
      </c>
      <c r="E540" s="1672">
        <f t="shared" si="106"/>
        <v>0</v>
      </c>
      <c r="F540" s="1672" t="str">
        <f t="shared" si="107"/>
        <v>0</v>
      </c>
      <c r="G540" s="1672" t="str">
        <f t="shared" si="108"/>
        <v>0</v>
      </c>
      <c r="H540" s="1628"/>
      <c r="I540" s="1627"/>
      <c r="J540" s="1627"/>
      <c r="K540" s="1627"/>
      <c r="L540" s="1627"/>
      <c r="M540" s="1629"/>
      <c r="N540" s="1627"/>
      <c r="O540" s="1627"/>
      <c r="P540" s="1627"/>
      <c r="Q540" s="1627"/>
      <c r="R540" s="1627"/>
      <c r="S540" s="1627"/>
      <c r="T540" s="1627"/>
      <c r="U540" s="1780"/>
      <c r="V540" s="1781" t="s">
        <v>1602</v>
      </c>
      <c r="W540" s="1782" t="s">
        <v>1306</v>
      </c>
      <c r="X540" s="1631">
        <v>4</v>
      </c>
      <c r="Y540" s="1633" t="s">
        <v>1306</v>
      </c>
      <c r="Z540" s="1788" t="s">
        <v>1581</v>
      </c>
      <c r="AA540" s="1783"/>
      <c r="AB540" s="1784"/>
      <c r="AC540" s="1636"/>
      <c r="AD540" s="1785"/>
      <c r="AE540" s="1698"/>
      <c r="AF540" s="1698"/>
      <c r="AG540" s="1637" t="str">
        <f t="shared" si="109"/>
        <v>階別用途別床面積-4-35階</v>
      </c>
      <c r="AI540" s="1636"/>
      <c r="AJ540" s="1636"/>
      <c r="AK540" s="1636"/>
    </row>
    <row r="541" spans="1:37" s="1637" customFormat="1" ht="18.75" customHeight="1" x14ac:dyDescent="0.15">
      <c r="A541" s="1627"/>
      <c r="B541" s="1627"/>
      <c r="C541" s="1627"/>
      <c r="D541" s="1626">
        <f>'2_入力シート【用途面積】'!$M58</f>
        <v>0</v>
      </c>
      <c r="E541" s="1672">
        <f t="shared" si="106"/>
        <v>0</v>
      </c>
      <c r="F541" s="1672" t="str">
        <f t="shared" si="107"/>
        <v>0</v>
      </c>
      <c r="G541" s="1672" t="str">
        <f t="shared" si="108"/>
        <v>0</v>
      </c>
      <c r="H541" s="1628"/>
      <c r="I541" s="1627"/>
      <c r="J541" s="1627"/>
      <c r="K541" s="1627"/>
      <c r="L541" s="1627"/>
      <c r="M541" s="1629"/>
      <c r="N541" s="1627"/>
      <c r="O541" s="1627"/>
      <c r="P541" s="1627"/>
      <c r="Q541" s="1627"/>
      <c r="R541" s="1627"/>
      <c r="S541" s="1627"/>
      <c r="T541" s="1627"/>
      <c r="U541" s="1780"/>
      <c r="V541" s="1781" t="s">
        <v>1602</v>
      </c>
      <c r="W541" s="1782" t="s">
        <v>1306</v>
      </c>
      <c r="X541" s="1631">
        <v>4</v>
      </c>
      <c r="Y541" s="1633" t="s">
        <v>1306</v>
      </c>
      <c r="Z541" s="1788" t="s">
        <v>1582</v>
      </c>
      <c r="AA541" s="1783"/>
      <c r="AB541" s="1784"/>
      <c r="AC541" s="1698"/>
      <c r="AD541" s="1699"/>
      <c r="AE541" s="1698"/>
      <c r="AF541" s="1698"/>
      <c r="AG541" s="1637" t="str">
        <f t="shared" si="109"/>
        <v>階別用途別床面積-4-36階</v>
      </c>
      <c r="AI541" s="1636"/>
      <c r="AJ541" s="1636"/>
      <c r="AK541" s="1636"/>
    </row>
    <row r="542" spans="1:37" s="1637" customFormat="1" ht="18.75" customHeight="1" x14ac:dyDescent="0.15">
      <c r="A542" s="1627"/>
      <c r="B542" s="1627"/>
      <c r="C542" s="1627"/>
      <c r="D542" s="1626">
        <f>'2_入力シート【用途面積】'!$M59</f>
        <v>0</v>
      </c>
      <c r="E542" s="1672">
        <f t="shared" si="106"/>
        <v>0</v>
      </c>
      <c r="F542" s="1672" t="str">
        <f t="shared" si="107"/>
        <v>0</v>
      </c>
      <c r="G542" s="1672" t="str">
        <f t="shared" si="108"/>
        <v>0</v>
      </c>
      <c r="H542" s="1628"/>
      <c r="I542" s="1627"/>
      <c r="J542" s="1627"/>
      <c r="K542" s="1627"/>
      <c r="L542" s="1627"/>
      <c r="M542" s="1629"/>
      <c r="N542" s="1627"/>
      <c r="O542" s="1627"/>
      <c r="P542" s="1627"/>
      <c r="Q542" s="1627"/>
      <c r="R542" s="1627"/>
      <c r="S542" s="1627"/>
      <c r="T542" s="1627"/>
      <c r="U542" s="1780"/>
      <c r="V542" s="1781" t="s">
        <v>1602</v>
      </c>
      <c r="W542" s="1782" t="s">
        <v>1306</v>
      </c>
      <c r="X542" s="1631">
        <v>4</v>
      </c>
      <c r="Y542" s="1633" t="s">
        <v>1306</v>
      </c>
      <c r="Z542" s="1788" t="s">
        <v>1583</v>
      </c>
      <c r="AA542" s="1783"/>
      <c r="AB542" s="1784"/>
      <c r="AC542" s="1698"/>
      <c r="AD542" s="1699"/>
      <c r="AE542" s="1636"/>
      <c r="AF542" s="1636"/>
      <c r="AG542" s="1637" t="str">
        <f t="shared" si="109"/>
        <v>階別用途別床面積-4-37階</v>
      </c>
      <c r="AI542" s="1636"/>
      <c r="AJ542" s="1636"/>
      <c r="AK542" s="1636"/>
    </row>
    <row r="543" spans="1:37" s="1637" customFormat="1" ht="18.75" customHeight="1" x14ac:dyDescent="0.15">
      <c r="A543" s="1627"/>
      <c r="B543" s="1627"/>
      <c r="C543" s="1627"/>
      <c r="D543" s="1626">
        <f>'2_入力シート【用途面積】'!$M60</f>
        <v>0</v>
      </c>
      <c r="E543" s="1672">
        <f t="shared" si="106"/>
        <v>0</v>
      </c>
      <c r="F543" s="1672" t="str">
        <f t="shared" si="107"/>
        <v>0</v>
      </c>
      <c r="G543" s="1672" t="str">
        <f t="shared" si="108"/>
        <v>0</v>
      </c>
      <c r="H543" s="1628"/>
      <c r="I543" s="1627"/>
      <c r="J543" s="1627"/>
      <c r="K543" s="1627"/>
      <c r="L543" s="1627"/>
      <c r="M543" s="1629"/>
      <c r="N543" s="1627"/>
      <c r="O543" s="1627"/>
      <c r="P543" s="1627"/>
      <c r="Q543" s="1627"/>
      <c r="R543" s="1627"/>
      <c r="S543" s="1627"/>
      <c r="T543" s="1627"/>
      <c r="U543" s="1780"/>
      <c r="V543" s="1781" t="s">
        <v>1602</v>
      </c>
      <c r="W543" s="1782" t="s">
        <v>1306</v>
      </c>
      <c r="X543" s="1631">
        <v>4</v>
      </c>
      <c r="Y543" s="1633" t="s">
        <v>1306</v>
      </c>
      <c r="Z543" s="1788" t="s">
        <v>1584</v>
      </c>
      <c r="AA543" s="1783"/>
      <c r="AB543" s="1784"/>
      <c r="AC543" s="1698"/>
      <c r="AD543" s="1699"/>
      <c r="AE543" s="1698"/>
      <c r="AF543" s="1698"/>
      <c r="AG543" s="1637" t="str">
        <f t="shared" si="109"/>
        <v>階別用途別床面積-4-38階</v>
      </c>
      <c r="AI543" s="1636"/>
      <c r="AJ543" s="1636"/>
      <c r="AK543" s="1636"/>
    </row>
    <row r="544" spans="1:37" s="1637" customFormat="1" ht="18.75" customHeight="1" x14ac:dyDescent="0.15">
      <c r="A544" s="1627"/>
      <c r="B544" s="1627"/>
      <c r="C544" s="1627"/>
      <c r="D544" s="1626">
        <f>'2_入力シート【用途面積】'!$M61</f>
        <v>0</v>
      </c>
      <c r="E544" s="1672">
        <f t="shared" si="106"/>
        <v>0</v>
      </c>
      <c r="F544" s="1672" t="str">
        <f t="shared" si="107"/>
        <v>0</v>
      </c>
      <c r="G544" s="1672" t="str">
        <f t="shared" si="108"/>
        <v>0</v>
      </c>
      <c r="H544" s="1628"/>
      <c r="I544" s="1627"/>
      <c r="J544" s="1627"/>
      <c r="K544" s="1627"/>
      <c r="L544" s="1627"/>
      <c r="M544" s="1629"/>
      <c r="N544" s="1627"/>
      <c r="O544" s="1627"/>
      <c r="P544" s="1627"/>
      <c r="Q544" s="1627"/>
      <c r="R544" s="1627"/>
      <c r="S544" s="1627"/>
      <c r="T544" s="1627"/>
      <c r="U544" s="1780"/>
      <c r="V544" s="1781" t="s">
        <v>1602</v>
      </c>
      <c r="W544" s="1782" t="s">
        <v>1306</v>
      </c>
      <c r="X544" s="1631">
        <v>4</v>
      </c>
      <c r="Y544" s="1633" t="s">
        <v>1306</v>
      </c>
      <c r="Z544" s="1788" t="s">
        <v>1585</v>
      </c>
      <c r="AA544" s="1783"/>
      <c r="AB544" s="1784"/>
      <c r="AC544" s="1698"/>
      <c r="AD544" s="1699"/>
      <c r="AE544" s="1698"/>
      <c r="AF544" s="1698"/>
      <c r="AG544" s="1637" t="str">
        <f t="shared" si="109"/>
        <v>階別用途別床面積-4-39階</v>
      </c>
      <c r="AI544" s="1636"/>
      <c r="AJ544" s="1636"/>
      <c r="AK544" s="1636"/>
    </row>
    <row r="545" spans="1:41" s="1637" customFormat="1" ht="18.75" customHeight="1" x14ac:dyDescent="0.15">
      <c r="A545" s="1627"/>
      <c r="B545" s="1627"/>
      <c r="C545" s="1627"/>
      <c r="D545" s="1626">
        <f>'2_入力シート【用途面積】'!$M62</f>
        <v>0</v>
      </c>
      <c r="E545" s="1672">
        <f t="shared" si="106"/>
        <v>0</v>
      </c>
      <c r="F545" s="1672" t="str">
        <f t="shared" si="107"/>
        <v>0</v>
      </c>
      <c r="G545" s="1672" t="str">
        <f t="shared" si="108"/>
        <v>0</v>
      </c>
      <c r="H545" s="1628"/>
      <c r="I545" s="1627"/>
      <c r="J545" s="1627"/>
      <c r="K545" s="1627"/>
      <c r="L545" s="1627"/>
      <c r="M545" s="1629"/>
      <c r="N545" s="1627"/>
      <c r="O545" s="1627"/>
      <c r="P545" s="1627"/>
      <c r="Q545" s="1627"/>
      <c r="R545" s="1627"/>
      <c r="S545" s="1627"/>
      <c r="T545" s="1627"/>
      <c r="U545" s="1780"/>
      <c r="V545" s="1781" t="s">
        <v>1602</v>
      </c>
      <c r="W545" s="1782" t="s">
        <v>1306</v>
      </c>
      <c r="X545" s="1631">
        <v>4</v>
      </c>
      <c r="Y545" s="1633" t="s">
        <v>1306</v>
      </c>
      <c r="Z545" s="1788" t="s">
        <v>1586</v>
      </c>
      <c r="AA545" s="1783"/>
      <c r="AB545" s="1784"/>
      <c r="AC545" s="1698"/>
      <c r="AD545" s="1699"/>
      <c r="AE545" s="1698"/>
      <c r="AF545" s="1698"/>
      <c r="AG545" s="1637" t="str">
        <f t="shared" si="109"/>
        <v>階別用途別床面積-4-40階</v>
      </c>
      <c r="AI545" s="1636"/>
      <c r="AJ545" s="1636"/>
      <c r="AK545" s="1636"/>
    </row>
    <row r="546" spans="1:41" s="1637" customFormat="1" ht="18.75" customHeight="1" x14ac:dyDescent="0.15">
      <c r="A546" s="1627"/>
      <c r="B546" s="1627"/>
      <c r="C546" s="1627"/>
      <c r="D546" s="1626">
        <f>'2_入力シート【用途面積】'!$M63</f>
        <v>0</v>
      </c>
      <c r="E546" s="1672">
        <f t="shared" ref="E546:E609" si="110">D546</f>
        <v>0</v>
      </c>
      <c r="F546" s="1672" t="str">
        <f t="shared" ref="F546:F609" si="111">SUBSTITUTE(E546,CHAR(10),"")</f>
        <v>0</v>
      </c>
      <c r="G546" s="1672" t="str">
        <f t="shared" ref="G546:G609" si="112">TRIM(F546)</f>
        <v>0</v>
      </c>
      <c r="H546" s="1628"/>
      <c r="I546" s="1627"/>
      <c r="J546" s="1627"/>
      <c r="K546" s="1627"/>
      <c r="L546" s="1627"/>
      <c r="M546" s="1629"/>
      <c r="N546" s="1627"/>
      <c r="O546" s="1627"/>
      <c r="P546" s="1627"/>
      <c r="Q546" s="1627"/>
      <c r="R546" s="1627"/>
      <c r="S546" s="1627"/>
      <c r="T546" s="1627"/>
      <c r="U546" s="1780"/>
      <c r="V546" s="1781" t="s">
        <v>1602</v>
      </c>
      <c r="W546" s="1782" t="s">
        <v>1306</v>
      </c>
      <c r="X546" s="1631">
        <v>4</v>
      </c>
      <c r="Y546" s="1633" t="s">
        <v>1306</v>
      </c>
      <c r="Z546" s="1788" t="s">
        <v>1587</v>
      </c>
      <c r="AA546" s="1783"/>
      <c r="AB546" s="1787"/>
      <c r="AC546" s="1698"/>
      <c r="AD546" s="1699"/>
      <c r="AE546" s="1698"/>
      <c r="AF546" s="1698"/>
      <c r="AG546" s="1637" t="str">
        <f t="shared" si="109"/>
        <v>階別用途別床面積-4-41階</v>
      </c>
      <c r="AI546" s="1636"/>
      <c r="AJ546" s="1636"/>
      <c r="AK546" s="1636"/>
    </row>
    <row r="547" spans="1:41" s="1637" customFormat="1" ht="18.75" customHeight="1" x14ac:dyDescent="0.15">
      <c r="A547" s="1627"/>
      <c r="B547" s="1627"/>
      <c r="C547" s="1627"/>
      <c r="D547" s="1626">
        <f>'2_入力シート【用途面積】'!$M64</f>
        <v>0</v>
      </c>
      <c r="E547" s="1672">
        <f t="shared" si="110"/>
        <v>0</v>
      </c>
      <c r="F547" s="1672" t="str">
        <f t="shared" si="111"/>
        <v>0</v>
      </c>
      <c r="G547" s="1672" t="str">
        <f t="shared" si="112"/>
        <v>0</v>
      </c>
      <c r="H547" s="1628"/>
      <c r="I547" s="1627"/>
      <c r="J547" s="1627"/>
      <c r="K547" s="1627"/>
      <c r="L547" s="1627"/>
      <c r="M547" s="1629"/>
      <c r="N547" s="1627"/>
      <c r="O547" s="1627"/>
      <c r="P547" s="1627"/>
      <c r="Q547" s="1627"/>
      <c r="R547" s="1627"/>
      <c r="S547" s="1627"/>
      <c r="T547" s="1627"/>
      <c r="U547" s="1780"/>
      <c r="V547" s="1781" t="s">
        <v>1602</v>
      </c>
      <c r="W547" s="1782" t="s">
        <v>1306</v>
      </c>
      <c r="X547" s="1631">
        <v>4</v>
      </c>
      <c r="Y547" s="1633" t="s">
        <v>1306</v>
      </c>
      <c r="Z547" s="1788" t="s">
        <v>1588</v>
      </c>
      <c r="AA547" s="1783"/>
      <c r="AB547" s="1787"/>
      <c r="AC547" s="1698"/>
      <c r="AD547" s="1699"/>
      <c r="AE547" s="1698"/>
      <c r="AF547" s="1698"/>
      <c r="AG547" s="1637" t="str">
        <f t="shared" si="109"/>
        <v>階別用途別床面積-4-42階</v>
      </c>
      <c r="AI547" s="1636"/>
      <c r="AJ547" s="1636"/>
      <c r="AK547" s="1636"/>
    </row>
    <row r="548" spans="1:41" s="1624" customFormat="1" ht="18.75" customHeight="1" x14ac:dyDescent="0.15">
      <c r="A548" s="1627"/>
      <c r="B548" s="1627"/>
      <c r="C548" s="1627"/>
      <c r="D548" s="1626">
        <f>'2_入力シート【用途面積】'!$M65</f>
        <v>0</v>
      </c>
      <c r="E548" s="1672">
        <f t="shared" si="110"/>
        <v>0</v>
      </c>
      <c r="F548" s="1672" t="str">
        <f t="shared" si="111"/>
        <v>0</v>
      </c>
      <c r="G548" s="1672" t="str">
        <f t="shared" si="112"/>
        <v>0</v>
      </c>
      <c r="H548" s="1628"/>
      <c r="I548" s="1627"/>
      <c r="J548" s="1627"/>
      <c r="K548" s="1627"/>
      <c r="L548" s="1627"/>
      <c r="M548" s="1629"/>
      <c r="N548" s="1627"/>
      <c r="O548" s="1627"/>
      <c r="P548" s="1627"/>
      <c r="Q548" s="1627"/>
      <c r="R548" s="1627"/>
      <c r="S548" s="1627"/>
      <c r="T548" s="1627"/>
      <c r="U548" s="1780"/>
      <c r="V548" s="1781" t="s">
        <v>1602</v>
      </c>
      <c r="W548" s="1782" t="s">
        <v>1306</v>
      </c>
      <c r="X548" s="1631">
        <v>4</v>
      </c>
      <c r="Y548" s="1633" t="s">
        <v>1306</v>
      </c>
      <c r="Z548" s="1788" t="s">
        <v>1589</v>
      </c>
      <c r="AA548" s="1783"/>
      <c r="AB548" s="1787"/>
      <c r="AC548" s="1698"/>
      <c r="AD548" s="1699"/>
      <c r="AE548" s="1698"/>
      <c r="AF548" s="1698"/>
      <c r="AG548" s="1637" t="str">
        <f t="shared" si="109"/>
        <v>階別用途別床面積-4-43階</v>
      </c>
      <c r="AH548" s="1637"/>
      <c r="AI548" s="1636"/>
      <c r="AJ548" s="1636"/>
      <c r="AK548" s="1636"/>
      <c r="AL548" s="1637"/>
      <c r="AM548" s="1637"/>
      <c r="AN548" s="1637"/>
      <c r="AO548" s="1637"/>
    </row>
    <row r="549" spans="1:41" s="1624" customFormat="1" ht="18.75" customHeight="1" x14ac:dyDescent="0.15">
      <c r="A549" s="1627"/>
      <c r="B549" s="1627"/>
      <c r="C549" s="1627"/>
      <c r="D549" s="1626">
        <f>'2_入力シート【用途面積】'!$M66</f>
        <v>0</v>
      </c>
      <c r="E549" s="1672">
        <f t="shared" si="110"/>
        <v>0</v>
      </c>
      <c r="F549" s="1672" t="str">
        <f t="shared" si="111"/>
        <v>0</v>
      </c>
      <c r="G549" s="1672" t="str">
        <f t="shared" si="112"/>
        <v>0</v>
      </c>
      <c r="H549" s="1628"/>
      <c r="I549" s="1627"/>
      <c r="J549" s="1627"/>
      <c r="K549" s="1627"/>
      <c r="L549" s="1627"/>
      <c r="M549" s="1629"/>
      <c r="N549" s="1627"/>
      <c r="O549" s="1627"/>
      <c r="P549" s="1627"/>
      <c r="Q549" s="1627"/>
      <c r="R549" s="1627"/>
      <c r="S549" s="1627"/>
      <c r="T549" s="1627"/>
      <c r="U549" s="1780"/>
      <c r="V549" s="1781" t="s">
        <v>1602</v>
      </c>
      <c r="W549" s="1782" t="s">
        <v>1306</v>
      </c>
      <c r="X549" s="1631">
        <v>4</v>
      </c>
      <c r="Y549" s="1633" t="s">
        <v>1306</v>
      </c>
      <c r="Z549" s="1788" t="s">
        <v>1590</v>
      </c>
      <c r="AA549" s="1783"/>
      <c r="AB549" s="1784"/>
      <c r="AC549" s="1636"/>
      <c r="AD549" s="1785"/>
      <c r="AE549" s="1698"/>
      <c r="AF549" s="1698"/>
      <c r="AG549" s="1637" t="str">
        <f t="shared" si="109"/>
        <v>階別用途別床面積-4-44階</v>
      </c>
      <c r="AH549" s="1637"/>
      <c r="AI549" s="1636"/>
      <c r="AJ549" s="1636"/>
      <c r="AK549" s="1636"/>
      <c r="AL549" s="1637"/>
      <c r="AM549" s="1637"/>
      <c r="AN549" s="1637"/>
      <c r="AO549" s="1637"/>
    </row>
    <row r="550" spans="1:41" s="1624" customFormat="1" ht="18.75" customHeight="1" x14ac:dyDescent="0.15">
      <c r="A550" s="1627"/>
      <c r="B550" s="1627"/>
      <c r="C550" s="1627"/>
      <c r="D550" s="1626">
        <f>'2_入力シート【用途面積】'!$M67</f>
        <v>0</v>
      </c>
      <c r="E550" s="1672">
        <f t="shared" si="110"/>
        <v>0</v>
      </c>
      <c r="F550" s="1672" t="str">
        <f t="shared" si="111"/>
        <v>0</v>
      </c>
      <c r="G550" s="1672" t="str">
        <f t="shared" si="112"/>
        <v>0</v>
      </c>
      <c r="H550" s="1628"/>
      <c r="I550" s="1627"/>
      <c r="J550" s="1627"/>
      <c r="K550" s="1627"/>
      <c r="L550" s="1627"/>
      <c r="M550" s="1629"/>
      <c r="N550" s="1627"/>
      <c r="O550" s="1627"/>
      <c r="P550" s="1627"/>
      <c r="Q550" s="1627"/>
      <c r="R550" s="1627"/>
      <c r="S550" s="1627"/>
      <c r="T550" s="1627"/>
      <c r="U550" s="1789"/>
      <c r="V550" s="1781" t="s">
        <v>1602</v>
      </c>
      <c r="W550" s="1782" t="s">
        <v>1306</v>
      </c>
      <c r="X550" s="1631">
        <v>4</v>
      </c>
      <c r="Y550" s="1633" t="s">
        <v>1306</v>
      </c>
      <c r="Z550" s="1788" t="s">
        <v>1591</v>
      </c>
      <c r="AA550" s="1790"/>
      <c r="AB550" s="1791"/>
      <c r="AC550" s="1637"/>
      <c r="AD550" s="1792"/>
      <c r="AE550" s="1698"/>
      <c r="AF550" s="1698"/>
      <c r="AG550" s="1637" t="str">
        <f t="shared" si="109"/>
        <v>階別用途別床面積-4-45階</v>
      </c>
      <c r="AH550" s="1637"/>
      <c r="AI550" s="1636"/>
      <c r="AJ550" s="1636"/>
      <c r="AK550" s="1636"/>
      <c r="AL550" s="1637"/>
      <c r="AM550" s="1637"/>
      <c r="AN550" s="1637"/>
      <c r="AO550" s="1637"/>
    </row>
    <row r="551" spans="1:41" s="1624" customFormat="1" ht="18.75" customHeight="1" x14ac:dyDescent="0.15">
      <c r="A551" s="1627"/>
      <c r="B551" s="1627"/>
      <c r="C551" s="1627"/>
      <c r="D551" s="1626">
        <f>'2_入力シート【用途面積】'!$M68</f>
        <v>0</v>
      </c>
      <c r="E551" s="1672">
        <f t="shared" si="110"/>
        <v>0</v>
      </c>
      <c r="F551" s="1672" t="str">
        <f t="shared" si="111"/>
        <v>0</v>
      </c>
      <c r="G551" s="1672" t="str">
        <f t="shared" si="112"/>
        <v>0</v>
      </c>
      <c r="H551" s="1628"/>
      <c r="I551" s="1627"/>
      <c r="J551" s="1627"/>
      <c r="K551" s="1627"/>
      <c r="L551" s="1627"/>
      <c r="M551" s="1629"/>
      <c r="N551" s="1627"/>
      <c r="O551" s="1627"/>
      <c r="P551" s="1627"/>
      <c r="Q551" s="1627"/>
      <c r="R551" s="1627"/>
      <c r="S551" s="1627"/>
      <c r="T551" s="1627"/>
      <c r="U551" s="1789"/>
      <c r="V551" s="1781" t="s">
        <v>1602</v>
      </c>
      <c r="W551" s="1782" t="s">
        <v>1306</v>
      </c>
      <c r="X551" s="1631">
        <v>4</v>
      </c>
      <c r="Y551" s="1633" t="s">
        <v>1306</v>
      </c>
      <c r="Z551" s="1788" t="s">
        <v>1592</v>
      </c>
      <c r="AA551" s="1790"/>
      <c r="AB551" s="1791"/>
      <c r="AC551" s="1637"/>
      <c r="AD551" s="1792"/>
      <c r="AE551" s="1636"/>
      <c r="AF551" s="1636"/>
      <c r="AG551" s="1637" t="str">
        <f t="shared" si="109"/>
        <v>階別用途別床面積-4-46階</v>
      </c>
      <c r="AH551" s="1637"/>
      <c r="AI551" s="1636"/>
      <c r="AJ551" s="1636"/>
      <c r="AK551" s="1636"/>
      <c r="AL551" s="1637"/>
      <c r="AM551" s="1637"/>
      <c r="AN551" s="1637"/>
      <c r="AO551" s="1637"/>
    </row>
    <row r="552" spans="1:41" s="1624" customFormat="1" ht="18.75" customHeight="1" x14ac:dyDescent="0.15">
      <c r="A552" s="1627"/>
      <c r="B552" s="1627"/>
      <c r="C552" s="1627"/>
      <c r="D552" s="1626">
        <f>'2_入力シート【用途面積】'!$M69</f>
        <v>0</v>
      </c>
      <c r="E552" s="1672">
        <f t="shared" si="110"/>
        <v>0</v>
      </c>
      <c r="F552" s="1672" t="str">
        <f t="shared" si="111"/>
        <v>0</v>
      </c>
      <c r="G552" s="1672" t="str">
        <f t="shared" si="112"/>
        <v>0</v>
      </c>
      <c r="H552" s="1628"/>
      <c r="I552" s="1627"/>
      <c r="J552" s="1627"/>
      <c r="K552" s="1627"/>
      <c r="L552" s="1627"/>
      <c r="M552" s="1629"/>
      <c r="N552" s="1627"/>
      <c r="O552" s="1627"/>
      <c r="P552" s="1627"/>
      <c r="Q552" s="1627"/>
      <c r="R552" s="1627"/>
      <c r="S552" s="1627"/>
      <c r="T552" s="1627"/>
      <c r="U552" s="1789"/>
      <c r="V552" s="1781" t="s">
        <v>1602</v>
      </c>
      <c r="W552" s="1782" t="s">
        <v>1306</v>
      </c>
      <c r="X552" s="1631">
        <v>4</v>
      </c>
      <c r="Y552" s="1633" t="s">
        <v>1306</v>
      </c>
      <c r="Z552" s="1788" t="s">
        <v>1593</v>
      </c>
      <c r="AA552" s="1790"/>
      <c r="AB552" s="1791"/>
      <c r="AC552" s="1637"/>
      <c r="AD552" s="1792"/>
      <c r="AE552" s="1698"/>
      <c r="AF552" s="1698"/>
      <c r="AG552" s="1637" t="str">
        <f t="shared" si="109"/>
        <v>階別用途別床面積-4-47階</v>
      </c>
      <c r="AH552" s="1637"/>
      <c r="AI552" s="1636"/>
      <c r="AJ552" s="1636"/>
      <c r="AK552" s="1636"/>
      <c r="AL552" s="1637"/>
      <c r="AM552" s="1637"/>
      <c r="AN552" s="1637"/>
      <c r="AO552" s="1637"/>
    </row>
    <row r="553" spans="1:41" s="1624" customFormat="1" ht="18.75" customHeight="1" x14ac:dyDescent="0.15">
      <c r="A553" s="1627"/>
      <c r="B553" s="1627"/>
      <c r="C553" s="1627"/>
      <c r="D553" s="1626">
        <f>'2_入力シート【用途面積】'!$M70</f>
        <v>0</v>
      </c>
      <c r="E553" s="1672">
        <f t="shared" si="110"/>
        <v>0</v>
      </c>
      <c r="F553" s="1672" t="str">
        <f t="shared" si="111"/>
        <v>0</v>
      </c>
      <c r="G553" s="1672" t="str">
        <f t="shared" si="112"/>
        <v>0</v>
      </c>
      <c r="H553" s="1628"/>
      <c r="I553" s="1627"/>
      <c r="J553" s="1627"/>
      <c r="K553" s="1627"/>
      <c r="L553" s="1627"/>
      <c r="M553" s="1629"/>
      <c r="N553" s="1627"/>
      <c r="O553" s="1627"/>
      <c r="P553" s="1627"/>
      <c r="Q553" s="1627"/>
      <c r="R553" s="1627"/>
      <c r="S553" s="1627"/>
      <c r="T553" s="1627"/>
      <c r="U553" s="1789"/>
      <c r="V553" s="1781" t="s">
        <v>1602</v>
      </c>
      <c r="W553" s="1782" t="s">
        <v>1306</v>
      </c>
      <c r="X553" s="1631">
        <v>4</v>
      </c>
      <c r="Y553" s="1633" t="s">
        <v>1306</v>
      </c>
      <c r="Z553" s="1788" t="s">
        <v>1594</v>
      </c>
      <c r="AA553" s="1790"/>
      <c r="AB553" s="1791"/>
      <c r="AC553" s="1637"/>
      <c r="AD553" s="1792"/>
      <c r="AE553" s="1698"/>
      <c r="AF553" s="1698"/>
      <c r="AG553" s="1637" t="str">
        <f t="shared" si="109"/>
        <v>階別用途別床面積-4-48階</v>
      </c>
      <c r="AH553" s="1637"/>
      <c r="AI553" s="1636"/>
      <c r="AJ553" s="1636"/>
      <c r="AK553" s="1636"/>
      <c r="AL553" s="1637"/>
      <c r="AM553" s="1637"/>
      <c r="AN553" s="1637"/>
      <c r="AO553" s="1637"/>
    </row>
    <row r="554" spans="1:41" s="1624" customFormat="1" ht="18.75" customHeight="1" x14ac:dyDescent="0.15">
      <c r="A554" s="1627"/>
      <c r="B554" s="1627"/>
      <c r="C554" s="1627"/>
      <c r="D554" s="1626">
        <f>'2_入力シート【用途面積】'!$M71</f>
        <v>0</v>
      </c>
      <c r="E554" s="1672">
        <f t="shared" si="110"/>
        <v>0</v>
      </c>
      <c r="F554" s="1672" t="str">
        <f t="shared" si="111"/>
        <v>0</v>
      </c>
      <c r="G554" s="1672" t="str">
        <f t="shared" si="112"/>
        <v>0</v>
      </c>
      <c r="H554" s="1628"/>
      <c r="I554" s="1627"/>
      <c r="J554" s="1627"/>
      <c r="K554" s="1627"/>
      <c r="L554" s="1627"/>
      <c r="M554" s="1629"/>
      <c r="N554" s="1627"/>
      <c r="O554" s="1627"/>
      <c r="P554" s="1627"/>
      <c r="Q554" s="1627"/>
      <c r="R554" s="1627"/>
      <c r="S554" s="1627"/>
      <c r="T554" s="1627"/>
      <c r="U554" s="1789"/>
      <c r="V554" s="1781" t="s">
        <v>1602</v>
      </c>
      <c r="W554" s="1782" t="s">
        <v>1306</v>
      </c>
      <c r="X554" s="1631">
        <v>4</v>
      </c>
      <c r="Y554" s="1633" t="s">
        <v>1306</v>
      </c>
      <c r="Z554" s="1788" t="s">
        <v>1595</v>
      </c>
      <c r="AA554" s="1790"/>
      <c r="AB554" s="1791"/>
      <c r="AC554" s="1637"/>
      <c r="AD554" s="1792"/>
      <c r="AE554" s="1698"/>
      <c r="AF554" s="1698"/>
      <c r="AG554" s="1637" t="str">
        <f t="shared" si="109"/>
        <v>階別用途別床面積-4-49階</v>
      </c>
      <c r="AH554" s="1637"/>
      <c r="AI554" s="1636"/>
      <c r="AJ554" s="1636"/>
      <c r="AK554" s="1636"/>
      <c r="AL554" s="1637"/>
      <c r="AM554" s="1637"/>
      <c r="AN554" s="1637"/>
      <c r="AO554" s="1637"/>
    </row>
    <row r="555" spans="1:41" s="1624" customFormat="1" ht="18.75" customHeight="1" x14ac:dyDescent="0.15">
      <c r="A555" s="1627"/>
      <c r="B555" s="1627"/>
      <c r="C555" s="1627"/>
      <c r="D555" s="1626">
        <f>'2_入力シート【用途面積】'!$M72</f>
        <v>0</v>
      </c>
      <c r="E555" s="1672">
        <f t="shared" si="110"/>
        <v>0</v>
      </c>
      <c r="F555" s="1672" t="str">
        <f t="shared" si="111"/>
        <v>0</v>
      </c>
      <c r="G555" s="1672" t="str">
        <f t="shared" si="112"/>
        <v>0</v>
      </c>
      <c r="H555" s="1628"/>
      <c r="I555" s="1627"/>
      <c r="J555" s="1627"/>
      <c r="K555" s="1627"/>
      <c r="L555" s="1627"/>
      <c r="M555" s="1629"/>
      <c r="N555" s="1627"/>
      <c r="O555" s="1627"/>
      <c r="P555" s="1627"/>
      <c r="Q555" s="1627"/>
      <c r="R555" s="1627"/>
      <c r="S555" s="1627"/>
      <c r="T555" s="1627"/>
      <c r="U555" s="1789"/>
      <c r="V555" s="1781" t="s">
        <v>1602</v>
      </c>
      <c r="W555" s="1782" t="s">
        <v>1306</v>
      </c>
      <c r="X555" s="1631">
        <v>4</v>
      </c>
      <c r="Y555" s="1633" t="s">
        <v>1306</v>
      </c>
      <c r="Z555" s="1788" t="s">
        <v>1596</v>
      </c>
      <c r="AA555" s="1790"/>
      <c r="AB555" s="1791"/>
      <c r="AC555" s="1637"/>
      <c r="AD555" s="1792"/>
      <c r="AE555" s="1698"/>
      <c r="AF555" s="1698"/>
      <c r="AG555" s="1637" t="str">
        <f t="shared" si="109"/>
        <v>階別用途別床面積-4-50階</v>
      </c>
      <c r="AH555" s="1637"/>
      <c r="AI555" s="1636"/>
      <c r="AJ555" s="1636"/>
      <c r="AK555" s="1636"/>
      <c r="AL555" s="1637"/>
      <c r="AM555" s="1637"/>
      <c r="AN555" s="1637"/>
      <c r="AO555" s="1637"/>
    </row>
    <row r="556" spans="1:41" s="1624" customFormat="1" ht="18.75" customHeight="1" x14ac:dyDescent="0.15">
      <c r="A556" s="1627"/>
      <c r="B556" s="1627"/>
      <c r="C556" s="1627"/>
      <c r="D556" s="1626">
        <f>'2_入力シート【用途面積】'!$O$4</f>
        <v>0</v>
      </c>
      <c r="E556" s="1672">
        <f t="shared" si="110"/>
        <v>0</v>
      </c>
      <c r="F556" s="1672" t="str">
        <f t="shared" si="111"/>
        <v>0</v>
      </c>
      <c r="G556" s="1672" t="str">
        <f t="shared" si="112"/>
        <v>0</v>
      </c>
      <c r="H556" s="1628"/>
      <c r="I556" s="1627"/>
      <c r="J556" s="1627"/>
      <c r="K556" s="1627"/>
      <c r="L556" s="1627"/>
      <c r="M556" s="1629"/>
      <c r="N556" s="1627"/>
      <c r="O556" s="1627"/>
      <c r="P556" s="1627"/>
      <c r="Q556" s="1627"/>
      <c r="R556" s="1627"/>
      <c r="S556" s="1627"/>
      <c r="T556" s="1627"/>
      <c r="U556" s="1789"/>
      <c r="V556" s="1781" t="s">
        <v>1602</v>
      </c>
      <c r="W556" s="1782" t="s">
        <v>1306</v>
      </c>
      <c r="X556" s="1639" t="s">
        <v>1330</v>
      </c>
      <c r="Y556" s="1633" t="s">
        <v>1306</v>
      </c>
      <c r="Z556" s="1640" t="s">
        <v>1597</v>
      </c>
      <c r="AA556" s="1790"/>
      <c r="AB556" s="1791"/>
      <c r="AC556" s="1637"/>
      <c r="AD556" s="1792"/>
      <c r="AE556" s="1698"/>
      <c r="AF556" s="1698"/>
      <c r="AG556" s="1637" t="str">
        <f t="shared" si="109"/>
        <v>階別用途別床面積-5-大分類</v>
      </c>
      <c r="AH556" s="1637"/>
      <c r="AI556" s="1636"/>
      <c r="AJ556" s="1636"/>
      <c r="AK556" s="1636"/>
      <c r="AL556" s="1637"/>
      <c r="AM556" s="1637"/>
      <c r="AN556" s="1637"/>
      <c r="AO556" s="1637"/>
    </row>
    <row r="557" spans="1:41" s="1624" customFormat="1" ht="18.75" customHeight="1" x14ac:dyDescent="0.15">
      <c r="A557" s="1627"/>
      <c r="B557" s="1627"/>
      <c r="C557" s="1627"/>
      <c r="D557" s="1626">
        <f>'2_入力シート【用途面積】'!$O$7</f>
        <v>0</v>
      </c>
      <c r="E557" s="1672">
        <f t="shared" si="110"/>
        <v>0</v>
      </c>
      <c r="F557" s="1672" t="str">
        <f t="shared" si="111"/>
        <v>0</v>
      </c>
      <c r="G557" s="1672" t="str">
        <f t="shared" si="112"/>
        <v>0</v>
      </c>
      <c r="H557" s="1628"/>
      <c r="I557" s="1627"/>
      <c r="J557" s="1627"/>
      <c r="K557" s="1627"/>
      <c r="L557" s="1627"/>
      <c r="M557" s="1629"/>
      <c r="N557" s="1627"/>
      <c r="O557" s="1627"/>
      <c r="P557" s="1627"/>
      <c r="Q557" s="1627"/>
      <c r="R557" s="1627"/>
      <c r="S557" s="1627"/>
      <c r="T557" s="1627"/>
      <c r="U557" s="1789"/>
      <c r="V557" s="1781" t="s">
        <v>1602</v>
      </c>
      <c r="W557" s="1782" t="s">
        <v>1306</v>
      </c>
      <c r="X557" s="1639" t="s">
        <v>1330</v>
      </c>
      <c r="Y557" s="1633" t="s">
        <v>1306</v>
      </c>
      <c r="Z557" s="1640" t="s">
        <v>1598</v>
      </c>
      <c r="AA557" s="1790"/>
      <c r="AB557" s="1791"/>
      <c r="AC557" s="1637"/>
      <c r="AD557" s="1792"/>
      <c r="AE557" s="1698"/>
      <c r="AF557" s="1698"/>
      <c r="AG557" s="1637" t="str">
        <f t="shared" si="109"/>
        <v>階別用途別床面積-5-小分類</v>
      </c>
      <c r="AH557" s="1637"/>
      <c r="AI557" s="1636"/>
      <c r="AJ557" s="1636"/>
      <c r="AK557" s="1636"/>
      <c r="AL557" s="1637"/>
      <c r="AM557" s="1637"/>
      <c r="AN557" s="1637"/>
      <c r="AO557" s="1637"/>
    </row>
    <row r="558" spans="1:41" s="1624" customFormat="1" ht="18.75" customHeight="1" x14ac:dyDescent="0.15">
      <c r="A558" s="1627"/>
      <c r="B558" s="1627"/>
      <c r="C558" s="1627"/>
      <c r="D558" s="1626">
        <f>'2_入力シート【用途面積】'!$O$12</f>
        <v>0</v>
      </c>
      <c r="E558" s="1672">
        <f t="shared" si="110"/>
        <v>0</v>
      </c>
      <c r="F558" s="1672" t="str">
        <f t="shared" si="111"/>
        <v>0</v>
      </c>
      <c r="G558" s="1672" t="str">
        <f t="shared" si="112"/>
        <v>0</v>
      </c>
      <c r="H558" s="1628"/>
      <c r="I558" s="1627"/>
      <c r="J558" s="1627"/>
      <c r="K558" s="1627"/>
      <c r="L558" s="1627"/>
      <c r="M558" s="1629"/>
      <c r="N558" s="1627"/>
      <c r="O558" s="1627"/>
      <c r="P558" s="1627"/>
      <c r="Q558" s="1627"/>
      <c r="R558" s="1627"/>
      <c r="S558" s="1627"/>
      <c r="T558" s="1627"/>
      <c r="U558" s="1780"/>
      <c r="V558" s="1781" t="s">
        <v>2434</v>
      </c>
      <c r="W558" s="1782" t="s">
        <v>1366</v>
      </c>
      <c r="X558" s="1639" t="s">
        <v>1330</v>
      </c>
      <c r="Y558" s="1633" t="s">
        <v>1366</v>
      </c>
      <c r="Z558" s="1640" t="s">
        <v>2433</v>
      </c>
      <c r="AA558" s="1783"/>
      <c r="AB558" s="1787"/>
      <c r="AC558" s="1698"/>
      <c r="AD558" s="1699"/>
      <c r="AE558" s="1698"/>
      <c r="AF558" s="1698"/>
      <c r="AG558" s="1637" t="str">
        <f t="shared" si="109"/>
        <v>階別用途別床面積-5-特記</v>
      </c>
      <c r="AH558" s="1637"/>
      <c r="AI558" s="1636"/>
      <c r="AJ558" s="1636"/>
      <c r="AK558" s="1636"/>
      <c r="AL558" s="1637"/>
      <c r="AM558" s="1637"/>
      <c r="AN558" s="1637"/>
      <c r="AO558" s="1637"/>
    </row>
    <row r="559" spans="1:41" s="1624" customFormat="1" ht="18.75" customHeight="1" x14ac:dyDescent="0.15">
      <c r="A559" s="1627"/>
      <c r="B559" s="1627"/>
      <c r="C559" s="1627"/>
      <c r="D559" s="1626">
        <f>'2_入力シート【用途面積】'!$O14</f>
        <v>0</v>
      </c>
      <c r="E559" s="1672">
        <f t="shared" si="110"/>
        <v>0</v>
      </c>
      <c r="F559" s="1672" t="str">
        <f t="shared" si="111"/>
        <v>0</v>
      </c>
      <c r="G559" s="1672" t="str">
        <f t="shared" si="112"/>
        <v>0</v>
      </c>
      <c r="H559" s="1628"/>
      <c r="I559" s="1627"/>
      <c r="J559" s="1627"/>
      <c r="K559" s="1627"/>
      <c r="L559" s="1627"/>
      <c r="M559" s="1629"/>
      <c r="N559" s="1627"/>
      <c r="O559" s="1627"/>
      <c r="P559" s="1627"/>
      <c r="Q559" s="1627"/>
      <c r="R559" s="1627"/>
      <c r="S559" s="1627"/>
      <c r="T559" s="1627"/>
      <c r="U559" s="1789"/>
      <c r="V559" s="1781" t="s">
        <v>1602</v>
      </c>
      <c r="W559" s="1782" t="s">
        <v>1306</v>
      </c>
      <c r="X559" s="1639" t="s">
        <v>1599</v>
      </c>
      <c r="Y559" s="1633" t="s">
        <v>1306</v>
      </c>
      <c r="Z559" s="1640" t="s">
        <v>1538</v>
      </c>
      <c r="AA559" s="1790"/>
      <c r="AB559" s="1791"/>
      <c r="AC559" s="1637"/>
      <c r="AD559" s="1792"/>
      <c r="AE559" s="1698"/>
      <c r="AF559" s="1698"/>
      <c r="AG559" s="1637" t="str">
        <f t="shared" si="109"/>
        <v>階別用途別床面積-5-地下1階</v>
      </c>
      <c r="AH559" s="1637"/>
      <c r="AI559" s="1636"/>
      <c r="AJ559" s="1636"/>
      <c r="AK559" s="1636"/>
      <c r="AL559" s="1637"/>
      <c r="AM559" s="1637"/>
      <c r="AN559" s="1637"/>
      <c r="AO559" s="1637"/>
    </row>
    <row r="560" spans="1:41" s="1624" customFormat="1" ht="18.75" customHeight="1" x14ac:dyDescent="0.15">
      <c r="A560" s="1627"/>
      <c r="B560" s="1627"/>
      <c r="C560" s="1627"/>
      <c r="D560" s="1626">
        <f>'2_入力シート【用途面積】'!$O15</f>
        <v>0</v>
      </c>
      <c r="E560" s="1672">
        <f t="shared" si="110"/>
        <v>0</v>
      </c>
      <c r="F560" s="1672" t="str">
        <f t="shared" si="111"/>
        <v>0</v>
      </c>
      <c r="G560" s="1672" t="str">
        <f t="shared" si="112"/>
        <v>0</v>
      </c>
      <c r="H560" s="1628"/>
      <c r="I560" s="1627"/>
      <c r="J560" s="1627"/>
      <c r="K560" s="1627"/>
      <c r="L560" s="1627"/>
      <c r="M560" s="1629"/>
      <c r="N560" s="1627"/>
      <c r="O560" s="1627"/>
      <c r="P560" s="1627"/>
      <c r="Q560" s="1627"/>
      <c r="R560" s="1627"/>
      <c r="S560" s="1627"/>
      <c r="T560" s="1627"/>
      <c r="U560" s="1789"/>
      <c r="V560" s="1781" t="s">
        <v>1602</v>
      </c>
      <c r="W560" s="1782" t="s">
        <v>1306</v>
      </c>
      <c r="X560" s="1639" t="s">
        <v>1599</v>
      </c>
      <c r="Y560" s="1633" t="s">
        <v>1306</v>
      </c>
      <c r="Z560" s="1640" t="s">
        <v>1539</v>
      </c>
      <c r="AA560" s="1790"/>
      <c r="AB560" s="1791"/>
      <c r="AC560" s="1637"/>
      <c r="AD560" s="1792"/>
      <c r="AE560" s="1698"/>
      <c r="AF560" s="1698"/>
      <c r="AG560" s="1637" t="str">
        <f t="shared" si="109"/>
        <v>階別用途別床面積-5-地下2階</v>
      </c>
      <c r="AH560" s="1637"/>
      <c r="AI560" s="1636"/>
      <c r="AJ560" s="1636"/>
      <c r="AK560" s="1636"/>
      <c r="AL560" s="1637"/>
      <c r="AM560" s="1637"/>
      <c r="AN560" s="1637"/>
      <c r="AO560" s="1637"/>
    </row>
    <row r="561" spans="1:41" s="1624" customFormat="1" ht="18.75" customHeight="1" x14ac:dyDescent="0.15">
      <c r="A561" s="1627"/>
      <c r="B561" s="1627"/>
      <c r="C561" s="1627"/>
      <c r="D561" s="1626">
        <f>'2_入力シート【用途面積】'!$O16</f>
        <v>0</v>
      </c>
      <c r="E561" s="1672">
        <f t="shared" si="110"/>
        <v>0</v>
      </c>
      <c r="F561" s="1672" t="str">
        <f t="shared" si="111"/>
        <v>0</v>
      </c>
      <c r="G561" s="1672" t="str">
        <f t="shared" si="112"/>
        <v>0</v>
      </c>
      <c r="H561" s="1628"/>
      <c r="I561" s="1627"/>
      <c r="J561" s="1627"/>
      <c r="K561" s="1627"/>
      <c r="L561" s="1627"/>
      <c r="M561" s="1629"/>
      <c r="N561" s="1627"/>
      <c r="O561" s="1627"/>
      <c r="P561" s="1627"/>
      <c r="Q561" s="1627"/>
      <c r="R561" s="1627"/>
      <c r="S561" s="1627"/>
      <c r="T561" s="1627"/>
      <c r="U561" s="1789"/>
      <c r="V561" s="1781" t="s">
        <v>1602</v>
      </c>
      <c r="W561" s="1782" t="s">
        <v>1306</v>
      </c>
      <c r="X561" s="1639" t="s">
        <v>1599</v>
      </c>
      <c r="Y561" s="1633" t="s">
        <v>1306</v>
      </c>
      <c r="Z561" s="1640" t="s">
        <v>1540</v>
      </c>
      <c r="AA561" s="1790"/>
      <c r="AB561" s="1791"/>
      <c r="AC561" s="1637"/>
      <c r="AD561" s="1792"/>
      <c r="AE561" s="1637"/>
      <c r="AF561" s="1637"/>
      <c r="AG561" s="1637" t="str">
        <f t="shared" si="109"/>
        <v>階別用途別床面積-5-地下3階</v>
      </c>
      <c r="AH561" s="1637"/>
      <c r="AI561" s="1636"/>
      <c r="AJ561" s="1636"/>
      <c r="AK561" s="1636"/>
      <c r="AL561" s="1637"/>
      <c r="AM561" s="1637"/>
      <c r="AN561" s="1637"/>
      <c r="AO561" s="1637"/>
    </row>
    <row r="562" spans="1:41" s="1624" customFormat="1" ht="18.75" customHeight="1" x14ac:dyDescent="0.15">
      <c r="A562" s="1627"/>
      <c r="B562" s="1627"/>
      <c r="C562" s="1627"/>
      <c r="D562" s="1626">
        <f>'2_入力シート【用途面積】'!$O17</f>
        <v>0</v>
      </c>
      <c r="E562" s="1672">
        <f t="shared" si="110"/>
        <v>0</v>
      </c>
      <c r="F562" s="1672" t="str">
        <f t="shared" si="111"/>
        <v>0</v>
      </c>
      <c r="G562" s="1672" t="str">
        <f t="shared" si="112"/>
        <v>0</v>
      </c>
      <c r="H562" s="1628"/>
      <c r="I562" s="1627"/>
      <c r="J562" s="1627"/>
      <c r="K562" s="1627"/>
      <c r="L562" s="1627"/>
      <c r="M562" s="1629"/>
      <c r="N562" s="1627"/>
      <c r="O562" s="1627"/>
      <c r="P562" s="1627"/>
      <c r="Q562" s="1627"/>
      <c r="R562" s="1627"/>
      <c r="S562" s="1627"/>
      <c r="T562" s="1627"/>
      <c r="U562" s="1789"/>
      <c r="V562" s="1781" t="s">
        <v>1602</v>
      </c>
      <c r="W562" s="1782" t="s">
        <v>1306</v>
      </c>
      <c r="X562" s="1639" t="s">
        <v>1599</v>
      </c>
      <c r="Y562" s="1633" t="s">
        <v>1306</v>
      </c>
      <c r="Z562" s="1640" t="s">
        <v>1541</v>
      </c>
      <c r="AA562" s="1790"/>
      <c r="AB562" s="1791"/>
      <c r="AC562" s="1637"/>
      <c r="AD562" s="1792"/>
      <c r="AE562" s="1637"/>
      <c r="AF562" s="1637"/>
      <c r="AG562" s="1637" t="str">
        <f t="shared" si="109"/>
        <v>階別用途別床面積-5-地下4階</v>
      </c>
      <c r="AH562" s="1637"/>
      <c r="AI562" s="1636"/>
      <c r="AJ562" s="1636"/>
      <c r="AK562" s="1636"/>
      <c r="AL562" s="1637"/>
      <c r="AM562" s="1637"/>
      <c r="AN562" s="1637"/>
      <c r="AO562" s="1637"/>
    </row>
    <row r="563" spans="1:41" s="1624" customFormat="1" ht="18.75" customHeight="1" x14ac:dyDescent="0.15">
      <c r="A563" s="1627"/>
      <c r="B563" s="1627"/>
      <c r="C563" s="1627"/>
      <c r="D563" s="1626">
        <f>'2_入力シート【用途面積】'!$O18</f>
        <v>0</v>
      </c>
      <c r="E563" s="1672">
        <f t="shared" si="110"/>
        <v>0</v>
      </c>
      <c r="F563" s="1672" t="str">
        <f t="shared" si="111"/>
        <v>0</v>
      </c>
      <c r="G563" s="1672" t="str">
        <f t="shared" si="112"/>
        <v>0</v>
      </c>
      <c r="H563" s="1628"/>
      <c r="I563" s="1627"/>
      <c r="J563" s="1627"/>
      <c r="K563" s="1627"/>
      <c r="L563" s="1627"/>
      <c r="M563" s="1629"/>
      <c r="N563" s="1627"/>
      <c r="O563" s="1627"/>
      <c r="P563" s="1627"/>
      <c r="Q563" s="1627"/>
      <c r="R563" s="1627"/>
      <c r="S563" s="1627"/>
      <c r="T563" s="1627"/>
      <c r="U563" s="1789"/>
      <c r="V563" s="1781" t="s">
        <v>1602</v>
      </c>
      <c r="W563" s="1782" t="s">
        <v>1306</v>
      </c>
      <c r="X563" s="1639" t="s">
        <v>1599</v>
      </c>
      <c r="Y563" s="1633" t="s">
        <v>1306</v>
      </c>
      <c r="Z563" s="1640" t="s">
        <v>1542</v>
      </c>
      <c r="AA563" s="1790"/>
      <c r="AB563" s="1791"/>
      <c r="AC563" s="1637"/>
      <c r="AD563" s="1792"/>
      <c r="AE563" s="1637"/>
      <c r="AF563" s="1637"/>
      <c r="AG563" s="1637" t="str">
        <f t="shared" si="109"/>
        <v>階別用途別床面積-5-塔屋 1階</v>
      </c>
      <c r="AH563" s="1637"/>
      <c r="AI563" s="1636"/>
      <c r="AJ563" s="1636"/>
      <c r="AK563" s="1636"/>
      <c r="AL563" s="1637"/>
      <c r="AM563" s="1637"/>
      <c r="AN563" s="1637"/>
      <c r="AO563" s="1637"/>
    </row>
    <row r="564" spans="1:41" s="1637" customFormat="1" ht="18.75" customHeight="1" x14ac:dyDescent="0.15">
      <c r="A564" s="1627"/>
      <c r="B564" s="1627"/>
      <c r="C564" s="1627"/>
      <c r="D564" s="1626">
        <f>'2_入力シート【用途面積】'!$O19</f>
        <v>0</v>
      </c>
      <c r="E564" s="1672">
        <f t="shared" si="110"/>
        <v>0</v>
      </c>
      <c r="F564" s="1672" t="str">
        <f t="shared" si="111"/>
        <v>0</v>
      </c>
      <c r="G564" s="1672" t="str">
        <f t="shared" si="112"/>
        <v>0</v>
      </c>
      <c r="H564" s="1628"/>
      <c r="I564" s="1627"/>
      <c r="J564" s="1627"/>
      <c r="K564" s="1627"/>
      <c r="L564" s="1627"/>
      <c r="M564" s="1629"/>
      <c r="N564" s="1627"/>
      <c r="O564" s="1627"/>
      <c r="P564" s="1627"/>
      <c r="Q564" s="1627"/>
      <c r="R564" s="1627"/>
      <c r="S564" s="1627"/>
      <c r="T564" s="1627"/>
      <c r="U564" s="1789"/>
      <c r="V564" s="1781" t="s">
        <v>1602</v>
      </c>
      <c r="W564" s="1782" t="s">
        <v>1306</v>
      </c>
      <c r="X564" s="1639" t="s">
        <v>1599</v>
      </c>
      <c r="Y564" s="1633" t="s">
        <v>1306</v>
      </c>
      <c r="Z564" s="1640" t="s">
        <v>1543</v>
      </c>
      <c r="AA564" s="1790"/>
      <c r="AB564" s="1791"/>
      <c r="AD564" s="1792"/>
      <c r="AG564" s="1637" t="str">
        <f t="shared" si="109"/>
        <v>階別用途別床面積-5-塔屋 2階</v>
      </c>
      <c r="AI564" s="1636"/>
      <c r="AJ564" s="1636"/>
      <c r="AK564" s="1636"/>
    </row>
    <row r="565" spans="1:41" s="1637" customFormat="1" ht="18.75" customHeight="1" x14ac:dyDescent="0.15">
      <c r="A565" s="1627"/>
      <c r="B565" s="1627"/>
      <c r="C565" s="1627"/>
      <c r="D565" s="1626">
        <f>'2_入力シート【用途面積】'!$O20</f>
        <v>0</v>
      </c>
      <c r="E565" s="1672">
        <f t="shared" si="110"/>
        <v>0</v>
      </c>
      <c r="F565" s="1672" t="str">
        <f t="shared" si="111"/>
        <v>0</v>
      </c>
      <c r="G565" s="1672" t="str">
        <f t="shared" si="112"/>
        <v>0</v>
      </c>
      <c r="H565" s="1628"/>
      <c r="I565" s="1627"/>
      <c r="J565" s="1627"/>
      <c r="K565" s="1627"/>
      <c r="L565" s="1627"/>
      <c r="M565" s="1629"/>
      <c r="N565" s="1627"/>
      <c r="O565" s="1627"/>
      <c r="P565" s="1627"/>
      <c r="Q565" s="1627"/>
      <c r="R565" s="1627"/>
      <c r="S565" s="1627"/>
      <c r="T565" s="1627"/>
      <c r="U565" s="1789"/>
      <c r="V565" s="1781" t="s">
        <v>1602</v>
      </c>
      <c r="W565" s="1782" t="s">
        <v>1306</v>
      </c>
      <c r="X565" s="1639" t="s">
        <v>1599</v>
      </c>
      <c r="Y565" s="1633" t="s">
        <v>1306</v>
      </c>
      <c r="Z565" s="1640" t="s">
        <v>1544</v>
      </c>
      <c r="AA565" s="1790"/>
      <c r="AB565" s="1791"/>
      <c r="AD565" s="1792"/>
      <c r="AG565" s="1637" t="str">
        <f t="shared" si="109"/>
        <v>階別用途別床面積-5-塔屋 3階</v>
      </c>
      <c r="AI565" s="1636"/>
      <c r="AJ565" s="1636"/>
      <c r="AK565" s="1636"/>
    </row>
    <row r="566" spans="1:41" s="1637" customFormat="1" ht="18.75" customHeight="1" x14ac:dyDescent="0.15">
      <c r="A566" s="1627"/>
      <c r="B566" s="1627"/>
      <c r="C566" s="1627"/>
      <c r="D566" s="1626">
        <f>'2_入力シート【用途面積】'!$O21</f>
        <v>0</v>
      </c>
      <c r="E566" s="1672">
        <f t="shared" si="110"/>
        <v>0</v>
      </c>
      <c r="F566" s="1672" t="str">
        <f t="shared" si="111"/>
        <v>0</v>
      </c>
      <c r="G566" s="1672" t="str">
        <f t="shared" si="112"/>
        <v>0</v>
      </c>
      <c r="H566" s="1628"/>
      <c r="I566" s="1627"/>
      <c r="J566" s="1627"/>
      <c r="K566" s="1627"/>
      <c r="L566" s="1627"/>
      <c r="M566" s="1629"/>
      <c r="N566" s="1627"/>
      <c r="O566" s="1627"/>
      <c r="P566" s="1627"/>
      <c r="Q566" s="1627"/>
      <c r="R566" s="1627"/>
      <c r="S566" s="1627"/>
      <c r="T566" s="1627"/>
      <c r="U566" s="1789"/>
      <c r="V566" s="1781" t="s">
        <v>1602</v>
      </c>
      <c r="W566" s="1782" t="s">
        <v>1306</v>
      </c>
      <c r="X566" s="1639" t="s">
        <v>1599</v>
      </c>
      <c r="Y566" s="1633" t="s">
        <v>1306</v>
      </c>
      <c r="Z566" s="1640" t="s">
        <v>1545</v>
      </c>
      <c r="AA566" s="1790"/>
      <c r="AB566" s="1791"/>
      <c r="AD566" s="1792"/>
      <c r="AG566" s="1637" t="str">
        <f t="shared" si="109"/>
        <v>階別用途別床面積-5-塔屋 4階</v>
      </c>
      <c r="AI566" s="1636"/>
      <c r="AJ566" s="1636"/>
      <c r="AK566" s="1636"/>
    </row>
    <row r="567" spans="1:41" s="1637" customFormat="1" ht="18.75" customHeight="1" x14ac:dyDescent="0.15">
      <c r="A567" s="1627"/>
      <c r="B567" s="1627"/>
      <c r="C567" s="1627"/>
      <c r="D567" s="1626">
        <f>'2_入力シート【用途面積】'!$O22</f>
        <v>0</v>
      </c>
      <c r="E567" s="1672">
        <f t="shared" si="110"/>
        <v>0</v>
      </c>
      <c r="F567" s="1672" t="str">
        <f t="shared" si="111"/>
        <v>0</v>
      </c>
      <c r="G567" s="1672" t="str">
        <f t="shared" si="112"/>
        <v>0</v>
      </c>
      <c r="H567" s="1628"/>
      <c r="I567" s="1627"/>
      <c r="J567" s="1627"/>
      <c r="K567" s="1627"/>
      <c r="L567" s="1627"/>
      <c r="M567" s="1629"/>
      <c r="N567" s="1627"/>
      <c r="O567" s="1627"/>
      <c r="P567" s="1627"/>
      <c r="Q567" s="1627"/>
      <c r="R567" s="1627"/>
      <c r="S567" s="1627"/>
      <c r="T567" s="1627"/>
      <c r="U567" s="1789"/>
      <c r="V567" s="1781" t="s">
        <v>1602</v>
      </c>
      <c r="W567" s="1782" t="s">
        <v>1306</v>
      </c>
      <c r="X567" s="1639" t="s">
        <v>1599</v>
      </c>
      <c r="Y567" s="1633" t="s">
        <v>1306</v>
      </c>
      <c r="Z567" s="1640" t="s">
        <v>1546</v>
      </c>
      <c r="AA567" s="1790"/>
      <c r="AB567" s="1791"/>
      <c r="AD567" s="1792"/>
      <c r="AG567" s="1637" t="str">
        <f t="shared" si="109"/>
        <v>階別用途別床面積-5-塔屋 5階</v>
      </c>
      <c r="AI567" s="1636"/>
      <c r="AJ567" s="1636"/>
      <c r="AK567" s="1636"/>
    </row>
    <row r="568" spans="1:41" s="1637" customFormat="1" ht="18.75" customHeight="1" x14ac:dyDescent="0.15">
      <c r="A568" s="1627"/>
      <c r="B568" s="1627"/>
      <c r="C568" s="1627"/>
      <c r="D568" s="1626">
        <f>'2_入力シート【用途面積】'!$O23</f>
        <v>0</v>
      </c>
      <c r="E568" s="1672">
        <f t="shared" si="110"/>
        <v>0</v>
      </c>
      <c r="F568" s="1672" t="str">
        <f t="shared" si="111"/>
        <v>0</v>
      </c>
      <c r="G568" s="1672" t="str">
        <f t="shared" si="112"/>
        <v>0</v>
      </c>
      <c r="H568" s="1628"/>
      <c r="I568" s="1627"/>
      <c r="J568" s="1627"/>
      <c r="K568" s="1627"/>
      <c r="L568" s="1627"/>
      <c r="M568" s="1629"/>
      <c r="N568" s="1627"/>
      <c r="O568" s="1627"/>
      <c r="P568" s="1627"/>
      <c r="Q568" s="1627"/>
      <c r="R568" s="1627"/>
      <c r="S568" s="1627"/>
      <c r="T568" s="1627"/>
      <c r="U568" s="1789"/>
      <c r="V568" s="1781" t="s">
        <v>1602</v>
      </c>
      <c r="W568" s="1782" t="s">
        <v>1306</v>
      </c>
      <c r="X568" s="1639" t="s">
        <v>1599</v>
      </c>
      <c r="Y568" s="1633" t="s">
        <v>1306</v>
      </c>
      <c r="Z568" s="1640" t="s">
        <v>1547</v>
      </c>
      <c r="AA568" s="1790"/>
      <c r="AB568" s="1791"/>
      <c r="AD568" s="1792"/>
      <c r="AG568" s="1637" t="str">
        <f t="shared" si="109"/>
        <v>階別用途別床面積-5-1階</v>
      </c>
      <c r="AI568" s="1636"/>
      <c r="AJ568" s="1636"/>
      <c r="AK568" s="1636"/>
    </row>
    <row r="569" spans="1:41" s="1637" customFormat="1" ht="18.75" customHeight="1" x14ac:dyDescent="0.15">
      <c r="A569" s="1627"/>
      <c r="B569" s="1627"/>
      <c r="C569" s="1627"/>
      <c r="D569" s="1626">
        <f>'2_入力シート【用途面積】'!$O24</f>
        <v>0</v>
      </c>
      <c r="E569" s="1672">
        <f t="shared" si="110"/>
        <v>0</v>
      </c>
      <c r="F569" s="1672" t="str">
        <f t="shared" si="111"/>
        <v>0</v>
      </c>
      <c r="G569" s="1672" t="str">
        <f t="shared" si="112"/>
        <v>0</v>
      </c>
      <c r="H569" s="1628"/>
      <c r="I569" s="1627"/>
      <c r="J569" s="1627"/>
      <c r="K569" s="1627"/>
      <c r="L569" s="1627"/>
      <c r="M569" s="1629"/>
      <c r="N569" s="1627"/>
      <c r="O569" s="1627"/>
      <c r="P569" s="1627"/>
      <c r="Q569" s="1627"/>
      <c r="R569" s="1627"/>
      <c r="S569" s="1627"/>
      <c r="T569" s="1627"/>
      <c r="U569" s="1789"/>
      <c r="V569" s="1781" t="s">
        <v>1602</v>
      </c>
      <c r="W569" s="1782" t="s">
        <v>1306</v>
      </c>
      <c r="X569" s="1639" t="s">
        <v>1599</v>
      </c>
      <c r="Y569" s="1633" t="s">
        <v>1306</v>
      </c>
      <c r="Z569" s="1640" t="s">
        <v>1548</v>
      </c>
      <c r="AA569" s="1790"/>
      <c r="AB569" s="1791"/>
      <c r="AD569" s="1792"/>
      <c r="AG569" s="1637" t="str">
        <f t="shared" si="109"/>
        <v>階別用途別床面積-5-2階</v>
      </c>
      <c r="AI569" s="1636"/>
      <c r="AJ569" s="1636"/>
      <c r="AK569" s="1636"/>
    </row>
    <row r="570" spans="1:41" s="1637" customFormat="1" ht="18.75" customHeight="1" x14ac:dyDescent="0.15">
      <c r="A570" s="1627"/>
      <c r="B570" s="1627"/>
      <c r="C570" s="1627"/>
      <c r="D570" s="1626">
        <f>'2_入力シート【用途面積】'!$O25</f>
        <v>0</v>
      </c>
      <c r="E570" s="1672">
        <f t="shared" si="110"/>
        <v>0</v>
      </c>
      <c r="F570" s="1672" t="str">
        <f t="shared" si="111"/>
        <v>0</v>
      </c>
      <c r="G570" s="1672" t="str">
        <f t="shared" si="112"/>
        <v>0</v>
      </c>
      <c r="H570" s="1628"/>
      <c r="I570" s="1627"/>
      <c r="J570" s="1627"/>
      <c r="K570" s="1627"/>
      <c r="L570" s="1627"/>
      <c r="M570" s="1629"/>
      <c r="N570" s="1627"/>
      <c r="O570" s="1627"/>
      <c r="P570" s="1627"/>
      <c r="Q570" s="1627"/>
      <c r="R570" s="1627"/>
      <c r="S570" s="1627"/>
      <c r="T570" s="1627"/>
      <c r="U570" s="1789"/>
      <c r="V570" s="1781" t="s">
        <v>1602</v>
      </c>
      <c r="W570" s="1782" t="s">
        <v>1306</v>
      </c>
      <c r="X570" s="1639" t="s">
        <v>1599</v>
      </c>
      <c r="Y570" s="1633" t="s">
        <v>1306</v>
      </c>
      <c r="Z570" s="1640" t="s">
        <v>1549</v>
      </c>
      <c r="AA570" s="1790"/>
      <c r="AB570" s="1791"/>
      <c r="AD570" s="1792"/>
      <c r="AG570" s="1637" t="str">
        <f t="shared" si="109"/>
        <v>階別用途別床面積-5-3階</v>
      </c>
      <c r="AI570" s="1636"/>
      <c r="AJ570" s="1636"/>
      <c r="AK570" s="1636"/>
    </row>
    <row r="571" spans="1:41" s="1637" customFormat="1" ht="18.75" customHeight="1" x14ac:dyDescent="0.15">
      <c r="A571" s="1627"/>
      <c r="B571" s="1627"/>
      <c r="C571" s="1627"/>
      <c r="D571" s="1626">
        <f>'2_入力シート【用途面積】'!$O26</f>
        <v>0</v>
      </c>
      <c r="E571" s="1672">
        <f t="shared" si="110"/>
        <v>0</v>
      </c>
      <c r="F571" s="1672" t="str">
        <f t="shared" si="111"/>
        <v>0</v>
      </c>
      <c r="G571" s="1672" t="str">
        <f t="shared" si="112"/>
        <v>0</v>
      </c>
      <c r="H571" s="1628"/>
      <c r="I571" s="1627"/>
      <c r="J571" s="1627"/>
      <c r="K571" s="1627"/>
      <c r="L571" s="1627"/>
      <c r="M571" s="1629"/>
      <c r="N571" s="1627"/>
      <c r="O571" s="1627"/>
      <c r="P571" s="1627"/>
      <c r="Q571" s="1627"/>
      <c r="R571" s="1627"/>
      <c r="S571" s="1627"/>
      <c r="T571" s="1627"/>
      <c r="U571" s="1789"/>
      <c r="V571" s="1781" t="s">
        <v>1602</v>
      </c>
      <c r="W571" s="1782" t="s">
        <v>1306</v>
      </c>
      <c r="X571" s="1639" t="s">
        <v>1599</v>
      </c>
      <c r="Y571" s="1633" t="s">
        <v>1306</v>
      </c>
      <c r="Z571" s="1640" t="s">
        <v>1550</v>
      </c>
      <c r="AA571" s="1790"/>
      <c r="AB571" s="1791"/>
      <c r="AD571" s="1792"/>
      <c r="AG571" s="1637" t="str">
        <f t="shared" si="109"/>
        <v>階別用途別床面積-5-4階</v>
      </c>
      <c r="AI571" s="1636"/>
      <c r="AJ571" s="1636"/>
      <c r="AK571" s="1636"/>
    </row>
    <row r="572" spans="1:41" s="1637" customFormat="1" ht="18.75" customHeight="1" x14ac:dyDescent="0.15">
      <c r="A572" s="1627"/>
      <c r="B572" s="1627"/>
      <c r="C572" s="1627"/>
      <c r="D572" s="1626">
        <f>'2_入力シート【用途面積】'!$O27</f>
        <v>0</v>
      </c>
      <c r="E572" s="1672">
        <f t="shared" si="110"/>
        <v>0</v>
      </c>
      <c r="F572" s="1672" t="str">
        <f t="shared" si="111"/>
        <v>0</v>
      </c>
      <c r="G572" s="1672" t="str">
        <f t="shared" si="112"/>
        <v>0</v>
      </c>
      <c r="H572" s="1628"/>
      <c r="I572" s="1627"/>
      <c r="J572" s="1627"/>
      <c r="K572" s="1627"/>
      <c r="L572" s="1627"/>
      <c r="M572" s="1629"/>
      <c r="N572" s="1627"/>
      <c r="O572" s="1627"/>
      <c r="P572" s="1627"/>
      <c r="Q572" s="1627"/>
      <c r="R572" s="1627"/>
      <c r="S572" s="1627"/>
      <c r="T572" s="1627"/>
      <c r="U572" s="1789"/>
      <c r="V572" s="1781" t="s">
        <v>1602</v>
      </c>
      <c r="W572" s="1782" t="s">
        <v>1306</v>
      </c>
      <c r="X572" s="1639" t="s">
        <v>1599</v>
      </c>
      <c r="Y572" s="1633" t="s">
        <v>1306</v>
      </c>
      <c r="Z572" s="1640" t="s">
        <v>1551</v>
      </c>
      <c r="AA572" s="1790"/>
      <c r="AB572" s="1791"/>
      <c r="AD572" s="1792"/>
      <c r="AG572" s="1637" t="str">
        <f t="shared" si="109"/>
        <v>階別用途別床面積-5-5階</v>
      </c>
      <c r="AI572" s="1636"/>
      <c r="AJ572" s="1636"/>
      <c r="AK572" s="1636"/>
    </row>
    <row r="573" spans="1:41" s="1637" customFormat="1" ht="18.75" customHeight="1" x14ac:dyDescent="0.15">
      <c r="A573" s="1627"/>
      <c r="B573" s="1627"/>
      <c r="C573" s="1627"/>
      <c r="D573" s="1626">
        <f>'2_入力シート【用途面積】'!$O28</f>
        <v>0</v>
      </c>
      <c r="E573" s="1672">
        <f t="shared" si="110"/>
        <v>0</v>
      </c>
      <c r="F573" s="1672" t="str">
        <f t="shared" si="111"/>
        <v>0</v>
      </c>
      <c r="G573" s="1672" t="str">
        <f t="shared" si="112"/>
        <v>0</v>
      </c>
      <c r="H573" s="1628"/>
      <c r="I573" s="1627"/>
      <c r="J573" s="1627"/>
      <c r="K573" s="1627"/>
      <c r="L573" s="1627"/>
      <c r="M573" s="1629"/>
      <c r="N573" s="1627"/>
      <c r="O573" s="1627"/>
      <c r="P573" s="1627"/>
      <c r="Q573" s="1627"/>
      <c r="R573" s="1627"/>
      <c r="S573" s="1627"/>
      <c r="T573" s="1627"/>
      <c r="U573" s="1789"/>
      <c r="V573" s="1781" t="s">
        <v>1602</v>
      </c>
      <c r="W573" s="1782" t="s">
        <v>1306</v>
      </c>
      <c r="X573" s="1639" t="s">
        <v>1599</v>
      </c>
      <c r="Y573" s="1633" t="s">
        <v>1306</v>
      </c>
      <c r="Z573" s="1640" t="s">
        <v>1552</v>
      </c>
      <c r="AA573" s="1790"/>
      <c r="AB573" s="1791"/>
      <c r="AD573" s="1792"/>
      <c r="AG573" s="1637" t="str">
        <f t="shared" si="109"/>
        <v>階別用途別床面積-5-6階</v>
      </c>
      <c r="AI573" s="1636"/>
      <c r="AJ573" s="1636"/>
      <c r="AK573" s="1636"/>
    </row>
    <row r="574" spans="1:41" s="1637" customFormat="1" ht="18.75" customHeight="1" x14ac:dyDescent="0.15">
      <c r="A574" s="1627"/>
      <c r="B574" s="1627"/>
      <c r="C574" s="1627"/>
      <c r="D574" s="1626">
        <f>'2_入力シート【用途面積】'!$O29</f>
        <v>0</v>
      </c>
      <c r="E574" s="1672">
        <f t="shared" si="110"/>
        <v>0</v>
      </c>
      <c r="F574" s="1672" t="str">
        <f t="shared" si="111"/>
        <v>0</v>
      </c>
      <c r="G574" s="1672" t="str">
        <f t="shared" si="112"/>
        <v>0</v>
      </c>
      <c r="H574" s="1628"/>
      <c r="I574" s="1627"/>
      <c r="J574" s="1627"/>
      <c r="K574" s="1627"/>
      <c r="L574" s="1627"/>
      <c r="M574" s="1629"/>
      <c r="N574" s="1627"/>
      <c r="O574" s="1627"/>
      <c r="P574" s="1627"/>
      <c r="Q574" s="1627"/>
      <c r="R574" s="1627"/>
      <c r="S574" s="1627"/>
      <c r="T574" s="1627"/>
      <c r="U574" s="1789"/>
      <c r="V574" s="1781" t="s">
        <v>1602</v>
      </c>
      <c r="W574" s="1782" t="s">
        <v>1306</v>
      </c>
      <c r="X574" s="1639" t="s">
        <v>1599</v>
      </c>
      <c r="Y574" s="1633" t="s">
        <v>1306</v>
      </c>
      <c r="Z574" s="1640" t="s">
        <v>1553</v>
      </c>
      <c r="AA574" s="1790"/>
      <c r="AB574" s="1791"/>
      <c r="AD574" s="1792"/>
      <c r="AG574" s="1637" t="str">
        <f t="shared" si="109"/>
        <v>階別用途別床面積-5-7階</v>
      </c>
      <c r="AI574" s="1636"/>
      <c r="AJ574" s="1636"/>
      <c r="AK574" s="1636"/>
    </row>
    <row r="575" spans="1:41" s="1637" customFormat="1" ht="18.75" customHeight="1" x14ac:dyDescent="0.15">
      <c r="A575" s="1627"/>
      <c r="B575" s="1627"/>
      <c r="C575" s="1627"/>
      <c r="D575" s="1626">
        <f>'2_入力シート【用途面積】'!$O30</f>
        <v>0</v>
      </c>
      <c r="E575" s="1672">
        <f t="shared" si="110"/>
        <v>0</v>
      </c>
      <c r="F575" s="1672" t="str">
        <f t="shared" si="111"/>
        <v>0</v>
      </c>
      <c r="G575" s="1672" t="str">
        <f t="shared" si="112"/>
        <v>0</v>
      </c>
      <c r="H575" s="1628"/>
      <c r="I575" s="1627"/>
      <c r="J575" s="1627"/>
      <c r="K575" s="1627"/>
      <c r="L575" s="1627"/>
      <c r="M575" s="1629"/>
      <c r="N575" s="1627"/>
      <c r="O575" s="1627"/>
      <c r="P575" s="1627"/>
      <c r="Q575" s="1627"/>
      <c r="R575" s="1627"/>
      <c r="S575" s="1627"/>
      <c r="T575" s="1627"/>
      <c r="U575" s="1789"/>
      <c r="V575" s="1781" t="s">
        <v>1602</v>
      </c>
      <c r="W575" s="1782" t="s">
        <v>1306</v>
      </c>
      <c r="X575" s="1639" t="s">
        <v>1599</v>
      </c>
      <c r="Y575" s="1633" t="s">
        <v>1306</v>
      </c>
      <c r="Z575" s="1640" t="s">
        <v>1554</v>
      </c>
      <c r="AA575" s="1790"/>
      <c r="AB575" s="1791"/>
      <c r="AD575" s="1792"/>
      <c r="AG575" s="1637" t="str">
        <f t="shared" si="109"/>
        <v>階別用途別床面積-5-8階</v>
      </c>
      <c r="AI575" s="1636"/>
      <c r="AJ575" s="1636"/>
      <c r="AK575" s="1636"/>
    </row>
    <row r="576" spans="1:41" s="1637" customFormat="1" ht="18.75" customHeight="1" x14ac:dyDescent="0.15">
      <c r="A576" s="1627"/>
      <c r="B576" s="1627"/>
      <c r="C576" s="1627"/>
      <c r="D576" s="1626">
        <f>'2_入力シート【用途面積】'!$O31</f>
        <v>0</v>
      </c>
      <c r="E576" s="1672">
        <f t="shared" si="110"/>
        <v>0</v>
      </c>
      <c r="F576" s="1672" t="str">
        <f t="shared" si="111"/>
        <v>0</v>
      </c>
      <c r="G576" s="1672" t="str">
        <f t="shared" si="112"/>
        <v>0</v>
      </c>
      <c r="H576" s="1628"/>
      <c r="I576" s="1627"/>
      <c r="J576" s="1627"/>
      <c r="K576" s="1627"/>
      <c r="L576" s="1627"/>
      <c r="M576" s="1629"/>
      <c r="N576" s="1627"/>
      <c r="O576" s="1627"/>
      <c r="P576" s="1627"/>
      <c r="Q576" s="1627"/>
      <c r="R576" s="1627"/>
      <c r="S576" s="1627"/>
      <c r="T576" s="1627"/>
      <c r="U576" s="1789"/>
      <c r="V576" s="1781" t="s">
        <v>1602</v>
      </c>
      <c r="W576" s="1782" t="s">
        <v>1306</v>
      </c>
      <c r="X576" s="1639" t="s">
        <v>1599</v>
      </c>
      <c r="Y576" s="1633" t="s">
        <v>1306</v>
      </c>
      <c r="Z576" s="1640" t="s">
        <v>1555</v>
      </c>
      <c r="AA576" s="1790"/>
      <c r="AB576" s="1791"/>
      <c r="AD576" s="1792"/>
      <c r="AG576" s="1637" t="str">
        <f t="shared" si="109"/>
        <v>階別用途別床面積-5-9階</v>
      </c>
      <c r="AI576" s="1636"/>
      <c r="AJ576" s="1636"/>
      <c r="AK576" s="1636"/>
    </row>
    <row r="577" spans="1:37" s="1637" customFormat="1" ht="18.75" customHeight="1" x14ac:dyDescent="0.15">
      <c r="A577" s="1627"/>
      <c r="B577" s="1627"/>
      <c r="C577" s="1627"/>
      <c r="D577" s="1626">
        <f>'2_入力シート【用途面積】'!$O32</f>
        <v>0</v>
      </c>
      <c r="E577" s="1672">
        <f t="shared" si="110"/>
        <v>0</v>
      </c>
      <c r="F577" s="1672" t="str">
        <f t="shared" si="111"/>
        <v>0</v>
      </c>
      <c r="G577" s="1672" t="str">
        <f t="shared" si="112"/>
        <v>0</v>
      </c>
      <c r="H577" s="1628"/>
      <c r="I577" s="1627"/>
      <c r="J577" s="1627"/>
      <c r="K577" s="1627"/>
      <c r="L577" s="1627"/>
      <c r="M577" s="1629"/>
      <c r="N577" s="1627"/>
      <c r="O577" s="1627"/>
      <c r="P577" s="1627"/>
      <c r="Q577" s="1627"/>
      <c r="R577" s="1627"/>
      <c r="S577" s="1627"/>
      <c r="T577" s="1627"/>
      <c r="U577" s="1789"/>
      <c r="V577" s="1781" t="s">
        <v>1602</v>
      </c>
      <c r="W577" s="1782" t="s">
        <v>1306</v>
      </c>
      <c r="X577" s="1639" t="s">
        <v>1599</v>
      </c>
      <c r="Y577" s="1633" t="s">
        <v>1306</v>
      </c>
      <c r="Z577" s="1640" t="s">
        <v>1556</v>
      </c>
      <c r="AA577" s="1790"/>
      <c r="AB577" s="1791"/>
      <c r="AD577" s="1792"/>
      <c r="AG577" s="1637" t="str">
        <f t="shared" si="109"/>
        <v>階別用途別床面積-5-10階</v>
      </c>
      <c r="AI577" s="1636"/>
      <c r="AJ577" s="1636"/>
      <c r="AK577" s="1636"/>
    </row>
    <row r="578" spans="1:37" s="1637" customFormat="1" ht="18.75" customHeight="1" x14ac:dyDescent="0.15">
      <c r="A578" s="1627"/>
      <c r="B578" s="1627"/>
      <c r="C578" s="1627"/>
      <c r="D578" s="1626">
        <f>'2_入力シート【用途面積】'!$O33</f>
        <v>0</v>
      </c>
      <c r="E578" s="1672">
        <f t="shared" si="110"/>
        <v>0</v>
      </c>
      <c r="F578" s="1672" t="str">
        <f t="shared" si="111"/>
        <v>0</v>
      </c>
      <c r="G578" s="1672" t="str">
        <f t="shared" si="112"/>
        <v>0</v>
      </c>
      <c r="H578" s="1628"/>
      <c r="I578" s="1627"/>
      <c r="J578" s="1627"/>
      <c r="K578" s="1627"/>
      <c r="L578" s="1627"/>
      <c r="M578" s="1629"/>
      <c r="N578" s="1627"/>
      <c r="O578" s="1627"/>
      <c r="P578" s="1627"/>
      <c r="Q578" s="1627"/>
      <c r="R578" s="1627"/>
      <c r="S578" s="1627"/>
      <c r="T578" s="1627"/>
      <c r="U578" s="1789"/>
      <c r="V578" s="1781" t="s">
        <v>1602</v>
      </c>
      <c r="W578" s="1782" t="s">
        <v>1306</v>
      </c>
      <c r="X578" s="1639" t="s">
        <v>1599</v>
      </c>
      <c r="Y578" s="1633" t="s">
        <v>1306</v>
      </c>
      <c r="Z578" s="1640" t="s">
        <v>1557</v>
      </c>
      <c r="AA578" s="1790"/>
      <c r="AB578" s="1791"/>
      <c r="AD578" s="1792"/>
      <c r="AG578" s="1637" t="str">
        <f t="shared" si="109"/>
        <v>階別用途別床面積-5-11階</v>
      </c>
      <c r="AI578" s="1636"/>
      <c r="AJ578" s="1636"/>
      <c r="AK578" s="1636"/>
    </row>
    <row r="579" spans="1:37" s="1637" customFormat="1" ht="18.75" customHeight="1" x14ac:dyDescent="0.15">
      <c r="A579" s="1627"/>
      <c r="B579" s="1627"/>
      <c r="C579" s="1627"/>
      <c r="D579" s="1626">
        <f>'2_入力シート【用途面積】'!$O34</f>
        <v>0</v>
      </c>
      <c r="E579" s="1672">
        <f t="shared" si="110"/>
        <v>0</v>
      </c>
      <c r="F579" s="1672" t="str">
        <f t="shared" si="111"/>
        <v>0</v>
      </c>
      <c r="G579" s="1672" t="str">
        <f t="shared" si="112"/>
        <v>0</v>
      </c>
      <c r="H579" s="1628"/>
      <c r="I579" s="1627"/>
      <c r="J579" s="1627"/>
      <c r="K579" s="1627"/>
      <c r="L579" s="1627"/>
      <c r="M579" s="1629"/>
      <c r="N579" s="1627"/>
      <c r="O579" s="1627"/>
      <c r="P579" s="1627"/>
      <c r="Q579" s="1627"/>
      <c r="R579" s="1627"/>
      <c r="S579" s="1627"/>
      <c r="T579" s="1627"/>
      <c r="U579" s="1789"/>
      <c r="V579" s="1781" t="s">
        <v>1602</v>
      </c>
      <c r="W579" s="1782" t="s">
        <v>1306</v>
      </c>
      <c r="X579" s="1639" t="s">
        <v>1599</v>
      </c>
      <c r="Y579" s="1633" t="s">
        <v>1306</v>
      </c>
      <c r="Z579" s="1640" t="s">
        <v>1558</v>
      </c>
      <c r="AA579" s="1790"/>
      <c r="AB579" s="1791"/>
      <c r="AD579" s="1792"/>
      <c r="AG579" s="1637" t="str">
        <f t="shared" si="109"/>
        <v>階別用途別床面積-5-12階</v>
      </c>
      <c r="AI579" s="1636"/>
      <c r="AJ579" s="1636"/>
      <c r="AK579" s="1636"/>
    </row>
    <row r="580" spans="1:37" s="1637" customFormat="1" ht="18.75" customHeight="1" x14ac:dyDescent="0.15">
      <c r="A580" s="1627"/>
      <c r="B580" s="1627"/>
      <c r="C580" s="1627"/>
      <c r="D580" s="1626">
        <f>'2_入力シート【用途面積】'!$O35</f>
        <v>0</v>
      </c>
      <c r="E580" s="1672">
        <f t="shared" si="110"/>
        <v>0</v>
      </c>
      <c r="F580" s="1672" t="str">
        <f t="shared" si="111"/>
        <v>0</v>
      </c>
      <c r="G580" s="1672" t="str">
        <f t="shared" si="112"/>
        <v>0</v>
      </c>
      <c r="H580" s="1628"/>
      <c r="I580" s="1627"/>
      <c r="J580" s="1627"/>
      <c r="K580" s="1627"/>
      <c r="L580" s="1627"/>
      <c r="M580" s="1629"/>
      <c r="N580" s="1627"/>
      <c r="O580" s="1627"/>
      <c r="P580" s="1627"/>
      <c r="Q580" s="1627"/>
      <c r="R580" s="1627"/>
      <c r="S580" s="1627"/>
      <c r="T580" s="1627"/>
      <c r="U580" s="1789"/>
      <c r="V580" s="1781" t="s">
        <v>1602</v>
      </c>
      <c r="W580" s="1782" t="s">
        <v>1306</v>
      </c>
      <c r="X580" s="1639" t="s">
        <v>1599</v>
      </c>
      <c r="Y580" s="1633" t="s">
        <v>1306</v>
      </c>
      <c r="Z580" s="1640" t="s">
        <v>1559</v>
      </c>
      <c r="AA580" s="1790"/>
      <c r="AB580" s="1791"/>
      <c r="AD580" s="1792"/>
      <c r="AG580" s="1637" t="str">
        <f t="shared" si="109"/>
        <v>階別用途別床面積-5-13階</v>
      </c>
      <c r="AI580" s="1636"/>
      <c r="AJ580" s="1636"/>
      <c r="AK580" s="1636"/>
    </row>
    <row r="581" spans="1:37" s="1637" customFormat="1" ht="18.75" customHeight="1" x14ac:dyDescent="0.15">
      <c r="A581" s="1627"/>
      <c r="B581" s="1627"/>
      <c r="C581" s="1627"/>
      <c r="D581" s="1626">
        <f>'2_入力シート【用途面積】'!$O36</f>
        <v>0</v>
      </c>
      <c r="E581" s="1672">
        <f t="shared" si="110"/>
        <v>0</v>
      </c>
      <c r="F581" s="1672" t="str">
        <f t="shared" si="111"/>
        <v>0</v>
      </c>
      <c r="G581" s="1672" t="str">
        <f t="shared" si="112"/>
        <v>0</v>
      </c>
      <c r="H581" s="1628"/>
      <c r="I581" s="1627"/>
      <c r="J581" s="1627"/>
      <c r="K581" s="1627"/>
      <c r="L581" s="1627"/>
      <c r="M581" s="1629"/>
      <c r="N581" s="1627"/>
      <c r="O581" s="1627"/>
      <c r="P581" s="1627"/>
      <c r="Q581" s="1627"/>
      <c r="R581" s="1627"/>
      <c r="S581" s="1627"/>
      <c r="T581" s="1627"/>
      <c r="U581" s="1789"/>
      <c r="V581" s="1781" t="s">
        <v>1602</v>
      </c>
      <c r="W581" s="1782" t="s">
        <v>1306</v>
      </c>
      <c r="X581" s="1639" t="s">
        <v>1599</v>
      </c>
      <c r="Y581" s="1633" t="s">
        <v>1306</v>
      </c>
      <c r="Z581" s="1640" t="s">
        <v>1560</v>
      </c>
      <c r="AA581" s="1790"/>
      <c r="AB581" s="1791"/>
      <c r="AD581" s="1792"/>
      <c r="AG581" s="1637" t="str">
        <f t="shared" si="109"/>
        <v>階別用途別床面積-5-14階</v>
      </c>
      <c r="AI581" s="1636"/>
      <c r="AJ581" s="1636"/>
      <c r="AK581" s="1636"/>
    </row>
    <row r="582" spans="1:37" s="1637" customFormat="1" ht="18.75" customHeight="1" x14ac:dyDescent="0.15">
      <c r="A582" s="1627"/>
      <c r="B582" s="1627"/>
      <c r="C582" s="1627"/>
      <c r="D582" s="1626">
        <f>'2_入力シート【用途面積】'!$O37</f>
        <v>0</v>
      </c>
      <c r="E582" s="1672">
        <f t="shared" si="110"/>
        <v>0</v>
      </c>
      <c r="F582" s="1672" t="str">
        <f t="shared" si="111"/>
        <v>0</v>
      </c>
      <c r="G582" s="1672" t="str">
        <f t="shared" si="112"/>
        <v>0</v>
      </c>
      <c r="H582" s="1628"/>
      <c r="I582" s="1627"/>
      <c r="J582" s="1627"/>
      <c r="K582" s="1627"/>
      <c r="L582" s="1627"/>
      <c r="M582" s="1629"/>
      <c r="N582" s="1627"/>
      <c r="O582" s="1627"/>
      <c r="P582" s="1627"/>
      <c r="Q582" s="1627"/>
      <c r="R582" s="1627"/>
      <c r="S582" s="1627"/>
      <c r="T582" s="1627"/>
      <c r="U582" s="1789"/>
      <c r="V582" s="1781" t="s">
        <v>1602</v>
      </c>
      <c r="W582" s="1782" t="s">
        <v>1306</v>
      </c>
      <c r="X582" s="1639" t="s">
        <v>1599</v>
      </c>
      <c r="Y582" s="1633" t="s">
        <v>1306</v>
      </c>
      <c r="Z582" s="1640" t="s">
        <v>1561</v>
      </c>
      <c r="AA582" s="1790"/>
      <c r="AB582" s="1791"/>
      <c r="AD582" s="1792"/>
      <c r="AG582" s="1637" t="str">
        <f t="shared" si="109"/>
        <v>階別用途別床面積-5-15階</v>
      </c>
      <c r="AI582" s="1636"/>
      <c r="AJ582" s="1636"/>
      <c r="AK582" s="1636"/>
    </row>
    <row r="583" spans="1:37" s="1637" customFormat="1" ht="18.75" customHeight="1" x14ac:dyDescent="0.15">
      <c r="A583" s="1627"/>
      <c r="B583" s="1627"/>
      <c r="C583" s="1627"/>
      <c r="D583" s="1626">
        <f>'2_入力シート【用途面積】'!$O38</f>
        <v>0</v>
      </c>
      <c r="E583" s="1672">
        <f t="shared" si="110"/>
        <v>0</v>
      </c>
      <c r="F583" s="1672" t="str">
        <f t="shared" si="111"/>
        <v>0</v>
      </c>
      <c r="G583" s="1672" t="str">
        <f t="shared" si="112"/>
        <v>0</v>
      </c>
      <c r="H583" s="1628"/>
      <c r="I583" s="1627"/>
      <c r="J583" s="1627"/>
      <c r="K583" s="1627"/>
      <c r="L583" s="1627"/>
      <c r="M583" s="1629"/>
      <c r="N583" s="1627"/>
      <c r="O583" s="1627"/>
      <c r="P583" s="1627"/>
      <c r="Q583" s="1627"/>
      <c r="R583" s="1627"/>
      <c r="S583" s="1627"/>
      <c r="T583" s="1627"/>
      <c r="U583" s="1789"/>
      <c r="V583" s="1781" t="s">
        <v>1602</v>
      </c>
      <c r="W583" s="1782" t="s">
        <v>1306</v>
      </c>
      <c r="X583" s="1639" t="s">
        <v>1599</v>
      </c>
      <c r="Y583" s="1633" t="s">
        <v>1306</v>
      </c>
      <c r="Z583" s="1640" t="s">
        <v>1562</v>
      </c>
      <c r="AA583" s="1790"/>
      <c r="AB583" s="1791"/>
      <c r="AD583" s="1792"/>
      <c r="AG583" s="1637" t="str">
        <f t="shared" si="109"/>
        <v>階別用途別床面積-5-16階</v>
      </c>
      <c r="AI583" s="1636"/>
      <c r="AJ583" s="1636"/>
      <c r="AK583" s="1636"/>
    </row>
    <row r="584" spans="1:37" s="1637" customFormat="1" ht="18.75" customHeight="1" x14ac:dyDescent="0.15">
      <c r="A584" s="1627"/>
      <c r="B584" s="1627"/>
      <c r="C584" s="1627"/>
      <c r="D584" s="1626">
        <f>'2_入力シート【用途面積】'!$O39</f>
        <v>0</v>
      </c>
      <c r="E584" s="1672">
        <f t="shared" si="110"/>
        <v>0</v>
      </c>
      <c r="F584" s="1672" t="str">
        <f t="shared" si="111"/>
        <v>0</v>
      </c>
      <c r="G584" s="1672" t="str">
        <f t="shared" si="112"/>
        <v>0</v>
      </c>
      <c r="H584" s="1628"/>
      <c r="I584" s="1627"/>
      <c r="J584" s="1627"/>
      <c r="K584" s="1627"/>
      <c r="L584" s="1627"/>
      <c r="M584" s="1629"/>
      <c r="N584" s="1627"/>
      <c r="O584" s="1627"/>
      <c r="P584" s="1627"/>
      <c r="Q584" s="1627"/>
      <c r="R584" s="1627"/>
      <c r="S584" s="1627"/>
      <c r="T584" s="1627"/>
      <c r="U584" s="1789"/>
      <c r="V584" s="1781" t="s">
        <v>1602</v>
      </c>
      <c r="W584" s="1782" t="s">
        <v>1306</v>
      </c>
      <c r="X584" s="1639" t="s">
        <v>1599</v>
      </c>
      <c r="Y584" s="1633" t="s">
        <v>1306</v>
      </c>
      <c r="Z584" s="1640" t="s">
        <v>1563</v>
      </c>
      <c r="AA584" s="1790"/>
      <c r="AB584" s="1791"/>
      <c r="AD584" s="1792"/>
      <c r="AG584" s="1637" t="str">
        <f t="shared" si="109"/>
        <v>階別用途別床面積-5-17階</v>
      </c>
      <c r="AI584" s="1636"/>
      <c r="AJ584" s="1636"/>
      <c r="AK584" s="1636"/>
    </row>
    <row r="585" spans="1:37" s="1637" customFormat="1" ht="18.75" customHeight="1" x14ac:dyDescent="0.15">
      <c r="A585" s="1627"/>
      <c r="B585" s="1627"/>
      <c r="C585" s="1627"/>
      <c r="D585" s="1626">
        <f>'2_入力シート【用途面積】'!$O40</f>
        <v>0</v>
      </c>
      <c r="E585" s="1672">
        <f t="shared" si="110"/>
        <v>0</v>
      </c>
      <c r="F585" s="1672" t="str">
        <f t="shared" si="111"/>
        <v>0</v>
      </c>
      <c r="G585" s="1672" t="str">
        <f t="shared" si="112"/>
        <v>0</v>
      </c>
      <c r="H585" s="1628"/>
      <c r="I585" s="1627"/>
      <c r="J585" s="1627"/>
      <c r="K585" s="1627"/>
      <c r="L585" s="1627"/>
      <c r="M585" s="1629"/>
      <c r="N585" s="1627"/>
      <c r="O585" s="1627"/>
      <c r="P585" s="1627"/>
      <c r="Q585" s="1627"/>
      <c r="R585" s="1627"/>
      <c r="S585" s="1627"/>
      <c r="T585" s="1627"/>
      <c r="U585" s="1789"/>
      <c r="V585" s="1781" t="s">
        <v>1602</v>
      </c>
      <c r="W585" s="1782" t="s">
        <v>1306</v>
      </c>
      <c r="X585" s="1639" t="s">
        <v>1599</v>
      </c>
      <c r="Y585" s="1633" t="s">
        <v>1306</v>
      </c>
      <c r="Z585" s="1640" t="s">
        <v>1564</v>
      </c>
      <c r="AA585" s="1790"/>
      <c r="AB585" s="1791"/>
      <c r="AD585" s="1792"/>
      <c r="AG585" s="1637" t="str">
        <f t="shared" si="109"/>
        <v>階別用途別床面積-5-18階</v>
      </c>
      <c r="AI585" s="1636"/>
      <c r="AJ585" s="1636"/>
      <c r="AK585" s="1636"/>
    </row>
    <row r="586" spans="1:37" s="1637" customFormat="1" ht="18.75" customHeight="1" x14ac:dyDescent="0.15">
      <c r="A586" s="1627"/>
      <c r="B586" s="1627"/>
      <c r="C586" s="1627"/>
      <c r="D586" s="1626">
        <f>'2_入力シート【用途面積】'!$O41</f>
        <v>0</v>
      </c>
      <c r="E586" s="1672">
        <f t="shared" si="110"/>
        <v>0</v>
      </c>
      <c r="F586" s="1672" t="str">
        <f t="shared" si="111"/>
        <v>0</v>
      </c>
      <c r="G586" s="1672" t="str">
        <f t="shared" si="112"/>
        <v>0</v>
      </c>
      <c r="H586" s="1628"/>
      <c r="I586" s="1627"/>
      <c r="J586" s="1627"/>
      <c r="K586" s="1627"/>
      <c r="L586" s="1627"/>
      <c r="M586" s="1629"/>
      <c r="N586" s="1627"/>
      <c r="O586" s="1627"/>
      <c r="P586" s="1627"/>
      <c r="Q586" s="1627"/>
      <c r="R586" s="1627"/>
      <c r="S586" s="1627"/>
      <c r="T586" s="1627"/>
      <c r="U586" s="1789"/>
      <c r="V586" s="1781" t="s">
        <v>1602</v>
      </c>
      <c r="W586" s="1782" t="s">
        <v>1306</v>
      </c>
      <c r="X586" s="1639" t="s">
        <v>1599</v>
      </c>
      <c r="Y586" s="1633" t="s">
        <v>1306</v>
      </c>
      <c r="Z586" s="1640" t="s">
        <v>1565</v>
      </c>
      <c r="AA586" s="1790"/>
      <c r="AB586" s="1791"/>
      <c r="AD586" s="1792"/>
      <c r="AG586" s="1637" t="str">
        <f t="shared" si="109"/>
        <v>階別用途別床面積-5-19階</v>
      </c>
      <c r="AI586" s="1636"/>
      <c r="AJ586" s="1636"/>
      <c r="AK586" s="1636"/>
    </row>
    <row r="587" spans="1:37" s="1637" customFormat="1" ht="18.75" customHeight="1" x14ac:dyDescent="0.15">
      <c r="A587" s="1627"/>
      <c r="B587" s="1627"/>
      <c r="C587" s="1627"/>
      <c r="D587" s="1626">
        <f>'2_入力シート【用途面積】'!$O42</f>
        <v>0</v>
      </c>
      <c r="E587" s="1672">
        <f t="shared" si="110"/>
        <v>0</v>
      </c>
      <c r="F587" s="1672" t="str">
        <f t="shared" si="111"/>
        <v>0</v>
      </c>
      <c r="G587" s="1672" t="str">
        <f t="shared" si="112"/>
        <v>0</v>
      </c>
      <c r="H587" s="1628"/>
      <c r="I587" s="1627"/>
      <c r="J587" s="1627"/>
      <c r="K587" s="1627"/>
      <c r="L587" s="1627"/>
      <c r="M587" s="1629"/>
      <c r="N587" s="1627"/>
      <c r="O587" s="1627"/>
      <c r="P587" s="1627"/>
      <c r="Q587" s="1627"/>
      <c r="R587" s="1627"/>
      <c r="S587" s="1627"/>
      <c r="T587" s="1627"/>
      <c r="U587" s="1789"/>
      <c r="V587" s="1781" t="s">
        <v>1602</v>
      </c>
      <c r="W587" s="1782" t="s">
        <v>1306</v>
      </c>
      <c r="X587" s="1639" t="s">
        <v>1599</v>
      </c>
      <c r="Y587" s="1633" t="s">
        <v>1306</v>
      </c>
      <c r="Z587" s="1640" t="s">
        <v>1566</v>
      </c>
      <c r="AA587" s="1790"/>
      <c r="AB587" s="1791"/>
      <c r="AD587" s="1792"/>
      <c r="AG587" s="1637" t="str">
        <f t="shared" ref="AG587:AG651" si="113">CONCATENATE(U587,V587,W587,X587,Y587,Z587,AA587,AB587,AC587,AD587)</f>
        <v>階別用途別床面積-5-20階</v>
      </c>
      <c r="AI587" s="1636"/>
      <c r="AJ587" s="1636"/>
      <c r="AK587" s="1636"/>
    </row>
    <row r="588" spans="1:37" s="1637" customFormat="1" ht="18.75" customHeight="1" x14ac:dyDescent="0.15">
      <c r="A588" s="1627"/>
      <c r="B588" s="1627"/>
      <c r="C588" s="1627"/>
      <c r="D588" s="1626">
        <f>'2_入力シート【用途面積】'!$O43</f>
        <v>0</v>
      </c>
      <c r="E588" s="1672">
        <f t="shared" si="110"/>
        <v>0</v>
      </c>
      <c r="F588" s="1672" t="str">
        <f t="shared" si="111"/>
        <v>0</v>
      </c>
      <c r="G588" s="1672" t="str">
        <f t="shared" si="112"/>
        <v>0</v>
      </c>
      <c r="H588" s="1628"/>
      <c r="I588" s="1627"/>
      <c r="J588" s="1627"/>
      <c r="K588" s="1627"/>
      <c r="L588" s="1627"/>
      <c r="M588" s="1629"/>
      <c r="N588" s="1627"/>
      <c r="O588" s="1627"/>
      <c r="P588" s="1627"/>
      <c r="Q588" s="1627"/>
      <c r="R588" s="1627"/>
      <c r="S588" s="1627"/>
      <c r="T588" s="1627"/>
      <c r="U588" s="1789"/>
      <c r="V588" s="1781" t="s">
        <v>1602</v>
      </c>
      <c r="W588" s="1782" t="s">
        <v>1306</v>
      </c>
      <c r="X588" s="1639" t="s">
        <v>1599</v>
      </c>
      <c r="Y588" s="1633" t="s">
        <v>1306</v>
      </c>
      <c r="Z588" s="1640" t="s">
        <v>1567</v>
      </c>
      <c r="AA588" s="1790"/>
      <c r="AB588" s="1791"/>
      <c r="AD588" s="1792"/>
      <c r="AG588" s="1637" t="str">
        <f t="shared" si="113"/>
        <v>階別用途別床面積-5-21階</v>
      </c>
      <c r="AI588" s="1636"/>
      <c r="AJ588" s="1636"/>
      <c r="AK588" s="1636"/>
    </row>
    <row r="589" spans="1:37" s="1637" customFormat="1" ht="18.75" customHeight="1" x14ac:dyDescent="0.15">
      <c r="A589" s="1627"/>
      <c r="B589" s="1627"/>
      <c r="C589" s="1627"/>
      <c r="D589" s="1626">
        <f>'2_入力シート【用途面積】'!$O44</f>
        <v>0</v>
      </c>
      <c r="E589" s="1672">
        <f t="shared" si="110"/>
        <v>0</v>
      </c>
      <c r="F589" s="1672" t="str">
        <f t="shared" si="111"/>
        <v>0</v>
      </c>
      <c r="G589" s="1672" t="str">
        <f t="shared" si="112"/>
        <v>0</v>
      </c>
      <c r="H589" s="1628"/>
      <c r="I589" s="1627"/>
      <c r="J589" s="1627"/>
      <c r="K589" s="1627"/>
      <c r="L589" s="1627"/>
      <c r="M589" s="1629"/>
      <c r="N589" s="1627"/>
      <c r="O589" s="1627"/>
      <c r="P589" s="1627"/>
      <c r="Q589" s="1627"/>
      <c r="R589" s="1627"/>
      <c r="S589" s="1627"/>
      <c r="T589" s="1627"/>
      <c r="U589" s="1789"/>
      <c r="V589" s="1781" t="s">
        <v>1602</v>
      </c>
      <c r="W589" s="1782" t="s">
        <v>1306</v>
      </c>
      <c r="X589" s="1639" t="s">
        <v>1599</v>
      </c>
      <c r="Y589" s="1633" t="s">
        <v>1306</v>
      </c>
      <c r="Z589" s="1640" t="s">
        <v>1568</v>
      </c>
      <c r="AA589" s="1790"/>
      <c r="AB589" s="1791"/>
      <c r="AD589" s="1792"/>
      <c r="AG589" s="1637" t="str">
        <f t="shared" si="113"/>
        <v>階別用途別床面積-5-22階</v>
      </c>
      <c r="AI589" s="1636"/>
      <c r="AJ589" s="1636"/>
      <c r="AK589" s="1636"/>
    </row>
    <row r="590" spans="1:37" s="1637" customFormat="1" ht="18.75" customHeight="1" x14ac:dyDescent="0.15">
      <c r="A590" s="1627"/>
      <c r="B590" s="1627"/>
      <c r="C590" s="1627"/>
      <c r="D590" s="1626">
        <f>'2_入力シート【用途面積】'!$O45</f>
        <v>0</v>
      </c>
      <c r="E590" s="1672">
        <f t="shared" si="110"/>
        <v>0</v>
      </c>
      <c r="F590" s="1672" t="str">
        <f t="shared" si="111"/>
        <v>0</v>
      </c>
      <c r="G590" s="1672" t="str">
        <f t="shared" si="112"/>
        <v>0</v>
      </c>
      <c r="H590" s="1628"/>
      <c r="I590" s="1627"/>
      <c r="J590" s="1627"/>
      <c r="K590" s="1627"/>
      <c r="L590" s="1627"/>
      <c r="M590" s="1629"/>
      <c r="N590" s="1627"/>
      <c r="O590" s="1627"/>
      <c r="P590" s="1627"/>
      <c r="Q590" s="1627"/>
      <c r="R590" s="1627"/>
      <c r="S590" s="1627"/>
      <c r="T590" s="1627"/>
      <c r="U590" s="1789"/>
      <c r="V590" s="1781" t="s">
        <v>1602</v>
      </c>
      <c r="W590" s="1782" t="s">
        <v>1306</v>
      </c>
      <c r="X590" s="1639" t="s">
        <v>1599</v>
      </c>
      <c r="Y590" s="1633" t="s">
        <v>1306</v>
      </c>
      <c r="Z590" s="1640" t="s">
        <v>1569</v>
      </c>
      <c r="AA590" s="1790"/>
      <c r="AB590" s="1791"/>
      <c r="AD590" s="1792"/>
      <c r="AG590" s="1637" t="str">
        <f t="shared" si="113"/>
        <v>階別用途別床面積-5-23階</v>
      </c>
      <c r="AI590" s="1636"/>
      <c r="AJ590" s="1636"/>
      <c r="AK590" s="1636"/>
    </row>
    <row r="591" spans="1:37" s="1637" customFormat="1" ht="18.75" customHeight="1" x14ac:dyDescent="0.15">
      <c r="A591" s="1627"/>
      <c r="B591" s="1627"/>
      <c r="C591" s="1627"/>
      <c r="D591" s="1626">
        <f>'2_入力シート【用途面積】'!$O46</f>
        <v>0</v>
      </c>
      <c r="E591" s="1672">
        <f t="shared" si="110"/>
        <v>0</v>
      </c>
      <c r="F591" s="1672" t="str">
        <f t="shared" si="111"/>
        <v>0</v>
      </c>
      <c r="G591" s="1672" t="str">
        <f t="shared" si="112"/>
        <v>0</v>
      </c>
      <c r="H591" s="1628"/>
      <c r="I591" s="1627"/>
      <c r="J591" s="1627"/>
      <c r="K591" s="1627"/>
      <c r="L591" s="1627"/>
      <c r="M591" s="1629"/>
      <c r="N591" s="1627"/>
      <c r="O591" s="1627"/>
      <c r="P591" s="1627"/>
      <c r="Q591" s="1627"/>
      <c r="R591" s="1627"/>
      <c r="S591" s="1627"/>
      <c r="T591" s="1627"/>
      <c r="U591" s="1789"/>
      <c r="V591" s="1781" t="s">
        <v>1602</v>
      </c>
      <c r="W591" s="1782" t="s">
        <v>1306</v>
      </c>
      <c r="X591" s="1639" t="s">
        <v>1599</v>
      </c>
      <c r="Y591" s="1633" t="s">
        <v>1306</v>
      </c>
      <c r="Z591" s="1640" t="s">
        <v>1570</v>
      </c>
      <c r="AA591" s="1790"/>
      <c r="AB591" s="1791"/>
      <c r="AD591" s="1792"/>
      <c r="AG591" s="1637" t="str">
        <f t="shared" si="113"/>
        <v>階別用途別床面積-5-24階</v>
      </c>
      <c r="AI591" s="1636"/>
      <c r="AJ591" s="1636"/>
      <c r="AK591" s="1636"/>
    </row>
    <row r="592" spans="1:37" s="1637" customFormat="1" ht="18.75" customHeight="1" x14ac:dyDescent="0.15">
      <c r="A592" s="1627"/>
      <c r="B592" s="1627"/>
      <c r="C592" s="1627"/>
      <c r="D592" s="1626">
        <f>'2_入力シート【用途面積】'!$O47</f>
        <v>0</v>
      </c>
      <c r="E592" s="1672">
        <f t="shared" si="110"/>
        <v>0</v>
      </c>
      <c r="F592" s="1672" t="str">
        <f t="shared" si="111"/>
        <v>0</v>
      </c>
      <c r="G592" s="1672" t="str">
        <f t="shared" si="112"/>
        <v>0</v>
      </c>
      <c r="H592" s="1628"/>
      <c r="I592" s="1627"/>
      <c r="J592" s="1627"/>
      <c r="K592" s="1627"/>
      <c r="L592" s="1627"/>
      <c r="M592" s="1629"/>
      <c r="N592" s="1627"/>
      <c r="O592" s="1627"/>
      <c r="P592" s="1627"/>
      <c r="Q592" s="1627"/>
      <c r="R592" s="1627"/>
      <c r="S592" s="1627"/>
      <c r="T592" s="1627"/>
      <c r="U592" s="1789"/>
      <c r="V592" s="1781" t="s">
        <v>1602</v>
      </c>
      <c r="W592" s="1782" t="s">
        <v>1306</v>
      </c>
      <c r="X592" s="1639" t="s">
        <v>1599</v>
      </c>
      <c r="Y592" s="1633" t="s">
        <v>1306</v>
      </c>
      <c r="Z592" s="1640" t="s">
        <v>1571</v>
      </c>
      <c r="AA592" s="1790"/>
      <c r="AB592" s="1791"/>
      <c r="AD592" s="1792"/>
      <c r="AG592" s="1637" t="str">
        <f t="shared" si="113"/>
        <v>階別用途別床面積-5-25階</v>
      </c>
      <c r="AI592" s="1636"/>
      <c r="AJ592" s="1636"/>
      <c r="AK592" s="1636"/>
    </row>
    <row r="593" spans="1:37" s="1637" customFormat="1" ht="18.75" customHeight="1" x14ac:dyDescent="0.15">
      <c r="A593" s="1627"/>
      <c r="B593" s="1627"/>
      <c r="C593" s="1627"/>
      <c r="D593" s="1626">
        <f>'2_入力シート【用途面積】'!$O48</f>
        <v>0</v>
      </c>
      <c r="E593" s="1672">
        <f t="shared" si="110"/>
        <v>0</v>
      </c>
      <c r="F593" s="1672" t="str">
        <f t="shared" si="111"/>
        <v>0</v>
      </c>
      <c r="G593" s="1672" t="str">
        <f t="shared" si="112"/>
        <v>0</v>
      </c>
      <c r="H593" s="1628"/>
      <c r="I593" s="1627"/>
      <c r="J593" s="1627"/>
      <c r="K593" s="1627"/>
      <c r="L593" s="1627"/>
      <c r="M593" s="1629"/>
      <c r="N593" s="1627"/>
      <c r="O593" s="1627"/>
      <c r="P593" s="1627"/>
      <c r="Q593" s="1627"/>
      <c r="R593" s="1627"/>
      <c r="S593" s="1627"/>
      <c r="T593" s="1627"/>
      <c r="U593" s="1789"/>
      <c r="V593" s="1781" t="s">
        <v>1602</v>
      </c>
      <c r="W593" s="1782" t="s">
        <v>1306</v>
      </c>
      <c r="X593" s="1639" t="s">
        <v>1599</v>
      </c>
      <c r="Y593" s="1633" t="s">
        <v>1306</v>
      </c>
      <c r="Z593" s="1640" t="s">
        <v>1572</v>
      </c>
      <c r="AA593" s="1790"/>
      <c r="AB593" s="1791"/>
      <c r="AD593" s="1792"/>
      <c r="AG593" s="1637" t="str">
        <f t="shared" si="113"/>
        <v>階別用途別床面積-5-26階</v>
      </c>
      <c r="AI593" s="1636"/>
      <c r="AJ593" s="1636"/>
      <c r="AK593" s="1636"/>
    </row>
    <row r="594" spans="1:37" s="1637" customFormat="1" ht="18.75" customHeight="1" x14ac:dyDescent="0.15">
      <c r="A594" s="1627"/>
      <c r="B594" s="1627"/>
      <c r="C594" s="1627"/>
      <c r="D594" s="1626">
        <f>'2_入力シート【用途面積】'!$O49</f>
        <v>0</v>
      </c>
      <c r="E594" s="1672">
        <f t="shared" si="110"/>
        <v>0</v>
      </c>
      <c r="F594" s="1672" t="str">
        <f t="shared" si="111"/>
        <v>0</v>
      </c>
      <c r="G594" s="1672" t="str">
        <f t="shared" si="112"/>
        <v>0</v>
      </c>
      <c r="H594" s="1628"/>
      <c r="I594" s="1627"/>
      <c r="J594" s="1627"/>
      <c r="K594" s="1627"/>
      <c r="L594" s="1627"/>
      <c r="M594" s="1629"/>
      <c r="N594" s="1627"/>
      <c r="O594" s="1627"/>
      <c r="P594" s="1627"/>
      <c r="Q594" s="1627"/>
      <c r="R594" s="1627"/>
      <c r="S594" s="1627"/>
      <c r="T594" s="1627"/>
      <c r="U594" s="1789"/>
      <c r="V594" s="1781" t="s">
        <v>1602</v>
      </c>
      <c r="W594" s="1782" t="s">
        <v>1306</v>
      </c>
      <c r="X594" s="1639" t="s">
        <v>1599</v>
      </c>
      <c r="Y594" s="1633" t="s">
        <v>1306</v>
      </c>
      <c r="Z594" s="1640" t="s">
        <v>1573</v>
      </c>
      <c r="AA594" s="1790"/>
      <c r="AB594" s="1791"/>
      <c r="AD594" s="1792"/>
      <c r="AG594" s="1637" t="str">
        <f t="shared" si="113"/>
        <v>階別用途別床面積-5-27階</v>
      </c>
      <c r="AI594" s="1636"/>
      <c r="AJ594" s="1636"/>
      <c r="AK594" s="1636"/>
    </row>
    <row r="595" spans="1:37" s="1637" customFormat="1" ht="18.75" customHeight="1" x14ac:dyDescent="0.15">
      <c r="A595" s="1627"/>
      <c r="B595" s="1627"/>
      <c r="C595" s="1627"/>
      <c r="D595" s="1626">
        <f>'2_入力シート【用途面積】'!$O50</f>
        <v>0</v>
      </c>
      <c r="E595" s="1672">
        <f t="shared" si="110"/>
        <v>0</v>
      </c>
      <c r="F595" s="1672" t="str">
        <f t="shared" si="111"/>
        <v>0</v>
      </c>
      <c r="G595" s="1672" t="str">
        <f t="shared" si="112"/>
        <v>0</v>
      </c>
      <c r="H595" s="1628"/>
      <c r="I595" s="1627"/>
      <c r="J595" s="1627"/>
      <c r="K595" s="1627"/>
      <c r="L595" s="1627"/>
      <c r="M595" s="1629"/>
      <c r="N595" s="1627"/>
      <c r="O595" s="1627"/>
      <c r="P595" s="1627"/>
      <c r="Q595" s="1627"/>
      <c r="R595" s="1627"/>
      <c r="S595" s="1627"/>
      <c r="T595" s="1627"/>
      <c r="U595" s="1789"/>
      <c r="V595" s="1781" t="s">
        <v>1602</v>
      </c>
      <c r="W595" s="1782" t="s">
        <v>1306</v>
      </c>
      <c r="X595" s="1639" t="s">
        <v>1599</v>
      </c>
      <c r="Y595" s="1633" t="s">
        <v>1306</v>
      </c>
      <c r="Z595" s="1640" t="s">
        <v>1574</v>
      </c>
      <c r="AA595" s="1790"/>
      <c r="AB595" s="1791"/>
      <c r="AD595" s="1792"/>
      <c r="AG595" s="1637" t="str">
        <f t="shared" si="113"/>
        <v>階別用途別床面積-5-28階</v>
      </c>
      <c r="AI595" s="1636"/>
      <c r="AJ595" s="1636"/>
      <c r="AK595" s="1636"/>
    </row>
    <row r="596" spans="1:37" s="1637" customFormat="1" ht="18.75" customHeight="1" x14ac:dyDescent="0.15">
      <c r="A596" s="1627"/>
      <c r="B596" s="1627"/>
      <c r="C596" s="1627"/>
      <c r="D596" s="1626">
        <f>'2_入力シート【用途面積】'!$O51</f>
        <v>0</v>
      </c>
      <c r="E596" s="1672">
        <f t="shared" si="110"/>
        <v>0</v>
      </c>
      <c r="F596" s="1672" t="str">
        <f t="shared" si="111"/>
        <v>0</v>
      </c>
      <c r="G596" s="1672" t="str">
        <f t="shared" si="112"/>
        <v>0</v>
      </c>
      <c r="H596" s="1628"/>
      <c r="I596" s="1627"/>
      <c r="J596" s="1627"/>
      <c r="K596" s="1627"/>
      <c r="L596" s="1627"/>
      <c r="M596" s="1629"/>
      <c r="N596" s="1627"/>
      <c r="O596" s="1627"/>
      <c r="P596" s="1627"/>
      <c r="Q596" s="1627"/>
      <c r="R596" s="1627"/>
      <c r="S596" s="1627"/>
      <c r="T596" s="1627"/>
      <c r="U596" s="1789"/>
      <c r="V596" s="1781" t="s">
        <v>1602</v>
      </c>
      <c r="W596" s="1782" t="s">
        <v>1306</v>
      </c>
      <c r="X596" s="1639" t="s">
        <v>1599</v>
      </c>
      <c r="Y596" s="1633" t="s">
        <v>1306</v>
      </c>
      <c r="Z596" s="1640" t="s">
        <v>1575</v>
      </c>
      <c r="AA596" s="1790"/>
      <c r="AB596" s="1791"/>
      <c r="AD596" s="1792"/>
      <c r="AG596" s="1637" t="str">
        <f t="shared" si="113"/>
        <v>階別用途別床面積-5-29階</v>
      </c>
      <c r="AI596" s="1636"/>
      <c r="AJ596" s="1636"/>
      <c r="AK596" s="1636"/>
    </row>
    <row r="597" spans="1:37" s="1637" customFormat="1" ht="18.75" customHeight="1" x14ac:dyDescent="0.15">
      <c r="A597" s="1627"/>
      <c r="B597" s="1627"/>
      <c r="C597" s="1627"/>
      <c r="D597" s="1626">
        <f>'2_入力シート【用途面積】'!$O52</f>
        <v>0</v>
      </c>
      <c r="E597" s="1672">
        <f t="shared" si="110"/>
        <v>0</v>
      </c>
      <c r="F597" s="1672" t="str">
        <f t="shared" si="111"/>
        <v>0</v>
      </c>
      <c r="G597" s="1672" t="str">
        <f t="shared" si="112"/>
        <v>0</v>
      </c>
      <c r="H597" s="1628"/>
      <c r="I597" s="1627"/>
      <c r="J597" s="1627"/>
      <c r="K597" s="1627"/>
      <c r="L597" s="1627"/>
      <c r="M597" s="1629"/>
      <c r="N597" s="1627"/>
      <c r="O597" s="1627"/>
      <c r="P597" s="1627"/>
      <c r="Q597" s="1627"/>
      <c r="R597" s="1627"/>
      <c r="S597" s="1627"/>
      <c r="T597" s="1627"/>
      <c r="U597" s="1789"/>
      <c r="V597" s="1781" t="s">
        <v>1602</v>
      </c>
      <c r="W597" s="1782" t="s">
        <v>1306</v>
      </c>
      <c r="X597" s="1639" t="s">
        <v>1599</v>
      </c>
      <c r="Y597" s="1633" t="s">
        <v>1306</v>
      </c>
      <c r="Z597" s="1640" t="s">
        <v>1576</v>
      </c>
      <c r="AA597" s="1790"/>
      <c r="AB597" s="1791"/>
      <c r="AD597" s="1792"/>
      <c r="AG597" s="1637" t="str">
        <f t="shared" si="113"/>
        <v>階別用途別床面積-5-30階</v>
      </c>
      <c r="AI597" s="1636"/>
      <c r="AJ597" s="1636"/>
      <c r="AK597" s="1636"/>
    </row>
    <row r="598" spans="1:37" s="1637" customFormat="1" ht="18.75" customHeight="1" x14ac:dyDescent="0.15">
      <c r="A598" s="1627"/>
      <c r="B598" s="1627"/>
      <c r="C598" s="1627"/>
      <c r="D598" s="1626">
        <f>'2_入力シート【用途面積】'!$O53</f>
        <v>0</v>
      </c>
      <c r="E598" s="1672">
        <f t="shared" si="110"/>
        <v>0</v>
      </c>
      <c r="F598" s="1672" t="str">
        <f t="shared" si="111"/>
        <v>0</v>
      </c>
      <c r="G598" s="1672" t="str">
        <f t="shared" si="112"/>
        <v>0</v>
      </c>
      <c r="H598" s="1628"/>
      <c r="I598" s="1627"/>
      <c r="J598" s="1627"/>
      <c r="K598" s="1627"/>
      <c r="L598" s="1627"/>
      <c r="M598" s="1629"/>
      <c r="N598" s="1627"/>
      <c r="O598" s="1627"/>
      <c r="P598" s="1627"/>
      <c r="Q598" s="1627"/>
      <c r="R598" s="1627"/>
      <c r="S598" s="1627"/>
      <c r="T598" s="1627"/>
      <c r="U598" s="1789"/>
      <c r="V598" s="1781" t="s">
        <v>1602</v>
      </c>
      <c r="W598" s="1782" t="s">
        <v>1306</v>
      </c>
      <c r="X598" s="1639" t="s">
        <v>1599</v>
      </c>
      <c r="Y598" s="1633" t="s">
        <v>1306</v>
      </c>
      <c r="Z598" s="1640" t="s">
        <v>1577</v>
      </c>
      <c r="AA598" s="1790"/>
      <c r="AB598" s="1791"/>
      <c r="AD598" s="1792"/>
      <c r="AG598" s="1637" t="str">
        <f t="shared" si="113"/>
        <v>階別用途別床面積-5-31階</v>
      </c>
      <c r="AI598" s="1636"/>
      <c r="AJ598" s="1636"/>
      <c r="AK598" s="1636"/>
    </row>
    <row r="599" spans="1:37" s="1637" customFormat="1" ht="18.75" customHeight="1" x14ac:dyDescent="0.15">
      <c r="A599" s="1627"/>
      <c r="B599" s="1627"/>
      <c r="C599" s="1627"/>
      <c r="D599" s="1626">
        <f>'2_入力シート【用途面積】'!$O54</f>
        <v>0</v>
      </c>
      <c r="E599" s="1672">
        <f t="shared" si="110"/>
        <v>0</v>
      </c>
      <c r="F599" s="1672" t="str">
        <f t="shared" si="111"/>
        <v>0</v>
      </c>
      <c r="G599" s="1672" t="str">
        <f t="shared" si="112"/>
        <v>0</v>
      </c>
      <c r="H599" s="1628"/>
      <c r="I599" s="1627"/>
      <c r="J599" s="1627"/>
      <c r="K599" s="1627"/>
      <c r="L599" s="1627"/>
      <c r="M599" s="1629"/>
      <c r="N599" s="1627"/>
      <c r="O599" s="1627"/>
      <c r="P599" s="1627"/>
      <c r="Q599" s="1627"/>
      <c r="R599" s="1627"/>
      <c r="S599" s="1627"/>
      <c r="T599" s="1627"/>
      <c r="U599" s="1789"/>
      <c r="V599" s="1781" t="s">
        <v>1602</v>
      </c>
      <c r="W599" s="1782" t="s">
        <v>1306</v>
      </c>
      <c r="X599" s="1639" t="s">
        <v>1599</v>
      </c>
      <c r="Y599" s="1633" t="s">
        <v>1306</v>
      </c>
      <c r="Z599" s="1640" t="s">
        <v>1578</v>
      </c>
      <c r="AA599" s="1790"/>
      <c r="AB599" s="1791"/>
      <c r="AD599" s="1792"/>
      <c r="AG599" s="1637" t="str">
        <f t="shared" si="113"/>
        <v>階別用途別床面積-5-32階</v>
      </c>
      <c r="AI599" s="1636"/>
      <c r="AJ599" s="1636"/>
      <c r="AK599" s="1636"/>
    </row>
    <row r="600" spans="1:37" s="1637" customFormat="1" ht="18.75" customHeight="1" x14ac:dyDescent="0.15">
      <c r="A600" s="1627"/>
      <c r="B600" s="1627"/>
      <c r="C600" s="1627"/>
      <c r="D600" s="1626">
        <f>'2_入力シート【用途面積】'!$O55</f>
        <v>0</v>
      </c>
      <c r="E600" s="1672">
        <f t="shared" si="110"/>
        <v>0</v>
      </c>
      <c r="F600" s="1672" t="str">
        <f t="shared" si="111"/>
        <v>0</v>
      </c>
      <c r="G600" s="1672" t="str">
        <f t="shared" si="112"/>
        <v>0</v>
      </c>
      <c r="H600" s="1628"/>
      <c r="I600" s="1627"/>
      <c r="J600" s="1627"/>
      <c r="K600" s="1627"/>
      <c r="L600" s="1627"/>
      <c r="M600" s="1629"/>
      <c r="N600" s="1627"/>
      <c r="O600" s="1627"/>
      <c r="P600" s="1627"/>
      <c r="Q600" s="1627"/>
      <c r="R600" s="1627"/>
      <c r="S600" s="1627"/>
      <c r="T600" s="1627"/>
      <c r="U600" s="1789"/>
      <c r="V600" s="1781" t="s">
        <v>1602</v>
      </c>
      <c r="W600" s="1782" t="s">
        <v>1306</v>
      </c>
      <c r="X600" s="1639" t="s">
        <v>1599</v>
      </c>
      <c r="Y600" s="1633" t="s">
        <v>1306</v>
      </c>
      <c r="Z600" s="1640" t="s">
        <v>1579</v>
      </c>
      <c r="AA600" s="1790"/>
      <c r="AB600" s="1791"/>
      <c r="AD600" s="1792"/>
      <c r="AG600" s="1637" t="str">
        <f t="shared" si="113"/>
        <v>階別用途別床面積-5-33階</v>
      </c>
      <c r="AI600" s="1636"/>
      <c r="AJ600" s="1636"/>
      <c r="AK600" s="1636"/>
    </row>
    <row r="601" spans="1:37" s="1637" customFormat="1" ht="18.75" customHeight="1" x14ac:dyDescent="0.15">
      <c r="A601" s="1627"/>
      <c r="B601" s="1627"/>
      <c r="C601" s="1627"/>
      <c r="D601" s="1626">
        <f>'2_入力シート【用途面積】'!$O56</f>
        <v>0</v>
      </c>
      <c r="E601" s="1672">
        <f t="shared" si="110"/>
        <v>0</v>
      </c>
      <c r="F601" s="1672" t="str">
        <f t="shared" si="111"/>
        <v>0</v>
      </c>
      <c r="G601" s="1672" t="str">
        <f t="shared" si="112"/>
        <v>0</v>
      </c>
      <c r="H601" s="1628"/>
      <c r="I601" s="1627"/>
      <c r="J601" s="1627"/>
      <c r="K601" s="1627"/>
      <c r="L601" s="1627"/>
      <c r="M601" s="1629"/>
      <c r="N601" s="1627"/>
      <c r="O601" s="1627"/>
      <c r="P601" s="1627"/>
      <c r="Q601" s="1627"/>
      <c r="R601" s="1627"/>
      <c r="S601" s="1627"/>
      <c r="T601" s="1627"/>
      <c r="U601" s="1789"/>
      <c r="V601" s="1781" t="s">
        <v>1602</v>
      </c>
      <c r="W601" s="1782" t="s">
        <v>1306</v>
      </c>
      <c r="X601" s="1639" t="s">
        <v>1599</v>
      </c>
      <c r="Y601" s="1633" t="s">
        <v>1306</v>
      </c>
      <c r="Z601" s="1640" t="s">
        <v>1580</v>
      </c>
      <c r="AA601" s="1790"/>
      <c r="AB601" s="1791"/>
      <c r="AD601" s="1792"/>
      <c r="AG601" s="1637" t="str">
        <f t="shared" si="113"/>
        <v>階別用途別床面積-5-34階</v>
      </c>
      <c r="AI601" s="1636"/>
      <c r="AJ601" s="1636"/>
      <c r="AK601" s="1636"/>
    </row>
    <row r="602" spans="1:37" s="1637" customFormat="1" ht="18.75" customHeight="1" x14ac:dyDescent="0.15">
      <c r="A602" s="1627"/>
      <c r="B602" s="1627"/>
      <c r="C602" s="1627"/>
      <c r="D602" s="1626">
        <f>'2_入力シート【用途面積】'!$O57</f>
        <v>0</v>
      </c>
      <c r="E602" s="1672">
        <f t="shared" si="110"/>
        <v>0</v>
      </c>
      <c r="F602" s="1672" t="str">
        <f t="shared" si="111"/>
        <v>0</v>
      </c>
      <c r="G602" s="1672" t="str">
        <f t="shared" si="112"/>
        <v>0</v>
      </c>
      <c r="H602" s="1628"/>
      <c r="I602" s="1627"/>
      <c r="J602" s="1627"/>
      <c r="K602" s="1627"/>
      <c r="L602" s="1627"/>
      <c r="M602" s="1629"/>
      <c r="N602" s="1627"/>
      <c r="O602" s="1627"/>
      <c r="P602" s="1627"/>
      <c r="Q602" s="1627"/>
      <c r="R602" s="1627"/>
      <c r="S602" s="1627"/>
      <c r="T602" s="1627"/>
      <c r="U602" s="1789"/>
      <c r="V602" s="1781" t="s">
        <v>1602</v>
      </c>
      <c r="W602" s="1782" t="s">
        <v>1306</v>
      </c>
      <c r="X602" s="1639" t="s">
        <v>1599</v>
      </c>
      <c r="Y602" s="1633" t="s">
        <v>1306</v>
      </c>
      <c r="Z602" s="1640" t="s">
        <v>1581</v>
      </c>
      <c r="AA602" s="1790"/>
      <c r="AB602" s="1791"/>
      <c r="AD602" s="1792"/>
      <c r="AG602" s="1637" t="str">
        <f t="shared" si="113"/>
        <v>階別用途別床面積-5-35階</v>
      </c>
      <c r="AI602" s="1636"/>
      <c r="AJ602" s="1636"/>
      <c r="AK602" s="1636"/>
    </row>
    <row r="603" spans="1:37" s="1637" customFormat="1" ht="18.75" customHeight="1" x14ac:dyDescent="0.15">
      <c r="A603" s="1627"/>
      <c r="B603" s="1627"/>
      <c r="C603" s="1627"/>
      <c r="D603" s="1626">
        <f>'2_入力シート【用途面積】'!$O58</f>
        <v>0</v>
      </c>
      <c r="E603" s="1672">
        <f t="shared" si="110"/>
        <v>0</v>
      </c>
      <c r="F603" s="1672" t="str">
        <f t="shared" si="111"/>
        <v>0</v>
      </c>
      <c r="G603" s="1672" t="str">
        <f t="shared" si="112"/>
        <v>0</v>
      </c>
      <c r="H603" s="1628"/>
      <c r="I603" s="1627"/>
      <c r="J603" s="1627"/>
      <c r="K603" s="1627"/>
      <c r="L603" s="1627"/>
      <c r="M603" s="1629"/>
      <c r="N603" s="1627"/>
      <c r="O603" s="1627"/>
      <c r="P603" s="1627"/>
      <c r="Q603" s="1627"/>
      <c r="R603" s="1627"/>
      <c r="S603" s="1627"/>
      <c r="T603" s="1627"/>
      <c r="U603" s="1789"/>
      <c r="V603" s="1781" t="s">
        <v>1602</v>
      </c>
      <c r="W603" s="1782" t="s">
        <v>1306</v>
      </c>
      <c r="X603" s="1639" t="s">
        <v>1599</v>
      </c>
      <c r="Y603" s="1633" t="s">
        <v>1306</v>
      </c>
      <c r="Z603" s="1640" t="s">
        <v>1582</v>
      </c>
      <c r="AA603" s="1790"/>
      <c r="AB603" s="1791"/>
      <c r="AD603" s="1792"/>
      <c r="AG603" s="1637" t="str">
        <f t="shared" si="113"/>
        <v>階別用途別床面積-5-36階</v>
      </c>
      <c r="AI603" s="1636"/>
      <c r="AJ603" s="1636"/>
      <c r="AK603" s="1636"/>
    </row>
    <row r="604" spans="1:37" s="1637" customFormat="1" ht="18.75" customHeight="1" x14ac:dyDescent="0.15">
      <c r="A604" s="1627"/>
      <c r="B604" s="1627"/>
      <c r="C604" s="1627"/>
      <c r="D604" s="1626">
        <f>'2_入力シート【用途面積】'!$O59</f>
        <v>0</v>
      </c>
      <c r="E604" s="1672">
        <f t="shared" si="110"/>
        <v>0</v>
      </c>
      <c r="F604" s="1672" t="str">
        <f t="shared" si="111"/>
        <v>0</v>
      </c>
      <c r="G604" s="1672" t="str">
        <f t="shared" si="112"/>
        <v>0</v>
      </c>
      <c r="H604" s="1628"/>
      <c r="I604" s="1627"/>
      <c r="J604" s="1627"/>
      <c r="K604" s="1627"/>
      <c r="L604" s="1627"/>
      <c r="M604" s="1629"/>
      <c r="N604" s="1627"/>
      <c r="O604" s="1627"/>
      <c r="P604" s="1627"/>
      <c r="Q604" s="1627"/>
      <c r="R604" s="1627"/>
      <c r="S604" s="1627"/>
      <c r="T604" s="1627"/>
      <c r="U604" s="1789"/>
      <c r="V604" s="1781" t="s">
        <v>1602</v>
      </c>
      <c r="W604" s="1782" t="s">
        <v>1306</v>
      </c>
      <c r="X604" s="1639" t="s">
        <v>1599</v>
      </c>
      <c r="Y604" s="1633" t="s">
        <v>1306</v>
      </c>
      <c r="Z604" s="1640" t="s">
        <v>1583</v>
      </c>
      <c r="AA604" s="1790"/>
      <c r="AB604" s="1791"/>
      <c r="AD604" s="1792"/>
      <c r="AG604" s="1637" t="str">
        <f t="shared" si="113"/>
        <v>階別用途別床面積-5-37階</v>
      </c>
      <c r="AI604" s="1636"/>
      <c r="AJ604" s="1636"/>
      <c r="AK604" s="1636"/>
    </row>
    <row r="605" spans="1:37" s="1637" customFormat="1" ht="18.75" customHeight="1" x14ac:dyDescent="0.15">
      <c r="A605" s="1627"/>
      <c r="B605" s="1627"/>
      <c r="C605" s="1627"/>
      <c r="D605" s="1626">
        <f>'2_入力シート【用途面積】'!$O60</f>
        <v>0</v>
      </c>
      <c r="E605" s="1672">
        <f t="shared" si="110"/>
        <v>0</v>
      </c>
      <c r="F605" s="1672" t="str">
        <f t="shared" si="111"/>
        <v>0</v>
      </c>
      <c r="G605" s="1672" t="str">
        <f t="shared" si="112"/>
        <v>0</v>
      </c>
      <c r="H605" s="1628"/>
      <c r="I605" s="1627"/>
      <c r="J605" s="1627"/>
      <c r="K605" s="1627"/>
      <c r="L605" s="1627"/>
      <c r="M605" s="1629"/>
      <c r="N605" s="1627"/>
      <c r="O605" s="1627"/>
      <c r="P605" s="1627"/>
      <c r="Q605" s="1627"/>
      <c r="R605" s="1627"/>
      <c r="S605" s="1627"/>
      <c r="T605" s="1627"/>
      <c r="U605" s="1789"/>
      <c r="V605" s="1781" t="s">
        <v>1602</v>
      </c>
      <c r="W605" s="1782" t="s">
        <v>1306</v>
      </c>
      <c r="X605" s="1639" t="s">
        <v>1599</v>
      </c>
      <c r="Y605" s="1633" t="s">
        <v>1306</v>
      </c>
      <c r="Z605" s="1640" t="s">
        <v>1584</v>
      </c>
      <c r="AA605" s="1790"/>
      <c r="AB605" s="1791"/>
      <c r="AD605" s="1792"/>
      <c r="AG605" s="1637" t="str">
        <f t="shared" si="113"/>
        <v>階別用途別床面積-5-38階</v>
      </c>
      <c r="AI605" s="1636"/>
      <c r="AJ605" s="1636"/>
      <c r="AK605" s="1636"/>
    </row>
    <row r="606" spans="1:37" s="1637" customFormat="1" ht="18.75" customHeight="1" x14ac:dyDescent="0.15">
      <c r="A606" s="1627"/>
      <c r="B606" s="1627"/>
      <c r="C606" s="1627"/>
      <c r="D606" s="1626">
        <f>'2_入力シート【用途面積】'!$O61</f>
        <v>0</v>
      </c>
      <c r="E606" s="1672">
        <f t="shared" si="110"/>
        <v>0</v>
      </c>
      <c r="F606" s="1672" t="str">
        <f t="shared" si="111"/>
        <v>0</v>
      </c>
      <c r="G606" s="1672" t="str">
        <f t="shared" si="112"/>
        <v>0</v>
      </c>
      <c r="H606" s="1628"/>
      <c r="I606" s="1627"/>
      <c r="J606" s="1627"/>
      <c r="K606" s="1627"/>
      <c r="L606" s="1627"/>
      <c r="M606" s="1629"/>
      <c r="N606" s="1627"/>
      <c r="O606" s="1627"/>
      <c r="P606" s="1627"/>
      <c r="Q606" s="1627"/>
      <c r="R606" s="1627"/>
      <c r="S606" s="1627"/>
      <c r="T606" s="1627"/>
      <c r="U606" s="1789"/>
      <c r="V606" s="1781" t="s">
        <v>1602</v>
      </c>
      <c r="W606" s="1782" t="s">
        <v>1306</v>
      </c>
      <c r="X606" s="1639" t="s">
        <v>1599</v>
      </c>
      <c r="Y606" s="1633" t="s">
        <v>1306</v>
      </c>
      <c r="Z606" s="1640" t="s">
        <v>1585</v>
      </c>
      <c r="AA606" s="1790"/>
      <c r="AB606" s="1791"/>
      <c r="AD606" s="1792"/>
      <c r="AG606" s="1637" t="str">
        <f t="shared" si="113"/>
        <v>階別用途別床面積-5-39階</v>
      </c>
      <c r="AI606" s="1636"/>
      <c r="AJ606" s="1636"/>
      <c r="AK606" s="1636"/>
    </row>
    <row r="607" spans="1:37" s="1637" customFormat="1" ht="18.75" customHeight="1" x14ac:dyDescent="0.15">
      <c r="A607" s="1627"/>
      <c r="B607" s="1627"/>
      <c r="C607" s="1627"/>
      <c r="D607" s="1626">
        <f>'2_入力シート【用途面積】'!$O62</f>
        <v>0</v>
      </c>
      <c r="E607" s="1672">
        <f t="shared" si="110"/>
        <v>0</v>
      </c>
      <c r="F607" s="1672" t="str">
        <f t="shared" si="111"/>
        <v>0</v>
      </c>
      <c r="G607" s="1672" t="str">
        <f t="shared" si="112"/>
        <v>0</v>
      </c>
      <c r="H607" s="1628"/>
      <c r="I607" s="1627"/>
      <c r="J607" s="1627"/>
      <c r="K607" s="1627"/>
      <c r="L607" s="1627"/>
      <c r="M607" s="1629"/>
      <c r="N607" s="1627"/>
      <c r="O607" s="1627"/>
      <c r="P607" s="1627"/>
      <c r="Q607" s="1627"/>
      <c r="R607" s="1627"/>
      <c r="S607" s="1627"/>
      <c r="T607" s="1627"/>
      <c r="U607" s="1789"/>
      <c r="V607" s="1781" t="s">
        <v>1602</v>
      </c>
      <c r="W607" s="1782" t="s">
        <v>1306</v>
      </c>
      <c r="X607" s="1639" t="s">
        <v>1599</v>
      </c>
      <c r="Y607" s="1633" t="s">
        <v>1306</v>
      </c>
      <c r="Z607" s="1640" t="s">
        <v>1586</v>
      </c>
      <c r="AA607" s="1790"/>
      <c r="AB607" s="1791"/>
      <c r="AD607" s="1792"/>
      <c r="AG607" s="1637" t="str">
        <f t="shared" si="113"/>
        <v>階別用途別床面積-5-40階</v>
      </c>
      <c r="AI607" s="1636"/>
      <c r="AJ607" s="1636"/>
      <c r="AK607" s="1636"/>
    </row>
    <row r="608" spans="1:37" s="1637" customFormat="1" ht="18.75" customHeight="1" x14ac:dyDescent="0.15">
      <c r="A608" s="1627"/>
      <c r="B608" s="1627"/>
      <c r="C608" s="1627"/>
      <c r="D608" s="1626">
        <f>'2_入力シート【用途面積】'!$O63</f>
        <v>0</v>
      </c>
      <c r="E608" s="1672">
        <f t="shared" si="110"/>
        <v>0</v>
      </c>
      <c r="F608" s="1672" t="str">
        <f t="shared" si="111"/>
        <v>0</v>
      </c>
      <c r="G608" s="1672" t="str">
        <f t="shared" si="112"/>
        <v>0</v>
      </c>
      <c r="H608" s="1628"/>
      <c r="I608" s="1627"/>
      <c r="J608" s="1627"/>
      <c r="K608" s="1627"/>
      <c r="L608" s="1627"/>
      <c r="M608" s="1629"/>
      <c r="N608" s="1627"/>
      <c r="O608" s="1627"/>
      <c r="P608" s="1627"/>
      <c r="Q608" s="1627"/>
      <c r="R608" s="1627"/>
      <c r="S608" s="1627"/>
      <c r="T608" s="1627"/>
      <c r="U608" s="1789"/>
      <c r="V608" s="1781" t="s">
        <v>1602</v>
      </c>
      <c r="W608" s="1782" t="s">
        <v>1306</v>
      </c>
      <c r="X608" s="1639" t="s">
        <v>1599</v>
      </c>
      <c r="Y608" s="1633" t="s">
        <v>1306</v>
      </c>
      <c r="Z608" s="1640" t="s">
        <v>1587</v>
      </c>
      <c r="AA608" s="1790"/>
      <c r="AB608" s="1791"/>
      <c r="AD608" s="1792"/>
      <c r="AG608" s="1637" t="str">
        <f t="shared" si="113"/>
        <v>階別用途別床面積-5-41階</v>
      </c>
      <c r="AI608" s="1636"/>
      <c r="AJ608" s="1636"/>
      <c r="AK608" s="1636"/>
    </row>
    <row r="609" spans="1:41" s="1637" customFormat="1" ht="18.75" customHeight="1" x14ac:dyDescent="0.15">
      <c r="A609" s="1627"/>
      <c r="B609" s="1627"/>
      <c r="C609" s="1627"/>
      <c r="D609" s="1626">
        <f>'2_入力シート【用途面積】'!$O64</f>
        <v>0</v>
      </c>
      <c r="E609" s="1672">
        <f t="shared" si="110"/>
        <v>0</v>
      </c>
      <c r="F609" s="1672" t="str">
        <f t="shared" si="111"/>
        <v>0</v>
      </c>
      <c r="G609" s="1672" t="str">
        <f t="shared" si="112"/>
        <v>0</v>
      </c>
      <c r="H609" s="1628"/>
      <c r="I609" s="1627"/>
      <c r="J609" s="1627"/>
      <c r="K609" s="1627"/>
      <c r="L609" s="1627"/>
      <c r="M609" s="1629"/>
      <c r="N609" s="1627"/>
      <c r="O609" s="1627"/>
      <c r="P609" s="1627"/>
      <c r="Q609" s="1627"/>
      <c r="R609" s="1627"/>
      <c r="S609" s="1627"/>
      <c r="T609" s="1627"/>
      <c r="U609" s="1789"/>
      <c r="V609" s="1781" t="s">
        <v>1602</v>
      </c>
      <c r="W609" s="1782" t="s">
        <v>1306</v>
      </c>
      <c r="X609" s="1639" t="s">
        <v>1599</v>
      </c>
      <c r="Y609" s="1633" t="s">
        <v>1306</v>
      </c>
      <c r="Z609" s="1640" t="s">
        <v>1588</v>
      </c>
      <c r="AA609" s="1790"/>
      <c r="AB609" s="1791"/>
      <c r="AD609" s="1792"/>
      <c r="AG609" s="1637" t="str">
        <f t="shared" si="113"/>
        <v>階別用途別床面積-5-42階</v>
      </c>
      <c r="AI609" s="1636"/>
      <c r="AJ609" s="1636"/>
      <c r="AK609" s="1636"/>
    </row>
    <row r="610" spans="1:41" s="1637" customFormat="1" ht="18.75" customHeight="1" x14ac:dyDescent="0.15">
      <c r="A610" s="1627"/>
      <c r="B610" s="1627"/>
      <c r="C610" s="1627"/>
      <c r="D610" s="1626">
        <f>'2_入力シート【用途面積】'!$O65</f>
        <v>0</v>
      </c>
      <c r="E610" s="1672">
        <f t="shared" ref="E610:E673" si="114">D610</f>
        <v>0</v>
      </c>
      <c r="F610" s="1672" t="str">
        <f t="shared" ref="F610:F673" si="115">SUBSTITUTE(E610,CHAR(10),"")</f>
        <v>0</v>
      </c>
      <c r="G610" s="1672" t="str">
        <f t="shared" ref="G610:G673" si="116">TRIM(F610)</f>
        <v>0</v>
      </c>
      <c r="H610" s="1628"/>
      <c r="I610" s="1627"/>
      <c r="J610" s="1627"/>
      <c r="K610" s="1627"/>
      <c r="L610" s="1627"/>
      <c r="M610" s="1629"/>
      <c r="N610" s="1627"/>
      <c r="O610" s="1627"/>
      <c r="P610" s="1627"/>
      <c r="Q610" s="1627"/>
      <c r="R610" s="1627"/>
      <c r="S610" s="1627"/>
      <c r="T610" s="1627"/>
      <c r="U610" s="1789"/>
      <c r="V610" s="1781" t="s">
        <v>1602</v>
      </c>
      <c r="W610" s="1782" t="s">
        <v>1306</v>
      </c>
      <c r="X610" s="1639" t="s">
        <v>1599</v>
      </c>
      <c r="Y610" s="1633" t="s">
        <v>1306</v>
      </c>
      <c r="Z610" s="1640" t="s">
        <v>1589</v>
      </c>
      <c r="AA610" s="1790"/>
      <c r="AB610" s="1791"/>
      <c r="AD610" s="1792"/>
      <c r="AG610" s="1637" t="str">
        <f t="shared" si="113"/>
        <v>階別用途別床面積-5-43階</v>
      </c>
      <c r="AI610" s="1636"/>
      <c r="AJ610" s="1636"/>
      <c r="AK610" s="1636"/>
    </row>
    <row r="611" spans="1:41" s="1637" customFormat="1" ht="18.75" customHeight="1" x14ac:dyDescent="0.15">
      <c r="A611" s="1627"/>
      <c r="B611" s="1627"/>
      <c r="C611" s="1627"/>
      <c r="D611" s="1626">
        <f>'2_入力シート【用途面積】'!$O66</f>
        <v>0</v>
      </c>
      <c r="E611" s="1672">
        <f t="shared" si="114"/>
        <v>0</v>
      </c>
      <c r="F611" s="1672" t="str">
        <f t="shared" si="115"/>
        <v>0</v>
      </c>
      <c r="G611" s="1672" t="str">
        <f t="shared" si="116"/>
        <v>0</v>
      </c>
      <c r="H611" s="1628"/>
      <c r="I611" s="1627"/>
      <c r="J611" s="1627"/>
      <c r="K611" s="1627"/>
      <c r="L611" s="1627"/>
      <c r="M611" s="1629"/>
      <c r="N611" s="1627"/>
      <c r="O611" s="1627"/>
      <c r="P611" s="1627"/>
      <c r="Q611" s="1627"/>
      <c r="R611" s="1627"/>
      <c r="S611" s="1627"/>
      <c r="T611" s="1627"/>
      <c r="U611" s="1789"/>
      <c r="V611" s="1781" t="s">
        <v>1602</v>
      </c>
      <c r="W611" s="1782" t="s">
        <v>1306</v>
      </c>
      <c r="X611" s="1639" t="s">
        <v>1599</v>
      </c>
      <c r="Y611" s="1633" t="s">
        <v>1306</v>
      </c>
      <c r="Z611" s="1640" t="s">
        <v>1590</v>
      </c>
      <c r="AA611" s="1790"/>
      <c r="AB611" s="1791"/>
      <c r="AD611" s="1792"/>
      <c r="AG611" s="1637" t="str">
        <f t="shared" si="113"/>
        <v>階別用途別床面積-5-44階</v>
      </c>
      <c r="AI611" s="1636"/>
      <c r="AJ611" s="1636"/>
      <c r="AK611" s="1636"/>
    </row>
    <row r="612" spans="1:41" s="1624" customFormat="1" ht="18.75" customHeight="1" x14ac:dyDescent="0.15">
      <c r="A612" s="1627"/>
      <c r="B612" s="1627"/>
      <c r="C612" s="1627"/>
      <c r="D612" s="1626">
        <f>'2_入力シート【用途面積】'!$O67</f>
        <v>0</v>
      </c>
      <c r="E612" s="1672">
        <f t="shared" si="114"/>
        <v>0</v>
      </c>
      <c r="F612" s="1672" t="str">
        <f t="shared" si="115"/>
        <v>0</v>
      </c>
      <c r="G612" s="1672" t="str">
        <f t="shared" si="116"/>
        <v>0</v>
      </c>
      <c r="H612" s="1628"/>
      <c r="I612" s="1627"/>
      <c r="J612" s="1627"/>
      <c r="K612" s="1627"/>
      <c r="L612" s="1627"/>
      <c r="M612" s="1629"/>
      <c r="N612" s="1627"/>
      <c r="O612" s="1627"/>
      <c r="P612" s="1627"/>
      <c r="Q612" s="1627"/>
      <c r="R612" s="1627"/>
      <c r="S612" s="1627"/>
      <c r="T612" s="1627"/>
      <c r="U612" s="1789"/>
      <c r="V612" s="1781" t="s">
        <v>1602</v>
      </c>
      <c r="W612" s="1782" t="s">
        <v>1306</v>
      </c>
      <c r="X612" s="1639" t="s">
        <v>1599</v>
      </c>
      <c r="Y612" s="1633" t="s">
        <v>1306</v>
      </c>
      <c r="Z612" s="1640" t="s">
        <v>1591</v>
      </c>
      <c r="AA612" s="1790"/>
      <c r="AB612" s="1791"/>
      <c r="AC612" s="1637"/>
      <c r="AD612" s="1792"/>
      <c r="AE612" s="1637"/>
      <c r="AF612" s="1637"/>
      <c r="AG612" s="1637" t="str">
        <f t="shared" si="113"/>
        <v>階別用途別床面積-5-45階</v>
      </c>
      <c r="AH612" s="1637"/>
      <c r="AI612" s="1636"/>
      <c r="AJ612" s="1636"/>
      <c r="AK612" s="1636"/>
      <c r="AL612" s="1637"/>
      <c r="AM612" s="1637"/>
      <c r="AN612" s="1637"/>
      <c r="AO612" s="1637"/>
    </row>
    <row r="613" spans="1:41" s="1624" customFormat="1" ht="18.75" customHeight="1" x14ac:dyDescent="0.15">
      <c r="A613" s="1627"/>
      <c r="B613" s="1627"/>
      <c r="C613" s="1627"/>
      <c r="D613" s="1626">
        <f>'2_入力シート【用途面積】'!$O68</f>
        <v>0</v>
      </c>
      <c r="E613" s="1672">
        <f t="shared" si="114"/>
        <v>0</v>
      </c>
      <c r="F613" s="1672" t="str">
        <f t="shared" si="115"/>
        <v>0</v>
      </c>
      <c r="G613" s="1672" t="str">
        <f t="shared" si="116"/>
        <v>0</v>
      </c>
      <c r="H613" s="1628"/>
      <c r="I613" s="1627"/>
      <c r="J613" s="1627"/>
      <c r="K613" s="1627"/>
      <c r="L613" s="1627"/>
      <c r="M613" s="1629"/>
      <c r="N613" s="1627"/>
      <c r="O613" s="1627"/>
      <c r="P613" s="1627"/>
      <c r="Q613" s="1627"/>
      <c r="R613" s="1627"/>
      <c r="S613" s="1627"/>
      <c r="T613" s="1627"/>
      <c r="U613" s="1789"/>
      <c r="V613" s="1781" t="s">
        <v>1602</v>
      </c>
      <c r="W613" s="1782" t="s">
        <v>1306</v>
      </c>
      <c r="X613" s="1639" t="s">
        <v>1599</v>
      </c>
      <c r="Y613" s="1633" t="s">
        <v>1306</v>
      </c>
      <c r="Z613" s="1640" t="s">
        <v>1592</v>
      </c>
      <c r="AA613" s="1790"/>
      <c r="AB613" s="1791"/>
      <c r="AC613" s="1637"/>
      <c r="AD613" s="1792"/>
      <c r="AE613" s="1637"/>
      <c r="AF613" s="1637"/>
      <c r="AG613" s="1637" t="str">
        <f t="shared" si="113"/>
        <v>階別用途別床面積-5-46階</v>
      </c>
      <c r="AH613" s="1637"/>
      <c r="AI613" s="1636"/>
      <c r="AJ613" s="1636"/>
      <c r="AK613" s="1636"/>
      <c r="AL613" s="1637"/>
      <c r="AM613" s="1637"/>
      <c r="AN613" s="1637"/>
      <c r="AO613" s="1637"/>
    </row>
    <row r="614" spans="1:41" s="1624" customFormat="1" ht="18.75" customHeight="1" x14ac:dyDescent="0.15">
      <c r="A614" s="1627"/>
      <c r="B614" s="1627"/>
      <c r="C614" s="1627"/>
      <c r="D614" s="1626">
        <f>'2_入力シート【用途面積】'!$O69</f>
        <v>0</v>
      </c>
      <c r="E614" s="1672">
        <f t="shared" si="114"/>
        <v>0</v>
      </c>
      <c r="F614" s="1672" t="str">
        <f t="shared" si="115"/>
        <v>0</v>
      </c>
      <c r="G614" s="1672" t="str">
        <f t="shared" si="116"/>
        <v>0</v>
      </c>
      <c r="H614" s="1628"/>
      <c r="I614" s="1627"/>
      <c r="J614" s="1627"/>
      <c r="K614" s="1627"/>
      <c r="L614" s="1627"/>
      <c r="M614" s="1629"/>
      <c r="N614" s="1627"/>
      <c r="O614" s="1627"/>
      <c r="P614" s="1627"/>
      <c r="Q614" s="1627"/>
      <c r="R614" s="1627"/>
      <c r="S614" s="1627"/>
      <c r="T614" s="1627"/>
      <c r="U614" s="1789"/>
      <c r="V614" s="1781" t="s">
        <v>1602</v>
      </c>
      <c r="W614" s="1782" t="s">
        <v>1306</v>
      </c>
      <c r="X614" s="1639" t="s">
        <v>1599</v>
      </c>
      <c r="Y614" s="1633" t="s">
        <v>1306</v>
      </c>
      <c r="Z614" s="1640" t="s">
        <v>1593</v>
      </c>
      <c r="AA614" s="1790"/>
      <c r="AB614" s="1791"/>
      <c r="AC614" s="1637"/>
      <c r="AD614" s="1792"/>
      <c r="AE614" s="1637"/>
      <c r="AF614" s="1637"/>
      <c r="AG614" s="1637" t="str">
        <f t="shared" si="113"/>
        <v>階別用途別床面積-5-47階</v>
      </c>
      <c r="AH614" s="1637"/>
      <c r="AI614" s="1636"/>
      <c r="AJ614" s="1636"/>
      <c r="AK614" s="1636"/>
      <c r="AL614" s="1637"/>
      <c r="AM614" s="1637"/>
      <c r="AN614" s="1637"/>
      <c r="AO614" s="1637"/>
    </row>
    <row r="615" spans="1:41" s="1624" customFormat="1" ht="18.75" customHeight="1" x14ac:dyDescent="0.15">
      <c r="A615" s="1627"/>
      <c r="B615" s="1627"/>
      <c r="C615" s="1627"/>
      <c r="D615" s="1626">
        <f>'2_入力シート【用途面積】'!$O70</f>
        <v>0</v>
      </c>
      <c r="E615" s="1672">
        <f t="shared" si="114"/>
        <v>0</v>
      </c>
      <c r="F615" s="1672" t="str">
        <f t="shared" si="115"/>
        <v>0</v>
      </c>
      <c r="G615" s="1672" t="str">
        <f t="shared" si="116"/>
        <v>0</v>
      </c>
      <c r="H615" s="1628"/>
      <c r="I615" s="1627"/>
      <c r="J615" s="1627"/>
      <c r="K615" s="1627"/>
      <c r="L615" s="1627"/>
      <c r="M615" s="1629"/>
      <c r="N615" s="1627"/>
      <c r="O615" s="1627"/>
      <c r="P615" s="1627"/>
      <c r="Q615" s="1627"/>
      <c r="R615" s="1627"/>
      <c r="S615" s="1627"/>
      <c r="T615" s="1627"/>
      <c r="U615" s="1789"/>
      <c r="V615" s="1781" t="s">
        <v>1602</v>
      </c>
      <c r="W615" s="1782" t="s">
        <v>1306</v>
      </c>
      <c r="X615" s="1639" t="s">
        <v>1599</v>
      </c>
      <c r="Y615" s="1633" t="s">
        <v>1306</v>
      </c>
      <c r="Z615" s="1640" t="s">
        <v>1594</v>
      </c>
      <c r="AA615" s="1790"/>
      <c r="AB615" s="1791"/>
      <c r="AC615" s="1637"/>
      <c r="AD615" s="1792"/>
      <c r="AE615" s="1637"/>
      <c r="AF615" s="1637"/>
      <c r="AG615" s="1637" t="str">
        <f t="shared" si="113"/>
        <v>階別用途別床面積-5-48階</v>
      </c>
      <c r="AH615" s="1637"/>
      <c r="AI615" s="1636"/>
      <c r="AJ615" s="1636"/>
      <c r="AK615" s="1636"/>
      <c r="AL615" s="1637"/>
      <c r="AM615" s="1637"/>
      <c r="AN615" s="1637"/>
      <c r="AO615" s="1637"/>
    </row>
    <row r="616" spans="1:41" s="1624" customFormat="1" ht="18.75" customHeight="1" x14ac:dyDescent="0.15">
      <c r="A616" s="1627"/>
      <c r="B616" s="1627"/>
      <c r="C616" s="1627"/>
      <c r="D616" s="1626">
        <f>'2_入力シート【用途面積】'!$O71</f>
        <v>0</v>
      </c>
      <c r="E616" s="1672">
        <f t="shared" si="114"/>
        <v>0</v>
      </c>
      <c r="F616" s="1672" t="str">
        <f t="shared" si="115"/>
        <v>0</v>
      </c>
      <c r="G616" s="1672" t="str">
        <f t="shared" si="116"/>
        <v>0</v>
      </c>
      <c r="H616" s="1628"/>
      <c r="I616" s="1627"/>
      <c r="J616" s="1627"/>
      <c r="K616" s="1627"/>
      <c r="L616" s="1627"/>
      <c r="M616" s="1629"/>
      <c r="N616" s="1627"/>
      <c r="O616" s="1627"/>
      <c r="P616" s="1627"/>
      <c r="Q616" s="1627"/>
      <c r="R616" s="1627"/>
      <c r="S616" s="1627"/>
      <c r="T616" s="1627"/>
      <c r="U616" s="1789"/>
      <c r="V616" s="1781" t="s">
        <v>1602</v>
      </c>
      <c r="W616" s="1782" t="s">
        <v>1306</v>
      </c>
      <c r="X616" s="1639" t="s">
        <v>1599</v>
      </c>
      <c r="Y616" s="1633" t="s">
        <v>1306</v>
      </c>
      <c r="Z616" s="1640" t="s">
        <v>1595</v>
      </c>
      <c r="AA616" s="1790"/>
      <c r="AB616" s="1791"/>
      <c r="AC616" s="1637"/>
      <c r="AD616" s="1792"/>
      <c r="AE616" s="1637"/>
      <c r="AF616" s="1637"/>
      <c r="AG616" s="1637" t="str">
        <f t="shared" si="113"/>
        <v>階別用途別床面積-5-49階</v>
      </c>
      <c r="AH616" s="1637"/>
      <c r="AI616" s="1636"/>
      <c r="AJ616" s="1636"/>
      <c r="AK616" s="1636"/>
      <c r="AL616" s="1637"/>
      <c r="AM616" s="1637"/>
      <c r="AN616" s="1637"/>
      <c r="AO616" s="1637"/>
    </row>
    <row r="617" spans="1:41" s="1624" customFormat="1" ht="18.75" customHeight="1" x14ac:dyDescent="0.15">
      <c r="A617" s="1627"/>
      <c r="B617" s="1627"/>
      <c r="C617" s="1627"/>
      <c r="D617" s="1626">
        <f>'2_入力シート【用途面積】'!$O72</f>
        <v>0</v>
      </c>
      <c r="E617" s="1672">
        <f t="shared" si="114"/>
        <v>0</v>
      </c>
      <c r="F617" s="1672" t="str">
        <f t="shared" si="115"/>
        <v>0</v>
      </c>
      <c r="G617" s="1672" t="str">
        <f t="shared" si="116"/>
        <v>0</v>
      </c>
      <c r="H617" s="1628"/>
      <c r="I617" s="1627"/>
      <c r="J617" s="1627"/>
      <c r="K617" s="1627"/>
      <c r="L617" s="1627"/>
      <c r="M617" s="1629"/>
      <c r="N617" s="1627"/>
      <c r="O617" s="1627"/>
      <c r="P617" s="1627"/>
      <c r="Q617" s="1627"/>
      <c r="R617" s="1627"/>
      <c r="S617" s="1627"/>
      <c r="T617" s="1627"/>
      <c r="U617" s="1789"/>
      <c r="V617" s="1781" t="s">
        <v>1602</v>
      </c>
      <c r="W617" s="1782" t="s">
        <v>1306</v>
      </c>
      <c r="X617" s="1639" t="s">
        <v>1599</v>
      </c>
      <c r="Y617" s="1633" t="s">
        <v>1306</v>
      </c>
      <c r="Z617" s="1640" t="s">
        <v>1596</v>
      </c>
      <c r="AA617" s="1790"/>
      <c r="AB617" s="1791"/>
      <c r="AC617" s="1637"/>
      <c r="AD617" s="1792"/>
      <c r="AE617" s="1637"/>
      <c r="AF617" s="1637"/>
      <c r="AG617" s="1637" t="str">
        <f t="shared" si="113"/>
        <v>階別用途別床面積-5-50階</v>
      </c>
      <c r="AH617" s="1637"/>
      <c r="AI617" s="1636"/>
      <c r="AJ617" s="1636"/>
      <c r="AK617" s="1636"/>
      <c r="AL617" s="1637"/>
      <c r="AM617" s="1637"/>
      <c r="AN617" s="1637"/>
      <c r="AO617" s="1637"/>
    </row>
    <row r="618" spans="1:41" s="1624" customFormat="1" ht="18.75" customHeight="1" x14ac:dyDescent="0.15">
      <c r="A618" s="1627"/>
      <c r="B618" s="1627"/>
      <c r="C618" s="1627"/>
      <c r="D618" s="1626">
        <f>'2_入力シート【用途面積】'!$Q$4</f>
        <v>0</v>
      </c>
      <c r="E618" s="1672">
        <f t="shared" si="114"/>
        <v>0</v>
      </c>
      <c r="F618" s="1672" t="str">
        <f t="shared" si="115"/>
        <v>0</v>
      </c>
      <c r="G618" s="1672" t="str">
        <f t="shared" si="116"/>
        <v>0</v>
      </c>
      <c r="H618" s="1628"/>
      <c r="I618" s="1627"/>
      <c r="J618" s="1627"/>
      <c r="K618" s="1627"/>
      <c r="L618" s="1627"/>
      <c r="M618" s="1629"/>
      <c r="N618" s="1627"/>
      <c r="O618" s="1627"/>
      <c r="P618" s="1627"/>
      <c r="Q618" s="1627"/>
      <c r="R618" s="1627"/>
      <c r="S618" s="1627"/>
      <c r="T618" s="1627"/>
      <c r="U618" s="1789"/>
      <c r="V618" s="1781" t="s">
        <v>1602</v>
      </c>
      <c r="W618" s="1782" t="s">
        <v>1306</v>
      </c>
      <c r="X618" s="1639" t="s">
        <v>1335</v>
      </c>
      <c r="Y618" s="1633" t="s">
        <v>1306</v>
      </c>
      <c r="Z618" s="1640" t="s">
        <v>1597</v>
      </c>
      <c r="AA618" s="1790"/>
      <c r="AB618" s="1791"/>
      <c r="AC618" s="1637"/>
      <c r="AD618" s="1792"/>
      <c r="AE618" s="1637"/>
      <c r="AF618" s="1637"/>
      <c r="AG618" s="1637" t="str">
        <f t="shared" si="113"/>
        <v>階別用途別床面積-6-大分類</v>
      </c>
      <c r="AH618" s="1637"/>
      <c r="AI618" s="1636"/>
      <c r="AJ618" s="1636"/>
      <c r="AK618" s="1636"/>
      <c r="AL618" s="1637"/>
      <c r="AM618" s="1637"/>
      <c r="AN618" s="1637"/>
      <c r="AO618" s="1637"/>
    </row>
    <row r="619" spans="1:41" s="1624" customFormat="1" ht="18.75" customHeight="1" x14ac:dyDescent="0.15">
      <c r="A619" s="1627"/>
      <c r="B619" s="1627"/>
      <c r="C619" s="1627"/>
      <c r="D619" s="1626">
        <f>'2_入力シート【用途面積】'!$Q$7</f>
        <v>0</v>
      </c>
      <c r="E619" s="1672">
        <f t="shared" si="114"/>
        <v>0</v>
      </c>
      <c r="F619" s="1672" t="str">
        <f t="shared" si="115"/>
        <v>0</v>
      </c>
      <c r="G619" s="1672" t="str">
        <f t="shared" si="116"/>
        <v>0</v>
      </c>
      <c r="H619" s="1628"/>
      <c r="I619" s="1627"/>
      <c r="J619" s="1627"/>
      <c r="K619" s="1627"/>
      <c r="L619" s="1627"/>
      <c r="M619" s="1629"/>
      <c r="N619" s="1627"/>
      <c r="O619" s="1627"/>
      <c r="P619" s="1627"/>
      <c r="Q619" s="1627"/>
      <c r="R619" s="1627"/>
      <c r="S619" s="1627"/>
      <c r="T619" s="1627"/>
      <c r="U619" s="1789"/>
      <c r="V619" s="1781" t="s">
        <v>1602</v>
      </c>
      <c r="W619" s="1782" t="s">
        <v>1306</v>
      </c>
      <c r="X619" s="1639" t="s">
        <v>1335</v>
      </c>
      <c r="Y619" s="1633" t="s">
        <v>1306</v>
      </c>
      <c r="Z619" s="1640" t="s">
        <v>1598</v>
      </c>
      <c r="AA619" s="1790"/>
      <c r="AB619" s="1791"/>
      <c r="AC619" s="1637"/>
      <c r="AD619" s="1792"/>
      <c r="AE619" s="1637"/>
      <c r="AF619" s="1637"/>
      <c r="AG619" s="1637" t="str">
        <f t="shared" si="113"/>
        <v>階別用途別床面積-6-小分類</v>
      </c>
      <c r="AH619" s="1637"/>
      <c r="AI619" s="1636"/>
      <c r="AJ619" s="1636"/>
      <c r="AK619" s="1636"/>
      <c r="AL619" s="1637"/>
      <c r="AM619" s="1637"/>
      <c r="AN619" s="1637"/>
      <c r="AO619" s="1637"/>
    </row>
    <row r="620" spans="1:41" s="1624" customFormat="1" ht="18.75" customHeight="1" x14ac:dyDescent="0.15">
      <c r="A620" s="1627"/>
      <c r="B620" s="1627"/>
      <c r="C620" s="1627"/>
      <c r="D620" s="1626">
        <f>'2_入力シート【用途面積】'!$Q$12</f>
        <v>0</v>
      </c>
      <c r="E620" s="1672">
        <f t="shared" si="114"/>
        <v>0</v>
      </c>
      <c r="F620" s="1672" t="str">
        <f t="shared" si="115"/>
        <v>0</v>
      </c>
      <c r="G620" s="1672" t="str">
        <f t="shared" si="116"/>
        <v>0</v>
      </c>
      <c r="H620" s="1628"/>
      <c r="I620" s="1627"/>
      <c r="J620" s="1627"/>
      <c r="K620" s="1627"/>
      <c r="L620" s="1627"/>
      <c r="M620" s="1629"/>
      <c r="N620" s="1627"/>
      <c r="O620" s="1627"/>
      <c r="P620" s="1627"/>
      <c r="Q620" s="1627"/>
      <c r="R620" s="1627"/>
      <c r="S620" s="1627"/>
      <c r="T620" s="1627"/>
      <c r="U620" s="1780"/>
      <c r="V620" s="1781" t="s">
        <v>2434</v>
      </c>
      <c r="W620" s="1782" t="s">
        <v>1366</v>
      </c>
      <c r="X620" s="1639" t="s">
        <v>1335</v>
      </c>
      <c r="Y620" s="1633" t="s">
        <v>1366</v>
      </c>
      <c r="Z620" s="1640" t="s">
        <v>2433</v>
      </c>
      <c r="AA620" s="1783"/>
      <c r="AB620" s="1787"/>
      <c r="AC620" s="1698"/>
      <c r="AD620" s="1699"/>
      <c r="AE620" s="1698"/>
      <c r="AF620" s="1698"/>
      <c r="AG620" s="1637" t="str">
        <f t="shared" si="113"/>
        <v>階別用途別床面積-6-特記</v>
      </c>
      <c r="AH620" s="1637"/>
      <c r="AI620" s="1636"/>
      <c r="AJ620" s="1636"/>
      <c r="AK620" s="1636"/>
      <c r="AL620" s="1637"/>
      <c r="AM620" s="1637"/>
      <c r="AN620" s="1637"/>
      <c r="AO620" s="1637"/>
    </row>
    <row r="621" spans="1:41" s="1624" customFormat="1" ht="18.75" customHeight="1" x14ac:dyDescent="0.15">
      <c r="A621" s="1627"/>
      <c r="B621" s="1627"/>
      <c r="C621" s="1627"/>
      <c r="D621" s="1626">
        <f>'2_入力シート【用途面積】'!$Q14</f>
        <v>0</v>
      </c>
      <c r="E621" s="1672">
        <f t="shared" si="114"/>
        <v>0</v>
      </c>
      <c r="F621" s="1672" t="str">
        <f t="shared" si="115"/>
        <v>0</v>
      </c>
      <c r="G621" s="1672" t="str">
        <f t="shared" si="116"/>
        <v>0</v>
      </c>
      <c r="H621" s="1628"/>
      <c r="I621" s="1627"/>
      <c r="J621" s="1627"/>
      <c r="K621" s="1627"/>
      <c r="L621" s="1627"/>
      <c r="M621" s="1629"/>
      <c r="N621" s="1627"/>
      <c r="O621" s="1627"/>
      <c r="P621" s="1627"/>
      <c r="Q621" s="1627"/>
      <c r="R621" s="1627"/>
      <c r="S621" s="1627"/>
      <c r="T621" s="1627"/>
      <c r="U621" s="1789"/>
      <c r="V621" s="1781" t="s">
        <v>1602</v>
      </c>
      <c r="W621" s="1782" t="s">
        <v>1306</v>
      </c>
      <c r="X621" s="1639" t="s">
        <v>1600</v>
      </c>
      <c r="Y621" s="1633" t="s">
        <v>1306</v>
      </c>
      <c r="Z621" s="1640" t="s">
        <v>1538</v>
      </c>
      <c r="AA621" s="1790"/>
      <c r="AB621" s="1791"/>
      <c r="AC621" s="1637"/>
      <c r="AD621" s="1792"/>
      <c r="AE621" s="1637"/>
      <c r="AF621" s="1637"/>
      <c r="AG621" s="1637" t="str">
        <f t="shared" si="113"/>
        <v>階別用途別床面積-6-地下1階</v>
      </c>
      <c r="AH621" s="1637"/>
      <c r="AI621" s="1636"/>
      <c r="AJ621" s="1636"/>
      <c r="AK621" s="1636"/>
      <c r="AL621" s="1637"/>
      <c r="AM621" s="1637"/>
      <c r="AN621" s="1637"/>
      <c r="AO621" s="1637"/>
    </row>
    <row r="622" spans="1:41" s="1624" customFormat="1" ht="18.75" customHeight="1" x14ac:dyDescent="0.15">
      <c r="A622" s="1627"/>
      <c r="B622" s="1627"/>
      <c r="C622" s="1627"/>
      <c r="D622" s="1626">
        <f>'2_入力シート【用途面積】'!$Q15</f>
        <v>0</v>
      </c>
      <c r="E622" s="1672">
        <f t="shared" si="114"/>
        <v>0</v>
      </c>
      <c r="F622" s="1672" t="str">
        <f t="shared" si="115"/>
        <v>0</v>
      </c>
      <c r="G622" s="1672" t="str">
        <f t="shared" si="116"/>
        <v>0</v>
      </c>
      <c r="H622" s="1628"/>
      <c r="I622" s="1627"/>
      <c r="J622" s="1627"/>
      <c r="K622" s="1627"/>
      <c r="L622" s="1627"/>
      <c r="M622" s="1629"/>
      <c r="N622" s="1627"/>
      <c r="O622" s="1627"/>
      <c r="P622" s="1627"/>
      <c r="Q622" s="1627"/>
      <c r="R622" s="1627"/>
      <c r="S622" s="1627"/>
      <c r="T622" s="1627"/>
      <c r="U622" s="1789"/>
      <c r="V622" s="1781" t="s">
        <v>1602</v>
      </c>
      <c r="W622" s="1782" t="s">
        <v>1306</v>
      </c>
      <c r="X622" s="1639" t="s">
        <v>1600</v>
      </c>
      <c r="Y622" s="1633" t="s">
        <v>1306</v>
      </c>
      <c r="Z622" s="1640" t="s">
        <v>1539</v>
      </c>
      <c r="AA622" s="1790"/>
      <c r="AB622" s="1791"/>
      <c r="AC622" s="1637"/>
      <c r="AD622" s="1792"/>
      <c r="AE622" s="1637"/>
      <c r="AF622" s="1637"/>
      <c r="AG622" s="1637" t="str">
        <f t="shared" si="113"/>
        <v>階別用途別床面積-6-地下2階</v>
      </c>
      <c r="AH622" s="1637"/>
      <c r="AI622" s="1636"/>
      <c r="AJ622" s="1636"/>
      <c r="AK622" s="1636"/>
      <c r="AL622" s="1637"/>
      <c r="AM622" s="1637"/>
      <c r="AN622" s="1637"/>
      <c r="AO622" s="1637"/>
    </row>
    <row r="623" spans="1:41" s="1624" customFormat="1" ht="18.75" customHeight="1" x14ac:dyDescent="0.15">
      <c r="A623" s="1627"/>
      <c r="B623" s="1627"/>
      <c r="C623" s="1627"/>
      <c r="D623" s="1626">
        <f>'2_入力シート【用途面積】'!$Q16</f>
        <v>0</v>
      </c>
      <c r="E623" s="1672">
        <f t="shared" si="114"/>
        <v>0</v>
      </c>
      <c r="F623" s="1672" t="str">
        <f t="shared" si="115"/>
        <v>0</v>
      </c>
      <c r="G623" s="1672" t="str">
        <f t="shared" si="116"/>
        <v>0</v>
      </c>
      <c r="H623" s="1628"/>
      <c r="I623" s="1627"/>
      <c r="J623" s="1627"/>
      <c r="K623" s="1627"/>
      <c r="L623" s="1627"/>
      <c r="M623" s="1629"/>
      <c r="N623" s="1627"/>
      <c r="O623" s="1627"/>
      <c r="P623" s="1627"/>
      <c r="Q623" s="1627"/>
      <c r="R623" s="1627"/>
      <c r="S623" s="1627"/>
      <c r="T623" s="1627"/>
      <c r="U623" s="1789"/>
      <c r="V623" s="1781" t="s">
        <v>1602</v>
      </c>
      <c r="W623" s="1782" t="s">
        <v>1306</v>
      </c>
      <c r="X623" s="1639" t="s">
        <v>1600</v>
      </c>
      <c r="Y623" s="1633" t="s">
        <v>1306</v>
      </c>
      <c r="Z623" s="1640" t="s">
        <v>1540</v>
      </c>
      <c r="AA623" s="1790"/>
      <c r="AB623" s="1791"/>
      <c r="AC623" s="1637"/>
      <c r="AD623" s="1792"/>
      <c r="AE623" s="1637"/>
      <c r="AF623" s="1637"/>
      <c r="AG623" s="1637" t="str">
        <f t="shared" si="113"/>
        <v>階別用途別床面積-6-地下3階</v>
      </c>
      <c r="AH623" s="1637"/>
      <c r="AI623" s="1636"/>
      <c r="AJ623" s="1636"/>
      <c r="AK623" s="1636"/>
      <c r="AL623" s="1637"/>
      <c r="AM623" s="1637"/>
      <c r="AN623" s="1637"/>
      <c r="AO623" s="1637"/>
    </row>
    <row r="624" spans="1:41" s="1624" customFormat="1" ht="18.75" customHeight="1" x14ac:dyDescent="0.15">
      <c r="A624" s="1627"/>
      <c r="B624" s="1627"/>
      <c r="C624" s="1627"/>
      <c r="D624" s="1626">
        <f>'2_入力シート【用途面積】'!$Q17</f>
        <v>0</v>
      </c>
      <c r="E624" s="1672">
        <f t="shared" si="114"/>
        <v>0</v>
      </c>
      <c r="F624" s="1672" t="str">
        <f t="shared" si="115"/>
        <v>0</v>
      </c>
      <c r="G624" s="1672" t="str">
        <f t="shared" si="116"/>
        <v>0</v>
      </c>
      <c r="H624" s="1628"/>
      <c r="I624" s="1627"/>
      <c r="J624" s="1627"/>
      <c r="K624" s="1627"/>
      <c r="L624" s="1627"/>
      <c r="M624" s="1629"/>
      <c r="N624" s="1627"/>
      <c r="O624" s="1627"/>
      <c r="P624" s="1627"/>
      <c r="Q624" s="1627"/>
      <c r="R624" s="1627"/>
      <c r="S624" s="1627"/>
      <c r="T624" s="1627"/>
      <c r="U624" s="1789"/>
      <c r="V624" s="1781" t="s">
        <v>1602</v>
      </c>
      <c r="W624" s="1782" t="s">
        <v>1306</v>
      </c>
      <c r="X624" s="1639" t="s">
        <v>1600</v>
      </c>
      <c r="Y624" s="1633" t="s">
        <v>1306</v>
      </c>
      <c r="Z624" s="1640" t="s">
        <v>1541</v>
      </c>
      <c r="AA624" s="1790"/>
      <c r="AB624" s="1791"/>
      <c r="AC624" s="1637"/>
      <c r="AD624" s="1792"/>
      <c r="AE624" s="1637"/>
      <c r="AF624" s="1637"/>
      <c r="AG624" s="1637" t="str">
        <f t="shared" si="113"/>
        <v>階別用途別床面積-6-地下4階</v>
      </c>
      <c r="AH624" s="1637"/>
      <c r="AI624" s="1636"/>
      <c r="AJ624" s="1636"/>
      <c r="AK624" s="1636"/>
      <c r="AL624" s="1637"/>
      <c r="AM624" s="1637"/>
      <c r="AN624" s="1637"/>
      <c r="AO624" s="1637"/>
    </row>
    <row r="625" spans="1:41" s="1624" customFormat="1" ht="18.75" customHeight="1" x14ac:dyDescent="0.15">
      <c r="A625" s="1627"/>
      <c r="B625" s="1627"/>
      <c r="C625" s="1627"/>
      <c r="D625" s="1626">
        <f>'2_入力シート【用途面積】'!$Q18</f>
        <v>0</v>
      </c>
      <c r="E625" s="1672">
        <f t="shared" si="114"/>
        <v>0</v>
      </c>
      <c r="F625" s="1672" t="str">
        <f t="shared" si="115"/>
        <v>0</v>
      </c>
      <c r="G625" s="1672" t="str">
        <f t="shared" si="116"/>
        <v>0</v>
      </c>
      <c r="H625" s="1628"/>
      <c r="I625" s="1627"/>
      <c r="J625" s="1627"/>
      <c r="K625" s="1627"/>
      <c r="L625" s="1627"/>
      <c r="M625" s="1629"/>
      <c r="N625" s="1627"/>
      <c r="O625" s="1627"/>
      <c r="P625" s="1627"/>
      <c r="Q625" s="1627"/>
      <c r="R625" s="1627"/>
      <c r="S625" s="1627"/>
      <c r="T625" s="1627"/>
      <c r="U625" s="1789"/>
      <c r="V625" s="1781" t="s">
        <v>1602</v>
      </c>
      <c r="W625" s="1782" t="s">
        <v>1306</v>
      </c>
      <c r="X625" s="1639" t="s">
        <v>1600</v>
      </c>
      <c r="Y625" s="1633" t="s">
        <v>1306</v>
      </c>
      <c r="Z625" s="1640" t="s">
        <v>1542</v>
      </c>
      <c r="AA625" s="1790"/>
      <c r="AB625" s="1791"/>
      <c r="AC625" s="1637"/>
      <c r="AD625" s="1792"/>
      <c r="AE625" s="1637"/>
      <c r="AF625" s="1637"/>
      <c r="AG625" s="1637" t="str">
        <f t="shared" si="113"/>
        <v>階別用途別床面積-6-塔屋 1階</v>
      </c>
      <c r="AH625" s="1637"/>
      <c r="AI625" s="1636"/>
      <c r="AJ625" s="1636"/>
      <c r="AK625" s="1636"/>
      <c r="AL625" s="1637"/>
      <c r="AM625" s="1637"/>
      <c r="AN625" s="1637"/>
      <c r="AO625" s="1637"/>
    </row>
    <row r="626" spans="1:41" s="1624" customFormat="1" ht="18.75" customHeight="1" x14ac:dyDescent="0.15">
      <c r="A626" s="1627"/>
      <c r="B626" s="1627"/>
      <c r="C626" s="1627"/>
      <c r="D626" s="1626">
        <f>'2_入力シート【用途面積】'!$Q19</f>
        <v>0</v>
      </c>
      <c r="E626" s="1672">
        <f t="shared" si="114"/>
        <v>0</v>
      </c>
      <c r="F626" s="1672" t="str">
        <f t="shared" si="115"/>
        <v>0</v>
      </c>
      <c r="G626" s="1672" t="str">
        <f t="shared" si="116"/>
        <v>0</v>
      </c>
      <c r="H626" s="1628"/>
      <c r="I626" s="1627"/>
      <c r="J626" s="1627"/>
      <c r="K626" s="1627"/>
      <c r="L626" s="1627"/>
      <c r="M626" s="1629"/>
      <c r="N626" s="1627"/>
      <c r="O626" s="1627"/>
      <c r="P626" s="1627"/>
      <c r="Q626" s="1627"/>
      <c r="R626" s="1627"/>
      <c r="S626" s="1627"/>
      <c r="T626" s="1627"/>
      <c r="U626" s="1789"/>
      <c r="V626" s="1781" t="s">
        <v>1602</v>
      </c>
      <c r="W626" s="1782" t="s">
        <v>1306</v>
      </c>
      <c r="X626" s="1639" t="s">
        <v>1600</v>
      </c>
      <c r="Y626" s="1633" t="s">
        <v>1306</v>
      </c>
      <c r="Z626" s="1640" t="s">
        <v>1543</v>
      </c>
      <c r="AA626" s="1790"/>
      <c r="AB626" s="1791"/>
      <c r="AC626" s="1637"/>
      <c r="AD626" s="1792"/>
      <c r="AE626" s="1637"/>
      <c r="AF626" s="1637"/>
      <c r="AG626" s="1637" t="str">
        <f t="shared" si="113"/>
        <v>階別用途別床面積-6-塔屋 2階</v>
      </c>
      <c r="AH626" s="1637"/>
      <c r="AI626" s="1636"/>
      <c r="AJ626" s="1636"/>
      <c r="AK626" s="1636"/>
      <c r="AL626" s="1637"/>
      <c r="AM626" s="1637"/>
      <c r="AN626" s="1637"/>
      <c r="AO626" s="1637"/>
    </row>
    <row r="627" spans="1:41" s="1624" customFormat="1" ht="18.75" customHeight="1" x14ac:dyDescent="0.15">
      <c r="A627" s="1627"/>
      <c r="B627" s="1627"/>
      <c r="C627" s="1627"/>
      <c r="D627" s="1626">
        <f>'2_入力シート【用途面積】'!$Q20</f>
        <v>0</v>
      </c>
      <c r="E627" s="1672">
        <f t="shared" si="114"/>
        <v>0</v>
      </c>
      <c r="F627" s="1672" t="str">
        <f t="shared" si="115"/>
        <v>0</v>
      </c>
      <c r="G627" s="1672" t="str">
        <f t="shared" si="116"/>
        <v>0</v>
      </c>
      <c r="H627" s="1628"/>
      <c r="I627" s="1627"/>
      <c r="J627" s="1627"/>
      <c r="K627" s="1627"/>
      <c r="L627" s="1627"/>
      <c r="M627" s="1629"/>
      <c r="N627" s="1627"/>
      <c r="O627" s="1627"/>
      <c r="P627" s="1627"/>
      <c r="Q627" s="1627"/>
      <c r="R627" s="1627"/>
      <c r="S627" s="1627"/>
      <c r="T627" s="1627"/>
      <c r="U627" s="1789"/>
      <c r="V627" s="1781" t="s">
        <v>1602</v>
      </c>
      <c r="W627" s="1782" t="s">
        <v>1306</v>
      </c>
      <c r="X627" s="1639" t="s">
        <v>1600</v>
      </c>
      <c r="Y627" s="1633" t="s">
        <v>1306</v>
      </c>
      <c r="Z627" s="1640" t="s">
        <v>1544</v>
      </c>
      <c r="AA627" s="1790"/>
      <c r="AB627" s="1791"/>
      <c r="AC627" s="1637"/>
      <c r="AD627" s="1792"/>
      <c r="AE627" s="1637"/>
      <c r="AF627" s="1637"/>
      <c r="AG627" s="1637" t="str">
        <f t="shared" si="113"/>
        <v>階別用途別床面積-6-塔屋 3階</v>
      </c>
      <c r="AH627" s="1637"/>
      <c r="AI627" s="1636"/>
      <c r="AJ627" s="1636"/>
      <c r="AK627" s="1636"/>
      <c r="AL627" s="1637"/>
      <c r="AM627" s="1637"/>
      <c r="AN627" s="1637"/>
      <c r="AO627" s="1637"/>
    </row>
    <row r="628" spans="1:41" s="1637" customFormat="1" ht="18.75" customHeight="1" x14ac:dyDescent="0.15">
      <c r="A628" s="1627"/>
      <c r="B628" s="1627"/>
      <c r="C628" s="1627"/>
      <c r="D628" s="1626">
        <f>'2_入力シート【用途面積】'!$Q21</f>
        <v>0</v>
      </c>
      <c r="E628" s="1672">
        <f t="shared" si="114"/>
        <v>0</v>
      </c>
      <c r="F628" s="1672" t="str">
        <f t="shared" si="115"/>
        <v>0</v>
      </c>
      <c r="G628" s="1672" t="str">
        <f t="shared" si="116"/>
        <v>0</v>
      </c>
      <c r="H628" s="1628"/>
      <c r="I628" s="1627"/>
      <c r="J628" s="1627"/>
      <c r="K628" s="1627"/>
      <c r="L628" s="1627"/>
      <c r="M628" s="1629"/>
      <c r="N628" s="1627"/>
      <c r="O628" s="1627"/>
      <c r="P628" s="1627"/>
      <c r="Q628" s="1627"/>
      <c r="R628" s="1627"/>
      <c r="S628" s="1627"/>
      <c r="T628" s="1627"/>
      <c r="U628" s="1789"/>
      <c r="V628" s="1781" t="s">
        <v>1602</v>
      </c>
      <c r="W628" s="1782" t="s">
        <v>1306</v>
      </c>
      <c r="X628" s="1639" t="s">
        <v>1600</v>
      </c>
      <c r="Y628" s="1633" t="s">
        <v>1306</v>
      </c>
      <c r="Z628" s="1640" t="s">
        <v>1545</v>
      </c>
      <c r="AA628" s="1790"/>
      <c r="AB628" s="1791"/>
      <c r="AD628" s="1792"/>
      <c r="AG628" s="1637" t="str">
        <f t="shared" si="113"/>
        <v>階別用途別床面積-6-塔屋 4階</v>
      </c>
      <c r="AI628" s="1636"/>
      <c r="AJ628" s="1636"/>
      <c r="AK628" s="1636"/>
    </row>
    <row r="629" spans="1:41" s="1637" customFormat="1" ht="18.75" customHeight="1" x14ac:dyDescent="0.15">
      <c r="A629" s="1627"/>
      <c r="B629" s="1627"/>
      <c r="C629" s="1627"/>
      <c r="D629" s="1626">
        <f>'2_入力シート【用途面積】'!$Q22</f>
        <v>0</v>
      </c>
      <c r="E629" s="1672">
        <f t="shared" si="114"/>
        <v>0</v>
      </c>
      <c r="F629" s="1672" t="str">
        <f t="shared" si="115"/>
        <v>0</v>
      </c>
      <c r="G629" s="1672" t="str">
        <f t="shared" si="116"/>
        <v>0</v>
      </c>
      <c r="H629" s="1628"/>
      <c r="I629" s="1627"/>
      <c r="J629" s="1627"/>
      <c r="K629" s="1627"/>
      <c r="L629" s="1627"/>
      <c r="M629" s="1629"/>
      <c r="N629" s="1627"/>
      <c r="O629" s="1627"/>
      <c r="P629" s="1627"/>
      <c r="Q629" s="1627"/>
      <c r="R629" s="1627"/>
      <c r="S629" s="1627"/>
      <c r="T629" s="1627"/>
      <c r="U629" s="1789"/>
      <c r="V629" s="1781" t="s">
        <v>1602</v>
      </c>
      <c r="W629" s="1782" t="s">
        <v>1306</v>
      </c>
      <c r="X629" s="1639" t="s">
        <v>1600</v>
      </c>
      <c r="Y629" s="1633" t="s">
        <v>1306</v>
      </c>
      <c r="Z629" s="1640" t="s">
        <v>1546</v>
      </c>
      <c r="AA629" s="1790"/>
      <c r="AB629" s="1791"/>
      <c r="AD629" s="1792"/>
      <c r="AG629" s="1637" t="str">
        <f t="shared" si="113"/>
        <v>階別用途別床面積-6-塔屋 5階</v>
      </c>
      <c r="AI629" s="1636"/>
      <c r="AJ629" s="1636"/>
      <c r="AK629" s="1636"/>
    </row>
    <row r="630" spans="1:41" s="1637" customFormat="1" ht="18.75" customHeight="1" x14ac:dyDescent="0.15">
      <c r="A630" s="1627"/>
      <c r="B630" s="1627"/>
      <c r="C630" s="1627"/>
      <c r="D630" s="1626">
        <f>'2_入力シート【用途面積】'!$Q23</f>
        <v>0</v>
      </c>
      <c r="E630" s="1672">
        <f t="shared" si="114"/>
        <v>0</v>
      </c>
      <c r="F630" s="1672" t="str">
        <f t="shared" si="115"/>
        <v>0</v>
      </c>
      <c r="G630" s="1672" t="str">
        <f t="shared" si="116"/>
        <v>0</v>
      </c>
      <c r="H630" s="1628"/>
      <c r="I630" s="1627"/>
      <c r="J630" s="1627"/>
      <c r="K630" s="1627"/>
      <c r="L630" s="1627"/>
      <c r="M630" s="1629"/>
      <c r="N630" s="1627"/>
      <c r="O630" s="1627"/>
      <c r="P630" s="1627"/>
      <c r="Q630" s="1627"/>
      <c r="R630" s="1627"/>
      <c r="S630" s="1627"/>
      <c r="T630" s="1627"/>
      <c r="U630" s="1789"/>
      <c r="V630" s="1781" t="s">
        <v>1602</v>
      </c>
      <c r="W630" s="1782" t="s">
        <v>1306</v>
      </c>
      <c r="X630" s="1639" t="s">
        <v>1600</v>
      </c>
      <c r="Y630" s="1633" t="s">
        <v>1306</v>
      </c>
      <c r="Z630" s="1640" t="s">
        <v>1547</v>
      </c>
      <c r="AA630" s="1790"/>
      <c r="AB630" s="1791"/>
      <c r="AD630" s="1792"/>
      <c r="AG630" s="1637" t="str">
        <f t="shared" si="113"/>
        <v>階別用途別床面積-6-1階</v>
      </c>
      <c r="AI630" s="1636"/>
      <c r="AJ630" s="1636"/>
      <c r="AK630" s="1636"/>
    </row>
    <row r="631" spans="1:41" s="1637" customFormat="1" ht="18.75" customHeight="1" x14ac:dyDescent="0.15">
      <c r="A631" s="1627"/>
      <c r="B631" s="1627"/>
      <c r="C631" s="1627"/>
      <c r="D631" s="1626">
        <f>'2_入力シート【用途面積】'!$Q24</f>
        <v>0</v>
      </c>
      <c r="E631" s="1672">
        <f t="shared" si="114"/>
        <v>0</v>
      </c>
      <c r="F631" s="1672" t="str">
        <f t="shared" si="115"/>
        <v>0</v>
      </c>
      <c r="G631" s="1672" t="str">
        <f t="shared" si="116"/>
        <v>0</v>
      </c>
      <c r="H631" s="1628"/>
      <c r="I631" s="1627"/>
      <c r="J631" s="1627"/>
      <c r="K631" s="1627"/>
      <c r="L631" s="1627"/>
      <c r="M631" s="1629"/>
      <c r="N631" s="1627"/>
      <c r="O631" s="1627"/>
      <c r="P631" s="1627"/>
      <c r="Q631" s="1627"/>
      <c r="R631" s="1627"/>
      <c r="S631" s="1627"/>
      <c r="T631" s="1627"/>
      <c r="U631" s="1789"/>
      <c r="V631" s="1781" t="s">
        <v>1602</v>
      </c>
      <c r="W631" s="1782" t="s">
        <v>1306</v>
      </c>
      <c r="X631" s="1639" t="s">
        <v>1600</v>
      </c>
      <c r="Y631" s="1633" t="s">
        <v>1306</v>
      </c>
      <c r="Z631" s="1640" t="s">
        <v>1548</v>
      </c>
      <c r="AA631" s="1790"/>
      <c r="AB631" s="1791"/>
      <c r="AD631" s="1792"/>
      <c r="AG631" s="1637" t="str">
        <f t="shared" si="113"/>
        <v>階別用途別床面積-6-2階</v>
      </c>
      <c r="AI631" s="1636"/>
      <c r="AJ631" s="1636"/>
      <c r="AK631" s="1636"/>
    </row>
    <row r="632" spans="1:41" s="1637" customFormat="1" ht="18.75" customHeight="1" x14ac:dyDescent="0.15">
      <c r="A632" s="1627"/>
      <c r="B632" s="1627"/>
      <c r="C632" s="1627"/>
      <c r="D632" s="1626">
        <f>'2_入力シート【用途面積】'!$Q25</f>
        <v>0</v>
      </c>
      <c r="E632" s="1672">
        <f t="shared" si="114"/>
        <v>0</v>
      </c>
      <c r="F632" s="1672" t="str">
        <f t="shared" si="115"/>
        <v>0</v>
      </c>
      <c r="G632" s="1672" t="str">
        <f t="shared" si="116"/>
        <v>0</v>
      </c>
      <c r="H632" s="1628"/>
      <c r="I632" s="1627"/>
      <c r="J632" s="1627"/>
      <c r="K632" s="1627"/>
      <c r="L632" s="1627"/>
      <c r="M632" s="1629"/>
      <c r="N632" s="1627"/>
      <c r="O632" s="1627"/>
      <c r="P632" s="1627"/>
      <c r="Q632" s="1627"/>
      <c r="R632" s="1627"/>
      <c r="S632" s="1627"/>
      <c r="T632" s="1627"/>
      <c r="U632" s="1789"/>
      <c r="V632" s="1781" t="s">
        <v>1602</v>
      </c>
      <c r="W632" s="1782" t="s">
        <v>1306</v>
      </c>
      <c r="X632" s="1639" t="s">
        <v>1600</v>
      </c>
      <c r="Y632" s="1633" t="s">
        <v>1306</v>
      </c>
      <c r="Z632" s="1640" t="s">
        <v>1549</v>
      </c>
      <c r="AA632" s="1790"/>
      <c r="AB632" s="1791"/>
      <c r="AD632" s="1792"/>
      <c r="AG632" s="1637" t="str">
        <f t="shared" si="113"/>
        <v>階別用途別床面積-6-3階</v>
      </c>
      <c r="AI632" s="1636"/>
      <c r="AJ632" s="1636"/>
      <c r="AK632" s="1636"/>
    </row>
    <row r="633" spans="1:41" s="1637" customFormat="1" ht="18.75" customHeight="1" x14ac:dyDescent="0.15">
      <c r="A633" s="1627"/>
      <c r="B633" s="1627"/>
      <c r="C633" s="1627"/>
      <c r="D633" s="1626">
        <f>'2_入力シート【用途面積】'!$Q26</f>
        <v>0</v>
      </c>
      <c r="E633" s="1672">
        <f t="shared" si="114"/>
        <v>0</v>
      </c>
      <c r="F633" s="1672" t="str">
        <f t="shared" si="115"/>
        <v>0</v>
      </c>
      <c r="G633" s="1672" t="str">
        <f t="shared" si="116"/>
        <v>0</v>
      </c>
      <c r="H633" s="1628"/>
      <c r="I633" s="1627"/>
      <c r="J633" s="1627"/>
      <c r="K633" s="1627"/>
      <c r="L633" s="1627"/>
      <c r="M633" s="1629"/>
      <c r="N633" s="1627"/>
      <c r="O633" s="1627"/>
      <c r="P633" s="1627"/>
      <c r="Q633" s="1627"/>
      <c r="R633" s="1627"/>
      <c r="S633" s="1627"/>
      <c r="T633" s="1627"/>
      <c r="U633" s="1789"/>
      <c r="V633" s="1781" t="s">
        <v>1602</v>
      </c>
      <c r="W633" s="1782" t="s">
        <v>1306</v>
      </c>
      <c r="X633" s="1639" t="s">
        <v>1600</v>
      </c>
      <c r="Y633" s="1633" t="s">
        <v>1306</v>
      </c>
      <c r="Z633" s="1640" t="s">
        <v>1550</v>
      </c>
      <c r="AA633" s="1790"/>
      <c r="AB633" s="1791"/>
      <c r="AD633" s="1792"/>
      <c r="AG633" s="1637" t="str">
        <f t="shared" si="113"/>
        <v>階別用途別床面積-6-4階</v>
      </c>
      <c r="AI633" s="1636"/>
      <c r="AJ633" s="1636"/>
      <c r="AK633" s="1636"/>
    </row>
    <row r="634" spans="1:41" s="1637" customFormat="1" ht="18.75" customHeight="1" x14ac:dyDescent="0.15">
      <c r="A634" s="1627"/>
      <c r="B634" s="1627"/>
      <c r="C634" s="1627"/>
      <c r="D634" s="1626">
        <f>'2_入力シート【用途面積】'!$Q27</f>
        <v>0</v>
      </c>
      <c r="E634" s="1672">
        <f t="shared" si="114"/>
        <v>0</v>
      </c>
      <c r="F634" s="1672" t="str">
        <f t="shared" si="115"/>
        <v>0</v>
      </c>
      <c r="G634" s="1672" t="str">
        <f t="shared" si="116"/>
        <v>0</v>
      </c>
      <c r="H634" s="1628"/>
      <c r="I634" s="1627"/>
      <c r="J634" s="1627"/>
      <c r="K634" s="1627"/>
      <c r="L634" s="1627"/>
      <c r="M634" s="1629"/>
      <c r="N634" s="1627"/>
      <c r="O634" s="1627"/>
      <c r="P634" s="1627"/>
      <c r="Q634" s="1627"/>
      <c r="R634" s="1627"/>
      <c r="S634" s="1627"/>
      <c r="T634" s="1627"/>
      <c r="U634" s="1789"/>
      <c r="V634" s="1781" t="s">
        <v>1602</v>
      </c>
      <c r="W634" s="1782" t="s">
        <v>1306</v>
      </c>
      <c r="X634" s="1639" t="s">
        <v>1600</v>
      </c>
      <c r="Y634" s="1633" t="s">
        <v>1306</v>
      </c>
      <c r="Z634" s="1640" t="s">
        <v>1551</v>
      </c>
      <c r="AA634" s="1790"/>
      <c r="AB634" s="1791"/>
      <c r="AD634" s="1792"/>
      <c r="AG634" s="1637" t="str">
        <f t="shared" si="113"/>
        <v>階別用途別床面積-6-5階</v>
      </c>
      <c r="AI634" s="1636"/>
      <c r="AJ634" s="1636"/>
      <c r="AK634" s="1636"/>
    </row>
    <row r="635" spans="1:41" s="1637" customFormat="1" ht="18.75" customHeight="1" x14ac:dyDescent="0.15">
      <c r="A635" s="1627"/>
      <c r="B635" s="1627"/>
      <c r="C635" s="1627"/>
      <c r="D635" s="1626">
        <f>'2_入力シート【用途面積】'!$Q28</f>
        <v>0</v>
      </c>
      <c r="E635" s="1672">
        <f t="shared" si="114"/>
        <v>0</v>
      </c>
      <c r="F635" s="1672" t="str">
        <f t="shared" si="115"/>
        <v>0</v>
      </c>
      <c r="G635" s="1672" t="str">
        <f t="shared" si="116"/>
        <v>0</v>
      </c>
      <c r="H635" s="1628"/>
      <c r="I635" s="1627"/>
      <c r="J635" s="1627"/>
      <c r="K635" s="1627"/>
      <c r="L635" s="1627"/>
      <c r="M635" s="1629"/>
      <c r="N635" s="1627"/>
      <c r="O635" s="1627"/>
      <c r="P635" s="1627"/>
      <c r="Q635" s="1627"/>
      <c r="R635" s="1627"/>
      <c r="S635" s="1627"/>
      <c r="T635" s="1627"/>
      <c r="U635" s="1789"/>
      <c r="V635" s="1781" t="s">
        <v>1602</v>
      </c>
      <c r="W635" s="1782" t="s">
        <v>1306</v>
      </c>
      <c r="X635" s="1639" t="s">
        <v>1600</v>
      </c>
      <c r="Y635" s="1633" t="s">
        <v>1306</v>
      </c>
      <c r="Z635" s="1640" t="s">
        <v>1552</v>
      </c>
      <c r="AA635" s="1790"/>
      <c r="AB635" s="1791"/>
      <c r="AD635" s="1792"/>
      <c r="AG635" s="1637" t="str">
        <f t="shared" si="113"/>
        <v>階別用途別床面積-6-6階</v>
      </c>
      <c r="AI635" s="1636"/>
      <c r="AJ635" s="1636"/>
      <c r="AK635" s="1636"/>
    </row>
    <row r="636" spans="1:41" s="1637" customFormat="1" ht="18.75" customHeight="1" x14ac:dyDescent="0.15">
      <c r="A636" s="1627"/>
      <c r="B636" s="1627"/>
      <c r="C636" s="1627"/>
      <c r="D636" s="1626">
        <f>'2_入力シート【用途面積】'!$Q29</f>
        <v>0</v>
      </c>
      <c r="E636" s="1672">
        <f t="shared" si="114"/>
        <v>0</v>
      </c>
      <c r="F636" s="1672" t="str">
        <f t="shared" si="115"/>
        <v>0</v>
      </c>
      <c r="G636" s="1672" t="str">
        <f t="shared" si="116"/>
        <v>0</v>
      </c>
      <c r="H636" s="1628"/>
      <c r="I636" s="1627"/>
      <c r="J636" s="1627"/>
      <c r="K636" s="1627"/>
      <c r="L636" s="1627"/>
      <c r="M636" s="1629"/>
      <c r="N636" s="1627"/>
      <c r="O636" s="1627"/>
      <c r="P636" s="1627"/>
      <c r="Q636" s="1627"/>
      <c r="R636" s="1627"/>
      <c r="S636" s="1627"/>
      <c r="T636" s="1627"/>
      <c r="U636" s="1789"/>
      <c r="V636" s="1781" t="s">
        <v>1602</v>
      </c>
      <c r="W636" s="1782" t="s">
        <v>1306</v>
      </c>
      <c r="X636" s="1639" t="s">
        <v>1600</v>
      </c>
      <c r="Y636" s="1633" t="s">
        <v>1306</v>
      </c>
      <c r="Z636" s="1640" t="s">
        <v>1553</v>
      </c>
      <c r="AA636" s="1790"/>
      <c r="AB636" s="1791"/>
      <c r="AD636" s="1792"/>
      <c r="AG636" s="1637" t="str">
        <f t="shared" si="113"/>
        <v>階別用途別床面積-6-7階</v>
      </c>
      <c r="AI636" s="1636"/>
      <c r="AJ636" s="1636"/>
      <c r="AK636" s="1636"/>
    </row>
    <row r="637" spans="1:41" s="1637" customFormat="1" ht="18.75" customHeight="1" x14ac:dyDescent="0.15">
      <c r="A637" s="1627"/>
      <c r="B637" s="1627"/>
      <c r="C637" s="1627"/>
      <c r="D637" s="1626">
        <f>'2_入力シート【用途面積】'!$Q30</f>
        <v>0</v>
      </c>
      <c r="E637" s="1672">
        <f t="shared" si="114"/>
        <v>0</v>
      </c>
      <c r="F637" s="1672" t="str">
        <f t="shared" si="115"/>
        <v>0</v>
      </c>
      <c r="G637" s="1672" t="str">
        <f t="shared" si="116"/>
        <v>0</v>
      </c>
      <c r="H637" s="1628"/>
      <c r="I637" s="1627"/>
      <c r="J637" s="1627"/>
      <c r="K637" s="1627"/>
      <c r="L637" s="1627"/>
      <c r="M637" s="1629"/>
      <c r="N637" s="1627"/>
      <c r="O637" s="1627"/>
      <c r="P637" s="1627"/>
      <c r="Q637" s="1627"/>
      <c r="R637" s="1627"/>
      <c r="S637" s="1627"/>
      <c r="T637" s="1627"/>
      <c r="U637" s="1789"/>
      <c r="V637" s="1781" t="s">
        <v>1602</v>
      </c>
      <c r="W637" s="1782" t="s">
        <v>1306</v>
      </c>
      <c r="X637" s="1639" t="s">
        <v>1600</v>
      </c>
      <c r="Y637" s="1633" t="s">
        <v>1306</v>
      </c>
      <c r="Z637" s="1640" t="s">
        <v>1554</v>
      </c>
      <c r="AA637" s="1790"/>
      <c r="AB637" s="1791"/>
      <c r="AD637" s="1792"/>
      <c r="AG637" s="1637" t="str">
        <f t="shared" si="113"/>
        <v>階別用途別床面積-6-8階</v>
      </c>
      <c r="AI637" s="1636"/>
      <c r="AJ637" s="1636"/>
      <c r="AK637" s="1636"/>
    </row>
    <row r="638" spans="1:41" s="1637" customFormat="1" ht="18.75" customHeight="1" x14ac:dyDescent="0.15">
      <c r="A638" s="1627"/>
      <c r="B638" s="1627"/>
      <c r="C638" s="1627"/>
      <c r="D638" s="1626">
        <f>'2_入力シート【用途面積】'!$Q31</f>
        <v>0</v>
      </c>
      <c r="E638" s="1672">
        <f t="shared" si="114"/>
        <v>0</v>
      </c>
      <c r="F638" s="1672" t="str">
        <f t="shared" si="115"/>
        <v>0</v>
      </c>
      <c r="G638" s="1672" t="str">
        <f t="shared" si="116"/>
        <v>0</v>
      </c>
      <c r="H638" s="1628"/>
      <c r="I638" s="1627"/>
      <c r="J638" s="1627"/>
      <c r="K638" s="1627"/>
      <c r="L638" s="1627"/>
      <c r="M638" s="1629"/>
      <c r="N638" s="1627"/>
      <c r="O638" s="1627"/>
      <c r="P638" s="1627"/>
      <c r="Q638" s="1627"/>
      <c r="R638" s="1627"/>
      <c r="S638" s="1627"/>
      <c r="T638" s="1627"/>
      <c r="U638" s="1789"/>
      <c r="V638" s="1781" t="s">
        <v>1602</v>
      </c>
      <c r="W638" s="1782" t="s">
        <v>1306</v>
      </c>
      <c r="X638" s="1639" t="s">
        <v>1600</v>
      </c>
      <c r="Y638" s="1633" t="s">
        <v>1306</v>
      </c>
      <c r="Z638" s="1640" t="s">
        <v>1555</v>
      </c>
      <c r="AA638" s="1790"/>
      <c r="AB638" s="1791"/>
      <c r="AD638" s="1792"/>
      <c r="AG638" s="1637" t="str">
        <f t="shared" si="113"/>
        <v>階別用途別床面積-6-9階</v>
      </c>
      <c r="AI638" s="1636"/>
      <c r="AJ638" s="1636"/>
      <c r="AK638" s="1636"/>
    </row>
    <row r="639" spans="1:41" s="1637" customFormat="1" ht="18.75" customHeight="1" x14ac:dyDescent="0.15">
      <c r="A639" s="1627"/>
      <c r="B639" s="1627"/>
      <c r="C639" s="1627"/>
      <c r="D639" s="1626">
        <f>'2_入力シート【用途面積】'!$Q32</f>
        <v>0</v>
      </c>
      <c r="E639" s="1672">
        <f t="shared" si="114"/>
        <v>0</v>
      </c>
      <c r="F639" s="1672" t="str">
        <f t="shared" si="115"/>
        <v>0</v>
      </c>
      <c r="G639" s="1672" t="str">
        <f t="shared" si="116"/>
        <v>0</v>
      </c>
      <c r="H639" s="1628"/>
      <c r="I639" s="1627"/>
      <c r="J639" s="1627"/>
      <c r="K639" s="1627"/>
      <c r="L639" s="1627"/>
      <c r="M639" s="1629"/>
      <c r="N639" s="1627"/>
      <c r="O639" s="1627"/>
      <c r="P639" s="1627"/>
      <c r="Q639" s="1627"/>
      <c r="R639" s="1627"/>
      <c r="S639" s="1627"/>
      <c r="T639" s="1627"/>
      <c r="U639" s="1789"/>
      <c r="V639" s="1781" t="s">
        <v>1602</v>
      </c>
      <c r="W639" s="1782" t="s">
        <v>1306</v>
      </c>
      <c r="X639" s="1639" t="s">
        <v>1600</v>
      </c>
      <c r="Y639" s="1633" t="s">
        <v>1306</v>
      </c>
      <c r="Z639" s="1640" t="s">
        <v>1556</v>
      </c>
      <c r="AA639" s="1790"/>
      <c r="AB639" s="1791"/>
      <c r="AD639" s="1792"/>
      <c r="AG639" s="1637" t="str">
        <f t="shared" si="113"/>
        <v>階別用途別床面積-6-10階</v>
      </c>
      <c r="AI639" s="1636"/>
      <c r="AJ639" s="1636"/>
      <c r="AK639" s="1636"/>
    </row>
    <row r="640" spans="1:41" s="1637" customFormat="1" ht="18.75" customHeight="1" x14ac:dyDescent="0.15">
      <c r="A640" s="1627"/>
      <c r="B640" s="1627"/>
      <c r="C640" s="1627"/>
      <c r="D640" s="1626">
        <f>'2_入力シート【用途面積】'!$Q33</f>
        <v>0</v>
      </c>
      <c r="E640" s="1672">
        <f t="shared" si="114"/>
        <v>0</v>
      </c>
      <c r="F640" s="1672" t="str">
        <f t="shared" si="115"/>
        <v>0</v>
      </c>
      <c r="G640" s="1672" t="str">
        <f t="shared" si="116"/>
        <v>0</v>
      </c>
      <c r="H640" s="1628"/>
      <c r="I640" s="1627"/>
      <c r="J640" s="1627"/>
      <c r="K640" s="1627"/>
      <c r="L640" s="1627"/>
      <c r="M640" s="1629"/>
      <c r="N640" s="1627"/>
      <c r="O640" s="1627"/>
      <c r="P640" s="1627"/>
      <c r="Q640" s="1627"/>
      <c r="R640" s="1627"/>
      <c r="S640" s="1627"/>
      <c r="T640" s="1627"/>
      <c r="U640" s="1789"/>
      <c r="V640" s="1781" t="s">
        <v>1602</v>
      </c>
      <c r="W640" s="1782" t="s">
        <v>1306</v>
      </c>
      <c r="X640" s="1639" t="s">
        <v>1600</v>
      </c>
      <c r="Y640" s="1633" t="s">
        <v>1306</v>
      </c>
      <c r="Z640" s="1640" t="s">
        <v>1557</v>
      </c>
      <c r="AA640" s="1790"/>
      <c r="AB640" s="1791"/>
      <c r="AD640" s="1792"/>
      <c r="AG640" s="1637" t="str">
        <f t="shared" si="113"/>
        <v>階別用途別床面積-6-11階</v>
      </c>
      <c r="AI640" s="1636"/>
      <c r="AJ640" s="1636"/>
      <c r="AK640" s="1636"/>
    </row>
    <row r="641" spans="1:37" s="1637" customFormat="1" ht="18.75" customHeight="1" x14ac:dyDescent="0.15">
      <c r="A641" s="1627"/>
      <c r="B641" s="1627"/>
      <c r="C641" s="1627"/>
      <c r="D641" s="1626">
        <f>'2_入力シート【用途面積】'!$Q34</f>
        <v>0</v>
      </c>
      <c r="E641" s="1672">
        <f t="shared" si="114"/>
        <v>0</v>
      </c>
      <c r="F641" s="1672" t="str">
        <f t="shared" si="115"/>
        <v>0</v>
      </c>
      <c r="G641" s="1672" t="str">
        <f t="shared" si="116"/>
        <v>0</v>
      </c>
      <c r="H641" s="1628"/>
      <c r="I641" s="1627"/>
      <c r="J641" s="1627"/>
      <c r="K641" s="1627"/>
      <c r="L641" s="1627"/>
      <c r="M641" s="1629"/>
      <c r="N641" s="1627"/>
      <c r="O641" s="1627"/>
      <c r="P641" s="1627"/>
      <c r="Q641" s="1627"/>
      <c r="R641" s="1627"/>
      <c r="S641" s="1627"/>
      <c r="T641" s="1627"/>
      <c r="U641" s="1789"/>
      <c r="V641" s="1781" t="s">
        <v>1602</v>
      </c>
      <c r="W641" s="1782" t="s">
        <v>1306</v>
      </c>
      <c r="X641" s="1639" t="s">
        <v>1600</v>
      </c>
      <c r="Y641" s="1633" t="s">
        <v>1306</v>
      </c>
      <c r="Z641" s="1640" t="s">
        <v>1558</v>
      </c>
      <c r="AA641" s="1790"/>
      <c r="AB641" s="1791"/>
      <c r="AD641" s="1792"/>
      <c r="AG641" s="1637" t="str">
        <f t="shared" si="113"/>
        <v>階別用途別床面積-6-12階</v>
      </c>
      <c r="AI641" s="1636"/>
      <c r="AJ641" s="1636"/>
      <c r="AK641" s="1636"/>
    </row>
    <row r="642" spans="1:37" s="1637" customFormat="1" ht="18.75" customHeight="1" x14ac:dyDescent="0.15">
      <c r="A642" s="1627"/>
      <c r="B642" s="1627"/>
      <c r="C642" s="1627"/>
      <c r="D642" s="1626">
        <f>'2_入力シート【用途面積】'!$Q35</f>
        <v>0</v>
      </c>
      <c r="E642" s="1672">
        <f t="shared" si="114"/>
        <v>0</v>
      </c>
      <c r="F642" s="1672" t="str">
        <f t="shared" si="115"/>
        <v>0</v>
      </c>
      <c r="G642" s="1672" t="str">
        <f t="shared" si="116"/>
        <v>0</v>
      </c>
      <c r="H642" s="1628"/>
      <c r="I642" s="1627"/>
      <c r="J642" s="1627"/>
      <c r="K642" s="1627"/>
      <c r="L642" s="1627"/>
      <c r="M642" s="1629"/>
      <c r="N642" s="1627"/>
      <c r="O642" s="1627"/>
      <c r="P642" s="1627"/>
      <c r="Q642" s="1627"/>
      <c r="R642" s="1627"/>
      <c r="S642" s="1627"/>
      <c r="T642" s="1627"/>
      <c r="U642" s="1789"/>
      <c r="V642" s="1781" t="s">
        <v>1602</v>
      </c>
      <c r="W642" s="1782" t="s">
        <v>1306</v>
      </c>
      <c r="X642" s="1639" t="s">
        <v>1600</v>
      </c>
      <c r="Y642" s="1633" t="s">
        <v>1306</v>
      </c>
      <c r="Z642" s="1640" t="s">
        <v>1559</v>
      </c>
      <c r="AA642" s="1790"/>
      <c r="AB642" s="1791"/>
      <c r="AD642" s="1792"/>
      <c r="AG642" s="1637" t="str">
        <f t="shared" si="113"/>
        <v>階別用途別床面積-6-13階</v>
      </c>
      <c r="AI642" s="1636"/>
      <c r="AJ642" s="1636"/>
      <c r="AK642" s="1636"/>
    </row>
    <row r="643" spans="1:37" s="1637" customFormat="1" ht="18.75" customHeight="1" x14ac:dyDescent="0.15">
      <c r="A643" s="1627"/>
      <c r="B643" s="1627"/>
      <c r="C643" s="1627"/>
      <c r="D643" s="1626">
        <f>'2_入力シート【用途面積】'!$Q36</f>
        <v>0</v>
      </c>
      <c r="E643" s="1672">
        <f t="shared" si="114"/>
        <v>0</v>
      </c>
      <c r="F643" s="1672" t="str">
        <f t="shared" si="115"/>
        <v>0</v>
      </c>
      <c r="G643" s="1672" t="str">
        <f t="shared" si="116"/>
        <v>0</v>
      </c>
      <c r="H643" s="1628"/>
      <c r="I643" s="1627"/>
      <c r="J643" s="1627"/>
      <c r="K643" s="1627"/>
      <c r="L643" s="1627"/>
      <c r="M643" s="1629"/>
      <c r="N643" s="1627"/>
      <c r="O643" s="1627"/>
      <c r="P643" s="1627"/>
      <c r="Q643" s="1627"/>
      <c r="R643" s="1627"/>
      <c r="S643" s="1627"/>
      <c r="T643" s="1627"/>
      <c r="U643" s="1789"/>
      <c r="V643" s="1781" t="s">
        <v>1602</v>
      </c>
      <c r="W643" s="1782" t="s">
        <v>1306</v>
      </c>
      <c r="X643" s="1639" t="s">
        <v>1600</v>
      </c>
      <c r="Y643" s="1633" t="s">
        <v>1306</v>
      </c>
      <c r="Z643" s="1640" t="s">
        <v>1560</v>
      </c>
      <c r="AA643" s="1790"/>
      <c r="AB643" s="1791"/>
      <c r="AD643" s="1792"/>
      <c r="AG643" s="1637" t="str">
        <f t="shared" si="113"/>
        <v>階別用途別床面積-6-14階</v>
      </c>
      <c r="AI643" s="1636"/>
      <c r="AJ643" s="1636"/>
      <c r="AK643" s="1636"/>
    </row>
    <row r="644" spans="1:37" s="1637" customFormat="1" ht="18.75" customHeight="1" x14ac:dyDescent="0.15">
      <c r="A644" s="1627"/>
      <c r="B644" s="1627"/>
      <c r="C644" s="1627"/>
      <c r="D644" s="1626">
        <f>'2_入力シート【用途面積】'!$Q37</f>
        <v>0</v>
      </c>
      <c r="E644" s="1672">
        <f t="shared" si="114"/>
        <v>0</v>
      </c>
      <c r="F644" s="1672" t="str">
        <f t="shared" si="115"/>
        <v>0</v>
      </c>
      <c r="G644" s="1672" t="str">
        <f t="shared" si="116"/>
        <v>0</v>
      </c>
      <c r="H644" s="1628"/>
      <c r="I644" s="1627"/>
      <c r="J644" s="1627"/>
      <c r="K644" s="1627"/>
      <c r="L644" s="1627"/>
      <c r="M644" s="1629"/>
      <c r="N644" s="1627"/>
      <c r="O644" s="1627"/>
      <c r="P644" s="1627"/>
      <c r="Q644" s="1627"/>
      <c r="R644" s="1627"/>
      <c r="S644" s="1627"/>
      <c r="T644" s="1627"/>
      <c r="U644" s="1789"/>
      <c r="V644" s="1781" t="s">
        <v>1602</v>
      </c>
      <c r="W644" s="1782" t="s">
        <v>1306</v>
      </c>
      <c r="X644" s="1639" t="s">
        <v>1600</v>
      </c>
      <c r="Y644" s="1633" t="s">
        <v>1306</v>
      </c>
      <c r="Z644" s="1640" t="s">
        <v>1561</v>
      </c>
      <c r="AA644" s="1790"/>
      <c r="AB644" s="1791"/>
      <c r="AD644" s="1792"/>
      <c r="AG644" s="1637" t="str">
        <f t="shared" si="113"/>
        <v>階別用途別床面積-6-15階</v>
      </c>
      <c r="AI644" s="1636"/>
      <c r="AJ644" s="1636"/>
      <c r="AK644" s="1636"/>
    </row>
    <row r="645" spans="1:37" s="1637" customFormat="1" ht="18.75" customHeight="1" x14ac:dyDescent="0.15">
      <c r="A645" s="1627"/>
      <c r="B645" s="1627"/>
      <c r="C645" s="1627"/>
      <c r="D645" s="1626">
        <f>'2_入力シート【用途面積】'!$Q38</f>
        <v>0</v>
      </c>
      <c r="E645" s="1672">
        <f t="shared" si="114"/>
        <v>0</v>
      </c>
      <c r="F645" s="1672" t="str">
        <f t="shared" si="115"/>
        <v>0</v>
      </c>
      <c r="G645" s="1672" t="str">
        <f t="shared" si="116"/>
        <v>0</v>
      </c>
      <c r="H645" s="1628"/>
      <c r="I645" s="1627"/>
      <c r="J645" s="1627"/>
      <c r="K645" s="1627"/>
      <c r="L645" s="1627"/>
      <c r="M645" s="1629"/>
      <c r="N645" s="1627"/>
      <c r="O645" s="1627"/>
      <c r="P645" s="1627"/>
      <c r="Q645" s="1627"/>
      <c r="R645" s="1627"/>
      <c r="S645" s="1627"/>
      <c r="T645" s="1627"/>
      <c r="U645" s="1789"/>
      <c r="V645" s="1781" t="s">
        <v>1602</v>
      </c>
      <c r="W645" s="1782" t="s">
        <v>1306</v>
      </c>
      <c r="X645" s="1639" t="s">
        <v>1600</v>
      </c>
      <c r="Y645" s="1633" t="s">
        <v>1306</v>
      </c>
      <c r="Z645" s="1640" t="s">
        <v>1562</v>
      </c>
      <c r="AA645" s="1790"/>
      <c r="AB645" s="1791"/>
      <c r="AD645" s="1792"/>
      <c r="AG645" s="1637" t="str">
        <f t="shared" si="113"/>
        <v>階別用途別床面積-6-16階</v>
      </c>
      <c r="AI645" s="1636"/>
      <c r="AJ645" s="1636"/>
      <c r="AK645" s="1636"/>
    </row>
    <row r="646" spans="1:37" s="1637" customFormat="1" ht="18.75" customHeight="1" x14ac:dyDescent="0.15">
      <c r="A646" s="1627"/>
      <c r="B646" s="1627"/>
      <c r="C646" s="1627"/>
      <c r="D646" s="1626">
        <f>'2_入力シート【用途面積】'!$Q39</f>
        <v>0</v>
      </c>
      <c r="E646" s="1672">
        <f t="shared" si="114"/>
        <v>0</v>
      </c>
      <c r="F646" s="1672" t="str">
        <f t="shared" si="115"/>
        <v>0</v>
      </c>
      <c r="G646" s="1672" t="str">
        <f t="shared" si="116"/>
        <v>0</v>
      </c>
      <c r="H646" s="1628"/>
      <c r="I646" s="1627"/>
      <c r="J646" s="1627"/>
      <c r="K646" s="1627"/>
      <c r="L646" s="1627"/>
      <c r="M646" s="1629"/>
      <c r="N646" s="1627"/>
      <c r="O646" s="1627"/>
      <c r="P646" s="1627"/>
      <c r="Q646" s="1627"/>
      <c r="R646" s="1627"/>
      <c r="S646" s="1627"/>
      <c r="T646" s="1627"/>
      <c r="U646" s="1789"/>
      <c r="V646" s="1781" t="s">
        <v>1602</v>
      </c>
      <c r="W646" s="1782" t="s">
        <v>1306</v>
      </c>
      <c r="X646" s="1639" t="s">
        <v>1600</v>
      </c>
      <c r="Y646" s="1633" t="s">
        <v>1306</v>
      </c>
      <c r="Z646" s="1640" t="s">
        <v>1563</v>
      </c>
      <c r="AA646" s="1790"/>
      <c r="AB646" s="1791"/>
      <c r="AD646" s="1792"/>
      <c r="AG646" s="1637" t="str">
        <f t="shared" si="113"/>
        <v>階別用途別床面積-6-17階</v>
      </c>
      <c r="AI646" s="1636"/>
      <c r="AJ646" s="1636"/>
      <c r="AK646" s="1636"/>
    </row>
    <row r="647" spans="1:37" s="1637" customFormat="1" ht="18.75" customHeight="1" x14ac:dyDescent="0.15">
      <c r="A647" s="1627"/>
      <c r="B647" s="1627"/>
      <c r="C647" s="1627"/>
      <c r="D647" s="1626">
        <f>'2_入力シート【用途面積】'!$Q40</f>
        <v>0</v>
      </c>
      <c r="E647" s="1672">
        <f t="shared" si="114"/>
        <v>0</v>
      </c>
      <c r="F647" s="1672" t="str">
        <f t="shared" si="115"/>
        <v>0</v>
      </c>
      <c r="G647" s="1672" t="str">
        <f t="shared" si="116"/>
        <v>0</v>
      </c>
      <c r="H647" s="1628"/>
      <c r="I647" s="1627"/>
      <c r="J647" s="1627"/>
      <c r="K647" s="1627"/>
      <c r="L647" s="1627"/>
      <c r="M647" s="1629"/>
      <c r="N647" s="1627"/>
      <c r="O647" s="1627"/>
      <c r="P647" s="1627"/>
      <c r="Q647" s="1627"/>
      <c r="R647" s="1627"/>
      <c r="S647" s="1627"/>
      <c r="T647" s="1627"/>
      <c r="U647" s="1789"/>
      <c r="V647" s="1781" t="s">
        <v>1602</v>
      </c>
      <c r="W647" s="1782" t="s">
        <v>1306</v>
      </c>
      <c r="X647" s="1639" t="s">
        <v>1600</v>
      </c>
      <c r="Y647" s="1633" t="s">
        <v>1306</v>
      </c>
      <c r="Z647" s="1640" t="s">
        <v>1564</v>
      </c>
      <c r="AA647" s="1790"/>
      <c r="AB647" s="1791"/>
      <c r="AD647" s="1792"/>
      <c r="AG647" s="1637" t="str">
        <f t="shared" si="113"/>
        <v>階別用途別床面積-6-18階</v>
      </c>
      <c r="AI647" s="1636"/>
      <c r="AJ647" s="1636"/>
      <c r="AK647" s="1636"/>
    </row>
    <row r="648" spans="1:37" s="1637" customFormat="1" ht="18.75" customHeight="1" x14ac:dyDescent="0.15">
      <c r="A648" s="1627"/>
      <c r="B648" s="1627"/>
      <c r="C648" s="1627"/>
      <c r="D648" s="1626">
        <f>'2_入力シート【用途面積】'!$Q41</f>
        <v>0</v>
      </c>
      <c r="E648" s="1672">
        <f t="shared" si="114"/>
        <v>0</v>
      </c>
      <c r="F648" s="1672" t="str">
        <f t="shared" si="115"/>
        <v>0</v>
      </c>
      <c r="G648" s="1672" t="str">
        <f t="shared" si="116"/>
        <v>0</v>
      </c>
      <c r="H648" s="1628"/>
      <c r="I648" s="1627"/>
      <c r="J648" s="1627"/>
      <c r="K648" s="1627"/>
      <c r="L648" s="1627"/>
      <c r="M648" s="1629"/>
      <c r="N648" s="1627"/>
      <c r="O648" s="1627"/>
      <c r="P648" s="1627"/>
      <c r="Q648" s="1627"/>
      <c r="R648" s="1627"/>
      <c r="S648" s="1627"/>
      <c r="T648" s="1627"/>
      <c r="U648" s="1789"/>
      <c r="V648" s="1781" t="s">
        <v>1602</v>
      </c>
      <c r="W648" s="1782" t="s">
        <v>1306</v>
      </c>
      <c r="X648" s="1639" t="s">
        <v>1600</v>
      </c>
      <c r="Y648" s="1633" t="s">
        <v>1306</v>
      </c>
      <c r="Z648" s="1640" t="s">
        <v>1565</v>
      </c>
      <c r="AA648" s="1790"/>
      <c r="AB648" s="1791"/>
      <c r="AD648" s="1792"/>
      <c r="AG648" s="1637" t="str">
        <f t="shared" si="113"/>
        <v>階別用途別床面積-6-19階</v>
      </c>
      <c r="AI648" s="1636"/>
      <c r="AJ648" s="1636"/>
      <c r="AK648" s="1636"/>
    </row>
    <row r="649" spans="1:37" s="1637" customFormat="1" ht="18.75" customHeight="1" x14ac:dyDescent="0.15">
      <c r="A649" s="1627"/>
      <c r="B649" s="1627"/>
      <c r="C649" s="1627"/>
      <c r="D649" s="1626">
        <f>'2_入力シート【用途面積】'!$Q42</f>
        <v>0</v>
      </c>
      <c r="E649" s="1672">
        <f t="shared" si="114"/>
        <v>0</v>
      </c>
      <c r="F649" s="1672" t="str">
        <f t="shared" si="115"/>
        <v>0</v>
      </c>
      <c r="G649" s="1672" t="str">
        <f t="shared" si="116"/>
        <v>0</v>
      </c>
      <c r="H649" s="1628"/>
      <c r="I649" s="1627"/>
      <c r="J649" s="1627"/>
      <c r="K649" s="1627"/>
      <c r="L649" s="1627"/>
      <c r="M649" s="1629"/>
      <c r="N649" s="1627"/>
      <c r="O649" s="1627"/>
      <c r="P649" s="1627"/>
      <c r="Q649" s="1627"/>
      <c r="R649" s="1627"/>
      <c r="S649" s="1627"/>
      <c r="T649" s="1627"/>
      <c r="U649" s="1789"/>
      <c r="V649" s="1781" t="s">
        <v>1602</v>
      </c>
      <c r="W649" s="1782" t="s">
        <v>1306</v>
      </c>
      <c r="X649" s="1639" t="s">
        <v>1600</v>
      </c>
      <c r="Y649" s="1633" t="s">
        <v>1306</v>
      </c>
      <c r="Z649" s="1640" t="s">
        <v>1566</v>
      </c>
      <c r="AA649" s="1790"/>
      <c r="AB649" s="1791"/>
      <c r="AD649" s="1792"/>
      <c r="AG649" s="1637" t="str">
        <f t="shared" si="113"/>
        <v>階別用途別床面積-6-20階</v>
      </c>
      <c r="AI649" s="1636"/>
      <c r="AJ649" s="1636"/>
      <c r="AK649" s="1636"/>
    </row>
    <row r="650" spans="1:37" s="1637" customFormat="1" ht="18.75" customHeight="1" x14ac:dyDescent="0.15">
      <c r="A650" s="1627"/>
      <c r="B650" s="1627"/>
      <c r="C650" s="1627"/>
      <c r="D650" s="1626">
        <f>'2_入力シート【用途面積】'!$Q43</f>
        <v>0</v>
      </c>
      <c r="E650" s="1672">
        <f t="shared" si="114"/>
        <v>0</v>
      </c>
      <c r="F650" s="1672" t="str">
        <f t="shared" si="115"/>
        <v>0</v>
      </c>
      <c r="G650" s="1672" t="str">
        <f t="shared" si="116"/>
        <v>0</v>
      </c>
      <c r="H650" s="1628"/>
      <c r="I650" s="1627"/>
      <c r="J650" s="1627"/>
      <c r="K650" s="1627"/>
      <c r="L650" s="1627"/>
      <c r="M650" s="1629"/>
      <c r="N650" s="1627"/>
      <c r="O650" s="1627"/>
      <c r="P650" s="1627"/>
      <c r="Q650" s="1627"/>
      <c r="R650" s="1627"/>
      <c r="S650" s="1627"/>
      <c r="T650" s="1627"/>
      <c r="U650" s="1789"/>
      <c r="V650" s="1781" t="s">
        <v>1602</v>
      </c>
      <c r="W650" s="1782" t="s">
        <v>1306</v>
      </c>
      <c r="X650" s="1639" t="s">
        <v>1600</v>
      </c>
      <c r="Y650" s="1633" t="s">
        <v>1306</v>
      </c>
      <c r="Z650" s="1640" t="s">
        <v>1567</v>
      </c>
      <c r="AA650" s="1790"/>
      <c r="AB650" s="1791"/>
      <c r="AD650" s="1792"/>
      <c r="AG650" s="1637" t="str">
        <f t="shared" si="113"/>
        <v>階別用途別床面積-6-21階</v>
      </c>
      <c r="AI650" s="1636"/>
      <c r="AJ650" s="1636"/>
      <c r="AK650" s="1636"/>
    </row>
    <row r="651" spans="1:37" s="1637" customFormat="1" ht="18.75" customHeight="1" x14ac:dyDescent="0.15">
      <c r="A651" s="1627"/>
      <c r="B651" s="1627"/>
      <c r="C651" s="1627"/>
      <c r="D651" s="1626">
        <f>'2_入力シート【用途面積】'!$Q44</f>
        <v>0</v>
      </c>
      <c r="E651" s="1672">
        <f t="shared" si="114"/>
        <v>0</v>
      </c>
      <c r="F651" s="1672" t="str">
        <f t="shared" si="115"/>
        <v>0</v>
      </c>
      <c r="G651" s="1672" t="str">
        <f t="shared" si="116"/>
        <v>0</v>
      </c>
      <c r="H651" s="1628"/>
      <c r="I651" s="1627"/>
      <c r="J651" s="1627"/>
      <c r="K651" s="1627"/>
      <c r="L651" s="1627"/>
      <c r="M651" s="1629"/>
      <c r="N651" s="1627"/>
      <c r="O651" s="1627"/>
      <c r="P651" s="1627"/>
      <c r="Q651" s="1627"/>
      <c r="R651" s="1627"/>
      <c r="S651" s="1627"/>
      <c r="T651" s="1627"/>
      <c r="U651" s="1789"/>
      <c r="V651" s="1781" t="s">
        <v>1602</v>
      </c>
      <c r="W651" s="1782" t="s">
        <v>1306</v>
      </c>
      <c r="X651" s="1639" t="s">
        <v>1600</v>
      </c>
      <c r="Y651" s="1633" t="s">
        <v>1306</v>
      </c>
      <c r="Z651" s="1640" t="s">
        <v>1568</v>
      </c>
      <c r="AA651" s="1790"/>
      <c r="AB651" s="1791"/>
      <c r="AD651" s="1792"/>
      <c r="AG651" s="1637" t="str">
        <f t="shared" si="113"/>
        <v>階別用途別床面積-6-22階</v>
      </c>
      <c r="AI651" s="1636"/>
      <c r="AJ651" s="1636"/>
      <c r="AK651" s="1636"/>
    </row>
    <row r="652" spans="1:37" s="1637" customFormat="1" ht="18.75" customHeight="1" x14ac:dyDescent="0.15">
      <c r="A652" s="1627"/>
      <c r="B652" s="1627"/>
      <c r="C652" s="1627"/>
      <c r="D652" s="1626">
        <f>'2_入力シート【用途面積】'!$Q45</f>
        <v>0</v>
      </c>
      <c r="E652" s="1672">
        <f t="shared" si="114"/>
        <v>0</v>
      </c>
      <c r="F652" s="1672" t="str">
        <f t="shared" si="115"/>
        <v>0</v>
      </c>
      <c r="G652" s="1672" t="str">
        <f t="shared" si="116"/>
        <v>0</v>
      </c>
      <c r="H652" s="1628"/>
      <c r="I652" s="1627"/>
      <c r="J652" s="1627"/>
      <c r="K652" s="1627"/>
      <c r="L652" s="1627"/>
      <c r="M652" s="1629"/>
      <c r="N652" s="1627"/>
      <c r="O652" s="1627"/>
      <c r="P652" s="1627"/>
      <c r="Q652" s="1627"/>
      <c r="R652" s="1627"/>
      <c r="S652" s="1627"/>
      <c r="T652" s="1627"/>
      <c r="U652" s="1789"/>
      <c r="V652" s="1781" t="s">
        <v>1602</v>
      </c>
      <c r="W652" s="1782" t="s">
        <v>1306</v>
      </c>
      <c r="X652" s="1639" t="s">
        <v>1600</v>
      </c>
      <c r="Y652" s="1633" t="s">
        <v>1306</v>
      </c>
      <c r="Z652" s="1640" t="s">
        <v>1569</v>
      </c>
      <c r="AA652" s="1790"/>
      <c r="AB652" s="1791"/>
      <c r="AD652" s="1792"/>
      <c r="AG652" s="1637" t="str">
        <f t="shared" ref="AG652:AG716" si="117">CONCATENATE(U652,V652,W652,X652,Y652,Z652,AA652,AB652,AC652,AD652)</f>
        <v>階別用途別床面積-6-23階</v>
      </c>
      <c r="AI652" s="1636"/>
      <c r="AJ652" s="1636"/>
      <c r="AK652" s="1636"/>
    </row>
    <row r="653" spans="1:37" s="1637" customFormat="1" ht="18.75" customHeight="1" x14ac:dyDescent="0.15">
      <c r="A653" s="1627"/>
      <c r="B653" s="1627"/>
      <c r="C653" s="1627"/>
      <c r="D653" s="1626">
        <f>'2_入力シート【用途面積】'!$Q46</f>
        <v>0</v>
      </c>
      <c r="E653" s="1672">
        <f t="shared" si="114"/>
        <v>0</v>
      </c>
      <c r="F653" s="1672" t="str">
        <f t="shared" si="115"/>
        <v>0</v>
      </c>
      <c r="G653" s="1672" t="str">
        <f t="shared" si="116"/>
        <v>0</v>
      </c>
      <c r="H653" s="1628"/>
      <c r="I653" s="1627"/>
      <c r="J653" s="1627"/>
      <c r="K653" s="1627"/>
      <c r="L653" s="1627"/>
      <c r="M653" s="1629"/>
      <c r="N653" s="1627"/>
      <c r="O653" s="1627"/>
      <c r="P653" s="1627"/>
      <c r="Q653" s="1627"/>
      <c r="R653" s="1627"/>
      <c r="S653" s="1627"/>
      <c r="T653" s="1627"/>
      <c r="U653" s="1789"/>
      <c r="V653" s="1781" t="s">
        <v>1602</v>
      </c>
      <c r="W653" s="1782" t="s">
        <v>1306</v>
      </c>
      <c r="X653" s="1639" t="s">
        <v>1600</v>
      </c>
      <c r="Y653" s="1633" t="s">
        <v>1306</v>
      </c>
      <c r="Z653" s="1640" t="s">
        <v>1570</v>
      </c>
      <c r="AA653" s="1790"/>
      <c r="AB653" s="1791"/>
      <c r="AD653" s="1792"/>
      <c r="AG653" s="1637" t="str">
        <f t="shared" si="117"/>
        <v>階別用途別床面積-6-24階</v>
      </c>
      <c r="AI653" s="1636"/>
      <c r="AJ653" s="1636"/>
      <c r="AK653" s="1636"/>
    </row>
    <row r="654" spans="1:37" s="1637" customFormat="1" ht="18.75" customHeight="1" x14ac:dyDescent="0.15">
      <c r="A654" s="1627"/>
      <c r="B654" s="1627"/>
      <c r="C654" s="1627"/>
      <c r="D654" s="1626">
        <f>'2_入力シート【用途面積】'!$Q47</f>
        <v>0</v>
      </c>
      <c r="E654" s="1672">
        <f t="shared" si="114"/>
        <v>0</v>
      </c>
      <c r="F654" s="1672" t="str">
        <f t="shared" si="115"/>
        <v>0</v>
      </c>
      <c r="G654" s="1672" t="str">
        <f t="shared" si="116"/>
        <v>0</v>
      </c>
      <c r="H654" s="1628"/>
      <c r="I654" s="1627"/>
      <c r="J654" s="1627"/>
      <c r="K654" s="1627"/>
      <c r="L654" s="1627"/>
      <c r="M654" s="1629"/>
      <c r="N654" s="1627"/>
      <c r="O654" s="1627"/>
      <c r="P654" s="1627"/>
      <c r="Q654" s="1627"/>
      <c r="R654" s="1627"/>
      <c r="S654" s="1627"/>
      <c r="T654" s="1627"/>
      <c r="U654" s="1789"/>
      <c r="V654" s="1781" t="s">
        <v>1602</v>
      </c>
      <c r="W654" s="1782" t="s">
        <v>1306</v>
      </c>
      <c r="X654" s="1639" t="s">
        <v>1600</v>
      </c>
      <c r="Y654" s="1633" t="s">
        <v>1306</v>
      </c>
      <c r="Z654" s="1640" t="s">
        <v>1571</v>
      </c>
      <c r="AA654" s="1790"/>
      <c r="AB654" s="1791"/>
      <c r="AD654" s="1792"/>
      <c r="AG654" s="1637" t="str">
        <f t="shared" si="117"/>
        <v>階別用途別床面積-6-25階</v>
      </c>
      <c r="AI654" s="1636"/>
      <c r="AJ654" s="1636"/>
      <c r="AK654" s="1636"/>
    </row>
    <row r="655" spans="1:37" s="1637" customFormat="1" ht="18.75" customHeight="1" x14ac:dyDescent="0.15">
      <c r="A655" s="1627"/>
      <c r="B655" s="1627"/>
      <c r="C655" s="1627"/>
      <c r="D655" s="1626">
        <f>'2_入力シート【用途面積】'!$Q48</f>
        <v>0</v>
      </c>
      <c r="E655" s="1672">
        <f t="shared" si="114"/>
        <v>0</v>
      </c>
      <c r="F655" s="1672" t="str">
        <f t="shared" si="115"/>
        <v>0</v>
      </c>
      <c r="G655" s="1672" t="str">
        <f t="shared" si="116"/>
        <v>0</v>
      </c>
      <c r="H655" s="1628"/>
      <c r="I655" s="1627"/>
      <c r="J655" s="1627"/>
      <c r="K655" s="1627"/>
      <c r="L655" s="1627"/>
      <c r="M655" s="1629"/>
      <c r="N655" s="1627"/>
      <c r="O655" s="1627"/>
      <c r="P655" s="1627"/>
      <c r="Q655" s="1627"/>
      <c r="R655" s="1627"/>
      <c r="S655" s="1627"/>
      <c r="T655" s="1627"/>
      <c r="U655" s="1789"/>
      <c r="V655" s="1781" t="s">
        <v>1602</v>
      </c>
      <c r="W655" s="1782" t="s">
        <v>1306</v>
      </c>
      <c r="X655" s="1639" t="s">
        <v>1600</v>
      </c>
      <c r="Y655" s="1633" t="s">
        <v>1306</v>
      </c>
      <c r="Z655" s="1640" t="s">
        <v>1572</v>
      </c>
      <c r="AA655" s="1790"/>
      <c r="AB655" s="1791"/>
      <c r="AD655" s="1792"/>
      <c r="AG655" s="1637" t="str">
        <f t="shared" si="117"/>
        <v>階別用途別床面積-6-26階</v>
      </c>
      <c r="AI655" s="1636"/>
      <c r="AJ655" s="1636"/>
      <c r="AK655" s="1636"/>
    </row>
    <row r="656" spans="1:37" s="1637" customFormat="1" ht="18.75" customHeight="1" x14ac:dyDescent="0.15">
      <c r="A656" s="1627"/>
      <c r="B656" s="1627"/>
      <c r="C656" s="1627"/>
      <c r="D656" s="1626">
        <f>'2_入力シート【用途面積】'!$Q49</f>
        <v>0</v>
      </c>
      <c r="E656" s="1672">
        <f t="shared" si="114"/>
        <v>0</v>
      </c>
      <c r="F656" s="1672" t="str">
        <f t="shared" si="115"/>
        <v>0</v>
      </c>
      <c r="G656" s="1672" t="str">
        <f t="shared" si="116"/>
        <v>0</v>
      </c>
      <c r="H656" s="1628"/>
      <c r="I656" s="1627"/>
      <c r="J656" s="1627"/>
      <c r="K656" s="1627"/>
      <c r="L656" s="1627"/>
      <c r="M656" s="1629"/>
      <c r="N656" s="1627"/>
      <c r="O656" s="1627"/>
      <c r="P656" s="1627"/>
      <c r="Q656" s="1627"/>
      <c r="R656" s="1627"/>
      <c r="S656" s="1627"/>
      <c r="T656" s="1627"/>
      <c r="U656" s="1789"/>
      <c r="V656" s="1781" t="s">
        <v>1602</v>
      </c>
      <c r="W656" s="1782" t="s">
        <v>1306</v>
      </c>
      <c r="X656" s="1639" t="s">
        <v>1600</v>
      </c>
      <c r="Y656" s="1633" t="s">
        <v>1306</v>
      </c>
      <c r="Z656" s="1640" t="s">
        <v>1573</v>
      </c>
      <c r="AA656" s="1790"/>
      <c r="AB656" s="1791"/>
      <c r="AD656" s="1792"/>
      <c r="AG656" s="1637" t="str">
        <f t="shared" si="117"/>
        <v>階別用途別床面積-6-27階</v>
      </c>
      <c r="AI656" s="1636"/>
      <c r="AJ656" s="1636"/>
      <c r="AK656" s="1636"/>
    </row>
    <row r="657" spans="1:37" s="1637" customFormat="1" ht="18.75" customHeight="1" x14ac:dyDescent="0.15">
      <c r="A657" s="1627"/>
      <c r="B657" s="1627"/>
      <c r="C657" s="1627"/>
      <c r="D657" s="1626">
        <f>'2_入力シート【用途面積】'!$Q50</f>
        <v>0</v>
      </c>
      <c r="E657" s="1672">
        <f t="shared" si="114"/>
        <v>0</v>
      </c>
      <c r="F657" s="1672" t="str">
        <f t="shared" si="115"/>
        <v>0</v>
      </c>
      <c r="G657" s="1672" t="str">
        <f t="shared" si="116"/>
        <v>0</v>
      </c>
      <c r="H657" s="1628"/>
      <c r="I657" s="1627"/>
      <c r="J657" s="1627"/>
      <c r="K657" s="1627"/>
      <c r="L657" s="1627"/>
      <c r="M657" s="1629"/>
      <c r="N657" s="1627"/>
      <c r="O657" s="1627"/>
      <c r="P657" s="1627"/>
      <c r="Q657" s="1627"/>
      <c r="R657" s="1627"/>
      <c r="S657" s="1627"/>
      <c r="T657" s="1627"/>
      <c r="U657" s="1789"/>
      <c r="V657" s="1781" t="s">
        <v>1602</v>
      </c>
      <c r="W657" s="1782" t="s">
        <v>1306</v>
      </c>
      <c r="X657" s="1639" t="s">
        <v>1600</v>
      </c>
      <c r="Y657" s="1633" t="s">
        <v>1306</v>
      </c>
      <c r="Z657" s="1640" t="s">
        <v>1574</v>
      </c>
      <c r="AA657" s="1790"/>
      <c r="AB657" s="1791"/>
      <c r="AD657" s="1792"/>
      <c r="AG657" s="1637" t="str">
        <f t="shared" si="117"/>
        <v>階別用途別床面積-6-28階</v>
      </c>
      <c r="AI657" s="1636"/>
      <c r="AJ657" s="1636"/>
      <c r="AK657" s="1636"/>
    </row>
    <row r="658" spans="1:37" s="1637" customFormat="1" ht="18.75" customHeight="1" x14ac:dyDescent="0.15">
      <c r="A658" s="1627"/>
      <c r="B658" s="1627"/>
      <c r="C658" s="1627"/>
      <c r="D658" s="1626">
        <f>'2_入力シート【用途面積】'!$Q51</f>
        <v>0</v>
      </c>
      <c r="E658" s="1672">
        <f t="shared" si="114"/>
        <v>0</v>
      </c>
      <c r="F658" s="1672" t="str">
        <f t="shared" si="115"/>
        <v>0</v>
      </c>
      <c r="G658" s="1672" t="str">
        <f t="shared" si="116"/>
        <v>0</v>
      </c>
      <c r="H658" s="1628"/>
      <c r="I658" s="1627"/>
      <c r="J658" s="1627"/>
      <c r="K658" s="1627"/>
      <c r="L658" s="1627"/>
      <c r="M658" s="1629"/>
      <c r="N658" s="1627"/>
      <c r="O658" s="1627"/>
      <c r="P658" s="1627"/>
      <c r="Q658" s="1627"/>
      <c r="R658" s="1627"/>
      <c r="S658" s="1627"/>
      <c r="T658" s="1627"/>
      <c r="U658" s="1789"/>
      <c r="V658" s="1781" t="s">
        <v>1602</v>
      </c>
      <c r="W658" s="1782" t="s">
        <v>1306</v>
      </c>
      <c r="X658" s="1639" t="s">
        <v>1600</v>
      </c>
      <c r="Y658" s="1633" t="s">
        <v>1306</v>
      </c>
      <c r="Z658" s="1640" t="s">
        <v>1575</v>
      </c>
      <c r="AA658" s="1790"/>
      <c r="AB658" s="1791"/>
      <c r="AD658" s="1792"/>
      <c r="AG658" s="1637" t="str">
        <f t="shared" si="117"/>
        <v>階別用途別床面積-6-29階</v>
      </c>
      <c r="AI658" s="1636"/>
      <c r="AJ658" s="1636"/>
      <c r="AK658" s="1636"/>
    </row>
    <row r="659" spans="1:37" s="1637" customFormat="1" ht="18.75" customHeight="1" x14ac:dyDescent="0.15">
      <c r="A659" s="1627"/>
      <c r="B659" s="1627"/>
      <c r="C659" s="1627"/>
      <c r="D659" s="1626">
        <f>'2_入力シート【用途面積】'!$Q52</f>
        <v>0</v>
      </c>
      <c r="E659" s="1672">
        <f t="shared" si="114"/>
        <v>0</v>
      </c>
      <c r="F659" s="1672" t="str">
        <f t="shared" si="115"/>
        <v>0</v>
      </c>
      <c r="G659" s="1672" t="str">
        <f t="shared" si="116"/>
        <v>0</v>
      </c>
      <c r="H659" s="1628"/>
      <c r="I659" s="1627"/>
      <c r="J659" s="1627"/>
      <c r="K659" s="1627"/>
      <c r="L659" s="1627"/>
      <c r="M659" s="1629"/>
      <c r="N659" s="1627"/>
      <c r="O659" s="1627"/>
      <c r="P659" s="1627"/>
      <c r="Q659" s="1627"/>
      <c r="R659" s="1627"/>
      <c r="S659" s="1627"/>
      <c r="T659" s="1627"/>
      <c r="U659" s="1789"/>
      <c r="V659" s="1781" t="s">
        <v>1602</v>
      </c>
      <c r="W659" s="1782" t="s">
        <v>1306</v>
      </c>
      <c r="X659" s="1639" t="s">
        <v>1600</v>
      </c>
      <c r="Y659" s="1633" t="s">
        <v>1306</v>
      </c>
      <c r="Z659" s="1640" t="s">
        <v>1576</v>
      </c>
      <c r="AA659" s="1790"/>
      <c r="AB659" s="1791"/>
      <c r="AD659" s="1792"/>
      <c r="AG659" s="1637" t="str">
        <f t="shared" si="117"/>
        <v>階別用途別床面積-6-30階</v>
      </c>
      <c r="AI659" s="1636"/>
      <c r="AJ659" s="1636"/>
      <c r="AK659" s="1636"/>
    </row>
    <row r="660" spans="1:37" s="1637" customFormat="1" ht="18.75" customHeight="1" x14ac:dyDescent="0.15">
      <c r="A660" s="1627"/>
      <c r="B660" s="1627"/>
      <c r="C660" s="1627"/>
      <c r="D660" s="1626">
        <f>'2_入力シート【用途面積】'!$Q53</f>
        <v>0</v>
      </c>
      <c r="E660" s="1672">
        <f t="shared" si="114"/>
        <v>0</v>
      </c>
      <c r="F660" s="1672" t="str">
        <f t="shared" si="115"/>
        <v>0</v>
      </c>
      <c r="G660" s="1672" t="str">
        <f t="shared" si="116"/>
        <v>0</v>
      </c>
      <c r="H660" s="1628"/>
      <c r="I660" s="1627"/>
      <c r="J660" s="1627"/>
      <c r="K660" s="1627"/>
      <c r="L660" s="1627"/>
      <c r="M660" s="1629"/>
      <c r="N660" s="1627"/>
      <c r="O660" s="1627"/>
      <c r="P660" s="1627"/>
      <c r="Q660" s="1627"/>
      <c r="R660" s="1627"/>
      <c r="S660" s="1627"/>
      <c r="T660" s="1627"/>
      <c r="U660" s="1789"/>
      <c r="V660" s="1781" t="s">
        <v>1602</v>
      </c>
      <c r="W660" s="1782" t="s">
        <v>1306</v>
      </c>
      <c r="X660" s="1639" t="s">
        <v>1600</v>
      </c>
      <c r="Y660" s="1633" t="s">
        <v>1306</v>
      </c>
      <c r="Z660" s="1640" t="s">
        <v>1577</v>
      </c>
      <c r="AA660" s="1790"/>
      <c r="AB660" s="1791"/>
      <c r="AD660" s="1792"/>
      <c r="AG660" s="1637" t="str">
        <f t="shared" si="117"/>
        <v>階別用途別床面積-6-31階</v>
      </c>
      <c r="AI660" s="1636"/>
      <c r="AJ660" s="1636"/>
      <c r="AK660" s="1636"/>
    </row>
    <row r="661" spans="1:37" s="1637" customFormat="1" ht="18.75" customHeight="1" x14ac:dyDescent="0.15">
      <c r="A661" s="1627"/>
      <c r="B661" s="1627"/>
      <c r="C661" s="1627"/>
      <c r="D661" s="1626">
        <f>'2_入力シート【用途面積】'!$Q54</f>
        <v>0</v>
      </c>
      <c r="E661" s="1672">
        <f t="shared" si="114"/>
        <v>0</v>
      </c>
      <c r="F661" s="1672" t="str">
        <f t="shared" si="115"/>
        <v>0</v>
      </c>
      <c r="G661" s="1672" t="str">
        <f t="shared" si="116"/>
        <v>0</v>
      </c>
      <c r="H661" s="1628"/>
      <c r="I661" s="1627"/>
      <c r="J661" s="1627"/>
      <c r="K661" s="1627"/>
      <c r="L661" s="1627"/>
      <c r="M661" s="1629"/>
      <c r="N661" s="1627"/>
      <c r="O661" s="1627"/>
      <c r="P661" s="1627"/>
      <c r="Q661" s="1627"/>
      <c r="R661" s="1627"/>
      <c r="S661" s="1627"/>
      <c r="T661" s="1627"/>
      <c r="U661" s="1789"/>
      <c r="V661" s="1781" t="s">
        <v>1602</v>
      </c>
      <c r="W661" s="1782" t="s">
        <v>1306</v>
      </c>
      <c r="X661" s="1639" t="s">
        <v>1600</v>
      </c>
      <c r="Y661" s="1633" t="s">
        <v>1306</v>
      </c>
      <c r="Z661" s="1640" t="s">
        <v>1578</v>
      </c>
      <c r="AA661" s="1790"/>
      <c r="AB661" s="1791"/>
      <c r="AD661" s="1792"/>
      <c r="AG661" s="1637" t="str">
        <f t="shared" si="117"/>
        <v>階別用途別床面積-6-32階</v>
      </c>
      <c r="AI661" s="1636"/>
      <c r="AJ661" s="1636"/>
      <c r="AK661" s="1636"/>
    </row>
    <row r="662" spans="1:37" s="1637" customFormat="1" ht="18.75" customHeight="1" x14ac:dyDescent="0.15">
      <c r="A662" s="1627"/>
      <c r="B662" s="1627"/>
      <c r="C662" s="1627"/>
      <c r="D662" s="1626">
        <f>'2_入力シート【用途面積】'!$Q55</f>
        <v>0</v>
      </c>
      <c r="E662" s="1672">
        <f t="shared" si="114"/>
        <v>0</v>
      </c>
      <c r="F662" s="1672" t="str">
        <f t="shared" si="115"/>
        <v>0</v>
      </c>
      <c r="G662" s="1672" t="str">
        <f t="shared" si="116"/>
        <v>0</v>
      </c>
      <c r="H662" s="1628"/>
      <c r="I662" s="1627"/>
      <c r="J662" s="1627"/>
      <c r="K662" s="1627"/>
      <c r="L662" s="1627"/>
      <c r="M662" s="1629"/>
      <c r="N662" s="1627"/>
      <c r="O662" s="1627"/>
      <c r="P662" s="1627"/>
      <c r="Q662" s="1627"/>
      <c r="R662" s="1627"/>
      <c r="S662" s="1627"/>
      <c r="T662" s="1627"/>
      <c r="U662" s="1789"/>
      <c r="V662" s="1781" t="s">
        <v>1602</v>
      </c>
      <c r="W662" s="1782" t="s">
        <v>1306</v>
      </c>
      <c r="X662" s="1639" t="s">
        <v>1600</v>
      </c>
      <c r="Y662" s="1633" t="s">
        <v>1306</v>
      </c>
      <c r="Z662" s="1640" t="s">
        <v>1579</v>
      </c>
      <c r="AA662" s="1790"/>
      <c r="AB662" s="1791"/>
      <c r="AD662" s="1792"/>
      <c r="AG662" s="1637" t="str">
        <f t="shared" si="117"/>
        <v>階別用途別床面積-6-33階</v>
      </c>
      <c r="AI662" s="1636"/>
      <c r="AJ662" s="1636"/>
      <c r="AK662" s="1636"/>
    </row>
    <row r="663" spans="1:37" s="1637" customFormat="1" ht="18.75" customHeight="1" x14ac:dyDescent="0.15">
      <c r="A663" s="1627"/>
      <c r="B663" s="1627"/>
      <c r="C663" s="1627"/>
      <c r="D663" s="1626">
        <f>'2_入力シート【用途面積】'!$Q56</f>
        <v>0</v>
      </c>
      <c r="E663" s="1672">
        <f t="shared" si="114"/>
        <v>0</v>
      </c>
      <c r="F663" s="1672" t="str">
        <f t="shared" si="115"/>
        <v>0</v>
      </c>
      <c r="G663" s="1672" t="str">
        <f t="shared" si="116"/>
        <v>0</v>
      </c>
      <c r="H663" s="1628"/>
      <c r="I663" s="1627"/>
      <c r="J663" s="1627"/>
      <c r="K663" s="1627"/>
      <c r="L663" s="1627"/>
      <c r="M663" s="1629"/>
      <c r="N663" s="1627"/>
      <c r="O663" s="1627"/>
      <c r="P663" s="1627"/>
      <c r="Q663" s="1627"/>
      <c r="R663" s="1627"/>
      <c r="S663" s="1627"/>
      <c r="T663" s="1627"/>
      <c r="U663" s="1789"/>
      <c r="V663" s="1781" t="s">
        <v>1602</v>
      </c>
      <c r="W663" s="1782" t="s">
        <v>1306</v>
      </c>
      <c r="X663" s="1639" t="s">
        <v>1600</v>
      </c>
      <c r="Y663" s="1633" t="s">
        <v>1306</v>
      </c>
      <c r="Z663" s="1640" t="s">
        <v>1580</v>
      </c>
      <c r="AA663" s="1790"/>
      <c r="AB663" s="1791"/>
      <c r="AD663" s="1792"/>
      <c r="AG663" s="1637" t="str">
        <f t="shared" si="117"/>
        <v>階別用途別床面積-6-34階</v>
      </c>
      <c r="AI663" s="1636"/>
      <c r="AJ663" s="1636"/>
      <c r="AK663" s="1636"/>
    </row>
    <row r="664" spans="1:37" s="1637" customFormat="1" ht="18.75" customHeight="1" x14ac:dyDescent="0.15">
      <c r="A664" s="1627"/>
      <c r="B664" s="1627"/>
      <c r="C664" s="1627"/>
      <c r="D664" s="1626">
        <f>'2_入力シート【用途面積】'!$Q57</f>
        <v>0</v>
      </c>
      <c r="E664" s="1672">
        <f t="shared" si="114"/>
        <v>0</v>
      </c>
      <c r="F664" s="1672" t="str">
        <f t="shared" si="115"/>
        <v>0</v>
      </c>
      <c r="G664" s="1672" t="str">
        <f t="shared" si="116"/>
        <v>0</v>
      </c>
      <c r="H664" s="1628"/>
      <c r="I664" s="1627"/>
      <c r="J664" s="1627"/>
      <c r="K664" s="1627"/>
      <c r="L664" s="1627"/>
      <c r="M664" s="1629"/>
      <c r="N664" s="1627"/>
      <c r="O664" s="1627"/>
      <c r="P664" s="1627"/>
      <c r="Q664" s="1627"/>
      <c r="R664" s="1627"/>
      <c r="S664" s="1627"/>
      <c r="T664" s="1627"/>
      <c r="U664" s="1789"/>
      <c r="V664" s="1781" t="s">
        <v>1602</v>
      </c>
      <c r="W664" s="1782" t="s">
        <v>1306</v>
      </c>
      <c r="X664" s="1639" t="s">
        <v>1600</v>
      </c>
      <c r="Y664" s="1633" t="s">
        <v>1306</v>
      </c>
      <c r="Z664" s="1640" t="s">
        <v>1581</v>
      </c>
      <c r="AA664" s="1790"/>
      <c r="AB664" s="1791"/>
      <c r="AD664" s="1792"/>
      <c r="AG664" s="1637" t="str">
        <f t="shared" si="117"/>
        <v>階別用途別床面積-6-35階</v>
      </c>
      <c r="AI664" s="1636"/>
      <c r="AJ664" s="1636"/>
      <c r="AK664" s="1636"/>
    </row>
    <row r="665" spans="1:37" s="1637" customFormat="1" ht="18.75" customHeight="1" x14ac:dyDescent="0.15">
      <c r="A665" s="1627"/>
      <c r="B665" s="1627"/>
      <c r="C665" s="1627"/>
      <c r="D665" s="1626">
        <f>'2_入力シート【用途面積】'!$Q58</f>
        <v>0</v>
      </c>
      <c r="E665" s="1672">
        <f t="shared" si="114"/>
        <v>0</v>
      </c>
      <c r="F665" s="1672" t="str">
        <f t="shared" si="115"/>
        <v>0</v>
      </c>
      <c r="G665" s="1672" t="str">
        <f t="shared" si="116"/>
        <v>0</v>
      </c>
      <c r="H665" s="1628"/>
      <c r="I665" s="1627"/>
      <c r="J665" s="1627"/>
      <c r="K665" s="1627"/>
      <c r="L665" s="1627"/>
      <c r="M665" s="1629"/>
      <c r="N665" s="1627"/>
      <c r="O665" s="1627"/>
      <c r="P665" s="1627"/>
      <c r="Q665" s="1627"/>
      <c r="R665" s="1627"/>
      <c r="S665" s="1627"/>
      <c r="T665" s="1627"/>
      <c r="U665" s="1789"/>
      <c r="V665" s="1781" t="s">
        <v>1602</v>
      </c>
      <c r="W665" s="1782" t="s">
        <v>1306</v>
      </c>
      <c r="X665" s="1639" t="s">
        <v>1600</v>
      </c>
      <c r="Y665" s="1633" t="s">
        <v>1306</v>
      </c>
      <c r="Z665" s="1640" t="s">
        <v>1582</v>
      </c>
      <c r="AA665" s="1790"/>
      <c r="AB665" s="1791"/>
      <c r="AD665" s="1792"/>
      <c r="AG665" s="1637" t="str">
        <f t="shared" si="117"/>
        <v>階別用途別床面積-6-36階</v>
      </c>
      <c r="AI665" s="1636"/>
      <c r="AJ665" s="1636"/>
      <c r="AK665" s="1636"/>
    </row>
    <row r="666" spans="1:37" s="1637" customFormat="1" ht="18.75" customHeight="1" x14ac:dyDescent="0.15">
      <c r="A666" s="1627"/>
      <c r="B666" s="1627"/>
      <c r="C666" s="1627"/>
      <c r="D666" s="1626">
        <f>'2_入力シート【用途面積】'!$Q59</f>
        <v>0</v>
      </c>
      <c r="E666" s="1672">
        <f t="shared" si="114"/>
        <v>0</v>
      </c>
      <c r="F666" s="1672" t="str">
        <f t="shared" si="115"/>
        <v>0</v>
      </c>
      <c r="G666" s="1672" t="str">
        <f t="shared" si="116"/>
        <v>0</v>
      </c>
      <c r="H666" s="1628"/>
      <c r="I666" s="1627"/>
      <c r="J666" s="1627"/>
      <c r="K666" s="1627"/>
      <c r="L666" s="1627"/>
      <c r="M666" s="1629"/>
      <c r="N666" s="1627"/>
      <c r="O666" s="1627"/>
      <c r="P666" s="1627"/>
      <c r="Q666" s="1627"/>
      <c r="R666" s="1627"/>
      <c r="S666" s="1627"/>
      <c r="T666" s="1627"/>
      <c r="U666" s="1789"/>
      <c r="V666" s="1781" t="s">
        <v>1602</v>
      </c>
      <c r="W666" s="1782" t="s">
        <v>1306</v>
      </c>
      <c r="X666" s="1639" t="s">
        <v>1600</v>
      </c>
      <c r="Y666" s="1633" t="s">
        <v>1306</v>
      </c>
      <c r="Z666" s="1640" t="s">
        <v>1583</v>
      </c>
      <c r="AA666" s="1790"/>
      <c r="AB666" s="1791"/>
      <c r="AD666" s="1792"/>
      <c r="AG666" s="1637" t="str">
        <f t="shared" si="117"/>
        <v>階別用途別床面積-6-37階</v>
      </c>
      <c r="AI666" s="1636"/>
      <c r="AJ666" s="1636"/>
      <c r="AK666" s="1636"/>
    </row>
    <row r="667" spans="1:37" s="1637" customFormat="1" ht="18.75" customHeight="1" x14ac:dyDescent="0.15">
      <c r="A667" s="1627"/>
      <c r="B667" s="1627"/>
      <c r="C667" s="1627"/>
      <c r="D667" s="1626">
        <f>'2_入力シート【用途面積】'!$Q60</f>
        <v>0</v>
      </c>
      <c r="E667" s="1672">
        <f t="shared" si="114"/>
        <v>0</v>
      </c>
      <c r="F667" s="1672" t="str">
        <f t="shared" si="115"/>
        <v>0</v>
      </c>
      <c r="G667" s="1672" t="str">
        <f t="shared" si="116"/>
        <v>0</v>
      </c>
      <c r="H667" s="1628"/>
      <c r="I667" s="1627"/>
      <c r="J667" s="1627"/>
      <c r="K667" s="1627"/>
      <c r="L667" s="1627"/>
      <c r="M667" s="1629"/>
      <c r="N667" s="1627"/>
      <c r="O667" s="1627"/>
      <c r="P667" s="1627"/>
      <c r="Q667" s="1627"/>
      <c r="R667" s="1627"/>
      <c r="S667" s="1627"/>
      <c r="T667" s="1627"/>
      <c r="U667" s="1789"/>
      <c r="V667" s="1781" t="s">
        <v>1602</v>
      </c>
      <c r="W667" s="1782" t="s">
        <v>1306</v>
      </c>
      <c r="X667" s="1639" t="s">
        <v>1600</v>
      </c>
      <c r="Y667" s="1633" t="s">
        <v>1306</v>
      </c>
      <c r="Z667" s="1640" t="s">
        <v>1584</v>
      </c>
      <c r="AA667" s="1790"/>
      <c r="AB667" s="1791"/>
      <c r="AD667" s="1792"/>
      <c r="AG667" s="1637" t="str">
        <f t="shared" si="117"/>
        <v>階別用途別床面積-6-38階</v>
      </c>
      <c r="AI667" s="1636"/>
      <c r="AJ667" s="1636"/>
      <c r="AK667" s="1636"/>
    </row>
    <row r="668" spans="1:37" s="1637" customFormat="1" ht="18.75" customHeight="1" x14ac:dyDescent="0.15">
      <c r="A668" s="1627"/>
      <c r="B668" s="1627"/>
      <c r="C668" s="1627"/>
      <c r="D668" s="1626">
        <f>'2_入力シート【用途面積】'!$Q61</f>
        <v>0</v>
      </c>
      <c r="E668" s="1672">
        <f t="shared" si="114"/>
        <v>0</v>
      </c>
      <c r="F668" s="1672" t="str">
        <f t="shared" si="115"/>
        <v>0</v>
      </c>
      <c r="G668" s="1672" t="str">
        <f t="shared" si="116"/>
        <v>0</v>
      </c>
      <c r="H668" s="1628"/>
      <c r="I668" s="1627"/>
      <c r="J668" s="1627"/>
      <c r="K668" s="1627"/>
      <c r="L668" s="1627"/>
      <c r="M668" s="1629"/>
      <c r="N668" s="1627"/>
      <c r="O668" s="1627"/>
      <c r="P668" s="1627"/>
      <c r="Q668" s="1627"/>
      <c r="R668" s="1627"/>
      <c r="S668" s="1627"/>
      <c r="T668" s="1627"/>
      <c r="U668" s="1789"/>
      <c r="V668" s="1781" t="s">
        <v>1602</v>
      </c>
      <c r="W668" s="1782" t="s">
        <v>1306</v>
      </c>
      <c r="X668" s="1639" t="s">
        <v>1600</v>
      </c>
      <c r="Y668" s="1633" t="s">
        <v>1306</v>
      </c>
      <c r="Z668" s="1640" t="s">
        <v>1585</v>
      </c>
      <c r="AA668" s="1790"/>
      <c r="AB668" s="1791"/>
      <c r="AD668" s="1792"/>
      <c r="AG668" s="1637" t="str">
        <f t="shared" si="117"/>
        <v>階別用途別床面積-6-39階</v>
      </c>
      <c r="AI668" s="1636"/>
      <c r="AJ668" s="1636"/>
      <c r="AK668" s="1636"/>
    </row>
    <row r="669" spans="1:37" s="1637" customFormat="1" ht="18.75" customHeight="1" x14ac:dyDescent="0.15">
      <c r="A669" s="1627"/>
      <c r="B669" s="1627"/>
      <c r="C669" s="1627"/>
      <c r="D669" s="1626">
        <f>'2_入力シート【用途面積】'!$Q62</f>
        <v>0</v>
      </c>
      <c r="E669" s="1672">
        <f t="shared" si="114"/>
        <v>0</v>
      </c>
      <c r="F669" s="1672" t="str">
        <f t="shared" si="115"/>
        <v>0</v>
      </c>
      <c r="G669" s="1672" t="str">
        <f t="shared" si="116"/>
        <v>0</v>
      </c>
      <c r="H669" s="1628"/>
      <c r="I669" s="1627"/>
      <c r="J669" s="1627"/>
      <c r="K669" s="1627"/>
      <c r="L669" s="1627"/>
      <c r="M669" s="1629"/>
      <c r="N669" s="1627"/>
      <c r="O669" s="1627"/>
      <c r="P669" s="1627"/>
      <c r="Q669" s="1627"/>
      <c r="R669" s="1627"/>
      <c r="S669" s="1627"/>
      <c r="T669" s="1627"/>
      <c r="U669" s="1789"/>
      <c r="V669" s="1781" t="s">
        <v>1602</v>
      </c>
      <c r="W669" s="1782" t="s">
        <v>1306</v>
      </c>
      <c r="X669" s="1639" t="s">
        <v>1600</v>
      </c>
      <c r="Y669" s="1633" t="s">
        <v>1306</v>
      </c>
      <c r="Z669" s="1640" t="s">
        <v>1586</v>
      </c>
      <c r="AA669" s="1790"/>
      <c r="AB669" s="1791"/>
      <c r="AD669" s="1792"/>
      <c r="AG669" s="1637" t="str">
        <f t="shared" si="117"/>
        <v>階別用途別床面積-6-40階</v>
      </c>
      <c r="AI669" s="1636"/>
      <c r="AJ669" s="1636"/>
      <c r="AK669" s="1636"/>
    </row>
    <row r="670" spans="1:37" s="1637" customFormat="1" ht="18.75" customHeight="1" x14ac:dyDescent="0.15">
      <c r="A670" s="1627"/>
      <c r="B670" s="1627"/>
      <c r="C670" s="1627"/>
      <c r="D670" s="1626">
        <f>'2_入力シート【用途面積】'!$Q63</f>
        <v>0</v>
      </c>
      <c r="E670" s="1672">
        <f t="shared" si="114"/>
        <v>0</v>
      </c>
      <c r="F670" s="1672" t="str">
        <f t="shared" si="115"/>
        <v>0</v>
      </c>
      <c r="G670" s="1672" t="str">
        <f t="shared" si="116"/>
        <v>0</v>
      </c>
      <c r="H670" s="1628"/>
      <c r="I670" s="1627"/>
      <c r="J670" s="1627"/>
      <c r="K670" s="1627"/>
      <c r="L670" s="1627"/>
      <c r="M670" s="1629"/>
      <c r="N670" s="1627"/>
      <c r="O670" s="1627"/>
      <c r="P670" s="1627"/>
      <c r="Q670" s="1627"/>
      <c r="R670" s="1627"/>
      <c r="S670" s="1627"/>
      <c r="T670" s="1627"/>
      <c r="U670" s="1789"/>
      <c r="V670" s="1781" t="s">
        <v>1602</v>
      </c>
      <c r="W670" s="1782" t="s">
        <v>1306</v>
      </c>
      <c r="X670" s="1639" t="s">
        <v>1600</v>
      </c>
      <c r="Y670" s="1633" t="s">
        <v>1306</v>
      </c>
      <c r="Z670" s="1640" t="s">
        <v>1587</v>
      </c>
      <c r="AA670" s="1790"/>
      <c r="AB670" s="1791"/>
      <c r="AD670" s="1792"/>
      <c r="AG670" s="1637" t="str">
        <f t="shared" si="117"/>
        <v>階別用途別床面積-6-41階</v>
      </c>
      <c r="AI670" s="1636"/>
      <c r="AJ670" s="1636"/>
      <c r="AK670" s="1636"/>
    </row>
    <row r="671" spans="1:37" s="1637" customFormat="1" ht="18.75" customHeight="1" x14ac:dyDescent="0.15">
      <c r="A671" s="1627"/>
      <c r="B671" s="1627"/>
      <c r="C671" s="1627"/>
      <c r="D671" s="1626">
        <f>'2_入力シート【用途面積】'!$Q64</f>
        <v>0</v>
      </c>
      <c r="E671" s="1672">
        <f t="shared" si="114"/>
        <v>0</v>
      </c>
      <c r="F671" s="1672" t="str">
        <f t="shared" si="115"/>
        <v>0</v>
      </c>
      <c r="G671" s="1672" t="str">
        <f t="shared" si="116"/>
        <v>0</v>
      </c>
      <c r="H671" s="1628"/>
      <c r="I671" s="1627"/>
      <c r="J671" s="1627"/>
      <c r="K671" s="1627"/>
      <c r="L671" s="1627"/>
      <c r="M671" s="1629"/>
      <c r="N671" s="1627"/>
      <c r="O671" s="1627"/>
      <c r="P671" s="1627"/>
      <c r="Q671" s="1627"/>
      <c r="R671" s="1627"/>
      <c r="S671" s="1627"/>
      <c r="T671" s="1627"/>
      <c r="U671" s="1789"/>
      <c r="V671" s="1781" t="s">
        <v>1602</v>
      </c>
      <c r="W671" s="1782" t="s">
        <v>1306</v>
      </c>
      <c r="X671" s="1639" t="s">
        <v>1600</v>
      </c>
      <c r="Y671" s="1633" t="s">
        <v>1306</v>
      </c>
      <c r="Z671" s="1640" t="s">
        <v>1588</v>
      </c>
      <c r="AA671" s="1790"/>
      <c r="AB671" s="1791"/>
      <c r="AD671" s="1792"/>
      <c r="AG671" s="1637" t="str">
        <f t="shared" si="117"/>
        <v>階別用途別床面積-6-42階</v>
      </c>
      <c r="AI671" s="1636"/>
      <c r="AJ671" s="1636"/>
      <c r="AK671" s="1636"/>
    </row>
    <row r="672" spans="1:37" s="1637" customFormat="1" ht="18.75" customHeight="1" x14ac:dyDescent="0.15">
      <c r="A672" s="1627"/>
      <c r="B672" s="1627"/>
      <c r="C672" s="1627"/>
      <c r="D672" s="1626">
        <f>'2_入力シート【用途面積】'!$Q65</f>
        <v>0</v>
      </c>
      <c r="E672" s="1672">
        <f t="shared" si="114"/>
        <v>0</v>
      </c>
      <c r="F672" s="1672" t="str">
        <f t="shared" si="115"/>
        <v>0</v>
      </c>
      <c r="G672" s="1672" t="str">
        <f t="shared" si="116"/>
        <v>0</v>
      </c>
      <c r="H672" s="1628"/>
      <c r="I672" s="1627"/>
      <c r="J672" s="1627"/>
      <c r="K672" s="1627"/>
      <c r="L672" s="1627"/>
      <c r="M672" s="1629"/>
      <c r="N672" s="1627"/>
      <c r="O672" s="1627"/>
      <c r="P672" s="1627"/>
      <c r="Q672" s="1627"/>
      <c r="R672" s="1627"/>
      <c r="S672" s="1627"/>
      <c r="T672" s="1627"/>
      <c r="U672" s="1789"/>
      <c r="V672" s="1781" t="s">
        <v>1602</v>
      </c>
      <c r="W672" s="1782" t="s">
        <v>1306</v>
      </c>
      <c r="X672" s="1639" t="s">
        <v>1600</v>
      </c>
      <c r="Y672" s="1633" t="s">
        <v>1306</v>
      </c>
      <c r="Z672" s="1640" t="s">
        <v>1589</v>
      </c>
      <c r="AA672" s="1790"/>
      <c r="AB672" s="1791"/>
      <c r="AD672" s="1792"/>
      <c r="AG672" s="1637" t="str">
        <f t="shared" si="117"/>
        <v>階別用途別床面積-6-43階</v>
      </c>
      <c r="AI672" s="1636"/>
      <c r="AJ672" s="1636"/>
      <c r="AK672" s="1636"/>
    </row>
    <row r="673" spans="1:41" s="1637" customFormat="1" ht="18.75" customHeight="1" x14ac:dyDescent="0.15">
      <c r="A673" s="1627"/>
      <c r="B673" s="1627"/>
      <c r="C673" s="1627"/>
      <c r="D673" s="1626">
        <f>'2_入力シート【用途面積】'!$Q66</f>
        <v>0</v>
      </c>
      <c r="E673" s="1672">
        <f t="shared" si="114"/>
        <v>0</v>
      </c>
      <c r="F673" s="1672" t="str">
        <f t="shared" si="115"/>
        <v>0</v>
      </c>
      <c r="G673" s="1672" t="str">
        <f t="shared" si="116"/>
        <v>0</v>
      </c>
      <c r="H673" s="1628"/>
      <c r="I673" s="1627"/>
      <c r="J673" s="1627"/>
      <c r="K673" s="1627"/>
      <c r="L673" s="1627"/>
      <c r="M673" s="1629"/>
      <c r="N673" s="1627"/>
      <c r="O673" s="1627"/>
      <c r="P673" s="1627"/>
      <c r="Q673" s="1627"/>
      <c r="R673" s="1627"/>
      <c r="S673" s="1627"/>
      <c r="T673" s="1627"/>
      <c r="U673" s="1789"/>
      <c r="V673" s="1781" t="s">
        <v>1602</v>
      </c>
      <c r="W673" s="1782" t="s">
        <v>1306</v>
      </c>
      <c r="X673" s="1639" t="s">
        <v>1600</v>
      </c>
      <c r="Y673" s="1633" t="s">
        <v>1306</v>
      </c>
      <c r="Z673" s="1640" t="s">
        <v>1590</v>
      </c>
      <c r="AA673" s="1790"/>
      <c r="AB673" s="1791"/>
      <c r="AD673" s="1792"/>
      <c r="AG673" s="1637" t="str">
        <f t="shared" si="117"/>
        <v>階別用途別床面積-6-44階</v>
      </c>
      <c r="AI673" s="1636"/>
      <c r="AJ673" s="1636"/>
      <c r="AK673" s="1636"/>
    </row>
    <row r="674" spans="1:41" s="1637" customFormat="1" ht="18.75" customHeight="1" x14ac:dyDescent="0.15">
      <c r="A674" s="1627"/>
      <c r="B674" s="1627"/>
      <c r="C674" s="1627"/>
      <c r="D674" s="1626">
        <f>'2_入力シート【用途面積】'!$Q67</f>
        <v>0</v>
      </c>
      <c r="E674" s="1672">
        <f t="shared" ref="E674:E737" si="118">D674</f>
        <v>0</v>
      </c>
      <c r="F674" s="1672" t="str">
        <f t="shared" ref="F674:F737" si="119">SUBSTITUTE(E674,CHAR(10),"")</f>
        <v>0</v>
      </c>
      <c r="G674" s="1672" t="str">
        <f t="shared" ref="G674:G737" si="120">TRIM(F674)</f>
        <v>0</v>
      </c>
      <c r="H674" s="1628"/>
      <c r="I674" s="1627"/>
      <c r="J674" s="1627"/>
      <c r="K674" s="1627"/>
      <c r="L674" s="1627"/>
      <c r="M674" s="1629"/>
      <c r="N674" s="1627"/>
      <c r="O674" s="1627"/>
      <c r="P674" s="1627"/>
      <c r="Q674" s="1627"/>
      <c r="R674" s="1627"/>
      <c r="S674" s="1627"/>
      <c r="T674" s="1627"/>
      <c r="U674" s="1789"/>
      <c r="V674" s="1781" t="s">
        <v>1602</v>
      </c>
      <c r="W674" s="1782" t="s">
        <v>1306</v>
      </c>
      <c r="X674" s="1639" t="s">
        <v>1600</v>
      </c>
      <c r="Y674" s="1633" t="s">
        <v>1306</v>
      </c>
      <c r="Z674" s="1640" t="s">
        <v>1591</v>
      </c>
      <c r="AA674" s="1790"/>
      <c r="AB674" s="1791"/>
      <c r="AD674" s="1792"/>
      <c r="AG674" s="1637" t="str">
        <f t="shared" si="117"/>
        <v>階別用途別床面積-6-45階</v>
      </c>
      <c r="AI674" s="1636"/>
      <c r="AJ674" s="1636"/>
      <c r="AK674" s="1636"/>
    </row>
    <row r="675" spans="1:41" s="1637" customFormat="1" ht="18.75" customHeight="1" x14ac:dyDescent="0.15">
      <c r="A675" s="1627"/>
      <c r="B675" s="1627"/>
      <c r="C675" s="1627"/>
      <c r="D675" s="1626">
        <f>'2_入力シート【用途面積】'!$Q68</f>
        <v>0</v>
      </c>
      <c r="E675" s="1672">
        <f t="shared" si="118"/>
        <v>0</v>
      </c>
      <c r="F675" s="1672" t="str">
        <f t="shared" si="119"/>
        <v>0</v>
      </c>
      <c r="G675" s="1672" t="str">
        <f t="shared" si="120"/>
        <v>0</v>
      </c>
      <c r="H675" s="1628"/>
      <c r="I675" s="1627"/>
      <c r="J675" s="1627"/>
      <c r="K675" s="1627"/>
      <c r="L675" s="1627"/>
      <c r="M675" s="1629"/>
      <c r="N675" s="1627"/>
      <c r="O675" s="1627"/>
      <c r="P675" s="1627"/>
      <c r="Q675" s="1627"/>
      <c r="R675" s="1627"/>
      <c r="S675" s="1627"/>
      <c r="T675" s="1627"/>
      <c r="U675" s="1789"/>
      <c r="V675" s="1781" t="s">
        <v>1602</v>
      </c>
      <c r="W675" s="1782" t="s">
        <v>1306</v>
      </c>
      <c r="X675" s="1639" t="s">
        <v>1600</v>
      </c>
      <c r="Y675" s="1633" t="s">
        <v>1306</v>
      </c>
      <c r="Z675" s="1640" t="s">
        <v>1592</v>
      </c>
      <c r="AA675" s="1790"/>
      <c r="AB675" s="1791"/>
      <c r="AD675" s="1792"/>
      <c r="AG675" s="1637" t="str">
        <f t="shared" si="117"/>
        <v>階別用途別床面積-6-46階</v>
      </c>
      <c r="AI675" s="1636"/>
      <c r="AJ675" s="1636"/>
      <c r="AK675" s="1636"/>
    </row>
    <row r="676" spans="1:41" s="1624" customFormat="1" ht="18.75" customHeight="1" x14ac:dyDescent="0.15">
      <c r="A676" s="1627"/>
      <c r="B676" s="1627"/>
      <c r="C676" s="1627"/>
      <c r="D676" s="1626">
        <f>'2_入力シート【用途面積】'!$Q69</f>
        <v>0</v>
      </c>
      <c r="E676" s="1672">
        <f t="shared" si="118"/>
        <v>0</v>
      </c>
      <c r="F676" s="1672" t="str">
        <f t="shared" si="119"/>
        <v>0</v>
      </c>
      <c r="G676" s="1672" t="str">
        <f t="shared" si="120"/>
        <v>0</v>
      </c>
      <c r="H676" s="1628"/>
      <c r="I676" s="1627"/>
      <c r="J676" s="1627"/>
      <c r="K676" s="1627"/>
      <c r="L676" s="1627"/>
      <c r="M676" s="1629"/>
      <c r="N676" s="1627"/>
      <c r="O676" s="1627"/>
      <c r="P676" s="1627"/>
      <c r="Q676" s="1627"/>
      <c r="R676" s="1627"/>
      <c r="S676" s="1627"/>
      <c r="T676" s="1627"/>
      <c r="U676" s="1789"/>
      <c r="V676" s="1781" t="s">
        <v>1602</v>
      </c>
      <c r="W676" s="1782" t="s">
        <v>1306</v>
      </c>
      <c r="X676" s="1639" t="s">
        <v>1600</v>
      </c>
      <c r="Y676" s="1633" t="s">
        <v>1306</v>
      </c>
      <c r="Z676" s="1640" t="s">
        <v>1593</v>
      </c>
      <c r="AA676" s="1790"/>
      <c r="AB676" s="1791"/>
      <c r="AC676" s="1637"/>
      <c r="AD676" s="1792"/>
      <c r="AE676" s="1637"/>
      <c r="AF676" s="1637"/>
      <c r="AG676" s="1637" t="str">
        <f t="shared" si="117"/>
        <v>階別用途別床面積-6-47階</v>
      </c>
      <c r="AH676" s="1637"/>
      <c r="AI676" s="1636"/>
      <c r="AJ676" s="1636"/>
      <c r="AK676" s="1636"/>
      <c r="AL676" s="1637"/>
      <c r="AM676" s="1637"/>
      <c r="AN676" s="1637"/>
      <c r="AO676" s="1637"/>
    </row>
    <row r="677" spans="1:41" s="1624" customFormat="1" ht="18.75" customHeight="1" x14ac:dyDescent="0.15">
      <c r="A677" s="1627"/>
      <c r="B677" s="1627"/>
      <c r="C677" s="1627"/>
      <c r="D677" s="1626">
        <f>'2_入力シート【用途面積】'!$Q70</f>
        <v>0</v>
      </c>
      <c r="E677" s="1672">
        <f t="shared" si="118"/>
        <v>0</v>
      </c>
      <c r="F677" s="1672" t="str">
        <f t="shared" si="119"/>
        <v>0</v>
      </c>
      <c r="G677" s="1672" t="str">
        <f t="shared" si="120"/>
        <v>0</v>
      </c>
      <c r="H677" s="1628"/>
      <c r="I677" s="1627"/>
      <c r="J677" s="1627"/>
      <c r="K677" s="1627"/>
      <c r="L677" s="1627"/>
      <c r="M677" s="1629"/>
      <c r="N677" s="1627"/>
      <c r="O677" s="1627"/>
      <c r="P677" s="1627"/>
      <c r="Q677" s="1627"/>
      <c r="R677" s="1627"/>
      <c r="S677" s="1627"/>
      <c r="T677" s="1627"/>
      <c r="U677" s="1789"/>
      <c r="V677" s="1781" t="s">
        <v>1602</v>
      </c>
      <c r="W677" s="1782" t="s">
        <v>1306</v>
      </c>
      <c r="X677" s="1639" t="s">
        <v>1600</v>
      </c>
      <c r="Y677" s="1633" t="s">
        <v>1306</v>
      </c>
      <c r="Z677" s="1640" t="s">
        <v>1594</v>
      </c>
      <c r="AA677" s="1790"/>
      <c r="AB677" s="1791"/>
      <c r="AC677" s="1637"/>
      <c r="AD677" s="1792"/>
      <c r="AE677" s="1637"/>
      <c r="AF677" s="1637"/>
      <c r="AG677" s="1637" t="str">
        <f t="shared" si="117"/>
        <v>階別用途別床面積-6-48階</v>
      </c>
      <c r="AH677" s="1637"/>
      <c r="AI677" s="1636"/>
      <c r="AJ677" s="1636"/>
      <c r="AK677" s="1636"/>
      <c r="AL677" s="1637"/>
      <c r="AM677" s="1637"/>
      <c r="AN677" s="1637"/>
      <c r="AO677" s="1637"/>
    </row>
    <row r="678" spans="1:41" s="1624" customFormat="1" ht="18.75" customHeight="1" x14ac:dyDescent="0.15">
      <c r="A678" s="1627"/>
      <c r="B678" s="1627"/>
      <c r="C678" s="1627"/>
      <c r="D678" s="1626">
        <f>'2_入力シート【用途面積】'!$Q71</f>
        <v>0</v>
      </c>
      <c r="E678" s="1672">
        <f t="shared" si="118"/>
        <v>0</v>
      </c>
      <c r="F678" s="1672" t="str">
        <f t="shared" si="119"/>
        <v>0</v>
      </c>
      <c r="G678" s="1672" t="str">
        <f t="shared" si="120"/>
        <v>0</v>
      </c>
      <c r="H678" s="1628"/>
      <c r="I678" s="1627"/>
      <c r="J678" s="1627"/>
      <c r="K678" s="1627"/>
      <c r="L678" s="1627"/>
      <c r="M678" s="1629"/>
      <c r="N678" s="1627"/>
      <c r="O678" s="1627"/>
      <c r="P678" s="1627"/>
      <c r="Q678" s="1627"/>
      <c r="R678" s="1627"/>
      <c r="S678" s="1627"/>
      <c r="T678" s="1627"/>
      <c r="U678" s="1789"/>
      <c r="V678" s="1781" t="s">
        <v>1602</v>
      </c>
      <c r="W678" s="1782" t="s">
        <v>1306</v>
      </c>
      <c r="X678" s="1639" t="s">
        <v>1600</v>
      </c>
      <c r="Y678" s="1633" t="s">
        <v>1306</v>
      </c>
      <c r="Z678" s="1640" t="s">
        <v>1595</v>
      </c>
      <c r="AA678" s="1790"/>
      <c r="AB678" s="1791"/>
      <c r="AC678" s="1637"/>
      <c r="AD678" s="1792"/>
      <c r="AE678" s="1637"/>
      <c r="AF678" s="1637"/>
      <c r="AG678" s="1637" t="str">
        <f t="shared" si="117"/>
        <v>階別用途別床面積-6-49階</v>
      </c>
      <c r="AH678" s="1637"/>
      <c r="AI678" s="1636"/>
      <c r="AJ678" s="1636"/>
      <c r="AK678" s="1636"/>
      <c r="AL678" s="1637"/>
      <c r="AM678" s="1637"/>
      <c r="AN678" s="1637"/>
      <c r="AO678" s="1637"/>
    </row>
    <row r="679" spans="1:41" s="1624" customFormat="1" ht="18.75" customHeight="1" x14ac:dyDescent="0.15">
      <c r="A679" s="1627"/>
      <c r="B679" s="1627"/>
      <c r="C679" s="1627"/>
      <c r="D679" s="1626">
        <f>'2_入力シート【用途面積】'!$Q72</f>
        <v>0</v>
      </c>
      <c r="E679" s="1672">
        <f t="shared" si="118"/>
        <v>0</v>
      </c>
      <c r="F679" s="1672" t="str">
        <f t="shared" si="119"/>
        <v>0</v>
      </c>
      <c r="G679" s="1672" t="str">
        <f t="shared" si="120"/>
        <v>0</v>
      </c>
      <c r="H679" s="1628"/>
      <c r="I679" s="1627"/>
      <c r="J679" s="1627"/>
      <c r="K679" s="1627"/>
      <c r="L679" s="1627"/>
      <c r="M679" s="1629"/>
      <c r="N679" s="1627"/>
      <c r="O679" s="1627"/>
      <c r="P679" s="1627"/>
      <c r="Q679" s="1627"/>
      <c r="R679" s="1627"/>
      <c r="S679" s="1627"/>
      <c r="T679" s="1627"/>
      <c r="U679" s="1789"/>
      <c r="V679" s="1781" t="s">
        <v>1602</v>
      </c>
      <c r="W679" s="1782" t="s">
        <v>1306</v>
      </c>
      <c r="X679" s="1639" t="s">
        <v>1600</v>
      </c>
      <c r="Y679" s="1633" t="s">
        <v>1306</v>
      </c>
      <c r="Z679" s="1640" t="s">
        <v>1596</v>
      </c>
      <c r="AA679" s="1790"/>
      <c r="AB679" s="1791"/>
      <c r="AC679" s="1637"/>
      <c r="AD679" s="1792"/>
      <c r="AE679" s="1637"/>
      <c r="AF679" s="1637"/>
      <c r="AG679" s="1637" t="str">
        <f t="shared" si="117"/>
        <v>階別用途別床面積-6-50階</v>
      </c>
      <c r="AH679" s="1637"/>
      <c r="AI679" s="1636"/>
      <c r="AJ679" s="1636"/>
      <c r="AK679" s="1636"/>
      <c r="AL679" s="1637"/>
      <c r="AM679" s="1637"/>
      <c r="AN679" s="1637"/>
      <c r="AO679" s="1637"/>
    </row>
    <row r="680" spans="1:41" s="1624" customFormat="1" ht="18.75" customHeight="1" x14ac:dyDescent="0.15">
      <c r="A680" s="1627"/>
      <c r="B680" s="1627"/>
      <c r="C680" s="1627"/>
      <c r="D680" s="1626">
        <f>'2_入力シート【用途面積】'!$S$4</f>
        <v>0</v>
      </c>
      <c r="E680" s="1672">
        <f t="shared" si="118"/>
        <v>0</v>
      </c>
      <c r="F680" s="1672" t="str">
        <f t="shared" si="119"/>
        <v>0</v>
      </c>
      <c r="G680" s="1672" t="str">
        <f t="shared" si="120"/>
        <v>0</v>
      </c>
      <c r="H680" s="1628"/>
      <c r="I680" s="1627"/>
      <c r="J680" s="1627"/>
      <c r="K680" s="1627"/>
      <c r="L680" s="1627"/>
      <c r="M680" s="1629"/>
      <c r="N680" s="1627"/>
      <c r="O680" s="1627"/>
      <c r="P680" s="1627"/>
      <c r="Q680" s="1627"/>
      <c r="R680" s="1627"/>
      <c r="S680" s="1627"/>
      <c r="T680" s="1627"/>
      <c r="U680" s="1789"/>
      <c r="V680" s="1781" t="s">
        <v>1602</v>
      </c>
      <c r="W680" s="1782" t="s">
        <v>1306</v>
      </c>
      <c r="X680" s="1639" t="s">
        <v>1338</v>
      </c>
      <c r="Y680" s="1633" t="s">
        <v>1306</v>
      </c>
      <c r="Z680" s="1640" t="s">
        <v>1597</v>
      </c>
      <c r="AA680" s="1790"/>
      <c r="AB680" s="1791"/>
      <c r="AC680" s="1637"/>
      <c r="AD680" s="1792"/>
      <c r="AE680" s="1637"/>
      <c r="AF680" s="1637"/>
      <c r="AG680" s="1637" t="str">
        <f t="shared" si="117"/>
        <v>階別用途別床面積-7-大分類</v>
      </c>
      <c r="AH680" s="1637"/>
      <c r="AI680" s="1636"/>
      <c r="AJ680" s="1636"/>
      <c r="AK680" s="1636"/>
      <c r="AL680" s="1637"/>
      <c r="AM680" s="1637"/>
      <c r="AN680" s="1637"/>
      <c r="AO680" s="1637"/>
    </row>
    <row r="681" spans="1:41" s="1624" customFormat="1" ht="18.75" customHeight="1" x14ac:dyDescent="0.15">
      <c r="A681" s="1627"/>
      <c r="B681" s="1627"/>
      <c r="C681" s="1627"/>
      <c r="D681" s="1626">
        <f>'2_入力シート【用途面積】'!$S$7</f>
        <v>0</v>
      </c>
      <c r="E681" s="1672">
        <f t="shared" si="118"/>
        <v>0</v>
      </c>
      <c r="F681" s="1672" t="str">
        <f t="shared" si="119"/>
        <v>0</v>
      </c>
      <c r="G681" s="1672" t="str">
        <f t="shared" si="120"/>
        <v>0</v>
      </c>
      <c r="H681" s="1628"/>
      <c r="I681" s="1627"/>
      <c r="J681" s="1627"/>
      <c r="K681" s="1627"/>
      <c r="L681" s="1627"/>
      <c r="M681" s="1629"/>
      <c r="N681" s="1627"/>
      <c r="O681" s="1627"/>
      <c r="P681" s="1627"/>
      <c r="Q681" s="1627"/>
      <c r="R681" s="1627"/>
      <c r="S681" s="1627"/>
      <c r="T681" s="1627"/>
      <c r="U681" s="1789"/>
      <c r="V681" s="1781" t="s">
        <v>1602</v>
      </c>
      <c r="W681" s="1782" t="s">
        <v>1306</v>
      </c>
      <c r="X681" s="1639" t="s">
        <v>1338</v>
      </c>
      <c r="Y681" s="1633" t="s">
        <v>1306</v>
      </c>
      <c r="Z681" s="1640" t="s">
        <v>1598</v>
      </c>
      <c r="AA681" s="1790"/>
      <c r="AB681" s="1791"/>
      <c r="AC681" s="1637"/>
      <c r="AD681" s="1792"/>
      <c r="AE681" s="1637"/>
      <c r="AF681" s="1637"/>
      <c r="AG681" s="1637" t="str">
        <f t="shared" si="117"/>
        <v>階別用途別床面積-7-小分類</v>
      </c>
      <c r="AH681" s="1637"/>
      <c r="AI681" s="1636"/>
      <c r="AJ681" s="1636"/>
      <c r="AK681" s="1636"/>
      <c r="AL681" s="1637"/>
      <c r="AM681" s="1637"/>
      <c r="AN681" s="1637"/>
      <c r="AO681" s="1637"/>
    </row>
    <row r="682" spans="1:41" s="1624" customFormat="1" ht="18.75" customHeight="1" x14ac:dyDescent="0.15">
      <c r="A682" s="1627"/>
      <c r="B682" s="1627"/>
      <c r="C682" s="1627"/>
      <c r="D682" s="1626">
        <f>'2_入力シート【用途面積】'!$S$12</f>
        <v>0</v>
      </c>
      <c r="E682" s="1672">
        <f t="shared" si="118"/>
        <v>0</v>
      </c>
      <c r="F682" s="1672" t="str">
        <f t="shared" si="119"/>
        <v>0</v>
      </c>
      <c r="G682" s="1672" t="str">
        <f t="shared" si="120"/>
        <v>0</v>
      </c>
      <c r="H682" s="1628"/>
      <c r="I682" s="1627"/>
      <c r="J682" s="1627"/>
      <c r="K682" s="1627"/>
      <c r="L682" s="1627"/>
      <c r="M682" s="1629"/>
      <c r="N682" s="1627"/>
      <c r="O682" s="1627"/>
      <c r="P682" s="1627"/>
      <c r="Q682" s="1627"/>
      <c r="R682" s="1627"/>
      <c r="S682" s="1627"/>
      <c r="T682" s="1627"/>
      <c r="U682" s="1780"/>
      <c r="V682" s="1781" t="s">
        <v>2434</v>
      </c>
      <c r="W682" s="1782" t="s">
        <v>1366</v>
      </c>
      <c r="X682" s="1639" t="s">
        <v>1338</v>
      </c>
      <c r="Y682" s="1633" t="s">
        <v>1366</v>
      </c>
      <c r="Z682" s="1640" t="s">
        <v>2433</v>
      </c>
      <c r="AA682" s="1783"/>
      <c r="AB682" s="1787"/>
      <c r="AC682" s="1698"/>
      <c r="AD682" s="1699"/>
      <c r="AE682" s="1698"/>
      <c r="AF682" s="1698"/>
      <c r="AG682" s="1637" t="str">
        <f t="shared" si="117"/>
        <v>階別用途別床面積-7-特記</v>
      </c>
      <c r="AH682" s="1637"/>
      <c r="AI682" s="1636"/>
      <c r="AJ682" s="1636"/>
      <c r="AK682" s="1636"/>
      <c r="AL682" s="1637"/>
      <c r="AM682" s="1637"/>
      <c r="AN682" s="1637"/>
      <c r="AO682" s="1637"/>
    </row>
    <row r="683" spans="1:41" s="1624" customFormat="1" ht="18.75" customHeight="1" x14ac:dyDescent="0.15">
      <c r="A683" s="1627"/>
      <c r="B683" s="1627"/>
      <c r="C683" s="1627"/>
      <c r="D683" s="1626">
        <f>'2_入力シート【用途面積】'!$S14</f>
        <v>0</v>
      </c>
      <c r="E683" s="1672">
        <f t="shared" si="118"/>
        <v>0</v>
      </c>
      <c r="F683" s="1672" t="str">
        <f t="shared" si="119"/>
        <v>0</v>
      </c>
      <c r="G683" s="1672" t="str">
        <f t="shared" si="120"/>
        <v>0</v>
      </c>
      <c r="H683" s="1628"/>
      <c r="I683" s="1627"/>
      <c r="J683" s="1627"/>
      <c r="K683" s="1627"/>
      <c r="L683" s="1627"/>
      <c r="M683" s="1629"/>
      <c r="N683" s="1627"/>
      <c r="O683" s="1627"/>
      <c r="P683" s="1627"/>
      <c r="Q683" s="1627"/>
      <c r="R683" s="1627"/>
      <c r="S683" s="1627"/>
      <c r="T683" s="1627"/>
      <c r="U683" s="1789"/>
      <c r="V683" s="1781" t="s">
        <v>1602</v>
      </c>
      <c r="W683" s="1782" t="s">
        <v>1306</v>
      </c>
      <c r="X683" s="1639" t="s">
        <v>1601</v>
      </c>
      <c r="Y683" s="1633" t="s">
        <v>1306</v>
      </c>
      <c r="Z683" s="1640" t="s">
        <v>1538</v>
      </c>
      <c r="AA683" s="1790"/>
      <c r="AB683" s="1791"/>
      <c r="AC683" s="1637"/>
      <c r="AD683" s="1792"/>
      <c r="AE683" s="1637"/>
      <c r="AF683" s="1637"/>
      <c r="AG683" s="1637" t="str">
        <f t="shared" si="117"/>
        <v>階別用途別床面積-7-地下1階</v>
      </c>
      <c r="AH683" s="1637"/>
      <c r="AI683" s="1636"/>
      <c r="AJ683" s="1636"/>
      <c r="AK683" s="1636"/>
      <c r="AL683" s="1637"/>
      <c r="AM683" s="1637"/>
      <c r="AN683" s="1637"/>
      <c r="AO683" s="1637"/>
    </row>
    <row r="684" spans="1:41" s="1624" customFormat="1" ht="18.75" customHeight="1" x14ac:dyDescent="0.15">
      <c r="A684" s="1627"/>
      <c r="B684" s="1627"/>
      <c r="C684" s="1627"/>
      <c r="D684" s="1626">
        <f>'2_入力シート【用途面積】'!$S15</f>
        <v>0</v>
      </c>
      <c r="E684" s="1672">
        <f t="shared" si="118"/>
        <v>0</v>
      </c>
      <c r="F684" s="1672" t="str">
        <f t="shared" si="119"/>
        <v>0</v>
      </c>
      <c r="G684" s="1672" t="str">
        <f t="shared" si="120"/>
        <v>0</v>
      </c>
      <c r="H684" s="1628"/>
      <c r="I684" s="1627"/>
      <c r="J684" s="1627"/>
      <c r="K684" s="1627"/>
      <c r="L684" s="1627"/>
      <c r="M684" s="1629"/>
      <c r="N684" s="1627"/>
      <c r="O684" s="1627"/>
      <c r="P684" s="1627"/>
      <c r="Q684" s="1627"/>
      <c r="R684" s="1627"/>
      <c r="S684" s="1627"/>
      <c r="T684" s="1627"/>
      <c r="U684" s="1789"/>
      <c r="V684" s="1781" t="s">
        <v>1602</v>
      </c>
      <c r="W684" s="1782" t="s">
        <v>1306</v>
      </c>
      <c r="X684" s="1639" t="s">
        <v>1601</v>
      </c>
      <c r="Y684" s="1633" t="s">
        <v>1306</v>
      </c>
      <c r="Z684" s="1640" t="s">
        <v>1539</v>
      </c>
      <c r="AA684" s="1790"/>
      <c r="AB684" s="1791"/>
      <c r="AC684" s="1637"/>
      <c r="AD684" s="1792"/>
      <c r="AE684" s="1637"/>
      <c r="AF684" s="1637"/>
      <c r="AG684" s="1637" t="str">
        <f t="shared" si="117"/>
        <v>階別用途別床面積-7-地下2階</v>
      </c>
      <c r="AH684" s="1637"/>
      <c r="AI684" s="1636"/>
      <c r="AJ684" s="1636"/>
      <c r="AK684" s="1636"/>
      <c r="AL684" s="1637"/>
      <c r="AM684" s="1637"/>
      <c r="AN684" s="1637"/>
      <c r="AO684" s="1637"/>
    </row>
    <row r="685" spans="1:41" s="1624" customFormat="1" ht="18.75" customHeight="1" x14ac:dyDescent="0.15">
      <c r="A685" s="1627"/>
      <c r="B685" s="1627"/>
      <c r="C685" s="1627"/>
      <c r="D685" s="1626">
        <f>'2_入力シート【用途面積】'!$S16</f>
        <v>0</v>
      </c>
      <c r="E685" s="1672">
        <f t="shared" si="118"/>
        <v>0</v>
      </c>
      <c r="F685" s="1672" t="str">
        <f t="shared" si="119"/>
        <v>0</v>
      </c>
      <c r="G685" s="1672" t="str">
        <f t="shared" si="120"/>
        <v>0</v>
      </c>
      <c r="H685" s="1628"/>
      <c r="I685" s="1627"/>
      <c r="J685" s="1627"/>
      <c r="K685" s="1627"/>
      <c r="L685" s="1627"/>
      <c r="M685" s="1629"/>
      <c r="N685" s="1627"/>
      <c r="O685" s="1627"/>
      <c r="P685" s="1627"/>
      <c r="Q685" s="1627"/>
      <c r="R685" s="1627"/>
      <c r="S685" s="1627"/>
      <c r="T685" s="1627"/>
      <c r="U685" s="1789"/>
      <c r="V685" s="1781" t="s">
        <v>1602</v>
      </c>
      <c r="W685" s="1782" t="s">
        <v>1306</v>
      </c>
      <c r="X685" s="1639" t="s">
        <v>1601</v>
      </c>
      <c r="Y685" s="1633" t="s">
        <v>1306</v>
      </c>
      <c r="Z685" s="1640" t="s">
        <v>1540</v>
      </c>
      <c r="AA685" s="1790"/>
      <c r="AB685" s="1791"/>
      <c r="AC685" s="1637"/>
      <c r="AD685" s="1792"/>
      <c r="AE685" s="1637"/>
      <c r="AF685" s="1637"/>
      <c r="AG685" s="1637" t="str">
        <f t="shared" si="117"/>
        <v>階別用途別床面積-7-地下3階</v>
      </c>
      <c r="AH685" s="1637"/>
      <c r="AI685" s="1636"/>
      <c r="AJ685" s="1636"/>
      <c r="AK685" s="1636"/>
      <c r="AL685" s="1637"/>
      <c r="AM685" s="1637"/>
      <c r="AN685" s="1637"/>
      <c r="AO685" s="1637"/>
    </row>
    <row r="686" spans="1:41" s="1624" customFormat="1" ht="18.75" customHeight="1" x14ac:dyDescent="0.15">
      <c r="A686" s="1627"/>
      <c r="B686" s="1627"/>
      <c r="C686" s="1627"/>
      <c r="D686" s="1626">
        <f>'2_入力シート【用途面積】'!$S17</f>
        <v>0</v>
      </c>
      <c r="E686" s="1672">
        <f t="shared" si="118"/>
        <v>0</v>
      </c>
      <c r="F686" s="1672" t="str">
        <f t="shared" si="119"/>
        <v>0</v>
      </c>
      <c r="G686" s="1672" t="str">
        <f t="shared" si="120"/>
        <v>0</v>
      </c>
      <c r="H686" s="1628"/>
      <c r="I686" s="1627"/>
      <c r="J686" s="1627"/>
      <c r="K686" s="1627"/>
      <c r="L686" s="1627"/>
      <c r="M686" s="1629"/>
      <c r="N686" s="1627"/>
      <c r="O686" s="1627"/>
      <c r="P686" s="1627"/>
      <c r="Q686" s="1627"/>
      <c r="R686" s="1627"/>
      <c r="S686" s="1627"/>
      <c r="T686" s="1627"/>
      <c r="U686" s="1789"/>
      <c r="V686" s="1781" t="s">
        <v>1602</v>
      </c>
      <c r="W686" s="1782" t="s">
        <v>1306</v>
      </c>
      <c r="X686" s="1639" t="s">
        <v>1601</v>
      </c>
      <c r="Y686" s="1633" t="s">
        <v>1306</v>
      </c>
      <c r="Z686" s="1640" t="s">
        <v>1541</v>
      </c>
      <c r="AA686" s="1790"/>
      <c r="AB686" s="1791"/>
      <c r="AC686" s="1637"/>
      <c r="AD686" s="1792"/>
      <c r="AE686" s="1637"/>
      <c r="AF686" s="1637"/>
      <c r="AG686" s="1637" t="str">
        <f t="shared" si="117"/>
        <v>階別用途別床面積-7-地下4階</v>
      </c>
      <c r="AH686" s="1637"/>
      <c r="AI686" s="1636"/>
      <c r="AJ686" s="1636"/>
      <c r="AK686" s="1636"/>
      <c r="AL686" s="1637"/>
      <c r="AM686" s="1637"/>
      <c r="AN686" s="1637"/>
      <c r="AO686" s="1637"/>
    </row>
    <row r="687" spans="1:41" s="1624" customFormat="1" ht="18.75" customHeight="1" x14ac:dyDescent="0.15">
      <c r="A687" s="1627"/>
      <c r="B687" s="1627"/>
      <c r="C687" s="1627"/>
      <c r="D687" s="1626">
        <f>'2_入力シート【用途面積】'!$S18</f>
        <v>0</v>
      </c>
      <c r="E687" s="1672">
        <f t="shared" si="118"/>
        <v>0</v>
      </c>
      <c r="F687" s="1672" t="str">
        <f t="shared" si="119"/>
        <v>0</v>
      </c>
      <c r="G687" s="1672" t="str">
        <f t="shared" si="120"/>
        <v>0</v>
      </c>
      <c r="H687" s="1628"/>
      <c r="I687" s="1627"/>
      <c r="J687" s="1627"/>
      <c r="K687" s="1627"/>
      <c r="L687" s="1627"/>
      <c r="M687" s="1629"/>
      <c r="N687" s="1627"/>
      <c r="O687" s="1627"/>
      <c r="P687" s="1627"/>
      <c r="Q687" s="1627"/>
      <c r="R687" s="1627"/>
      <c r="S687" s="1627"/>
      <c r="T687" s="1627"/>
      <c r="U687" s="1789"/>
      <c r="V687" s="1781" t="s">
        <v>1602</v>
      </c>
      <c r="W687" s="1782" t="s">
        <v>1306</v>
      </c>
      <c r="X687" s="1639" t="s">
        <v>1601</v>
      </c>
      <c r="Y687" s="1633" t="s">
        <v>1306</v>
      </c>
      <c r="Z687" s="1640" t="s">
        <v>1542</v>
      </c>
      <c r="AA687" s="1790"/>
      <c r="AB687" s="1791"/>
      <c r="AC687" s="1637"/>
      <c r="AD687" s="1792"/>
      <c r="AE687" s="1637"/>
      <c r="AF687" s="1637"/>
      <c r="AG687" s="1637" t="str">
        <f t="shared" si="117"/>
        <v>階別用途別床面積-7-塔屋 1階</v>
      </c>
      <c r="AH687" s="1637"/>
      <c r="AI687" s="1636"/>
      <c r="AJ687" s="1636"/>
      <c r="AK687" s="1636"/>
      <c r="AL687" s="1637"/>
      <c r="AM687" s="1637"/>
      <c r="AN687" s="1637"/>
      <c r="AO687" s="1637"/>
    </row>
    <row r="688" spans="1:41" s="1624" customFormat="1" ht="18.75" customHeight="1" x14ac:dyDescent="0.15">
      <c r="A688" s="1627"/>
      <c r="B688" s="1627"/>
      <c r="C688" s="1627"/>
      <c r="D688" s="1626">
        <f>'2_入力シート【用途面積】'!$S19</f>
        <v>0</v>
      </c>
      <c r="E688" s="1672">
        <f t="shared" si="118"/>
        <v>0</v>
      </c>
      <c r="F688" s="1672" t="str">
        <f t="shared" si="119"/>
        <v>0</v>
      </c>
      <c r="G688" s="1672" t="str">
        <f t="shared" si="120"/>
        <v>0</v>
      </c>
      <c r="H688" s="1628"/>
      <c r="I688" s="1627"/>
      <c r="J688" s="1627"/>
      <c r="K688" s="1627"/>
      <c r="L688" s="1627"/>
      <c r="M688" s="1629"/>
      <c r="N688" s="1627"/>
      <c r="O688" s="1627"/>
      <c r="P688" s="1627"/>
      <c r="Q688" s="1627"/>
      <c r="R688" s="1627"/>
      <c r="S688" s="1627"/>
      <c r="T688" s="1627"/>
      <c r="U688" s="1789"/>
      <c r="V688" s="1781" t="s">
        <v>1602</v>
      </c>
      <c r="W688" s="1782" t="s">
        <v>1306</v>
      </c>
      <c r="X688" s="1639" t="s">
        <v>1601</v>
      </c>
      <c r="Y688" s="1633" t="s">
        <v>1306</v>
      </c>
      <c r="Z688" s="1640" t="s">
        <v>1543</v>
      </c>
      <c r="AA688" s="1790"/>
      <c r="AB688" s="1791"/>
      <c r="AC688" s="1637"/>
      <c r="AD688" s="1792"/>
      <c r="AE688" s="1637"/>
      <c r="AF688" s="1637"/>
      <c r="AG688" s="1637" t="str">
        <f t="shared" si="117"/>
        <v>階別用途別床面積-7-塔屋 2階</v>
      </c>
      <c r="AH688" s="1637"/>
      <c r="AI688" s="1636"/>
      <c r="AJ688" s="1636"/>
      <c r="AK688" s="1636"/>
      <c r="AL688" s="1637"/>
      <c r="AM688" s="1637"/>
      <c r="AN688" s="1637"/>
      <c r="AO688" s="1637"/>
    </row>
    <row r="689" spans="1:41" s="1624" customFormat="1" ht="18.75" customHeight="1" x14ac:dyDescent="0.15">
      <c r="A689" s="1627"/>
      <c r="B689" s="1627"/>
      <c r="C689" s="1627"/>
      <c r="D689" s="1626">
        <f>'2_入力シート【用途面積】'!$S20</f>
        <v>0</v>
      </c>
      <c r="E689" s="1672">
        <f t="shared" si="118"/>
        <v>0</v>
      </c>
      <c r="F689" s="1672" t="str">
        <f t="shared" si="119"/>
        <v>0</v>
      </c>
      <c r="G689" s="1672" t="str">
        <f t="shared" si="120"/>
        <v>0</v>
      </c>
      <c r="H689" s="1628"/>
      <c r="I689" s="1627"/>
      <c r="J689" s="1627"/>
      <c r="K689" s="1627"/>
      <c r="L689" s="1627"/>
      <c r="M689" s="1629"/>
      <c r="N689" s="1627"/>
      <c r="O689" s="1627"/>
      <c r="P689" s="1627"/>
      <c r="Q689" s="1627"/>
      <c r="R689" s="1627"/>
      <c r="S689" s="1627"/>
      <c r="T689" s="1627"/>
      <c r="U689" s="1789"/>
      <c r="V689" s="1781" t="s">
        <v>1602</v>
      </c>
      <c r="W689" s="1782" t="s">
        <v>1306</v>
      </c>
      <c r="X689" s="1639" t="s">
        <v>1601</v>
      </c>
      <c r="Y689" s="1633" t="s">
        <v>1306</v>
      </c>
      <c r="Z689" s="1640" t="s">
        <v>1544</v>
      </c>
      <c r="AA689" s="1790"/>
      <c r="AB689" s="1791"/>
      <c r="AC689" s="1637"/>
      <c r="AD689" s="1792"/>
      <c r="AE689" s="1637"/>
      <c r="AF689" s="1637"/>
      <c r="AG689" s="1637" t="str">
        <f t="shared" si="117"/>
        <v>階別用途別床面積-7-塔屋 3階</v>
      </c>
      <c r="AH689" s="1637"/>
      <c r="AI689" s="1636"/>
      <c r="AJ689" s="1636"/>
      <c r="AK689" s="1636"/>
      <c r="AL689" s="1637"/>
      <c r="AM689" s="1637"/>
      <c r="AN689" s="1637"/>
      <c r="AO689" s="1637"/>
    </row>
    <row r="690" spans="1:41" s="1624" customFormat="1" ht="18.75" customHeight="1" x14ac:dyDescent="0.15">
      <c r="A690" s="1627"/>
      <c r="B690" s="1627"/>
      <c r="C690" s="1627"/>
      <c r="D690" s="1626">
        <f>'2_入力シート【用途面積】'!$S21</f>
        <v>0</v>
      </c>
      <c r="E690" s="1672">
        <f t="shared" si="118"/>
        <v>0</v>
      </c>
      <c r="F690" s="1672" t="str">
        <f t="shared" si="119"/>
        <v>0</v>
      </c>
      <c r="G690" s="1672" t="str">
        <f t="shared" si="120"/>
        <v>0</v>
      </c>
      <c r="H690" s="1628"/>
      <c r="I690" s="1627"/>
      <c r="J690" s="1627"/>
      <c r="K690" s="1627"/>
      <c r="L690" s="1627"/>
      <c r="M690" s="1629"/>
      <c r="N690" s="1627"/>
      <c r="O690" s="1627"/>
      <c r="P690" s="1627"/>
      <c r="Q690" s="1627"/>
      <c r="R690" s="1627"/>
      <c r="S690" s="1627"/>
      <c r="T690" s="1627"/>
      <c r="U690" s="1789"/>
      <c r="V690" s="1781" t="s">
        <v>1602</v>
      </c>
      <c r="W690" s="1782" t="s">
        <v>1306</v>
      </c>
      <c r="X690" s="1639" t="s">
        <v>1601</v>
      </c>
      <c r="Y690" s="1633" t="s">
        <v>1306</v>
      </c>
      <c r="Z690" s="1640" t="s">
        <v>1545</v>
      </c>
      <c r="AA690" s="1790"/>
      <c r="AB690" s="1791"/>
      <c r="AC690" s="1637"/>
      <c r="AD690" s="1792"/>
      <c r="AE690" s="1637"/>
      <c r="AF690" s="1637"/>
      <c r="AG690" s="1637" t="str">
        <f t="shared" si="117"/>
        <v>階別用途別床面積-7-塔屋 4階</v>
      </c>
      <c r="AH690" s="1637"/>
      <c r="AI690" s="1636"/>
      <c r="AJ690" s="1636"/>
      <c r="AK690" s="1636"/>
      <c r="AL690" s="1637"/>
      <c r="AM690" s="1637"/>
      <c r="AN690" s="1637"/>
      <c r="AO690" s="1637"/>
    </row>
    <row r="691" spans="1:41" s="1624" customFormat="1" ht="18.75" customHeight="1" x14ac:dyDescent="0.15">
      <c r="A691" s="1627"/>
      <c r="B691" s="1627"/>
      <c r="C691" s="1627"/>
      <c r="D691" s="1626">
        <f>'2_入力シート【用途面積】'!$S22</f>
        <v>0</v>
      </c>
      <c r="E691" s="1672">
        <f t="shared" si="118"/>
        <v>0</v>
      </c>
      <c r="F691" s="1672" t="str">
        <f t="shared" si="119"/>
        <v>0</v>
      </c>
      <c r="G691" s="1672" t="str">
        <f t="shared" si="120"/>
        <v>0</v>
      </c>
      <c r="H691" s="1628"/>
      <c r="I691" s="1627"/>
      <c r="J691" s="1627"/>
      <c r="K691" s="1627"/>
      <c r="L691" s="1627"/>
      <c r="M691" s="1629"/>
      <c r="N691" s="1627"/>
      <c r="O691" s="1627"/>
      <c r="P691" s="1627"/>
      <c r="Q691" s="1627"/>
      <c r="R691" s="1627"/>
      <c r="S691" s="1627"/>
      <c r="T691" s="1627"/>
      <c r="U691" s="1789"/>
      <c r="V691" s="1781" t="s">
        <v>1602</v>
      </c>
      <c r="W691" s="1782" t="s">
        <v>1306</v>
      </c>
      <c r="X691" s="1639" t="s">
        <v>1601</v>
      </c>
      <c r="Y691" s="1633" t="s">
        <v>1306</v>
      </c>
      <c r="Z691" s="1640" t="s">
        <v>1546</v>
      </c>
      <c r="AA691" s="1790"/>
      <c r="AB691" s="1791"/>
      <c r="AC691" s="1637"/>
      <c r="AD691" s="1792"/>
      <c r="AE691" s="1637"/>
      <c r="AF691" s="1637"/>
      <c r="AG691" s="1637" t="str">
        <f t="shared" si="117"/>
        <v>階別用途別床面積-7-塔屋 5階</v>
      </c>
      <c r="AH691" s="1637"/>
      <c r="AI691" s="1636"/>
      <c r="AJ691" s="1636"/>
      <c r="AK691" s="1636"/>
      <c r="AL691" s="1637"/>
      <c r="AM691" s="1637"/>
      <c r="AN691" s="1637"/>
      <c r="AO691" s="1637"/>
    </row>
    <row r="692" spans="1:41" s="1637" customFormat="1" ht="18.75" customHeight="1" x14ac:dyDescent="0.15">
      <c r="A692" s="1627"/>
      <c r="B692" s="1627"/>
      <c r="C692" s="1627"/>
      <c r="D692" s="1626">
        <f>'2_入力シート【用途面積】'!$S23</f>
        <v>0</v>
      </c>
      <c r="E692" s="1672">
        <f t="shared" si="118"/>
        <v>0</v>
      </c>
      <c r="F692" s="1672" t="str">
        <f t="shared" si="119"/>
        <v>0</v>
      </c>
      <c r="G692" s="1672" t="str">
        <f t="shared" si="120"/>
        <v>0</v>
      </c>
      <c r="H692" s="1628"/>
      <c r="I692" s="1627"/>
      <c r="J692" s="1627"/>
      <c r="K692" s="1627"/>
      <c r="L692" s="1627"/>
      <c r="M692" s="1629"/>
      <c r="N692" s="1627"/>
      <c r="O692" s="1627"/>
      <c r="P692" s="1627"/>
      <c r="Q692" s="1627"/>
      <c r="R692" s="1627"/>
      <c r="S692" s="1627"/>
      <c r="T692" s="1627"/>
      <c r="U692" s="1789"/>
      <c r="V692" s="1781" t="s">
        <v>1602</v>
      </c>
      <c r="W692" s="1782" t="s">
        <v>1306</v>
      </c>
      <c r="X692" s="1639" t="s">
        <v>1601</v>
      </c>
      <c r="Y692" s="1633" t="s">
        <v>1306</v>
      </c>
      <c r="Z692" s="1640" t="s">
        <v>1547</v>
      </c>
      <c r="AA692" s="1790"/>
      <c r="AB692" s="1791"/>
      <c r="AD692" s="1792"/>
      <c r="AG692" s="1637" t="str">
        <f t="shared" si="117"/>
        <v>階別用途別床面積-7-1階</v>
      </c>
      <c r="AI692" s="1636"/>
      <c r="AJ692" s="1636"/>
      <c r="AK692" s="1636"/>
    </row>
    <row r="693" spans="1:41" s="1637" customFormat="1" ht="18.75" customHeight="1" x14ac:dyDescent="0.15">
      <c r="A693" s="1627"/>
      <c r="B693" s="1627"/>
      <c r="C693" s="1627"/>
      <c r="D693" s="1626">
        <f>'2_入力シート【用途面積】'!$S24</f>
        <v>0</v>
      </c>
      <c r="E693" s="1672">
        <f t="shared" si="118"/>
        <v>0</v>
      </c>
      <c r="F693" s="1672" t="str">
        <f t="shared" si="119"/>
        <v>0</v>
      </c>
      <c r="G693" s="1672" t="str">
        <f t="shared" si="120"/>
        <v>0</v>
      </c>
      <c r="H693" s="1628"/>
      <c r="I693" s="1627"/>
      <c r="J693" s="1627"/>
      <c r="K693" s="1627"/>
      <c r="L693" s="1627"/>
      <c r="M693" s="1629"/>
      <c r="N693" s="1627"/>
      <c r="O693" s="1627"/>
      <c r="P693" s="1627"/>
      <c r="Q693" s="1627"/>
      <c r="R693" s="1627"/>
      <c r="S693" s="1627"/>
      <c r="T693" s="1627"/>
      <c r="U693" s="1789"/>
      <c r="V693" s="1781" t="s">
        <v>1602</v>
      </c>
      <c r="W693" s="1782" t="s">
        <v>1306</v>
      </c>
      <c r="X693" s="1639" t="s">
        <v>1601</v>
      </c>
      <c r="Y693" s="1633" t="s">
        <v>1306</v>
      </c>
      <c r="Z693" s="1640" t="s">
        <v>1548</v>
      </c>
      <c r="AA693" s="1790"/>
      <c r="AB693" s="1791"/>
      <c r="AD693" s="1792"/>
      <c r="AG693" s="1637" t="str">
        <f t="shared" si="117"/>
        <v>階別用途別床面積-7-2階</v>
      </c>
      <c r="AI693" s="1636"/>
      <c r="AJ693" s="1636"/>
      <c r="AK693" s="1636"/>
    </row>
    <row r="694" spans="1:41" s="1637" customFormat="1" ht="18.75" customHeight="1" x14ac:dyDescent="0.15">
      <c r="A694" s="1627"/>
      <c r="B694" s="1627"/>
      <c r="C694" s="1627"/>
      <c r="D694" s="1626">
        <f>'2_入力シート【用途面積】'!$S25</f>
        <v>0</v>
      </c>
      <c r="E694" s="1672">
        <f t="shared" si="118"/>
        <v>0</v>
      </c>
      <c r="F694" s="1672" t="str">
        <f t="shared" si="119"/>
        <v>0</v>
      </c>
      <c r="G694" s="1672" t="str">
        <f t="shared" si="120"/>
        <v>0</v>
      </c>
      <c r="H694" s="1628"/>
      <c r="I694" s="1627"/>
      <c r="J694" s="1627"/>
      <c r="K694" s="1627"/>
      <c r="L694" s="1627"/>
      <c r="M694" s="1629"/>
      <c r="N694" s="1627"/>
      <c r="O694" s="1627"/>
      <c r="P694" s="1627"/>
      <c r="Q694" s="1627"/>
      <c r="R694" s="1627"/>
      <c r="S694" s="1627"/>
      <c r="T694" s="1627"/>
      <c r="U694" s="1789"/>
      <c r="V694" s="1781" t="s">
        <v>1602</v>
      </c>
      <c r="W694" s="1782" t="s">
        <v>1306</v>
      </c>
      <c r="X694" s="1639" t="s">
        <v>1601</v>
      </c>
      <c r="Y694" s="1633" t="s">
        <v>1306</v>
      </c>
      <c r="Z694" s="1640" t="s">
        <v>1549</v>
      </c>
      <c r="AA694" s="1790"/>
      <c r="AB694" s="1791"/>
      <c r="AD694" s="1792"/>
      <c r="AG694" s="1637" t="str">
        <f t="shared" si="117"/>
        <v>階別用途別床面積-7-3階</v>
      </c>
      <c r="AI694" s="1636"/>
      <c r="AJ694" s="1636"/>
      <c r="AK694" s="1636"/>
    </row>
    <row r="695" spans="1:41" s="1637" customFormat="1" ht="18.75" customHeight="1" x14ac:dyDescent="0.15">
      <c r="A695" s="1627"/>
      <c r="B695" s="1627"/>
      <c r="C695" s="1627"/>
      <c r="D695" s="1626">
        <f>'2_入力シート【用途面積】'!$S26</f>
        <v>0</v>
      </c>
      <c r="E695" s="1672">
        <f t="shared" si="118"/>
        <v>0</v>
      </c>
      <c r="F695" s="1672" t="str">
        <f t="shared" si="119"/>
        <v>0</v>
      </c>
      <c r="G695" s="1672" t="str">
        <f t="shared" si="120"/>
        <v>0</v>
      </c>
      <c r="H695" s="1628"/>
      <c r="I695" s="1627"/>
      <c r="J695" s="1627"/>
      <c r="K695" s="1627"/>
      <c r="L695" s="1627"/>
      <c r="M695" s="1629"/>
      <c r="N695" s="1627"/>
      <c r="O695" s="1627"/>
      <c r="P695" s="1627"/>
      <c r="Q695" s="1627"/>
      <c r="R695" s="1627"/>
      <c r="S695" s="1627"/>
      <c r="T695" s="1627"/>
      <c r="U695" s="1789"/>
      <c r="V695" s="1781" t="s">
        <v>1602</v>
      </c>
      <c r="W695" s="1782" t="s">
        <v>1306</v>
      </c>
      <c r="X695" s="1639" t="s">
        <v>1601</v>
      </c>
      <c r="Y695" s="1633" t="s">
        <v>1306</v>
      </c>
      <c r="Z695" s="1640" t="s">
        <v>1550</v>
      </c>
      <c r="AA695" s="1790"/>
      <c r="AB695" s="1791"/>
      <c r="AD695" s="1792"/>
      <c r="AG695" s="1637" t="str">
        <f t="shared" si="117"/>
        <v>階別用途別床面積-7-4階</v>
      </c>
      <c r="AI695" s="1636"/>
      <c r="AJ695" s="1636"/>
      <c r="AK695" s="1636"/>
    </row>
    <row r="696" spans="1:41" s="1637" customFormat="1" ht="18.75" customHeight="1" x14ac:dyDescent="0.15">
      <c r="A696" s="1627"/>
      <c r="B696" s="1627"/>
      <c r="C696" s="1627"/>
      <c r="D696" s="1626">
        <f>'2_入力シート【用途面積】'!$S27</f>
        <v>0</v>
      </c>
      <c r="E696" s="1672">
        <f t="shared" si="118"/>
        <v>0</v>
      </c>
      <c r="F696" s="1672" t="str">
        <f t="shared" si="119"/>
        <v>0</v>
      </c>
      <c r="G696" s="1672" t="str">
        <f t="shared" si="120"/>
        <v>0</v>
      </c>
      <c r="H696" s="1628"/>
      <c r="I696" s="1627"/>
      <c r="J696" s="1627"/>
      <c r="K696" s="1627"/>
      <c r="L696" s="1627"/>
      <c r="M696" s="1629"/>
      <c r="N696" s="1627"/>
      <c r="O696" s="1627"/>
      <c r="P696" s="1627"/>
      <c r="Q696" s="1627"/>
      <c r="R696" s="1627"/>
      <c r="S696" s="1627"/>
      <c r="T696" s="1627"/>
      <c r="U696" s="1789"/>
      <c r="V696" s="1781" t="s">
        <v>1602</v>
      </c>
      <c r="W696" s="1782" t="s">
        <v>1306</v>
      </c>
      <c r="X696" s="1639" t="s">
        <v>1601</v>
      </c>
      <c r="Y696" s="1633" t="s">
        <v>1306</v>
      </c>
      <c r="Z696" s="1640" t="s">
        <v>1551</v>
      </c>
      <c r="AA696" s="1790"/>
      <c r="AB696" s="1791"/>
      <c r="AD696" s="1792"/>
      <c r="AG696" s="1637" t="str">
        <f t="shared" si="117"/>
        <v>階別用途別床面積-7-5階</v>
      </c>
      <c r="AI696" s="1636"/>
      <c r="AJ696" s="1636"/>
      <c r="AK696" s="1636"/>
    </row>
    <row r="697" spans="1:41" s="1637" customFormat="1" ht="18.75" customHeight="1" x14ac:dyDescent="0.15">
      <c r="A697" s="1627"/>
      <c r="B697" s="1627"/>
      <c r="C697" s="1627"/>
      <c r="D697" s="1626">
        <f>'2_入力シート【用途面積】'!$S28</f>
        <v>0</v>
      </c>
      <c r="E697" s="1672">
        <f t="shared" si="118"/>
        <v>0</v>
      </c>
      <c r="F697" s="1672" t="str">
        <f t="shared" si="119"/>
        <v>0</v>
      </c>
      <c r="G697" s="1672" t="str">
        <f t="shared" si="120"/>
        <v>0</v>
      </c>
      <c r="H697" s="1628"/>
      <c r="I697" s="1627"/>
      <c r="J697" s="1627"/>
      <c r="K697" s="1627"/>
      <c r="L697" s="1627"/>
      <c r="M697" s="1629"/>
      <c r="N697" s="1627"/>
      <c r="O697" s="1627"/>
      <c r="P697" s="1627"/>
      <c r="Q697" s="1627"/>
      <c r="R697" s="1627"/>
      <c r="S697" s="1627"/>
      <c r="T697" s="1627"/>
      <c r="U697" s="1789"/>
      <c r="V697" s="1781" t="s">
        <v>1602</v>
      </c>
      <c r="W697" s="1782" t="s">
        <v>1306</v>
      </c>
      <c r="X697" s="1639" t="s">
        <v>1601</v>
      </c>
      <c r="Y697" s="1633" t="s">
        <v>1306</v>
      </c>
      <c r="Z697" s="1640" t="s">
        <v>1552</v>
      </c>
      <c r="AA697" s="1790"/>
      <c r="AB697" s="1791"/>
      <c r="AD697" s="1792"/>
      <c r="AG697" s="1637" t="str">
        <f t="shared" si="117"/>
        <v>階別用途別床面積-7-6階</v>
      </c>
      <c r="AI697" s="1636"/>
      <c r="AJ697" s="1636"/>
      <c r="AK697" s="1636"/>
    </row>
    <row r="698" spans="1:41" s="1637" customFormat="1" ht="18.75" customHeight="1" x14ac:dyDescent="0.15">
      <c r="A698" s="1627"/>
      <c r="B698" s="1627"/>
      <c r="C698" s="1627"/>
      <c r="D698" s="1626">
        <f>'2_入力シート【用途面積】'!$S29</f>
        <v>0</v>
      </c>
      <c r="E698" s="1672">
        <f t="shared" si="118"/>
        <v>0</v>
      </c>
      <c r="F698" s="1672" t="str">
        <f t="shared" si="119"/>
        <v>0</v>
      </c>
      <c r="G698" s="1672" t="str">
        <f t="shared" si="120"/>
        <v>0</v>
      </c>
      <c r="H698" s="1628"/>
      <c r="I698" s="1627"/>
      <c r="J698" s="1627"/>
      <c r="K698" s="1627"/>
      <c r="L698" s="1627"/>
      <c r="M698" s="1629"/>
      <c r="N698" s="1627"/>
      <c r="O698" s="1627"/>
      <c r="P698" s="1627"/>
      <c r="Q698" s="1627"/>
      <c r="R698" s="1627"/>
      <c r="S698" s="1627"/>
      <c r="T698" s="1627"/>
      <c r="U698" s="1789"/>
      <c r="V698" s="1781" t="s">
        <v>1602</v>
      </c>
      <c r="W698" s="1782" t="s">
        <v>1306</v>
      </c>
      <c r="X698" s="1639" t="s">
        <v>1601</v>
      </c>
      <c r="Y698" s="1633" t="s">
        <v>1306</v>
      </c>
      <c r="Z698" s="1640" t="s">
        <v>1553</v>
      </c>
      <c r="AA698" s="1790"/>
      <c r="AB698" s="1791"/>
      <c r="AD698" s="1792"/>
      <c r="AG698" s="1637" t="str">
        <f t="shared" si="117"/>
        <v>階別用途別床面積-7-7階</v>
      </c>
      <c r="AI698" s="1636"/>
      <c r="AJ698" s="1636"/>
      <c r="AK698" s="1636"/>
    </row>
    <row r="699" spans="1:41" s="1637" customFormat="1" ht="18.75" customHeight="1" x14ac:dyDescent="0.15">
      <c r="A699" s="1627"/>
      <c r="B699" s="1627"/>
      <c r="C699" s="1627"/>
      <c r="D699" s="1626">
        <f>'2_入力シート【用途面積】'!$S30</f>
        <v>0</v>
      </c>
      <c r="E699" s="1672">
        <f t="shared" si="118"/>
        <v>0</v>
      </c>
      <c r="F699" s="1672" t="str">
        <f t="shared" si="119"/>
        <v>0</v>
      </c>
      <c r="G699" s="1672" t="str">
        <f t="shared" si="120"/>
        <v>0</v>
      </c>
      <c r="H699" s="1628"/>
      <c r="I699" s="1627"/>
      <c r="J699" s="1627"/>
      <c r="K699" s="1627"/>
      <c r="L699" s="1627"/>
      <c r="M699" s="1629"/>
      <c r="N699" s="1627"/>
      <c r="O699" s="1627"/>
      <c r="P699" s="1627"/>
      <c r="Q699" s="1627"/>
      <c r="R699" s="1627"/>
      <c r="S699" s="1627"/>
      <c r="T699" s="1627"/>
      <c r="U699" s="1789"/>
      <c r="V699" s="1781" t="s">
        <v>1602</v>
      </c>
      <c r="W699" s="1782" t="s">
        <v>1306</v>
      </c>
      <c r="X699" s="1639" t="s">
        <v>1601</v>
      </c>
      <c r="Y699" s="1633" t="s">
        <v>1306</v>
      </c>
      <c r="Z699" s="1640" t="s">
        <v>1554</v>
      </c>
      <c r="AA699" s="1790"/>
      <c r="AB699" s="1791"/>
      <c r="AD699" s="1792"/>
      <c r="AG699" s="1637" t="str">
        <f t="shared" si="117"/>
        <v>階別用途別床面積-7-8階</v>
      </c>
      <c r="AI699" s="1636"/>
      <c r="AJ699" s="1636"/>
      <c r="AK699" s="1636"/>
    </row>
    <row r="700" spans="1:41" s="1637" customFormat="1" ht="18.75" customHeight="1" x14ac:dyDescent="0.15">
      <c r="A700" s="1627"/>
      <c r="B700" s="1627"/>
      <c r="C700" s="1627"/>
      <c r="D700" s="1626">
        <f>'2_入力シート【用途面積】'!$S31</f>
        <v>0</v>
      </c>
      <c r="E700" s="1672">
        <f t="shared" si="118"/>
        <v>0</v>
      </c>
      <c r="F700" s="1672" t="str">
        <f t="shared" si="119"/>
        <v>0</v>
      </c>
      <c r="G700" s="1672" t="str">
        <f t="shared" si="120"/>
        <v>0</v>
      </c>
      <c r="H700" s="1628"/>
      <c r="I700" s="1627"/>
      <c r="J700" s="1627"/>
      <c r="K700" s="1627"/>
      <c r="L700" s="1627"/>
      <c r="M700" s="1629"/>
      <c r="N700" s="1627"/>
      <c r="O700" s="1627"/>
      <c r="P700" s="1627"/>
      <c r="Q700" s="1627"/>
      <c r="R700" s="1627"/>
      <c r="S700" s="1627"/>
      <c r="T700" s="1627"/>
      <c r="U700" s="1789"/>
      <c r="V700" s="1781" t="s">
        <v>1602</v>
      </c>
      <c r="W700" s="1782" t="s">
        <v>1306</v>
      </c>
      <c r="X700" s="1639" t="s">
        <v>1601</v>
      </c>
      <c r="Y700" s="1633" t="s">
        <v>1306</v>
      </c>
      <c r="Z700" s="1640" t="s">
        <v>1555</v>
      </c>
      <c r="AA700" s="1790"/>
      <c r="AB700" s="1791"/>
      <c r="AD700" s="1792"/>
      <c r="AG700" s="1637" t="str">
        <f t="shared" si="117"/>
        <v>階別用途別床面積-7-9階</v>
      </c>
      <c r="AI700" s="1636"/>
      <c r="AJ700" s="1636"/>
      <c r="AK700" s="1636"/>
    </row>
    <row r="701" spans="1:41" s="1637" customFormat="1" ht="18.75" customHeight="1" x14ac:dyDescent="0.15">
      <c r="A701" s="1627"/>
      <c r="B701" s="1627"/>
      <c r="C701" s="1627"/>
      <c r="D701" s="1626">
        <f>'2_入力シート【用途面積】'!$S32</f>
        <v>0</v>
      </c>
      <c r="E701" s="1672">
        <f t="shared" si="118"/>
        <v>0</v>
      </c>
      <c r="F701" s="1672" t="str">
        <f t="shared" si="119"/>
        <v>0</v>
      </c>
      <c r="G701" s="1672" t="str">
        <f t="shared" si="120"/>
        <v>0</v>
      </c>
      <c r="H701" s="1628"/>
      <c r="I701" s="1627"/>
      <c r="J701" s="1627"/>
      <c r="K701" s="1627"/>
      <c r="L701" s="1627"/>
      <c r="M701" s="1629"/>
      <c r="N701" s="1627"/>
      <c r="O701" s="1627"/>
      <c r="P701" s="1627"/>
      <c r="Q701" s="1627"/>
      <c r="R701" s="1627"/>
      <c r="S701" s="1627"/>
      <c r="T701" s="1627"/>
      <c r="U701" s="1789"/>
      <c r="V701" s="1781" t="s">
        <v>1602</v>
      </c>
      <c r="W701" s="1782" t="s">
        <v>1306</v>
      </c>
      <c r="X701" s="1639" t="s">
        <v>1601</v>
      </c>
      <c r="Y701" s="1633" t="s">
        <v>1306</v>
      </c>
      <c r="Z701" s="1640" t="s">
        <v>1556</v>
      </c>
      <c r="AA701" s="1790"/>
      <c r="AB701" s="1791"/>
      <c r="AD701" s="1792"/>
      <c r="AG701" s="1637" t="str">
        <f t="shared" si="117"/>
        <v>階別用途別床面積-7-10階</v>
      </c>
      <c r="AI701" s="1636"/>
      <c r="AJ701" s="1636"/>
      <c r="AK701" s="1636"/>
    </row>
    <row r="702" spans="1:41" s="1637" customFormat="1" ht="18.75" customHeight="1" x14ac:dyDescent="0.15">
      <c r="A702" s="1627"/>
      <c r="B702" s="1627"/>
      <c r="C702" s="1627"/>
      <c r="D702" s="1626">
        <f>'2_入力シート【用途面積】'!$S33</f>
        <v>0</v>
      </c>
      <c r="E702" s="1672">
        <f t="shared" si="118"/>
        <v>0</v>
      </c>
      <c r="F702" s="1672" t="str">
        <f t="shared" si="119"/>
        <v>0</v>
      </c>
      <c r="G702" s="1672" t="str">
        <f t="shared" si="120"/>
        <v>0</v>
      </c>
      <c r="H702" s="1628"/>
      <c r="I702" s="1627"/>
      <c r="J702" s="1627"/>
      <c r="K702" s="1627"/>
      <c r="L702" s="1627"/>
      <c r="M702" s="1629"/>
      <c r="N702" s="1627"/>
      <c r="O702" s="1627"/>
      <c r="P702" s="1627"/>
      <c r="Q702" s="1627"/>
      <c r="R702" s="1627"/>
      <c r="S702" s="1627"/>
      <c r="T702" s="1627"/>
      <c r="U702" s="1789"/>
      <c r="V702" s="1781" t="s">
        <v>1602</v>
      </c>
      <c r="W702" s="1782" t="s">
        <v>1306</v>
      </c>
      <c r="X702" s="1639" t="s">
        <v>1601</v>
      </c>
      <c r="Y702" s="1633" t="s">
        <v>1306</v>
      </c>
      <c r="Z702" s="1640" t="s">
        <v>1557</v>
      </c>
      <c r="AA702" s="1790"/>
      <c r="AB702" s="1791"/>
      <c r="AD702" s="1792"/>
      <c r="AG702" s="1637" t="str">
        <f t="shared" si="117"/>
        <v>階別用途別床面積-7-11階</v>
      </c>
      <c r="AI702" s="1636"/>
      <c r="AJ702" s="1636"/>
      <c r="AK702" s="1636"/>
    </row>
    <row r="703" spans="1:41" s="1637" customFormat="1" ht="18.75" customHeight="1" x14ac:dyDescent="0.15">
      <c r="A703" s="1627"/>
      <c r="B703" s="1627"/>
      <c r="C703" s="1627"/>
      <c r="D703" s="1626">
        <f>'2_入力シート【用途面積】'!$S34</f>
        <v>0</v>
      </c>
      <c r="E703" s="1672">
        <f t="shared" si="118"/>
        <v>0</v>
      </c>
      <c r="F703" s="1672" t="str">
        <f t="shared" si="119"/>
        <v>0</v>
      </c>
      <c r="G703" s="1672" t="str">
        <f t="shared" si="120"/>
        <v>0</v>
      </c>
      <c r="H703" s="1628"/>
      <c r="I703" s="1627"/>
      <c r="J703" s="1627"/>
      <c r="K703" s="1627"/>
      <c r="L703" s="1627"/>
      <c r="M703" s="1629"/>
      <c r="N703" s="1627"/>
      <c r="O703" s="1627"/>
      <c r="P703" s="1627"/>
      <c r="Q703" s="1627"/>
      <c r="R703" s="1627"/>
      <c r="S703" s="1627"/>
      <c r="T703" s="1627"/>
      <c r="U703" s="1789"/>
      <c r="V703" s="1781" t="s">
        <v>1602</v>
      </c>
      <c r="W703" s="1782" t="s">
        <v>1306</v>
      </c>
      <c r="X703" s="1639" t="s">
        <v>1601</v>
      </c>
      <c r="Y703" s="1633" t="s">
        <v>1306</v>
      </c>
      <c r="Z703" s="1640" t="s">
        <v>1558</v>
      </c>
      <c r="AA703" s="1790"/>
      <c r="AB703" s="1791"/>
      <c r="AD703" s="1792"/>
      <c r="AG703" s="1637" t="str">
        <f t="shared" si="117"/>
        <v>階別用途別床面積-7-12階</v>
      </c>
      <c r="AI703" s="1636"/>
      <c r="AJ703" s="1636"/>
      <c r="AK703" s="1636"/>
    </row>
    <row r="704" spans="1:41" s="1637" customFormat="1" ht="18.75" customHeight="1" x14ac:dyDescent="0.15">
      <c r="A704" s="1627"/>
      <c r="B704" s="1627"/>
      <c r="C704" s="1627"/>
      <c r="D704" s="1626">
        <f>'2_入力シート【用途面積】'!$S35</f>
        <v>0</v>
      </c>
      <c r="E704" s="1672">
        <f t="shared" si="118"/>
        <v>0</v>
      </c>
      <c r="F704" s="1672" t="str">
        <f t="shared" si="119"/>
        <v>0</v>
      </c>
      <c r="G704" s="1672" t="str">
        <f t="shared" si="120"/>
        <v>0</v>
      </c>
      <c r="H704" s="1628"/>
      <c r="I704" s="1627"/>
      <c r="J704" s="1627"/>
      <c r="K704" s="1627"/>
      <c r="L704" s="1627"/>
      <c r="M704" s="1629"/>
      <c r="N704" s="1627"/>
      <c r="O704" s="1627"/>
      <c r="P704" s="1627"/>
      <c r="Q704" s="1627"/>
      <c r="R704" s="1627"/>
      <c r="S704" s="1627"/>
      <c r="T704" s="1627"/>
      <c r="U704" s="1789"/>
      <c r="V704" s="1781" t="s">
        <v>1602</v>
      </c>
      <c r="W704" s="1782" t="s">
        <v>1306</v>
      </c>
      <c r="X704" s="1639" t="s">
        <v>1601</v>
      </c>
      <c r="Y704" s="1633" t="s">
        <v>1306</v>
      </c>
      <c r="Z704" s="1640" t="s">
        <v>1559</v>
      </c>
      <c r="AA704" s="1790"/>
      <c r="AB704" s="1791"/>
      <c r="AD704" s="1792"/>
      <c r="AG704" s="1637" t="str">
        <f t="shared" si="117"/>
        <v>階別用途別床面積-7-13階</v>
      </c>
      <c r="AI704" s="1636"/>
      <c r="AJ704" s="1636"/>
      <c r="AK704" s="1636"/>
    </row>
    <row r="705" spans="1:37" s="1637" customFormat="1" ht="18.75" customHeight="1" x14ac:dyDescent="0.15">
      <c r="A705" s="1627"/>
      <c r="B705" s="1627"/>
      <c r="C705" s="1627"/>
      <c r="D705" s="1626">
        <f>'2_入力シート【用途面積】'!$S36</f>
        <v>0</v>
      </c>
      <c r="E705" s="1672">
        <f t="shared" si="118"/>
        <v>0</v>
      </c>
      <c r="F705" s="1672" t="str">
        <f t="shared" si="119"/>
        <v>0</v>
      </c>
      <c r="G705" s="1672" t="str">
        <f t="shared" si="120"/>
        <v>0</v>
      </c>
      <c r="H705" s="1628"/>
      <c r="I705" s="1627"/>
      <c r="J705" s="1627"/>
      <c r="K705" s="1627"/>
      <c r="L705" s="1627"/>
      <c r="M705" s="1629"/>
      <c r="N705" s="1627"/>
      <c r="O705" s="1627"/>
      <c r="P705" s="1627"/>
      <c r="Q705" s="1627"/>
      <c r="R705" s="1627"/>
      <c r="S705" s="1627"/>
      <c r="T705" s="1627"/>
      <c r="U705" s="1789"/>
      <c r="V705" s="1781" t="s">
        <v>1602</v>
      </c>
      <c r="W705" s="1782" t="s">
        <v>1306</v>
      </c>
      <c r="X705" s="1639" t="s">
        <v>1601</v>
      </c>
      <c r="Y705" s="1633" t="s">
        <v>1306</v>
      </c>
      <c r="Z705" s="1640" t="s">
        <v>1560</v>
      </c>
      <c r="AA705" s="1790"/>
      <c r="AB705" s="1791"/>
      <c r="AD705" s="1792"/>
      <c r="AG705" s="1637" t="str">
        <f t="shared" si="117"/>
        <v>階別用途別床面積-7-14階</v>
      </c>
      <c r="AI705" s="1636"/>
      <c r="AJ705" s="1636"/>
      <c r="AK705" s="1636"/>
    </row>
    <row r="706" spans="1:37" s="1637" customFormat="1" ht="18.75" customHeight="1" x14ac:dyDescent="0.15">
      <c r="A706" s="1627"/>
      <c r="B706" s="1627"/>
      <c r="C706" s="1627"/>
      <c r="D706" s="1626">
        <f>'2_入力シート【用途面積】'!$S37</f>
        <v>0</v>
      </c>
      <c r="E706" s="1672">
        <f t="shared" si="118"/>
        <v>0</v>
      </c>
      <c r="F706" s="1672" t="str">
        <f t="shared" si="119"/>
        <v>0</v>
      </c>
      <c r="G706" s="1672" t="str">
        <f t="shared" si="120"/>
        <v>0</v>
      </c>
      <c r="H706" s="1628"/>
      <c r="I706" s="1627"/>
      <c r="J706" s="1627"/>
      <c r="K706" s="1627"/>
      <c r="L706" s="1627"/>
      <c r="M706" s="1629"/>
      <c r="N706" s="1627"/>
      <c r="O706" s="1627"/>
      <c r="P706" s="1627"/>
      <c r="Q706" s="1627"/>
      <c r="R706" s="1627"/>
      <c r="S706" s="1627"/>
      <c r="T706" s="1627"/>
      <c r="U706" s="1789"/>
      <c r="V706" s="1781" t="s">
        <v>1602</v>
      </c>
      <c r="W706" s="1782" t="s">
        <v>1306</v>
      </c>
      <c r="X706" s="1639" t="s">
        <v>1601</v>
      </c>
      <c r="Y706" s="1633" t="s">
        <v>1306</v>
      </c>
      <c r="Z706" s="1640" t="s">
        <v>1561</v>
      </c>
      <c r="AA706" s="1790"/>
      <c r="AB706" s="1791"/>
      <c r="AD706" s="1792"/>
      <c r="AG706" s="1637" t="str">
        <f t="shared" si="117"/>
        <v>階別用途別床面積-7-15階</v>
      </c>
      <c r="AI706" s="1636"/>
      <c r="AJ706" s="1636"/>
      <c r="AK706" s="1636"/>
    </row>
    <row r="707" spans="1:37" s="1637" customFormat="1" ht="18.75" customHeight="1" x14ac:dyDescent="0.15">
      <c r="A707" s="1627"/>
      <c r="B707" s="1627"/>
      <c r="C707" s="1627"/>
      <c r="D707" s="1626">
        <f>'2_入力シート【用途面積】'!$S38</f>
        <v>0</v>
      </c>
      <c r="E707" s="1672">
        <f t="shared" si="118"/>
        <v>0</v>
      </c>
      <c r="F707" s="1672" t="str">
        <f t="shared" si="119"/>
        <v>0</v>
      </c>
      <c r="G707" s="1672" t="str">
        <f t="shared" si="120"/>
        <v>0</v>
      </c>
      <c r="H707" s="1628"/>
      <c r="I707" s="1627"/>
      <c r="J707" s="1627"/>
      <c r="K707" s="1627"/>
      <c r="L707" s="1627"/>
      <c r="M707" s="1629"/>
      <c r="N707" s="1627"/>
      <c r="O707" s="1627"/>
      <c r="P707" s="1627"/>
      <c r="Q707" s="1627"/>
      <c r="R707" s="1627"/>
      <c r="S707" s="1627"/>
      <c r="T707" s="1627"/>
      <c r="U707" s="1789"/>
      <c r="V707" s="1781" t="s">
        <v>1602</v>
      </c>
      <c r="W707" s="1782" t="s">
        <v>1306</v>
      </c>
      <c r="X707" s="1639" t="s">
        <v>1601</v>
      </c>
      <c r="Y707" s="1633" t="s">
        <v>1306</v>
      </c>
      <c r="Z707" s="1640" t="s">
        <v>1562</v>
      </c>
      <c r="AA707" s="1790"/>
      <c r="AB707" s="1791"/>
      <c r="AD707" s="1792"/>
      <c r="AG707" s="1637" t="str">
        <f t="shared" si="117"/>
        <v>階別用途別床面積-7-16階</v>
      </c>
      <c r="AI707" s="1636"/>
      <c r="AJ707" s="1636"/>
      <c r="AK707" s="1636"/>
    </row>
    <row r="708" spans="1:37" s="1637" customFormat="1" ht="18.75" customHeight="1" x14ac:dyDescent="0.15">
      <c r="A708" s="1627"/>
      <c r="B708" s="1627"/>
      <c r="C708" s="1627"/>
      <c r="D708" s="1626">
        <f>'2_入力シート【用途面積】'!$S39</f>
        <v>0</v>
      </c>
      <c r="E708" s="1672">
        <f t="shared" si="118"/>
        <v>0</v>
      </c>
      <c r="F708" s="1672" t="str">
        <f t="shared" si="119"/>
        <v>0</v>
      </c>
      <c r="G708" s="1672" t="str">
        <f t="shared" si="120"/>
        <v>0</v>
      </c>
      <c r="H708" s="1628"/>
      <c r="I708" s="1627"/>
      <c r="J708" s="1627"/>
      <c r="K708" s="1627"/>
      <c r="L708" s="1627"/>
      <c r="M708" s="1629"/>
      <c r="N708" s="1627"/>
      <c r="O708" s="1627"/>
      <c r="P708" s="1627"/>
      <c r="Q708" s="1627"/>
      <c r="R708" s="1627"/>
      <c r="S708" s="1627"/>
      <c r="T708" s="1627"/>
      <c r="U708" s="1789"/>
      <c r="V708" s="1781" t="s">
        <v>1602</v>
      </c>
      <c r="W708" s="1782" t="s">
        <v>1306</v>
      </c>
      <c r="X708" s="1639" t="s">
        <v>1601</v>
      </c>
      <c r="Y708" s="1633" t="s">
        <v>1306</v>
      </c>
      <c r="Z708" s="1640" t="s">
        <v>1563</v>
      </c>
      <c r="AA708" s="1790"/>
      <c r="AB708" s="1791"/>
      <c r="AD708" s="1792"/>
      <c r="AG708" s="1637" t="str">
        <f t="shared" si="117"/>
        <v>階別用途別床面積-7-17階</v>
      </c>
      <c r="AI708" s="1636"/>
      <c r="AJ708" s="1636"/>
      <c r="AK708" s="1636"/>
    </row>
    <row r="709" spans="1:37" s="1637" customFormat="1" ht="18.75" customHeight="1" x14ac:dyDescent="0.15">
      <c r="A709" s="1627"/>
      <c r="B709" s="1627"/>
      <c r="C709" s="1627"/>
      <c r="D709" s="1626">
        <f>'2_入力シート【用途面積】'!$S40</f>
        <v>0</v>
      </c>
      <c r="E709" s="1672">
        <f t="shared" si="118"/>
        <v>0</v>
      </c>
      <c r="F709" s="1672" t="str">
        <f t="shared" si="119"/>
        <v>0</v>
      </c>
      <c r="G709" s="1672" t="str">
        <f t="shared" si="120"/>
        <v>0</v>
      </c>
      <c r="H709" s="1628"/>
      <c r="I709" s="1627"/>
      <c r="J709" s="1627"/>
      <c r="K709" s="1627"/>
      <c r="L709" s="1627"/>
      <c r="M709" s="1629"/>
      <c r="N709" s="1627"/>
      <c r="O709" s="1627"/>
      <c r="P709" s="1627"/>
      <c r="Q709" s="1627"/>
      <c r="R709" s="1627"/>
      <c r="S709" s="1627"/>
      <c r="T709" s="1627"/>
      <c r="U709" s="1789"/>
      <c r="V709" s="1781" t="s">
        <v>1602</v>
      </c>
      <c r="W709" s="1782" t="s">
        <v>1306</v>
      </c>
      <c r="X709" s="1639" t="s">
        <v>1601</v>
      </c>
      <c r="Y709" s="1633" t="s">
        <v>1306</v>
      </c>
      <c r="Z709" s="1640" t="s">
        <v>1564</v>
      </c>
      <c r="AA709" s="1790"/>
      <c r="AB709" s="1791"/>
      <c r="AD709" s="1792"/>
      <c r="AG709" s="1637" t="str">
        <f t="shared" si="117"/>
        <v>階別用途別床面積-7-18階</v>
      </c>
      <c r="AI709" s="1636"/>
      <c r="AJ709" s="1636"/>
      <c r="AK709" s="1636"/>
    </row>
    <row r="710" spans="1:37" s="1637" customFormat="1" ht="18.75" customHeight="1" x14ac:dyDescent="0.15">
      <c r="A710" s="1627"/>
      <c r="B710" s="1627"/>
      <c r="C710" s="1627"/>
      <c r="D710" s="1626">
        <f>'2_入力シート【用途面積】'!$S41</f>
        <v>0</v>
      </c>
      <c r="E710" s="1672">
        <f t="shared" si="118"/>
        <v>0</v>
      </c>
      <c r="F710" s="1672" t="str">
        <f t="shared" si="119"/>
        <v>0</v>
      </c>
      <c r="G710" s="1672" t="str">
        <f t="shared" si="120"/>
        <v>0</v>
      </c>
      <c r="H710" s="1628"/>
      <c r="I710" s="1627"/>
      <c r="J710" s="1627"/>
      <c r="K710" s="1627"/>
      <c r="L710" s="1627"/>
      <c r="M710" s="1629"/>
      <c r="N710" s="1627"/>
      <c r="O710" s="1627"/>
      <c r="P710" s="1627"/>
      <c r="Q710" s="1627"/>
      <c r="R710" s="1627"/>
      <c r="S710" s="1627"/>
      <c r="T710" s="1627"/>
      <c r="U710" s="1789"/>
      <c r="V710" s="1781" t="s">
        <v>1602</v>
      </c>
      <c r="W710" s="1782" t="s">
        <v>1306</v>
      </c>
      <c r="X710" s="1639" t="s">
        <v>1601</v>
      </c>
      <c r="Y710" s="1633" t="s">
        <v>1306</v>
      </c>
      <c r="Z710" s="1640" t="s">
        <v>1565</v>
      </c>
      <c r="AA710" s="1790"/>
      <c r="AB710" s="1791"/>
      <c r="AD710" s="1792"/>
      <c r="AG710" s="1637" t="str">
        <f t="shared" si="117"/>
        <v>階別用途別床面積-7-19階</v>
      </c>
      <c r="AI710" s="1636"/>
      <c r="AJ710" s="1636"/>
      <c r="AK710" s="1636"/>
    </row>
    <row r="711" spans="1:37" s="1637" customFormat="1" ht="18.75" customHeight="1" x14ac:dyDescent="0.15">
      <c r="A711" s="1627"/>
      <c r="B711" s="1627"/>
      <c r="C711" s="1627"/>
      <c r="D711" s="1626">
        <f>'2_入力シート【用途面積】'!$S42</f>
        <v>0</v>
      </c>
      <c r="E711" s="1672">
        <f t="shared" si="118"/>
        <v>0</v>
      </c>
      <c r="F711" s="1672" t="str">
        <f t="shared" si="119"/>
        <v>0</v>
      </c>
      <c r="G711" s="1672" t="str">
        <f t="shared" si="120"/>
        <v>0</v>
      </c>
      <c r="H711" s="1628"/>
      <c r="I711" s="1627"/>
      <c r="J711" s="1627"/>
      <c r="K711" s="1627"/>
      <c r="L711" s="1627"/>
      <c r="M711" s="1629"/>
      <c r="N711" s="1627"/>
      <c r="O711" s="1627"/>
      <c r="P711" s="1627"/>
      <c r="Q711" s="1627"/>
      <c r="R711" s="1627"/>
      <c r="S711" s="1627"/>
      <c r="T711" s="1627"/>
      <c r="U711" s="1789"/>
      <c r="V711" s="1781" t="s">
        <v>1602</v>
      </c>
      <c r="W711" s="1782" t="s">
        <v>1306</v>
      </c>
      <c r="X711" s="1639" t="s">
        <v>1601</v>
      </c>
      <c r="Y711" s="1633" t="s">
        <v>1306</v>
      </c>
      <c r="Z711" s="1640" t="s">
        <v>1566</v>
      </c>
      <c r="AA711" s="1790"/>
      <c r="AB711" s="1791"/>
      <c r="AD711" s="1792"/>
      <c r="AG711" s="1637" t="str">
        <f t="shared" si="117"/>
        <v>階別用途別床面積-7-20階</v>
      </c>
      <c r="AI711" s="1636"/>
      <c r="AJ711" s="1636"/>
      <c r="AK711" s="1636"/>
    </row>
    <row r="712" spans="1:37" s="1637" customFormat="1" ht="18.75" customHeight="1" x14ac:dyDescent="0.15">
      <c r="A712" s="1627"/>
      <c r="B712" s="1627"/>
      <c r="C712" s="1627"/>
      <c r="D712" s="1626">
        <f>'2_入力シート【用途面積】'!$S43</f>
        <v>0</v>
      </c>
      <c r="E712" s="1672">
        <f t="shared" si="118"/>
        <v>0</v>
      </c>
      <c r="F712" s="1672" t="str">
        <f t="shared" si="119"/>
        <v>0</v>
      </c>
      <c r="G712" s="1672" t="str">
        <f t="shared" si="120"/>
        <v>0</v>
      </c>
      <c r="H712" s="1628"/>
      <c r="I712" s="1627"/>
      <c r="J712" s="1627"/>
      <c r="K712" s="1627"/>
      <c r="L712" s="1627"/>
      <c r="M712" s="1629"/>
      <c r="N712" s="1627"/>
      <c r="O712" s="1627"/>
      <c r="P712" s="1627"/>
      <c r="Q712" s="1627"/>
      <c r="R712" s="1627"/>
      <c r="S712" s="1627"/>
      <c r="T712" s="1627"/>
      <c r="U712" s="1789"/>
      <c r="V712" s="1781" t="s">
        <v>1602</v>
      </c>
      <c r="W712" s="1782" t="s">
        <v>1306</v>
      </c>
      <c r="X712" s="1639" t="s">
        <v>1601</v>
      </c>
      <c r="Y712" s="1633" t="s">
        <v>1306</v>
      </c>
      <c r="Z712" s="1640" t="s">
        <v>1567</v>
      </c>
      <c r="AA712" s="1790"/>
      <c r="AB712" s="1791"/>
      <c r="AD712" s="1792"/>
      <c r="AG712" s="1637" t="str">
        <f t="shared" si="117"/>
        <v>階別用途別床面積-7-21階</v>
      </c>
      <c r="AI712" s="1636"/>
      <c r="AJ712" s="1636"/>
      <c r="AK712" s="1636"/>
    </row>
    <row r="713" spans="1:37" s="1637" customFormat="1" ht="18.75" customHeight="1" x14ac:dyDescent="0.15">
      <c r="A713" s="1627"/>
      <c r="B713" s="1627"/>
      <c r="C713" s="1627"/>
      <c r="D713" s="1626">
        <f>'2_入力シート【用途面積】'!$S44</f>
        <v>0</v>
      </c>
      <c r="E713" s="1672">
        <f t="shared" si="118"/>
        <v>0</v>
      </c>
      <c r="F713" s="1672" t="str">
        <f t="shared" si="119"/>
        <v>0</v>
      </c>
      <c r="G713" s="1672" t="str">
        <f t="shared" si="120"/>
        <v>0</v>
      </c>
      <c r="H713" s="1628"/>
      <c r="I713" s="1627"/>
      <c r="J713" s="1627"/>
      <c r="K713" s="1627"/>
      <c r="L713" s="1627"/>
      <c r="M713" s="1629"/>
      <c r="N713" s="1627"/>
      <c r="O713" s="1627"/>
      <c r="P713" s="1627"/>
      <c r="Q713" s="1627"/>
      <c r="R713" s="1627"/>
      <c r="S713" s="1627"/>
      <c r="T713" s="1627"/>
      <c r="U713" s="1789"/>
      <c r="V713" s="1781" t="s">
        <v>1602</v>
      </c>
      <c r="W713" s="1782" t="s">
        <v>1306</v>
      </c>
      <c r="X713" s="1639" t="s">
        <v>1601</v>
      </c>
      <c r="Y713" s="1633" t="s">
        <v>1306</v>
      </c>
      <c r="Z713" s="1640" t="s">
        <v>1568</v>
      </c>
      <c r="AA713" s="1790"/>
      <c r="AB713" s="1791"/>
      <c r="AD713" s="1792"/>
      <c r="AG713" s="1637" t="str">
        <f t="shared" si="117"/>
        <v>階別用途別床面積-7-22階</v>
      </c>
      <c r="AI713" s="1636"/>
      <c r="AJ713" s="1636"/>
      <c r="AK713" s="1636"/>
    </row>
    <row r="714" spans="1:37" s="1637" customFormat="1" ht="18.75" customHeight="1" x14ac:dyDescent="0.15">
      <c r="A714" s="1627"/>
      <c r="B714" s="1627"/>
      <c r="C714" s="1627"/>
      <c r="D714" s="1626">
        <f>'2_入力シート【用途面積】'!$S45</f>
        <v>0</v>
      </c>
      <c r="E714" s="1672">
        <f t="shared" si="118"/>
        <v>0</v>
      </c>
      <c r="F714" s="1672" t="str">
        <f t="shared" si="119"/>
        <v>0</v>
      </c>
      <c r="G714" s="1672" t="str">
        <f t="shared" si="120"/>
        <v>0</v>
      </c>
      <c r="H714" s="1628"/>
      <c r="I714" s="1627"/>
      <c r="J714" s="1627"/>
      <c r="K714" s="1627"/>
      <c r="L714" s="1627"/>
      <c r="M714" s="1629"/>
      <c r="N714" s="1627"/>
      <c r="O714" s="1627"/>
      <c r="P714" s="1627"/>
      <c r="Q714" s="1627"/>
      <c r="R714" s="1627"/>
      <c r="S714" s="1627"/>
      <c r="T714" s="1627"/>
      <c r="U714" s="1789"/>
      <c r="V714" s="1781" t="s">
        <v>1602</v>
      </c>
      <c r="W714" s="1782" t="s">
        <v>1306</v>
      </c>
      <c r="X714" s="1639" t="s">
        <v>1601</v>
      </c>
      <c r="Y714" s="1633" t="s">
        <v>1306</v>
      </c>
      <c r="Z714" s="1640" t="s">
        <v>1569</v>
      </c>
      <c r="AA714" s="1790"/>
      <c r="AB714" s="1791"/>
      <c r="AD714" s="1792"/>
      <c r="AG714" s="1637" t="str">
        <f t="shared" si="117"/>
        <v>階別用途別床面積-7-23階</v>
      </c>
      <c r="AI714" s="1636"/>
      <c r="AJ714" s="1636"/>
      <c r="AK714" s="1636"/>
    </row>
    <row r="715" spans="1:37" s="1637" customFormat="1" ht="18.75" customHeight="1" x14ac:dyDescent="0.15">
      <c r="A715" s="1627"/>
      <c r="B715" s="1627"/>
      <c r="C715" s="1627"/>
      <c r="D715" s="1626">
        <f>'2_入力シート【用途面積】'!$S46</f>
        <v>0</v>
      </c>
      <c r="E715" s="1672">
        <f t="shared" si="118"/>
        <v>0</v>
      </c>
      <c r="F715" s="1672" t="str">
        <f t="shared" si="119"/>
        <v>0</v>
      </c>
      <c r="G715" s="1672" t="str">
        <f t="shared" si="120"/>
        <v>0</v>
      </c>
      <c r="H715" s="1628"/>
      <c r="I715" s="1627"/>
      <c r="J715" s="1627"/>
      <c r="K715" s="1627"/>
      <c r="L715" s="1627"/>
      <c r="M715" s="1629"/>
      <c r="N715" s="1627"/>
      <c r="O715" s="1627"/>
      <c r="P715" s="1627"/>
      <c r="Q715" s="1627"/>
      <c r="R715" s="1627"/>
      <c r="S715" s="1627"/>
      <c r="T715" s="1627"/>
      <c r="U715" s="1789"/>
      <c r="V715" s="1781" t="s">
        <v>1602</v>
      </c>
      <c r="W715" s="1782" t="s">
        <v>1306</v>
      </c>
      <c r="X715" s="1639" t="s">
        <v>1601</v>
      </c>
      <c r="Y715" s="1633" t="s">
        <v>1306</v>
      </c>
      <c r="Z715" s="1640" t="s">
        <v>1570</v>
      </c>
      <c r="AA715" s="1790"/>
      <c r="AB715" s="1791"/>
      <c r="AD715" s="1792"/>
      <c r="AG715" s="1637" t="str">
        <f t="shared" si="117"/>
        <v>階別用途別床面積-7-24階</v>
      </c>
      <c r="AI715" s="1636"/>
      <c r="AJ715" s="1636"/>
      <c r="AK715" s="1636"/>
    </row>
    <row r="716" spans="1:37" s="1637" customFormat="1" ht="18.75" customHeight="1" x14ac:dyDescent="0.15">
      <c r="A716" s="1627"/>
      <c r="B716" s="1627"/>
      <c r="C716" s="1627"/>
      <c r="D716" s="1626">
        <f>'2_入力シート【用途面積】'!$S47</f>
        <v>0</v>
      </c>
      <c r="E716" s="1672">
        <f t="shared" si="118"/>
        <v>0</v>
      </c>
      <c r="F716" s="1672" t="str">
        <f t="shared" si="119"/>
        <v>0</v>
      </c>
      <c r="G716" s="1672" t="str">
        <f t="shared" si="120"/>
        <v>0</v>
      </c>
      <c r="H716" s="1628"/>
      <c r="I716" s="1627"/>
      <c r="J716" s="1627"/>
      <c r="K716" s="1627"/>
      <c r="L716" s="1627"/>
      <c r="M716" s="1629"/>
      <c r="N716" s="1627"/>
      <c r="O716" s="1627"/>
      <c r="P716" s="1627"/>
      <c r="Q716" s="1627"/>
      <c r="R716" s="1627"/>
      <c r="S716" s="1627"/>
      <c r="T716" s="1627"/>
      <c r="U716" s="1789"/>
      <c r="V716" s="1781" t="s">
        <v>1602</v>
      </c>
      <c r="W716" s="1782" t="s">
        <v>1306</v>
      </c>
      <c r="X716" s="1639" t="s">
        <v>1601</v>
      </c>
      <c r="Y716" s="1633" t="s">
        <v>1306</v>
      </c>
      <c r="Z716" s="1640" t="s">
        <v>1571</v>
      </c>
      <c r="AA716" s="1790"/>
      <c r="AB716" s="1791"/>
      <c r="AD716" s="1792"/>
      <c r="AG716" s="1637" t="str">
        <f t="shared" si="117"/>
        <v>階別用途別床面積-7-25階</v>
      </c>
      <c r="AI716" s="1636"/>
      <c r="AJ716" s="1636"/>
      <c r="AK716" s="1636"/>
    </row>
    <row r="717" spans="1:37" s="1637" customFormat="1" ht="18.75" customHeight="1" x14ac:dyDescent="0.15">
      <c r="A717" s="1627"/>
      <c r="B717" s="1627"/>
      <c r="C717" s="1627"/>
      <c r="D717" s="1626">
        <f>'2_入力シート【用途面積】'!$S48</f>
        <v>0</v>
      </c>
      <c r="E717" s="1672">
        <f t="shared" si="118"/>
        <v>0</v>
      </c>
      <c r="F717" s="1672" t="str">
        <f t="shared" si="119"/>
        <v>0</v>
      </c>
      <c r="G717" s="1672" t="str">
        <f t="shared" si="120"/>
        <v>0</v>
      </c>
      <c r="H717" s="1628"/>
      <c r="I717" s="1627"/>
      <c r="J717" s="1627"/>
      <c r="K717" s="1627"/>
      <c r="L717" s="1627"/>
      <c r="M717" s="1629"/>
      <c r="N717" s="1627"/>
      <c r="O717" s="1627"/>
      <c r="P717" s="1627"/>
      <c r="Q717" s="1627"/>
      <c r="R717" s="1627"/>
      <c r="S717" s="1627"/>
      <c r="T717" s="1627"/>
      <c r="U717" s="1789"/>
      <c r="V717" s="1781" t="s">
        <v>1602</v>
      </c>
      <c r="W717" s="1782" t="s">
        <v>1306</v>
      </c>
      <c r="X717" s="1639" t="s">
        <v>1601</v>
      </c>
      <c r="Y717" s="1633" t="s">
        <v>1306</v>
      </c>
      <c r="Z717" s="1640" t="s">
        <v>1572</v>
      </c>
      <c r="AA717" s="1790"/>
      <c r="AB717" s="1791"/>
      <c r="AD717" s="1792"/>
      <c r="AG717" s="1637" t="str">
        <f t="shared" ref="AG717:AG747" si="121">CONCATENATE(U717,V717,W717,X717,Y717,Z717,AA717,AB717,AC717,AD717)</f>
        <v>階別用途別床面積-7-26階</v>
      </c>
      <c r="AI717" s="1636"/>
      <c r="AJ717" s="1636"/>
      <c r="AK717" s="1636"/>
    </row>
    <row r="718" spans="1:37" s="1637" customFormat="1" ht="18.75" customHeight="1" x14ac:dyDescent="0.15">
      <c r="A718" s="1627"/>
      <c r="B718" s="1627"/>
      <c r="C718" s="1627"/>
      <c r="D718" s="1626">
        <f>'2_入力シート【用途面積】'!$S49</f>
        <v>0</v>
      </c>
      <c r="E718" s="1672">
        <f t="shared" si="118"/>
        <v>0</v>
      </c>
      <c r="F718" s="1672" t="str">
        <f t="shared" si="119"/>
        <v>0</v>
      </c>
      <c r="G718" s="1672" t="str">
        <f t="shared" si="120"/>
        <v>0</v>
      </c>
      <c r="H718" s="1628"/>
      <c r="I718" s="1627"/>
      <c r="J718" s="1627"/>
      <c r="K718" s="1627"/>
      <c r="L718" s="1627"/>
      <c r="M718" s="1629"/>
      <c r="N718" s="1627"/>
      <c r="O718" s="1627"/>
      <c r="P718" s="1627"/>
      <c r="Q718" s="1627"/>
      <c r="R718" s="1627"/>
      <c r="S718" s="1627"/>
      <c r="T718" s="1627"/>
      <c r="U718" s="1789"/>
      <c r="V718" s="1781" t="s">
        <v>1602</v>
      </c>
      <c r="W718" s="1782" t="s">
        <v>1306</v>
      </c>
      <c r="X718" s="1639" t="s">
        <v>1601</v>
      </c>
      <c r="Y718" s="1633" t="s">
        <v>1306</v>
      </c>
      <c r="Z718" s="1640" t="s">
        <v>1573</v>
      </c>
      <c r="AA718" s="1790"/>
      <c r="AB718" s="1791"/>
      <c r="AD718" s="1792"/>
      <c r="AG718" s="1637" t="str">
        <f t="shared" si="121"/>
        <v>階別用途別床面積-7-27階</v>
      </c>
      <c r="AI718" s="1636"/>
      <c r="AJ718" s="1636"/>
      <c r="AK718" s="1636"/>
    </row>
    <row r="719" spans="1:37" s="1637" customFormat="1" ht="18.75" customHeight="1" x14ac:dyDescent="0.15">
      <c r="A719" s="1627"/>
      <c r="B719" s="1627"/>
      <c r="C719" s="1627"/>
      <c r="D719" s="1626">
        <f>'2_入力シート【用途面積】'!$S50</f>
        <v>0</v>
      </c>
      <c r="E719" s="1672">
        <f t="shared" si="118"/>
        <v>0</v>
      </c>
      <c r="F719" s="1672" t="str">
        <f t="shared" si="119"/>
        <v>0</v>
      </c>
      <c r="G719" s="1672" t="str">
        <f t="shared" si="120"/>
        <v>0</v>
      </c>
      <c r="H719" s="1628"/>
      <c r="I719" s="1627"/>
      <c r="J719" s="1627"/>
      <c r="K719" s="1627"/>
      <c r="L719" s="1627"/>
      <c r="M719" s="1629"/>
      <c r="N719" s="1627"/>
      <c r="O719" s="1627"/>
      <c r="P719" s="1627"/>
      <c r="Q719" s="1627"/>
      <c r="R719" s="1627"/>
      <c r="S719" s="1627"/>
      <c r="T719" s="1627"/>
      <c r="U719" s="1789"/>
      <c r="V719" s="1781" t="s">
        <v>1602</v>
      </c>
      <c r="W719" s="1782" t="s">
        <v>1306</v>
      </c>
      <c r="X719" s="1639" t="s">
        <v>1601</v>
      </c>
      <c r="Y719" s="1633" t="s">
        <v>1306</v>
      </c>
      <c r="Z719" s="1640" t="s">
        <v>1574</v>
      </c>
      <c r="AA719" s="1790"/>
      <c r="AB719" s="1791"/>
      <c r="AD719" s="1792"/>
      <c r="AG719" s="1637" t="str">
        <f t="shared" si="121"/>
        <v>階別用途別床面積-7-28階</v>
      </c>
      <c r="AI719" s="1636"/>
      <c r="AJ719" s="1636"/>
      <c r="AK719" s="1636"/>
    </row>
    <row r="720" spans="1:37" s="1637" customFormat="1" ht="18.75" customHeight="1" x14ac:dyDescent="0.15">
      <c r="A720" s="1627"/>
      <c r="B720" s="1627"/>
      <c r="C720" s="1627"/>
      <c r="D720" s="1626">
        <f>'2_入力シート【用途面積】'!$S51</f>
        <v>0</v>
      </c>
      <c r="E720" s="1672">
        <f t="shared" si="118"/>
        <v>0</v>
      </c>
      <c r="F720" s="1672" t="str">
        <f t="shared" si="119"/>
        <v>0</v>
      </c>
      <c r="G720" s="1672" t="str">
        <f t="shared" si="120"/>
        <v>0</v>
      </c>
      <c r="H720" s="1628"/>
      <c r="I720" s="1627"/>
      <c r="J720" s="1627"/>
      <c r="K720" s="1627"/>
      <c r="L720" s="1627"/>
      <c r="M720" s="1629"/>
      <c r="N720" s="1627"/>
      <c r="O720" s="1627"/>
      <c r="P720" s="1627"/>
      <c r="Q720" s="1627"/>
      <c r="R720" s="1627"/>
      <c r="S720" s="1627"/>
      <c r="T720" s="1627"/>
      <c r="U720" s="1789"/>
      <c r="V720" s="1781" t="s">
        <v>1602</v>
      </c>
      <c r="W720" s="1782" t="s">
        <v>1306</v>
      </c>
      <c r="X720" s="1639" t="s">
        <v>1601</v>
      </c>
      <c r="Y720" s="1633" t="s">
        <v>1306</v>
      </c>
      <c r="Z720" s="1640" t="s">
        <v>1575</v>
      </c>
      <c r="AA720" s="1790"/>
      <c r="AB720" s="1791"/>
      <c r="AD720" s="1792"/>
      <c r="AG720" s="1637" t="str">
        <f t="shared" si="121"/>
        <v>階別用途別床面積-7-29階</v>
      </c>
      <c r="AI720" s="1636"/>
      <c r="AJ720" s="1636"/>
      <c r="AK720" s="1636"/>
    </row>
    <row r="721" spans="1:37" s="1637" customFormat="1" ht="18.75" customHeight="1" x14ac:dyDescent="0.15">
      <c r="A721" s="1627"/>
      <c r="B721" s="1627"/>
      <c r="C721" s="1627"/>
      <c r="D721" s="1626">
        <f>'2_入力シート【用途面積】'!$S52</f>
        <v>0</v>
      </c>
      <c r="E721" s="1672">
        <f t="shared" si="118"/>
        <v>0</v>
      </c>
      <c r="F721" s="1672" t="str">
        <f t="shared" si="119"/>
        <v>0</v>
      </c>
      <c r="G721" s="1672" t="str">
        <f t="shared" si="120"/>
        <v>0</v>
      </c>
      <c r="H721" s="1628"/>
      <c r="I721" s="1627"/>
      <c r="J721" s="1627"/>
      <c r="K721" s="1627"/>
      <c r="L721" s="1627"/>
      <c r="M721" s="1629"/>
      <c r="N721" s="1627"/>
      <c r="O721" s="1627"/>
      <c r="P721" s="1627"/>
      <c r="Q721" s="1627"/>
      <c r="R721" s="1627"/>
      <c r="S721" s="1627"/>
      <c r="T721" s="1627"/>
      <c r="U721" s="1789"/>
      <c r="V721" s="1781" t="s">
        <v>1602</v>
      </c>
      <c r="W721" s="1782" t="s">
        <v>1306</v>
      </c>
      <c r="X721" s="1639" t="s">
        <v>1601</v>
      </c>
      <c r="Y721" s="1633" t="s">
        <v>1306</v>
      </c>
      <c r="Z721" s="1640" t="s">
        <v>1576</v>
      </c>
      <c r="AA721" s="1790"/>
      <c r="AB721" s="1791"/>
      <c r="AD721" s="1792"/>
      <c r="AG721" s="1637" t="str">
        <f t="shared" si="121"/>
        <v>階別用途別床面積-7-30階</v>
      </c>
      <c r="AI721" s="1636"/>
      <c r="AJ721" s="1636"/>
      <c r="AK721" s="1636"/>
    </row>
    <row r="722" spans="1:37" s="1637" customFormat="1" ht="18.75" customHeight="1" x14ac:dyDescent="0.15">
      <c r="A722" s="1627"/>
      <c r="B722" s="1627"/>
      <c r="C722" s="1627"/>
      <c r="D722" s="1626">
        <f>'2_入力シート【用途面積】'!$S53</f>
        <v>0</v>
      </c>
      <c r="E722" s="1672">
        <f t="shared" si="118"/>
        <v>0</v>
      </c>
      <c r="F722" s="1672" t="str">
        <f t="shared" si="119"/>
        <v>0</v>
      </c>
      <c r="G722" s="1672" t="str">
        <f t="shared" si="120"/>
        <v>0</v>
      </c>
      <c r="H722" s="1628"/>
      <c r="I722" s="1627"/>
      <c r="J722" s="1627"/>
      <c r="K722" s="1627"/>
      <c r="L722" s="1627"/>
      <c r="M722" s="1629"/>
      <c r="N722" s="1627"/>
      <c r="O722" s="1627"/>
      <c r="P722" s="1627"/>
      <c r="Q722" s="1627"/>
      <c r="R722" s="1627"/>
      <c r="S722" s="1627"/>
      <c r="T722" s="1627"/>
      <c r="U722" s="1789"/>
      <c r="V722" s="1781" t="s">
        <v>1602</v>
      </c>
      <c r="W722" s="1782" t="s">
        <v>1306</v>
      </c>
      <c r="X722" s="1639" t="s">
        <v>1601</v>
      </c>
      <c r="Y722" s="1633" t="s">
        <v>1306</v>
      </c>
      <c r="Z722" s="1640" t="s">
        <v>1577</v>
      </c>
      <c r="AA722" s="1790"/>
      <c r="AB722" s="1791"/>
      <c r="AD722" s="1792"/>
      <c r="AG722" s="1637" t="str">
        <f t="shared" si="121"/>
        <v>階別用途別床面積-7-31階</v>
      </c>
      <c r="AI722" s="1636"/>
      <c r="AJ722" s="1636"/>
      <c r="AK722" s="1636"/>
    </row>
    <row r="723" spans="1:37" s="1637" customFormat="1" ht="18.75" customHeight="1" x14ac:dyDescent="0.15">
      <c r="A723" s="1627"/>
      <c r="B723" s="1627"/>
      <c r="C723" s="1627"/>
      <c r="D723" s="1626">
        <f>'2_入力シート【用途面積】'!$S54</f>
        <v>0</v>
      </c>
      <c r="E723" s="1672">
        <f t="shared" si="118"/>
        <v>0</v>
      </c>
      <c r="F723" s="1672" t="str">
        <f t="shared" si="119"/>
        <v>0</v>
      </c>
      <c r="G723" s="1672" t="str">
        <f t="shared" si="120"/>
        <v>0</v>
      </c>
      <c r="H723" s="1628"/>
      <c r="I723" s="1627"/>
      <c r="J723" s="1627"/>
      <c r="K723" s="1627"/>
      <c r="L723" s="1627"/>
      <c r="M723" s="1629"/>
      <c r="N723" s="1627"/>
      <c r="O723" s="1627"/>
      <c r="P723" s="1627"/>
      <c r="Q723" s="1627"/>
      <c r="R723" s="1627"/>
      <c r="S723" s="1627"/>
      <c r="T723" s="1627"/>
      <c r="U723" s="1789"/>
      <c r="V723" s="1781" t="s">
        <v>1602</v>
      </c>
      <c r="W723" s="1782" t="s">
        <v>1306</v>
      </c>
      <c r="X723" s="1639" t="s">
        <v>1601</v>
      </c>
      <c r="Y723" s="1633" t="s">
        <v>1306</v>
      </c>
      <c r="Z723" s="1640" t="s">
        <v>1578</v>
      </c>
      <c r="AA723" s="1790"/>
      <c r="AB723" s="1791"/>
      <c r="AD723" s="1792"/>
      <c r="AG723" s="1637" t="str">
        <f t="shared" si="121"/>
        <v>階別用途別床面積-7-32階</v>
      </c>
      <c r="AI723" s="1636"/>
      <c r="AJ723" s="1636"/>
      <c r="AK723" s="1636"/>
    </row>
    <row r="724" spans="1:37" s="1637" customFormat="1" ht="18.75" customHeight="1" x14ac:dyDescent="0.15">
      <c r="A724" s="1627"/>
      <c r="B724" s="1627"/>
      <c r="C724" s="1627"/>
      <c r="D724" s="1626">
        <f>'2_入力シート【用途面積】'!$S55</f>
        <v>0</v>
      </c>
      <c r="E724" s="1672">
        <f t="shared" si="118"/>
        <v>0</v>
      </c>
      <c r="F724" s="1672" t="str">
        <f t="shared" si="119"/>
        <v>0</v>
      </c>
      <c r="G724" s="1672" t="str">
        <f t="shared" si="120"/>
        <v>0</v>
      </c>
      <c r="H724" s="1628"/>
      <c r="I724" s="1627"/>
      <c r="J724" s="1627"/>
      <c r="K724" s="1627"/>
      <c r="L724" s="1627"/>
      <c r="M724" s="1629"/>
      <c r="N724" s="1627"/>
      <c r="O724" s="1627"/>
      <c r="P724" s="1627"/>
      <c r="Q724" s="1627"/>
      <c r="R724" s="1627"/>
      <c r="S724" s="1627"/>
      <c r="T724" s="1627"/>
      <c r="U724" s="1789"/>
      <c r="V724" s="1781" t="s">
        <v>1602</v>
      </c>
      <c r="W724" s="1782" t="s">
        <v>1306</v>
      </c>
      <c r="X724" s="1639" t="s">
        <v>1601</v>
      </c>
      <c r="Y724" s="1633" t="s">
        <v>1306</v>
      </c>
      <c r="Z724" s="1640" t="s">
        <v>1579</v>
      </c>
      <c r="AA724" s="1790"/>
      <c r="AB724" s="1791"/>
      <c r="AD724" s="1792"/>
      <c r="AG724" s="1637" t="str">
        <f t="shared" si="121"/>
        <v>階別用途別床面積-7-33階</v>
      </c>
      <c r="AI724" s="1636"/>
      <c r="AJ724" s="1636"/>
      <c r="AK724" s="1636"/>
    </row>
    <row r="725" spans="1:37" s="1637" customFormat="1" ht="18.75" customHeight="1" x14ac:dyDescent="0.15">
      <c r="A725" s="1627"/>
      <c r="B725" s="1627"/>
      <c r="C725" s="1627"/>
      <c r="D725" s="1626">
        <f>'2_入力シート【用途面積】'!$S56</f>
        <v>0</v>
      </c>
      <c r="E725" s="1672">
        <f t="shared" si="118"/>
        <v>0</v>
      </c>
      <c r="F725" s="1672" t="str">
        <f t="shared" si="119"/>
        <v>0</v>
      </c>
      <c r="G725" s="1672" t="str">
        <f t="shared" si="120"/>
        <v>0</v>
      </c>
      <c r="H725" s="1628"/>
      <c r="I725" s="1627"/>
      <c r="J725" s="1627"/>
      <c r="K725" s="1627"/>
      <c r="L725" s="1627"/>
      <c r="M725" s="1629"/>
      <c r="N725" s="1627"/>
      <c r="O725" s="1627"/>
      <c r="P725" s="1627"/>
      <c r="Q725" s="1627"/>
      <c r="R725" s="1627"/>
      <c r="S725" s="1627"/>
      <c r="T725" s="1627"/>
      <c r="U725" s="1789"/>
      <c r="V725" s="1781" t="s">
        <v>1602</v>
      </c>
      <c r="W725" s="1782" t="s">
        <v>1306</v>
      </c>
      <c r="X725" s="1639" t="s">
        <v>1601</v>
      </c>
      <c r="Y725" s="1633" t="s">
        <v>1306</v>
      </c>
      <c r="Z725" s="1640" t="s">
        <v>1580</v>
      </c>
      <c r="AA725" s="1790"/>
      <c r="AB725" s="1791"/>
      <c r="AD725" s="1792"/>
      <c r="AG725" s="1637" t="str">
        <f t="shared" si="121"/>
        <v>階別用途別床面積-7-34階</v>
      </c>
      <c r="AI725" s="1636"/>
      <c r="AJ725" s="1636"/>
      <c r="AK725" s="1636"/>
    </row>
    <row r="726" spans="1:37" s="1637" customFormat="1" ht="18.75" customHeight="1" x14ac:dyDescent="0.15">
      <c r="A726" s="1627"/>
      <c r="B726" s="1627"/>
      <c r="C726" s="1627"/>
      <c r="D726" s="1626">
        <f>'2_入力シート【用途面積】'!$S57</f>
        <v>0</v>
      </c>
      <c r="E726" s="1672">
        <f t="shared" si="118"/>
        <v>0</v>
      </c>
      <c r="F726" s="1672" t="str">
        <f t="shared" si="119"/>
        <v>0</v>
      </c>
      <c r="G726" s="1672" t="str">
        <f t="shared" si="120"/>
        <v>0</v>
      </c>
      <c r="H726" s="1628"/>
      <c r="I726" s="1627"/>
      <c r="J726" s="1627"/>
      <c r="K726" s="1627"/>
      <c r="L726" s="1627"/>
      <c r="M726" s="1629"/>
      <c r="N726" s="1627"/>
      <c r="O726" s="1627"/>
      <c r="P726" s="1627"/>
      <c r="Q726" s="1627"/>
      <c r="R726" s="1627"/>
      <c r="S726" s="1627"/>
      <c r="T726" s="1627"/>
      <c r="U726" s="1789"/>
      <c r="V726" s="1781" t="s">
        <v>1602</v>
      </c>
      <c r="W726" s="1782" t="s">
        <v>1306</v>
      </c>
      <c r="X726" s="1639" t="s">
        <v>1601</v>
      </c>
      <c r="Y726" s="1633" t="s">
        <v>1306</v>
      </c>
      <c r="Z726" s="1640" t="s">
        <v>1581</v>
      </c>
      <c r="AA726" s="1790"/>
      <c r="AB726" s="1791"/>
      <c r="AD726" s="1792"/>
      <c r="AG726" s="1637" t="str">
        <f t="shared" si="121"/>
        <v>階別用途別床面積-7-35階</v>
      </c>
      <c r="AI726" s="1636"/>
      <c r="AJ726" s="1636"/>
      <c r="AK726" s="1636"/>
    </row>
    <row r="727" spans="1:37" s="1637" customFormat="1" ht="18.75" customHeight="1" x14ac:dyDescent="0.15">
      <c r="A727" s="1627"/>
      <c r="B727" s="1627"/>
      <c r="C727" s="1627"/>
      <c r="D727" s="1626">
        <f>'2_入力シート【用途面積】'!$S58</f>
        <v>0</v>
      </c>
      <c r="E727" s="1672">
        <f t="shared" si="118"/>
        <v>0</v>
      </c>
      <c r="F727" s="1672" t="str">
        <f t="shared" si="119"/>
        <v>0</v>
      </c>
      <c r="G727" s="1672" t="str">
        <f t="shared" si="120"/>
        <v>0</v>
      </c>
      <c r="H727" s="1628"/>
      <c r="I727" s="1627"/>
      <c r="J727" s="1627"/>
      <c r="K727" s="1627"/>
      <c r="L727" s="1627"/>
      <c r="M727" s="1629"/>
      <c r="N727" s="1627"/>
      <c r="O727" s="1627"/>
      <c r="P727" s="1627"/>
      <c r="Q727" s="1627"/>
      <c r="R727" s="1627"/>
      <c r="S727" s="1627"/>
      <c r="T727" s="1627"/>
      <c r="U727" s="1789"/>
      <c r="V727" s="1781" t="s">
        <v>1602</v>
      </c>
      <c r="W727" s="1782" t="s">
        <v>1306</v>
      </c>
      <c r="X727" s="1639" t="s">
        <v>1601</v>
      </c>
      <c r="Y727" s="1633" t="s">
        <v>1306</v>
      </c>
      <c r="Z727" s="1640" t="s">
        <v>1582</v>
      </c>
      <c r="AA727" s="1790"/>
      <c r="AB727" s="1791"/>
      <c r="AD727" s="1792"/>
      <c r="AG727" s="1637" t="str">
        <f t="shared" si="121"/>
        <v>階別用途別床面積-7-36階</v>
      </c>
      <c r="AI727" s="1636"/>
      <c r="AJ727" s="1636"/>
      <c r="AK727" s="1636"/>
    </row>
    <row r="728" spans="1:37" s="1637" customFormat="1" ht="18.75" customHeight="1" x14ac:dyDescent="0.15">
      <c r="A728" s="1627"/>
      <c r="B728" s="1627"/>
      <c r="C728" s="1627"/>
      <c r="D728" s="1626">
        <f>'2_入力シート【用途面積】'!$S59</f>
        <v>0</v>
      </c>
      <c r="E728" s="1672">
        <f t="shared" si="118"/>
        <v>0</v>
      </c>
      <c r="F728" s="1672" t="str">
        <f t="shared" si="119"/>
        <v>0</v>
      </c>
      <c r="G728" s="1672" t="str">
        <f t="shared" si="120"/>
        <v>0</v>
      </c>
      <c r="H728" s="1628"/>
      <c r="I728" s="1627"/>
      <c r="J728" s="1627"/>
      <c r="K728" s="1627"/>
      <c r="L728" s="1627"/>
      <c r="M728" s="1629"/>
      <c r="N728" s="1627"/>
      <c r="O728" s="1627"/>
      <c r="P728" s="1627"/>
      <c r="Q728" s="1627"/>
      <c r="R728" s="1627"/>
      <c r="S728" s="1627"/>
      <c r="T728" s="1627"/>
      <c r="U728" s="1789"/>
      <c r="V728" s="1781" t="s">
        <v>1602</v>
      </c>
      <c r="W728" s="1782" t="s">
        <v>1306</v>
      </c>
      <c r="X728" s="1639" t="s">
        <v>1601</v>
      </c>
      <c r="Y728" s="1633" t="s">
        <v>1306</v>
      </c>
      <c r="Z728" s="1640" t="s">
        <v>1583</v>
      </c>
      <c r="AA728" s="1790"/>
      <c r="AB728" s="1791"/>
      <c r="AD728" s="1792"/>
      <c r="AG728" s="1637" t="str">
        <f t="shared" si="121"/>
        <v>階別用途別床面積-7-37階</v>
      </c>
      <c r="AI728" s="1636"/>
      <c r="AJ728" s="1636"/>
      <c r="AK728" s="1636"/>
    </row>
    <row r="729" spans="1:37" s="1637" customFormat="1" ht="18.75" customHeight="1" x14ac:dyDescent="0.15">
      <c r="A729" s="1627"/>
      <c r="B729" s="1627"/>
      <c r="C729" s="1627"/>
      <c r="D729" s="1626">
        <f>'2_入力シート【用途面積】'!$S60</f>
        <v>0</v>
      </c>
      <c r="E729" s="1672">
        <f t="shared" si="118"/>
        <v>0</v>
      </c>
      <c r="F729" s="1672" t="str">
        <f t="shared" si="119"/>
        <v>0</v>
      </c>
      <c r="G729" s="1672" t="str">
        <f t="shared" si="120"/>
        <v>0</v>
      </c>
      <c r="H729" s="1628"/>
      <c r="I729" s="1627"/>
      <c r="J729" s="1627"/>
      <c r="K729" s="1627"/>
      <c r="L729" s="1627"/>
      <c r="M729" s="1629"/>
      <c r="N729" s="1627"/>
      <c r="O729" s="1627"/>
      <c r="P729" s="1627"/>
      <c r="Q729" s="1627"/>
      <c r="R729" s="1627"/>
      <c r="S729" s="1627"/>
      <c r="T729" s="1627"/>
      <c r="U729" s="1789"/>
      <c r="V729" s="1781" t="s">
        <v>1602</v>
      </c>
      <c r="W729" s="1782" t="s">
        <v>1306</v>
      </c>
      <c r="X729" s="1639" t="s">
        <v>1601</v>
      </c>
      <c r="Y729" s="1633" t="s">
        <v>1306</v>
      </c>
      <c r="Z729" s="1640" t="s">
        <v>1584</v>
      </c>
      <c r="AA729" s="1790"/>
      <c r="AB729" s="1791"/>
      <c r="AD729" s="1792"/>
      <c r="AG729" s="1637" t="str">
        <f t="shared" si="121"/>
        <v>階別用途別床面積-7-38階</v>
      </c>
      <c r="AI729" s="1636"/>
      <c r="AJ729" s="1636"/>
      <c r="AK729" s="1636"/>
    </row>
    <row r="730" spans="1:37" s="1637" customFormat="1" ht="18.75" customHeight="1" x14ac:dyDescent="0.15">
      <c r="A730" s="1627"/>
      <c r="B730" s="1627"/>
      <c r="C730" s="1627"/>
      <c r="D730" s="1626">
        <f>'2_入力シート【用途面積】'!$S61</f>
        <v>0</v>
      </c>
      <c r="E730" s="1672">
        <f t="shared" si="118"/>
        <v>0</v>
      </c>
      <c r="F730" s="1672" t="str">
        <f t="shared" si="119"/>
        <v>0</v>
      </c>
      <c r="G730" s="1672" t="str">
        <f t="shared" si="120"/>
        <v>0</v>
      </c>
      <c r="H730" s="1628"/>
      <c r="I730" s="1627"/>
      <c r="J730" s="1627"/>
      <c r="K730" s="1627"/>
      <c r="L730" s="1627"/>
      <c r="M730" s="1629"/>
      <c r="N730" s="1627"/>
      <c r="O730" s="1627"/>
      <c r="P730" s="1627"/>
      <c r="Q730" s="1627"/>
      <c r="R730" s="1627"/>
      <c r="S730" s="1627"/>
      <c r="T730" s="1627"/>
      <c r="U730" s="1789"/>
      <c r="V730" s="1781" t="s">
        <v>1602</v>
      </c>
      <c r="W730" s="1782" t="s">
        <v>1306</v>
      </c>
      <c r="X730" s="1639" t="s">
        <v>1601</v>
      </c>
      <c r="Y730" s="1633" t="s">
        <v>1306</v>
      </c>
      <c r="Z730" s="1640" t="s">
        <v>1585</v>
      </c>
      <c r="AA730" s="1790"/>
      <c r="AB730" s="1791"/>
      <c r="AD730" s="1792"/>
      <c r="AG730" s="1637" t="str">
        <f t="shared" si="121"/>
        <v>階別用途別床面積-7-39階</v>
      </c>
      <c r="AI730" s="1636"/>
      <c r="AJ730" s="1636"/>
      <c r="AK730" s="1636"/>
    </row>
    <row r="731" spans="1:37" s="1637" customFormat="1" ht="18.75" customHeight="1" x14ac:dyDescent="0.15">
      <c r="A731" s="1627"/>
      <c r="B731" s="1627"/>
      <c r="C731" s="1627"/>
      <c r="D731" s="1626">
        <f>'2_入力シート【用途面積】'!$S62</f>
        <v>0</v>
      </c>
      <c r="E731" s="1672">
        <f t="shared" si="118"/>
        <v>0</v>
      </c>
      <c r="F731" s="1672" t="str">
        <f t="shared" si="119"/>
        <v>0</v>
      </c>
      <c r="G731" s="1672" t="str">
        <f t="shared" si="120"/>
        <v>0</v>
      </c>
      <c r="H731" s="1628"/>
      <c r="I731" s="1627"/>
      <c r="J731" s="1627"/>
      <c r="K731" s="1627"/>
      <c r="L731" s="1627"/>
      <c r="M731" s="1629"/>
      <c r="N731" s="1627"/>
      <c r="O731" s="1627"/>
      <c r="P731" s="1627"/>
      <c r="Q731" s="1627"/>
      <c r="R731" s="1627"/>
      <c r="S731" s="1627"/>
      <c r="T731" s="1627"/>
      <c r="U731" s="1789"/>
      <c r="V731" s="1781" t="s">
        <v>1602</v>
      </c>
      <c r="W731" s="1782" t="s">
        <v>1306</v>
      </c>
      <c r="X731" s="1639" t="s">
        <v>1601</v>
      </c>
      <c r="Y731" s="1633" t="s">
        <v>1306</v>
      </c>
      <c r="Z731" s="1640" t="s">
        <v>1586</v>
      </c>
      <c r="AA731" s="1790"/>
      <c r="AB731" s="1791"/>
      <c r="AD731" s="1792"/>
      <c r="AG731" s="1637" t="str">
        <f t="shared" si="121"/>
        <v>階別用途別床面積-7-40階</v>
      </c>
      <c r="AI731" s="1636"/>
      <c r="AJ731" s="1636"/>
      <c r="AK731" s="1636"/>
    </row>
    <row r="732" spans="1:37" s="1637" customFormat="1" ht="18.75" customHeight="1" x14ac:dyDescent="0.15">
      <c r="A732" s="1627"/>
      <c r="B732" s="1627"/>
      <c r="C732" s="1627"/>
      <c r="D732" s="1626">
        <f>'2_入力シート【用途面積】'!$S63</f>
        <v>0</v>
      </c>
      <c r="E732" s="1672">
        <f t="shared" si="118"/>
        <v>0</v>
      </c>
      <c r="F732" s="1672" t="str">
        <f t="shared" si="119"/>
        <v>0</v>
      </c>
      <c r="G732" s="1672" t="str">
        <f t="shared" si="120"/>
        <v>0</v>
      </c>
      <c r="H732" s="1628"/>
      <c r="I732" s="1627"/>
      <c r="J732" s="1627"/>
      <c r="K732" s="1627"/>
      <c r="L732" s="1627"/>
      <c r="M732" s="1629"/>
      <c r="N732" s="1627"/>
      <c r="O732" s="1627"/>
      <c r="P732" s="1627"/>
      <c r="Q732" s="1627"/>
      <c r="R732" s="1627"/>
      <c r="S732" s="1627"/>
      <c r="T732" s="1627"/>
      <c r="U732" s="1789"/>
      <c r="V732" s="1781" t="s">
        <v>1602</v>
      </c>
      <c r="W732" s="1782" t="s">
        <v>1306</v>
      </c>
      <c r="X732" s="1639" t="s">
        <v>1601</v>
      </c>
      <c r="Y732" s="1633" t="s">
        <v>1306</v>
      </c>
      <c r="Z732" s="1640" t="s">
        <v>1587</v>
      </c>
      <c r="AA732" s="1790"/>
      <c r="AB732" s="1791"/>
      <c r="AD732" s="1792"/>
      <c r="AG732" s="1637" t="str">
        <f t="shared" si="121"/>
        <v>階別用途別床面積-7-41階</v>
      </c>
      <c r="AI732" s="1636"/>
      <c r="AJ732" s="1636"/>
      <c r="AK732" s="1636"/>
    </row>
    <row r="733" spans="1:37" s="1637" customFormat="1" ht="18.75" customHeight="1" x14ac:dyDescent="0.15">
      <c r="A733" s="1627"/>
      <c r="B733" s="1627"/>
      <c r="C733" s="1627"/>
      <c r="D733" s="1626">
        <f>'2_入力シート【用途面積】'!$S64</f>
        <v>0</v>
      </c>
      <c r="E733" s="1672">
        <f t="shared" si="118"/>
        <v>0</v>
      </c>
      <c r="F733" s="1672" t="str">
        <f t="shared" si="119"/>
        <v>0</v>
      </c>
      <c r="G733" s="1672" t="str">
        <f t="shared" si="120"/>
        <v>0</v>
      </c>
      <c r="H733" s="1628"/>
      <c r="I733" s="1627"/>
      <c r="J733" s="1627"/>
      <c r="K733" s="1627"/>
      <c r="L733" s="1627"/>
      <c r="M733" s="1629"/>
      <c r="N733" s="1627"/>
      <c r="O733" s="1627"/>
      <c r="P733" s="1627"/>
      <c r="Q733" s="1627"/>
      <c r="R733" s="1627"/>
      <c r="S733" s="1627"/>
      <c r="T733" s="1627"/>
      <c r="U733" s="1789"/>
      <c r="V733" s="1781" t="s">
        <v>1602</v>
      </c>
      <c r="W733" s="1782" t="s">
        <v>1306</v>
      </c>
      <c r="X733" s="1639" t="s">
        <v>1601</v>
      </c>
      <c r="Y733" s="1633" t="s">
        <v>1306</v>
      </c>
      <c r="Z733" s="1640" t="s">
        <v>1588</v>
      </c>
      <c r="AA733" s="1790"/>
      <c r="AB733" s="1791"/>
      <c r="AD733" s="1792"/>
      <c r="AG733" s="1637" t="str">
        <f t="shared" si="121"/>
        <v>階別用途別床面積-7-42階</v>
      </c>
      <c r="AI733" s="1636"/>
      <c r="AJ733" s="1636"/>
      <c r="AK733" s="1636"/>
    </row>
    <row r="734" spans="1:37" s="1637" customFormat="1" ht="18.75" customHeight="1" x14ac:dyDescent="0.15">
      <c r="A734" s="1627"/>
      <c r="B734" s="1627"/>
      <c r="C734" s="1627"/>
      <c r="D734" s="1626">
        <f>'2_入力シート【用途面積】'!$S65</f>
        <v>0</v>
      </c>
      <c r="E734" s="1672">
        <f t="shared" si="118"/>
        <v>0</v>
      </c>
      <c r="F734" s="1672" t="str">
        <f t="shared" si="119"/>
        <v>0</v>
      </c>
      <c r="G734" s="1672" t="str">
        <f t="shared" si="120"/>
        <v>0</v>
      </c>
      <c r="H734" s="1628"/>
      <c r="I734" s="1627"/>
      <c r="J734" s="1627"/>
      <c r="K734" s="1627"/>
      <c r="L734" s="1627"/>
      <c r="M734" s="1629"/>
      <c r="N734" s="1627"/>
      <c r="O734" s="1627"/>
      <c r="P734" s="1627"/>
      <c r="Q734" s="1627"/>
      <c r="R734" s="1627"/>
      <c r="S734" s="1627"/>
      <c r="T734" s="1627"/>
      <c r="U734" s="1789"/>
      <c r="V734" s="1781" t="s">
        <v>1602</v>
      </c>
      <c r="W734" s="1782" t="s">
        <v>1306</v>
      </c>
      <c r="X734" s="1639" t="s">
        <v>1601</v>
      </c>
      <c r="Y734" s="1633" t="s">
        <v>1306</v>
      </c>
      <c r="Z734" s="1640" t="s">
        <v>1589</v>
      </c>
      <c r="AA734" s="1790"/>
      <c r="AB734" s="1791"/>
      <c r="AD734" s="1792"/>
      <c r="AG734" s="1637" t="str">
        <f t="shared" si="121"/>
        <v>階別用途別床面積-7-43階</v>
      </c>
      <c r="AI734" s="1636"/>
      <c r="AJ734" s="1636"/>
      <c r="AK734" s="1636"/>
    </row>
    <row r="735" spans="1:37" s="1637" customFormat="1" ht="18.75" customHeight="1" x14ac:dyDescent="0.15">
      <c r="A735" s="1627"/>
      <c r="B735" s="1627"/>
      <c r="C735" s="1627"/>
      <c r="D735" s="1626">
        <f>'2_入力シート【用途面積】'!$S66</f>
        <v>0</v>
      </c>
      <c r="E735" s="1672">
        <f t="shared" si="118"/>
        <v>0</v>
      </c>
      <c r="F735" s="1672" t="str">
        <f t="shared" si="119"/>
        <v>0</v>
      </c>
      <c r="G735" s="1672" t="str">
        <f t="shared" si="120"/>
        <v>0</v>
      </c>
      <c r="H735" s="1628"/>
      <c r="I735" s="1627"/>
      <c r="J735" s="1627"/>
      <c r="K735" s="1627"/>
      <c r="L735" s="1627"/>
      <c r="M735" s="1629"/>
      <c r="N735" s="1627"/>
      <c r="O735" s="1627"/>
      <c r="P735" s="1627"/>
      <c r="Q735" s="1627"/>
      <c r="R735" s="1627"/>
      <c r="S735" s="1627"/>
      <c r="T735" s="1627"/>
      <c r="U735" s="1789"/>
      <c r="V735" s="1781" t="s">
        <v>1602</v>
      </c>
      <c r="W735" s="1782" t="s">
        <v>1306</v>
      </c>
      <c r="X735" s="1639" t="s">
        <v>1601</v>
      </c>
      <c r="Y735" s="1633" t="s">
        <v>1306</v>
      </c>
      <c r="Z735" s="1640" t="s">
        <v>1590</v>
      </c>
      <c r="AA735" s="1790"/>
      <c r="AB735" s="1791"/>
      <c r="AD735" s="1792"/>
      <c r="AG735" s="1637" t="str">
        <f t="shared" si="121"/>
        <v>階別用途別床面積-7-44階</v>
      </c>
      <c r="AI735" s="1636"/>
      <c r="AJ735" s="1636"/>
      <c r="AK735" s="1636"/>
    </row>
    <row r="736" spans="1:37" s="1637" customFormat="1" ht="18.75" customHeight="1" x14ac:dyDescent="0.15">
      <c r="A736" s="1627"/>
      <c r="B736" s="1627"/>
      <c r="C736" s="1627"/>
      <c r="D736" s="1626">
        <f>'2_入力シート【用途面積】'!$S67</f>
        <v>0</v>
      </c>
      <c r="E736" s="1672">
        <f t="shared" si="118"/>
        <v>0</v>
      </c>
      <c r="F736" s="1672" t="str">
        <f t="shared" si="119"/>
        <v>0</v>
      </c>
      <c r="G736" s="1672" t="str">
        <f t="shared" si="120"/>
        <v>0</v>
      </c>
      <c r="H736" s="1628"/>
      <c r="I736" s="1627"/>
      <c r="J736" s="1627"/>
      <c r="K736" s="1627"/>
      <c r="L736" s="1627"/>
      <c r="M736" s="1629"/>
      <c r="N736" s="1627"/>
      <c r="O736" s="1627"/>
      <c r="P736" s="1627"/>
      <c r="Q736" s="1627"/>
      <c r="R736" s="1627"/>
      <c r="S736" s="1627"/>
      <c r="T736" s="1627"/>
      <c r="U736" s="1789"/>
      <c r="V736" s="1781" t="s">
        <v>1602</v>
      </c>
      <c r="W736" s="1782" t="s">
        <v>1306</v>
      </c>
      <c r="X736" s="1639" t="s">
        <v>1601</v>
      </c>
      <c r="Y736" s="1633" t="s">
        <v>1306</v>
      </c>
      <c r="Z736" s="1640" t="s">
        <v>1591</v>
      </c>
      <c r="AA736" s="1790"/>
      <c r="AB736" s="1791"/>
      <c r="AD736" s="1792"/>
      <c r="AG736" s="1637" t="str">
        <f t="shared" si="121"/>
        <v>階別用途別床面積-7-45階</v>
      </c>
      <c r="AI736" s="1636"/>
      <c r="AJ736" s="1636"/>
      <c r="AK736" s="1636"/>
    </row>
    <row r="737" spans="1:41" s="1637" customFormat="1" ht="18.75" customHeight="1" x14ac:dyDescent="0.15">
      <c r="A737" s="1627"/>
      <c r="B737" s="1627"/>
      <c r="C737" s="1627"/>
      <c r="D737" s="1626">
        <f>'2_入力シート【用途面積】'!$S68</f>
        <v>0</v>
      </c>
      <c r="E737" s="1672">
        <f t="shared" si="118"/>
        <v>0</v>
      </c>
      <c r="F737" s="1672" t="str">
        <f t="shared" si="119"/>
        <v>0</v>
      </c>
      <c r="G737" s="1672" t="str">
        <f t="shared" si="120"/>
        <v>0</v>
      </c>
      <c r="H737" s="1628"/>
      <c r="I737" s="1627"/>
      <c r="J737" s="1627"/>
      <c r="K737" s="1627"/>
      <c r="L737" s="1627"/>
      <c r="M737" s="1629"/>
      <c r="N737" s="1627"/>
      <c r="O737" s="1627"/>
      <c r="P737" s="1627"/>
      <c r="Q737" s="1627"/>
      <c r="R737" s="1627"/>
      <c r="S737" s="1627"/>
      <c r="T737" s="1627"/>
      <c r="U737" s="1789"/>
      <c r="V737" s="1781" t="s">
        <v>1602</v>
      </c>
      <c r="W737" s="1782" t="s">
        <v>1306</v>
      </c>
      <c r="X737" s="1639" t="s">
        <v>1601</v>
      </c>
      <c r="Y737" s="1633" t="s">
        <v>1306</v>
      </c>
      <c r="Z737" s="1640" t="s">
        <v>1592</v>
      </c>
      <c r="AA737" s="1790"/>
      <c r="AB737" s="1791"/>
      <c r="AD737" s="1792"/>
      <c r="AG737" s="1637" t="str">
        <f t="shared" si="121"/>
        <v>階別用途別床面積-7-46階</v>
      </c>
      <c r="AI737" s="1636"/>
      <c r="AJ737" s="1636"/>
      <c r="AK737" s="1636"/>
    </row>
    <row r="738" spans="1:41" s="1637" customFormat="1" ht="18.75" customHeight="1" x14ac:dyDescent="0.15">
      <c r="A738" s="1627"/>
      <c r="B738" s="1627"/>
      <c r="C738" s="1627"/>
      <c r="D738" s="1626">
        <f>'2_入力シート【用途面積】'!$S69</f>
        <v>0</v>
      </c>
      <c r="E738" s="1672">
        <f t="shared" ref="E738:E742" si="122">D738</f>
        <v>0</v>
      </c>
      <c r="F738" s="1672" t="str">
        <f t="shared" ref="F738:F742" si="123">SUBSTITUTE(E738,CHAR(10),"")</f>
        <v>0</v>
      </c>
      <c r="G738" s="1672" t="str">
        <f t="shared" ref="G738:G742" si="124">TRIM(F738)</f>
        <v>0</v>
      </c>
      <c r="H738" s="1628"/>
      <c r="I738" s="1627"/>
      <c r="J738" s="1627"/>
      <c r="K738" s="1627"/>
      <c r="L738" s="1627"/>
      <c r="M738" s="1629"/>
      <c r="N738" s="1627"/>
      <c r="O738" s="1627"/>
      <c r="P738" s="1627"/>
      <c r="Q738" s="1627"/>
      <c r="R738" s="1627"/>
      <c r="S738" s="1627"/>
      <c r="T738" s="1627"/>
      <c r="U738" s="1789"/>
      <c r="V738" s="1781" t="s">
        <v>1602</v>
      </c>
      <c r="W738" s="1782" t="s">
        <v>1306</v>
      </c>
      <c r="X738" s="1639" t="s">
        <v>1601</v>
      </c>
      <c r="Y738" s="1633" t="s">
        <v>1306</v>
      </c>
      <c r="Z738" s="1640" t="s">
        <v>1593</v>
      </c>
      <c r="AA738" s="1790"/>
      <c r="AB738" s="1791"/>
      <c r="AD738" s="1792"/>
      <c r="AG738" s="1637" t="str">
        <f t="shared" si="121"/>
        <v>階別用途別床面積-7-47階</v>
      </c>
      <c r="AI738" s="1636"/>
      <c r="AJ738" s="1636"/>
      <c r="AK738" s="1636"/>
    </row>
    <row r="739" spans="1:41" s="1637" customFormat="1" ht="18.75" customHeight="1" x14ac:dyDescent="0.15">
      <c r="A739" s="1627"/>
      <c r="B739" s="1627"/>
      <c r="C739" s="1627"/>
      <c r="D739" s="1626">
        <f>'2_入力シート【用途面積】'!$S70</f>
        <v>0</v>
      </c>
      <c r="E739" s="1672">
        <f t="shared" si="122"/>
        <v>0</v>
      </c>
      <c r="F739" s="1672" t="str">
        <f t="shared" si="123"/>
        <v>0</v>
      </c>
      <c r="G739" s="1672" t="str">
        <f t="shared" si="124"/>
        <v>0</v>
      </c>
      <c r="H739" s="1628"/>
      <c r="I739" s="1627"/>
      <c r="J739" s="1627"/>
      <c r="K739" s="1627"/>
      <c r="L739" s="1627"/>
      <c r="M739" s="1629"/>
      <c r="N739" s="1627"/>
      <c r="O739" s="1627"/>
      <c r="P739" s="1627"/>
      <c r="Q739" s="1627"/>
      <c r="R739" s="1627"/>
      <c r="S739" s="1627"/>
      <c r="T739" s="1627"/>
      <c r="U739" s="1789"/>
      <c r="V739" s="1781" t="s">
        <v>1602</v>
      </c>
      <c r="W739" s="1782" t="s">
        <v>1306</v>
      </c>
      <c r="X739" s="1639" t="s">
        <v>1601</v>
      </c>
      <c r="Y739" s="1633" t="s">
        <v>1306</v>
      </c>
      <c r="Z739" s="1640" t="s">
        <v>1594</v>
      </c>
      <c r="AA739" s="1790"/>
      <c r="AB739" s="1791"/>
      <c r="AD739" s="1792"/>
      <c r="AG739" s="1637" t="str">
        <f t="shared" si="121"/>
        <v>階別用途別床面積-7-48階</v>
      </c>
      <c r="AI739" s="1636"/>
      <c r="AJ739" s="1636"/>
      <c r="AK739" s="1636"/>
    </row>
    <row r="740" spans="1:41" s="1624" customFormat="1" ht="18.75" customHeight="1" x14ac:dyDescent="0.15">
      <c r="A740" s="1627"/>
      <c r="B740" s="1627"/>
      <c r="C740" s="1627"/>
      <c r="D740" s="1626">
        <f>'2_入力シート【用途面積】'!$S71</f>
        <v>0</v>
      </c>
      <c r="E740" s="1672">
        <f t="shared" si="122"/>
        <v>0</v>
      </c>
      <c r="F740" s="1672" t="str">
        <f t="shared" si="123"/>
        <v>0</v>
      </c>
      <c r="G740" s="1672" t="str">
        <f t="shared" si="124"/>
        <v>0</v>
      </c>
      <c r="H740" s="1628"/>
      <c r="I740" s="1627"/>
      <c r="J740" s="1627"/>
      <c r="K740" s="1627"/>
      <c r="L740" s="1627"/>
      <c r="M740" s="1629"/>
      <c r="N740" s="1627"/>
      <c r="O740" s="1627"/>
      <c r="P740" s="1627"/>
      <c r="Q740" s="1627"/>
      <c r="R740" s="1627"/>
      <c r="S740" s="1627"/>
      <c r="T740" s="1627"/>
      <c r="U740" s="1789"/>
      <c r="V740" s="1781" t="s">
        <v>1602</v>
      </c>
      <c r="W740" s="1782" t="s">
        <v>1306</v>
      </c>
      <c r="X740" s="1639" t="s">
        <v>1601</v>
      </c>
      <c r="Y740" s="1633" t="s">
        <v>1306</v>
      </c>
      <c r="Z740" s="1640" t="s">
        <v>1595</v>
      </c>
      <c r="AA740" s="1790"/>
      <c r="AB740" s="1791"/>
      <c r="AC740" s="1637"/>
      <c r="AD740" s="1792"/>
      <c r="AE740" s="1637"/>
      <c r="AF740" s="1637"/>
      <c r="AG740" s="1637" t="str">
        <f t="shared" si="121"/>
        <v>階別用途別床面積-7-49階</v>
      </c>
      <c r="AH740" s="1637"/>
      <c r="AI740" s="1636"/>
      <c r="AJ740" s="1636"/>
      <c r="AK740" s="1636"/>
      <c r="AL740" s="1637"/>
      <c r="AM740" s="1637"/>
      <c r="AN740" s="1637"/>
      <c r="AO740" s="1637"/>
    </row>
    <row r="741" spans="1:41" s="1624" customFormat="1" ht="18.75" customHeight="1" x14ac:dyDescent="0.15">
      <c r="A741" s="1627"/>
      <c r="B741" s="1627"/>
      <c r="C741" s="1627"/>
      <c r="D741" s="1626">
        <f>'2_入力シート【用途面積】'!$S72</f>
        <v>0</v>
      </c>
      <c r="E741" s="1672">
        <f t="shared" si="122"/>
        <v>0</v>
      </c>
      <c r="F741" s="1672" t="str">
        <f t="shared" si="123"/>
        <v>0</v>
      </c>
      <c r="G741" s="1672" t="str">
        <f t="shared" si="124"/>
        <v>0</v>
      </c>
      <c r="H741" s="1628"/>
      <c r="I741" s="1627"/>
      <c r="J741" s="1627"/>
      <c r="K741" s="1627"/>
      <c r="L741" s="1627"/>
      <c r="M741" s="1629"/>
      <c r="N741" s="1627"/>
      <c r="O741" s="1627"/>
      <c r="P741" s="1627"/>
      <c r="Q741" s="1627"/>
      <c r="R741" s="1627"/>
      <c r="S741" s="1627"/>
      <c r="T741" s="1627"/>
      <c r="U741" s="1789"/>
      <c r="V741" s="1781" t="s">
        <v>1602</v>
      </c>
      <c r="W741" s="1782" t="s">
        <v>1306</v>
      </c>
      <c r="X741" s="1639" t="s">
        <v>1601</v>
      </c>
      <c r="Y741" s="1633" t="s">
        <v>1306</v>
      </c>
      <c r="Z741" s="1640" t="s">
        <v>1596</v>
      </c>
      <c r="AA741" s="1790"/>
      <c r="AB741" s="1791"/>
      <c r="AC741" s="1637"/>
      <c r="AD741" s="1792"/>
      <c r="AE741" s="1637"/>
      <c r="AF741" s="1637"/>
      <c r="AG741" s="1637" t="str">
        <f t="shared" si="121"/>
        <v>階別用途別床面積-7-50階</v>
      </c>
      <c r="AH741" s="1637"/>
      <c r="AI741" s="1636"/>
      <c r="AJ741" s="1636"/>
      <c r="AK741" s="1636"/>
      <c r="AL741" s="1637"/>
      <c r="AM741" s="1637"/>
      <c r="AN741" s="1637"/>
      <c r="AO741" s="1637"/>
    </row>
    <row r="742" spans="1:41" s="1449" customFormat="1" ht="18.75" customHeight="1" x14ac:dyDescent="0.15">
      <c r="A742" s="1478"/>
      <c r="B742" s="1478"/>
      <c r="C742" s="1478"/>
      <c r="D742" s="1467">
        <f>'2_入力シート【用途面積】'!$E$13</f>
        <v>0</v>
      </c>
      <c r="E742" s="1765">
        <f t="shared" si="122"/>
        <v>0</v>
      </c>
      <c r="F742" s="1765" t="str">
        <f t="shared" si="123"/>
        <v>0</v>
      </c>
      <c r="G742" s="1765" t="str">
        <f t="shared" si="124"/>
        <v>0</v>
      </c>
      <c r="H742" s="1766"/>
      <c r="I742" s="1478"/>
      <c r="J742" s="1531"/>
      <c r="K742" s="1478" t="s">
        <v>3219</v>
      </c>
      <c r="L742" s="1478"/>
      <c r="M742" s="1549"/>
      <c r="N742" s="1478"/>
      <c r="O742" s="1478"/>
      <c r="P742" s="1478"/>
      <c r="Q742" s="1478"/>
      <c r="R742" s="1478"/>
      <c r="S742" s="1462" t="str">
        <f t="shared" ref="S742:S743" si="125">CONCATENATE(K742,L742,M742,N742,O742,P742,Q742)</f>
        <v>延床面積</v>
      </c>
      <c r="T742" s="1478"/>
      <c r="U742" s="1769"/>
      <c r="V742" s="1768" t="s">
        <v>2434</v>
      </c>
      <c r="W742" s="1770" t="s">
        <v>1366</v>
      </c>
      <c r="X742" s="1768" t="s">
        <v>2432</v>
      </c>
      <c r="Y742" s="1771"/>
      <c r="Z742" s="1772"/>
      <c r="AA742" s="1521"/>
      <c r="AB742" s="1522"/>
      <c r="AD742" s="1773"/>
      <c r="AG742" s="1466" t="str">
        <f t="shared" si="121"/>
        <v>階別用途別床面積-延べ面積</v>
      </c>
      <c r="AH742" s="1466"/>
      <c r="AI742" s="1477"/>
      <c r="AJ742" s="1477"/>
      <c r="AK742" s="1477"/>
      <c r="AL742" s="1466"/>
      <c r="AM742" s="1466"/>
      <c r="AN742" s="1466"/>
      <c r="AO742" s="1466"/>
    </row>
    <row r="743" spans="1:41" ht="18.75" customHeight="1" x14ac:dyDescent="0.15">
      <c r="A743" s="1578"/>
      <c r="B743" s="1462"/>
      <c r="C743" s="1462"/>
      <c r="D743" s="1650" t="str">
        <f>'2_入力シート【用途面積】'!W16</f>
        <v/>
      </c>
      <c r="E743" s="1650"/>
      <c r="F743" s="1650"/>
      <c r="G743" s="1650"/>
      <c r="H743" s="1468"/>
      <c r="I743" s="1462"/>
      <c r="J743" s="1531"/>
      <c r="K743" s="1462" t="s">
        <v>3216</v>
      </c>
      <c r="L743" s="1462"/>
      <c r="M743" s="1493"/>
      <c r="N743" s="1462"/>
      <c r="O743" s="1462"/>
      <c r="P743" s="1462"/>
      <c r="Q743" s="1462"/>
      <c r="R743" s="1462"/>
      <c r="S743" s="1462" t="str">
        <f t="shared" si="125"/>
        <v>用途3</v>
      </c>
      <c r="T743" s="1462"/>
      <c r="U743" s="1465"/>
      <c r="V743" s="1768" t="s">
        <v>2434</v>
      </c>
      <c r="W743" s="1770" t="s">
        <v>1366</v>
      </c>
      <c r="X743" s="1454" t="s">
        <v>3220</v>
      </c>
      <c r="Y743" s="1455"/>
      <c r="Z743" s="1456"/>
      <c r="AA743" s="1455"/>
      <c r="AB743" s="1452"/>
      <c r="AG743" s="1457" t="str">
        <f t="shared" si="121"/>
        <v>階別用途別床面積-小分類3以降</v>
      </c>
      <c r="AI743" s="1459"/>
      <c r="AJ743" s="1459"/>
      <c r="AK743" s="1459"/>
    </row>
    <row r="744" spans="1:41" s="1637" customFormat="1" ht="18.75" customHeight="1" x14ac:dyDescent="0.15">
      <c r="A744" s="1624"/>
      <c r="B744" s="1624"/>
      <c r="C744" s="1624"/>
      <c r="D744" s="1793" t="str">
        <f ca="1">INFO("SYSTEM")</f>
        <v>pcdos</v>
      </c>
      <c r="E744" s="1793"/>
      <c r="F744" s="1793"/>
      <c r="G744" s="1793"/>
      <c r="H744" s="1794"/>
      <c r="I744" s="1624"/>
      <c r="J744" s="1624"/>
      <c r="K744" s="1624"/>
      <c r="L744" s="1624"/>
      <c r="M744" s="1675"/>
      <c r="N744" s="1624"/>
      <c r="O744" s="1624"/>
      <c r="P744" s="1624"/>
      <c r="Q744" s="1624"/>
      <c r="R744" s="1624"/>
      <c r="S744" s="1624"/>
      <c r="T744" s="1624"/>
      <c r="U744" s="1795"/>
      <c r="V744" s="1796" t="s">
        <v>2465</v>
      </c>
      <c r="W744" s="1797" t="s">
        <v>1366</v>
      </c>
      <c r="X744" s="1796" t="s">
        <v>2466</v>
      </c>
      <c r="Y744" s="1790"/>
      <c r="Z744" s="1798"/>
      <c r="AA744" s="1790"/>
      <c r="AB744" s="1791"/>
      <c r="AD744" s="1792"/>
      <c r="AG744" s="1637" t="str">
        <f t="shared" si="121"/>
        <v>info関数-操作環境の名前</v>
      </c>
      <c r="AI744" s="1636"/>
      <c r="AJ744" s="1636"/>
      <c r="AK744" s="1636"/>
    </row>
    <row r="745" spans="1:41" s="1637" customFormat="1" ht="18.75" customHeight="1" x14ac:dyDescent="0.15">
      <c r="A745" s="1624"/>
      <c r="B745" s="1624"/>
      <c r="C745" s="1624"/>
      <c r="D745" s="1793" t="str">
        <f ca="1">INFO("osversion")</f>
        <v>Windows (32-bit) NT 10.00</v>
      </c>
      <c r="E745" s="1793"/>
      <c r="F745" s="1793"/>
      <c r="G745" s="1793"/>
      <c r="H745" s="1794"/>
      <c r="I745" s="1624"/>
      <c r="J745" s="1624"/>
      <c r="K745" s="1624"/>
      <c r="L745" s="1624"/>
      <c r="M745" s="1675"/>
      <c r="N745" s="1624"/>
      <c r="O745" s="1624"/>
      <c r="P745" s="1624"/>
      <c r="Q745" s="1624"/>
      <c r="R745" s="1624"/>
      <c r="S745" s="1624"/>
      <c r="T745" s="1624"/>
      <c r="U745" s="1795"/>
      <c r="V745" s="1796" t="s">
        <v>2465</v>
      </c>
      <c r="W745" s="1797" t="s">
        <v>1366</v>
      </c>
      <c r="X745" s="1796" t="s">
        <v>2467</v>
      </c>
      <c r="Y745" s="1790"/>
      <c r="Z745" s="1798"/>
      <c r="AA745" s="1790"/>
      <c r="AB745" s="1791"/>
      <c r="AD745" s="1792"/>
      <c r="AG745" s="1637" t="str">
        <f t="shared" si="121"/>
        <v>info関数-OSのバージョン</v>
      </c>
      <c r="AI745" s="1636"/>
      <c r="AJ745" s="1636"/>
      <c r="AK745" s="1636"/>
    </row>
    <row r="746" spans="1:41" s="1637" customFormat="1" ht="18.75" customHeight="1" x14ac:dyDescent="0.15">
      <c r="A746" s="1624"/>
      <c r="B746" s="1624"/>
      <c r="C746" s="1624"/>
      <c r="D746" s="1793" t="str">
        <f ca="1">INFO("RELEASE")</f>
        <v>16.0</v>
      </c>
      <c r="E746" s="1793"/>
      <c r="F746" s="1793"/>
      <c r="G746" s="1793"/>
      <c r="H746" s="1794"/>
      <c r="I746" s="1624"/>
      <c r="J746" s="1624"/>
      <c r="K746" s="1624"/>
      <c r="L746" s="1624"/>
      <c r="M746" s="1675"/>
      <c r="N746" s="1624"/>
      <c r="O746" s="1624"/>
      <c r="P746" s="1624"/>
      <c r="Q746" s="1624"/>
      <c r="R746" s="1624"/>
      <c r="S746" s="1624"/>
      <c r="T746" s="1624"/>
      <c r="U746" s="1795"/>
      <c r="V746" s="1796" t="s">
        <v>2465</v>
      </c>
      <c r="W746" s="1797" t="s">
        <v>1366</v>
      </c>
      <c r="X746" s="1796" t="s">
        <v>2468</v>
      </c>
      <c r="Y746" s="1790"/>
      <c r="Z746" s="1798"/>
      <c r="AA746" s="1790"/>
      <c r="AB746" s="1791"/>
      <c r="AD746" s="1792"/>
      <c r="AG746" s="1637" t="str">
        <f t="shared" si="121"/>
        <v>info関数-Excel のバージョン</v>
      </c>
      <c r="AI746" s="1636"/>
      <c r="AJ746" s="1636"/>
      <c r="AK746" s="1636"/>
    </row>
    <row r="747" spans="1:41" s="1637" customFormat="1" ht="18.75" customHeight="1" x14ac:dyDescent="0.15">
      <c r="A747" s="1624"/>
      <c r="B747" s="1624"/>
      <c r="C747" s="1624"/>
      <c r="D747" s="1793" t="str">
        <f>チェックシート!$O$3</f>
        <v>ver.120</v>
      </c>
      <c r="E747" s="1793"/>
      <c r="F747" s="1793"/>
      <c r="G747" s="1793"/>
      <c r="H747" s="1794"/>
      <c r="I747" s="1624"/>
      <c r="J747" s="1624"/>
      <c r="K747" s="1624"/>
      <c r="L747" s="1624"/>
      <c r="M747" s="1675"/>
      <c r="N747" s="1624"/>
      <c r="O747" s="1624"/>
      <c r="P747" s="1624"/>
      <c r="Q747" s="1624"/>
      <c r="R747" s="1624"/>
      <c r="S747" s="1624"/>
      <c r="T747" s="1624"/>
      <c r="U747" s="1795"/>
      <c r="V747" s="1799" t="s">
        <v>2725</v>
      </c>
      <c r="W747" s="1799"/>
      <c r="X747" s="1799"/>
      <c r="Y747" s="1790"/>
      <c r="Z747" s="1798"/>
      <c r="AA747" s="1790"/>
      <c r="AB747" s="1791"/>
      <c r="AD747" s="1792"/>
      <c r="AG747" s="1637" t="str">
        <f t="shared" si="121"/>
        <v>入力支援ファイルのバージョン</v>
      </c>
      <c r="AI747" s="1636"/>
      <c r="AJ747" s="1636"/>
      <c r="AK747" s="1636"/>
    </row>
    <row r="748" spans="1:41" s="1457" customFormat="1" ht="18.75" customHeight="1" x14ac:dyDescent="0.15">
      <c r="A748" s="1577"/>
      <c r="B748" s="1451"/>
      <c r="C748" s="1451"/>
      <c r="D748" s="1669"/>
      <c r="E748" s="1669"/>
      <c r="F748" s="1669"/>
      <c r="G748" s="1669"/>
      <c r="H748" s="1538"/>
      <c r="I748" s="1451"/>
      <c r="J748" s="1528"/>
      <c r="K748" s="1451"/>
      <c r="L748" s="1451"/>
      <c r="M748" s="1548"/>
      <c r="N748" s="1451"/>
      <c r="O748" s="1451"/>
      <c r="P748" s="1451"/>
      <c r="Q748" s="1451"/>
      <c r="R748" s="1451"/>
      <c r="S748" s="1451"/>
      <c r="T748" s="1451"/>
      <c r="U748" s="1461"/>
      <c r="V748" s="1452"/>
      <c r="W748" s="1453"/>
      <c r="X748" s="1454"/>
      <c r="Y748" s="1455"/>
      <c r="Z748" s="1456"/>
      <c r="AA748" s="1455"/>
      <c r="AB748" s="1452"/>
      <c r="AD748" s="1458"/>
      <c r="AI748" s="1459"/>
      <c r="AJ748" s="1459"/>
      <c r="AK748" s="1459"/>
    </row>
    <row r="749" spans="1:41" s="1457" customFormat="1" ht="18.75" customHeight="1" x14ac:dyDescent="0.15">
      <c r="A749" s="1577"/>
      <c r="B749" s="1451"/>
      <c r="C749" s="1451"/>
      <c r="D749" s="1669"/>
      <c r="E749" s="1669"/>
      <c r="F749" s="1669"/>
      <c r="G749" s="1669"/>
      <c r="H749" s="1538"/>
      <c r="I749" s="1451"/>
      <c r="J749" s="1528"/>
      <c r="K749" s="1451"/>
      <c r="L749" s="1451"/>
      <c r="M749" s="1548"/>
      <c r="N749" s="1451"/>
      <c r="O749" s="1451"/>
      <c r="P749" s="1451"/>
      <c r="Q749" s="1451"/>
      <c r="R749" s="1451"/>
      <c r="S749" s="1451"/>
      <c r="T749" s="1451"/>
      <c r="U749" s="1461"/>
      <c r="V749" s="1452"/>
      <c r="W749" s="1453"/>
      <c r="X749" s="1454"/>
      <c r="Y749" s="1455"/>
      <c r="Z749" s="1456"/>
      <c r="AA749" s="1455"/>
      <c r="AB749" s="1452"/>
      <c r="AD749" s="1458"/>
      <c r="AI749" s="1459"/>
      <c r="AJ749" s="1459"/>
      <c r="AK749" s="1459"/>
    </row>
    <row r="750" spans="1:41" s="1457" customFormat="1" ht="18.75" customHeight="1" x14ac:dyDescent="0.15">
      <c r="A750" s="1577"/>
      <c r="B750" s="1451"/>
      <c r="C750" s="1451"/>
      <c r="D750" s="1669"/>
      <c r="E750" s="1669"/>
      <c r="F750" s="1669"/>
      <c r="G750" s="1669"/>
      <c r="H750" s="1538"/>
      <c r="I750" s="1451"/>
      <c r="J750" s="1528"/>
      <c r="K750" s="1451"/>
      <c r="L750" s="1451"/>
      <c r="M750" s="1548"/>
      <c r="N750" s="1451"/>
      <c r="O750" s="1451"/>
      <c r="P750" s="1451"/>
      <c r="Q750" s="1451"/>
      <c r="R750" s="1451"/>
      <c r="S750" s="1451"/>
      <c r="T750" s="1451"/>
      <c r="U750" s="1461"/>
      <c r="V750" s="1452"/>
      <c r="W750" s="1453"/>
      <c r="X750" s="1454"/>
      <c r="Y750" s="1455"/>
      <c r="Z750" s="1456"/>
      <c r="AA750" s="1455"/>
      <c r="AB750" s="1452"/>
      <c r="AD750" s="1458"/>
      <c r="AI750" s="1459"/>
      <c r="AJ750" s="1459"/>
      <c r="AK750" s="1459"/>
    </row>
    <row r="751" spans="1:41" s="1457" customFormat="1" ht="18.75" customHeight="1" x14ac:dyDescent="0.15">
      <c r="A751" s="1577"/>
      <c r="B751" s="1451"/>
      <c r="C751" s="1451"/>
      <c r="D751" s="1669"/>
      <c r="E751" s="1669"/>
      <c r="F751" s="1669"/>
      <c r="G751" s="1669"/>
      <c r="H751" s="1538"/>
      <c r="I751" s="1451"/>
      <c r="J751" s="1528"/>
      <c r="K751" s="1451"/>
      <c r="L751" s="1451"/>
      <c r="M751" s="1548"/>
      <c r="N751" s="1451"/>
      <c r="O751" s="1451"/>
      <c r="P751" s="1451"/>
      <c r="Q751" s="1451"/>
      <c r="R751" s="1451"/>
      <c r="S751" s="1451"/>
      <c r="T751" s="1451"/>
      <c r="U751" s="1461"/>
      <c r="V751" s="1452"/>
      <c r="W751" s="1453"/>
      <c r="X751" s="1454"/>
      <c r="Y751" s="1455"/>
      <c r="Z751" s="1456"/>
      <c r="AA751" s="1455"/>
      <c r="AB751" s="1452"/>
      <c r="AD751" s="1458"/>
      <c r="AI751" s="1459"/>
      <c r="AJ751" s="1459"/>
      <c r="AK751" s="1459"/>
    </row>
    <row r="752" spans="1:41" s="1457" customFormat="1" ht="18.75" customHeight="1" x14ac:dyDescent="0.15">
      <c r="A752" s="1577"/>
      <c r="B752" s="1451"/>
      <c r="C752" s="1451"/>
      <c r="D752" s="1669"/>
      <c r="E752" s="1669"/>
      <c r="F752" s="1669"/>
      <c r="G752" s="1669"/>
      <c r="H752" s="1538"/>
      <c r="I752" s="1451"/>
      <c r="J752" s="1528"/>
      <c r="K752" s="1451"/>
      <c r="L752" s="1451"/>
      <c r="M752" s="1548"/>
      <c r="N752" s="1451"/>
      <c r="O752" s="1451"/>
      <c r="P752" s="1451"/>
      <c r="Q752" s="1451"/>
      <c r="R752" s="1451"/>
      <c r="S752" s="1451"/>
      <c r="T752" s="1451"/>
      <c r="U752" s="1461"/>
      <c r="V752" s="1452"/>
      <c r="W752" s="1453"/>
      <c r="X752" s="1454"/>
      <c r="Y752" s="1455"/>
      <c r="Z752" s="1456"/>
      <c r="AA752" s="1455"/>
      <c r="AB752" s="1452"/>
      <c r="AD752" s="1458"/>
      <c r="AI752" s="1459"/>
      <c r="AJ752" s="1459"/>
      <c r="AK752" s="1459"/>
    </row>
    <row r="753" spans="1:37" s="1457" customFormat="1" ht="18.75" customHeight="1" x14ac:dyDescent="0.15">
      <c r="A753" s="1577"/>
      <c r="B753" s="1451"/>
      <c r="C753" s="1451"/>
      <c r="D753" s="1669"/>
      <c r="E753" s="1669"/>
      <c r="F753" s="1669"/>
      <c r="G753" s="1669"/>
      <c r="H753" s="1538"/>
      <c r="I753" s="1451"/>
      <c r="J753" s="1528"/>
      <c r="K753" s="1451"/>
      <c r="L753" s="1451"/>
      <c r="M753" s="1548"/>
      <c r="N753" s="1451"/>
      <c r="O753" s="1451"/>
      <c r="P753" s="1451"/>
      <c r="Q753" s="1451"/>
      <c r="R753" s="1451"/>
      <c r="S753" s="1451"/>
      <c r="T753" s="1451"/>
      <c r="U753" s="1461"/>
      <c r="V753" s="1452"/>
      <c r="W753" s="1453"/>
      <c r="X753" s="1454"/>
      <c r="Y753" s="1455"/>
      <c r="Z753" s="1456"/>
      <c r="AA753" s="1455"/>
      <c r="AB753" s="1452"/>
      <c r="AD753" s="1458"/>
      <c r="AI753" s="1459"/>
      <c r="AJ753" s="1459"/>
      <c r="AK753" s="1459"/>
    </row>
    <row r="754" spans="1:37" s="1457" customFormat="1" ht="18.75" customHeight="1" x14ac:dyDescent="0.15">
      <c r="A754" s="1577"/>
      <c r="B754" s="1451"/>
      <c r="C754" s="1451"/>
      <c r="D754" s="1669"/>
      <c r="E754" s="1669"/>
      <c r="F754" s="1669"/>
      <c r="G754" s="1669"/>
      <c r="H754" s="1538"/>
      <c r="I754" s="1451"/>
      <c r="J754" s="1528"/>
      <c r="K754" s="1451"/>
      <c r="L754" s="1451"/>
      <c r="M754" s="1548"/>
      <c r="N754" s="1451"/>
      <c r="O754" s="1451"/>
      <c r="P754" s="1451"/>
      <c r="Q754" s="1451"/>
      <c r="R754" s="1451"/>
      <c r="S754" s="1451"/>
      <c r="T754" s="1451"/>
      <c r="U754" s="1461"/>
      <c r="V754" s="1452"/>
      <c r="W754" s="1453"/>
      <c r="X754" s="1454"/>
      <c r="Y754" s="1455"/>
      <c r="Z754" s="1456"/>
      <c r="AA754" s="1455"/>
      <c r="AB754" s="1452"/>
      <c r="AD754" s="1458"/>
      <c r="AI754" s="1459"/>
      <c r="AJ754" s="1459"/>
      <c r="AK754" s="1459"/>
    </row>
    <row r="755" spans="1:37" s="1457" customFormat="1" ht="18.75" customHeight="1" x14ac:dyDescent="0.15">
      <c r="A755" s="1577"/>
      <c r="B755" s="1451"/>
      <c r="C755" s="1451"/>
      <c r="D755" s="1669"/>
      <c r="E755" s="1669"/>
      <c r="F755" s="1669"/>
      <c r="G755" s="1669"/>
      <c r="H755" s="1538"/>
      <c r="I755" s="1451"/>
      <c r="J755" s="1528"/>
      <c r="K755" s="1451"/>
      <c r="L755" s="1451"/>
      <c r="M755" s="1548"/>
      <c r="N755" s="1451"/>
      <c r="O755" s="1451"/>
      <c r="P755" s="1451"/>
      <c r="Q755" s="1451"/>
      <c r="R755" s="1451"/>
      <c r="S755" s="1451"/>
      <c r="T755" s="1451"/>
      <c r="U755" s="1461"/>
      <c r="V755" s="1452"/>
      <c r="W755" s="1453"/>
      <c r="X755" s="1454"/>
      <c r="Y755" s="1455"/>
      <c r="Z755" s="1456"/>
      <c r="AA755" s="1455"/>
      <c r="AB755" s="1452"/>
      <c r="AD755" s="1458"/>
      <c r="AI755" s="1459"/>
      <c r="AJ755" s="1459"/>
      <c r="AK755" s="1459"/>
    </row>
    <row r="756" spans="1:37" s="1457" customFormat="1" ht="18.75" customHeight="1" x14ac:dyDescent="0.15">
      <c r="A756" s="1577"/>
      <c r="B756" s="1451"/>
      <c r="C756" s="1451"/>
      <c r="D756" s="1669"/>
      <c r="E756" s="1669"/>
      <c r="F756" s="1669"/>
      <c r="G756" s="1669"/>
      <c r="H756" s="1538"/>
      <c r="I756" s="1451"/>
      <c r="J756" s="1528"/>
      <c r="K756" s="1451"/>
      <c r="L756" s="1451"/>
      <c r="M756" s="1548"/>
      <c r="N756" s="1451"/>
      <c r="O756" s="1451"/>
      <c r="P756" s="1451"/>
      <c r="Q756" s="1451"/>
      <c r="R756" s="1451"/>
      <c r="S756" s="1451"/>
      <c r="T756" s="1451"/>
      <c r="U756" s="1461"/>
      <c r="V756" s="1452"/>
      <c r="W756" s="1453"/>
      <c r="X756" s="1454"/>
      <c r="Y756" s="1455"/>
      <c r="Z756" s="1456"/>
      <c r="AA756" s="1455"/>
      <c r="AB756" s="1452"/>
      <c r="AD756" s="1458"/>
      <c r="AI756" s="1459"/>
      <c r="AJ756" s="1459"/>
      <c r="AK756" s="1459"/>
    </row>
    <row r="757" spans="1:37" s="1457" customFormat="1" ht="18.75" customHeight="1" x14ac:dyDescent="0.15">
      <c r="A757" s="1577"/>
      <c r="B757" s="1451"/>
      <c r="C757" s="1451"/>
      <c r="D757" s="1669"/>
      <c r="E757" s="1669"/>
      <c r="F757" s="1669"/>
      <c r="G757" s="1669"/>
      <c r="H757" s="1538"/>
      <c r="I757" s="1451"/>
      <c r="J757" s="1528"/>
      <c r="K757" s="1451"/>
      <c r="L757" s="1451"/>
      <c r="M757" s="1548"/>
      <c r="N757" s="1451"/>
      <c r="O757" s="1451"/>
      <c r="P757" s="1451"/>
      <c r="Q757" s="1451"/>
      <c r="R757" s="1451"/>
      <c r="S757" s="1451"/>
      <c r="T757" s="1451"/>
      <c r="U757" s="1461"/>
      <c r="V757" s="1452"/>
      <c r="W757" s="1453"/>
      <c r="X757" s="1454"/>
      <c r="Y757" s="1455"/>
      <c r="Z757" s="1456"/>
      <c r="AA757" s="1455"/>
      <c r="AB757" s="1452"/>
      <c r="AD757" s="1458"/>
      <c r="AI757" s="1459"/>
      <c r="AJ757" s="1459"/>
      <c r="AK757" s="1459"/>
    </row>
    <row r="758" spans="1:37" s="1457" customFormat="1" ht="18.75" customHeight="1" x14ac:dyDescent="0.15">
      <c r="A758" s="1577"/>
      <c r="B758" s="1451"/>
      <c r="C758" s="1451"/>
      <c r="D758" s="1669"/>
      <c r="E758" s="1669"/>
      <c r="F758" s="1669"/>
      <c r="G758" s="1669"/>
      <c r="H758" s="1538"/>
      <c r="I758" s="1451"/>
      <c r="J758" s="1528"/>
      <c r="K758" s="1451"/>
      <c r="L758" s="1451"/>
      <c r="M758" s="1548"/>
      <c r="N758" s="1451"/>
      <c r="O758" s="1451"/>
      <c r="P758" s="1451"/>
      <c r="Q758" s="1451"/>
      <c r="R758" s="1451"/>
      <c r="S758" s="1451"/>
      <c r="T758" s="1451"/>
      <c r="U758" s="1461"/>
      <c r="V758" s="1452"/>
      <c r="W758" s="1453"/>
      <c r="X758" s="1454"/>
      <c r="Y758" s="1455"/>
      <c r="Z758" s="1456"/>
      <c r="AA758" s="1455"/>
      <c r="AB758" s="1452"/>
      <c r="AD758" s="1458"/>
      <c r="AI758" s="1459"/>
      <c r="AJ758" s="1459"/>
      <c r="AK758" s="1459"/>
    </row>
    <row r="759" spans="1:37" s="1457" customFormat="1" ht="18.75" customHeight="1" x14ac:dyDescent="0.15">
      <c r="A759" s="1577"/>
      <c r="B759" s="1451"/>
      <c r="C759" s="1451"/>
      <c r="D759" s="1669"/>
      <c r="E759" s="1669"/>
      <c r="F759" s="1669"/>
      <c r="G759" s="1669"/>
      <c r="H759" s="1538"/>
      <c r="I759" s="1451"/>
      <c r="J759" s="1528"/>
      <c r="K759" s="1451"/>
      <c r="L759" s="1451"/>
      <c r="M759" s="1548"/>
      <c r="N759" s="1451"/>
      <c r="O759" s="1451"/>
      <c r="P759" s="1451"/>
      <c r="Q759" s="1451"/>
      <c r="R759" s="1451"/>
      <c r="S759" s="1451"/>
      <c r="T759" s="1451"/>
      <c r="U759" s="1461"/>
      <c r="V759" s="1452"/>
      <c r="W759" s="1453"/>
      <c r="X759" s="1454"/>
      <c r="Y759" s="1455"/>
      <c r="Z759" s="1456"/>
      <c r="AA759" s="1455"/>
      <c r="AB759" s="1452"/>
      <c r="AD759" s="1458"/>
      <c r="AI759" s="1459"/>
      <c r="AJ759" s="1459"/>
      <c r="AK759" s="1459"/>
    </row>
    <row r="760" spans="1:37" s="1457" customFormat="1" ht="18.75" customHeight="1" x14ac:dyDescent="0.15">
      <c r="A760" s="1577"/>
      <c r="B760" s="1451"/>
      <c r="C760" s="1451"/>
      <c r="D760" s="1669"/>
      <c r="E760" s="1669"/>
      <c r="F760" s="1669"/>
      <c r="G760" s="1669"/>
      <c r="H760" s="1538"/>
      <c r="I760" s="1451"/>
      <c r="J760" s="1528"/>
      <c r="K760" s="1451"/>
      <c r="L760" s="1451"/>
      <c r="M760" s="1548"/>
      <c r="N760" s="1451"/>
      <c r="O760" s="1451"/>
      <c r="P760" s="1451"/>
      <c r="Q760" s="1451"/>
      <c r="R760" s="1451"/>
      <c r="S760" s="1451"/>
      <c r="T760" s="1451"/>
      <c r="U760" s="1461"/>
      <c r="V760" s="1452"/>
      <c r="W760" s="1453"/>
      <c r="X760" s="1454"/>
      <c r="Y760" s="1455"/>
      <c r="Z760" s="1456"/>
      <c r="AA760" s="1455"/>
      <c r="AB760" s="1452"/>
      <c r="AD760" s="1458"/>
      <c r="AI760" s="1459"/>
      <c r="AJ760" s="1459"/>
      <c r="AK760" s="1459"/>
    </row>
    <row r="761" spans="1:37" s="1457" customFormat="1" ht="18.75" customHeight="1" x14ac:dyDescent="0.15">
      <c r="A761" s="1577"/>
      <c r="B761" s="1451"/>
      <c r="C761" s="1451"/>
      <c r="D761" s="1669"/>
      <c r="E761" s="1669"/>
      <c r="F761" s="1669"/>
      <c r="G761" s="1669"/>
      <c r="H761" s="1538"/>
      <c r="I761" s="1451"/>
      <c r="J761" s="1528"/>
      <c r="K761" s="1451"/>
      <c r="L761" s="1451"/>
      <c r="M761" s="1548"/>
      <c r="N761" s="1451"/>
      <c r="O761" s="1451"/>
      <c r="P761" s="1451"/>
      <c r="Q761" s="1451"/>
      <c r="R761" s="1451"/>
      <c r="S761" s="1451"/>
      <c r="T761" s="1451"/>
      <c r="U761" s="1461"/>
      <c r="V761" s="1452"/>
      <c r="W761" s="1453"/>
      <c r="X761" s="1454"/>
      <c r="Y761" s="1455"/>
      <c r="Z761" s="1456"/>
      <c r="AA761" s="1455"/>
      <c r="AB761" s="1452"/>
      <c r="AD761" s="1458"/>
      <c r="AI761" s="1459"/>
      <c r="AJ761" s="1459"/>
      <c r="AK761" s="1459"/>
    </row>
    <row r="762" spans="1:37" s="1457" customFormat="1" ht="18.75" customHeight="1" x14ac:dyDescent="0.15">
      <c r="A762" s="1577"/>
      <c r="B762" s="1451"/>
      <c r="C762" s="1451"/>
      <c r="D762" s="1669"/>
      <c r="E762" s="1669"/>
      <c r="F762" s="1669"/>
      <c r="G762" s="1669"/>
      <c r="H762" s="1538"/>
      <c r="I762" s="1451"/>
      <c r="J762" s="1528"/>
      <c r="K762" s="1451"/>
      <c r="L762" s="1451"/>
      <c r="M762" s="1548"/>
      <c r="N762" s="1451"/>
      <c r="O762" s="1451"/>
      <c r="P762" s="1451"/>
      <c r="Q762" s="1451"/>
      <c r="R762" s="1451"/>
      <c r="S762" s="1451"/>
      <c r="T762" s="1451"/>
      <c r="U762" s="1461"/>
      <c r="V762" s="1452"/>
      <c r="W762" s="1453"/>
      <c r="X762" s="1454"/>
      <c r="Y762" s="1455"/>
      <c r="Z762" s="1456"/>
      <c r="AA762" s="1455"/>
      <c r="AB762" s="1452"/>
      <c r="AD762" s="1458"/>
      <c r="AI762" s="1459"/>
      <c r="AJ762" s="1459"/>
      <c r="AK762" s="1459"/>
    </row>
    <row r="763" spans="1:37" s="1457" customFormat="1" ht="18.75" customHeight="1" x14ac:dyDescent="0.15">
      <c r="A763" s="1577"/>
      <c r="B763" s="1451"/>
      <c r="C763" s="1451"/>
      <c r="D763" s="1669"/>
      <c r="E763" s="1669"/>
      <c r="F763" s="1669"/>
      <c r="G763" s="1669"/>
      <c r="H763" s="1538"/>
      <c r="I763" s="1451"/>
      <c r="J763" s="1528"/>
      <c r="K763" s="1451"/>
      <c r="L763" s="1451"/>
      <c r="M763" s="1548"/>
      <c r="N763" s="1451"/>
      <c r="O763" s="1451"/>
      <c r="P763" s="1451"/>
      <c r="Q763" s="1451"/>
      <c r="R763" s="1451"/>
      <c r="S763" s="1451"/>
      <c r="T763" s="1451"/>
      <c r="U763" s="1461"/>
      <c r="V763" s="1452"/>
      <c r="W763" s="1453"/>
      <c r="X763" s="1454"/>
      <c r="Y763" s="1455"/>
      <c r="Z763" s="1456"/>
      <c r="AA763" s="1455"/>
      <c r="AB763" s="1452"/>
      <c r="AD763" s="1458"/>
      <c r="AI763" s="1459"/>
      <c r="AJ763" s="1459"/>
      <c r="AK763" s="1459"/>
    </row>
    <row r="764" spans="1:37" s="1457" customFormat="1" ht="18.75" customHeight="1" x14ac:dyDescent="0.15">
      <c r="A764" s="1577"/>
      <c r="B764" s="1451"/>
      <c r="C764" s="1451"/>
      <c r="D764" s="1669"/>
      <c r="E764" s="1669"/>
      <c r="F764" s="1669"/>
      <c r="G764" s="1669"/>
      <c r="H764" s="1538"/>
      <c r="I764" s="1451"/>
      <c r="J764" s="1528"/>
      <c r="K764" s="1451"/>
      <c r="L764" s="1451"/>
      <c r="M764" s="1548"/>
      <c r="N764" s="1451"/>
      <c r="O764" s="1451"/>
      <c r="P764" s="1451"/>
      <c r="Q764" s="1451"/>
      <c r="R764" s="1451"/>
      <c r="S764" s="1451"/>
      <c r="T764" s="1451"/>
      <c r="U764" s="1461"/>
      <c r="V764" s="1452"/>
      <c r="W764" s="1453"/>
      <c r="X764" s="1454"/>
      <c r="Y764" s="1455"/>
      <c r="Z764" s="1456"/>
      <c r="AA764" s="1455"/>
      <c r="AB764" s="1452"/>
      <c r="AD764" s="1458"/>
      <c r="AI764" s="1459"/>
      <c r="AJ764" s="1459"/>
      <c r="AK764" s="1459"/>
    </row>
    <row r="765" spans="1:37" s="1457" customFormat="1" ht="18.75" customHeight="1" x14ac:dyDescent="0.15">
      <c r="A765" s="1577"/>
      <c r="B765" s="1451"/>
      <c r="C765" s="1451"/>
      <c r="D765" s="1669"/>
      <c r="E765" s="1669"/>
      <c r="F765" s="1669"/>
      <c r="G765" s="1669"/>
      <c r="H765" s="1538"/>
      <c r="I765" s="1451"/>
      <c r="J765" s="1528"/>
      <c r="K765" s="1451"/>
      <c r="L765" s="1451"/>
      <c r="M765" s="1548"/>
      <c r="N765" s="1451"/>
      <c r="O765" s="1451"/>
      <c r="P765" s="1451"/>
      <c r="Q765" s="1451"/>
      <c r="R765" s="1451"/>
      <c r="S765" s="1451"/>
      <c r="T765" s="1451"/>
      <c r="U765" s="1461"/>
      <c r="V765" s="1452"/>
      <c r="W765" s="1453"/>
      <c r="X765" s="1454"/>
      <c r="Y765" s="1455"/>
      <c r="Z765" s="1456"/>
      <c r="AA765" s="1455"/>
      <c r="AB765" s="1452"/>
      <c r="AD765" s="1458"/>
      <c r="AI765" s="1459"/>
      <c r="AJ765" s="1459"/>
      <c r="AK765" s="1459"/>
    </row>
    <row r="766" spans="1:37" s="1457" customFormat="1" ht="18.75" customHeight="1" x14ac:dyDescent="0.15">
      <c r="A766" s="1577"/>
      <c r="B766" s="1451"/>
      <c r="C766" s="1451"/>
      <c r="D766" s="1669"/>
      <c r="E766" s="1669"/>
      <c r="F766" s="1669"/>
      <c r="G766" s="1669"/>
      <c r="H766" s="1538"/>
      <c r="I766" s="1451"/>
      <c r="J766" s="1528"/>
      <c r="K766" s="1451"/>
      <c r="L766" s="1451"/>
      <c r="M766" s="1548"/>
      <c r="N766" s="1451"/>
      <c r="O766" s="1451"/>
      <c r="P766" s="1451"/>
      <c r="Q766" s="1451"/>
      <c r="R766" s="1451"/>
      <c r="S766" s="1451"/>
      <c r="T766" s="1451"/>
      <c r="U766" s="1461"/>
      <c r="V766" s="1452"/>
      <c r="W766" s="1453"/>
      <c r="X766" s="1454"/>
      <c r="Y766" s="1455"/>
      <c r="Z766" s="1456"/>
      <c r="AA766" s="1455"/>
      <c r="AB766" s="1452"/>
      <c r="AD766" s="1458"/>
      <c r="AI766" s="1459"/>
      <c r="AJ766" s="1459"/>
      <c r="AK766" s="1459"/>
    </row>
    <row r="767" spans="1:37" s="1457" customFormat="1" ht="18.75" customHeight="1" x14ac:dyDescent="0.15">
      <c r="A767" s="1577"/>
      <c r="B767" s="1451"/>
      <c r="C767" s="1451"/>
      <c r="D767" s="1669"/>
      <c r="E767" s="1669"/>
      <c r="F767" s="1669"/>
      <c r="G767" s="1669"/>
      <c r="H767" s="1538"/>
      <c r="I767" s="1451"/>
      <c r="J767" s="1528"/>
      <c r="K767" s="1451"/>
      <c r="L767" s="1451"/>
      <c r="M767" s="1548"/>
      <c r="N767" s="1451"/>
      <c r="O767" s="1451"/>
      <c r="P767" s="1451"/>
      <c r="Q767" s="1451"/>
      <c r="R767" s="1451"/>
      <c r="S767" s="1451"/>
      <c r="T767" s="1451"/>
      <c r="U767" s="1461"/>
      <c r="V767" s="1452"/>
      <c r="W767" s="1453"/>
      <c r="X767" s="1454"/>
      <c r="Y767" s="1455"/>
      <c r="Z767" s="1456"/>
      <c r="AA767" s="1455"/>
      <c r="AB767" s="1452"/>
      <c r="AD767" s="1458"/>
      <c r="AI767" s="1459"/>
      <c r="AJ767" s="1459"/>
      <c r="AK767" s="1459"/>
    </row>
    <row r="768" spans="1:37" s="1457" customFormat="1" ht="18.75" customHeight="1" x14ac:dyDescent="0.15">
      <c r="A768" s="1577"/>
      <c r="B768" s="1451"/>
      <c r="C768" s="1451"/>
      <c r="D768" s="1669"/>
      <c r="E768" s="1669"/>
      <c r="F768" s="1669"/>
      <c r="G768" s="1669"/>
      <c r="H768" s="1538"/>
      <c r="I768" s="1451"/>
      <c r="J768" s="1528"/>
      <c r="K768" s="1451"/>
      <c r="L768" s="1451"/>
      <c r="M768" s="1548"/>
      <c r="N768" s="1451"/>
      <c r="O768" s="1451"/>
      <c r="P768" s="1451"/>
      <c r="Q768" s="1451"/>
      <c r="R768" s="1451"/>
      <c r="S768" s="1451"/>
      <c r="T768" s="1451"/>
      <c r="U768" s="1461"/>
      <c r="V768" s="1452"/>
      <c r="W768" s="1453"/>
      <c r="X768" s="1454"/>
      <c r="Y768" s="1455"/>
      <c r="Z768" s="1456"/>
      <c r="AA768" s="1455"/>
      <c r="AB768" s="1452"/>
      <c r="AD768" s="1458"/>
      <c r="AI768" s="1459"/>
      <c r="AJ768" s="1459"/>
      <c r="AK768" s="1459"/>
    </row>
    <row r="769" spans="1:41" s="1457" customFormat="1" ht="18.75" customHeight="1" x14ac:dyDescent="0.15">
      <c r="A769" s="1577"/>
      <c r="B769" s="1451"/>
      <c r="C769" s="1451"/>
      <c r="D769" s="1669"/>
      <c r="E769" s="1669"/>
      <c r="F769" s="1669"/>
      <c r="G769" s="1669"/>
      <c r="H769" s="1538"/>
      <c r="I769" s="1451"/>
      <c r="J769" s="1528"/>
      <c r="K769" s="1451"/>
      <c r="L769" s="1451"/>
      <c r="M769" s="1548"/>
      <c r="N769" s="1451"/>
      <c r="O769" s="1451"/>
      <c r="P769" s="1451"/>
      <c r="Q769" s="1451"/>
      <c r="R769" s="1451"/>
      <c r="S769" s="1451"/>
      <c r="T769" s="1451"/>
      <c r="U769" s="1461"/>
      <c r="V769" s="1452"/>
      <c r="W769" s="1453"/>
      <c r="X769" s="1454"/>
      <c r="Y769" s="1455"/>
      <c r="Z769" s="1456"/>
      <c r="AA769" s="1455"/>
      <c r="AB769" s="1452"/>
      <c r="AD769" s="1458"/>
      <c r="AI769" s="1459"/>
      <c r="AJ769" s="1459"/>
      <c r="AK769" s="1459"/>
    </row>
    <row r="770" spans="1:41" s="1457" customFormat="1" ht="18.75" customHeight="1" x14ac:dyDescent="0.15">
      <c r="A770" s="1577"/>
      <c r="B770" s="1451"/>
      <c r="C770" s="1451"/>
      <c r="D770" s="1669"/>
      <c r="E770" s="1669"/>
      <c r="F770" s="1669"/>
      <c r="G770" s="1669"/>
      <c r="H770" s="1538"/>
      <c r="I770" s="1451"/>
      <c r="J770" s="1528"/>
      <c r="K770" s="1451"/>
      <c r="L770" s="1451"/>
      <c r="M770" s="1548"/>
      <c r="N770" s="1451"/>
      <c r="O770" s="1451"/>
      <c r="P770" s="1451"/>
      <c r="Q770" s="1451"/>
      <c r="R770" s="1451"/>
      <c r="S770" s="1451"/>
      <c r="T770" s="1451"/>
      <c r="U770" s="1461"/>
      <c r="V770" s="1452"/>
      <c r="W770" s="1453"/>
      <c r="X770" s="1454"/>
      <c r="Y770" s="1455"/>
      <c r="Z770" s="1456"/>
      <c r="AA770" s="1455"/>
      <c r="AB770" s="1458"/>
      <c r="AD770" s="1458"/>
      <c r="AI770" s="1459"/>
      <c r="AJ770" s="1459"/>
      <c r="AK770" s="1459"/>
    </row>
    <row r="771" spans="1:41" s="1457" customFormat="1" ht="18.75" customHeight="1" x14ac:dyDescent="0.15">
      <c r="A771" s="1577"/>
      <c r="B771" s="1451"/>
      <c r="C771" s="1451"/>
      <c r="D771" s="1669"/>
      <c r="E771" s="1669"/>
      <c r="F771" s="1669"/>
      <c r="G771" s="1669"/>
      <c r="H771" s="1538"/>
      <c r="I771" s="1451"/>
      <c r="J771" s="1528"/>
      <c r="K771" s="1451"/>
      <c r="L771" s="1451"/>
      <c r="M771" s="1548"/>
      <c r="N771" s="1451"/>
      <c r="O771" s="1451"/>
      <c r="P771" s="1451"/>
      <c r="Q771" s="1451"/>
      <c r="R771" s="1451"/>
      <c r="S771" s="1451"/>
      <c r="T771" s="1451"/>
      <c r="U771" s="1523"/>
      <c r="W771" s="1524"/>
      <c r="Y771" s="1524"/>
      <c r="AA771" s="1524"/>
      <c r="AB771" s="1458"/>
      <c r="AD771" s="1458"/>
    </row>
    <row r="772" spans="1:41" s="1457" customFormat="1" ht="18.75" customHeight="1" x14ac:dyDescent="0.15">
      <c r="A772" s="1577"/>
      <c r="B772" s="1451"/>
      <c r="C772" s="1451"/>
      <c r="D772" s="1669"/>
      <c r="E772" s="1669"/>
      <c r="F772" s="1669"/>
      <c r="G772" s="1669"/>
      <c r="H772" s="1538"/>
      <c r="I772" s="1451"/>
      <c r="J772" s="1528"/>
      <c r="K772" s="1451"/>
      <c r="L772" s="1451"/>
      <c r="M772" s="1548"/>
      <c r="N772" s="1451"/>
      <c r="O772" s="1451"/>
      <c r="P772" s="1451"/>
      <c r="Q772" s="1451"/>
      <c r="R772" s="1451"/>
      <c r="S772" s="1451"/>
      <c r="T772" s="1451"/>
      <c r="U772" s="1523"/>
      <c r="W772" s="1524"/>
      <c r="Y772" s="1524"/>
      <c r="AA772" s="1524"/>
      <c r="AB772" s="1458"/>
      <c r="AD772" s="1458"/>
    </row>
    <row r="773" spans="1:41" s="1457" customFormat="1" ht="18.75" customHeight="1" x14ac:dyDescent="0.15">
      <c r="A773" s="1577"/>
      <c r="B773" s="1451"/>
      <c r="C773" s="1451"/>
      <c r="D773" s="1669"/>
      <c r="E773" s="1669"/>
      <c r="F773" s="1669"/>
      <c r="G773" s="1669"/>
      <c r="H773" s="1538"/>
      <c r="I773" s="1451"/>
      <c r="J773" s="1528"/>
      <c r="K773" s="1451"/>
      <c r="L773" s="1451"/>
      <c r="M773" s="1548"/>
      <c r="N773" s="1451"/>
      <c r="O773" s="1451"/>
      <c r="P773" s="1451"/>
      <c r="Q773" s="1451"/>
      <c r="R773" s="1451"/>
      <c r="S773" s="1451"/>
      <c r="T773" s="1451"/>
      <c r="U773" s="1523"/>
      <c r="W773" s="1524"/>
      <c r="Y773" s="1524"/>
      <c r="AA773" s="1524"/>
      <c r="AB773" s="1458"/>
      <c r="AD773" s="1458"/>
    </row>
    <row r="774" spans="1:41" s="1457" customFormat="1" ht="18.75" customHeight="1" x14ac:dyDescent="0.15">
      <c r="A774" s="1577"/>
      <c r="B774" s="1451"/>
      <c r="C774" s="1451"/>
      <c r="D774" s="1669"/>
      <c r="E774" s="1669"/>
      <c r="F774" s="1669"/>
      <c r="G774" s="1669"/>
      <c r="H774" s="1538"/>
      <c r="I774" s="1451"/>
      <c r="J774" s="1528"/>
      <c r="K774" s="1451"/>
      <c r="L774" s="1451"/>
      <c r="M774" s="1548"/>
      <c r="N774" s="1451"/>
      <c r="O774" s="1451"/>
      <c r="P774" s="1451"/>
      <c r="Q774" s="1451"/>
      <c r="R774" s="1451"/>
      <c r="S774" s="1451"/>
      <c r="T774" s="1451"/>
      <c r="U774" s="1523"/>
      <c r="W774" s="1524"/>
      <c r="Y774" s="1524"/>
      <c r="AA774" s="1524"/>
      <c r="AB774" s="1458"/>
      <c r="AD774" s="1458"/>
    </row>
    <row r="775" spans="1:41" s="1523" customFormat="1" ht="18.75" customHeight="1" x14ac:dyDescent="0.15">
      <c r="A775" s="1577"/>
      <c r="B775" s="1451"/>
      <c r="C775" s="1451"/>
      <c r="D775" s="1669"/>
      <c r="E775" s="1669"/>
      <c r="F775" s="1669"/>
      <c r="G775" s="1669"/>
      <c r="H775" s="1538"/>
      <c r="I775" s="1451"/>
      <c r="J775" s="1528"/>
      <c r="K775" s="1451"/>
      <c r="L775" s="1451"/>
      <c r="M775" s="1548"/>
      <c r="N775" s="1451"/>
      <c r="O775" s="1451"/>
      <c r="P775" s="1451"/>
      <c r="Q775" s="1451"/>
      <c r="R775" s="1451"/>
      <c r="S775" s="1451"/>
      <c r="T775" s="1451"/>
      <c r="V775" s="1457"/>
      <c r="W775" s="1524"/>
      <c r="X775" s="1457"/>
      <c r="Y775" s="1524"/>
      <c r="Z775" s="1457"/>
      <c r="AA775" s="1524"/>
      <c r="AB775" s="1458"/>
      <c r="AC775" s="1457"/>
      <c r="AD775" s="1458"/>
      <c r="AE775" s="1457"/>
      <c r="AF775" s="1457"/>
      <c r="AG775" s="1457"/>
      <c r="AH775" s="1457"/>
      <c r="AI775" s="1457"/>
      <c r="AJ775" s="1457"/>
      <c r="AK775" s="1457"/>
      <c r="AL775" s="1457"/>
      <c r="AM775" s="1457"/>
      <c r="AN775" s="1457"/>
      <c r="AO775" s="1457"/>
    </row>
    <row r="776" spans="1:41" s="1523" customFormat="1" ht="18.75" customHeight="1" x14ac:dyDescent="0.15">
      <c r="A776" s="1577"/>
      <c r="B776" s="1451"/>
      <c r="C776" s="1451"/>
      <c r="D776" s="1669"/>
      <c r="E776" s="1669"/>
      <c r="F776" s="1669"/>
      <c r="G776" s="1669"/>
      <c r="H776" s="1538"/>
      <c r="I776" s="1451"/>
      <c r="J776" s="1528"/>
      <c r="K776" s="1451"/>
      <c r="L776" s="1451"/>
      <c r="M776" s="1548"/>
      <c r="N776" s="1451"/>
      <c r="O776" s="1451"/>
      <c r="P776" s="1451"/>
      <c r="Q776" s="1451"/>
      <c r="R776" s="1451"/>
      <c r="S776" s="1451"/>
      <c r="T776" s="1451"/>
      <c r="V776" s="1457"/>
      <c r="W776" s="1524"/>
      <c r="X776" s="1457"/>
      <c r="Y776" s="1524"/>
      <c r="Z776" s="1457"/>
      <c r="AA776" s="1524"/>
      <c r="AB776" s="1458"/>
      <c r="AC776" s="1457"/>
      <c r="AD776" s="1458"/>
      <c r="AE776" s="1457"/>
      <c r="AF776" s="1457"/>
      <c r="AG776" s="1457"/>
      <c r="AH776" s="1457"/>
      <c r="AI776" s="1457"/>
      <c r="AJ776" s="1457"/>
      <c r="AK776" s="1457"/>
      <c r="AL776" s="1457"/>
      <c r="AM776" s="1457"/>
      <c r="AN776" s="1457"/>
      <c r="AO776" s="1457"/>
    </row>
    <row r="777" spans="1:41" s="1523" customFormat="1" ht="18.75" customHeight="1" x14ac:dyDescent="0.15">
      <c r="A777" s="1577"/>
      <c r="B777" s="1451"/>
      <c r="C777" s="1451"/>
      <c r="D777" s="1669"/>
      <c r="E777" s="1669"/>
      <c r="F777" s="1669"/>
      <c r="G777" s="1669"/>
      <c r="H777" s="1538"/>
      <c r="I777" s="1451"/>
      <c r="J777" s="1528"/>
      <c r="K777" s="1451"/>
      <c r="L777" s="1451"/>
      <c r="M777" s="1548"/>
      <c r="N777" s="1451"/>
      <c r="O777" s="1451"/>
      <c r="P777" s="1451"/>
      <c r="Q777" s="1451"/>
      <c r="R777" s="1451"/>
      <c r="S777" s="1451"/>
      <c r="T777" s="1451"/>
      <c r="V777" s="1457"/>
      <c r="W777" s="1524"/>
      <c r="X777" s="1457"/>
      <c r="Y777" s="1524"/>
      <c r="Z777" s="1457"/>
      <c r="AA777" s="1524"/>
      <c r="AB777" s="1458"/>
      <c r="AC777" s="1457"/>
      <c r="AD777" s="1458"/>
      <c r="AE777" s="1457"/>
      <c r="AF777" s="1457"/>
      <c r="AG777" s="1457"/>
      <c r="AH777" s="1457"/>
      <c r="AI777" s="1457"/>
      <c r="AJ777" s="1457"/>
      <c r="AK777" s="1457"/>
      <c r="AL777" s="1457"/>
      <c r="AM777" s="1457"/>
      <c r="AN777" s="1457"/>
      <c r="AO777" s="1457"/>
    </row>
    <row r="778" spans="1:41" s="1523" customFormat="1" ht="18.75" customHeight="1" x14ac:dyDescent="0.15">
      <c r="A778" s="1577"/>
      <c r="B778" s="1451"/>
      <c r="C778" s="1451"/>
      <c r="D778" s="1669"/>
      <c r="E778" s="1669"/>
      <c r="F778" s="1669"/>
      <c r="G778" s="1669"/>
      <c r="H778" s="1538"/>
      <c r="I778" s="1451"/>
      <c r="J778" s="1528"/>
      <c r="K778" s="1451"/>
      <c r="L778" s="1451"/>
      <c r="M778" s="1548"/>
      <c r="N778" s="1451"/>
      <c r="O778" s="1451"/>
      <c r="P778" s="1451"/>
      <c r="Q778" s="1451"/>
      <c r="R778" s="1451"/>
      <c r="S778" s="1451"/>
      <c r="T778" s="1451"/>
      <c r="V778" s="1457"/>
      <c r="W778" s="1524"/>
      <c r="X778" s="1457"/>
      <c r="Y778" s="1524"/>
      <c r="Z778" s="1457"/>
      <c r="AA778" s="1524"/>
      <c r="AB778" s="1458"/>
      <c r="AC778" s="1457"/>
      <c r="AD778" s="1458"/>
      <c r="AE778" s="1457"/>
      <c r="AF778" s="1457"/>
      <c r="AG778" s="1457"/>
      <c r="AH778" s="1457"/>
      <c r="AI778" s="1457"/>
      <c r="AJ778" s="1457"/>
      <c r="AK778" s="1457"/>
      <c r="AL778" s="1457"/>
      <c r="AM778" s="1457"/>
      <c r="AN778" s="1457"/>
      <c r="AO778" s="1457"/>
    </row>
    <row r="779" spans="1:41" s="1523" customFormat="1" ht="18.75" customHeight="1" x14ac:dyDescent="0.15">
      <c r="A779" s="1577"/>
      <c r="B779" s="1451"/>
      <c r="C779" s="1451"/>
      <c r="D779" s="1669"/>
      <c r="E779" s="1669"/>
      <c r="F779" s="1669"/>
      <c r="G779" s="1669"/>
      <c r="H779" s="1538"/>
      <c r="I779" s="1451"/>
      <c r="J779" s="1528"/>
      <c r="K779" s="1451"/>
      <c r="L779" s="1451"/>
      <c r="M779" s="1548"/>
      <c r="N779" s="1451"/>
      <c r="O779" s="1451"/>
      <c r="P779" s="1451"/>
      <c r="Q779" s="1451"/>
      <c r="R779" s="1451"/>
      <c r="S779" s="1451"/>
      <c r="T779" s="1451"/>
      <c r="V779" s="1457"/>
      <c r="W779" s="1524"/>
      <c r="X779" s="1457"/>
      <c r="Y779" s="1524"/>
      <c r="Z779" s="1457"/>
      <c r="AA779" s="1524"/>
      <c r="AB779" s="1458"/>
      <c r="AC779" s="1457"/>
      <c r="AD779" s="1458"/>
      <c r="AE779" s="1457"/>
      <c r="AF779" s="1457"/>
      <c r="AG779" s="1457"/>
      <c r="AH779" s="1457"/>
      <c r="AI779" s="1457"/>
      <c r="AJ779" s="1457"/>
      <c r="AK779" s="1457"/>
      <c r="AL779" s="1457"/>
      <c r="AM779" s="1457"/>
      <c r="AN779" s="1457"/>
      <c r="AO779" s="1457"/>
    </row>
    <row r="780" spans="1:41" s="1523" customFormat="1" ht="18.75" customHeight="1" x14ac:dyDescent="0.15">
      <c r="A780" s="1577"/>
      <c r="B780" s="1451"/>
      <c r="C780" s="1451"/>
      <c r="D780" s="1669"/>
      <c r="E780" s="1669"/>
      <c r="F780" s="1669"/>
      <c r="G780" s="1669"/>
      <c r="H780" s="1538"/>
      <c r="I780" s="1451"/>
      <c r="J780" s="1528"/>
      <c r="K780" s="1451"/>
      <c r="L780" s="1451"/>
      <c r="M780" s="1548"/>
      <c r="N780" s="1451"/>
      <c r="O780" s="1451"/>
      <c r="P780" s="1451"/>
      <c r="Q780" s="1451"/>
      <c r="R780" s="1451"/>
      <c r="S780" s="1451"/>
      <c r="T780" s="1451"/>
      <c r="V780" s="1457"/>
      <c r="W780" s="1524"/>
      <c r="X780" s="1457"/>
      <c r="Y780" s="1524"/>
      <c r="Z780" s="1457"/>
      <c r="AA780" s="1524"/>
      <c r="AB780" s="1458"/>
      <c r="AC780" s="1457"/>
      <c r="AD780" s="1458"/>
      <c r="AE780" s="1457"/>
      <c r="AF780" s="1457"/>
      <c r="AG780" s="1457"/>
      <c r="AH780" s="1457"/>
      <c r="AI780" s="1457"/>
      <c r="AJ780" s="1457"/>
      <c r="AK780" s="1457"/>
      <c r="AL780" s="1457"/>
      <c r="AM780" s="1457"/>
      <c r="AN780" s="1457"/>
      <c r="AO780" s="1457"/>
    </row>
  </sheetData>
  <phoneticPr fontId="3"/>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F98D2-222E-4BF1-8B85-05D0E89E9F8F}">
  <dimension ref="A1:AO990"/>
  <sheetViews>
    <sheetView topLeftCell="A949" zoomScale="70" zoomScaleNormal="70" workbookViewId="0"/>
  </sheetViews>
  <sheetFormatPr defaultColWidth="9" defaultRowHeight="18.75" customHeight="1" x14ac:dyDescent="0.15"/>
  <cols>
    <col min="1" max="1" width="2.75" style="1577" customWidth="1"/>
    <col min="2" max="2" width="6.75" style="1451" customWidth="1"/>
    <col min="3" max="3" width="13.375" style="1451" customWidth="1"/>
    <col min="4" max="7" width="11.75" style="1669" customWidth="1"/>
    <col min="8" max="8" width="11.75" style="1538" customWidth="1"/>
    <col min="9" max="9" width="4.5" style="1451" customWidth="1"/>
    <col min="10" max="10" width="2.375" style="1528" customWidth="1"/>
    <col min="11" max="11" width="6" style="1451" customWidth="1"/>
    <col min="12" max="12" width="2.25" style="1451" customWidth="1"/>
    <col min="13" max="13" width="5.5" style="1548" customWidth="1"/>
    <col min="14" max="14" width="1.75" style="1451" customWidth="1"/>
    <col min="15" max="15" width="5.375" style="1451" customWidth="1"/>
    <col min="16" max="16" width="1.875" style="1451" customWidth="1"/>
    <col min="17" max="17" width="5.75" style="1451" customWidth="1"/>
    <col min="18" max="18" width="1.875" style="1451" customWidth="1"/>
    <col min="19" max="19" width="24.625" style="1451" customWidth="1"/>
    <col min="20" max="20" width="3.25" style="1451" customWidth="1"/>
    <col min="21" max="21" width="4.125" style="1523" bestFit="1" customWidth="1"/>
    <col min="22" max="22" width="24.125" style="1457" customWidth="1"/>
    <col min="23" max="23" width="5.125" style="1524" customWidth="1"/>
    <col min="24" max="24" width="23.625" style="1457" customWidth="1"/>
    <col min="25" max="25" width="5.625" style="1524" customWidth="1"/>
    <col min="26" max="26" width="18.5" style="1457" customWidth="1"/>
    <col min="27" max="27" width="5.625" style="1524" customWidth="1"/>
    <col min="28" max="28" width="16.125" style="1458" bestFit="1" customWidth="1"/>
    <col min="29" max="29" width="5.625" style="1457" customWidth="1"/>
    <col min="30" max="30" width="38.125" style="1458" customWidth="1"/>
    <col min="31" max="32" width="5.875" style="1457" customWidth="1"/>
    <col min="33" max="41" width="9" style="1457"/>
    <col min="42" max="16384" width="9" style="1451"/>
  </cols>
  <sheetData>
    <row r="1" spans="1:41" ht="24" customHeight="1" x14ac:dyDescent="0.15">
      <c r="A1" s="1576"/>
      <c r="E1" s="1669" t="s">
        <v>2997</v>
      </c>
      <c r="G1" s="1669" t="s">
        <v>2927</v>
      </c>
      <c r="K1" s="1451" t="s">
        <v>3231</v>
      </c>
      <c r="U1" s="1448"/>
      <c r="V1" s="1452"/>
      <c r="W1" s="1453"/>
      <c r="X1" s="1454"/>
      <c r="Y1" s="1455"/>
      <c r="Z1" s="1456"/>
      <c r="AA1" s="1455"/>
      <c r="AB1" s="1452"/>
      <c r="AI1" s="1459"/>
      <c r="AJ1" s="1459"/>
      <c r="AK1" s="1459"/>
    </row>
    <row r="2" spans="1:41" ht="18.75" customHeight="1" x14ac:dyDescent="0.15">
      <c r="C2" s="1451" t="s">
        <v>2993</v>
      </c>
      <c r="D2" s="1460" t="s">
        <v>2921</v>
      </c>
      <c r="E2" s="1460" t="s">
        <v>158</v>
      </c>
      <c r="F2" s="1460" t="s">
        <v>152</v>
      </c>
      <c r="G2" s="1670" t="s">
        <v>160</v>
      </c>
      <c r="U2" s="1461" t="s">
        <v>1295</v>
      </c>
      <c r="W2" s="1453"/>
      <c r="X2" s="1454"/>
      <c r="Y2" s="1455"/>
      <c r="AA2" s="1456"/>
      <c r="AB2" s="1452"/>
      <c r="AG2" s="1457" t="s">
        <v>3081</v>
      </c>
      <c r="AH2" s="1459"/>
      <c r="AI2" s="1459"/>
      <c r="AJ2" s="1459"/>
      <c r="AK2" s="1459"/>
    </row>
    <row r="3" spans="1:41" ht="66" x14ac:dyDescent="0.15">
      <c r="A3" s="1578"/>
      <c r="B3" s="1462"/>
      <c r="C3" s="1464" t="s">
        <v>2994</v>
      </c>
      <c r="D3" s="1463" t="s">
        <v>2908</v>
      </c>
      <c r="E3" s="1463" t="s">
        <v>2995</v>
      </c>
      <c r="F3" s="1463" t="s">
        <v>2996</v>
      </c>
      <c r="G3" s="1463" t="s">
        <v>3084</v>
      </c>
      <c r="H3" s="1539" t="s">
        <v>2801</v>
      </c>
      <c r="I3" s="1464" t="s">
        <v>3086</v>
      </c>
      <c r="J3" s="1529"/>
      <c r="K3" s="1493" t="s">
        <v>718</v>
      </c>
      <c r="L3" s="1464"/>
      <c r="M3" s="1493"/>
      <c r="N3" s="1464"/>
      <c r="O3" s="1464"/>
      <c r="P3" s="1464"/>
      <c r="Q3" s="1464"/>
      <c r="R3" s="1464"/>
      <c r="S3" s="1464" t="s">
        <v>3082</v>
      </c>
      <c r="T3" s="1464"/>
      <c r="U3" s="1465"/>
      <c r="V3" s="1452"/>
      <c r="W3" s="1453"/>
      <c r="X3" s="1454"/>
      <c r="Y3" s="1455"/>
      <c r="Z3" s="1456"/>
      <c r="AA3" s="1455"/>
      <c r="AB3" s="1452"/>
      <c r="AI3" s="1459"/>
      <c r="AJ3" s="1459"/>
      <c r="AK3" s="1459"/>
    </row>
    <row r="4" spans="1:41" ht="18.75" customHeight="1" x14ac:dyDescent="0.15">
      <c r="A4" s="1578"/>
      <c r="B4" s="1462"/>
      <c r="C4" s="1462"/>
      <c r="D4" s="1460">
        <f>'1_入力シート【基本情報】'!$AF$319</f>
        <v>0</v>
      </c>
      <c r="E4" s="1650">
        <f t="shared" ref="E4:E26" si="0">D4</f>
        <v>0</v>
      </c>
      <c r="F4" s="1650" t="str">
        <f t="shared" ref="F4:F26" si="1">SUBSTITUTE(E4,CHAR(10),"")</f>
        <v>0</v>
      </c>
      <c r="G4" s="1650" t="str">
        <f t="shared" ref="G4:G26" si="2">TRIM(F4)</f>
        <v>0</v>
      </c>
      <c r="H4" s="1468"/>
      <c r="I4" s="1462"/>
      <c r="J4" s="1531"/>
      <c r="K4" s="1462"/>
      <c r="L4" s="1462"/>
      <c r="M4" s="1493"/>
      <c r="N4" s="1462"/>
      <c r="O4" s="1462"/>
      <c r="P4" s="1462"/>
      <c r="Q4" s="1462"/>
      <c r="R4" s="1462"/>
      <c r="S4" s="1462"/>
      <c r="T4" s="1462"/>
      <c r="U4" s="1469">
        <v>23</v>
      </c>
      <c r="V4" s="1486" t="s">
        <v>33</v>
      </c>
      <c r="W4" s="1471" t="s">
        <v>1306</v>
      </c>
      <c r="X4" s="1472" t="s">
        <v>34</v>
      </c>
      <c r="Y4" s="1473" t="s">
        <v>1306</v>
      </c>
      <c r="Z4" s="1504" t="s">
        <v>1401</v>
      </c>
      <c r="AA4" s="1473" t="s">
        <v>1306</v>
      </c>
      <c r="AB4" s="1470" t="s">
        <v>33</v>
      </c>
      <c r="AC4" s="1475"/>
      <c r="AD4" s="1476"/>
      <c r="AE4" s="1477"/>
      <c r="AF4" s="1477"/>
      <c r="AG4" s="1457" t="str">
        <f t="shared" ref="AG4:AG60" si="3">CONCATENATE(U4,V4,W4,X4,Y4,Z4,AA4,AB4,AC4,AD4)</f>
        <v>23調査結果-敷地及び地盤-1（1）-調査結果</v>
      </c>
      <c r="AI4" s="1459"/>
      <c r="AJ4" s="1459"/>
      <c r="AK4" s="1459"/>
    </row>
    <row r="5" spans="1:41" ht="18.75" customHeight="1" x14ac:dyDescent="0.15">
      <c r="A5" s="1578"/>
      <c r="B5" s="1462"/>
      <c r="C5" s="1462"/>
      <c r="D5" s="1460">
        <f>'1_入力シート【基本情報】'!$AR$319</f>
        <v>0</v>
      </c>
      <c r="E5" s="1650">
        <f t="shared" si="0"/>
        <v>0</v>
      </c>
      <c r="F5" s="1650" t="str">
        <f t="shared" si="1"/>
        <v>0</v>
      </c>
      <c r="G5" s="1650" t="str">
        <f t="shared" si="2"/>
        <v>0</v>
      </c>
      <c r="H5" s="1468"/>
      <c r="I5" s="1462"/>
      <c r="J5" s="1531"/>
      <c r="K5" s="1462"/>
      <c r="L5" s="1462"/>
      <c r="M5" s="1493"/>
      <c r="N5" s="1462"/>
      <c r="O5" s="1462"/>
      <c r="P5" s="1462"/>
      <c r="Q5" s="1462"/>
      <c r="R5" s="1462"/>
      <c r="S5" s="1462"/>
      <c r="T5" s="1462"/>
      <c r="U5" s="1469">
        <v>23</v>
      </c>
      <c r="V5" s="1486" t="s">
        <v>33</v>
      </c>
      <c r="W5" s="1471" t="s">
        <v>1306</v>
      </c>
      <c r="X5" s="1472" t="s">
        <v>34</v>
      </c>
      <c r="Y5" s="1473" t="s">
        <v>1306</v>
      </c>
      <c r="Z5" s="1504" t="s">
        <v>1401</v>
      </c>
      <c r="AA5" s="1473" t="s">
        <v>1306</v>
      </c>
      <c r="AB5" s="1470" t="s">
        <v>30</v>
      </c>
      <c r="AC5" s="1475"/>
      <c r="AD5" s="1476"/>
      <c r="AE5" s="1477"/>
      <c r="AF5" s="1477"/>
      <c r="AG5" s="1457" t="str">
        <f t="shared" si="3"/>
        <v>23調査結果-敷地及び地盤-1（1）-調査者番号</v>
      </c>
      <c r="AI5" s="1459"/>
      <c r="AJ5" s="1459"/>
      <c r="AK5" s="1459"/>
    </row>
    <row r="6" spans="1:41" ht="18.75" customHeight="1" x14ac:dyDescent="0.15">
      <c r="A6" s="1578"/>
      <c r="B6" s="1462"/>
      <c r="C6" s="1462"/>
      <c r="D6" s="1460">
        <f>'1_入力シート【基本情報】'!$AT$319</f>
        <v>0</v>
      </c>
      <c r="E6" s="1650">
        <f t="shared" si="0"/>
        <v>0</v>
      </c>
      <c r="F6" s="1650" t="str">
        <f t="shared" si="1"/>
        <v>0</v>
      </c>
      <c r="G6" s="1650" t="str">
        <f t="shared" si="2"/>
        <v>0</v>
      </c>
      <c r="H6" s="1468"/>
      <c r="I6" s="1462"/>
      <c r="J6" s="1531"/>
      <c r="K6" s="1462"/>
      <c r="L6" s="1462"/>
      <c r="M6" s="1493"/>
      <c r="N6" s="1462"/>
      <c r="O6" s="1462"/>
      <c r="P6" s="1462"/>
      <c r="Q6" s="1462"/>
      <c r="R6" s="1462"/>
      <c r="S6" s="1462"/>
      <c r="T6" s="1462"/>
      <c r="U6" s="1469">
        <v>23</v>
      </c>
      <c r="V6" s="1486" t="s">
        <v>33</v>
      </c>
      <c r="W6" s="1471" t="s">
        <v>1306</v>
      </c>
      <c r="X6" s="1472" t="s">
        <v>34</v>
      </c>
      <c r="Y6" s="1473" t="s">
        <v>1306</v>
      </c>
      <c r="Z6" s="1504" t="s">
        <v>1401</v>
      </c>
      <c r="AA6" s="1473" t="s">
        <v>1306</v>
      </c>
      <c r="AB6" s="1470" t="s">
        <v>1402</v>
      </c>
      <c r="AC6" s="1475"/>
      <c r="AD6" s="1476"/>
      <c r="AE6" s="1477"/>
      <c r="AF6" s="1477"/>
      <c r="AG6" s="1457" t="str">
        <f t="shared" si="3"/>
        <v>23調査結果-敷地及び地盤-1（1）-指摘の具体的内容等</v>
      </c>
      <c r="AI6" s="1459"/>
      <c r="AJ6" s="1459"/>
      <c r="AK6" s="1459"/>
    </row>
    <row r="7" spans="1:41" ht="18.75" customHeight="1" x14ac:dyDescent="0.15">
      <c r="A7" s="1578"/>
      <c r="B7" s="1462"/>
      <c r="C7" s="1462"/>
      <c r="D7" s="1460">
        <f>'1_入力シート【基本情報】'!$BD$319</f>
        <v>0</v>
      </c>
      <c r="E7" s="1650">
        <f t="shared" si="0"/>
        <v>0</v>
      </c>
      <c r="F7" s="1650" t="str">
        <f t="shared" si="1"/>
        <v>0</v>
      </c>
      <c r="G7" s="1650" t="str">
        <f t="shared" si="2"/>
        <v>0</v>
      </c>
      <c r="H7" s="1468"/>
      <c r="I7" s="1462"/>
      <c r="J7" s="1531"/>
      <c r="K7" s="1462"/>
      <c r="L7" s="1462"/>
      <c r="M7" s="1493"/>
      <c r="N7" s="1462"/>
      <c r="O7" s="1462"/>
      <c r="P7" s="1462"/>
      <c r="Q7" s="1462"/>
      <c r="R7" s="1462"/>
      <c r="S7" s="1462"/>
      <c r="T7" s="1462"/>
      <c r="U7" s="1469">
        <v>23</v>
      </c>
      <c r="V7" s="1486" t="s">
        <v>33</v>
      </c>
      <c r="W7" s="1471" t="s">
        <v>1306</v>
      </c>
      <c r="X7" s="1472" t="s">
        <v>34</v>
      </c>
      <c r="Y7" s="1473" t="s">
        <v>1306</v>
      </c>
      <c r="Z7" s="1504" t="s">
        <v>1401</v>
      </c>
      <c r="AA7" s="1473" t="s">
        <v>1306</v>
      </c>
      <c r="AB7" s="1470" t="s">
        <v>1403</v>
      </c>
      <c r="AC7" s="1475"/>
      <c r="AD7" s="1476"/>
      <c r="AE7" s="1477"/>
      <c r="AF7" s="1477"/>
      <c r="AG7" s="1457" t="str">
        <f t="shared" si="3"/>
        <v>23調査結果-敷地及び地盤-1（1）-改善策の具体的内容等</v>
      </c>
      <c r="AI7" s="1459"/>
      <c r="AJ7" s="1459"/>
      <c r="AK7" s="1459"/>
    </row>
    <row r="8" spans="1:41" ht="18.75" customHeight="1" x14ac:dyDescent="0.15">
      <c r="A8" s="1578"/>
      <c r="B8" s="1462"/>
      <c r="C8" s="1462"/>
      <c r="D8" s="1460">
        <f>'1_入力シート【基本情報】'!$BS$319</f>
        <v>0</v>
      </c>
      <c r="E8" s="1650">
        <f t="shared" si="0"/>
        <v>0</v>
      </c>
      <c r="F8" s="1650" t="str">
        <f t="shared" si="1"/>
        <v>0</v>
      </c>
      <c r="G8" s="1650" t="str">
        <f t="shared" si="2"/>
        <v>0</v>
      </c>
      <c r="H8" s="1468"/>
      <c r="I8" s="1462"/>
      <c r="J8" s="1531"/>
      <c r="K8" s="1462"/>
      <c r="L8" s="1462"/>
      <c r="M8" s="1493"/>
      <c r="N8" s="1462"/>
      <c r="O8" s="1462"/>
      <c r="P8" s="1462"/>
      <c r="Q8" s="1462"/>
      <c r="R8" s="1462"/>
      <c r="S8" s="1462"/>
      <c r="T8" s="1462"/>
      <c r="U8" s="1469">
        <v>23</v>
      </c>
      <c r="V8" s="1486" t="s">
        <v>33</v>
      </c>
      <c r="W8" s="1471" t="s">
        <v>1306</v>
      </c>
      <c r="X8" s="1472" t="s">
        <v>34</v>
      </c>
      <c r="Y8" s="1473" t="s">
        <v>1306</v>
      </c>
      <c r="Z8" s="1504" t="s">
        <v>1401</v>
      </c>
      <c r="AA8" s="1473" t="s">
        <v>1306</v>
      </c>
      <c r="AB8" s="1470" t="s">
        <v>352</v>
      </c>
      <c r="AC8" s="1490" t="s">
        <v>1306</v>
      </c>
      <c r="AD8" s="1476" t="s">
        <v>1387</v>
      </c>
      <c r="AE8" s="1477"/>
      <c r="AF8" s="1477"/>
      <c r="AG8" s="1457" t="str">
        <f t="shared" si="3"/>
        <v>23調査結果-敷地及び地盤-1（1）-改善（予定）年月-年（令和）</v>
      </c>
      <c r="AI8" s="1459"/>
      <c r="AJ8" s="1459"/>
      <c r="AK8" s="1459"/>
    </row>
    <row r="9" spans="1:41" ht="18.75" customHeight="1" x14ac:dyDescent="0.15">
      <c r="A9" s="1578"/>
      <c r="B9" s="1462"/>
      <c r="C9" s="1462"/>
      <c r="D9" s="1460">
        <f>'1_入力シート【基本情報】'!$BV$319</f>
        <v>0</v>
      </c>
      <c r="E9" s="1650">
        <f t="shared" si="0"/>
        <v>0</v>
      </c>
      <c r="F9" s="1650" t="str">
        <f t="shared" si="1"/>
        <v>0</v>
      </c>
      <c r="G9" s="1650" t="str">
        <f t="shared" si="2"/>
        <v>0</v>
      </c>
      <c r="H9" s="1468"/>
      <c r="I9" s="1462"/>
      <c r="J9" s="1531"/>
      <c r="K9" s="1462"/>
      <c r="L9" s="1462"/>
      <c r="M9" s="1493"/>
      <c r="N9" s="1462"/>
      <c r="O9" s="1462"/>
      <c r="P9" s="1462"/>
      <c r="Q9" s="1462"/>
      <c r="R9" s="1462"/>
      <c r="S9" s="1462"/>
      <c r="T9" s="1462"/>
      <c r="U9" s="1469">
        <v>23</v>
      </c>
      <c r="V9" s="1486" t="s">
        <v>33</v>
      </c>
      <c r="W9" s="1471" t="s">
        <v>1306</v>
      </c>
      <c r="X9" s="1472" t="s">
        <v>34</v>
      </c>
      <c r="Y9" s="1473" t="s">
        <v>1306</v>
      </c>
      <c r="Z9" s="1504" t="s">
        <v>1401</v>
      </c>
      <c r="AA9" s="1473" t="s">
        <v>1306</v>
      </c>
      <c r="AB9" s="1470" t="s">
        <v>352</v>
      </c>
      <c r="AC9" s="1490" t="s">
        <v>1306</v>
      </c>
      <c r="AD9" s="1476" t="s">
        <v>348</v>
      </c>
      <c r="AE9" s="1477"/>
      <c r="AF9" s="1477"/>
      <c r="AG9" s="1457" t="str">
        <f t="shared" si="3"/>
        <v>23調査結果-敷地及び地盤-1（1）-改善（予定）年月-月</v>
      </c>
      <c r="AI9" s="1459"/>
      <c r="AJ9" s="1459"/>
      <c r="AK9" s="1459"/>
    </row>
    <row r="10" spans="1:41" ht="18.75" customHeight="1" x14ac:dyDescent="0.15">
      <c r="A10" s="1578"/>
      <c r="B10" s="1462"/>
      <c r="C10" s="1462"/>
      <c r="D10" s="1460">
        <f>'1_入力シート【基本情報】'!$BY$319</f>
        <v>0</v>
      </c>
      <c r="E10" s="1650">
        <f t="shared" si="0"/>
        <v>0</v>
      </c>
      <c r="F10" s="1650" t="str">
        <f t="shared" si="1"/>
        <v>0</v>
      </c>
      <c r="G10" s="1650" t="str">
        <f t="shared" si="2"/>
        <v>0</v>
      </c>
      <c r="H10" s="1468"/>
      <c r="I10" s="1462"/>
      <c r="J10" s="1531"/>
      <c r="K10" s="1462"/>
      <c r="L10" s="1462"/>
      <c r="M10" s="1493"/>
      <c r="N10" s="1462"/>
      <c r="O10" s="1462"/>
      <c r="P10" s="1462"/>
      <c r="Q10" s="1462"/>
      <c r="R10" s="1462"/>
      <c r="S10" s="1462"/>
      <c r="T10" s="1462"/>
      <c r="U10" s="1469">
        <v>23</v>
      </c>
      <c r="V10" s="1486" t="s">
        <v>33</v>
      </c>
      <c r="W10" s="1471" t="s">
        <v>1306</v>
      </c>
      <c r="X10" s="1472" t="s">
        <v>34</v>
      </c>
      <c r="Y10" s="1473" t="s">
        <v>1306</v>
      </c>
      <c r="Z10" s="1504" t="s">
        <v>1404</v>
      </c>
      <c r="AA10" s="1473" t="s">
        <v>1306</v>
      </c>
      <c r="AB10" s="1470" t="s">
        <v>352</v>
      </c>
      <c r="AC10" s="1490" t="s">
        <v>1306</v>
      </c>
      <c r="AD10" s="1476" t="s">
        <v>640</v>
      </c>
      <c r="AE10" s="1477"/>
      <c r="AF10" s="1477"/>
      <c r="AG10" s="1457" t="str">
        <f t="shared" si="3"/>
        <v>23調査結果-敷地及び地盤-1（1）-改善（予定）年月-未定</v>
      </c>
      <c r="AI10" s="1459"/>
      <c r="AJ10" s="1459"/>
      <c r="AK10" s="1459"/>
    </row>
    <row r="11" spans="1:41" ht="18.75" customHeight="1" x14ac:dyDescent="0.15">
      <c r="A11" s="1578"/>
      <c r="B11" s="1462"/>
      <c r="C11" s="1462"/>
      <c r="D11" s="1460">
        <f>'1_入力シート【基本情報】'!$AF$320</f>
        <v>0</v>
      </c>
      <c r="E11" s="1650">
        <f t="shared" si="0"/>
        <v>0</v>
      </c>
      <c r="F11" s="1650" t="str">
        <f t="shared" si="1"/>
        <v>0</v>
      </c>
      <c r="G11" s="1650" t="str">
        <f t="shared" si="2"/>
        <v>0</v>
      </c>
      <c r="H11" s="1468"/>
      <c r="I11" s="1462"/>
      <c r="J11" s="1531"/>
      <c r="K11" s="1462"/>
      <c r="L11" s="1462"/>
      <c r="M11" s="1493"/>
      <c r="N11" s="1462"/>
      <c r="O11" s="1462"/>
      <c r="P11" s="1462"/>
      <c r="Q11" s="1462"/>
      <c r="R11" s="1462"/>
      <c r="S11" s="1462"/>
      <c r="T11" s="1462"/>
      <c r="U11" s="1469">
        <v>23</v>
      </c>
      <c r="V11" s="1486" t="s">
        <v>33</v>
      </c>
      <c r="W11" s="1471" t="s">
        <v>1306</v>
      </c>
      <c r="X11" s="1472" t="s">
        <v>34</v>
      </c>
      <c r="Y11" s="1473" t="s">
        <v>1306</v>
      </c>
      <c r="Z11" s="1504" t="s">
        <v>1405</v>
      </c>
      <c r="AA11" s="1473" t="s">
        <v>1306</v>
      </c>
      <c r="AB11" s="1470" t="s">
        <v>33</v>
      </c>
      <c r="AC11" s="1490"/>
      <c r="AD11" s="1476"/>
      <c r="AE11" s="1477"/>
      <c r="AF11" s="1477"/>
      <c r="AG11" s="1457" t="str">
        <f t="shared" si="3"/>
        <v>23調査結果-敷地及び地盤-1（2）-調査結果</v>
      </c>
      <c r="AI11" s="1459"/>
      <c r="AJ11" s="1459"/>
      <c r="AK11" s="1459"/>
    </row>
    <row r="12" spans="1:41" ht="18.75" customHeight="1" x14ac:dyDescent="0.15">
      <c r="A12" s="1578"/>
      <c r="B12" s="1462"/>
      <c r="C12" s="1462"/>
      <c r="D12" s="1460">
        <f>'1_入力シート【基本情報】'!$AR$320</f>
        <v>0</v>
      </c>
      <c r="E12" s="1650">
        <f t="shared" si="0"/>
        <v>0</v>
      </c>
      <c r="F12" s="1650" t="str">
        <f t="shared" si="1"/>
        <v>0</v>
      </c>
      <c r="G12" s="1650" t="str">
        <f t="shared" si="2"/>
        <v>0</v>
      </c>
      <c r="H12" s="1468"/>
      <c r="I12" s="1462"/>
      <c r="J12" s="1531"/>
      <c r="K12" s="1462"/>
      <c r="L12" s="1462"/>
      <c r="M12" s="1493"/>
      <c r="N12" s="1462"/>
      <c r="O12" s="1462"/>
      <c r="P12" s="1462"/>
      <c r="Q12" s="1462"/>
      <c r="R12" s="1462"/>
      <c r="S12" s="1462"/>
      <c r="T12" s="1462"/>
      <c r="U12" s="1469">
        <v>23</v>
      </c>
      <c r="V12" s="1486" t="s">
        <v>33</v>
      </c>
      <c r="W12" s="1471" t="s">
        <v>1306</v>
      </c>
      <c r="X12" s="1472" t="s">
        <v>34</v>
      </c>
      <c r="Y12" s="1473" t="s">
        <v>1306</v>
      </c>
      <c r="Z12" s="1504" t="s">
        <v>1405</v>
      </c>
      <c r="AA12" s="1473" t="s">
        <v>1306</v>
      </c>
      <c r="AB12" s="1470" t="s">
        <v>30</v>
      </c>
      <c r="AC12" s="1490"/>
      <c r="AD12" s="1476"/>
      <c r="AE12" s="1477"/>
      <c r="AF12" s="1477"/>
      <c r="AG12" s="1457" t="str">
        <f t="shared" si="3"/>
        <v>23調査結果-敷地及び地盤-1（2）-調査者番号</v>
      </c>
      <c r="AI12" s="1459"/>
      <c r="AJ12" s="1459"/>
      <c r="AK12" s="1459"/>
    </row>
    <row r="13" spans="1:41" ht="18.75" customHeight="1" x14ac:dyDescent="0.15">
      <c r="A13" s="1578"/>
      <c r="B13" s="1462"/>
      <c r="C13" s="1462"/>
      <c r="D13" s="1460">
        <f>'1_入力シート【基本情報】'!$AT$320</f>
        <v>0</v>
      </c>
      <c r="E13" s="1650">
        <f t="shared" si="0"/>
        <v>0</v>
      </c>
      <c r="F13" s="1650" t="str">
        <f t="shared" si="1"/>
        <v>0</v>
      </c>
      <c r="G13" s="1650" t="str">
        <f t="shared" si="2"/>
        <v>0</v>
      </c>
      <c r="H13" s="1468"/>
      <c r="I13" s="1462"/>
      <c r="J13" s="1531"/>
      <c r="K13" s="1462"/>
      <c r="L13" s="1462"/>
      <c r="M13" s="1493"/>
      <c r="N13" s="1462"/>
      <c r="O13" s="1462"/>
      <c r="P13" s="1462"/>
      <c r="Q13" s="1462"/>
      <c r="R13" s="1462"/>
      <c r="S13" s="1462"/>
      <c r="T13" s="1462"/>
      <c r="U13" s="1469">
        <v>23</v>
      </c>
      <c r="V13" s="1486" t="s">
        <v>33</v>
      </c>
      <c r="W13" s="1471" t="s">
        <v>1306</v>
      </c>
      <c r="X13" s="1472" t="s">
        <v>34</v>
      </c>
      <c r="Y13" s="1473" t="s">
        <v>1306</v>
      </c>
      <c r="Z13" s="1504" t="s">
        <v>1405</v>
      </c>
      <c r="AA13" s="1473" t="s">
        <v>1306</v>
      </c>
      <c r="AB13" s="1470" t="s">
        <v>1402</v>
      </c>
      <c r="AC13" s="1490"/>
      <c r="AD13" s="1476"/>
      <c r="AE13" s="1477"/>
      <c r="AF13" s="1477"/>
      <c r="AG13" s="1457" t="str">
        <f t="shared" si="3"/>
        <v>23調査結果-敷地及び地盤-1（2）-指摘の具体的内容等</v>
      </c>
      <c r="AI13" s="1459"/>
      <c r="AJ13" s="1459"/>
      <c r="AK13" s="1459"/>
    </row>
    <row r="14" spans="1:41" ht="18.75" customHeight="1" x14ac:dyDescent="0.15">
      <c r="A14" s="1578"/>
      <c r="B14" s="1462"/>
      <c r="C14" s="1462"/>
      <c r="D14" s="1460">
        <f>'1_入力シート【基本情報】'!$BD$320</f>
        <v>0</v>
      </c>
      <c r="E14" s="1650">
        <f t="shared" si="0"/>
        <v>0</v>
      </c>
      <c r="F14" s="1650" t="str">
        <f t="shared" si="1"/>
        <v>0</v>
      </c>
      <c r="G14" s="1650" t="str">
        <f t="shared" si="2"/>
        <v>0</v>
      </c>
      <c r="H14" s="1468"/>
      <c r="I14" s="1462"/>
      <c r="J14" s="1531"/>
      <c r="K14" s="1462"/>
      <c r="L14" s="1462"/>
      <c r="M14" s="1493"/>
      <c r="N14" s="1462"/>
      <c r="O14" s="1462"/>
      <c r="P14" s="1462"/>
      <c r="Q14" s="1462"/>
      <c r="R14" s="1462"/>
      <c r="S14" s="1462"/>
      <c r="T14" s="1462"/>
      <c r="U14" s="1469">
        <v>23</v>
      </c>
      <c r="V14" s="1486" t="s">
        <v>33</v>
      </c>
      <c r="W14" s="1471" t="s">
        <v>1306</v>
      </c>
      <c r="X14" s="1472" t="s">
        <v>34</v>
      </c>
      <c r="Y14" s="1473" t="s">
        <v>1306</v>
      </c>
      <c r="Z14" s="1504" t="s">
        <v>1405</v>
      </c>
      <c r="AA14" s="1473" t="s">
        <v>1306</v>
      </c>
      <c r="AB14" s="1470" t="s">
        <v>1403</v>
      </c>
      <c r="AC14" s="1490"/>
      <c r="AD14" s="1476"/>
      <c r="AE14" s="1477"/>
      <c r="AF14" s="1477"/>
      <c r="AG14" s="1457" t="str">
        <f t="shared" si="3"/>
        <v>23調査結果-敷地及び地盤-1（2）-改善策の具体的内容等</v>
      </c>
      <c r="AI14" s="1459"/>
      <c r="AJ14" s="1459"/>
      <c r="AK14" s="1459"/>
    </row>
    <row r="15" spans="1:41" ht="18.75" customHeight="1" x14ac:dyDescent="0.15">
      <c r="A15" s="1578"/>
      <c r="B15" s="1462"/>
      <c r="C15" s="1462"/>
      <c r="D15" s="1460">
        <f>'1_入力シート【基本情報】'!$BS$320</f>
        <v>0</v>
      </c>
      <c r="E15" s="1650">
        <f t="shared" si="0"/>
        <v>0</v>
      </c>
      <c r="F15" s="1650" t="str">
        <f t="shared" si="1"/>
        <v>0</v>
      </c>
      <c r="G15" s="1650" t="str">
        <f t="shared" si="2"/>
        <v>0</v>
      </c>
      <c r="H15" s="1468"/>
      <c r="I15" s="1462"/>
      <c r="J15" s="1531"/>
      <c r="K15" s="1462"/>
      <c r="L15" s="1462"/>
      <c r="M15" s="1493"/>
      <c r="N15" s="1462"/>
      <c r="O15" s="1462"/>
      <c r="P15" s="1462"/>
      <c r="Q15" s="1462"/>
      <c r="R15" s="1462"/>
      <c r="S15" s="1462"/>
      <c r="T15" s="1462"/>
      <c r="U15" s="1469">
        <v>23</v>
      </c>
      <c r="V15" s="1486" t="s">
        <v>33</v>
      </c>
      <c r="W15" s="1471" t="s">
        <v>1306</v>
      </c>
      <c r="X15" s="1472" t="s">
        <v>34</v>
      </c>
      <c r="Y15" s="1473" t="s">
        <v>1306</v>
      </c>
      <c r="Z15" s="1504" t="s">
        <v>1405</v>
      </c>
      <c r="AA15" s="1473" t="s">
        <v>1306</v>
      </c>
      <c r="AB15" s="1470" t="s">
        <v>352</v>
      </c>
      <c r="AC15" s="1490" t="s">
        <v>1366</v>
      </c>
      <c r="AD15" s="1476" t="s">
        <v>1387</v>
      </c>
      <c r="AE15" s="1477"/>
      <c r="AF15" s="1477"/>
      <c r="AG15" s="1457" t="str">
        <f t="shared" si="3"/>
        <v>23調査結果-敷地及び地盤-1（2）-改善（予定）年月-年（令和）</v>
      </c>
      <c r="AI15" s="1459"/>
      <c r="AJ15" s="1459"/>
      <c r="AK15" s="1459"/>
    </row>
    <row r="16" spans="1:41" ht="18.75" customHeight="1" x14ac:dyDescent="0.15">
      <c r="A16" s="1578"/>
      <c r="B16" s="1462"/>
      <c r="C16" s="1462"/>
      <c r="D16" s="1460">
        <f>'1_入力シート【基本情報】'!$BV$320</f>
        <v>0</v>
      </c>
      <c r="E16" s="1650">
        <f t="shared" si="0"/>
        <v>0</v>
      </c>
      <c r="F16" s="1650" t="str">
        <f t="shared" si="1"/>
        <v>0</v>
      </c>
      <c r="G16" s="1650" t="str">
        <f t="shared" si="2"/>
        <v>0</v>
      </c>
      <c r="H16" s="1468"/>
      <c r="I16" s="1462"/>
      <c r="J16" s="1531"/>
      <c r="K16" s="1462"/>
      <c r="L16" s="1462"/>
      <c r="M16" s="1493"/>
      <c r="N16" s="1462"/>
      <c r="O16" s="1462"/>
      <c r="P16" s="1462"/>
      <c r="Q16" s="1462"/>
      <c r="R16" s="1462"/>
      <c r="S16" s="1462"/>
      <c r="T16" s="1462"/>
      <c r="U16" s="1469">
        <v>23</v>
      </c>
      <c r="V16" s="1486" t="s">
        <v>33</v>
      </c>
      <c r="W16" s="1471" t="s">
        <v>1306</v>
      </c>
      <c r="X16" s="1472" t="s">
        <v>34</v>
      </c>
      <c r="Y16" s="1473" t="s">
        <v>1306</v>
      </c>
      <c r="Z16" s="1504" t="s">
        <v>1405</v>
      </c>
      <c r="AA16" s="1473" t="s">
        <v>1306</v>
      </c>
      <c r="AB16" s="1486" t="s">
        <v>352</v>
      </c>
      <c r="AC16" s="1490" t="s">
        <v>1366</v>
      </c>
      <c r="AD16" s="1476" t="s">
        <v>348</v>
      </c>
      <c r="AE16" s="1477"/>
      <c r="AF16" s="1477"/>
      <c r="AG16" s="1457" t="str">
        <f t="shared" si="3"/>
        <v>23調査結果-敷地及び地盤-1（2）-改善（予定）年月-月</v>
      </c>
      <c r="AI16" s="1502"/>
      <c r="AJ16" s="1502"/>
      <c r="AK16" s="1502"/>
      <c r="AL16" s="1508"/>
      <c r="AM16" s="1508"/>
      <c r="AN16" s="1508"/>
      <c r="AO16" s="1508"/>
    </row>
    <row r="17" spans="1:41" ht="18.75" customHeight="1" x14ac:dyDescent="0.15">
      <c r="A17" s="1578"/>
      <c r="B17" s="1462"/>
      <c r="C17" s="1462"/>
      <c r="D17" s="1460">
        <f>'1_入力シート【基本情報】'!$BY$320</f>
        <v>0</v>
      </c>
      <c r="E17" s="1650">
        <f t="shared" si="0"/>
        <v>0</v>
      </c>
      <c r="F17" s="1650" t="str">
        <f t="shared" si="1"/>
        <v>0</v>
      </c>
      <c r="G17" s="1650" t="str">
        <f t="shared" si="2"/>
        <v>0</v>
      </c>
      <c r="H17" s="1468"/>
      <c r="I17" s="1462"/>
      <c r="J17" s="1531"/>
      <c r="K17" s="1462"/>
      <c r="L17" s="1462"/>
      <c r="M17" s="1493"/>
      <c r="N17" s="1462"/>
      <c r="O17" s="1462"/>
      <c r="P17" s="1462"/>
      <c r="Q17" s="1462"/>
      <c r="R17" s="1462"/>
      <c r="S17" s="1462"/>
      <c r="T17" s="1462"/>
      <c r="U17" s="1469">
        <v>23</v>
      </c>
      <c r="V17" s="1486" t="s">
        <v>33</v>
      </c>
      <c r="W17" s="1471" t="s">
        <v>1306</v>
      </c>
      <c r="X17" s="1472" t="s">
        <v>34</v>
      </c>
      <c r="Y17" s="1473" t="s">
        <v>1306</v>
      </c>
      <c r="Z17" s="1504" t="s">
        <v>1405</v>
      </c>
      <c r="AA17" s="1473" t="s">
        <v>1306</v>
      </c>
      <c r="AB17" s="1486" t="s">
        <v>352</v>
      </c>
      <c r="AC17" s="1490" t="s">
        <v>1366</v>
      </c>
      <c r="AD17" s="1476" t="s">
        <v>640</v>
      </c>
      <c r="AE17" s="1477"/>
      <c r="AF17" s="1477"/>
      <c r="AG17" s="1457" t="str">
        <f t="shared" si="3"/>
        <v>23調査結果-敷地及び地盤-1（2）-改善（予定）年月-未定</v>
      </c>
      <c r="AI17" s="1502"/>
      <c r="AJ17" s="1502"/>
      <c r="AK17" s="1502"/>
      <c r="AL17" s="1508"/>
      <c r="AM17" s="1508"/>
      <c r="AN17" s="1508"/>
      <c r="AO17" s="1508"/>
    </row>
    <row r="18" spans="1:41" ht="18.75" customHeight="1" x14ac:dyDescent="0.15">
      <c r="A18" s="1578"/>
      <c r="B18" s="1462"/>
      <c r="C18" s="1462"/>
      <c r="D18" s="1460">
        <f>'1_入力シート【基本情報】'!$AF$321</f>
        <v>0</v>
      </c>
      <c r="E18" s="1650">
        <f t="shared" si="0"/>
        <v>0</v>
      </c>
      <c r="F18" s="1650" t="str">
        <f t="shared" si="1"/>
        <v>0</v>
      </c>
      <c r="G18" s="1650" t="str">
        <f t="shared" si="2"/>
        <v>0</v>
      </c>
      <c r="H18" s="1468"/>
      <c r="I18" s="1462"/>
      <c r="J18" s="1531"/>
      <c r="K18" s="1462"/>
      <c r="L18" s="1462"/>
      <c r="M18" s="1493"/>
      <c r="N18" s="1462"/>
      <c r="O18" s="1462"/>
      <c r="P18" s="1462"/>
      <c r="Q18" s="1462"/>
      <c r="R18" s="1462"/>
      <c r="S18" s="1462"/>
      <c r="T18" s="1462"/>
      <c r="U18" s="1469">
        <v>23</v>
      </c>
      <c r="V18" s="1486" t="s">
        <v>33</v>
      </c>
      <c r="W18" s="1471" t="s">
        <v>1306</v>
      </c>
      <c r="X18" s="1472" t="s">
        <v>34</v>
      </c>
      <c r="Y18" s="1473" t="s">
        <v>1306</v>
      </c>
      <c r="Z18" s="1504" t="s">
        <v>1406</v>
      </c>
      <c r="AA18" s="1473" t="s">
        <v>1306</v>
      </c>
      <c r="AB18" s="1486" t="s">
        <v>33</v>
      </c>
      <c r="AC18" s="1490"/>
      <c r="AD18" s="1476"/>
      <c r="AE18" s="1477"/>
      <c r="AF18" s="1477"/>
      <c r="AG18" s="1457" t="str">
        <f t="shared" si="3"/>
        <v>23調査結果-敷地及び地盤-1（3）-調査結果</v>
      </c>
      <c r="AI18" s="1502"/>
      <c r="AJ18" s="1502"/>
      <c r="AK18" s="1502"/>
      <c r="AL18" s="1508"/>
      <c r="AM18" s="1508"/>
      <c r="AN18" s="1508"/>
      <c r="AO18" s="1508"/>
    </row>
    <row r="19" spans="1:41" ht="18.75" customHeight="1" x14ac:dyDescent="0.15">
      <c r="A19" s="1578"/>
      <c r="B19" s="1462"/>
      <c r="C19" s="1462"/>
      <c r="D19" s="1460">
        <f>'1_入力シート【基本情報】'!$AR$321</f>
        <v>0</v>
      </c>
      <c r="E19" s="1650">
        <f t="shared" si="0"/>
        <v>0</v>
      </c>
      <c r="F19" s="1650" t="str">
        <f t="shared" si="1"/>
        <v>0</v>
      </c>
      <c r="G19" s="1650" t="str">
        <f t="shared" si="2"/>
        <v>0</v>
      </c>
      <c r="H19" s="1468"/>
      <c r="I19" s="1462"/>
      <c r="J19" s="1531"/>
      <c r="K19" s="1462"/>
      <c r="L19" s="1462"/>
      <c r="M19" s="1493"/>
      <c r="N19" s="1462"/>
      <c r="O19" s="1462"/>
      <c r="P19" s="1462"/>
      <c r="Q19" s="1462"/>
      <c r="R19" s="1462"/>
      <c r="S19" s="1462"/>
      <c r="T19" s="1462"/>
      <c r="U19" s="1469">
        <v>23</v>
      </c>
      <c r="V19" s="1486" t="s">
        <v>33</v>
      </c>
      <c r="W19" s="1471" t="s">
        <v>1306</v>
      </c>
      <c r="X19" s="1472" t="s">
        <v>34</v>
      </c>
      <c r="Y19" s="1473" t="s">
        <v>1306</v>
      </c>
      <c r="Z19" s="1504" t="s">
        <v>1406</v>
      </c>
      <c r="AA19" s="1473" t="s">
        <v>1306</v>
      </c>
      <c r="AB19" s="1486" t="s">
        <v>30</v>
      </c>
      <c r="AC19" s="1490"/>
      <c r="AD19" s="1476"/>
      <c r="AE19" s="1477"/>
      <c r="AF19" s="1477"/>
      <c r="AG19" s="1457" t="str">
        <f t="shared" si="3"/>
        <v>23調査結果-敷地及び地盤-1（3）-調査者番号</v>
      </c>
      <c r="AI19" s="1502"/>
      <c r="AJ19" s="1502"/>
      <c r="AK19" s="1502"/>
      <c r="AL19" s="1508"/>
      <c r="AM19" s="1508"/>
      <c r="AN19" s="1508"/>
      <c r="AO19" s="1508"/>
    </row>
    <row r="20" spans="1:41" ht="18.75" customHeight="1" x14ac:dyDescent="0.15">
      <c r="A20" s="1578"/>
      <c r="B20" s="1462"/>
      <c r="C20" s="1462"/>
      <c r="D20" s="1460">
        <f>'1_入力シート【基本情報】'!$AT$321</f>
        <v>0</v>
      </c>
      <c r="E20" s="1650">
        <f t="shared" si="0"/>
        <v>0</v>
      </c>
      <c r="F20" s="1650" t="str">
        <f t="shared" si="1"/>
        <v>0</v>
      </c>
      <c r="G20" s="1650" t="str">
        <f t="shared" si="2"/>
        <v>0</v>
      </c>
      <c r="H20" s="1468"/>
      <c r="I20" s="1462"/>
      <c r="J20" s="1531"/>
      <c r="K20" s="1462"/>
      <c r="L20" s="1462"/>
      <c r="M20" s="1493"/>
      <c r="N20" s="1462"/>
      <c r="O20" s="1462"/>
      <c r="P20" s="1462"/>
      <c r="Q20" s="1462"/>
      <c r="R20" s="1462"/>
      <c r="S20" s="1462"/>
      <c r="T20" s="1462"/>
      <c r="U20" s="1469">
        <v>23</v>
      </c>
      <c r="V20" s="1486" t="s">
        <v>33</v>
      </c>
      <c r="W20" s="1471" t="s">
        <v>1306</v>
      </c>
      <c r="X20" s="1472" t="s">
        <v>34</v>
      </c>
      <c r="Y20" s="1473" t="s">
        <v>1306</v>
      </c>
      <c r="Z20" s="1504" t="s">
        <v>1406</v>
      </c>
      <c r="AA20" s="1473" t="s">
        <v>1306</v>
      </c>
      <c r="AB20" s="1486" t="s">
        <v>1402</v>
      </c>
      <c r="AC20" s="1475"/>
      <c r="AD20" s="1476"/>
      <c r="AE20" s="1477"/>
      <c r="AF20" s="1477"/>
      <c r="AG20" s="1457" t="str">
        <f t="shared" si="3"/>
        <v>23調査結果-敷地及び地盤-1（3）-指摘の具体的内容等</v>
      </c>
      <c r="AI20" s="1502"/>
      <c r="AJ20" s="1502"/>
      <c r="AK20" s="1502"/>
      <c r="AL20" s="1508"/>
      <c r="AM20" s="1508"/>
      <c r="AN20" s="1508"/>
      <c r="AO20" s="1508"/>
    </row>
    <row r="21" spans="1:41" ht="18.75" customHeight="1" x14ac:dyDescent="0.15">
      <c r="A21" s="1578"/>
      <c r="B21" s="1462"/>
      <c r="C21" s="1462"/>
      <c r="D21" s="1460">
        <f>'1_入力シート【基本情報】'!$BD$321</f>
        <v>0</v>
      </c>
      <c r="E21" s="1650">
        <f t="shared" si="0"/>
        <v>0</v>
      </c>
      <c r="F21" s="1650" t="str">
        <f t="shared" si="1"/>
        <v>0</v>
      </c>
      <c r="G21" s="1650" t="str">
        <f t="shared" si="2"/>
        <v>0</v>
      </c>
      <c r="H21" s="1468"/>
      <c r="I21" s="1462"/>
      <c r="J21" s="1531"/>
      <c r="K21" s="1462"/>
      <c r="L21" s="1462"/>
      <c r="M21" s="1493"/>
      <c r="N21" s="1462"/>
      <c r="O21" s="1462"/>
      <c r="P21" s="1462"/>
      <c r="Q21" s="1462"/>
      <c r="R21" s="1462"/>
      <c r="S21" s="1462"/>
      <c r="T21" s="1462"/>
      <c r="U21" s="1469">
        <v>23</v>
      </c>
      <c r="V21" s="1486" t="s">
        <v>33</v>
      </c>
      <c r="W21" s="1471" t="s">
        <v>1306</v>
      </c>
      <c r="X21" s="1472" t="s">
        <v>34</v>
      </c>
      <c r="Y21" s="1473" t="s">
        <v>1306</v>
      </c>
      <c r="Z21" s="1504" t="s">
        <v>1406</v>
      </c>
      <c r="AA21" s="1473" t="s">
        <v>1306</v>
      </c>
      <c r="AB21" s="1486" t="s">
        <v>1403</v>
      </c>
      <c r="AC21" s="1475"/>
      <c r="AD21" s="1476"/>
      <c r="AE21" s="1477"/>
      <c r="AF21" s="1477"/>
      <c r="AG21" s="1457" t="str">
        <f t="shared" si="3"/>
        <v>23調査結果-敷地及び地盤-1（3）-改善策の具体的内容等</v>
      </c>
      <c r="AI21" s="1502"/>
      <c r="AJ21" s="1502"/>
      <c r="AK21" s="1502"/>
      <c r="AL21" s="1508"/>
      <c r="AM21" s="1508"/>
      <c r="AN21" s="1508"/>
      <c r="AO21" s="1508"/>
    </row>
    <row r="22" spans="1:41" ht="18.75" customHeight="1" x14ac:dyDescent="0.15">
      <c r="A22" s="1578"/>
      <c r="B22" s="1462"/>
      <c r="C22" s="1462"/>
      <c r="D22" s="1460">
        <f>'1_入力シート【基本情報】'!$BS$321</f>
        <v>0</v>
      </c>
      <c r="E22" s="1650">
        <f t="shared" si="0"/>
        <v>0</v>
      </c>
      <c r="F22" s="1650" t="str">
        <f t="shared" si="1"/>
        <v>0</v>
      </c>
      <c r="G22" s="1650" t="str">
        <f t="shared" si="2"/>
        <v>0</v>
      </c>
      <c r="H22" s="1468"/>
      <c r="I22" s="1462"/>
      <c r="J22" s="1531"/>
      <c r="K22" s="1462"/>
      <c r="L22" s="1462"/>
      <c r="M22" s="1493"/>
      <c r="N22" s="1462"/>
      <c r="O22" s="1462"/>
      <c r="P22" s="1462"/>
      <c r="Q22" s="1462"/>
      <c r="R22" s="1462"/>
      <c r="S22" s="1462"/>
      <c r="T22" s="1462"/>
      <c r="U22" s="1469">
        <v>23</v>
      </c>
      <c r="V22" s="1486" t="s">
        <v>33</v>
      </c>
      <c r="W22" s="1471" t="s">
        <v>1306</v>
      </c>
      <c r="X22" s="1472" t="s">
        <v>34</v>
      </c>
      <c r="Y22" s="1473" t="s">
        <v>1306</v>
      </c>
      <c r="Z22" s="1504" t="s">
        <v>1406</v>
      </c>
      <c r="AA22" s="1473" t="s">
        <v>1306</v>
      </c>
      <c r="AB22" s="1486" t="s">
        <v>352</v>
      </c>
      <c r="AC22" s="1475" t="s">
        <v>1366</v>
      </c>
      <c r="AD22" s="1476" t="s">
        <v>1387</v>
      </c>
      <c r="AE22" s="1477"/>
      <c r="AF22" s="1477"/>
      <c r="AG22" s="1457" t="str">
        <f t="shared" si="3"/>
        <v>23調査結果-敷地及び地盤-1（3）-改善（予定）年月-年（令和）</v>
      </c>
      <c r="AI22" s="1502"/>
      <c r="AJ22" s="1502"/>
      <c r="AK22" s="1502"/>
      <c r="AL22" s="1508"/>
      <c r="AM22" s="1508"/>
      <c r="AN22" s="1508"/>
      <c r="AO22" s="1508"/>
    </row>
    <row r="23" spans="1:41" ht="18.75" customHeight="1" x14ac:dyDescent="0.15">
      <c r="A23" s="1578"/>
      <c r="B23" s="1462"/>
      <c r="C23" s="1462"/>
      <c r="D23" s="1460">
        <f>'1_入力シート【基本情報】'!$BV$321</f>
        <v>0</v>
      </c>
      <c r="E23" s="1650">
        <f t="shared" si="0"/>
        <v>0</v>
      </c>
      <c r="F23" s="1650" t="str">
        <f t="shared" si="1"/>
        <v>0</v>
      </c>
      <c r="G23" s="1650" t="str">
        <f t="shared" si="2"/>
        <v>0</v>
      </c>
      <c r="H23" s="1468"/>
      <c r="I23" s="1462"/>
      <c r="J23" s="1531"/>
      <c r="K23" s="1462"/>
      <c r="L23" s="1462"/>
      <c r="M23" s="1493"/>
      <c r="N23" s="1462"/>
      <c r="O23" s="1462"/>
      <c r="P23" s="1462"/>
      <c r="Q23" s="1462"/>
      <c r="R23" s="1462"/>
      <c r="S23" s="1462"/>
      <c r="T23" s="1462"/>
      <c r="U23" s="1469">
        <v>23</v>
      </c>
      <c r="V23" s="1486" t="s">
        <v>33</v>
      </c>
      <c r="W23" s="1471" t="s">
        <v>1306</v>
      </c>
      <c r="X23" s="1472" t="s">
        <v>34</v>
      </c>
      <c r="Y23" s="1473" t="s">
        <v>1306</v>
      </c>
      <c r="Z23" s="1504" t="s">
        <v>1406</v>
      </c>
      <c r="AA23" s="1473" t="s">
        <v>1306</v>
      </c>
      <c r="AB23" s="1486" t="s">
        <v>352</v>
      </c>
      <c r="AC23" s="1475" t="s">
        <v>1366</v>
      </c>
      <c r="AD23" s="1476" t="s">
        <v>348</v>
      </c>
      <c r="AE23" s="1477"/>
      <c r="AF23" s="1477"/>
      <c r="AG23" s="1457" t="str">
        <f t="shared" si="3"/>
        <v>23調査結果-敷地及び地盤-1（3）-改善（予定）年月-月</v>
      </c>
      <c r="AI23" s="1502"/>
      <c r="AJ23" s="1502"/>
      <c r="AK23" s="1502"/>
      <c r="AL23" s="1508"/>
      <c r="AM23" s="1508"/>
      <c r="AN23" s="1508"/>
      <c r="AO23" s="1508"/>
    </row>
    <row r="24" spans="1:41" ht="18.75" customHeight="1" x14ac:dyDescent="0.15">
      <c r="A24" s="1578"/>
      <c r="B24" s="1462"/>
      <c r="C24" s="1462"/>
      <c r="D24" s="1460">
        <f>'1_入力シート【基本情報】'!$BY$321</f>
        <v>0</v>
      </c>
      <c r="E24" s="1650">
        <f t="shared" si="0"/>
        <v>0</v>
      </c>
      <c r="F24" s="1650" t="str">
        <f t="shared" si="1"/>
        <v>0</v>
      </c>
      <c r="G24" s="1650" t="str">
        <f t="shared" si="2"/>
        <v>0</v>
      </c>
      <c r="H24" s="1468"/>
      <c r="I24" s="1462"/>
      <c r="J24" s="1531"/>
      <c r="K24" s="1462"/>
      <c r="L24" s="1462"/>
      <c r="M24" s="1493"/>
      <c r="N24" s="1462"/>
      <c r="O24" s="1462"/>
      <c r="P24" s="1462"/>
      <c r="Q24" s="1462"/>
      <c r="R24" s="1462"/>
      <c r="S24" s="1462"/>
      <c r="T24" s="1462"/>
      <c r="U24" s="1469">
        <v>23</v>
      </c>
      <c r="V24" s="1486" t="s">
        <v>33</v>
      </c>
      <c r="W24" s="1471" t="s">
        <v>1306</v>
      </c>
      <c r="X24" s="1472" t="s">
        <v>34</v>
      </c>
      <c r="Y24" s="1473" t="s">
        <v>1306</v>
      </c>
      <c r="Z24" s="1504" t="s">
        <v>1406</v>
      </c>
      <c r="AA24" s="1473" t="s">
        <v>1306</v>
      </c>
      <c r="AB24" s="1470" t="s">
        <v>352</v>
      </c>
      <c r="AC24" s="1475" t="s">
        <v>1366</v>
      </c>
      <c r="AD24" s="1476" t="s">
        <v>640</v>
      </c>
      <c r="AE24" s="1477"/>
      <c r="AF24" s="1477"/>
      <c r="AG24" s="1457" t="str">
        <f t="shared" si="3"/>
        <v>23調査結果-敷地及び地盤-1（3）-改善（予定）年月-未定</v>
      </c>
      <c r="AI24" s="1502"/>
      <c r="AJ24" s="1502"/>
      <c r="AK24" s="1502"/>
      <c r="AL24" s="1508"/>
      <c r="AM24" s="1508"/>
      <c r="AN24" s="1508"/>
      <c r="AO24" s="1508"/>
    </row>
    <row r="25" spans="1:41" ht="18.75" customHeight="1" x14ac:dyDescent="0.15">
      <c r="A25" s="1578"/>
      <c r="B25" s="1462"/>
      <c r="C25" s="1462"/>
      <c r="D25" s="1460">
        <f>'1_入力シート【基本情報】'!$AF$322</f>
        <v>0</v>
      </c>
      <c r="E25" s="1650">
        <f t="shared" si="0"/>
        <v>0</v>
      </c>
      <c r="F25" s="1650" t="str">
        <f t="shared" si="1"/>
        <v>0</v>
      </c>
      <c r="G25" s="1650" t="str">
        <f t="shared" si="2"/>
        <v>0</v>
      </c>
      <c r="H25" s="1468"/>
      <c r="I25" s="1462"/>
      <c r="J25" s="1531"/>
      <c r="K25" s="1462"/>
      <c r="L25" s="1462"/>
      <c r="M25" s="1493"/>
      <c r="N25" s="1462"/>
      <c r="O25" s="1462"/>
      <c r="P25" s="1462"/>
      <c r="Q25" s="1462"/>
      <c r="R25" s="1462"/>
      <c r="S25" s="1462"/>
      <c r="T25" s="1462"/>
      <c r="U25" s="1469">
        <v>23</v>
      </c>
      <c r="V25" s="1486" t="s">
        <v>33</v>
      </c>
      <c r="W25" s="1471" t="s">
        <v>1306</v>
      </c>
      <c r="X25" s="1472" t="s">
        <v>34</v>
      </c>
      <c r="Y25" s="1473" t="s">
        <v>1306</v>
      </c>
      <c r="Z25" s="1504" t="s">
        <v>1407</v>
      </c>
      <c r="AA25" s="1505" t="s">
        <v>1366</v>
      </c>
      <c r="AB25" s="1470" t="s">
        <v>33</v>
      </c>
      <c r="AC25" s="1475"/>
      <c r="AD25" s="1476"/>
      <c r="AE25" s="1477"/>
      <c r="AF25" s="1477"/>
      <c r="AG25" s="1457" t="str">
        <f t="shared" si="3"/>
        <v>23調査結果-敷地及び地盤-1（4）-調査結果</v>
      </c>
      <c r="AI25" s="1502"/>
      <c r="AJ25" s="1502"/>
      <c r="AK25" s="1502"/>
      <c r="AL25" s="1508"/>
      <c r="AM25" s="1508"/>
      <c r="AN25" s="1508"/>
      <c r="AO25" s="1508"/>
    </row>
    <row r="26" spans="1:41" ht="18.75" customHeight="1" x14ac:dyDescent="0.15">
      <c r="A26" s="1586"/>
      <c r="B26" s="1509"/>
      <c r="C26" s="1509"/>
      <c r="D26" s="1460">
        <f>'1_入力シート【基本情報】'!$AR$322</f>
        <v>0</v>
      </c>
      <c r="E26" s="1674">
        <f t="shared" si="0"/>
        <v>0</v>
      </c>
      <c r="F26" s="1674" t="str">
        <f t="shared" si="1"/>
        <v>0</v>
      </c>
      <c r="G26" s="1674" t="str">
        <f t="shared" si="2"/>
        <v>0</v>
      </c>
      <c r="H26" s="1542"/>
      <c r="I26" s="1509"/>
      <c r="J26" s="1535"/>
      <c r="K26" s="1509"/>
      <c r="L26" s="1509"/>
      <c r="M26" s="1509"/>
      <c r="N26" s="1509"/>
      <c r="O26" s="1509"/>
      <c r="P26" s="1509"/>
      <c r="Q26" s="1509"/>
      <c r="R26" s="1509"/>
      <c r="S26" s="1509"/>
      <c r="T26" s="1509"/>
      <c r="U26" s="1469">
        <v>23</v>
      </c>
      <c r="V26" s="1486" t="s">
        <v>33</v>
      </c>
      <c r="W26" s="1471" t="s">
        <v>1306</v>
      </c>
      <c r="X26" s="1472" t="s">
        <v>34</v>
      </c>
      <c r="Y26" s="1473" t="s">
        <v>1306</v>
      </c>
      <c r="Z26" s="1504" t="s">
        <v>1407</v>
      </c>
      <c r="AA26" s="1505" t="s">
        <v>1366</v>
      </c>
      <c r="AB26" s="1470" t="s">
        <v>30</v>
      </c>
      <c r="AC26" s="1475"/>
      <c r="AD26" s="1476"/>
      <c r="AE26" s="1477"/>
      <c r="AF26" s="1477"/>
      <c r="AG26" s="1457" t="str">
        <f t="shared" si="3"/>
        <v>23調査結果-敷地及び地盤-1（4）-調査者番号</v>
      </c>
      <c r="AI26" s="1502"/>
      <c r="AJ26" s="1502"/>
      <c r="AK26" s="1502"/>
      <c r="AL26" s="1508"/>
      <c r="AM26" s="1508"/>
      <c r="AN26" s="1508"/>
      <c r="AO26" s="1508"/>
    </row>
    <row r="27" spans="1:41" ht="18.75" customHeight="1" x14ac:dyDescent="0.15">
      <c r="A27" s="1586"/>
      <c r="B27" s="1509"/>
      <c r="C27" s="1509"/>
      <c r="D27" s="1460">
        <f>'1_入力シート【基本情報】'!$AT$322</f>
        <v>0</v>
      </c>
      <c r="E27" s="1674">
        <f t="shared" ref="E27:E90" si="4">D27</f>
        <v>0</v>
      </c>
      <c r="F27" s="1674" t="str">
        <f t="shared" ref="F27:F90" si="5">SUBSTITUTE(E27,CHAR(10),"")</f>
        <v>0</v>
      </c>
      <c r="G27" s="1674" t="str">
        <f t="shared" ref="G27:G90" si="6">TRIM(F27)</f>
        <v>0</v>
      </c>
      <c r="H27" s="1542"/>
      <c r="I27" s="1509"/>
      <c r="J27" s="1535"/>
      <c r="K27" s="1509"/>
      <c r="L27" s="1509"/>
      <c r="M27" s="1509"/>
      <c r="N27" s="1509"/>
      <c r="O27" s="1509"/>
      <c r="P27" s="1509"/>
      <c r="Q27" s="1509"/>
      <c r="R27" s="1509"/>
      <c r="S27" s="1509"/>
      <c r="T27" s="1509"/>
      <c r="U27" s="1469">
        <v>23</v>
      </c>
      <c r="V27" s="1486" t="s">
        <v>33</v>
      </c>
      <c r="W27" s="1471" t="s">
        <v>1306</v>
      </c>
      <c r="X27" s="1472" t="s">
        <v>34</v>
      </c>
      <c r="Y27" s="1473" t="s">
        <v>1306</v>
      </c>
      <c r="Z27" s="1504" t="s">
        <v>1407</v>
      </c>
      <c r="AA27" s="1505" t="s">
        <v>1366</v>
      </c>
      <c r="AB27" s="1470" t="s">
        <v>1402</v>
      </c>
      <c r="AC27" s="1475"/>
      <c r="AD27" s="1476"/>
      <c r="AE27" s="1477"/>
      <c r="AF27" s="1477"/>
      <c r="AG27" s="1457" t="str">
        <f t="shared" si="3"/>
        <v>23調査結果-敷地及び地盤-1（4）-指摘の具体的内容等</v>
      </c>
      <c r="AI27" s="1502"/>
      <c r="AJ27" s="1502"/>
      <c r="AK27" s="1502"/>
      <c r="AL27" s="1508"/>
      <c r="AM27" s="1508"/>
      <c r="AN27" s="1508"/>
      <c r="AO27" s="1508"/>
    </row>
    <row r="28" spans="1:41" ht="18.75" customHeight="1" x14ac:dyDescent="0.15">
      <c r="A28" s="1586"/>
      <c r="B28" s="1509"/>
      <c r="C28" s="1509"/>
      <c r="D28" s="1460">
        <f>'1_入力シート【基本情報】'!$BD$322</f>
        <v>0</v>
      </c>
      <c r="E28" s="1674">
        <f t="shared" si="4"/>
        <v>0</v>
      </c>
      <c r="F28" s="1674" t="str">
        <f t="shared" si="5"/>
        <v>0</v>
      </c>
      <c r="G28" s="1674" t="str">
        <f t="shared" si="6"/>
        <v>0</v>
      </c>
      <c r="H28" s="1542"/>
      <c r="I28" s="1509"/>
      <c r="J28" s="1535"/>
      <c r="K28" s="1509"/>
      <c r="L28" s="1509"/>
      <c r="M28" s="1509"/>
      <c r="N28" s="1509"/>
      <c r="O28" s="1509"/>
      <c r="P28" s="1509"/>
      <c r="Q28" s="1509"/>
      <c r="R28" s="1509"/>
      <c r="S28" s="1509"/>
      <c r="T28" s="1509"/>
      <c r="U28" s="1469">
        <v>23</v>
      </c>
      <c r="V28" s="1486" t="s">
        <v>33</v>
      </c>
      <c r="W28" s="1471" t="s">
        <v>1306</v>
      </c>
      <c r="X28" s="1472" t="s">
        <v>34</v>
      </c>
      <c r="Y28" s="1473" t="s">
        <v>1306</v>
      </c>
      <c r="Z28" s="1504" t="s">
        <v>1407</v>
      </c>
      <c r="AA28" s="1473" t="s">
        <v>1366</v>
      </c>
      <c r="AB28" s="1470" t="s">
        <v>1403</v>
      </c>
      <c r="AC28" s="1475"/>
      <c r="AD28" s="1476"/>
      <c r="AE28" s="1477"/>
      <c r="AF28" s="1477"/>
      <c r="AG28" s="1457" t="str">
        <f t="shared" si="3"/>
        <v>23調査結果-敷地及び地盤-1（4）-改善策の具体的内容等</v>
      </c>
      <c r="AI28" s="1459"/>
      <c r="AJ28" s="1459"/>
      <c r="AK28" s="1459"/>
    </row>
    <row r="29" spans="1:41" ht="18.75" customHeight="1" x14ac:dyDescent="0.15">
      <c r="A29" s="1586"/>
      <c r="B29" s="1509"/>
      <c r="C29" s="1509"/>
      <c r="D29" s="1460">
        <f>'1_入力シート【基本情報】'!$BS$322</f>
        <v>0</v>
      </c>
      <c r="E29" s="1674">
        <f t="shared" si="4"/>
        <v>0</v>
      </c>
      <c r="F29" s="1674" t="str">
        <f t="shared" si="5"/>
        <v>0</v>
      </c>
      <c r="G29" s="1674" t="str">
        <f t="shared" si="6"/>
        <v>0</v>
      </c>
      <c r="H29" s="1542"/>
      <c r="I29" s="1509"/>
      <c r="J29" s="1535"/>
      <c r="K29" s="1509"/>
      <c r="L29" s="1509"/>
      <c r="M29" s="1509"/>
      <c r="N29" s="1509"/>
      <c r="O29" s="1509"/>
      <c r="P29" s="1509"/>
      <c r="Q29" s="1509"/>
      <c r="R29" s="1509"/>
      <c r="S29" s="1509"/>
      <c r="T29" s="1509"/>
      <c r="U29" s="1469">
        <v>23</v>
      </c>
      <c r="V29" s="1486" t="s">
        <v>33</v>
      </c>
      <c r="W29" s="1471" t="s">
        <v>1306</v>
      </c>
      <c r="X29" s="1472" t="s">
        <v>34</v>
      </c>
      <c r="Y29" s="1473" t="s">
        <v>1306</v>
      </c>
      <c r="Z29" s="1504" t="s">
        <v>1407</v>
      </c>
      <c r="AA29" s="1473" t="s">
        <v>1366</v>
      </c>
      <c r="AB29" s="1470" t="s">
        <v>352</v>
      </c>
      <c r="AC29" s="1475" t="s">
        <v>1366</v>
      </c>
      <c r="AD29" s="1476" t="s">
        <v>1387</v>
      </c>
      <c r="AE29" s="1477"/>
      <c r="AF29" s="1477"/>
      <c r="AG29" s="1457" t="str">
        <f t="shared" si="3"/>
        <v>23調査結果-敷地及び地盤-1（4）-改善（予定）年月-年（令和）</v>
      </c>
      <c r="AI29" s="1502"/>
      <c r="AJ29" s="1502"/>
      <c r="AK29" s="1502"/>
      <c r="AL29" s="1508"/>
      <c r="AM29" s="1508"/>
      <c r="AN29" s="1508"/>
      <c r="AO29" s="1508"/>
    </row>
    <row r="30" spans="1:41" ht="18.75" customHeight="1" x14ac:dyDescent="0.15">
      <c r="A30" s="1586"/>
      <c r="B30" s="1509"/>
      <c r="C30" s="1509"/>
      <c r="D30" s="1460">
        <f>'1_入力シート【基本情報】'!$BV$322</f>
        <v>0</v>
      </c>
      <c r="E30" s="1674">
        <f t="shared" si="4"/>
        <v>0</v>
      </c>
      <c r="F30" s="1674" t="str">
        <f t="shared" si="5"/>
        <v>0</v>
      </c>
      <c r="G30" s="1674" t="str">
        <f t="shared" si="6"/>
        <v>0</v>
      </c>
      <c r="H30" s="1542"/>
      <c r="I30" s="1509"/>
      <c r="J30" s="1535"/>
      <c r="K30" s="1509"/>
      <c r="L30" s="1509"/>
      <c r="M30" s="1509"/>
      <c r="N30" s="1509"/>
      <c r="O30" s="1509"/>
      <c r="P30" s="1509"/>
      <c r="Q30" s="1509"/>
      <c r="R30" s="1509"/>
      <c r="S30" s="1509"/>
      <c r="T30" s="1509"/>
      <c r="U30" s="1469">
        <v>23</v>
      </c>
      <c r="V30" s="1486" t="s">
        <v>33</v>
      </c>
      <c r="W30" s="1471" t="s">
        <v>1306</v>
      </c>
      <c r="X30" s="1472" t="s">
        <v>34</v>
      </c>
      <c r="Y30" s="1473" t="s">
        <v>1306</v>
      </c>
      <c r="Z30" s="1504" t="s">
        <v>1407</v>
      </c>
      <c r="AA30" s="1473" t="s">
        <v>1366</v>
      </c>
      <c r="AB30" s="1470" t="s">
        <v>352</v>
      </c>
      <c r="AC30" s="1490" t="s">
        <v>1366</v>
      </c>
      <c r="AD30" s="1476" t="s">
        <v>348</v>
      </c>
      <c r="AE30" s="1477"/>
      <c r="AF30" s="1477"/>
      <c r="AG30" s="1457" t="str">
        <f t="shared" si="3"/>
        <v>23調査結果-敷地及び地盤-1（4）-改善（予定）年月-月</v>
      </c>
      <c r="AI30" s="1502"/>
      <c r="AJ30" s="1502"/>
      <c r="AK30" s="1502"/>
      <c r="AL30" s="1508"/>
      <c r="AM30" s="1508"/>
      <c r="AN30" s="1508"/>
      <c r="AO30" s="1508"/>
    </row>
    <row r="31" spans="1:41" ht="18.75" customHeight="1" x14ac:dyDescent="0.15">
      <c r="A31" s="1586"/>
      <c r="B31" s="1509"/>
      <c r="C31" s="1509"/>
      <c r="D31" s="1460">
        <f>'1_入力シート【基本情報】'!$BY$322</f>
        <v>0</v>
      </c>
      <c r="E31" s="1674">
        <f t="shared" si="4"/>
        <v>0</v>
      </c>
      <c r="F31" s="1674" t="str">
        <f t="shared" si="5"/>
        <v>0</v>
      </c>
      <c r="G31" s="1674" t="str">
        <f t="shared" si="6"/>
        <v>0</v>
      </c>
      <c r="H31" s="1542"/>
      <c r="I31" s="1509"/>
      <c r="J31" s="1535"/>
      <c r="K31" s="1509"/>
      <c r="L31" s="1509"/>
      <c r="M31" s="1509"/>
      <c r="N31" s="1509"/>
      <c r="O31" s="1509"/>
      <c r="P31" s="1509"/>
      <c r="Q31" s="1509"/>
      <c r="R31" s="1509"/>
      <c r="S31" s="1509"/>
      <c r="T31" s="1509"/>
      <c r="U31" s="1469">
        <v>23</v>
      </c>
      <c r="V31" s="1486" t="s">
        <v>33</v>
      </c>
      <c r="W31" s="1471" t="s">
        <v>1306</v>
      </c>
      <c r="X31" s="1472" t="s">
        <v>34</v>
      </c>
      <c r="Y31" s="1473" t="s">
        <v>1306</v>
      </c>
      <c r="Z31" s="1504" t="s">
        <v>1407</v>
      </c>
      <c r="AA31" s="1473" t="s">
        <v>1366</v>
      </c>
      <c r="AB31" s="1470" t="s">
        <v>352</v>
      </c>
      <c r="AC31" s="1490" t="s">
        <v>1366</v>
      </c>
      <c r="AD31" s="1476" t="s">
        <v>640</v>
      </c>
      <c r="AE31" s="1477"/>
      <c r="AF31" s="1477"/>
      <c r="AG31" s="1457" t="str">
        <f t="shared" si="3"/>
        <v>23調査結果-敷地及び地盤-1（4）-改善（予定）年月-未定</v>
      </c>
      <c r="AI31" s="1502"/>
      <c r="AJ31" s="1502"/>
      <c r="AK31" s="1502"/>
      <c r="AL31" s="1508"/>
      <c r="AM31" s="1508"/>
      <c r="AN31" s="1508"/>
      <c r="AO31" s="1508"/>
    </row>
    <row r="32" spans="1:41" ht="18.75" customHeight="1" x14ac:dyDescent="0.15">
      <c r="A32" s="1586"/>
      <c r="B32" s="1509"/>
      <c r="C32" s="1509"/>
      <c r="D32" s="1460">
        <f>'1_入力シート【基本情報】'!$AF$323</f>
        <v>0</v>
      </c>
      <c r="E32" s="1674">
        <f t="shared" si="4"/>
        <v>0</v>
      </c>
      <c r="F32" s="1674" t="str">
        <f t="shared" si="5"/>
        <v>0</v>
      </c>
      <c r="G32" s="1674" t="str">
        <f t="shared" si="6"/>
        <v>0</v>
      </c>
      <c r="H32" s="1542"/>
      <c r="I32" s="1509"/>
      <c r="J32" s="1535"/>
      <c r="K32" s="1509"/>
      <c r="L32" s="1509"/>
      <c r="M32" s="1509"/>
      <c r="N32" s="1509"/>
      <c r="O32" s="1509"/>
      <c r="P32" s="1509"/>
      <c r="Q32" s="1509"/>
      <c r="R32" s="1509"/>
      <c r="S32" s="1509"/>
      <c r="T32" s="1509"/>
      <c r="U32" s="1469">
        <v>23</v>
      </c>
      <c r="V32" s="1486" t="s">
        <v>33</v>
      </c>
      <c r="W32" s="1471" t="s">
        <v>1306</v>
      </c>
      <c r="X32" s="1472" t="s">
        <v>34</v>
      </c>
      <c r="Y32" s="1473" t="s">
        <v>1306</v>
      </c>
      <c r="Z32" s="1504" t="s">
        <v>1408</v>
      </c>
      <c r="AA32" s="1473" t="s">
        <v>1306</v>
      </c>
      <c r="AB32" s="1470" t="s">
        <v>33</v>
      </c>
      <c r="AC32" s="1490"/>
      <c r="AD32" s="1476"/>
      <c r="AE32" s="1477"/>
      <c r="AF32" s="1477"/>
      <c r="AG32" s="1457" t="str">
        <f t="shared" si="3"/>
        <v>23調査結果-敷地及び地盤-1（5）-調査結果</v>
      </c>
      <c r="AI32" s="1502"/>
      <c r="AJ32" s="1502"/>
      <c r="AK32" s="1502"/>
      <c r="AL32" s="1508"/>
      <c r="AM32" s="1508"/>
      <c r="AN32" s="1508"/>
      <c r="AO32" s="1508"/>
    </row>
    <row r="33" spans="1:41" ht="18.75" customHeight="1" x14ac:dyDescent="0.15">
      <c r="A33" s="1586"/>
      <c r="B33" s="1509"/>
      <c r="C33" s="1509"/>
      <c r="D33" s="1460">
        <f>'1_入力シート【基本情報】'!$AR$323</f>
        <v>0</v>
      </c>
      <c r="E33" s="1674">
        <f t="shared" si="4"/>
        <v>0</v>
      </c>
      <c r="F33" s="1674" t="str">
        <f t="shared" si="5"/>
        <v>0</v>
      </c>
      <c r="G33" s="1674" t="str">
        <f t="shared" si="6"/>
        <v>0</v>
      </c>
      <c r="H33" s="1542"/>
      <c r="I33" s="1509"/>
      <c r="J33" s="1535"/>
      <c r="K33" s="1509"/>
      <c r="L33" s="1509"/>
      <c r="M33" s="1509"/>
      <c r="N33" s="1509"/>
      <c r="O33" s="1509"/>
      <c r="P33" s="1509"/>
      <c r="Q33" s="1509"/>
      <c r="R33" s="1509"/>
      <c r="S33" s="1509"/>
      <c r="T33" s="1509"/>
      <c r="U33" s="1469">
        <v>23</v>
      </c>
      <c r="V33" s="1486" t="s">
        <v>33</v>
      </c>
      <c r="W33" s="1471" t="s">
        <v>1306</v>
      </c>
      <c r="X33" s="1472" t="s">
        <v>34</v>
      </c>
      <c r="Y33" s="1473" t="s">
        <v>1306</v>
      </c>
      <c r="Z33" s="1504" t="s">
        <v>1408</v>
      </c>
      <c r="AA33" s="1473" t="s">
        <v>1306</v>
      </c>
      <c r="AB33" s="1470" t="s">
        <v>30</v>
      </c>
      <c r="AC33" s="1490"/>
      <c r="AD33" s="1476"/>
      <c r="AE33" s="1477"/>
      <c r="AF33" s="1477"/>
      <c r="AG33" s="1457" t="str">
        <f t="shared" si="3"/>
        <v>23調査結果-敷地及び地盤-1（5）-調査者番号</v>
      </c>
      <c r="AI33" s="1502"/>
      <c r="AJ33" s="1502"/>
      <c r="AK33" s="1502"/>
      <c r="AL33" s="1508"/>
      <c r="AM33" s="1508"/>
      <c r="AN33" s="1508"/>
      <c r="AO33" s="1508"/>
    </row>
    <row r="34" spans="1:41" ht="18.75" customHeight="1" x14ac:dyDescent="0.15">
      <c r="A34" s="1586"/>
      <c r="B34" s="1509"/>
      <c r="C34" s="1509"/>
      <c r="D34" s="1460">
        <f>'1_入力シート【基本情報】'!$AT$323</f>
        <v>0</v>
      </c>
      <c r="E34" s="1674">
        <f t="shared" si="4"/>
        <v>0</v>
      </c>
      <c r="F34" s="1674" t="str">
        <f t="shared" si="5"/>
        <v>0</v>
      </c>
      <c r="G34" s="1674" t="str">
        <f t="shared" si="6"/>
        <v>0</v>
      </c>
      <c r="H34" s="1542"/>
      <c r="I34" s="1509"/>
      <c r="J34" s="1535"/>
      <c r="K34" s="1509"/>
      <c r="L34" s="1509"/>
      <c r="M34" s="1509"/>
      <c r="N34" s="1509"/>
      <c r="O34" s="1509"/>
      <c r="P34" s="1509"/>
      <c r="Q34" s="1509"/>
      <c r="R34" s="1509"/>
      <c r="S34" s="1509"/>
      <c r="T34" s="1509"/>
      <c r="U34" s="1469">
        <v>23</v>
      </c>
      <c r="V34" s="1486" t="s">
        <v>33</v>
      </c>
      <c r="W34" s="1471" t="s">
        <v>1306</v>
      </c>
      <c r="X34" s="1472" t="s">
        <v>34</v>
      </c>
      <c r="Y34" s="1473" t="s">
        <v>1306</v>
      </c>
      <c r="Z34" s="1504" t="s">
        <v>1408</v>
      </c>
      <c r="AA34" s="1473" t="s">
        <v>1306</v>
      </c>
      <c r="AB34" s="1470" t="s">
        <v>1402</v>
      </c>
      <c r="AC34" s="1490"/>
      <c r="AD34" s="1476"/>
      <c r="AE34" s="1477"/>
      <c r="AF34" s="1477"/>
      <c r="AG34" s="1457" t="str">
        <f t="shared" si="3"/>
        <v>23調査結果-敷地及び地盤-1（5）-指摘の具体的内容等</v>
      </c>
      <c r="AI34" s="1502"/>
      <c r="AJ34" s="1502"/>
      <c r="AK34" s="1502"/>
      <c r="AL34" s="1508"/>
      <c r="AM34" s="1508"/>
      <c r="AN34" s="1508"/>
      <c r="AO34" s="1508"/>
    </row>
    <row r="35" spans="1:41" ht="18.75" customHeight="1" x14ac:dyDescent="0.15">
      <c r="A35" s="1586"/>
      <c r="B35" s="1509"/>
      <c r="C35" s="1509"/>
      <c r="D35" s="1460">
        <f>'1_入力シート【基本情報】'!$BD$323</f>
        <v>0</v>
      </c>
      <c r="E35" s="1674">
        <f t="shared" si="4"/>
        <v>0</v>
      </c>
      <c r="F35" s="1674" t="str">
        <f t="shared" si="5"/>
        <v>0</v>
      </c>
      <c r="G35" s="1674" t="str">
        <f t="shared" si="6"/>
        <v>0</v>
      </c>
      <c r="H35" s="1542"/>
      <c r="I35" s="1509"/>
      <c r="J35" s="1535"/>
      <c r="K35" s="1509"/>
      <c r="L35" s="1509"/>
      <c r="M35" s="1509"/>
      <c r="N35" s="1509"/>
      <c r="O35" s="1509"/>
      <c r="P35" s="1509"/>
      <c r="Q35" s="1509"/>
      <c r="R35" s="1509"/>
      <c r="S35" s="1509"/>
      <c r="T35" s="1509"/>
      <c r="U35" s="1469">
        <v>23</v>
      </c>
      <c r="V35" s="1486" t="s">
        <v>33</v>
      </c>
      <c r="W35" s="1471" t="s">
        <v>1306</v>
      </c>
      <c r="X35" s="1472" t="s">
        <v>34</v>
      </c>
      <c r="Y35" s="1473" t="s">
        <v>1306</v>
      </c>
      <c r="Z35" s="1504" t="s">
        <v>1408</v>
      </c>
      <c r="AA35" s="1473" t="s">
        <v>1306</v>
      </c>
      <c r="AB35" s="1470" t="s">
        <v>1403</v>
      </c>
      <c r="AC35" s="1490"/>
      <c r="AD35" s="1476"/>
      <c r="AE35" s="1477"/>
      <c r="AF35" s="1477"/>
      <c r="AG35" s="1457" t="str">
        <f t="shared" si="3"/>
        <v>23調査結果-敷地及び地盤-1（5）-改善策の具体的内容等</v>
      </c>
      <c r="AI35" s="1502"/>
      <c r="AJ35" s="1502"/>
      <c r="AK35" s="1502"/>
      <c r="AL35" s="1508"/>
      <c r="AM35" s="1508"/>
      <c r="AN35" s="1508"/>
      <c r="AO35" s="1508"/>
    </row>
    <row r="36" spans="1:41" ht="18.75" customHeight="1" x14ac:dyDescent="0.15">
      <c r="A36" s="1586"/>
      <c r="B36" s="1509"/>
      <c r="C36" s="1509"/>
      <c r="D36" s="1460">
        <f>'1_入力シート【基本情報】'!$BS$323</f>
        <v>0</v>
      </c>
      <c r="E36" s="1674">
        <f t="shared" si="4"/>
        <v>0</v>
      </c>
      <c r="F36" s="1674" t="str">
        <f t="shared" si="5"/>
        <v>0</v>
      </c>
      <c r="G36" s="1674" t="str">
        <f t="shared" si="6"/>
        <v>0</v>
      </c>
      <c r="H36" s="1542"/>
      <c r="I36" s="1509"/>
      <c r="J36" s="1535"/>
      <c r="K36" s="1509"/>
      <c r="L36" s="1509"/>
      <c r="M36" s="1509"/>
      <c r="N36" s="1509"/>
      <c r="O36" s="1509"/>
      <c r="P36" s="1509"/>
      <c r="Q36" s="1509"/>
      <c r="R36" s="1509"/>
      <c r="S36" s="1509"/>
      <c r="T36" s="1509"/>
      <c r="U36" s="1469">
        <v>23</v>
      </c>
      <c r="V36" s="1486" t="s">
        <v>33</v>
      </c>
      <c r="W36" s="1471" t="s">
        <v>1306</v>
      </c>
      <c r="X36" s="1472" t="s">
        <v>34</v>
      </c>
      <c r="Y36" s="1473" t="s">
        <v>1306</v>
      </c>
      <c r="Z36" s="1504" t="s">
        <v>1408</v>
      </c>
      <c r="AA36" s="1473" t="s">
        <v>1306</v>
      </c>
      <c r="AB36" s="1470" t="s">
        <v>352</v>
      </c>
      <c r="AC36" s="1490" t="s">
        <v>1366</v>
      </c>
      <c r="AD36" s="1476" t="s">
        <v>1387</v>
      </c>
      <c r="AE36" s="1477"/>
      <c r="AF36" s="1477"/>
      <c r="AG36" s="1457" t="str">
        <f t="shared" si="3"/>
        <v>23調査結果-敷地及び地盤-1（5）-改善（予定）年月-年（令和）</v>
      </c>
      <c r="AI36" s="1502"/>
      <c r="AJ36" s="1502"/>
      <c r="AK36" s="1502"/>
      <c r="AL36" s="1508"/>
      <c r="AM36" s="1508"/>
      <c r="AN36" s="1508"/>
      <c r="AO36" s="1508"/>
    </row>
    <row r="37" spans="1:41" ht="18.75" customHeight="1" x14ac:dyDescent="0.15">
      <c r="A37" s="1586"/>
      <c r="B37" s="1509"/>
      <c r="C37" s="1509"/>
      <c r="D37" s="1460">
        <f>'1_入力シート【基本情報】'!$BV$323</f>
        <v>0</v>
      </c>
      <c r="E37" s="1674">
        <f t="shared" si="4"/>
        <v>0</v>
      </c>
      <c r="F37" s="1674" t="str">
        <f t="shared" si="5"/>
        <v>0</v>
      </c>
      <c r="G37" s="1674" t="str">
        <f t="shared" si="6"/>
        <v>0</v>
      </c>
      <c r="H37" s="1542"/>
      <c r="I37" s="1509"/>
      <c r="J37" s="1535"/>
      <c r="K37" s="1509"/>
      <c r="L37" s="1509"/>
      <c r="M37" s="1509"/>
      <c r="N37" s="1509"/>
      <c r="O37" s="1509"/>
      <c r="P37" s="1509"/>
      <c r="Q37" s="1509"/>
      <c r="R37" s="1509"/>
      <c r="S37" s="1509"/>
      <c r="T37" s="1509"/>
      <c r="U37" s="1469">
        <v>23</v>
      </c>
      <c r="V37" s="1486" t="s">
        <v>33</v>
      </c>
      <c r="W37" s="1471" t="s">
        <v>1306</v>
      </c>
      <c r="X37" s="1472" t="s">
        <v>34</v>
      </c>
      <c r="Y37" s="1473" t="s">
        <v>1306</v>
      </c>
      <c r="Z37" s="1504" t="s">
        <v>1408</v>
      </c>
      <c r="AA37" s="1473" t="s">
        <v>1306</v>
      </c>
      <c r="AB37" s="1470" t="s">
        <v>352</v>
      </c>
      <c r="AC37" s="1490" t="s">
        <v>1366</v>
      </c>
      <c r="AD37" s="1476" t="s">
        <v>348</v>
      </c>
      <c r="AE37" s="1477"/>
      <c r="AF37" s="1477"/>
      <c r="AG37" s="1457" t="str">
        <f t="shared" si="3"/>
        <v>23調査結果-敷地及び地盤-1（5）-改善（予定）年月-月</v>
      </c>
      <c r="AI37" s="1502"/>
      <c r="AJ37" s="1502"/>
      <c r="AK37" s="1502"/>
      <c r="AL37" s="1508"/>
      <c r="AM37" s="1508"/>
      <c r="AN37" s="1508"/>
      <c r="AO37" s="1508"/>
    </row>
    <row r="38" spans="1:41" ht="18.75" customHeight="1" x14ac:dyDescent="0.15">
      <c r="A38" s="1578"/>
      <c r="B38" s="1462"/>
      <c r="C38" s="1462"/>
      <c r="D38" s="1460">
        <f>'1_入力シート【基本情報】'!$BY$323</f>
        <v>0</v>
      </c>
      <c r="E38" s="1650">
        <f t="shared" si="4"/>
        <v>0</v>
      </c>
      <c r="F38" s="1650" t="str">
        <f t="shared" si="5"/>
        <v>0</v>
      </c>
      <c r="G38" s="1650" t="str">
        <f t="shared" si="6"/>
        <v>0</v>
      </c>
      <c r="H38" s="1468"/>
      <c r="I38" s="1462"/>
      <c r="J38" s="1531"/>
      <c r="K38" s="1462"/>
      <c r="L38" s="1462"/>
      <c r="M38" s="1493"/>
      <c r="N38" s="1462"/>
      <c r="O38" s="1462"/>
      <c r="P38" s="1462"/>
      <c r="Q38" s="1462"/>
      <c r="R38" s="1462"/>
      <c r="S38" s="1462"/>
      <c r="T38" s="1462"/>
      <c r="U38" s="1469">
        <v>23</v>
      </c>
      <c r="V38" s="1486" t="s">
        <v>33</v>
      </c>
      <c r="W38" s="1471" t="s">
        <v>1306</v>
      </c>
      <c r="X38" s="1472" t="s">
        <v>34</v>
      </c>
      <c r="Y38" s="1473" t="s">
        <v>1306</v>
      </c>
      <c r="Z38" s="1504" t="s">
        <v>1408</v>
      </c>
      <c r="AA38" s="1473" t="s">
        <v>1306</v>
      </c>
      <c r="AB38" s="1470" t="s">
        <v>352</v>
      </c>
      <c r="AC38" s="1490" t="s">
        <v>1366</v>
      </c>
      <c r="AD38" s="1476" t="s">
        <v>640</v>
      </c>
      <c r="AE38" s="1477"/>
      <c r="AF38" s="1477"/>
      <c r="AG38" s="1457" t="str">
        <f t="shared" si="3"/>
        <v>23調査結果-敷地及び地盤-1（5）-改善（予定）年月-未定</v>
      </c>
      <c r="AI38" s="1502"/>
      <c r="AJ38" s="1502"/>
      <c r="AK38" s="1502"/>
      <c r="AL38" s="1508"/>
      <c r="AM38" s="1508"/>
      <c r="AN38" s="1508"/>
      <c r="AO38" s="1508"/>
    </row>
    <row r="39" spans="1:41" ht="18.75" customHeight="1" x14ac:dyDescent="0.15">
      <c r="A39" s="1586"/>
      <c r="B39" s="1509"/>
      <c r="C39" s="1509"/>
      <c r="D39" s="1460">
        <f>'1_入力シート【基本情報】'!$AF$324</f>
        <v>0</v>
      </c>
      <c r="E39" s="1674">
        <f t="shared" si="4"/>
        <v>0</v>
      </c>
      <c r="F39" s="1674" t="str">
        <f t="shared" si="5"/>
        <v>0</v>
      </c>
      <c r="G39" s="1674" t="str">
        <f t="shared" si="6"/>
        <v>0</v>
      </c>
      <c r="H39" s="1542"/>
      <c r="I39" s="1509"/>
      <c r="J39" s="1535"/>
      <c r="K39" s="1509"/>
      <c r="L39" s="1509"/>
      <c r="M39" s="1509"/>
      <c r="N39" s="1509"/>
      <c r="O39" s="1509"/>
      <c r="P39" s="1509"/>
      <c r="Q39" s="1509"/>
      <c r="R39" s="1509"/>
      <c r="S39" s="1509"/>
      <c r="T39" s="1509"/>
      <c r="U39" s="1469">
        <v>23</v>
      </c>
      <c r="V39" s="1486" t="s">
        <v>33</v>
      </c>
      <c r="W39" s="1471" t="s">
        <v>1306</v>
      </c>
      <c r="X39" s="1472" t="s">
        <v>34</v>
      </c>
      <c r="Y39" s="1473" t="s">
        <v>1306</v>
      </c>
      <c r="Z39" s="1504" t="s">
        <v>1409</v>
      </c>
      <c r="AA39" s="1473" t="s">
        <v>1306</v>
      </c>
      <c r="AB39" s="1470" t="s">
        <v>33</v>
      </c>
      <c r="AC39" s="1490"/>
      <c r="AD39" s="1476"/>
      <c r="AE39" s="1477"/>
      <c r="AF39" s="1477"/>
      <c r="AG39" s="1457" t="str">
        <f t="shared" si="3"/>
        <v>23調査結果-敷地及び地盤-1（6）-調査結果</v>
      </c>
      <c r="AI39" s="1502"/>
      <c r="AJ39" s="1502"/>
      <c r="AK39" s="1502"/>
      <c r="AL39" s="1508"/>
      <c r="AM39" s="1508"/>
      <c r="AN39" s="1508"/>
      <c r="AO39" s="1508"/>
    </row>
    <row r="40" spans="1:41" ht="18.75" customHeight="1" x14ac:dyDescent="0.15">
      <c r="A40" s="1586"/>
      <c r="B40" s="1509"/>
      <c r="C40" s="1509"/>
      <c r="D40" s="1460">
        <f>'1_入力シート【基本情報】'!$AR$324</f>
        <v>0</v>
      </c>
      <c r="E40" s="1674">
        <f t="shared" si="4"/>
        <v>0</v>
      </c>
      <c r="F40" s="1674" t="str">
        <f t="shared" si="5"/>
        <v>0</v>
      </c>
      <c r="G40" s="1674" t="str">
        <f t="shared" si="6"/>
        <v>0</v>
      </c>
      <c r="H40" s="1542"/>
      <c r="I40" s="1509"/>
      <c r="J40" s="1535"/>
      <c r="K40" s="1509"/>
      <c r="L40" s="1509"/>
      <c r="M40" s="1509"/>
      <c r="N40" s="1509"/>
      <c r="O40" s="1509"/>
      <c r="P40" s="1509"/>
      <c r="Q40" s="1509"/>
      <c r="R40" s="1509"/>
      <c r="S40" s="1509"/>
      <c r="T40" s="1509"/>
      <c r="U40" s="1469">
        <v>23</v>
      </c>
      <c r="V40" s="1486" t="s">
        <v>33</v>
      </c>
      <c r="W40" s="1471" t="s">
        <v>1306</v>
      </c>
      <c r="X40" s="1472" t="s">
        <v>34</v>
      </c>
      <c r="Y40" s="1473" t="s">
        <v>1306</v>
      </c>
      <c r="Z40" s="1504" t="s">
        <v>1409</v>
      </c>
      <c r="AA40" s="1473" t="s">
        <v>1306</v>
      </c>
      <c r="AB40" s="1470" t="s">
        <v>30</v>
      </c>
      <c r="AC40" s="1490"/>
      <c r="AD40" s="1476"/>
      <c r="AE40" s="1477"/>
      <c r="AF40" s="1477"/>
      <c r="AG40" s="1457" t="str">
        <f t="shared" si="3"/>
        <v>23調査結果-敷地及び地盤-1（6）-調査者番号</v>
      </c>
      <c r="AI40" s="1502"/>
      <c r="AJ40" s="1502"/>
      <c r="AK40" s="1502"/>
      <c r="AL40" s="1508"/>
      <c r="AM40" s="1508"/>
      <c r="AN40" s="1508"/>
      <c r="AO40" s="1508"/>
    </row>
    <row r="41" spans="1:41" ht="18.75" customHeight="1" x14ac:dyDescent="0.15">
      <c r="A41" s="1586"/>
      <c r="B41" s="1509"/>
      <c r="C41" s="1509"/>
      <c r="D41" s="1460">
        <f>'1_入力シート【基本情報】'!$AT$324</f>
        <v>0</v>
      </c>
      <c r="E41" s="1674">
        <f t="shared" si="4"/>
        <v>0</v>
      </c>
      <c r="F41" s="1674" t="str">
        <f t="shared" si="5"/>
        <v>0</v>
      </c>
      <c r="G41" s="1674" t="str">
        <f t="shared" si="6"/>
        <v>0</v>
      </c>
      <c r="H41" s="1542"/>
      <c r="I41" s="1509"/>
      <c r="J41" s="1535"/>
      <c r="K41" s="1509"/>
      <c r="L41" s="1509"/>
      <c r="M41" s="1509"/>
      <c r="N41" s="1509"/>
      <c r="O41" s="1509"/>
      <c r="P41" s="1509"/>
      <c r="Q41" s="1509"/>
      <c r="R41" s="1509"/>
      <c r="S41" s="1509"/>
      <c r="T41" s="1509"/>
      <c r="U41" s="1469">
        <v>23</v>
      </c>
      <c r="V41" s="1486" t="s">
        <v>33</v>
      </c>
      <c r="W41" s="1471" t="s">
        <v>1306</v>
      </c>
      <c r="X41" s="1472" t="s">
        <v>34</v>
      </c>
      <c r="Y41" s="1473" t="s">
        <v>1306</v>
      </c>
      <c r="Z41" s="1504" t="s">
        <v>1409</v>
      </c>
      <c r="AA41" s="1473" t="s">
        <v>1306</v>
      </c>
      <c r="AB41" s="1470" t="s">
        <v>1402</v>
      </c>
      <c r="AC41" s="1490"/>
      <c r="AD41" s="1476"/>
      <c r="AE41" s="1477"/>
      <c r="AF41" s="1477"/>
      <c r="AG41" s="1457" t="str">
        <f t="shared" si="3"/>
        <v>23調査結果-敷地及び地盤-1（6）-指摘の具体的内容等</v>
      </c>
      <c r="AI41" s="1502"/>
      <c r="AJ41" s="1502"/>
      <c r="AK41" s="1502"/>
      <c r="AL41" s="1508"/>
      <c r="AM41" s="1508"/>
      <c r="AN41" s="1508"/>
      <c r="AO41" s="1508"/>
    </row>
    <row r="42" spans="1:41" ht="18.75" customHeight="1" x14ac:dyDescent="0.15">
      <c r="A42" s="1586"/>
      <c r="B42" s="1509"/>
      <c r="C42" s="1509"/>
      <c r="D42" s="1460">
        <f>'1_入力シート【基本情報】'!$BD$324</f>
        <v>0</v>
      </c>
      <c r="E42" s="1674">
        <f t="shared" si="4"/>
        <v>0</v>
      </c>
      <c r="F42" s="1674" t="str">
        <f t="shared" si="5"/>
        <v>0</v>
      </c>
      <c r="G42" s="1674" t="str">
        <f t="shared" si="6"/>
        <v>0</v>
      </c>
      <c r="H42" s="1542"/>
      <c r="I42" s="1509"/>
      <c r="J42" s="1535"/>
      <c r="K42" s="1509"/>
      <c r="L42" s="1509"/>
      <c r="M42" s="1509"/>
      <c r="N42" s="1509"/>
      <c r="O42" s="1509"/>
      <c r="P42" s="1509"/>
      <c r="Q42" s="1509"/>
      <c r="R42" s="1509"/>
      <c r="S42" s="1509"/>
      <c r="T42" s="1509"/>
      <c r="U42" s="1469">
        <v>23</v>
      </c>
      <c r="V42" s="1486" t="s">
        <v>33</v>
      </c>
      <c r="W42" s="1471" t="s">
        <v>1306</v>
      </c>
      <c r="X42" s="1472" t="s">
        <v>34</v>
      </c>
      <c r="Y42" s="1473" t="s">
        <v>1306</v>
      </c>
      <c r="Z42" s="1504" t="s">
        <v>1409</v>
      </c>
      <c r="AA42" s="1473" t="s">
        <v>1306</v>
      </c>
      <c r="AB42" s="1470" t="s">
        <v>1403</v>
      </c>
      <c r="AC42" s="1490"/>
      <c r="AD42" s="1476"/>
      <c r="AE42" s="1477"/>
      <c r="AF42" s="1477"/>
      <c r="AG42" s="1457" t="str">
        <f t="shared" si="3"/>
        <v>23調査結果-敷地及び地盤-1（6）-改善策の具体的内容等</v>
      </c>
      <c r="AI42" s="1502"/>
      <c r="AJ42" s="1502"/>
      <c r="AK42" s="1502"/>
      <c r="AL42" s="1508"/>
      <c r="AM42" s="1508"/>
      <c r="AN42" s="1508"/>
      <c r="AO42" s="1508"/>
    </row>
    <row r="43" spans="1:41" ht="18.75" customHeight="1" x14ac:dyDescent="0.15">
      <c r="A43" s="1586"/>
      <c r="B43" s="1509"/>
      <c r="C43" s="1509"/>
      <c r="D43" s="1460">
        <f>'1_入力シート【基本情報】'!$BS$324</f>
        <v>0</v>
      </c>
      <c r="E43" s="1674">
        <f t="shared" si="4"/>
        <v>0</v>
      </c>
      <c r="F43" s="1674" t="str">
        <f t="shared" si="5"/>
        <v>0</v>
      </c>
      <c r="G43" s="1674" t="str">
        <f t="shared" si="6"/>
        <v>0</v>
      </c>
      <c r="H43" s="1542"/>
      <c r="I43" s="1509"/>
      <c r="J43" s="1535"/>
      <c r="K43" s="1509"/>
      <c r="L43" s="1509"/>
      <c r="M43" s="1509"/>
      <c r="N43" s="1509"/>
      <c r="O43" s="1509"/>
      <c r="P43" s="1509"/>
      <c r="Q43" s="1509"/>
      <c r="R43" s="1509"/>
      <c r="S43" s="1509"/>
      <c r="T43" s="1509"/>
      <c r="U43" s="1469">
        <v>23</v>
      </c>
      <c r="V43" s="1486" t="s">
        <v>33</v>
      </c>
      <c r="W43" s="1471" t="s">
        <v>1306</v>
      </c>
      <c r="X43" s="1472" t="s">
        <v>34</v>
      </c>
      <c r="Y43" s="1473" t="s">
        <v>1306</v>
      </c>
      <c r="Z43" s="1504" t="s">
        <v>1409</v>
      </c>
      <c r="AA43" s="1473" t="s">
        <v>1306</v>
      </c>
      <c r="AB43" s="1470" t="s">
        <v>352</v>
      </c>
      <c r="AC43" s="1490" t="s">
        <v>1366</v>
      </c>
      <c r="AD43" s="1476" t="s">
        <v>1387</v>
      </c>
      <c r="AE43" s="1477"/>
      <c r="AF43" s="1477"/>
      <c r="AG43" s="1457" t="str">
        <f t="shared" si="3"/>
        <v>23調査結果-敷地及び地盤-1（6）-改善（予定）年月-年（令和）</v>
      </c>
      <c r="AI43" s="1502"/>
      <c r="AJ43" s="1502"/>
      <c r="AK43" s="1502"/>
      <c r="AL43" s="1508"/>
      <c r="AM43" s="1508"/>
      <c r="AN43" s="1508"/>
      <c r="AO43" s="1508"/>
    </row>
    <row r="44" spans="1:41" ht="18.75" customHeight="1" x14ac:dyDescent="0.15">
      <c r="A44" s="1586"/>
      <c r="B44" s="1509"/>
      <c r="C44" s="1509"/>
      <c r="D44" s="1460">
        <f>'1_入力シート【基本情報】'!$BV$324</f>
        <v>0</v>
      </c>
      <c r="E44" s="1674">
        <f t="shared" si="4"/>
        <v>0</v>
      </c>
      <c r="F44" s="1674" t="str">
        <f t="shared" si="5"/>
        <v>0</v>
      </c>
      <c r="G44" s="1674" t="str">
        <f t="shared" si="6"/>
        <v>0</v>
      </c>
      <c r="H44" s="1542"/>
      <c r="I44" s="1509"/>
      <c r="J44" s="1535"/>
      <c r="K44" s="1509"/>
      <c r="L44" s="1509"/>
      <c r="M44" s="1509"/>
      <c r="N44" s="1509"/>
      <c r="O44" s="1509"/>
      <c r="P44" s="1509"/>
      <c r="Q44" s="1509"/>
      <c r="R44" s="1509"/>
      <c r="S44" s="1509"/>
      <c r="T44" s="1509"/>
      <c r="U44" s="1469">
        <v>23</v>
      </c>
      <c r="V44" s="1486" t="s">
        <v>33</v>
      </c>
      <c r="W44" s="1471" t="s">
        <v>1306</v>
      </c>
      <c r="X44" s="1472" t="s">
        <v>34</v>
      </c>
      <c r="Y44" s="1473" t="s">
        <v>1306</v>
      </c>
      <c r="Z44" s="1504" t="s">
        <v>1409</v>
      </c>
      <c r="AA44" s="1473" t="s">
        <v>1306</v>
      </c>
      <c r="AB44" s="1470" t="s">
        <v>352</v>
      </c>
      <c r="AC44" s="1490" t="s">
        <v>1366</v>
      </c>
      <c r="AD44" s="1476" t="s">
        <v>348</v>
      </c>
      <c r="AE44" s="1477"/>
      <c r="AF44" s="1477"/>
      <c r="AG44" s="1457" t="str">
        <f t="shared" si="3"/>
        <v>23調査結果-敷地及び地盤-1（6）-改善（予定）年月-月</v>
      </c>
      <c r="AI44" s="1502"/>
      <c r="AJ44" s="1502"/>
      <c r="AK44" s="1502"/>
      <c r="AL44" s="1508"/>
      <c r="AM44" s="1508"/>
      <c r="AN44" s="1508"/>
      <c r="AO44" s="1508"/>
    </row>
    <row r="45" spans="1:41" ht="18.75" customHeight="1" x14ac:dyDescent="0.15">
      <c r="A45" s="1586"/>
      <c r="B45" s="1509"/>
      <c r="C45" s="1509"/>
      <c r="D45" s="1460">
        <f>'1_入力シート【基本情報】'!$BY$324</f>
        <v>0</v>
      </c>
      <c r="E45" s="1674">
        <f t="shared" si="4"/>
        <v>0</v>
      </c>
      <c r="F45" s="1674" t="str">
        <f t="shared" si="5"/>
        <v>0</v>
      </c>
      <c r="G45" s="1674" t="str">
        <f t="shared" si="6"/>
        <v>0</v>
      </c>
      <c r="H45" s="1542"/>
      <c r="I45" s="1509"/>
      <c r="J45" s="1535"/>
      <c r="K45" s="1509"/>
      <c r="L45" s="1509"/>
      <c r="M45" s="1509"/>
      <c r="N45" s="1509"/>
      <c r="O45" s="1509"/>
      <c r="P45" s="1509"/>
      <c r="Q45" s="1509"/>
      <c r="R45" s="1509"/>
      <c r="S45" s="1509"/>
      <c r="T45" s="1509"/>
      <c r="U45" s="1469">
        <v>23</v>
      </c>
      <c r="V45" s="1486" t="s">
        <v>33</v>
      </c>
      <c r="W45" s="1471" t="s">
        <v>1306</v>
      </c>
      <c r="X45" s="1472" t="s">
        <v>34</v>
      </c>
      <c r="Y45" s="1473" t="s">
        <v>1306</v>
      </c>
      <c r="Z45" s="1504" t="s">
        <v>1409</v>
      </c>
      <c r="AA45" s="1473" t="s">
        <v>1306</v>
      </c>
      <c r="AB45" s="1470" t="s">
        <v>352</v>
      </c>
      <c r="AC45" s="1490" t="s">
        <v>1366</v>
      </c>
      <c r="AD45" s="1476" t="s">
        <v>640</v>
      </c>
      <c r="AE45" s="1477"/>
      <c r="AF45" s="1477"/>
      <c r="AG45" s="1457" t="str">
        <f t="shared" si="3"/>
        <v>23調査結果-敷地及び地盤-1（6）-改善（予定）年月-未定</v>
      </c>
      <c r="AI45" s="1502"/>
      <c r="AJ45" s="1502"/>
      <c r="AK45" s="1502"/>
      <c r="AL45" s="1508"/>
      <c r="AM45" s="1508"/>
      <c r="AN45" s="1508"/>
      <c r="AO45" s="1508"/>
    </row>
    <row r="46" spans="1:41" ht="18.75" customHeight="1" x14ac:dyDescent="0.15">
      <c r="A46" s="1586"/>
      <c r="B46" s="1509"/>
      <c r="C46" s="1509"/>
      <c r="D46" s="1460">
        <f>'1_入力シート【基本情報】'!$AF$325</f>
        <v>0</v>
      </c>
      <c r="E46" s="1674">
        <f t="shared" si="4"/>
        <v>0</v>
      </c>
      <c r="F46" s="1674" t="str">
        <f t="shared" si="5"/>
        <v>0</v>
      </c>
      <c r="G46" s="1674" t="str">
        <f t="shared" si="6"/>
        <v>0</v>
      </c>
      <c r="H46" s="1542"/>
      <c r="I46" s="1509"/>
      <c r="J46" s="1535"/>
      <c r="K46" s="1509"/>
      <c r="L46" s="1509"/>
      <c r="M46" s="1509"/>
      <c r="N46" s="1509"/>
      <c r="O46" s="1509"/>
      <c r="P46" s="1509"/>
      <c r="Q46" s="1509"/>
      <c r="R46" s="1509"/>
      <c r="S46" s="1509"/>
      <c r="T46" s="1509"/>
      <c r="U46" s="1469">
        <v>23</v>
      </c>
      <c r="V46" s="1486" t="s">
        <v>33</v>
      </c>
      <c r="W46" s="1471" t="s">
        <v>1306</v>
      </c>
      <c r="X46" s="1472" t="s">
        <v>34</v>
      </c>
      <c r="Y46" s="1473" t="s">
        <v>1306</v>
      </c>
      <c r="Z46" s="1504" t="s">
        <v>1410</v>
      </c>
      <c r="AA46" s="1473" t="s">
        <v>1306</v>
      </c>
      <c r="AB46" s="1470" t="s">
        <v>33</v>
      </c>
      <c r="AC46" s="1490"/>
      <c r="AD46" s="1476"/>
      <c r="AE46" s="1477"/>
      <c r="AF46" s="1477"/>
      <c r="AG46" s="1457" t="str">
        <f t="shared" si="3"/>
        <v>23調査結果-敷地及び地盤-1（7）-調査結果</v>
      </c>
      <c r="AI46" s="1502"/>
      <c r="AJ46" s="1502"/>
      <c r="AK46" s="1502"/>
      <c r="AL46" s="1508"/>
      <c r="AM46" s="1508"/>
      <c r="AN46" s="1508"/>
      <c r="AO46" s="1508"/>
    </row>
    <row r="47" spans="1:41" ht="18.75" customHeight="1" x14ac:dyDescent="0.15">
      <c r="A47" s="1586"/>
      <c r="B47" s="1509"/>
      <c r="C47" s="1509"/>
      <c r="D47" s="1460">
        <f>'1_入力シート【基本情報】'!$AR$325</f>
        <v>0</v>
      </c>
      <c r="E47" s="1674">
        <f t="shared" si="4"/>
        <v>0</v>
      </c>
      <c r="F47" s="1674" t="str">
        <f t="shared" si="5"/>
        <v>0</v>
      </c>
      <c r="G47" s="1674" t="str">
        <f t="shared" si="6"/>
        <v>0</v>
      </c>
      <c r="H47" s="1542"/>
      <c r="I47" s="1509"/>
      <c r="J47" s="1535"/>
      <c r="K47" s="1509"/>
      <c r="L47" s="1509"/>
      <c r="M47" s="1509"/>
      <c r="N47" s="1509"/>
      <c r="O47" s="1509"/>
      <c r="P47" s="1509"/>
      <c r="Q47" s="1509"/>
      <c r="R47" s="1509"/>
      <c r="S47" s="1509"/>
      <c r="T47" s="1509"/>
      <c r="U47" s="1469">
        <v>23</v>
      </c>
      <c r="V47" s="1486" t="s">
        <v>33</v>
      </c>
      <c r="W47" s="1471" t="s">
        <v>1306</v>
      </c>
      <c r="X47" s="1472" t="s">
        <v>34</v>
      </c>
      <c r="Y47" s="1473" t="s">
        <v>1306</v>
      </c>
      <c r="Z47" s="1504" t="s">
        <v>1410</v>
      </c>
      <c r="AA47" s="1473" t="s">
        <v>1306</v>
      </c>
      <c r="AB47" s="1470" t="s">
        <v>30</v>
      </c>
      <c r="AC47" s="1490"/>
      <c r="AD47" s="1476"/>
      <c r="AE47" s="1477"/>
      <c r="AF47" s="1477"/>
      <c r="AG47" s="1457" t="str">
        <f t="shared" si="3"/>
        <v>23調査結果-敷地及び地盤-1（7）-調査者番号</v>
      </c>
      <c r="AI47" s="1502"/>
      <c r="AJ47" s="1502"/>
      <c r="AK47" s="1502"/>
      <c r="AL47" s="1508"/>
      <c r="AM47" s="1508"/>
      <c r="AN47" s="1508"/>
      <c r="AO47" s="1508"/>
    </row>
    <row r="48" spans="1:41" ht="18.75" customHeight="1" x14ac:dyDescent="0.15">
      <c r="A48" s="1586"/>
      <c r="B48" s="1509"/>
      <c r="C48" s="1509"/>
      <c r="D48" s="1460">
        <f>'1_入力シート【基本情報】'!$AT$325</f>
        <v>0</v>
      </c>
      <c r="E48" s="1674">
        <f t="shared" si="4"/>
        <v>0</v>
      </c>
      <c r="F48" s="1674" t="str">
        <f t="shared" si="5"/>
        <v>0</v>
      </c>
      <c r="G48" s="1674" t="str">
        <f t="shared" si="6"/>
        <v>0</v>
      </c>
      <c r="H48" s="1542"/>
      <c r="I48" s="1509"/>
      <c r="J48" s="1535"/>
      <c r="K48" s="1509"/>
      <c r="L48" s="1509"/>
      <c r="M48" s="1509"/>
      <c r="N48" s="1509"/>
      <c r="O48" s="1509"/>
      <c r="P48" s="1509"/>
      <c r="Q48" s="1509"/>
      <c r="R48" s="1509"/>
      <c r="S48" s="1509"/>
      <c r="T48" s="1509"/>
      <c r="U48" s="1469">
        <v>23</v>
      </c>
      <c r="V48" s="1486" t="s">
        <v>33</v>
      </c>
      <c r="W48" s="1471" t="s">
        <v>1306</v>
      </c>
      <c r="X48" s="1472" t="s">
        <v>34</v>
      </c>
      <c r="Y48" s="1473" t="s">
        <v>1306</v>
      </c>
      <c r="Z48" s="1504" t="s">
        <v>1410</v>
      </c>
      <c r="AA48" s="1473" t="s">
        <v>1306</v>
      </c>
      <c r="AB48" s="1470" t="s">
        <v>1402</v>
      </c>
      <c r="AC48" s="1475"/>
      <c r="AD48" s="1476"/>
      <c r="AE48" s="1477"/>
      <c r="AF48" s="1477"/>
      <c r="AG48" s="1457" t="str">
        <f t="shared" si="3"/>
        <v>23調査結果-敷地及び地盤-1（7）-指摘の具体的内容等</v>
      </c>
      <c r="AI48" s="1502"/>
      <c r="AJ48" s="1502"/>
      <c r="AK48" s="1502"/>
      <c r="AL48" s="1508"/>
      <c r="AM48" s="1508"/>
      <c r="AN48" s="1508"/>
      <c r="AO48" s="1508"/>
    </row>
    <row r="49" spans="1:41" ht="18.75" customHeight="1" x14ac:dyDescent="0.15">
      <c r="A49" s="1586"/>
      <c r="B49" s="1509"/>
      <c r="C49" s="1509"/>
      <c r="D49" s="1460">
        <f>'1_入力シート【基本情報】'!$BD$325</f>
        <v>0</v>
      </c>
      <c r="E49" s="1674">
        <f t="shared" si="4"/>
        <v>0</v>
      </c>
      <c r="F49" s="1674" t="str">
        <f t="shared" si="5"/>
        <v>0</v>
      </c>
      <c r="G49" s="1674" t="str">
        <f t="shared" si="6"/>
        <v>0</v>
      </c>
      <c r="H49" s="1542"/>
      <c r="I49" s="1509"/>
      <c r="J49" s="1535"/>
      <c r="K49" s="1509"/>
      <c r="L49" s="1509"/>
      <c r="M49" s="1509"/>
      <c r="N49" s="1509"/>
      <c r="O49" s="1509"/>
      <c r="P49" s="1509"/>
      <c r="Q49" s="1509"/>
      <c r="R49" s="1509"/>
      <c r="S49" s="1509"/>
      <c r="T49" s="1509"/>
      <c r="U49" s="1469">
        <v>23</v>
      </c>
      <c r="V49" s="1486" t="s">
        <v>33</v>
      </c>
      <c r="W49" s="1471" t="s">
        <v>1306</v>
      </c>
      <c r="X49" s="1472" t="s">
        <v>34</v>
      </c>
      <c r="Y49" s="1473" t="s">
        <v>1306</v>
      </c>
      <c r="Z49" s="1504" t="s">
        <v>1410</v>
      </c>
      <c r="AA49" s="1473" t="s">
        <v>1306</v>
      </c>
      <c r="AB49" s="1470" t="s">
        <v>1403</v>
      </c>
      <c r="AC49" s="1475"/>
      <c r="AD49" s="1476"/>
      <c r="AE49" s="1477"/>
      <c r="AF49" s="1477"/>
      <c r="AG49" s="1457" t="str">
        <f t="shared" si="3"/>
        <v>23調査結果-敷地及び地盤-1（7）-改善策の具体的内容等</v>
      </c>
      <c r="AI49" s="1502"/>
      <c r="AJ49" s="1502"/>
      <c r="AK49" s="1502"/>
      <c r="AL49" s="1508"/>
      <c r="AM49" s="1508"/>
      <c r="AN49" s="1508"/>
      <c r="AO49" s="1508"/>
    </row>
    <row r="50" spans="1:41" ht="18.75" customHeight="1" x14ac:dyDescent="0.15">
      <c r="A50" s="1586"/>
      <c r="B50" s="1509"/>
      <c r="C50" s="1509"/>
      <c r="D50" s="1460">
        <f>'1_入力シート【基本情報】'!$BS$325</f>
        <v>0</v>
      </c>
      <c r="E50" s="1674">
        <f t="shared" si="4"/>
        <v>0</v>
      </c>
      <c r="F50" s="1674" t="str">
        <f t="shared" si="5"/>
        <v>0</v>
      </c>
      <c r="G50" s="1674" t="str">
        <f t="shared" si="6"/>
        <v>0</v>
      </c>
      <c r="H50" s="1542"/>
      <c r="I50" s="1509"/>
      <c r="J50" s="1535"/>
      <c r="K50" s="1509"/>
      <c r="L50" s="1509"/>
      <c r="M50" s="1509"/>
      <c r="N50" s="1509"/>
      <c r="O50" s="1509"/>
      <c r="P50" s="1509"/>
      <c r="Q50" s="1509"/>
      <c r="R50" s="1509"/>
      <c r="S50" s="1509"/>
      <c r="T50" s="1509"/>
      <c r="U50" s="1469">
        <v>23</v>
      </c>
      <c r="V50" s="1486" t="s">
        <v>33</v>
      </c>
      <c r="W50" s="1471" t="s">
        <v>1306</v>
      </c>
      <c r="X50" s="1472" t="s">
        <v>34</v>
      </c>
      <c r="Y50" s="1473" t="s">
        <v>1306</v>
      </c>
      <c r="Z50" s="1504" t="s">
        <v>1410</v>
      </c>
      <c r="AA50" s="1473" t="s">
        <v>1306</v>
      </c>
      <c r="AB50" s="1470" t="s">
        <v>352</v>
      </c>
      <c r="AC50" s="1475" t="s">
        <v>1366</v>
      </c>
      <c r="AD50" s="1476" t="s">
        <v>1387</v>
      </c>
      <c r="AE50" s="1477"/>
      <c r="AF50" s="1477"/>
      <c r="AG50" s="1457" t="str">
        <f t="shared" si="3"/>
        <v>23調査結果-敷地及び地盤-1（7）-改善（予定）年月-年（令和）</v>
      </c>
      <c r="AI50" s="1459"/>
      <c r="AJ50" s="1459"/>
      <c r="AK50" s="1459"/>
    </row>
    <row r="51" spans="1:41" ht="18.75" customHeight="1" x14ac:dyDescent="0.15">
      <c r="A51" s="1586"/>
      <c r="B51" s="1509"/>
      <c r="C51" s="1509"/>
      <c r="D51" s="1460">
        <f>'1_入力シート【基本情報】'!$BV$325</f>
        <v>0</v>
      </c>
      <c r="E51" s="1674">
        <f t="shared" si="4"/>
        <v>0</v>
      </c>
      <c r="F51" s="1674" t="str">
        <f t="shared" si="5"/>
        <v>0</v>
      </c>
      <c r="G51" s="1674" t="str">
        <f t="shared" si="6"/>
        <v>0</v>
      </c>
      <c r="H51" s="1542"/>
      <c r="I51" s="1509"/>
      <c r="J51" s="1535"/>
      <c r="K51" s="1509"/>
      <c r="L51" s="1509"/>
      <c r="M51" s="1509"/>
      <c r="N51" s="1509"/>
      <c r="O51" s="1509"/>
      <c r="P51" s="1509"/>
      <c r="Q51" s="1509"/>
      <c r="R51" s="1509"/>
      <c r="S51" s="1509"/>
      <c r="T51" s="1509"/>
      <c r="U51" s="1469">
        <v>23</v>
      </c>
      <c r="V51" s="1486" t="s">
        <v>33</v>
      </c>
      <c r="W51" s="1471" t="s">
        <v>1306</v>
      </c>
      <c r="X51" s="1472" t="s">
        <v>34</v>
      </c>
      <c r="Y51" s="1473" t="s">
        <v>1306</v>
      </c>
      <c r="Z51" s="1504" t="s">
        <v>1410</v>
      </c>
      <c r="AA51" s="1473" t="s">
        <v>1306</v>
      </c>
      <c r="AB51" s="1470" t="s">
        <v>352</v>
      </c>
      <c r="AC51" s="1475" t="s">
        <v>1366</v>
      </c>
      <c r="AD51" s="1476" t="s">
        <v>348</v>
      </c>
      <c r="AE51" s="1477"/>
      <c r="AF51" s="1477"/>
      <c r="AG51" s="1457" t="str">
        <f t="shared" si="3"/>
        <v>23調査結果-敷地及び地盤-1（7）-改善（予定）年月-月</v>
      </c>
      <c r="AI51" s="1502"/>
      <c r="AJ51" s="1502"/>
      <c r="AK51" s="1502"/>
      <c r="AL51" s="1508"/>
      <c r="AM51" s="1508"/>
      <c r="AN51" s="1508"/>
      <c r="AO51" s="1508"/>
    </row>
    <row r="52" spans="1:41" ht="18.75" customHeight="1" x14ac:dyDescent="0.15">
      <c r="A52" s="1586"/>
      <c r="B52" s="1509"/>
      <c r="C52" s="1509"/>
      <c r="D52" s="1460">
        <f>'1_入力シート【基本情報】'!$BY$325</f>
        <v>0</v>
      </c>
      <c r="E52" s="1674">
        <f t="shared" si="4"/>
        <v>0</v>
      </c>
      <c r="F52" s="1674" t="str">
        <f t="shared" si="5"/>
        <v>0</v>
      </c>
      <c r="G52" s="1674" t="str">
        <f t="shared" si="6"/>
        <v>0</v>
      </c>
      <c r="H52" s="1542"/>
      <c r="I52" s="1509"/>
      <c r="J52" s="1535"/>
      <c r="K52" s="1509"/>
      <c r="L52" s="1509"/>
      <c r="M52" s="1509"/>
      <c r="N52" s="1509"/>
      <c r="O52" s="1509"/>
      <c r="P52" s="1509"/>
      <c r="Q52" s="1509"/>
      <c r="R52" s="1509"/>
      <c r="S52" s="1509"/>
      <c r="T52" s="1509"/>
      <c r="U52" s="1469">
        <v>23</v>
      </c>
      <c r="V52" s="1486" t="s">
        <v>33</v>
      </c>
      <c r="W52" s="1471" t="s">
        <v>1306</v>
      </c>
      <c r="X52" s="1472" t="s">
        <v>34</v>
      </c>
      <c r="Y52" s="1473" t="s">
        <v>1306</v>
      </c>
      <c r="Z52" s="1504" t="s">
        <v>1410</v>
      </c>
      <c r="AA52" s="1473" t="s">
        <v>1306</v>
      </c>
      <c r="AB52" s="1470" t="s">
        <v>352</v>
      </c>
      <c r="AC52" s="1475" t="s">
        <v>1366</v>
      </c>
      <c r="AD52" s="1476" t="s">
        <v>640</v>
      </c>
      <c r="AE52" s="1477"/>
      <c r="AF52" s="1477"/>
      <c r="AG52" s="1457" t="str">
        <f t="shared" si="3"/>
        <v>23調査結果-敷地及び地盤-1（7）-改善（予定）年月-未定</v>
      </c>
      <c r="AI52" s="1502"/>
      <c r="AJ52" s="1502"/>
      <c r="AK52" s="1502"/>
      <c r="AL52" s="1508"/>
      <c r="AM52" s="1508"/>
      <c r="AN52" s="1508"/>
      <c r="AO52" s="1508"/>
    </row>
    <row r="53" spans="1:41" ht="18.75" customHeight="1" x14ac:dyDescent="0.15">
      <c r="A53" s="1586"/>
      <c r="B53" s="1509"/>
      <c r="C53" s="1509"/>
      <c r="D53" s="1460">
        <f>'1_入力シート【基本情報】'!$AF$326</f>
        <v>0</v>
      </c>
      <c r="E53" s="1674">
        <f t="shared" si="4"/>
        <v>0</v>
      </c>
      <c r="F53" s="1674" t="str">
        <f t="shared" si="5"/>
        <v>0</v>
      </c>
      <c r="G53" s="1674" t="str">
        <f t="shared" si="6"/>
        <v>0</v>
      </c>
      <c r="H53" s="1542"/>
      <c r="I53" s="1509"/>
      <c r="J53" s="1535"/>
      <c r="K53" s="1509"/>
      <c r="L53" s="1509"/>
      <c r="M53" s="1509"/>
      <c r="N53" s="1509"/>
      <c r="O53" s="1509"/>
      <c r="P53" s="1509"/>
      <c r="Q53" s="1509"/>
      <c r="R53" s="1509"/>
      <c r="S53" s="1509"/>
      <c r="T53" s="1509"/>
      <c r="U53" s="1469">
        <v>23</v>
      </c>
      <c r="V53" s="1486" t="s">
        <v>33</v>
      </c>
      <c r="W53" s="1471" t="s">
        <v>1306</v>
      </c>
      <c r="X53" s="1472" t="s">
        <v>34</v>
      </c>
      <c r="Y53" s="1473" t="s">
        <v>1306</v>
      </c>
      <c r="Z53" s="1504" t="s">
        <v>1411</v>
      </c>
      <c r="AA53" s="1473" t="s">
        <v>1366</v>
      </c>
      <c r="AB53" s="1470" t="s">
        <v>33</v>
      </c>
      <c r="AC53" s="1475"/>
      <c r="AD53" s="1476"/>
      <c r="AE53" s="1477"/>
      <c r="AF53" s="1477"/>
      <c r="AG53" s="1457" t="str">
        <f t="shared" si="3"/>
        <v>23調査結果-敷地及び地盤-1（8）-調査結果</v>
      </c>
      <c r="AI53" s="1502"/>
      <c r="AJ53" s="1502"/>
      <c r="AK53" s="1502"/>
      <c r="AL53" s="1508"/>
      <c r="AM53" s="1508"/>
      <c r="AN53" s="1508"/>
      <c r="AO53" s="1508"/>
    </row>
    <row r="54" spans="1:41" ht="18.75" customHeight="1" x14ac:dyDescent="0.15">
      <c r="A54" s="1586"/>
      <c r="B54" s="1509"/>
      <c r="C54" s="1509"/>
      <c r="D54" s="1460">
        <f>'1_入力シート【基本情報】'!$AR$326</f>
        <v>0</v>
      </c>
      <c r="E54" s="1674">
        <f t="shared" si="4"/>
        <v>0</v>
      </c>
      <c r="F54" s="1674" t="str">
        <f t="shared" si="5"/>
        <v>0</v>
      </c>
      <c r="G54" s="1674" t="str">
        <f t="shared" si="6"/>
        <v>0</v>
      </c>
      <c r="H54" s="1542"/>
      <c r="I54" s="1509"/>
      <c r="J54" s="1535"/>
      <c r="K54" s="1509"/>
      <c r="L54" s="1509"/>
      <c r="M54" s="1509"/>
      <c r="N54" s="1509"/>
      <c r="O54" s="1509"/>
      <c r="P54" s="1509"/>
      <c r="Q54" s="1509"/>
      <c r="R54" s="1509"/>
      <c r="S54" s="1509"/>
      <c r="T54" s="1509"/>
      <c r="U54" s="1469">
        <v>23</v>
      </c>
      <c r="V54" s="1486" t="s">
        <v>33</v>
      </c>
      <c r="W54" s="1471" t="s">
        <v>1306</v>
      </c>
      <c r="X54" s="1472" t="s">
        <v>34</v>
      </c>
      <c r="Y54" s="1473" t="s">
        <v>1306</v>
      </c>
      <c r="Z54" s="1504" t="s">
        <v>1411</v>
      </c>
      <c r="AA54" s="1473" t="s">
        <v>1366</v>
      </c>
      <c r="AB54" s="1470" t="s">
        <v>30</v>
      </c>
      <c r="AC54" s="1475"/>
      <c r="AD54" s="1476"/>
      <c r="AE54" s="1477"/>
      <c r="AF54" s="1477"/>
      <c r="AG54" s="1457" t="str">
        <f t="shared" si="3"/>
        <v>23調査結果-敷地及び地盤-1（8）-調査者番号</v>
      </c>
      <c r="AI54" s="1502"/>
      <c r="AJ54" s="1502"/>
      <c r="AK54" s="1502"/>
      <c r="AL54" s="1508"/>
      <c r="AM54" s="1508"/>
      <c r="AN54" s="1508"/>
      <c r="AO54" s="1508"/>
    </row>
    <row r="55" spans="1:41" ht="18.75" customHeight="1" x14ac:dyDescent="0.15">
      <c r="A55" s="1586"/>
      <c r="B55" s="1509"/>
      <c r="C55" s="1509"/>
      <c r="D55" s="1460">
        <f>'1_入力シート【基本情報】'!$AT$326</f>
        <v>0</v>
      </c>
      <c r="E55" s="1674">
        <f t="shared" si="4"/>
        <v>0</v>
      </c>
      <c r="F55" s="1674" t="str">
        <f t="shared" si="5"/>
        <v>0</v>
      </c>
      <c r="G55" s="1674" t="str">
        <f t="shared" si="6"/>
        <v>0</v>
      </c>
      <c r="H55" s="1542"/>
      <c r="I55" s="1509"/>
      <c r="J55" s="1535"/>
      <c r="K55" s="1509"/>
      <c r="L55" s="1509"/>
      <c r="M55" s="1509"/>
      <c r="N55" s="1509"/>
      <c r="O55" s="1509"/>
      <c r="P55" s="1509"/>
      <c r="Q55" s="1509"/>
      <c r="R55" s="1509"/>
      <c r="S55" s="1509"/>
      <c r="T55" s="1509"/>
      <c r="U55" s="1469">
        <v>23</v>
      </c>
      <c r="V55" s="1486" t="s">
        <v>33</v>
      </c>
      <c r="W55" s="1471" t="s">
        <v>1306</v>
      </c>
      <c r="X55" s="1472" t="s">
        <v>34</v>
      </c>
      <c r="Y55" s="1473" t="s">
        <v>1306</v>
      </c>
      <c r="Z55" s="1504" t="s">
        <v>1411</v>
      </c>
      <c r="AA55" s="1473" t="s">
        <v>1366</v>
      </c>
      <c r="AB55" s="1470" t="s">
        <v>1402</v>
      </c>
      <c r="AC55" s="1475"/>
      <c r="AD55" s="1500"/>
      <c r="AE55" s="1477"/>
      <c r="AF55" s="1477"/>
      <c r="AG55" s="1457" t="str">
        <f t="shared" si="3"/>
        <v>23調査結果-敷地及び地盤-1（8）-指摘の具体的内容等</v>
      </c>
      <c r="AI55" s="1502"/>
      <c r="AJ55" s="1502"/>
      <c r="AK55" s="1502"/>
      <c r="AL55" s="1508"/>
      <c r="AM55" s="1508"/>
      <c r="AN55" s="1508"/>
      <c r="AO55" s="1508"/>
    </row>
    <row r="56" spans="1:41" ht="18.75" customHeight="1" x14ac:dyDescent="0.15">
      <c r="A56" s="1586"/>
      <c r="B56" s="1509"/>
      <c r="C56" s="1509"/>
      <c r="D56" s="1460">
        <f>'1_入力シート【基本情報】'!$BD$326</f>
        <v>0</v>
      </c>
      <c r="E56" s="1674">
        <f t="shared" si="4"/>
        <v>0</v>
      </c>
      <c r="F56" s="1674" t="str">
        <f t="shared" si="5"/>
        <v>0</v>
      </c>
      <c r="G56" s="1674" t="str">
        <f t="shared" si="6"/>
        <v>0</v>
      </c>
      <c r="H56" s="1542"/>
      <c r="I56" s="1509"/>
      <c r="J56" s="1535"/>
      <c r="K56" s="1509"/>
      <c r="L56" s="1509"/>
      <c r="M56" s="1509"/>
      <c r="N56" s="1509"/>
      <c r="O56" s="1509"/>
      <c r="P56" s="1509"/>
      <c r="Q56" s="1509"/>
      <c r="R56" s="1509"/>
      <c r="S56" s="1509"/>
      <c r="T56" s="1509"/>
      <c r="U56" s="1469">
        <v>23</v>
      </c>
      <c r="V56" s="1486" t="s">
        <v>33</v>
      </c>
      <c r="W56" s="1471" t="s">
        <v>1306</v>
      </c>
      <c r="X56" s="1472" t="s">
        <v>34</v>
      </c>
      <c r="Y56" s="1473" t="s">
        <v>1306</v>
      </c>
      <c r="Z56" s="1504" t="s">
        <v>1411</v>
      </c>
      <c r="AA56" s="1473" t="s">
        <v>1366</v>
      </c>
      <c r="AB56" s="1470" t="s">
        <v>1403</v>
      </c>
      <c r="AC56" s="1475"/>
      <c r="AD56" s="1500"/>
      <c r="AE56" s="1477"/>
      <c r="AF56" s="1477"/>
      <c r="AG56" s="1457" t="str">
        <f t="shared" si="3"/>
        <v>23調査結果-敷地及び地盤-1（8）-改善策の具体的内容等</v>
      </c>
      <c r="AI56" s="1502"/>
      <c r="AJ56" s="1502"/>
      <c r="AK56" s="1502"/>
      <c r="AL56" s="1508"/>
      <c r="AM56" s="1508"/>
      <c r="AN56" s="1508"/>
      <c r="AO56" s="1508"/>
    </row>
    <row r="57" spans="1:41" ht="18.75" customHeight="1" x14ac:dyDescent="0.15">
      <c r="A57" s="1586"/>
      <c r="B57" s="1509"/>
      <c r="C57" s="1509"/>
      <c r="D57" s="1460">
        <f>'1_入力シート【基本情報】'!$BS$326</f>
        <v>0</v>
      </c>
      <c r="E57" s="1674">
        <f t="shared" si="4"/>
        <v>0</v>
      </c>
      <c r="F57" s="1674" t="str">
        <f t="shared" si="5"/>
        <v>0</v>
      </c>
      <c r="G57" s="1674" t="str">
        <f t="shared" si="6"/>
        <v>0</v>
      </c>
      <c r="H57" s="1542"/>
      <c r="I57" s="1509"/>
      <c r="J57" s="1535"/>
      <c r="K57" s="1509"/>
      <c r="L57" s="1509"/>
      <c r="M57" s="1509"/>
      <c r="N57" s="1509"/>
      <c r="O57" s="1509"/>
      <c r="P57" s="1509"/>
      <c r="Q57" s="1509"/>
      <c r="R57" s="1509"/>
      <c r="S57" s="1509"/>
      <c r="T57" s="1509"/>
      <c r="U57" s="1469">
        <v>23</v>
      </c>
      <c r="V57" s="1486" t="s">
        <v>33</v>
      </c>
      <c r="W57" s="1471" t="s">
        <v>1306</v>
      </c>
      <c r="X57" s="1472" t="s">
        <v>34</v>
      </c>
      <c r="Y57" s="1473" t="s">
        <v>1306</v>
      </c>
      <c r="Z57" s="1504" t="s">
        <v>1411</v>
      </c>
      <c r="AA57" s="1473" t="s">
        <v>1366</v>
      </c>
      <c r="AB57" s="1470" t="s">
        <v>352</v>
      </c>
      <c r="AC57" s="1475" t="s">
        <v>1366</v>
      </c>
      <c r="AD57" s="1500" t="s">
        <v>1387</v>
      </c>
      <c r="AE57" s="1477"/>
      <c r="AF57" s="1477"/>
      <c r="AG57" s="1457" t="str">
        <f t="shared" si="3"/>
        <v>23調査結果-敷地及び地盤-1（8）-改善（予定）年月-年（令和）</v>
      </c>
      <c r="AI57" s="1502"/>
      <c r="AJ57" s="1502"/>
      <c r="AK57" s="1502"/>
      <c r="AL57" s="1508"/>
      <c r="AM57" s="1508"/>
      <c r="AN57" s="1508"/>
      <c r="AO57" s="1508"/>
    </row>
    <row r="58" spans="1:41" ht="18.75" customHeight="1" x14ac:dyDescent="0.15">
      <c r="A58" s="1586"/>
      <c r="B58" s="1509"/>
      <c r="C58" s="1509"/>
      <c r="D58" s="1460">
        <f>'1_入力シート【基本情報】'!$BV$326</f>
        <v>0</v>
      </c>
      <c r="E58" s="1674">
        <f t="shared" si="4"/>
        <v>0</v>
      </c>
      <c r="F58" s="1674" t="str">
        <f t="shared" si="5"/>
        <v>0</v>
      </c>
      <c r="G58" s="1674" t="str">
        <f t="shared" si="6"/>
        <v>0</v>
      </c>
      <c r="H58" s="1542"/>
      <c r="I58" s="1509"/>
      <c r="J58" s="1535"/>
      <c r="K58" s="1509"/>
      <c r="L58" s="1509"/>
      <c r="M58" s="1509"/>
      <c r="N58" s="1509"/>
      <c r="O58" s="1509"/>
      <c r="P58" s="1509"/>
      <c r="Q58" s="1509"/>
      <c r="R58" s="1509"/>
      <c r="S58" s="1509"/>
      <c r="T58" s="1509"/>
      <c r="U58" s="1469">
        <v>23</v>
      </c>
      <c r="V58" s="1486" t="s">
        <v>33</v>
      </c>
      <c r="W58" s="1471" t="s">
        <v>1306</v>
      </c>
      <c r="X58" s="1472" t="s">
        <v>34</v>
      </c>
      <c r="Y58" s="1473" t="s">
        <v>1306</v>
      </c>
      <c r="Z58" s="1504" t="s">
        <v>1411</v>
      </c>
      <c r="AA58" s="1473" t="s">
        <v>1366</v>
      </c>
      <c r="AB58" s="1470" t="s">
        <v>352</v>
      </c>
      <c r="AC58" s="1475" t="s">
        <v>1366</v>
      </c>
      <c r="AD58" s="1500" t="s">
        <v>348</v>
      </c>
      <c r="AE58" s="1477"/>
      <c r="AF58" s="1477"/>
      <c r="AG58" s="1457" t="str">
        <f t="shared" si="3"/>
        <v>23調査結果-敷地及び地盤-1（8）-改善（予定）年月-月</v>
      </c>
      <c r="AI58" s="1502"/>
      <c r="AJ58" s="1502"/>
      <c r="AK58" s="1502"/>
      <c r="AL58" s="1508"/>
      <c r="AM58" s="1508"/>
      <c r="AN58" s="1508"/>
      <c r="AO58" s="1508"/>
    </row>
    <row r="59" spans="1:41" ht="18.75" customHeight="1" x14ac:dyDescent="0.15">
      <c r="A59" s="1586"/>
      <c r="B59" s="1509"/>
      <c r="C59" s="1509"/>
      <c r="D59" s="1460">
        <f>'1_入力シート【基本情報】'!$BY$326</f>
        <v>0</v>
      </c>
      <c r="E59" s="1674">
        <f t="shared" si="4"/>
        <v>0</v>
      </c>
      <c r="F59" s="1674" t="str">
        <f t="shared" si="5"/>
        <v>0</v>
      </c>
      <c r="G59" s="1674" t="str">
        <f t="shared" si="6"/>
        <v>0</v>
      </c>
      <c r="H59" s="1542"/>
      <c r="I59" s="1509"/>
      <c r="J59" s="1535"/>
      <c r="K59" s="1509"/>
      <c r="L59" s="1509"/>
      <c r="M59" s="1509"/>
      <c r="N59" s="1509"/>
      <c r="O59" s="1509"/>
      <c r="P59" s="1509"/>
      <c r="Q59" s="1509"/>
      <c r="R59" s="1509"/>
      <c r="S59" s="1509"/>
      <c r="T59" s="1509"/>
      <c r="U59" s="1469">
        <v>23</v>
      </c>
      <c r="V59" s="1486" t="s">
        <v>33</v>
      </c>
      <c r="W59" s="1471" t="s">
        <v>1306</v>
      </c>
      <c r="X59" s="1472" t="s">
        <v>34</v>
      </c>
      <c r="Y59" s="1473" t="s">
        <v>1306</v>
      </c>
      <c r="Z59" s="1504" t="s">
        <v>1411</v>
      </c>
      <c r="AA59" s="1473" t="s">
        <v>1366</v>
      </c>
      <c r="AB59" s="1470" t="s">
        <v>352</v>
      </c>
      <c r="AC59" s="1499" t="s">
        <v>1366</v>
      </c>
      <c r="AD59" s="1500" t="s">
        <v>640</v>
      </c>
      <c r="AE59" s="1477"/>
      <c r="AF59" s="1477"/>
      <c r="AG59" s="1457" t="str">
        <f t="shared" si="3"/>
        <v>23調査結果-敷地及び地盤-1（8）-改善（予定）年月-未定</v>
      </c>
      <c r="AI59" s="1502"/>
      <c r="AJ59" s="1502"/>
      <c r="AK59" s="1502"/>
      <c r="AL59" s="1508"/>
      <c r="AM59" s="1508"/>
      <c r="AN59" s="1508"/>
      <c r="AO59" s="1508"/>
    </row>
    <row r="60" spans="1:41" ht="18.75" customHeight="1" x14ac:dyDescent="0.15">
      <c r="A60" s="1578"/>
      <c r="B60" s="1462"/>
      <c r="C60" s="1462"/>
      <c r="D60" s="1460">
        <f>'1_入力シート【基本情報】'!$AF$327</f>
        <v>0</v>
      </c>
      <c r="E60" s="1650">
        <f t="shared" si="4"/>
        <v>0</v>
      </c>
      <c r="F60" s="1650" t="str">
        <f t="shared" si="5"/>
        <v>0</v>
      </c>
      <c r="G60" s="1650" t="str">
        <f t="shared" si="6"/>
        <v>0</v>
      </c>
      <c r="H60" s="1468"/>
      <c r="I60" s="1462"/>
      <c r="J60" s="1531"/>
      <c r="K60" s="1462"/>
      <c r="L60" s="1462"/>
      <c r="M60" s="1493"/>
      <c r="N60" s="1462"/>
      <c r="O60" s="1462"/>
      <c r="P60" s="1462"/>
      <c r="Q60" s="1462"/>
      <c r="R60" s="1462"/>
      <c r="S60" s="1462"/>
      <c r="T60" s="1462"/>
      <c r="U60" s="1469">
        <v>23</v>
      </c>
      <c r="V60" s="1486" t="s">
        <v>33</v>
      </c>
      <c r="W60" s="1471" t="s">
        <v>1306</v>
      </c>
      <c r="X60" s="1472" t="s">
        <v>34</v>
      </c>
      <c r="Y60" s="1473" t="s">
        <v>1306</v>
      </c>
      <c r="Z60" s="1504" t="s">
        <v>1412</v>
      </c>
      <c r="AA60" s="1473" t="s">
        <v>1306</v>
      </c>
      <c r="AB60" s="1470" t="s">
        <v>33</v>
      </c>
      <c r="AC60" s="1499"/>
      <c r="AD60" s="1500"/>
      <c r="AE60" s="1477"/>
      <c r="AF60" s="1477"/>
      <c r="AG60" s="1457" t="str">
        <f t="shared" si="3"/>
        <v>23調査結果-敷地及び地盤-1（9）-調査結果</v>
      </c>
      <c r="AI60" s="1502"/>
      <c r="AJ60" s="1502"/>
      <c r="AK60" s="1502"/>
      <c r="AL60" s="1508"/>
      <c r="AM60" s="1508"/>
      <c r="AN60" s="1508"/>
      <c r="AO60" s="1508"/>
    </row>
    <row r="61" spans="1:41" ht="18.75" customHeight="1" x14ac:dyDescent="0.15">
      <c r="A61" s="1586"/>
      <c r="B61" s="1509"/>
      <c r="C61" s="1509"/>
      <c r="D61" s="1460">
        <f>'1_入力シート【基本情報】'!$AR$327</f>
        <v>0</v>
      </c>
      <c r="E61" s="1674">
        <f t="shared" si="4"/>
        <v>0</v>
      </c>
      <c r="F61" s="1674" t="str">
        <f t="shared" si="5"/>
        <v>0</v>
      </c>
      <c r="G61" s="1674" t="str">
        <f t="shared" si="6"/>
        <v>0</v>
      </c>
      <c r="H61" s="1542"/>
      <c r="I61" s="1509"/>
      <c r="J61" s="1535"/>
      <c r="K61" s="1509"/>
      <c r="L61" s="1509"/>
      <c r="M61" s="1509"/>
      <c r="N61" s="1509"/>
      <c r="O61" s="1509"/>
      <c r="P61" s="1509"/>
      <c r="Q61" s="1509"/>
      <c r="R61" s="1509"/>
      <c r="S61" s="1509"/>
      <c r="T61" s="1509"/>
      <c r="U61" s="1469">
        <v>23</v>
      </c>
      <c r="V61" s="1486" t="s">
        <v>33</v>
      </c>
      <c r="W61" s="1471" t="s">
        <v>1306</v>
      </c>
      <c r="X61" s="1472" t="s">
        <v>34</v>
      </c>
      <c r="Y61" s="1473" t="s">
        <v>1306</v>
      </c>
      <c r="Z61" s="1504" t="s">
        <v>1412</v>
      </c>
      <c r="AA61" s="1473" t="s">
        <v>1306</v>
      </c>
      <c r="AB61" s="1470" t="s">
        <v>30</v>
      </c>
      <c r="AC61" s="1499"/>
      <c r="AD61" s="1500"/>
      <c r="AE61" s="1477"/>
      <c r="AF61" s="1477"/>
      <c r="AG61" s="1457" t="str">
        <f t="shared" ref="AG61:AG126" si="7">CONCATENATE(U61,V61,W61,X61,Y61,Z61,AA61,AB61,AC61,AD61)</f>
        <v>23調査結果-敷地及び地盤-1（9）-調査者番号</v>
      </c>
      <c r="AI61" s="1502"/>
      <c r="AJ61" s="1502"/>
      <c r="AK61" s="1502"/>
      <c r="AL61" s="1508"/>
      <c r="AM61" s="1508"/>
      <c r="AN61" s="1508"/>
      <c r="AO61" s="1508"/>
    </row>
    <row r="62" spans="1:41" ht="18.75" customHeight="1" x14ac:dyDescent="0.15">
      <c r="A62" s="1586"/>
      <c r="B62" s="1509"/>
      <c r="C62" s="1509"/>
      <c r="D62" s="1460">
        <f>'1_入力シート【基本情報】'!$AT$327</f>
        <v>0</v>
      </c>
      <c r="E62" s="1674">
        <f t="shared" si="4"/>
        <v>0</v>
      </c>
      <c r="F62" s="1674" t="str">
        <f t="shared" si="5"/>
        <v>0</v>
      </c>
      <c r="G62" s="1674" t="str">
        <f t="shared" si="6"/>
        <v>0</v>
      </c>
      <c r="H62" s="1542"/>
      <c r="I62" s="1509"/>
      <c r="J62" s="1535"/>
      <c r="K62" s="1509"/>
      <c r="L62" s="1509"/>
      <c r="M62" s="1509"/>
      <c r="N62" s="1509"/>
      <c r="O62" s="1509"/>
      <c r="P62" s="1509"/>
      <c r="Q62" s="1509"/>
      <c r="R62" s="1509"/>
      <c r="S62" s="1509"/>
      <c r="T62" s="1509"/>
      <c r="U62" s="1469">
        <v>23</v>
      </c>
      <c r="V62" s="1486" t="s">
        <v>33</v>
      </c>
      <c r="W62" s="1471" t="s">
        <v>1306</v>
      </c>
      <c r="X62" s="1472" t="s">
        <v>34</v>
      </c>
      <c r="Y62" s="1473" t="s">
        <v>1306</v>
      </c>
      <c r="Z62" s="1504" t="s">
        <v>1412</v>
      </c>
      <c r="AA62" s="1473" t="s">
        <v>1306</v>
      </c>
      <c r="AB62" s="1470" t="s">
        <v>1402</v>
      </c>
      <c r="AC62" s="1499"/>
      <c r="AD62" s="1500"/>
      <c r="AE62" s="1477"/>
      <c r="AF62" s="1477"/>
      <c r="AG62" s="1457" t="str">
        <f t="shared" si="7"/>
        <v>23調査結果-敷地及び地盤-1（9）-指摘の具体的内容等</v>
      </c>
      <c r="AI62" s="1502"/>
      <c r="AJ62" s="1502"/>
      <c r="AK62" s="1502"/>
      <c r="AL62" s="1508"/>
      <c r="AM62" s="1508"/>
      <c r="AN62" s="1508"/>
      <c r="AO62" s="1508"/>
    </row>
    <row r="63" spans="1:41" ht="18.75" customHeight="1" x14ac:dyDescent="0.15">
      <c r="A63" s="1586"/>
      <c r="B63" s="1509"/>
      <c r="C63" s="1509"/>
      <c r="D63" s="1460">
        <f>'1_入力シート【基本情報】'!$BD$327</f>
        <v>0</v>
      </c>
      <c r="E63" s="1674">
        <f t="shared" si="4"/>
        <v>0</v>
      </c>
      <c r="F63" s="1674" t="str">
        <f t="shared" si="5"/>
        <v>0</v>
      </c>
      <c r="G63" s="1674" t="str">
        <f t="shared" si="6"/>
        <v>0</v>
      </c>
      <c r="H63" s="1542"/>
      <c r="I63" s="1509"/>
      <c r="J63" s="1535"/>
      <c r="K63" s="1509"/>
      <c r="L63" s="1509"/>
      <c r="M63" s="1509"/>
      <c r="N63" s="1509"/>
      <c r="O63" s="1509"/>
      <c r="P63" s="1509"/>
      <c r="Q63" s="1509"/>
      <c r="R63" s="1509"/>
      <c r="S63" s="1509"/>
      <c r="T63" s="1509"/>
      <c r="U63" s="1469">
        <v>23</v>
      </c>
      <c r="V63" s="1486" t="s">
        <v>33</v>
      </c>
      <c r="W63" s="1471" t="s">
        <v>1306</v>
      </c>
      <c r="X63" s="1472" t="s">
        <v>34</v>
      </c>
      <c r="Y63" s="1473" t="s">
        <v>1306</v>
      </c>
      <c r="Z63" s="1504" t="s">
        <v>1412</v>
      </c>
      <c r="AA63" s="1473" t="s">
        <v>1306</v>
      </c>
      <c r="AB63" s="1470" t="s">
        <v>1403</v>
      </c>
      <c r="AC63" s="1499"/>
      <c r="AD63" s="1500"/>
      <c r="AE63" s="1477"/>
      <c r="AF63" s="1477"/>
      <c r="AG63" s="1457" t="str">
        <f t="shared" si="7"/>
        <v>23調査結果-敷地及び地盤-1（9）-改善策の具体的内容等</v>
      </c>
      <c r="AI63" s="1459"/>
      <c r="AJ63" s="1459"/>
      <c r="AK63" s="1459"/>
    </row>
    <row r="64" spans="1:41" ht="18.75" customHeight="1" x14ac:dyDescent="0.15">
      <c r="A64" s="1586"/>
      <c r="B64" s="1509"/>
      <c r="C64" s="1509"/>
      <c r="D64" s="1460">
        <f>'1_入力シート【基本情報】'!$BS$327</f>
        <v>0</v>
      </c>
      <c r="E64" s="1674">
        <f t="shared" si="4"/>
        <v>0</v>
      </c>
      <c r="F64" s="1674" t="str">
        <f t="shared" si="5"/>
        <v>0</v>
      </c>
      <c r="G64" s="1674" t="str">
        <f t="shared" si="6"/>
        <v>0</v>
      </c>
      <c r="H64" s="1542"/>
      <c r="I64" s="1509"/>
      <c r="J64" s="1535"/>
      <c r="K64" s="1509"/>
      <c r="L64" s="1509"/>
      <c r="M64" s="1509"/>
      <c r="N64" s="1509"/>
      <c r="O64" s="1509"/>
      <c r="P64" s="1509"/>
      <c r="Q64" s="1509"/>
      <c r="R64" s="1509"/>
      <c r="S64" s="1509"/>
      <c r="T64" s="1509"/>
      <c r="U64" s="1469">
        <v>23</v>
      </c>
      <c r="V64" s="1486" t="s">
        <v>33</v>
      </c>
      <c r="W64" s="1471" t="s">
        <v>1306</v>
      </c>
      <c r="X64" s="1472" t="s">
        <v>34</v>
      </c>
      <c r="Y64" s="1473" t="s">
        <v>1306</v>
      </c>
      <c r="Z64" s="1504" t="s">
        <v>1412</v>
      </c>
      <c r="AA64" s="1473" t="s">
        <v>1306</v>
      </c>
      <c r="AB64" s="1470" t="s">
        <v>352</v>
      </c>
      <c r="AC64" s="1499" t="s">
        <v>1366</v>
      </c>
      <c r="AD64" s="1500" t="s">
        <v>1387</v>
      </c>
      <c r="AE64" s="1477"/>
      <c r="AF64" s="1477"/>
      <c r="AG64" s="1457" t="str">
        <f t="shared" si="7"/>
        <v>23調査結果-敷地及び地盤-1（9）-改善（予定）年月-年（令和）</v>
      </c>
      <c r="AI64" s="1502"/>
      <c r="AJ64" s="1502"/>
      <c r="AK64" s="1502"/>
      <c r="AL64" s="1508"/>
      <c r="AM64" s="1508"/>
      <c r="AN64" s="1508"/>
      <c r="AO64" s="1508"/>
    </row>
    <row r="65" spans="1:41" ht="18.75" customHeight="1" x14ac:dyDescent="0.15">
      <c r="A65" s="1586"/>
      <c r="B65" s="1509"/>
      <c r="C65" s="1509"/>
      <c r="D65" s="1460">
        <f>'1_入力シート【基本情報】'!$BV$327</f>
        <v>0</v>
      </c>
      <c r="E65" s="1674">
        <f t="shared" si="4"/>
        <v>0</v>
      </c>
      <c r="F65" s="1674" t="str">
        <f t="shared" si="5"/>
        <v>0</v>
      </c>
      <c r="G65" s="1674" t="str">
        <f t="shared" si="6"/>
        <v>0</v>
      </c>
      <c r="H65" s="1542"/>
      <c r="I65" s="1509"/>
      <c r="J65" s="1535"/>
      <c r="K65" s="1509"/>
      <c r="L65" s="1509"/>
      <c r="M65" s="1509"/>
      <c r="N65" s="1509"/>
      <c r="O65" s="1509"/>
      <c r="P65" s="1509"/>
      <c r="Q65" s="1509"/>
      <c r="R65" s="1509"/>
      <c r="S65" s="1509"/>
      <c r="T65" s="1509"/>
      <c r="U65" s="1469">
        <v>23</v>
      </c>
      <c r="V65" s="1486" t="s">
        <v>33</v>
      </c>
      <c r="W65" s="1471" t="s">
        <v>1306</v>
      </c>
      <c r="X65" s="1472" t="s">
        <v>34</v>
      </c>
      <c r="Y65" s="1473" t="s">
        <v>1306</v>
      </c>
      <c r="Z65" s="1504" t="s">
        <v>1412</v>
      </c>
      <c r="AA65" s="1473" t="s">
        <v>1306</v>
      </c>
      <c r="AB65" s="1470" t="s">
        <v>352</v>
      </c>
      <c r="AC65" s="1499" t="s">
        <v>1366</v>
      </c>
      <c r="AD65" s="1500" t="s">
        <v>348</v>
      </c>
      <c r="AE65" s="1477"/>
      <c r="AF65" s="1477"/>
      <c r="AG65" s="1457" t="str">
        <f t="shared" si="7"/>
        <v>23調査結果-敷地及び地盤-1（9）-改善（予定）年月-月</v>
      </c>
      <c r="AI65" s="1502"/>
      <c r="AJ65" s="1502"/>
      <c r="AK65" s="1502"/>
      <c r="AL65" s="1508"/>
      <c r="AM65" s="1508"/>
      <c r="AN65" s="1508"/>
      <c r="AO65" s="1508"/>
    </row>
    <row r="66" spans="1:41" ht="18.75" customHeight="1" x14ac:dyDescent="0.15">
      <c r="A66" s="1586"/>
      <c r="B66" s="1509"/>
      <c r="C66" s="1509"/>
      <c r="D66" s="1460">
        <f>'1_入力シート【基本情報】'!$BY$327</f>
        <v>0</v>
      </c>
      <c r="E66" s="1674">
        <f t="shared" si="4"/>
        <v>0</v>
      </c>
      <c r="F66" s="1674" t="str">
        <f t="shared" si="5"/>
        <v>0</v>
      </c>
      <c r="G66" s="1674" t="str">
        <f t="shared" si="6"/>
        <v>0</v>
      </c>
      <c r="H66" s="1542"/>
      <c r="I66" s="1509"/>
      <c r="J66" s="1535"/>
      <c r="K66" s="1509"/>
      <c r="L66" s="1509"/>
      <c r="M66" s="1509"/>
      <c r="N66" s="1509"/>
      <c r="O66" s="1509"/>
      <c r="P66" s="1509"/>
      <c r="Q66" s="1509"/>
      <c r="R66" s="1509"/>
      <c r="S66" s="1509"/>
      <c r="T66" s="1509"/>
      <c r="U66" s="1469">
        <v>23</v>
      </c>
      <c r="V66" s="1486" t="s">
        <v>33</v>
      </c>
      <c r="W66" s="1471" t="s">
        <v>1306</v>
      </c>
      <c r="X66" s="1472" t="s">
        <v>34</v>
      </c>
      <c r="Y66" s="1473" t="s">
        <v>1306</v>
      </c>
      <c r="Z66" s="1504" t="s">
        <v>1412</v>
      </c>
      <c r="AA66" s="1473" t="s">
        <v>1306</v>
      </c>
      <c r="AB66" s="1470" t="s">
        <v>352</v>
      </c>
      <c r="AC66" s="1499" t="s">
        <v>1366</v>
      </c>
      <c r="AD66" s="1500" t="s">
        <v>640</v>
      </c>
      <c r="AE66" s="1501"/>
      <c r="AF66" s="1501"/>
      <c r="AG66" s="1457" t="str">
        <f t="shared" si="7"/>
        <v>23調査結果-敷地及び地盤-1（9）-改善（予定）年月-未定</v>
      </c>
      <c r="AI66" s="1502"/>
      <c r="AJ66" s="1502"/>
      <c r="AK66" s="1502"/>
      <c r="AL66" s="1508"/>
      <c r="AM66" s="1508"/>
      <c r="AN66" s="1508"/>
      <c r="AO66" s="1508"/>
    </row>
    <row r="67" spans="1:41" ht="18.75" customHeight="1" x14ac:dyDescent="0.15">
      <c r="A67" s="1586"/>
      <c r="B67" s="1509"/>
      <c r="C67" s="1509"/>
      <c r="D67" s="1460">
        <f>'1_入力シート【基本情報】'!$AF$337</f>
        <v>0</v>
      </c>
      <c r="E67" s="1674">
        <f t="shared" si="4"/>
        <v>0</v>
      </c>
      <c r="F67" s="1674" t="str">
        <f t="shared" si="5"/>
        <v>0</v>
      </c>
      <c r="G67" s="1674" t="str">
        <f t="shared" si="6"/>
        <v>0</v>
      </c>
      <c r="H67" s="1542"/>
      <c r="I67" s="1509"/>
      <c r="J67" s="1535"/>
      <c r="K67" s="1509"/>
      <c r="L67" s="1509"/>
      <c r="M67" s="1509"/>
      <c r="N67" s="1509"/>
      <c r="O67" s="1509"/>
      <c r="P67" s="1509"/>
      <c r="Q67" s="1509"/>
      <c r="R67" s="1509"/>
      <c r="S67" s="1509"/>
      <c r="T67" s="1509"/>
      <c r="U67" s="1469">
        <v>23</v>
      </c>
      <c r="V67" s="1486" t="s">
        <v>33</v>
      </c>
      <c r="W67" s="1471" t="s">
        <v>1306</v>
      </c>
      <c r="X67" s="1472" t="s">
        <v>49</v>
      </c>
      <c r="Y67" s="1473" t="s">
        <v>1306</v>
      </c>
      <c r="Z67" s="1504" t="s">
        <v>1413</v>
      </c>
      <c r="AA67" s="1473" t="s">
        <v>1306</v>
      </c>
      <c r="AB67" s="1470" t="s">
        <v>33</v>
      </c>
      <c r="AC67" s="1499"/>
      <c r="AD67" s="1476"/>
      <c r="AE67" s="1501"/>
      <c r="AF67" s="1501"/>
      <c r="AG67" s="1457" t="str">
        <f t="shared" si="7"/>
        <v>23調査結果-建築物の外部-2（1）-調査結果</v>
      </c>
      <c r="AI67" s="1502"/>
      <c r="AJ67" s="1502"/>
      <c r="AK67" s="1502"/>
      <c r="AL67" s="1508"/>
      <c r="AM67" s="1508"/>
      <c r="AN67" s="1508"/>
      <c r="AO67" s="1508"/>
    </row>
    <row r="68" spans="1:41" ht="18.75" customHeight="1" x14ac:dyDescent="0.15">
      <c r="A68" s="1586"/>
      <c r="B68" s="1509"/>
      <c r="C68" s="1509"/>
      <c r="D68" s="1460">
        <f>'1_入力シート【基本情報】'!$AR$337</f>
        <v>0</v>
      </c>
      <c r="E68" s="1674">
        <f t="shared" si="4"/>
        <v>0</v>
      </c>
      <c r="F68" s="1674" t="str">
        <f t="shared" si="5"/>
        <v>0</v>
      </c>
      <c r="G68" s="1674" t="str">
        <f t="shared" si="6"/>
        <v>0</v>
      </c>
      <c r="H68" s="1542"/>
      <c r="I68" s="1509"/>
      <c r="J68" s="1535"/>
      <c r="K68" s="1509"/>
      <c r="L68" s="1509"/>
      <c r="M68" s="1509"/>
      <c r="N68" s="1509"/>
      <c r="O68" s="1509"/>
      <c r="P68" s="1509"/>
      <c r="Q68" s="1509"/>
      <c r="R68" s="1509"/>
      <c r="S68" s="1509"/>
      <c r="T68" s="1509"/>
      <c r="U68" s="1469">
        <v>23</v>
      </c>
      <c r="V68" s="1486" t="s">
        <v>33</v>
      </c>
      <c r="W68" s="1471" t="s">
        <v>1306</v>
      </c>
      <c r="X68" s="1472" t="s">
        <v>49</v>
      </c>
      <c r="Y68" s="1473" t="s">
        <v>1306</v>
      </c>
      <c r="Z68" s="1504" t="s">
        <v>1413</v>
      </c>
      <c r="AA68" s="1473" t="s">
        <v>1306</v>
      </c>
      <c r="AB68" s="1470" t="s">
        <v>30</v>
      </c>
      <c r="AC68" s="1499"/>
      <c r="AD68" s="1500"/>
      <c r="AE68" s="1501"/>
      <c r="AF68" s="1501"/>
      <c r="AG68" s="1457" t="str">
        <f t="shared" si="7"/>
        <v>23調査結果-建築物の外部-2（1）-調査者番号</v>
      </c>
      <c r="AI68" s="1502"/>
      <c r="AJ68" s="1502"/>
      <c r="AK68" s="1502"/>
      <c r="AL68" s="1508"/>
      <c r="AM68" s="1508"/>
      <c r="AN68" s="1508"/>
      <c r="AO68" s="1508"/>
    </row>
    <row r="69" spans="1:41" ht="18.75" customHeight="1" x14ac:dyDescent="0.15">
      <c r="A69" s="1586"/>
      <c r="B69" s="1509"/>
      <c r="C69" s="1509"/>
      <c r="D69" s="1460">
        <f>'1_入力シート【基本情報】'!$AT$337</f>
        <v>0</v>
      </c>
      <c r="E69" s="1674">
        <f t="shared" si="4"/>
        <v>0</v>
      </c>
      <c r="F69" s="1674" t="str">
        <f t="shared" si="5"/>
        <v>0</v>
      </c>
      <c r="G69" s="1674" t="str">
        <f t="shared" si="6"/>
        <v>0</v>
      </c>
      <c r="H69" s="1542"/>
      <c r="I69" s="1509"/>
      <c r="J69" s="1535"/>
      <c r="K69" s="1509"/>
      <c r="L69" s="1509"/>
      <c r="M69" s="1509"/>
      <c r="N69" s="1509"/>
      <c r="O69" s="1509"/>
      <c r="P69" s="1509"/>
      <c r="Q69" s="1509"/>
      <c r="R69" s="1509"/>
      <c r="S69" s="1509"/>
      <c r="T69" s="1509"/>
      <c r="U69" s="1469">
        <v>23</v>
      </c>
      <c r="V69" s="1486" t="s">
        <v>33</v>
      </c>
      <c r="W69" s="1471" t="s">
        <v>1306</v>
      </c>
      <c r="X69" s="1472" t="s">
        <v>49</v>
      </c>
      <c r="Y69" s="1473" t="s">
        <v>1306</v>
      </c>
      <c r="Z69" s="1504" t="s">
        <v>1413</v>
      </c>
      <c r="AA69" s="1473" t="s">
        <v>1306</v>
      </c>
      <c r="AB69" s="1470" t="s">
        <v>1402</v>
      </c>
      <c r="AC69" s="1499"/>
      <c r="AD69" s="1500"/>
      <c r="AE69" s="1501"/>
      <c r="AF69" s="1501"/>
      <c r="AG69" s="1457" t="str">
        <f t="shared" si="7"/>
        <v>23調査結果-建築物の外部-2（1）-指摘の具体的内容等</v>
      </c>
      <c r="AI69" s="1502"/>
      <c r="AJ69" s="1502"/>
      <c r="AK69" s="1502"/>
      <c r="AL69" s="1508"/>
      <c r="AM69" s="1508"/>
      <c r="AN69" s="1508"/>
      <c r="AO69" s="1508"/>
    </row>
    <row r="70" spans="1:41" ht="18.75" customHeight="1" x14ac:dyDescent="0.15">
      <c r="A70" s="1586"/>
      <c r="B70" s="1509"/>
      <c r="C70" s="1509"/>
      <c r="D70" s="1460">
        <f>'1_入力シート【基本情報】'!$BD$337</f>
        <v>0</v>
      </c>
      <c r="E70" s="1674">
        <f t="shared" si="4"/>
        <v>0</v>
      </c>
      <c r="F70" s="1674" t="str">
        <f t="shared" si="5"/>
        <v>0</v>
      </c>
      <c r="G70" s="1674" t="str">
        <f t="shared" si="6"/>
        <v>0</v>
      </c>
      <c r="H70" s="1542"/>
      <c r="I70" s="1509"/>
      <c r="J70" s="1535"/>
      <c r="K70" s="1509"/>
      <c r="L70" s="1509"/>
      <c r="M70" s="1509"/>
      <c r="N70" s="1509"/>
      <c r="O70" s="1509"/>
      <c r="P70" s="1509"/>
      <c r="Q70" s="1509"/>
      <c r="R70" s="1509"/>
      <c r="S70" s="1509"/>
      <c r="T70" s="1509"/>
      <c r="U70" s="1469">
        <v>23</v>
      </c>
      <c r="V70" s="1486" t="s">
        <v>33</v>
      </c>
      <c r="W70" s="1471" t="s">
        <v>1306</v>
      </c>
      <c r="X70" s="1472" t="s">
        <v>49</v>
      </c>
      <c r="Y70" s="1473" t="s">
        <v>1306</v>
      </c>
      <c r="Z70" s="1504" t="s">
        <v>1413</v>
      </c>
      <c r="AA70" s="1473" t="s">
        <v>1306</v>
      </c>
      <c r="AB70" s="1470" t="s">
        <v>1403</v>
      </c>
      <c r="AC70" s="1499"/>
      <c r="AD70" s="1500"/>
      <c r="AE70" s="1501"/>
      <c r="AF70" s="1501"/>
      <c r="AG70" s="1457" t="str">
        <f t="shared" si="7"/>
        <v>23調査結果-建築物の外部-2（1）-改善策の具体的内容等</v>
      </c>
      <c r="AI70" s="1502"/>
      <c r="AJ70" s="1502"/>
      <c r="AK70" s="1502"/>
      <c r="AL70" s="1508"/>
      <c r="AM70" s="1508"/>
      <c r="AN70" s="1508"/>
      <c r="AO70" s="1508"/>
    </row>
    <row r="71" spans="1:41" ht="18.75" customHeight="1" x14ac:dyDescent="0.15">
      <c r="A71" s="1586"/>
      <c r="B71" s="1509"/>
      <c r="C71" s="1509"/>
      <c r="D71" s="1460">
        <f>'1_入力シート【基本情報】'!$BS$337</f>
        <v>0</v>
      </c>
      <c r="E71" s="1674">
        <f t="shared" si="4"/>
        <v>0</v>
      </c>
      <c r="F71" s="1674" t="str">
        <f t="shared" si="5"/>
        <v>0</v>
      </c>
      <c r="G71" s="1674" t="str">
        <f t="shared" si="6"/>
        <v>0</v>
      </c>
      <c r="H71" s="1542"/>
      <c r="I71" s="1509"/>
      <c r="J71" s="1535"/>
      <c r="K71" s="1509"/>
      <c r="L71" s="1509"/>
      <c r="M71" s="1509"/>
      <c r="N71" s="1509"/>
      <c r="O71" s="1509"/>
      <c r="P71" s="1509"/>
      <c r="Q71" s="1509"/>
      <c r="R71" s="1509"/>
      <c r="S71" s="1509"/>
      <c r="T71" s="1509"/>
      <c r="U71" s="1469">
        <v>23</v>
      </c>
      <c r="V71" s="1486" t="s">
        <v>33</v>
      </c>
      <c r="W71" s="1471" t="s">
        <v>1306</v>
      </c>
      <c r="X71" s="1472" t="s">
        <v>49</v>
      </c>
      <c r="Y71" s="1473" t="s">
        <v>1306</v>
      </c>
      <c r="Z71" s="1504" t="s">
        <v>1413</v>
      </c>
      <c r="AA71" s="1473" t="s">
        <v>1306</v>
      </c>
      <c r="AB71" s="1470" t="s">
        <v>352</v>
      </c>
      <c r="AC71" s="1499" t="s">
        <v>1366</v>
      </c>
      <c r="AD71" s="1500" t="s">
        <v>1387</v>
      </c>
      <c r="AE71" s="1501"/>
      <c r="AF71" s="1501"/>
      <c r="AG71" s="1457" t="str">
        <f t="shared" si="7"/>
        <v>23調査結果-建築物の外部-2（1）-改善（予定）年月-年（令和）</v>
      </c>
      <c r="AI71" s="1502"/>
      <c r="AJ71" s="1502"/>
      <c r="AK71" s="1502"/>
      <c r="AL71" s="1508"/>
      <c r="AM71" s="1508"/>
      <c r="AN71" s="1508"/>
      <c r="AO71" s="1508"/>
    </row>
    <row r="72" spans="1:41" ht="18.75" customHeight="1" x14ac:dyDescent="0.15">
      <c r="A72" s="1586"/>
      <c r="B72" s="1509"/>
      <c r="C72" s="1509"/>
      <c r="D72" s="1460">
        <f>'1_入力シート【基本情報】'!$BV$337</f>
        <v>0</v>
      </c>
      <c r="E72" s="1674">
        <f t="shared" si="4"/>
        <v>0</v>
      </c>
      <c r="F72" s="1674" t="str">
        <f t="shared" si="5"/>
        <v>0</v>
      </c>
      <c r="G72" s="1674" t="str">
        <f t="shared" si="6"/>
        <v>0</v>
      </c>
      <c r="H72" s="1542"/>
      <c r="I72" s="1509"/>
      <c r="J72" s="1535"/>
      <c r="K72" s="1509"/>
      <c r="L72" s="1509"/>
      <c r="M72" s="1509"/>
      <c r="N72" s="1509"/>
      <c r="O72" s="1509"/>
      <c r="P72" s="1509"/>
      <c r="Q72" s="1509"/>
      <c r="R72" s="1509"/>
      <c r="S72" s="1509"/>
      <c r="T72" s="1509"/>
      <c r="U72" s="1469">
        <v>23</v>
      </c>
      <c r="V72" s="1486" t="s">
        <v>33</v>
      </c>
      <c r="W72" s="1471" t="s">
        <v>1306</v>
      </c>
      <c r="X72" s="1472" t="s">
        <v>49</v>
      </c>
      <c r="Y72" s="1473" t="s">
        <v>1306</v>
      </c>
      <c r="Z72" s="1504" t="s">
        <v>1413</v>
      </c>
      <c r="AA72" s="1473" t="s">
        <v>1306</v>
      </c>
      <c r="AB72" s="1470" t="s">
        <v>352</v>
      </c>
      <c r="AC72" s="1499" t="s">
        <v>1366</v>
      </c>
      <c r="AD72" s="1500" t="s">
        <v>348</v>
      </c>
      <c r="AE72" s="1501"/>
      <c r="AF72" s="1501"/>
      <c r="AG72" s="1457" t="str">
        <f t="shared" si="7"/>
        <v>23調査結果-建築物の外部-2（1）-改善（予定）年月-月</v>
      </c>
      <c r="AI72" s="1502"/>
      <c r="AJ72" s="1502"/>
      <c r="AK72" s="1502"/>
      <c r="AL72" s="1508"/>
      <c r="AM72" s="1508"/>
      <c r="AN72" s="1508"/>
      <c r="AO72" s="1508"/>
    </row>
    <row r="73" spans="1:41" ht="18.75" customHeight="1" x14ac:dyDescent="0.15">
      <c r="A73" s="1578"/>
      <c r="B73" s="1462"/>
      <c r="C73" s="1462"/>
      <c r="D73" s="1460">
        <f>'1_入力シート【基本情報】'!$BY$337</f>
        <v>0</v>
      </c>
      <c r="E73" s="1650">
        <f t="shared" si="4"/>
        <v>0</v>
      </c>
      <c r="F73" s="1650" t="str">
        <f t="shared" si="5"/>
        <v>0</v>
      </c>
      <c r="G73" s="1650" t="str">
        <f t="shared" si="6"/>
        <v>0</v>
      </c>
      <c r="H73" s="1468"/>
      <c r="I73" s="1462"/>
      <c r="J73" s="1531"/>
      <c r="K73" s="1462"/>
      <c r="L73" s="1462"/>
      <c r="M73" s="1493"/>
      <c r="N73" s="1462"/>
      <c r="O73" s="1462"/>
      <c r="P73" s="1462"/>
      <c r="Q73" s="1462"/>
      <c r="R73" s="1462"/>
      <c r="S73" s="1462"/>
      <c r="T73" s="1462"/>
      <c r="U73" s="1469">
        <v>23</v>
      </c>
      <c r="V73" s="1486" t="s">
        <v>33</v>
      </c>
      <c r="W73" s="1471" t="s">
        <v>1306</v>
      </c>
      <c r="X73" s="1472" t="s">
        <v>49</v>
      </c>
      <c r="Y73" s="1473" t="s">
        <v>1306</v>
      </c>
      <c r="Z73" s="1504" t="s">
        <v>1413</v>
      </c>
      <c r="AA73" s="1473" t="s">
        <v>1306</v>
      </c>
      <c r="AB73" s="1470" t="s">
        <v>352</v>
      </c>
      <c r="AC73" s="1499" t="s">
        <v>1366</v>
      </c>
      <c r="AD73" s="1500" t="s">
        <v>640</v>
      </c>
      <c r="AE73" s="1501"/>
      <c r="AF73" s="1501"/>
      <c r="AG73" s="1457" t="str">
        <f t="shared" si="7"/>
        <v>23調査結果-建築物の外部-2（1）-改善（予定）年月-未定</v>
      </c>
      <c r="AI73" s="1502"/>
      <c r="AJ73" s="1502"/>
      <c r="AK73" s="1502"/>
      <c r="AL73" s="1508"/>
      <c r="AM73" s="1508"/>
      <c r="AN73" s="1508"/>
      <c r="AO73" s="1508"/>
    </row>
    <row r="74" spans="1:41" ht="18.75" customHeight="1" x14ac:dyDescent="0.15">
      <c r="A74" s="1586"/>
      <c r="B74" s="1509"/>
      <c r="C74" s="1509"/>
      <c r="D74" s="1460">
        <f>'1_入力シート【基本情報】'!$AF$338</f>
        <v>0</v>
      </c>
      <c r="E74" s="1674">
        <f t="shared" si="4"/>
        <v>0</v>
      </c>
      <c r="F74" s="1674" t="str">
        <f t="shared" si="5"/>
        <v>0</v>
      </c>
      <c r="G74" s="1674" t="str">
        <f t="shared" si="6"/>
        <v>0</v>
      </c>
      <c r="H74" s="1542"/>
      <c r="I74" s="1509"/>
      <c r="J74" s="1535"/>
      <c r="K74" s="1509"/>
      <c r="L74" s="1509"/>
      <c r="M74" s="1509"/>
      <c r="N74" s="1509"/>
      <c r="O74" s="1509"/>
      <c r="P74" s="1509"/>
      <c r="Q74" s="1509"/>
      <c r="R74" s="1509"/>
      <c r="S74" s="1509"/>
      <c r="T74" s="1509"/>
      <c r="U74" s="1469">
        <v>23</v>
      </c>
      <c r="V74" s="1486" t="s">
        <v>33</v>
      </c>
      <c r="W74" s="1471" t="s">
        <v>1306</v>
      </c>
      <c r="X74" s="1472" t="s">
        <v>49</v>
      </c>
      <c r="Y74" s="1473" t="s">
        <v>1306</v>
      </c>
      <c r="Z74" s="1504" t="s">
        <v>1414</v>
      </c>
      <c r="AA74" s="1473" t="s">
        <v>1306</v>
      </c>
      <c r="AB74" s="1470" t="s">
        <v>33</v>
      </c>
      <c r="AC74" s="1499"/>
      <c r="AD74" s="1500"/>
      <c r="AE74" s="1501"/>
      <c r="AF74" s="1501"/>
      <c r="AG74" s="1457" t="str">
        <f t="shared" si="7"/>
        <v>23調査結果-建築物の外部-2（2）-調査結果</v>
      </c>
      <c r="AI74" s="1502"/>
      <c r="AJ74" s="1502"/>
      <c r="AK74" s="1502"/>
      <c r="AL74" s="1508"/>
      <c r="AM74" s="1508"/>
      <c r="AN74" s="1508"/>
      <c r="AO74" s="1508"/>
    </row>
    <row r="75" spans="1:41" ht="18.75" customHeight="1" x14ac:dyDescent="0.15">
      <c r="A75" s="1586"/>
      <c r="B75" s="1509"/>
      <c r="C75" s="1509"/>
      <c r="D75" s="1460">
        <f>'1_入力シート【基本情報】'!$AR$338</f>
        <v>0</v>
      </c>
      <c r="E75" s="1674">
        <f t="shared" si="4"/>
        <v>0</v>
      </c>
      <c r="F75" s="1674" t="str">
        <f t="shared" si="5"/>
        <v>0</v>
      </c>
      <c r="G75" s="1674" t="str">
        <f t="shared" si="6"/>
        <v>0</v>
      </c>
      <c r="H75" s="1542"/>
      <c r="I75" s="1509"/>
      <c r="J75" s="1535"/>
      <c r="K75" s="1509"/>
      <c r="L75" s="1509"/>
      <c r="M75" s="1509"/>
      <c r="N75" s="1509"/>
      <c r="O75" s="1509"/>
      <c r="P75" s="1509"/>
      <c r="Q75" s="1509"/>
      <c r="R75" s="1509"/>
      <c r="S75" s="1509"/>
      <c r="T75" s="1509"/>
      <c r="U75" s="1469">
        <v>23</v>
      </c>
      <c r="V75" s="1486" t="s">
        <v>33</v>
      </c>
      <c r="W75" s="1471" t="s">
        <v>1306</v>
      </c>
      <c r="X75" s="1472" t="s">
        <v>49</v>
      </c>
      <c r="Y75" s="1473" t="s">
        <v>1306</v>
      </c>
      <c r="Z75" s="1504" t="s">
        <v>1414</v>
      </c>
      <c r="AA75" s="1473" t="s">
        <v>1306</v>
      </c>
      <c r="AB75" s="1470" t="s">
        <v>30</v>
      </c>
      <c r="AC75" s="1475"/>
      <c r="AD75" s="1500"/>
      <c r="AE75" s="1501"/>
      <c r="AF75" s="1501"/>
      <c r="AG75" s="1457" t="str">
        <f t="shared" si="7"/>
        <v>23調査結果-建築物の外部-2（2）-調査者番号</v>
      </c>
      <c r="AI75" s="1502"/>
      <c r="AJ75" s="1502"/>
      <c r="AK75" s="1502"/>
      <c r="AL75" s="1508"/>
      <c r="AM75" s="1508"/>
      <c r="AN75" s="1508"/>
      <c r="AO75" s="1508"/>
    </row>
    <row r="76" spans="1:41" ht="18.75" customHeight="1" x14ac:dyDescent="0.15">
      <c r="A76" s="1586"/>
      <c r="B76" s="1509"/>
      <c r="C76" s="1509"/>
      <c r="D76" s="1460">
        <f>'1_入力シート【基本情報】'!$AT$338</f>
        <v>0</v>
      </c>
      <c r="E76" s="1674">
        <f t="shared" si="4"/>
        <v>0</v>
      </c>
      <c r="F76" s="1674" t="str">
        <f t="shared" si="5"/>
        <v>0</v>
      </c>
      <c r="G76" s="1674" t="str">
        <f t="shared" si="6"/>
        <v>0</v>
      </c>
      <c r="H76" s="1542"/>
      <c r="I76" s="1509"/>
      <c r="J76" s="1535"/>
      <c r="K76" s="1509"/>
      <c r="L76" s="1509"/>
      <c r="M76" s="1509"/>
      <c r="N76" s="1509"/>
      <c r="O76" s="1509"/>
      <c r="P76" s="1509"/>
      <c r="Q76" s="1509"/>
      <c r="R76" s="1509"/>
      <c r="S76" s="1509"/>
      <c r="T76" s="1509"/>
      <c r="U76" s="1469">
        <v>23</v>
      </c>
      <c r="V76" s="1486" t="s">
        <v>33</v>
      </c>
      <c r="W76" s="1471" t="s">
        <v>1306</v>
      </c>
      <c r="X76" s="1472" t="s">
        <v>49</v>
      </c>
      <c r="Y76" s="1473" t="s">
        <v>1306</v>
      </c>
      <c r="Z76" s="1504" t="s">
        <v>1414</v>
      </c>
      <c r="AA76" s="1473" t="s">
        <v>1306</v>
      </c>
      <c r="AB76" s="1470" t="s">
        <v>1402</v>
      </c>
      <c r="AC76" s="1499"/>
      <c r="AD76" s="1500"/>
      <c r="AE76" s="1501"/>
      <c r="AF76" s="1501"/>
      <c r="AG76" s="1457" t="str">
        <f t="shared" si="7"/>
        <v>23調査結果-建築物の外部-2（2）-指摘の具体的内容等</v>
      </c>
      <c r="AI76" s="1502"/>
      <c r="AJ76" s="1502"/>
      <c r="AK76" s="1502"/>
      <c r="AL76" s="1508"/>
      <c r="AM76" s="1508"/>
      <c r="AN76" s="1508"/>
      <c r="AO76" s="1508"/>
    </row>
    <row r="77" spans="1:41" ht="18.75" customHeight="1" x14ac:dyDescent="0.15">
      <c r="A77" s="1586"/>
      <c r="B77" s="1509"/>
      <c r="C77" s="1509"/>
      <c r="D77" s="1460">
        <f>'1_入力シート【基本情報】'!$BD$338</f>
        <v>0</v>
      </c>
      <c r="E77" s="1674">
        <f t="shared" si="4"/>
        <v>0</v>
      </c>
      <c r="F77" s="1674" t="str">
        <f t="shared" si="5"/>
        <v>0</v>
      </c>
      <c r="G77" s="1674" t="str">
        <f t="shared" si="6"/>
        <v>0</v>
      </c>
      <c r="H77" s="1542"/>
      <c r="I77" s="1509"/>
      <c r="J77" s="1535"/>
      <c r="K77" s="1509"/>
      <c r="L77" s="1509"/>
      <c r="M77" s="1509"/>
      <c r="N77" s="1509"/>
      <c r="O77" s="1509"/>
      <c r="P77" s="1509"/>
      <c r="Q77" s="1509"/>
      <c r="R77" s="1509"/>
      <c r="S77" s="1509"/>
      <c r="T77" s="1509"/>
      <c r="U77" s="1469">
        <v>23</v>
      </c>
      <c r="V77" s="1486" t="s">
        <v>33</v>
      </c>
      <c r="W77" s="1471" t="s">
        <v>1306</v>
      </c>
      <c r="X77" s="1472" t="s">
        <v>49</v>
      </c>
      <c r="Y77" s="1473" t="s">
        <v>1306</v>
      </c>
      <c r="Z77" s="1504" t="s">
        <v>1414</v>
      </c>
      <c r="AA77" s="1473" t="s">
        <v>1306</v>
      </c>
      <c r="AB77" s="1470" t="s">
        <v>1403</v>
      </c>
      <c r="AC77" s="1499"/>
      <c r="AD77" s="1500"/>
      <c r="AE77" s="1501"/>
      <c r="AF77" s="1501"/>
      <c r="AG77" s="1457" t="str">
        <f t="shared" si="7"/>
        <v>23調査結果-建築物の外部-2（2）-改善策の具体的内容等</v>
      </c>
      <c r="AI77" s="1502"/>
      <c r="AJ77" s="1502"/>
      <c r="AK77" s="1502"/>
      <c r="AL77" s="1508"/>
      <c r="AM77" s="1508"/>
      <c r="AN77" s="1508"/>
      <c r="AO77" s="1508"/>
    </row>
    <row r="78" spans="1:41" ht="18.75" customHeight="1" x14ac:dyDescent="0.15">
      <c r="A78" s="1586"/>
      <c r="B78" s="1509"/>
      <c r="C78" s="1509"/>
      <c r="D78" s="1460">
        <f>'1_入力シート【基本情報】'!$BS$338</f>
        <v>0</v>
      </c>
      <c r="E78" s="1674">
        <f t="shared" si="4"/>
        <v>0</v>
      </c>
      <c r="F78" s="1674" t="str">
        <f t="shared" si="5"/>
        <v>0</v>
      </c>
      <c r="G78" s="1674" t="str">
        <f t="shared" si="6"/>
        <v>0</v>
      </c>
      <c r="H78" s="1542"/>
      <c r="I78" s="1509"/>
      <c r="J78" s="1535"/>
      <c r="K78" s="1509"/>
      <c r="L78" s="1509"/>
      <c r="M78" s="1509"/>
      <c r="N78" s="1509"/>
      <c r="O78" s="1509"/>
      <c r="P78" s="1509"/>
      <c r="Q78" s="1509"/>
      <c r="R78" s="1509"/>
      <c r="S78" s="1509"/>
      <c r="T78" s="1509"/>
      <c r="U78" s="1469">
        <v>23</v>
      </c>
      <c r="V78" s="1486" t="s">
        <v>33</v>
      </c>
      <c r="W78" s="1471" t="s">
        <v>1306</v>
      </c>
      <c r="X78" s="1472" t="s">
        <v>49</v>
      </c>
      <c r="Y78" s="1473" t="s">
        <v>1306</v>
      </c>
      <c r="Z78" s="1504" t="s">
        <v>1414</v>
      </c>
      <c r="AA78" s="1473" t="s">
        <v>1306</v>
      </c>
      <c r="AB78" s="1470" t="s">
        <v>352</v>
      </c>
      <c r="AC78" s="1499" t="s">
        <v>1366</v>
      </c>
      <c r="AD78" s="1500" t="s">
        <v>1387</v>
      </c>
      <c r="AE78" s="1477"/>
      <c r="AF78" s="1477"/>
      <c r="AG78" s="1457" t="str">
        <f t="shared" si="7"/>
        <v>23調査結果-建築物の外部-2（2）-改善（予定）年月-年（令和）</v>
      </c>
      <c r="AI78" s="1502"/>
      <c r="AJ78" s="1502"/>
      <c r="AK78" s="1502"/>
      <c r="AL78" s="1508"/>
      <c r="AM78" s="1508"/>
      <c r="AN78" s="1508"/>
      <c r="AO78" s="1508"/>
    </row>
    <row r="79" spans="1:41" ht="18.75" customHeight="1" x14ac:dyDescent="0.15">
      <c r="A79" s="1586"/>
      <c r="B79" s="1509"/>
      <c r="C79" s="1509"/>
      <c r="D79" s="1460">
        <f>'1_入力シート【基本情報】'!$BV$338</f>
        <v>0</v>
      </c>
      <c r="E79" s="1674">
        <f t="shared" si="4"/>
        <v>0</v>
      </c>
      <c r="F79" s="1674" t="str">
        <f t="shared" si="5"/>
        <v>0</v>
      </c>
      <c r="G79" s="1674" t="str">
        <f t="shared" si="6"/>
        <v>0</v>
      </c>
      <c r="H79" s="1542"/>
      <c r="I79" s="1509"/>
      <c r="J79" s="1535"/>
      <c r="K79" s="1509"/>
      <c r="L79" s="1509"/>
      <c r="M79" s="1509"/>
      <c r="N79" s="1509"/>
      <c r="O79" s="1509"/>
      <c r="P79" s="1509"/>
      <c r="Q79" s="1509"/>
      <c r="R79" s="1509"/>
      <c r="S79" s="1509"/>
      <c r="T79" s="1509"/>
      <c r="U79" s="1469">
        <v>23</v>
      </c>
      <c r="V79" s="1486" t="s">
        <v>33</v>
      </c>
      <c r="W79" s="1471" t="s">
        <v>1306</v>
      </c>
      <c r="X79" s="1472" t="s">
        <v>49</v>
      </c>
      <c r="Y79" s="1473" t="s">
        <v>1306</v>
      </c>
      <c r="Z79" s="1504" t="s">
        <v>1414</v>
      </c>
      <c r="AA79" s="1473" t="s">
        <v>1306</v>
      </c>
      <c r="AB79" s="1470" t="s">
        <v>352</v>
      </c>
      <c r="AC79" s="1499" t="s">
        <v>1366</v>
      </c>
      <c r="AD79" s="1500" t="s">
        <v>348</v>
      </c>
      <c r="AE79" s="1501"/>
      <c r="AF79" s="1501"/>
      <c r="AG79" s="1457" t="str">
        <f t="shared" si="7"/>
        <v>23調査結果-建築物の外部-2（2）-改善（予定）年月-月</v>
      </c>
      <c r="AI79" s="1502"/>
      <c r="AJ79" s="1502"/>
      <c r="AK79" s="1502"/>
      <c r="AL79" s="1508"/>
      <c r="AM79" s="1508"/>
      <c r="AN79" s="1508"/>
      <c r="AO79" s="1508"/>
    </row>
    <row r="80" spans="1:41" ht="18.75" customHeight="1" x14ac:dyDescent="0.15">
      <c r="A80" s="1586"/>
      <c r="B80" s="1509"/>
      <c r="C80" s="1509"/>
      <c r="D80" s="1460">
        <f>'1_入力シート【基本情報】'!$BY$338</f>
        <v>0</v>
      </c>
      <c r="E80" s="1674">
        <f t="shared" si="4"/>
        <v>0</v>
      </c>
      <c r="F80" s="1674" t="str">
        <f t="shared" si="5"/>
        <v>0</v>
      </c>
      <c r="G80" s="1674" t="str">
        <f t="shared" si="6"/>
        <v>0</v>
      </c>
      <c r="H80" s="1542"/>
      <c r="I80" s="1509"/>
      <c r="J80" s="1535"/>
      <c r="K80" s="1509"/>
      <c r="L80" s="1509"/>
      <c r="M80" s="1509"/>
      <c r="N80" s="1509"/>
      <c r="O80" s="1509"/>
      <c r="P80" s="1509"/>
      <c r="Q80" s="1509"/>
      <c r="R80" s="1509"/>
      <c r="S80" s="1509"/>
      <c r="T80" s="1509"/>
      <c r="U80" s="1469">
        <v>23</v>
      </c>
      <c r="V80" s="1486" t="s">
        <v>33</v>
      </c>
      <c r="W80" s="1471" t="s">
        <v>1306</v>
      </c>
      <c r="X80" s="1472" t="s">
        <v>49</v>
      </c>
      <c r="Y80" s="1473" t="s">
        <v>1306</v>
      </c>
      <c r="Z80" s="1504" t="s">
        <v>1414</v>
      </c>
      <c r="AA80" s="1473" t="s">
        <v>1306</v>
      </c>
      <c r="AB80" s="1470" t="s">
        <v>352</v>
      </c>
      <c r="AC80" s="1499" t="s">
        <v>1366</v>
      </c>
      <c r="AD80" s="1500" t="s">
        <v>640</v>
      </c>
      <c r="AE80" s="1501"/>
      <c r="AF80" s="1501"/>
      <c r="AG80" s="1457" t="str">
        <f t="shared" si="7"/>
        <v>23調査結果-建築物の外部-2（2）-改善（予定）年月-未定</v>
      </c>
      <c r="AI80" s="1502"/>
      <c r="AJ80" s="1502"/>
      <c r="AK80" s="1502"/>
      <c r="AL80" s="1508"/>
      <c r="AM80" s="1508"/>
      <c r="AN80" s="1508"/>
      <c r="AO80" s="1508"/>
    </row>
    <row r="81" spans="1:41" ht="18.75" customHeight="1" x14ac:dyDescent="0.15">
      <c r="A81" s="1586"/>
      <c r="B81" s="1509"/>
      <c r="C81" s="1509"/>
      <c r="D81" s="1460">
        <f>'1_入力シート【基本情報】'!$AF$339</f>
        <v>0</v>
      </c>
      <c r="E81" s="1674">
        <f t="shared" si="4"/>
        <v>0</v>
      </c>
      <c r="F81" s="1674" t="str">
        <f t="shared" si="5"/>
        <v>0</v>
      </c>
      <c r="G81" s="1674" t="str">
        <f t="shared" si="6"/>
        <v>0</v>
      </c>
      <c r="H81" s="1542"/>
      <c r="I81" s="1509"/>
      <c r="J81" s="1535"/>
      <c r="K81" s="1509"/>
      <c r="L81" s="1509"/>
      <c r="M81" s="1509"/>
      <c r="N81" s="1509"/>
      <c r="O81" s="1509"/>
      <c r="P81" s="1509"/>
      <c r="Q81" s="1509"/>
      <c r="R81" s="1509"/>
      <c r="S81" s="1509"/>
      <c r="T81" s="1509"/>
      <c r="U81" s="1469">
        <v>23</v>
      </c>
      <c r="V81" s="1486" t="s">
        <v>33</v>
      </c>
      <c r="W81" s="1471" t="s">
        <v>1306</v>
      </c>
      <c r="X81" s="1472" t="s">
        <v>49</v>
      </c>
      <c r="Y81" s="1473" t="s">
        <v>1306</v>
      </c>
      <c r="Z81" s="1504" t="s">
        <v>1415</v>
      </c>
      <c r="AA81" s="1473" t="s">
        <v>1306</v>
      </c>
      <c r="AB81" s="1470" t="s">
        <v>33</v>
      </c>
      <c r="AC81" s="1499"/>
      <c r="AD81" s="1500"/>
      <c r="AE81" s="1501"/>
      <c r="AF81" s="1501"/>
      <c r="AG81" s="1457" t="str">
        <f t="shared" si="7"/>
        <v>23調査結果-建築物の外部-2（3）-調査結果</v>
      </c>
      <c r="AI81" s="1502"/>
      <c r="AJ81" s="1502"/>
      <c r="AK81" s="1502"/>
      <c r="AL81" s="1508"/>
      <c r="AM81" s="1508"/>
      <c r="AN81" s="1508"/>
      <c r="AO81" s="1508"/>
    </row>
    <row r="82" spans="1:41" ht="18.75" customHeight="1" x14ac:dyDescent="0.15">
      <c r="A82" s="1586"/>
      <c r="B82" s="1509"/>
      <c r="C82" s="1509"/>
      <c r="D82" s="1460">
        <f>'1_入力シート【基本情報】'!$AR$339</f>
        <v>0</v>
      </c>
      <c r="E82" s="1674">
        <f t="shared" si="4"/>
        <v>0</v>
      </c>
      <c r="F82" s="1674" t="str">
        <f t="shared" si="5"/>
        <v>0</v>
      </c>
      <c r="G82" s="1674" t="str">
        <f t="shared" si="6"/>
        <v>0</v>
      </c>
      <c r="H82" s="1542"/>
      <c r="I82" s="1509"/>
      <c r="J82" s="1535"/>
      <c r="K82" s="1509"/>
      <c r="L82" s="1509"/>
      <c r="M82" s="1509"/>
      <c r="N82" s="1509"/>
      <c r="O82" s="1509"/>
      <c r="P82" s="1509"/>
      <c r="Q82" s="1509"/>
      <c r="R82" s="1509"/>
      <c r="S82" s="1509"/>
      <c r="T82" s="1509"/>
      <c r="U82" s="1469">
        <v>23</v>
      </c>
      <c r="V82" s="1486" t="s">
        <v>33</v>
      </c>
      <c r="W82" s="1471" t="s">
        <v>1306</v>
      </c>
      <c r="X82" s="1472" t="s">
        <v>49</v>
      </c>
      <c r="Y82" s="1473" t="s">
        <v>1306</v>
      </c>
      <c r="Z82" s="1504" t="s">
        <v>1415</v>
      </c>
      <c r="AA82" s="1473" t="s">
        <v>1306</v>
      </c>
      <c r="AB82" s="1486" t="s">
        <v>30</v>
      </c>
      <c r="AC82" s="1499"/>
      <c r="AD82" s="1500"/>
      <c r="AE82" s="1501"/>
      <c r="AF82" s="1501"/>
      <c r="AG82" s="1457" t="str">
        <f t="shared" si="7"/>
        <v>23調査結果-建築物の外部-2（3）-調査者番号</v>
      </c>
      <c r="AI82" s="1502"/>
      <c r="AJ82" s="1502"/>
      <c r="AK82" s="1502"/>
      <c r="AL82" s="1508"/>
      <c r="AM82" s="1508"/>
      <c r="AN82" s="1508"/>
      <c r="AO82" s="1508"/>
    </row>
    <row r="83" spans="1:41" ht="18.75" customHeight="1" x14ac:dyDescent="0.15">
      <c r="A83" s="1586"/>
      <c r="B83" s="1509"/>
      <c r="C83" s="1509"/>
      <c r="D83" s="1460">
        <f>'1_入力シート【基本情報】'!$AT$339</f>
        <v>0</v>
      </c>
      <c r="E83" s="1674">
        <f t="shared" si="4"/>
        <v>0</v>
      </c>
      <c r="F83" s="1674" t="str">
        <f t="shared" si="5"/>
        <v>0</v>
      </c>
      <c r="G83" s="1674" t="str">
        <f t="shared" si="6"/>
        <v>0</v>
      </c>
      <c r="H83" s="1542"/>
      <c r="I83" s="1509"/>
      <c r="J83" s="1535"/>
      <c r="K83" s="1509"/>
      <c r="L83" s="1509"/>
      <c r="M83" s="1509"/>
      <c r="N83" s="1509"/>
      <c r="O83" s="1509"/>
      <c r="P83" s="1509"/>
      <c r="Q83" s="1509"/>
      <c r="R83" s="1509"/>
      <c r="S83" s="1509"/>
      <c r="T83" s="1509"/>
      <c r="U83" s="1469">
        <v>23</v>
      </c>
      <c r="V83" s="1486" t="s">
        <v>33</v>
      </c>
      <c r="W83" s="1471" t="s">
        <v>1306</v>
      </c>
      <c r="X83" s="1472" t="s">
        <v>49</v>
      </c>
      <c r="Y83" s="1473" t="s">
        <v>1306</v>
      </c>
      <c r="Z83" s="1504" t="s">
        <v>1415</v>
      </c>
      <c r="AA83" s="1473" t="s">
        <v>1306</v>
      </c>
      <c r="AB83" s="1486" t="s">
        <v>1402</v>
      </c>
      <c r="AC83" s="1499"/>
      <c r="AD83" s="1500"/>
      <c r="AE83" s="1501"/>
      <c r="AF83" s="1501"/>
      <c r="AG83" s="1457" t="str">
        <f t="shared" si="7"/>
        <v>23調査結果-建築物の外部-2（3）-指摘の具体的内容等</v>
      </c>
      <c r="AI83" s="1502"/>
      <c r="AJ83" s="1502"/>
      <c r="AK83" s="1502"/>
      <c r="AL83" s="1508"/>
      <c r="AM83" s="1508"/>
      <c r="AN83" s="1508"/>
      <c r="AO83" s="1508"/>
    </row>
    <row r="84" spans="1:41" ht="18.75" customHeight="1" x14ac:dyDescent="0.15">
      <c r="A84" s="1586"/>
      <c r="B84" s="1509"/>
      <c r="C84" s="1509"/>
      <c r="D84" s="1460">
        <f>'1_入力シート【基本情報】'!$BD$339</f>
        <v>0</v>
      </c>
      <c r="E84" s="1674">
        <f t="shared" si="4"/>
        <v>0</v>
      </c>
      <c r="F84" s="1674" t="str">
        <f t="shared" si="5"/>
        <v>0</v>
      </c>
      <c r="G84" s="1674" t="str">
        <f t="shared" si="6"/>
        <v>0</v>
      </c>
      <c r="H84" s="1542"/>
      <c r="I84" s="1509"/>
      <c r="J84" s="1535"/>
      <c r="K84" s="1509"/>
      <c r="L84" s="1509"/>
      <c r="M84" s="1509"/>
      <c r="N84" s="1509"/>
      <c r="O84" s="1509"/>
      <c r="P84" s="1509"/>
      <c r="Q84" s="1509"/>
      <c r="R84" s="1509"/>
      <c r="S84" s="1509"/>
      <c r="T84" s="1509"/>
      <c r="U84" s="1469">
        <v>23</v>
      </c>
      <c r="V84" s="1486" t="s">
        <v>33</v>
      </c>
      <c r="W84" s="1471" t="s">
        <v>1306</v>
      </c>
      <c r="X84" s="1472" t="s">
        <v>49</v>
      </c>
      <c r="Y84" s="1473" t="s">
        <v>1306</v>
      </c>
      <c r="Z84" s="1504" t="s">
        <v>1415</v>
      </c>
      <c r="AA84" s="1473" t="s">
        <v>1306</v>
      </c>
      <c r="AB84" s="1486" t="s">
        <v>1403</v>
      </c>
      <c r="AC84" s="1499"/>
      <c r="AD84" s="1500"/>
      <c r="AE84" s="1501"/>
      <c r="AF84" s="1501"/>
      <c r="AG84" s="1457" t="str">
        <f t="shared" si="7"/>
        <v>23調査結果-建築物の外部-2（3）-改善策の具体的内容等</v>
      </c>
      <c r="AI84" s="1502"/>
      <c r="AJ84" s="1502"/>
      <c r="AK84" s="1502"/>
      <c r="AL84" s="1508"/>
      <c r="AM84" s="1508"/>
      <c r="AN84" s="1508"/>
      <c r="AO84" s="1508"/>
    </row>
    <row r="85" spans="1:41" ht="18.75" customHeight="1" x14ac:dyDescent="0.15">
      <c r="A85" s="1586"/>
      <c r="B85" s="1509"/>
      <c r="C85" s="1509"/>
      <c r="D85" s="1460">
        <f>'1_入力シート【基本情報】'!$BS$339</f>
        <v>0</v>
      </c>
      <c r="E85" s="1674">
        <f t="shared" si="4"/>
        <v>0</v>
      </c>
      <c r="F85" s="1674" t="str">
        <f t="shared" si="5"/>
        <v>0</v>
      </c>
      <c r="G85" s="1674" t="str">
        <f t="shared" si="6"/>
        <v>0</v>
      </c>
      <c r="H85" s="1542"/>
      <c r="I85" s="1509"/>
      <c r="J85" s="1535"/>
      <c r="K85" s="1509"/>
      <c r="L85" s="1509"/>
      <c r="M85" s="1509"/>
      <c r="N85" s="1509"/>
      <c r="O85" s="1509"/>
      <c r="P85" s="1509"/>
      <c r="Q85" s="1509"/>
      <c r="R85" s="1509"/>
      <c r="S85" s="1509"/>
      <c r="T85" s="1509"/>
      <c r="U85" s="1469">
        <v>23</v>
      </c>
      <c r="V85" s="1486" t="s">
        <v>33</v>
      </c>
      <c r="W85" s="1471" t="s">
        <v>1306</v>
      </c>
      <c r="X85" s="1472" t="s">
        <v>49</v>
      </c>
      <c r="Y85" s="1473" t="s">
        <v>1306</v>
      </c>
      <c r="Z85" s="1504" t="s">
        <v>1415</v>
      </c>
      <c r="AA85" s="1473" t="s">
        <v>1306</v>
      </c>
      <c r="AB85" s="1470" t="s">
        <v>352</v>
      </c>
      <c r="AC85" s="1499" t="s">
        <v>1366</v>
      </c>
      <c r="AD85" s="1500" t="s">
        <v>1387</v>
      </c>
      <c r="AE85" s="1501"/>
      <c r="AF85" s="1501"/>
      <c r="AG85" s="1457" t="str">
        <f t="shared" si="7"/>
        <v>23調査結果-建築物の外部-2（3）-改善（予定）年月-年（令和）</v>
      </c>
      <c r="AI85" s="1502"/>
      <c r="AJ85" s="1502"/>
      <c r="AK85" s="1502"/>
      <c r="AL85" s="1508"/>
      <c r="AM85" s="1508"/>
      <c r="AN85" s="1508"/>
      <c r="AO85" s="1508"/>
    </row>
    <row r="86" spans="1:41" ht="18.75" customHeight="1" x14ac:dyDescent="0.15">
      <c r="A86" s="1586"/>
      <c r="B86" s="1509"/>
      <c r="C86" s="1509"/>
      <c r="D86" s="1460">
        <f>'1_入力シート【基本情報】'!$BV$339</f>
        <v>0</v>
      </c>
      <c r="E86" s="1674">
        <f t="shared" si="4"/>
        <v>0</v>
      </c>
      <c r="F86" s="1674" t="str">
        <f t="shared" si="5"/>
        <v>0</v>
      </c>
      <c r="G86" s="1674" t="str">
        <f t="shared" si="6"/>
        <v>0</v>
      </c>
      <c r="H86" s="1542"/>
      <c r="I86" s="1509"/>
      <c r="J86" s="1535"/>
      <c r="K86" s="1509"/>
      <c r="L86" s="1509"/>
      <c r="M86" s="1509"/>
      <c r="N86" s="1509"/>
      <c r="O86" s="1509"/>
      <c r="P86" s="1509"/>
      <c r="Q86" s="1509"/>
      <c r="R86" s="1509"/>
      <c r="S86" s="1509"/>
      <c r="T86" s="1509"/>
      <c r="U86" s="1469">
        <v>23</v>
      </c>
      <c r="V86" s="1486" t="s">
        <v>33</v>
      </c>
      <c r="W86" s="1471" t="s">
        <v>1306</v>
      </c>
      <c r="X86" s="1472" t="s">
        <v>49</v>
      </c>
      <c r="Y86" s="1473" t="s">
        <v>1306</v>
      </c>
      <c r="Z86" s="1504" t="s">
        <v>1415</v>
      </c>
      <c r="AA86" s="1473" t="s">
        <v>1306</v>
      </c>
      <c r="AB86" s="1470" t="s">
        <v>352</v>
      </c>
      <c r="AC86" s="1499" t="s">
        <v>1366</v>
      </c>
      <c r="AD86" s="1500" t="s">
        <v>348</v>
      </c>
      <c r="AE86" s="1501"/>
      <c r="AF86" s="1501"/>
      <c r="AG86" s="1457" t="str">
        <f t="shared" si="7"/>
        <v>23調査結果-建築物の外部-2（3）-改善（予定）年月-月</v>
      </c>
      <c r="AI86" s="1502"/>
      <c r="AJ86" s="1502"/>
      <c r="AK86" s="1502"/>
      <c r="AL86" s="1508"/>
      <c r="AM86" s="1508"/>
      <c r="AN86" s="1508"/>
      <c r="AO86" s="1508"/>
    </row>
    <row r="87" spans="1:41" ht="18.75" customHeight="1" x14ac:dyDescent="0.15">
      <c r="A87" s="1586"/>
      <c r="B87" s="1509"/>
      <c r="C87" s="1509"/>
      <c r="D87" s="1460">
        <f>'1_入力シート【基本情報】'!$BY$339</f>
        <v>0</v>
      </c>
      <c r="E87" s="1674">
        <f t="shared" si="4"/>
        <v>0</v>
      </c>
      <c r="F87" s="1674" t="str">
        <f t="shared" si="5"/>
        <v>0</v>
      </c>
      <c r="G87" s="1674" t="str">
        <f t="shared" si="6"/>
        <v>0</v>
      </c>
      <c r="H87" s="1542"/>
      <c r="I87" s="1509"/>
      <c r="J87" s="1535"/>
      <c r="K87" s="1509"/>
      <c r="L87" s="1509"/>
      <c r="M87" s="1509"/>
      <c r="N87" s="1509"/>
      <c r="O87" s="1509"/>
      <c r="P87" s="1509"/>
      <c r="Q87" s="1509"/>
      <c r="R87" s="1509"/>
      <c r="S87" s="1509"/>
      <c r="T87" s="1509"/>
      <c r="U87" s="1469">
        <v>23</v>
      </c>
      <c r="V87" s="1486" t="s">
        <v>33</v>
      </c>
      <c r="W87" s="1471" t="s">
        <v>1306</v>
      </c>
      <c r="X87" s="1472" t="s">
        <v>49</v>
      </c>
      <c r="Y87" s="1473" t="s">
        <v>1306</v>
      </c>
      <c r="Z87" s="1504" t="s">
        <v>1415</v>
      </c>
      <c r="AA87" s="1473" t="s">
        <v>1306</v>
      </c>
      <c r="AB87" s="1470" t="s">
        <v>352</v>
      </c>
      <c r="AC87" s="1499" t="s">
        <v>1366</v>
      </c>
      <c r="AD87" s="1500" t="s">
        <v>640</v>
      </c>
      <c r="AE87" s="1501"/>
      <c r="AF87" s="1501"/>
      <c r="AG87" s="1457" t="str">
        <f t="shared" si="7"/>
        <v>23調査結果-建築物の外部-2（3）-改善（予定）年月-未定</v>
      </c>
      <c r="AI87" s="1502"/>
      <c r="AJ87" s="1502"/>
      <c r="AK87" s="1502"/>
      <c r="AL87" s="1508"/>
      <c r="AM87" s="1508"/>
      <c r="AN87" s="1508"/>
      <c r="AO87" s="1508"/>
    </row>
    <row r="88" spans="1:41" ht="18.75" customHeight="1" x14ac:dyDescent="0.15">
      <c r="A88" s="1586"/>
      <c r="B88" s="1509"/>
      <c r="C88" s="1509"/>
      <c r="D88" s="1460">
        <f>'1_入力シート【基本情報】'!$AF$340</f>
        <v>0</v>
      </c>
      <c r="E88" s="1674">
        <f t="shared" si="4"/>
        <v>0</v>
      </c>
      <c r="F88" s="1674" t="str">
        <f t="shared" si="5"/>
        <v>0</v>
      </c>
      <c r="G88" s="1674" t="str">
        <f t="shared" si="6"/>
        <v>0</v>
      </c>
      <c r="H88" s="1542"/>
      <c r="I88" s="1509"/>
      <c r="J88" s="1535"/>
      <c r="K88" s="1509"/>
      <c r="L88" s="1509"/>
      <c r="M88" s="1509"/>
      <c r="N88" s="1509"/>
      <c r="O88" s="1509"/>
      <c r="P88" s="1509"/>
      <c r="Q88" s="1509"/>
      <c r="R88" s="1509"/>
      <c r="S88" s="1509"/>
      <c r="T88" s="1509"/>
      <c r="U88" s="1469">
        <v>23</v>
      </c>
      <c r="V88" s="1486" t="s">
        <v>33</v>
      </c>
      <c r="W88" s="1471" t="s">
        <v>1306</v>
      </c>
      <c r="X88" s="1472" t="s">
        <v>49</v>
      </c>
      <c r="Y88" s="1473" t="s">
        <v>1306</v>
      </c>
      <c r="Z88" s="1504" t="s">
        <v>1416</v>
      </c>
      <c r="AA88" s="1473" t="s">
        <v>1306</v>
      </c>
      <c r="AB88" s="1470" t="s">
        <v>33</v>
      </c>
      <c r="AC88" s="1499"/>
      <c r="AD88" s="1500"/>
      <c r="AE88" s="1501"/>
      <c r="AF88" s="1501"/>
      <c r="AG88" s="1457" t="str">
        <f t="shared" si="7"/>
        <v>23調査結果-建築物の外部-2（4）-調査結果</v>
      </c>
      <c r="AI88" s="1502"/>
      <c r="AJ88" s="1502"/>
      <c r="AK88" s="1502"/>
      <c r="AL88" s="1508"/>
      <c r="AM88" s="1508"/>
      <c r="AN88" s="1508"/>
      <c r="AO88" s="1508"/>
    </row>
    <row r="89" spans="1:41" ht="18.75" customHeight="1" x14ac:dyDescent="0.15">
      <c r="A89" s="1586"/>
      <c r="B89" s="1509"/>
      <c r="C89" s="1509"/>
      <c r="D89" s="1460">
        <f>'1_入力シート【基本情報】'!$AR$340</f>
        <v>0</v>
      </c>
      <c r="E89" s="1674">
        <f t="shared" si="4"/>
        <v>0</v>
      </c>
      <c r="F89" s="1674" t="str">
        <f t="shared" si="5"/>
        <v>0</v>
      </c>
      <c r="G89" s="1674" t="str">
        <f t="shared" si="6"/>
        <v>0</v>
      </c>
      <c r="H89" s="1542"/>
      <c r="I89" s="1509"/>
      <c r="J89" s="1535"/>
      <c r="K89" s="1509"/>
      <c r="L89" s="1509"/>
      <c r="M89" s="1509"/>
      <c r="N89" s="1509"/>
      <c r="O89" s="1509"/>
      <c r="P89" s="1509"/>
      <c r="Q89" s="1509"/>
      <c r="R89" s="1509"/>
      <c r="S89" s="1509"/>
      <c r="T89" s="1509"/>
      <c r="U89" s="1469">
        <v>23</v>
      </c>
      <c r="V89" s="1486" t="s">
        <v>33</v>
      </c>
      <c r="W89" s="1471" t="s">
        <v>1306</v>
      </c>
      <c r="X89" s="1472" t="s">
        <v>49</v>
      </c>
      <c r="Y89" s="1473" t="s">
        <v>1306</v>
      </c>
      <c r="Z89" s="1504" t="s">
        <v>1416</v>
      </c>
      <c r="AA89" s="1473" t="s">
        <v>1306</v>
      </c>
      <c r="AB89" s="1486" t="s">
        <v>30</v>
      </c>
      <c r="AC89" s="1499"/>
      <c r="AD89" s="1500"/>
      <c r="AE89" s="1501"/>
      <c r="AF89" s="1501"/>
      <c r="AG89" s="1457" t="str">
        <f t="shared" si="7"/>
        <v>23調査結果-建築物の外部-2（4）-調査者番号</v>
      </c>
      <c r="AI89" s="1502"/>
      <c r="AJ89" s="1502"/>
      <c r="AK89" s="1502"/>
      <c r="AL89" s="1508"/>
      <c r="AM89" s="1508"/>
      <c r="AN89" s="1508"/>
      <c r="AO89" s="1508"/>
    </row>
    <row r="90" spans="1:41" ht="18.75" customHeight="1" x14ac:dyDescent="0.15">
      <c r="A90" s="1586"/>
      <c r="B90" s="1509"/>
      <c r="C90" s="1509"/>
      <c r="D90" s="1460">
        <f>'1_入力シート【基本情報】'!$AT$340</f>
        <v>0</v>
      </c>
      <c r="E90" s="1674">
        <f t="shared" si="4"/>
        <v>0</v>
      </c>
      <c r="F90" s="1674" t="str">
        <f t="shared" si="5"/>
        <v>0</v>
      </c>
      <c r="G90" s="1674" t="str">
        <f t="shared" si="6"/>
        <v>0</v>
      </c>
      <c r="H90" s="1542"/>
      <c r="I90" s="1509"/>
      <c r="J90" s="1535"/>
      <c r="K90" s="1509"/>
      <c r="L90" s="1509"/>
      <c r="M90" s="1509"/>
      <c r="N90" s="1509"/>
      <c r="O90" s="1509"/>
      <c r="P90" s="1509"/>
      <c r="Q90" s="1509"/>
      <c r="R90" s="1509"/>
      <c r="S90" s="1509"/>
      <c r="T90" s="1509"/>
      <c r="U90" s="1469">
        <v>23</v>
      </c>
      <c r="V90" s="1486" t="s">
        <v>33</v>
      </c>
      <c r="W90" s="1471" t="s">
        <v>1306</v>
      </c>
      <c r="X90" s="1472" t="s">
        <v>49</v>
      </c>
      <c r="Y90" s="1473" t="s">
        <v>1306</v>
      </c>
      <c r="Z90" s="1504" t="s">
        <v>1416</v>
      </c>
      <c r="AA90" s="1473" t="s">
        <v>1306</v>
      </c>
      <c r="AB90" s="1486" t="s">
        <v>1402</v>
      </c>
      <c r="AC90" s="1499"/>
      <c r="AD90" s="1500"/>
      <c r="AE90" s="1501"/>
      <c r="AF90" s="1501"/>
      <c r="AG90" s="1457" t="str">
        <f t="shared" si="7"/>
        <v>23調査結果-建築物の外部-2（4）-指摘の具体的内容等</v>
      </c>
      <c r="AI90" s="1502"/>
      <c r="AJ90" s="1502"/>
      <c r="AK90" s="1502"/>
      <c r="AL90" s="1508"/>
      <c r="AM90" s="1508"/>
      <c r="AN90" s="1508"/>
      <c r="AO90" s="1508"/>
    </row>
    <row r="91" spans="1:41" ht="18.75" customHeight="1" x14ac:dyDescent="0.15">
      <c r="A91" s="1586"/>
      <c r="B91" s="1509"/>
      <c r="C91" s="1509"/>
      <c r="D91" s="1460">
        <f>'1_入力シート【基本情報】'!$BD$340</f>
        <v>0</v>
      </c>
      <c r="E91" s="1674">
        <f t="shared" ref="E91:E154" si="8">D91</f>
        <v>0</v>
      </c>
      <c r="F91" s="1674" t="str">
        <f t="shared" ref="F91:F154" si="9">SUBSTITUTE(E91,CHAR(10),"")</f>
        <v>0</v>
      </c>
      <c r="G91" s="1674" t="str">
        <f t="shared" ref="G91:G154" si="10">TRIM(F91)</f>
        <v>0</v>
      </c>
      <c r="H91" s="1542"/>
      <c r="I91" s="1509"/>
      <c r="J91" s="1535"/>
      <c r="K91" s="1509"/>
      <c r="L91" s="1509"/>
      <c r="M91" s="1509"/>
      <c r="N91" s="1509"/>
      <c r="O91" s="1509"/>
      <c r="P91" s="1509"/>
      <c r="Q91" s="1509"/>
      <c r="R91" s="1509"/>
      <c r="S91" s="1509"/>
      <c r="T91" s="1509"/>
      <c r="U91" s="1469">
        <v>23</v>
      </c>
      <c r="V91" s="1486" t="s">
        <v>33</v>
      </c>
      <c r="W91" s="1471" t="s">
        <v>1306</v>
      </c>
      <c r="X91" s="1472" t="s">
        <v>49</v>
      </c>
      <c r="Y91" s="1473" t="s">
        <v>1306</v>
      </c>
      <c r="Z91" s="1504" t="s">
        <v>1416</v>
      </c>
      <c r="AA91" s="1473" t="s">
        <v>1306</v>
      </c>
      <c r="AB91" s="1486" t="s">
        <v>1403</v>
      </c>
      <c r="AC91" s="1499"/>
      <c r="AD91" s="1500"/>
      <c r="AE91" s="1501"/>
      <c r="AF91" s="1501"/>
      <c r="AG91" s="1457" t="str">
        <f t="shared" si="7"/>
        <v>23調査結果-建築物の外部-2（4）-改善策の具体的内容等</v>
      </c>
      <c r="AI91" s="1502"/>
      <c r="AJ91" s="1502"/>
      <c r="AK91" s="1502"/>
      <c r="AL91" s="1508"/>
      <c r="AM91" s="1508"/>
      <c r="AN91" s="1508"/>
      <c r="AO91" s="1508"/>
    </row>
    <row r="92" spans="1:41" ht="18.75" customHeight="1" x14ac:dyDescent="0.15">
      <c r="A92" s="1586"/>
      <c r="B92" s="1509"/>
      <c r="C92" s="1509"/>
      <c r="D92" s="1460">
        <f>'1_入力シート【基本情報】'!$BS$340</f>
        <v>0</v>
      </c>
      <c r="E92" s="1674">
        <f t="shared" si="8"/>
        <v>0</v>
      </c>
      <c r="F92" s="1674" t="str">
        <f t="shared" si="9"/>
        <v>0</v>
      </c>
      <c r="G92" s="1674" t="str">
        <f t="shared" si="10"/>
        <v>0</v>
      </c>
      <c r="H92" s="1542"/>
      <c r="I92" s="1509"/>
      <c r="J92" s="1535"/>
      <c r="K92" s="1509"/>
      <c r="L92" s="1509"/>
      <c r="M92" s="1509"/>
      <c r="N92" s="1509"/>
      <c r="O92" s="1509"/>
      <c r="P92" s="1509"/>
      <c r="Q92" s="1509"/>
      <c r="R92" s="1509"/>
      <c r="S92" s="1509"/>
      <c r="T92" s="1509"/>
      <c r="U92" s="1469">
        <v>23</v>
      </c>
      <c r="V92" s="1486" t="s">
        <v>33</v>
      </c>
      <c r="W92" s="1471" t="s">
        <v>1306</v>
      </c>
      <c r="X92" s="1472" t="s">
        <v>49</v>
      </c>
      <c r="Y92" s="1473" t="s">
        <v>1306</v>
      </c>
      <c r="Z92" s="1504" t="s">
        <v>1416</v>
      </c>
      <c r="AA92" s="1473" t="s">
        <v>1306</v>
      </c>
      <c r="AB92" s="1486" t="s">
        <v>352</v>
      </c>
      <c r="AC92" s="1499" t="s">
        <v>1366</v>
      </c>
      <c r="AD92" s="1500" t="s">
        <v>1387</v>
      </c>
      <c r="AE92" s="1501"/>
      <c r="AF92" s="1501"/>
      <c r="AG92" s="1457" t="str">
        <f t="shared" si="7"/>
        <v>23調査結果-建築物の外部-2（4）-改善（予定）年月-年（令和）</v>
      </c>
      <c r="AI92" s="1502"/>
      <c r="AJ92" s="1502"/>
      <c r="AK92" s="1502"/>
      <c r="AL92" s="1508"/>
      <c r="AM92" s="1508"/>
      <c r="AN92" s="1508"/>
      <c r="AO92" s="1508"/>
    </row>
    <row r="93" spans="1:41" ht="18.75" customHeight="1" x14ac:dyDescent="0.15">
      <c r="A93" s="1586"/>
      <c r="B93" s="1509"/>
      <c r="C93" s="1509"/>
      <c r="D93" s="1460">
        <f>'1_入力シート【基本情報】'!$BV$340</f>
        <v>0</v>
      </c>
      <c r="E93" s="1674">
        <f t="shared" si="8"/>
        <v>0</v>
      </c>
      <c r="F93" s="1674" t="str">
        <f t="shared" si="9"/>
        <v>0</v>
      </c>
      <c r="G93" s="1674" t="str">
        <f t="shared" si="10"/>
        <v>0</v>
      </c>
      <c r="H93" s="1542"/>
      <c r="I93" s="1509"/>
      <c r="J93" s="1535"/>
      <c r="K93" s="1509"/>
      <c r="L93" s="1509"/>
      <c r="M93" s="1509"/>
      <c r="N93" s="1509"/>
      <c r="O93" s="1509"/>
      <c r="P93" s="1509"/>
      <c r="Q93" s="1509"/>
      <c r="R93" s="1509"/>
      <c r="S93" s="1509"/>
      <c r="T93" s="1509"/>
      <c r="U93" s="1469">
        <v>23</v>
      </c>
      <c r="V93" s="1486" t="s">
        <v>33</v>
      </c>
      <c r="W93" s="1471" t="s">
        <v>1306</v>
      </c>
      <c r="X93" s="1472" t="s">
        <v>49</v>
      </c>
      <c r="Y93" s="1473" t="s">
        <v>1306</v>
      </c>
      <c r="Z93" s="1504" t="s">
        <v>1416</v>
      </c>
      <c r="AA93" s="1473" t="s">
        <v>1306</v>
      </c>
      <c r="AB93" s="1470" t="s">
        <v>352</v>
      </c>
      <c r="AC93" s="1499" t="s">
        <v>1366</v>
      </c>
      <c r="AD93" s="1500" t="s">
        <v>348</v>
      </c>
      <c r="AE93" s="1501"/>
      <c r="AF93" s="1501"/>
      <c r="AG93" s="1457" t="str">
        <f t="shared" si="7"/>
        <v>23調査結果-建築物の外部-2（4）-改善（予定）年月-月</v>
      </c>
      <c r="AI93" s="1502"/>
      <c r="AJ93" s="1502"/>
      <c r="AK93" s="1502"/>
      <c r="AL93" s="1508"/>
      <c r="AM93" s="1508"/>
      <c r="AN93" s="1508"/>
      <c r="AO93" s="1508"/>
    </row>
    <row r="94" spans="1:41" ht="18.75" customHeight="1" x14ac:dyDescent="0.15">
      <c r="A94" s="1586"/>
      <c r="B94" s="1509"/>
      <c r="C94" s="1509"/>
      <c r="D94" s="1460">
        <f>'1_入力シート【基本情報】'!$BY$340</f>
        <v>0</v>
      </c>
      <c r="E94" s="1674">
        <f t="shared" si="8"/>
        <v>0</v>
      </c>
      <c r="F94" s="1674" t="str">
        <f t="shared" si="9"/>
        <v>0</v>
      </c>
      <c r="G94" s="1674" t="str">
        <f t="shared" si="10"/>
        <v>0</v>
      </c>
      <c r="H94" s="1542"/>
      <c r="I94" s="1509"/>
      <c r="J94" s="1535"/>
      <c r="K94" s="1509"/>
      <c r="L94" s="1509"/>
      <c r="M94" s="1509"/>
      <c r="N94" s="1509"/>
      <c r="O94" s="1509"/>
      <c r="P94" s="1509"/>
      <c r="Q94" s="1509"/>
      <c r="R94" s="1509"/>
      <c r="S94" s="1509"/>
      <c r="T94" s="1509"/>
      <c r="U94" s="1469">
        <v>23</v>
      </c>
      <c r="V94" s="1486" t="s">
        <v>33</v>
      </c>
      <c r="W94" s="1471" t="s">
        <v>1306</v>
      </c>
      <c r="X94" s="1472" t="s">
        <v>49</v>
      </c>
      <c r="Y94" s="1473" t="s">
        <v>1306</v>
      </c>
      <c r="Z94" s="1504" t="s">
        <v>1416</v>
      </c>
      <c r="AA94" s="1473" t="s">
        <v>1306</v>
      </c>
      <c r="AB94" s="1470" t="s">
        <v>352</v>
      </c>
      <c r="AC94" s="1499" t="s">
        <v>1366</v>
      </c>
      <c r="AD94" s="1500" t="s">
        <v>640</v>
      </c>
      <c r="AE94" s="1501"/>
      <c r="AF94" s="1501"/>
      <c r="AG94" s="1457" t="str">
        <f t="shared" si="7"/>
        <v>23調査結果-建築物の外部-2（4）-改善（予定）年月-未定</v>
      </c>
      <c r="AI94" s="1502"/>
      <c r="AJ94" s="1502"/>
      <c r="AK94" s="1502"/>
      <c r="AL94" s="1508"/>
      <c r="AM94" s="1508"/>
      <c r="AN94" s="1508"/>
      <c r="AO94" s="1508"/>
    </row>
    <row r="95" spans="1:41" ht="18.75" customHeight="1" x14ac:dyDescent="0.15">
      <c r="A95" s="1586"/>
      <c r="B95" s="1509"/>
      <c r="C95" s="1509"/>
      <c r="D95" s="1460">
        <f>'1_入力シート【基本情報】'!$AF$341</f>
        <v>0</v>
      </c>
      <c r="E95" s="1674">
        <f t="shared" si="8"/>
        <v>0</v>
      </c>
      <c r="F95" s="1674" t="str">
        <f t="shared" si="9"/>
        <v>0</v>
      </c>
      <c r="G95" s="1674" t="str">
        <f t="shared" si="10"/>
        <v>0</v>
      </c>
      <c r="H95" s="1542"/>
      <c r="I95" s="1509"/>
      <c r="J95" s="1535"/>
      <c r="K95" s="1509"/>
      <c r="L95" s="1509"/>
      <c r="M95" s="1509"/>
      <c r="N95" s="1509"/>
      <c r="O95" s="1509"/>
      <c r="P95" s="1509"/>
      <c r="Q95" s="1509"/>
      <c r="R95" s="1509"/>
      <c r="S95" s="1509"/>
      <c r="T95" s="1509"/>
      <c r="U95" s="1469">
        <v>23</v>
      </c>
      <c r="V95" s="1486" t="s">
        <v>33</v>
      </c>
      <c r="W95" s="1471" t="s">
        <v>1306</v>
      </c>
      <c r="X95" s="1472" t="s">
        <v>49</v>
      </c>
      <c r="Y95" s="1473" t="s">
        <v>1306</v>
      </c>
      <c r="Z95" s="1504" t="s">
        <v>1417</v>
      </c>
      <c r="AA95" s="1473" t="s">
        <v>1306</v>
      </c>
      <c r="AB95" s="1470" t="s">
        <v>33</v>
      </c>
      <c r="AC95" s="1499"/>
      <c r="AD95" s="1500"/>
      <c r="AE95" s="1501"/>
      <c r="AF95" s="1501"/>
      <c r="AG95" s="1457" t="str">
        <f t="shared" si="7"/>
        <v>23調査結果-建築物の外部-2（5）-調査結果</v>
      </c>
      <c r="AI95" s="1502"/>
      <c r="AJ95" s="1502"/>
      <c r="AK95" s="1502"/>
      <c r="AL95" s="1508"/>
      <c r="AM95" s="1508"/>
      <c r="AN95" s="1508"/>
      <c r="AO95" s="1508"/>
    </row>
    <row r="96" spans="1:41" ht="18.75" customHeight="1" x14ac:dyDescent="0.15">
      <c r="A96" s="1586"/>
      <c r="B96" s="1509"/>
      <c r="C96" s="1509"/>
      <c r="D96" s="1460">
        <f>'1_入力シート【基本情報】'!$AR$341</f>
        <v>0</v>
      </c>
      <c r="E96" s="1674">
        <f t="shared" si="8"/>
        <v>0</v>
      </c>
      <c r="F96" s="1674" t="str">
        <f t="shared" si="9"/>
        <v>0</v>
      </c>
      <c r="G96" s="1674" t="str">
        <f t="shared" si="10"/>
        <v>0</v>
      </c>
      <c r="H96" s="1542"/>
      <c r="I96" s="1509"/>
      <c r="J96" s="1535"/>
      <c r="K96" s="1509"/>
      <c r="L96" s="1509"/>
      <c r="M96" s="1509"/>
      <c r="N96" s="1509"/>
      <c r="O96" s="1509"/>
      <c r="P96" s="1509"/>
      <c r="Q96" s="1509"/>
      <c r="R96" s="1509"/>
      <c r="S96" s="1509"/>
      <c r="T96" s="1509"/>
      <c r="U96" s="1469">
        <v>23</v>
      </c>
      <c r="V96" s="1486" t="s">
        <v>33</v>
      </c>
      <c r="W96" s="1471" t="s">
        <v>1306</v>
      </c>
      <c r="X96" s="1472" t="s">
        <v>49</v>
      </c>
      <c r="Y96" s="1473" t="s">
        <v>1306</v>
      </c>
      <c r="Z96" s="1504" t="s">
        <v>1417</v>
      </c>
      <c r="AA96" s="1473" t="s">
        <v>1306</v>
      </c>
      <c r="AB96" s="1470" t="s">
        <v>30</v>
      </c>
      <c r="AC96" s="1499"/>
      <c r="AD96" s="1500"/>
      <c r="AE96" s="1501"/>
      <c r="AF96" s="1501"/>
      <c r="AG96" s="1457" t="str">
        <f t="shared" si="7"/>
        <v>23調査結果-建築物の外部-2（5）-調査者番号</v>
      </c>
      <c r="AI96" s="1502"/>
      <c r="AJ96" s="1502"/>
      <c r="AK96" s="1502"/>
      <c r="AL96" s="1508"/>
      <c r="AM96" s="1508"/>
      <c r="AN96" s="1508"/>
      <c r="AO96" s="1508"/>
    </row>
    <row r="97" spans="1:41" ht="18.75" customHeight="1" x14ac:dyDescent="0.15">
      <c r="A97" s="1586"/>
      <c r="B97" s="1509"/>
      <c r="C97" s="1509"/>
      <c r="D97" s="1460">
        <f>'1_入力シート【基本情報】'!$AT$341</f>
        <v>0</v>
      </c>
      <c r="E97" s="1674">
        <f t="shared" si="8"/>
        <v>0</v>
      </c>
      <c r="F97" s="1674" t="str">
        <f t="shared" si="9"/>
        <v>0</v>
      </c>
      <c r="G97" s="1674" t="str">
        <f t="shared" si="10"/>
        <v>0</v>
      </c>
      <c r="H97" s="1542"/>
      <c r="I97" s="1509"/>
      <c r="J97" s="1535"/>
      <c r="K97" s="1509"/>
      <c r="L97" s="1509"/>
      <c r="M97" s="1509"/>
      <c r="N97" s="1509"/>
      <c r="O97" s="1509"/>
      <c r="P97" s="1509"/>
      <c r="Q97" s="1509"/>
      <c r="R97" s="1509"/>
      <c r="S97" s="1509"/>
      <c r="T97" s="1509"/>
      <c r="U97" s="1469">
        <v>23</v>
      </c>
      <c r="V97" s="1486" t="s">
        <v>33</v>
      </c>
      <c r="W97" s="1471" t="s">
        <v>1306</v>
      </c>
      <c r="X97" s="1472" t="s">
        <v>49</v>
      </c>
      <c r="Y97" s="1473" t="s">
        <v>1306</v>
      </c>
      <c r="Z97" s="1504" t="s">
        <v>1417</v>
      </c>
      <c r="AA97" s="1473" t="s">
        <v>1306</v>
      </c>
      <c r="AB97" s="1486" t="s">
        <v>1402</v>
      </c>
      <c r="AC97" s="1499"/>
      <c r="AD97" s="1500"/>
      <c r="AE97" s="1501"/>
      <c r="AF97" s="1501"/>
      <c r="AG97" s="1457" t="str">
        <f t="shared" si="7"/>
        <v>23調査結果-建築物の外部-2（5）-指摘の具体的内容等</v>
      </c>
      <c r="AI97" s="1502"/>
      <c r="AJ97" s="1502"/>
      <c r="AK97" s="1502"/>
      <c r="AL97" s="1508"/>
      <c r="AM97" s="1508"/>
      <c r="AN97" s="1508"/>
      <c r="AO97" s="1508"/>
    </row>
    <row r="98" spans="1:41" ht="18.75" customHeight="1" x14ac:dyDescent="0.15">
      <c r="A98" s="1586"/>
      <c r="B98" s="1509"/>
      <c r="C98" s="1509"/>
      <c r="D98" s="1460">
        <f>'1_入力シート【基本情報】'!$BD$341</f>
        <v>0</v>
      </c>
      <c r="E98" s="1674">
        <f t="shared" si="8"/>
        <v>0</v>
      </c>
      <c r="F98" s="1674" t="str">
        <f t="shared" si="9"/>
        <v>0</v>
      </c>
      <c r="G98" s="1674" t="str">
        <f t="shared" si="10"/>
        <v>0</v>
      </c>
      <c r="H98" s="1542"/>
      <c r="I98" s="1509"/>
      <c r="J98" s="1535"/>
      <c r="K98" s="1509"/>
      <c r="L98" s="1509"/>
      <c r="M98" s="1509"/>
      <c r="N98" s="1509"/>
      <c r="O98" s="1509"/>
      <c r="P98" s="1509"/>
      <c r="Q98" s="1509"/>
      <c r="R98" s="1509"/>
      <c r="S98" s="1509"/>
      <c r="T98" s="1509"/>
      <c r="U98" s="1469">
        <v>23</v>
      </c>
      <c r="V98" s="1486" t="s">
        <v>33</v>
      </c>
      <c r="W98" s="1471" t="s">
        <v>1306</v>
      </c>
      <c r="X98" s="1472" t="s">
        <v>49</v>
      </c>
      <c r="Y98" s="1473" t="s">
        <v>1306</v>
      </c>
      <c r="Z98" s="1504" t="s">
        <v>1417</v>
      </c>
      <c r="AA98" s="1473" t="s">
        <v>1306</v>
      </c>
      <c r="AB98" s="1486" t="s">
        <v>1403</v>
      </c>
      <c r="AC98" s="1499"/>
      <c r="AD98" s="1500"/>
      <c r="AE98" s="1501"/>
      <c r="AF98" s="1501"/>
      <c r="AG98" s="1457" t="str">
        <f t="shared" si="7"/>
        <v>23調査結果-建築物の外部-2（5）-改善策の具体的内容等</v>
      </c>
      <c r="AI98" s="1502"/>
      <c r="AJ98" s="1502"/>
      <c r="AK98" s="1502"/>
      <c r="AL98" s="1508"/>
      <c r="AM98" s="1508"/>
      <c r="AN98" s="1508"/>
      <c r="AO98" s="1508"/>
    </row>
    <row r="99" spans="1:41" ht="18.75" customHeight="1" x14ac:dyDescent="0.15">
      <c r="A99" s="1586"/>
      <c r="B99" s="1509"/>
      <c r="C99" s="1509"/>
      <c r="D99" s="1460">
        <f>'1_入力シート【基本情報】'!$BS$341</f>
        <v>0</v>
      </c>
      <c r="E99" s="1674">
        <f t="shared" si="8"/>
        <v>0</v>
      </c>
      <c r="F99" s="1674" t="str">
        <f t="shared" si="9"/>
        <v>0</v>
      </c>
      <c r="G99" s="1674" t="str">
        <f t="shared" si="10"/>
        <v>0</v>
      </c>
      <c r="H99" s="1542"/>
      <c r="I99" s="1509"/>
      <c r="J99" s="1535"/>
      <c r="K99" s="1509"/>
      <c r="L99" s="1509"/>
      <c r="M99" s="1509"/>
      <c r="N99" s="1509"/>
      <c r="O99" s="1509"/>
      <c r="P99" s="1509"/>
      <c r="Q99" s="1509"/>
      <c r="R99" s="1509"/>
      <c r="S99" s="1509"/>
      <c r="T99" s="1509"/>
      <c r="U99" s="1469">
        <v>23</v>
      </c>
      <c r="V99" s="1486" t="s">
        <v>33</v>
      </c>
      <c r="W99" s="1471" t="s">
        <v>1306</v>
      </c>
      <c r="X99" s="1472" t="s">
        <v>49</v>
      </c>
      <c r="Y99" s="1473" t="s">
        <v>1306</v>
      </c>
      <c r="Z99" s="1504" t="s">
        <v>1417</v>
      </c>
      <c r="AA99" s="1473" t="s">
        <v>1306</v>
      </c>
      <c r="AB99" s="1486" t="s">
        <v>352</v>
      </c>
      <c r="AC99" s="1499" t="s">
        <v>1366</v>
      </c>
      <c r="AD99" s="1500" t="s">
        <v>1387</v>
      </c>
      <c r="AE99" s="1501"/>
      <c r="AF99" s="1501"/>
      <c r="AG99" s="1457" t="str">
        <f t="shared" si="7"/>
        <v>23調査結果-建築物の外部-2（5）-改善（予定）年月-年（令和）</v>
      </c>
      <c r="AI99" s="1502"/>
      <c r="AJ99" s="1502"/>
      <c r="AK99" s="1502"/>
      <c r="AL99" s="1508"/>
      <c r="AM99" s="1508"/>
      <c r="AN99" s="1508"/>
      <c r="AO99" s="1508"/>
    </row>
    <row r="100" spans="1:41" ht="18.75" customHeight="1" x14ac:dyDescent="0.15">
      <c r="A100" s="1586"/>
      <c r="B100" s="1509"/>
      <c r="C100" s="1509"/>
      <c r="D100" s="1460">
        <f>'1_入力シート【基本情報】'!$BV$341</f>
        <v>0</v>
      </c>
      <c r="E100" s="1674">
        <f t="shared" si="8"/>
        <v>0</v>
      </c>
      <c r="F100" s="1674" t="str">
        <f t="shared" si="9"/>
        <v>0</v>
      </c>
      <c r="G100" s="1674" t="str">
        <f t="shared" si="10"/>
        <v>0</v>
      </c>
      <c r="H100" s="1542"/>
      <c r="I100" s="1509"/>
      <c r="J100" s="1535"/>
      <c r="K100" s="1509"/>
      <c r="L100" s="1509"/>
      <c r="M100" s="1509"/>
      <c r="N100" s="1509"/>
      <c r="O100" s="1509"/>
      <c r="P100" s="1509"/>
      <c r="Q100" s="1509"/>
      <c r="R100" s="1509"/>
      <c r="S100" s="1509"/>
      <c r="T100" s="1509"/>
      <c r="U100" s="1469">
        <v>23</v>
      </c>
      <c r="V100" s="1486" t="s">
        <v>33</v>
      </c>
      <c r="W100" s="1471" t="s">
        <v>1306</v>
      </c>
      <c r="X100" s="1472" t="s">
        <v>49</v>
      </c>
      <c r="Y100" s="1473" t="s">
        <v>1306</v>
      </c>
      <c r="Z100" s="1504" t="s">
        <v>1417</v>
      </c>
      <c r="AA100" s="1473" t="s">
        <v>1306</v>
      </c>
      <c r="AB100" s="1486" t="s">
        <v>352</v>
      </c>
      <c r="AC100" s="1499" t="s">
        <v>1366</v>
      </c>
      <c r="AD100" s="1500" t="s">
        <v>348</v>
      </c>
      <c r="AE100" s="1501"/>
      <c r="AF100" s="1501"/>
      <c r="AG100" s="1457" t="str">
        <f t="shared" si="7"/>
        <v>23調査結果-建築物の外部-2（5）-改善（予定）年月-月</v>
      </c>
      <c r="AI100" s="1502"/>
      <c r="AJ100" s="1502"/>
      <c r="AK100" s="1502"/>
      <c r="AL100" s="1508"/>
      <c r="AM100" s="1508"/>
      <c r="AN100" s="1508"/>
      <c r="AO100" s="1508"/>
    </row>
    <row r="101" spans="1:41" ht="18.75" customHeight="1" x14ac:dyDescent="0.15">
      <c r="A101" s="1586"/>
      <c r="B101" s="1509"/>
      <c r="C101" s="1509"/>
      <c r="D101" s="1460">
        <f>'1_入力シート【基本情報】'!$BY$341</f>
        <v>0</v>
      </c>
      <c r="E101" s="1674">
        <f t="shared" si="8"/>
        <v>0</v>
      </c>
      <c r="F101" s="1674" t="str">
        <f t="shared" si="9"/>
        <v>0</v>
      </c>
      <c r="G101" s="1674" t="str">
        <f t="shared" si="10"/>
        <v>0</v>
      </c>
      <c r="H101" s="1542"/>
      <c r="I101" s="1509"/>
      <c r="J101" s="1535"/>
      <c r="K101" s="1509"/>
      <c r="L101" s="1509"/>
      <c r="M101" s="1509"/>
      <c r="N101" s="1509"/>
      <c r="O101" s="1509"/>
      <c r="P101" s="1509"/>
      <c r="Q101" s="1509"/>
      <c r="R101" s="1509"/>
      <c r="S101" s="1509"/>
      <c r="T101" s="1509"/>
      <c r="U101" s="1469">
        <v>23</v>
      </c>
      <c r="V101" s="1486" t="s">
        <v>33</v>
      </c>
      <c r="W101" s="1471" t="s">
        <v>1306</v>
      </c>
      <c r="X101" s="1472" t="s">
        <v>49</v>
      </c>
      <c r="Y101" s="1473" t="s">
        <v>1306</v>
      </c>
      <c r="Z101" s="1504" t="s">
        <v>1417</v>
      </c>
      <c r="AA101" s="1473" t="s">
        <v>1306</v>
      </c>
      <c r="AB101" s="1470" t="s">
        <v>352</v>
      </c>
      <c r="AC101" s="1499" t="s">
        <v>1366</v>
      </c>
      <c r="AD101" s="1500" t="s">
        <v>640</v>
      </c>
      <c r="AE101" s="1501"/>
      <c r="AF101" s="1501"/>
      <c r="AG101" s="1457" t="str">
        <f t="shared" si="7"/>
        <v>23調査結果-建築物の外部-2（5）-改善（予定）年月-未定</v>
      </c>
      <c r="AI101" s="1502"/>
      <c r="AJ101" s="1502"/>
      <c r="AK101" s="1502"/>
      <c r="AL101" s="1508"/>
      <c r="AM101" s="1508"/>
      <c r="AN101" s="1508"/>
      <c r="AO101" s="1508"/>
    </row>
    <row r="102" spans="1:41" ht="18.75" customHeight="1" x14ac:dyDescent="0.15">
      <c r="A102" s="1586"/>
      <c r="B102" s="1509"/>
      <c r="C102" s="1509"/>
      <c r="D102" s="1460">
        <f>'1_入力シート【基本情報】'!$AF$342</f>
        <v>0</v>
      </c>
      <c r="E102" s="1674">
        <f t="shared" si="8"/>
        <v>0</v>
      </c>
      <c r="F102" s="1674" t="str">
        <f t="shared" si="9"/>
        <v>0</v>
      </c>
      <c r="G102" s="1674" t="str">
        <f t="shared" si="10"/>
        <v>0</v>
      </c>
      <c r="H102" s="1542"/>
      <c r="I102" s="1509"/>
      <c r="J102" s="1535"/>
      <c r="K102" s="1509"/>
      <c r="L102" s="1509"/>
      <c r="M102" s="1509"/>
      <c r="N102" s="1509"/>
      <c r="O102" s="1509"/>
      <c r="P102" s="1509"/>
      <c r="Q102" s="1509"/>
      <c r="R102" s="1509"/>
      <c r="S102" s="1509"/>
      <c r="T102" s="1509"/>
      <c r="U102" s="1469">
        <v>23</v>
      </c>
      <c r="V102" s="1486" t="s">
        <v>33</v>
      </c>
      <c r="W102" s="1471" t="s">
        <v>1306</v>
      </c>
      <c r="X102" s="1472" t="s">
        <v>49</v>
      </c>
      <c r="Y102" s="1473" t="s">
        <v>1306</v>
      </c>
      <c r="Z102" s="1504" t="s">
        <v>1418</v>
      </c>
      <c r="AA102" s="1473" t="s">
        <v>1306</v>
      </c>
      <c r="AB102" s="1470" t="s">
        <v>33</v>
      </c>
      <c r="AC102" s="1499"/>
      <c r="AD102" s="1500"/>
      <c r="AE102" s="1501"/>
      <c r="AF102" s="1501"/>
      <c r="AG102" s="1457" t="str">
        <f t="shared" si="7"/>
        <v>23調査結果-建築物の外部-2（6）-調査結果</v>
      </c>
      <c r="AI102" s="1502"/>
      <c r="AJ102" s="1502"/>
      <c r="AK102" s="1502"/>
      <c r="AL102" s="1508"/>
      <c r="AM102" s="1508"/>
      <c r="AN102" s="1508"/>
      <c r="AO102" s="1508"/>
    </row>
    <row r="103" spans="1:41" ht="18.75" customHeight="1" x14ac:dyDescent="0.15">
      <c r="A103" s="1586"/>
      <c r="B103" s="1509"/>
      <c r="C103" s="1509"/>
      <c r="D103" s="1460">
        <f>'1_入力シート【基本情報】'!$AR$342</f>
        <v>0</v>
      </c>
      <c r="E103" s="1674">
        <f t="shared" si="8"/>
        <v>0</v>
      </c>
      <c r="F103" s="1674" t="str">
        <f t="shared" si="9"/>
        <v>0</v>
      </c>
      <c r="G103" s="1674" t="str">
        <f t="shared" si="10"/>
        <v>0</v>
      </c>
      <c r="H103" s="1542"/>
      <c r="I103" s="1509"/>
      <c r="J103" s="1535"/>
      <c r="K103" s="1509"/>
      <c r="L103" s="1509"/>
      <c r="M103" s="1509"/>
      <c r="N103" s="1509"/>
      <c r="O103" s="1509"/>
      <c r="P103" s="1509"/>
      <c r="Q103" s="1509"/>
      <c r="R103" s="1509"/>
      <c r="S103" s="1509"/>
      <c r="T103" s="1509"/>
      <c r="U103" s="1469">
        <v>23</v>
      </c>
      <c r="V103" s="1486" t="s">
        <v>33</v>
      </c>
      <c r="W103" s="1471" t="s">
        <v>1306</v>
      </c>
      <c r="X103" s="1472" t="s">
        <v>49</v>
      </c>
      <c r="Y103" s="1473" t="s">
        <v>1306</v>
      </c>
      <c r="Z103" s="1504" t="s">
        <v>1418</v>
      </c>
      <c r="AA103" s="1473" t="s">
        <v>1306</v>
      </c>
      <c r="AB103" s="1470" t="s">
        <v>30</v>
      </c>
      <c r="AC103" s="1499"/>
      <c r="AD103" s="1500"/>
      <c r="AE103" s="1501"/>
      <c r="AF103" s="1501"/>
      <c r="AG103" s="1457" t="str">
        <f t="shared" si="7"/>
        <v>23調査結果-建築物の外部-2（6）-調査者番号</v>
      </c>
      <c r="AI103" s="1502"/>
      <c r="AJ103" s="1502"/>
      <c r="AK103" s="1502"/>
      <c r="AL103" s="1508"/>
      <c r="AM103" s="1508"/>
      <c r="AN103" s="1508"/>
      <c r="AO103" s="1508"/>
    </row>
    <row r="104" spans="1:41" ht="18.75" customHeight="1" x14ac:dyDescent="0.15">
      <c r="A104" s="1586"/>
      <c r="B104" s="1509"/>
      <c r="C104" s="1509"/>
      <c r="D104" s="1460">
        <f>'1_入力シート【基本情報】'!$AT$342</f>
        <v>0</v>
      </c>
      <c r="E104" s="1674">
        <f t="shared" si="8"/>
        <v>0</v>
      </c>
      <c r="F104" s="1674" t="str">
        <f t="shared" si="9"/>
        <v>0</v>
      </c>
      <c r="G104" s="1674" t="str">
        <f t="shared" si="10"/>
        <v>0</v>
      </c>
      <c r="H104" s="1542"/>
      <c r="I104" s="1509"/>
      <c r="J104" s="1535"/>
      <c r="K104" s="1509"/>
      <c r="L104" s="1509"/>
      <c r="M104" s="1509"/>
      <c r="N104" s="1509"/>
      <c r="O104" s="1509"/>
      <c r="P104" s="1509"/>
      <c r="Q104" s="1509"/>
      <c r="R104" s="1509"/>
      <c r="S104" s="1509"/>
      <c r="T104" s="1509"/>
      <c r="U104" s="1469">
        <v>23</v>
      </c>
      <c r="V104" s="1486" t="s">
        <v>33</v>
      </c>
      <c r="W104" s="1471" t="s">
        <v>1306</v>
      </c>
      <c r="X104" s="1472" t="s">
        <v>49</v>
      </c>
      <c r="Y104" s="1473" t="s">
        <v>1306</v>
      </c>
      <c r="Z104" s="1504" t="s">
        <v>1418</v>
      </c>
      <c r="AA104" s="1473" t="s">
        <v>1306</v>
      </c>
      <c r="AB104" s="1470" t="s">
        <v>1402</v>
      </c>
      <c r="AC104" s="1499"/>
      <c r="AD104" s="1500"/>
      <c r="AE104" s="1501"/>
      <c r="AF104" s="1501"/>
      <c r="AG104" s="1457" t="str">
        <f t="shared" si="7"/>
        <v>23調査結果-建築物の外部-2（6）-指摘の具体的内容等</v>
      </c>
      <c r="AI104" s="1502"/>
      <c r="AJ104" s="1502"/>
      <c r="AK104" s="1502"/>
      <c r="AL104" s="1508"/>
      <c r="AM104" s="1508"/>
      <c r="AN104" s="1508"/>
      <c r="AO104" s="1508"/>
    </row>
    <row r="105" spans="1:41" ht="18.75" customHeight="1" x14ac:dyDescent="0.15">
      <c r="A105" s="1586"/>
      <c r="B105" s="1509"/>
      <c r="C105" s="1509"/>
      <c r="D105" s="1460">
        <f>'1_入力シート【基本情報】'!$BD$342</f>
        <v>0</v>
      </c>
      <c r="E105" s="1674">
        <f t="shared" si="8"/>
        <v>0</v>
      </c>
      <c r="F105" s="1674" t="str">
        <f t="shared" si="9"/>
        <v>0</v>
      </c>
      <c r="G105" s="1674" t="str">
        <f t="shared" si="10"/>
        <v>0</v>
      </c>
      <c r="H105" s="1542"/>
      <c r="I105" s="1509"/>
      <c r="J105" s="1535"/>
      <c r="K105" s="1509"/>
      <c r="L105" s="1509"/>
      <c r="M105" s="1509"/>
      <c r="N105" s="1509"/>
      <c r="O105" s="1509"/>
      <c r="P105" s="1509"/>
      <c r="Q105" s="1509"/>
      <c r="R105" s="1509"/>
      <c r="S105" s="1509"/>
      <c r="T105" s="1509"/>
      <c r="U105" s="1469">
        <v>23</v>
      </c>
      <c r="V105" s="1486" t="s">
        <v>33</v>
      </c>
      <c r="W105" s="1471" t="s">
        <v>1306</v>
      </c>
      <c r="X105" s="1472" t="s">
        <v>49</v>
      </c>
      <c r="Y105" s="1473" t="s">
        <v>1306</v>
      </c>
      <c r="Z105" s="1504" t="s">
        <v>1418</v>
      </c>
      <c r="AA105" s="1473" t="s">
        <v>1306</v>
      </c>
      <c r="AB105" s="1486" t="s">
        <v>1403</v>
      </c>
      <c r="AC105" s="1499"/>
      <c r="AD105" s="1500"/>
      <c r="AE105" s="1501"/>
      <c r="AF105" s="1501"/>
      <c r="AG105" s="1457" t="str">
        <f t="shared" si="7"/>
        <v>23調査結果-建築物の外部-2（6）-改善策の具体的内容等</v>
      </c>
      <c r="AI105" s="1502"/>
      <c r="AJ105" s="1502"/>
      <c r="AK105" s="1502"/>
      <c r="AL105" s="1508"/>
      <c r="AM105" s="1508"/>
      <c r="AN105" s="1508"/>
      <c r="AO105" s="1508"/>
    </row>
    <row r="106" spans="1:41" ht="18.75" customHeight="1" x14ac:dyDescent="0.15">
      <c r="A106" s="1586"/>
      <c r="B106" s="1509"/>
      <c r="C106" s="1509"/>
      <c r="D106" s="1460">
        <f>'1_入力シート【基本情報】'!$BS$342</f>
        <v>0</v>
      </c>
      <c r="E106" s="1674">
        <f t="shared" si="8"/>
        <v>0</v>
      </c>
      <c r="F106" s="1674" t="str">
        <f t="shared" si="9"/>
        <v>0</v>
      </c>
      <c r="G106" s="1674" t="str">
        <f t="shared" si="10"/>
        <v>0</v>
      </c>
      <c r="H106" s="1542"/>
      <c r="I106" s="1509"/>
      <c r="J106" s="1535"/>
      <c r="K106" s="1509"/>
      <c r="L106" s="1509"/>
      <c r="M106" s="1509"/>
      <c r="N106" s="1509"/>
      <c r="O106" s="1509"/>
      <c r="P106" s="1509"/>
      <c r="Q106" s="1509"/>
      <c r="R106" s="1509"/>
      <c r="S106" s="1509"/>
      <c r="T106" s="1509"/>
      <c r="U106" s="1469">
        <v>23</v>
      </c>
      <c r="V106" s="1486" t="s">
        <v>33</v>
      </c>
      <c r="W106" s="1471" t="s">
        <v>1306</v>
      </c>
      <c r="X106" s="1472" t="s">
        <v>49</v>
      </c>
      <c r="Y106" s="1473" t="s">
        <v>1306</v>
      </c>
      <c r="Z106" s="1504" t="s">
        <v>1418</v>
      </c>
      <c r="AA106" s="1473" t="s">
        <v>1306</v>
      </c>
      <c r="AB106" s="1486" t="s">
        <v>352</v>
      </c>
      <c r="AC106" s="1499" t="s">
        <v>1366</v>
      </c>
      <c r="AD106" s="1500" t="s">
        <v>1387</v>
      </c>
      <c r="AE106" s="1501"/>
      <c r="AF106" s="1501"/>
      <c r="AG106" s="1457" t="str">
        <f t="shared" si="7"/>
        <v>23調査結果-建築物の外部-2（6）-改善（予定）年月-年（令和）</v>
      </c>
      <c r="AI106" s="1502"/>
      <c r="AJ106" s="1502"/>
      <c r="AK106" s="1502"/>
      <c r="AL106" s="1508"/>
      <c r="AM106" s="1508"/>
      <c r="AN106" s="1508"/>
      <c r="AO106" s="1508"/>
    </row>
    <row r="107" spans="1:41" ht="18.75" customHeight="1" x14ac:dyDescent="0.15">
      <c r="A107" s="1586"/>
      <c r="B107" s="1509"/>
      <c r="C107" s="1509"/>
      <c r="D107" s="1460">
        <f>'1_入力シート【基本情報】'!$BV$342</f>
        <v>0</v>
      </c>
      <c r="E107" s="1674">
        <f t="shared" si="8"/>
        <v>0</v>
      </c>
      <c r="F107" s="1674" t="str">
        <f t="shared" si="9"/>
        <v>0</v>
      </c>
      <c r="G107" s="1674" t="str">
        <f t="shared" si="10"/>
        <v>0</v>
      </c>
      <c r="H107" s="1542"/>
      <c r="I107" s="1509"/>
      <c r="J107" s="1535"/>
      <c r="K107" s="1509"/>
      <c r="L107" s="1509"/>
      <c r="M107" s="1509"/>
      <c r="N107" s="1509"/>
      <c r="O107" s="1509"/>
      <c r="P107" s="1509"/>
      <c r="Q107" s="1509"/>
      <c r="R107" s="1509"/>
      <c r="S107" s="1509"/>
      <c r="T107" s="1509"/>
      <c r="U107" s="1469">
        <v>23</v>
      </c>
      <c r="V107" s="1486" t="s">
        <v>33</v>
      </c>
      <c r="W107" s="1471" t="s">
        <v>1306</v>
      </c>
      <c r="X107" s="1472" t="s">
        <v>49</v>
      </c>
      <c r="Y107" s="1473" t="s">
        <v>1306</v>
      </c>
      <c r="Z107" s="1504" t="s">
        <v>1418</v>
      </c>
      <c r="AA107" s="1473" t="s">
        <v>1306</v>
      </c>
      <c r="AB107" s="1486" t="s">
        <v>352</v>
      </c>
      <c r="AC107" s="1499" t="s">
        <v>1366</v>
      </c>
      <c r="AD107" s="1500" t="s">
        <v>348</v>
      </c>
      <c r="AE107" s="1501"/>
      <c r="AF107" s="1501"/>
      <c r="AG107" s="1457" t="str">
        <f t="shared" si="7"/>
        <v>23調査結果-建築物の外部-2（6）-改善（予定）年月-月</v>
      </c>
      <c r="AI107" s="1502"/>
      <c r="AJ107" s="1502"/>
      <c r="AK107" s="1502"/>
      <c r="AL107" s="1508"/>
      <c r="AM107" s="1508"/>
      <c r="AN107" s="1508"/>
      <c r="AO107" s="1508"/>
    </row>
    <row r="108" spans="1:41" ht="18.75" customHeight="1" x14ac:dyDescent="0.15">
      <c r="A108" s="1586"/>
      <c r="B108" s="1509"/>
      <c r="C108" s="1509"/>
      <c r="D108" s="1460">
        <f>'1_入力シート【基本情報】'!$BY$342</f>
        <v>0</v>
      </c>
      <c r="E108" s="1674">
        <f t="shared" si="8"/>
        <v>0</v>
      </c>
      <c r="F108" s="1674" t="str">
        <f t="shared" si="9"/>
        <v>0</v>
      </c>
      <c r="G108" s="1674" t="str">
        <f t="shared" si="10"/>
        <v>0</v>
      </c>
      <c r="H108" s="1542"/>
      <c r="I108" s="1509"/>
      <c r="J108" s="1535"/>
      <c r="K108" s="1509"/>
      <c r="L108" s="1509"/>
      <c r="M108" s="1509"/>
      <c r="N108" s="1509"/>
      <c r="O108" s="1509"/>
      <c r="P108" s="1509"/>
      <c r="Q108" s="1509"/>
      <c r="R108" s="1509"/>
      <c r="S108" s="1509"/>
      <c r="T108" s="1509"/>
      <c r="U108" s="1469">
        <v>23</v>
      </c>
      <c r="V108" s="1486" t="s">
        <v>33</v>
      </c>
      <c r="W108" s="1471" t="s">
        <v>1306</v>
      </c>
      <c r="X108" s="1472" t="s">
        <v>49</v>
      </c>
      <c r="Y108" s="1473" t="s">
        <v>1306</v>
      </c>
      <c r="Z108" s="1504" t="s">
        <v>1418</v>
      </c>
      <c r="AA108" s="1473" t="s">
        <v>1306</v>
      </c>
      <c r="AB108" s="1486" t="s">
        <v>352</v>
      </c>
      <c r="AC108" s="1499" t="s">
        <v>1366</v>
      </c>
      <c r="AD108" s="1500" t="s">
        <v>640</v>
      </c>
      <c r="AE108" s="1501"/>
      <c r="AF108" s="1501"/>
      <c r="AG108" s="1457" t="str">
        <f t="shared" si="7"/>
        <v>23調査結果-建築物の外部-2（6）-改善（予定）年月-未定</v>
      </c>
      <c r="AI108" s="1502"/>
      <c r="AJ108" s="1502"/>
      <c r="AK108" s="1502"/>
      <c r="AL108" s="1508"/>
      <c r="AM108" s="1508"/>
      <c r="AN108" s="1508"/>
      <c r="AO108" s="1508"/>
    </row>
    <row r="109" spans="1:41" ht="18.75" customHeight="1" x14ac:dyDescent="0.15">
      <c r="A109" s="1586"/>
      <c r="B109" s="1509"/>
      <c r="C109" s="1509"/>
      <c r="D109" s="1460">
        <f>'1_入力シート【基本情報】'!$AF$343</f>
        <v>0</v>
      </c>
      <c r="E109" s="1674">
        <f t="shared" si="8"/>
        <v>0</v>
      </c>
      <c r="F109" s="1674" t="str">
        <f t="shared" si="9"/>
        <v>0</v>
      </c>
      <c r="G109" s="1674" t="str">
        <f t="shared" si="10"/>
        <v>0</v>
      </c>
      <c r="H109" s="1542"/>
      <c r="I109" s="1509"/>
      <c r="J109" s="1535"/>
      <c r="K109" s="1509"/>
      <c r="L109" s="1509"/>
      <c r="M109" s="1509"/>
      <c r="N109" s="1509"/>
      <c r="O109" s="1509"/>
      <c r="P109" s="1509"/>
      <c r="Q109" s="1509"/>
      <c r="R109" s="1509"/>
      <c r="S109" s="1509"/>
      <c r="T109" s="1509"/>
      <c r="U109" s="1469">
        <v>23</v>
      </c>
      <c r="V109" s="1486" t="s">
        <v>33</v>
      </c>
      <c r="W109" s="1471" t="s">
        <v>1306</v>
      </c>
      <c r="X109" s="1472" t="s">
        <v>49</v>
      </c>
      <c r="Y109" s="1473" t="s">
        <v>1306</v>
      </c>
      <c r="Z109" s="1504" t="s">
        <v>1419</v>
      </c>
      <c r="AA109" s="1473" t="s">
        <v>1306</v>
      </c>
      <c r="AB109" s="1470" t="s">
        <v>33</v>
      </c>
      <c r="AC109" s="1499"/>
      <c r="AD109" s="1500"/>
      <c r="AE109" s="1501"/>
      <c r="AF109" s="1501"/>
      <c r="AG109" s="1457" t="str">
        <f t="shared" si="7"/>
        <v>23調査結果-建築物の外部-2（7）-調査結果</v>
      </c>
      <c r="AI109" s="1502"/>
      <c r="AJ109" s="1502"/>
      <c r="AK109" s="1502"/>
      <c r="AL109" s="1508"/>
      <c r="AM109" s="1508"/>
      <c r="AN109" s="1508"/>
      <c r="AO109" s="1508"/>
    </row>
    <row r="110" spans="1:41" ht="18.75" customHeight="1" x14ac:dyDescent="0.15">
      <c r="A110" s="1586"/>
      <c r="B110" s="1509"/>
      <c r="C110" s="1509"/>
      <c r="D110" s="1460">
        <f>'1_入力シート【基本情報】'!$AR$343</f>
        <v>0</v>
      </c>
      <c r="E110" s="1674">
        <f t="shared" si="8"/>
        <v>0</v>
      </c>
      <c r="F110" s="1674" t="str">
        <f t="shared" si="9"/>
        <v>0</v>
      </c>
      <c r="G110" s="1674" t="str">
        <f t="shared" si="10"/>
        <v>0</v>
      </c>
      <c r="H110" s="1542"/>
      <c r="I110" s="1509"/>
      <c r="J110" s="1535"/>
      <c r="K110" s="1509"/>
      <c r="L110" s="1509"/>
      <c r="M110" s="1509"/>
      <c r="N110" s="1509"/>
      <c r="O110" s="1509"/>
      <c r="P110" s="1509"/>
      <c r="Q110" s="1509"/>
      <c r="R110" s="1509"/>
      <c r="S110" s="1509"/>
      <c r="T110" s="1509"/>
      <c r="U110" s="1469">
        <v>23</v>
      </c>
      <c r="V110" s="1486" t="s">
        <v>33</v>
      </c>
      <c r="W110" s="1471" t="s">
        <v>1306</v>
      </c>
      <c r="X110" s="1472" t="s">
        <v>49</v>
      </c>
      <c r="Y110" s="1473" t="s">
        <v>1306</v>
      </c>
      <c r="Z110" s="1504" t="s">
        <v>1419</v>
      </c>
      <c r="AA110" s="1473" t="s">
        <v>1306</v>
      </c>
      <c r="AB110" s="1470" t="s">
        <v>30</v>
      </c>
      <c r="AC110" s="1499"/>
      <c r="AD110" s="1500"/>
      <c r="AE110" s="1501"/>
      <c r="AF110" s="1501"/>
      <c r="AG110" s="1457" t="str">
        <f t="shared" si="7"/>
        <v>23調査結果-建築物の外部-2（7）-調査者番号</v>
      </c>
      <c r="AI110" s="1502"/>
      <c r="AJ110" s="1502"/>
      <c r="AK110" s="1502"/>
      <c r="AL110" s="1508"/>
      <c r="AM110" s="1508"/>
      <c r="AN110" s="1508"/>
      <c r="AO110" s="1508"/>
    </row>
    <row r="111" spans="1:41" ht="18.75" customHeight="1" x14ac:dyDescent="0.15">
      <c r="A111" s="1586"/>
      <c r="B111" s="1509"/>
      <c r="C111" s="1509"/>
      <c r="D111" s="1460">
        <f>'1_入力シート【基本情報】'!$AT$343</f>
        <v>0</v>
      </c>
      <c r="E111" s="1674">
        <f t="shared" si="8"/>
        <v>0</v>
      </c>
      <c r="F111" s="1674" t="str">
        <f t="shared" si="9"/>
        <v>0</v>
      </c>
      <c r="G111" s="1674" t="str">
        <f t="shared" si="10"/>
        <v>0</v>
      </c>
      <c r="H111" s="1542"/>
      <c r="I111" s="1509"/>
      <c r="J111" s="1535"/>
      <c r="K111" s="1509"/>
      <c r="L111" s="1509"/>
      <c r="M111" s="1509"/>
      <c r="N111" s="1509"/>
      <c r="O111" s="1509"/>
      <c r="P111" s="1509"/>
      <c r="Q111" s="1509"/>
      <c r="R111" s="1509"/>
      <c r="S111" s="1509"/>
      <c r="T111" s="1509"/>
      <c r="U111" s="1469">
        <v>23</v>
      </c>
      <c r="V111" s="1486" t="s">
        <v>33</v>
      </c>
      <c r="W111" s="1471" t="s">
        <v>1306</v>
      </c>
      <c r="X111" s="1472" t="s">
        <v>49</v>
      </c>
      <c r="Y111" s="1473" t="s">
        <v>1306</v>
      </c>
      <c r="Z111" s="1504" t="s">
        <v>1419</v>
      </c>
      <c r="AA111" s="1473" t="s">
        <v>1306</v>
      </c>
      <c r="AB111" s="1470" t="s">
        <v>1402</v>
      </c>
      <c r="AC111" s="1499"/>
      <c r="AD111" s="1500"/>
      <c r="AE111" s="1501"/>
      <c r="AF111" s="1501"/>
      <c r="AG111" s="1457" t="str">
        <f t="shared" si="7"/>
        <v>23調査結果-建築物の外部-2（7）-指摘の具体的内容等</v>
      </c>
      <c r="AI111" s="1502"/>
      <c r="AJ111" s="1502"/>
      <c r="AK111" s="1502"/>
      <c r="AL111" s="1508"/>
      <c r="AM111" s="1508"/>
      <c r="AN111" s="1508"/>
      <c r="AO111" s="1508"/>
    </row>
    <row r="112" spans="1:41" ht="18.75" customHeight="1" x14ac:dyDescent="0.15">
      <c r="A112" s="1586"/>
      <c r="B112" s="1509"/>
      <c r="C112" s="1509"/>
      <c r="D112" s="1460">
        <f>'1_入力シート【基本情報】'!$BD$343</f>
        <v>0</v>
      </c>
      <c r="E112" s="1674">
        <f t="shared" si="8"/>
        <v>0</v>
      </c>
      <c r="F112" s="1674" t="str">
        <f t="shared" si="9"/>
        <v>0</v>
      </c>
      <c r="G112" s="1674" t="str">
        <f t="shared" si="10"/>
        <v>0</v>
      </c>
      <c r="H112" s="1542"/>
      <c r="I112" s="1509"/>
      <c r="J112" s="1535"/>
      <c r="K112" s="1509"/>
      <c r="L112" s="1509"/>
      <c r="M112" s="1509"/>
      <c r="N112" s="1509"/>
      <c r="O112" s="1509"/>
      <c r="P112" s="1509"/>
      <c r="Q112" s="1509"/>
      <c r="R112" s="1509"/>
      <c r="S112" s="1509"/>
      <c r="T112" s="1509"/>
      <c r="U112" s="1469">
        <v>23</v>
      </c>
      <c r="V112" s="1486" t="s">
        <v>33</v>
      </c>
      <c r="W112" s="1471" t="s">
        <v>1306</v>
      </c>
      <c r="X112" s="1472" t="s">
        <v>49</v>
      </c>
      <c r="Y112" s="1473" t="s">
        <v>1306</v>
      </c>
      <c r="Z112" s="1504" t="s">
        <v>1419</v>
      </c>
      <c r="AA112" s="1473" t="s">
        <v>1306</v>
      </c>
      <c r="AB112" s="1470" t="s">
        <v>1403</v>
      </c>
      <c r="AC112" s="1499"/>
      <c r="AD112" s="1500"/>
      <c r="AE112" s="1501"/>
      <c r="AF112" s="1501"/>
      <c r="AG112" s="1457" t="str">
        <f t="shared" si="7"/>
        <v>23調査結果-建築物の外部-2（7）-改善策の具体的内容等</v>
      </c>
      <c r="AI112" s="1502"/>
      <c r="AJ112" s="1502"/>
      <c r="AK112" s="1502"/>
      <c r="AL112" s="1508"/>
      <c r="AM112" s="1508"/>
      <c r="AN112" s="1508"/>
      <c r="AO112" s="1508"/>
    </row>
    <row r="113" spans="1:41" ht="18.75" customHeight="1" x14ac:dyDescent="0.15">
      <c r="A113" s="1586"/>
      <c r="B113" s="1509"/>
      <c r="C113" s="1509"/>
      <c r="D113" s="1460">
        <f>'1_入力シート【基本情報】'!$BS$343</f>
        <v>0</v>
      </c>
      <c r="E113" s="1674">
        <f t="shared" si="8"/>
        <v>0</v>
      </c>
      <c r="F113" s="1674" t="str">
        <f t="shared" si="9"/>
        <v>0</v>
      </c>
      <c r="G113" s="1674" t="str">
        <f t="shared" si="10"/>
        <v>0</v>
      </c>
      <c r="H113" s="1542"/>
      <c r="I113" s="1509"/>
      <c r="J113" s="1535"/>
      <c r="K113" s="1509"/>
      <c r="L113" s="1509"/>
      <c r="M113" s="1509"/>
      <c r="N113" s="1509"/>
      <c r="O113" s="1509"/>
      <c r="P113" s="1509"/>
      <c r="Q113" s="1509"/>
      <c r="R113" s="1509"/>
      <c r="S113" s="1509"/>
      <c r="T113" s="1509"/>
      <c r="U113" s="1469">
        <v>23</v>
      </c>
      <c r="V113" s="1486" t="s">
        <v>33</v>
      </c>
      <c r="W113" s="1471" t="s">
        <v>1306</v>
      </c>
      <c r="X113" s="1472" t="s">
        <v>49</v>
      </c>
      <c r="Y113" s="1473" t="s">
        <v>1306</v>
      </c>
      <c r="Z113" s="1504" t="s">
        <v>1419</v>
      </c>
      <c r="AA113" s="1473" t="s">
        <v>1306</v>
      </c>
      <c r="AB113" s="1486" t="s">
        <v>352</v>
      </c>
      <c r="AC113" s="1499" t="s">
        <v>1366</v>
      </c>
      <c r="AD113" s="1500" t="s">
        <v>1387</v>
      </c>
      <c r="AE113" s="1501"/>
      <c r="AF113" s="1501"/>
      <c r="AG113" s="1457" t="str">
        <f t="shared" si="7"/>
        <v>23調査結果-建築物の外部-2（7）-改善（予定）年月-年（令和）</v>
      </c>
      <c r="AI113" s="1502"/>
      <c r="AJ113" s="1502"/>
      <c r="AK113" s="1502"/>
      <c r="AL113" s="1508"/>
      <c r="AM113" s="1508"/>
      <c r="AN113" s="1508"/>
      <c r="AO113" s="1508"/>
    </row>
    <row r="114" spans="1:41" ht="18.75" customHeight="1" x14ac:dyDescent="0.15">
      <c r="A114" s="1586"/>
      <c r="B114" s="1509"/>
      <c r="C114" s="1509"/>
      <c r="D114" s="1460">
        <f>'1_入力シート【基本情報】'!$BV$343</f>
        <v>0</v>
      </c>
      <c r="E114" s="1674">
        <f t="shared" si="8"/>
        <v>0</v>
      </c>
      <c r="F114" s="1674" t="str">
        <f t="shared" si="9"/>
        <v>0</v>
      </c>
      <c r="G114" s="1674" t="str">
        <f t="shared" si="10"/>
        <v>0</v>
      </c>
      <c r="H114" s="1542"/>
      <c r="I114" s="1509"/>
      <c r="J114" s="1535"/>
      <c r="K114" s="1509"/>
      <c r="L114" s="1509"/>
      <c r="M114" s="1509"/>
      <c r="N114" s="1509"/>
      <c r="O114" s="1509"/>
      <c r="P114" s="1509"/>
      <c r="Q114" s="1509"/>
      <c r="R114" s="1509"/>
      <c r="S114" s="1509"/>
      <c r="T114" s="1509"/>
      <c r="U114" s="1469">
        <v>23</v>
      </c>
      <c r="V114" s="1486" t="s">
        <v>33</v>
      </c>
      <c r="W114" s="1471" t="s">
        <v>1306</v>
      </c>
      <c r="X114" s="1472" t="s">
        <v>49</v>
      </c>
      <c r="Y114" s="1473" t="s">
        <v>1306</v>
      </c>
      <c r="Z114" s="1504" t="s">
        <v>1419</v>
      </c>
      <c r="AA114" s="1473" t="s">
        <v>1306</v>
      </c>
      <c r="AB114" s="1486" t="s">
        <v>352</v>
      </c>
      <c r="AC114" s="1499" t="s">
        <v>1366</v>
      </c>
      <c r="AD114" s="1500" t="s">
        <v>348</v>
      </c>
      <c r="AE114" s="1501"/>
      <c r="AF114" s="1501"/>
      <c r="AG114" s="1457" t="str">
        <f t="shared" si="7"/>
        <v>23調査結果-建築物の外部-2（7）-改善（予定）年月-月</v>
      </c>
      <c r="AI114" s="1502"/>
      <c r="AJ114" s="1502"/>
      <c r="AK114" s="1502"/>
    </row>
    <row r="115" spans="1:41" ht="18.75" customHeight="1" x14ac:dyDescent="0.15">
      <c r="A115" s="1586"/>
      <c r="B115" s="1509"/>
      <c r="C115" s="1509"/>
      <c r="D115" s="1460">
        <f>'1_入力シート【基本情報】'!$BY$343</f>
        <v>0</v>
      </c>
      <c r="E115" s="1674">
        <f t="shared" si="8"/>
        <v>0</v>
      </c>
      <c r="F115" s="1674" t="str">
        <f t="shared" si="9"/>
        <v>0</v>
      </c>
      <c r="G115" s="1674" t="str">
        <f t="shared" si="10"/>
        <v>0</v>
      </c>
      <c r="H115" s="1542"/>
      <c r="I115" s="1509"/>
      <c r="J115" s="1535"/>
      <c r="K115" s="1509"/>
      <c r="L115" s="1509"/>
      <c r="M115" s="1509"/>
      <c r="N115" s="1509"/>
      <c r="O115" s="1509"/>
      <c r="P115" s="1509"/>
      <c r="Q115" s="1509"/>
      <c r="R115" s="1509"/>
      <c r="S115" s="1509"/>
      <c r="T115" s="1509"/>
      <c r="U115" s="1469">
        <v>23</v>
      </c>
      <c r="V115" s="1486" t="s">
        <v>33</v>
      </c>
      <c r="W115" s="1471" t="s">
        <v>1306</v>
      </c>
      <c r="X115" s="1472" t="s">
        <v>49</v>
      </c>
      <c r="Y115" s="1473" t="s">
        <v>1306</v>
      </c>
      <c r="Z115" s="1504" t="s">
        <v>1419</v>
      </c>
      <c r="AA115" s="1473" t="s">
        <v>1306</v>
      </c>
      <c r="AB115" s="1486" t="s">
        <v>352</v>
      </c>
      <c r="AC115" s="1499" t="s">
        <v>1366</v>
      </c>
      <c r="AD115" s="1500" t="s">
        <v>640</v>
      </c>
      <c r="AE115" s="1501"/>
      <c r="AF115" s="1501"/>
      <c r="AG115" s="1457" t="str">
        <f t="shared" si="7"/>
        <v>23調査結果-建築物の外部-2（7）-改善（予定）年月-未定</v>
      </c>
      <c r="AI115" s="1502"/>
      <c r="AJ115" s="1502"/>
      <c r="AK115" s="1502"/>
      <c r="AL115" s="1508"/>
      <c r="AM115" s="1508"/>
      <c r="AN115" s="1508"/>
      <c r="AO115" s="1508"/>
    </row>
    <row r="116" spans="1:41" ht="18.75" customHeight="1" x14ac:dyDescent="0.15">
      <c r="A116" s="1586"/>
      <c r="B116" s="1509"/>
      <c r="C116" s="1509"/>
      <c r="D116" s="1460">
        <f>'1_入力シート【基本情報】'!$AF$344</f>
        <v>0</v>
      </c>
      <c r="E116" s="1674">
        <f t="shared" si="8"/>
        <v>0</v>
      </c>
      <c r="F116" s="1674" t="str">
        <f t="shared" si="9"/>
        <v>0</v>
      </c>
      <c r="G116" s="1674" t="str">
        <f t="shared" si="10"/>
        <v>0</v>
      </c>
      <c r="H116" s="1542"/>
      <c r="I116" s="1509"/>
      <c r="J116" s="1535"/>
      <c r="K116" s="1509"/>
      <c r="L116" s="1509"/>
      <c r="M116" s="1509"/>
      <c r="N116" s="1509"/>
      <c r="O116" s="1509"/>
      <c r="P116" s="1509"/>
      <c r="Q116" s="1509"/>
      <c r="R116" s="1509"/>
      <c r="S116" s="1509"/>
      <c r="T116" s="1509"/>
      <c r="U116" s="1469">
        <v>23</v>
      </c>
      <c r="V116" s="1486" t="s">
        <v>33</v>
      </c>
      <c r="W116" s="1471" t="s">
        <v>1306</v>
      </c>
      <c r="X116" s="1472" t="s">
        <v>49</v>
      </c>
      <c r="Y116" s="1473" t="s">
        <v>1306</v>
      </c>
      <c r="Z116" s="1504" t="s">
        <v>1420</v>
      </c>
      <c r="AA116" s="1473" t="s">
        <v>1306</v>
      </c>
      <c r="AB116" s="1486" t="s">
        <v>33</v>
      </c>
      <c r="AC116" s="1499"/>
      <c r="AD116" s="1500"/>
      <c r="AE116" s="1501"/>
      <c r="AF116" s="1501"/>
      <c r="AG116" s="1457" t="str">
        <f t="shared" si="7"/>
        <v>23調査結果-建築物の外部-2（8）-調査結果</v>
      </c>
      <c r="AI116" s="1502"/>
      <c r="AJ116" s="1502"/>
      <c r="AK116" s="1502"/>
      <c r="AL116" s="1508"/>
      <c r="AM116" s="1508"/>
      <c r="AN116" s="1508"/>
      <c r="AO116" s="1508"/>
    </row>
    <row r="117" spans="1:41" ht="18.75" customHeight="1" x14ac:dyDescent="0.15">
      <c r="A117" s="1586"/>
      <c r="B117" s="1509"/>
      <c r="C117" s="1509"/>
      <c r="D117" s="1460">
        <f>'1_入力シート【基本情報】'!$AR$344</f>
        <v>0</v>
      </c>
      <c r="E117" s="1674">
        <f t="shared" si="8"/>
        <v>0</v>
      </c>
      <c r="F117" s="1674" t="str">
        <f t="shared" si="9"/>
        <v>0</v>
      </c>
      <c r="G117" s="1674" t="str">
        <f t="shared" si="10"/>
        <v>0</v>
      </c>
      <c r="H117" s="1542"/>
      <c r="I117" s="1509"/>
      <c r="J117" s="1535"/>
      <c r="K117" s="1509"/>
      <c r="L117" s="1509"/>
      <c r="M117" s="1509"/>
      <c r="N117" s="1509"/>
      <c r="O117" s="1509"/>
      <c r="P117" s="1509"/>
      <c r="Q117" s="1509"/>
      <c r="R117" s="1509"/>
      <c r="S117" s="1509"/>
      <c r="T117" s="1509"/>
      <c r="U117" s="1469">
        <v>23</v>
      </c>
      <c r="V117" s="1486" t="s">
        <v>33</v>
      </c>
      <c r="W117" s="1471" t="s">
        <v>1306</v>
      </c>
      <c r="X117" s="1472" t="s">
        <v>49</v>
      </c>
      <c r="Y117" s="1473" t="s">
        <v>1306</v>
      </c>
      <c r="Z117" s="1504" t="s">
        <v>1420</v>
      </c>
      <c r="AA117" s="1473" t="s">
        <v>1306</v>
      </c>
      <c r="AB117" s="1470" t="s">
        <v>30</v>
      </c>
      <c r="AC117" s="1499"/>
      <c r="AD117" s="1500"/>
      <c r="AE117" s="1501"/>
      <c r="AF117" s="1501"/>
      <c r="AG117" s="1457" t="str">
        <f t="shared" si="7"/>
        <v>23調査結果-建築物の外部-2（8）-調査者番号</v>
      </c>
      <c r="AI117" s="1502"/>
      <c r="AJ117" s="1502"/>
      <c r="AK117" s="1502"/>
      <c r="AL117" s="1508"/>
      <c r="AM117" s="1508"/>
      <c r="AN117" s="1508"/>
      <c r="AO117" s="1508"/>
    </row>
    <row r="118" spans="1:41" ht="18.75" customHeight="1" x14ac:dyDescent="0.15">
      <c r="A118" s="1586"/>
      <c r="B118" s="1509"/>
      <c r="C118" s="1509"/>
      <c r="D118" s="1460">
        <f>'1_入力シート【基本情報】'!$AT$344</f>
        <v>0</v>
      </c>
      <c r="E118" s="1674">
        <f t="shared" si="8"/>
        <v>0</v>
      </c>
      <c r="F118" s="1674" t="str">
        <f t="shared" si="9"/>
        <v>0</v>
      </c>
      <c r="G118" s="1674" t="str">
        <f t="shared" si="10"/>
        <v>0</v>
      </c>
      <c r="H118" s="1542"/>
      <c r="I118" s="1509"/>
      <c r="J118" s="1535"/>
      <c r="K118" s="1509"/>
      <c r="L118" s="1509"/>
      <c r="M118" s="1509"/>
      <c r="N118" s="1509"/>
      <c r="O118" s="1509"/>
      <c r="P118" s="1509"/>
      <c r="Q118" s="1509"/>
      <c r="R118" s="1509"/>
      <c r="S118" s="1509"/>
      <c r="T118" s="1509"/>
      <c r="U118" s="1469">
        <v>23</v>
      </c>
      <c r="V118" s="1486" t="s">
        <v>33</v>
      </c>
      <c r="W118" s="1471" t="s">
        <v>1306</v>
      </c>
      <c r="X118" s="1472" t="s">
        <v>49</v>
      </c>
      <c r="Y118" s="1473" t="s">
        <v>1306</v>
      </c>
      <c r="Z118" s="1504" t="s">
        <v>1420</v>
      </c>
      <c r="AA118" s="1473" t="s">
        <v>1306</v>
      </c>
      <c r="AB118" s="1470" t="s">
        <v>1402</v>
      </c>
      <c r="AC118" s="1499"/>
      <c r="AD118" s="1500"/>
      <c r="AE118" s="1501"/>
      <c r="AF118" s="1501"/>
      <c r="AG118" s="1457" t="str">
        <f t="shared" si="7"/>
        <v>23調査結果-建築物の外部-2（8）-指摘の具体的内容等</v>
      </c>
      <c r="AI118" s="1459"/>
      <c r="AJ118" s="1459"/>
      <c r="AK118" s="1502"/>
      <c r="AL118" s="1508"/>
      <c r="AM118" s="1508"/>
      <c r="AN118" s="1508"/>
      <c r="AO118" s="1508"/>
    </row>
    <row r="119" spans="1:41" ht="18.75" customHeight="1" x14ac:dyDescent="0.15">
      <c r="A119" s="1586"/>
      <c r="B119" s="1509"/>
      <c r="C119" s="1509"/>
      <c r="D119" s="1460">
        <f>'1_入力シート【基本情報】'!$BD$344</f>
        <v>0</v>
      </c>
      <c r="E119" s="1674">
        <f t="shared" si="8"/>
        <v>0</v>
      </c>
      <c r="F119" s="1674" t="str">
        <f t="shared" si="9"/>
        <v>0</v>
      </c>
      <c r="G119" s="1674" t="str">
        <f t="shared" si="10"/>
        <v>0</v>
      </c>
      <c r="H119" s="1542"/>
      <c r="I119" s="1509"/>
      <c r="J119" s="1535"/>
      <c r="K119" s="1509"/>
      <c r="L119" s="1509"/>
      <c r="M119" s="1509"/>
      <c r="N119" s="1509"/>
      <c r="O119" s="1509"/>
      <c r="P119" s="1509"/>
      <c r="Q119" s="1509"/>
      <c r="R119" s="1509"/>
      <c r="S119" s="1509"/>
      <c r="T119" s="1509"/>
      <c r="U119" s="1469">
        <v>23</v>
      </c>
      <c r="V119" s="1486" t="s">
        <v>33</v>
      </c>
      <c r="W119" s="1471" t="s">
        <v>1306</v>
      </c>
      <c r="X119" s="1472" t="s">
        <v>49</v>
      </c>
      <c r="Y119" s="1473" t="s">
        <v>1306</v>
      </c>
      <c r="Z119" s="1504" t="s">
        <v>1420</v>
      </c>
      <c r="AA119" s="1473" t="s">
        <v>1306</v>
      </c>
      <c r="AB119" s="1470" t="s">
        <v>1403</v>
      </c>
      <c r="AC119" s="1499"/>
      <c r="AD119" s="1500"/>
      <c r="AE119" s="1501"/>
      <c r="AF119" s="1501"/>
      <c r="AG119" s="1457" t="str">
        <f t="shared" si="7"/>
        <v>23調査結果-建築物の外部-2（8）-改善策の具体的内容等</v>
      </c>
      <c r="AI119" s="1502"/>
      <c r="AJ119" s="1502"/>
      <c r="AK119" s="1502"/>
      <c r="AL119" s="1508"/>
      <c r="AM119" s="1508"/>
      <c r="AN119" s="1508"/>
      <c r="AO119" s="1508"/>
    </row>
    <row r="120" spans="1:41" ht="18.75" customHeight="1" x14ac:dyDescent="0.15">
      <c r="A120" s="1586"/>
      <c r="B120" s="1509"/>
      <c r="C120" s="1509"/>
      <c r="D120" s="1460">
        <f>'1_入力シート【基本情報】'!$BS$344</f>
        <v>0</v>
      </c>
      <c r="E120" s="1674">
        <f t="shared" si="8"/>
        <v>0</v>
      </c>
      <c r="F120" s="1674" t="str">
        <f t="shared" si="9"/>
        <v>0</v>
      </c>
      <c r="G120" s="1674" t="str">
        <f t="shared" si="10"/>
        <v>0</v>
      </c>
      <c r="H120" s="1542"/>
      <c r="I120" s="1509"/>
      <c r="J120" s="1535"/>
      <c r="K120" s="1509"/>
      <c r="L120" s="1509"/>
      <c r="M120" s="1509"/>
      <c r="N120" s="1509"/>
      <c r="O120" s="1509"/>
      <c r="P120" s="1509"/>
      <c r="Q120" s="1509"/>
      <c r="R120" s="1509"/>
      <c r="S120" s="1509"/>
      <c r="T120" s="1509"/>
      <c r="U120" s="1469">
        <v>23</v>
      </c>
      <c r="V120" s="1486" t="s">
        <v>33</v>
      </c>
      <c r="W120" s="1471" t="s">
        <v>1306</v>
      </c>
      <c r="X120" s="1472" t="s">
        <v>49</v>
      </c>
      <c r="Y120" s="1473" t="s">
        <v>1306</v>
      </c>
      <c r="Z120" s="1504" t="s">
        <v>1420</v>
      </c>
      <c r="AA120" s="1473" t="s">
        <v>1306</v>
      </c>
      <c r="AB120" s="1470" t="s">
        <v>352</v>
      </c>
      <c r="AC120" s="1499" t="s">
        <v>1366</v>
      </c>
      <c r="AD120" s="1500" t="s">
        <v>1387</v>
      </c>
      <c r="AE120" s="1501"/>
      <c r="AF120" s="1501"/>
      <c r="AG120" s="1457" t="str">
        <f t="shared" si="7"/>
        <v>23調査結果-建築物の外部-2（8）-改善（予定）年月-年（令和）</v>
      </c>
      <c r="AI120" s="1502"/>
      <c r="AJ120" s="1502"/>
      <c r="AK120" s="1502"/>
      <c r="AL120" s="1508"/>
      <c r="AM120" s="1508"/>
      <c r="AN120" s="1508"/>
      <c r="AO120" s="1508"/>
    </row>
    <row r="121" spans="1:41" ht="18.75" customHeight="1" x14ac:dyDescent="0.15">
      <c r="A121" s="1586"/>
      <c r="B121" s="1509"/>
      <c r="C121" s="1509"/>
      <c r="D121" s="1460">
        <f>'1_入力シート【基本情報】'!$BV$344</f>
        <v>0</v>
      </c>
      <c r="E121" s="1674">
        <f t="shared" si="8"/>
        <v>0</v>
      </c>
      <c r="F121" s="1674" t="str">
        <f t="shared" si="9"/>
        <v>0</v>
      </c>
      <c r="G121" s="1674" t="str">
        <f t="shared" si="10"/>
        <v>0</v>
      </c>
      <c r="H121" s="1542"/>
      <c r="I121" s="1509"/>
      <c r="J121" s="1535"/>
      <c r="K121" s="1509"/>
      <c r="L121" s="1509"/>
      <c r="M121" s="1509"/>
      <c r="N121" s="1509"/>
      <c r="O121" s="1509"/>
      <c r="P121" s="1509"/>
      <c r="Q121" s="1509"/>
      <c r="R121" s="1509"/>
      <c r="S121" s="1509"/>
      <c r="T121" s="1509"/>
      <c r="U121" s="1469">
        <v>23</v>
      </c>
      <c r="V121" s="1486" t="s">
        <v>33</v>
      </c>
      <c r="W121" s="1471" t="s">
        <v>1306</v>
      </c>
      <c r="X121" s="1472" t="s">
        <v>49</v>
      </c>
      <c r="Y121" s="1473" t="s">
        <v>1306</v>
      </c>
      <c r="Z121" s="1504" t="s">
        <v>1420</v>
      </c>
      <c r="AA121" s="1473" t="s">
        <v>1306</v>
      </c>
      <c r="AB121" s="1486" t="s">
        <v>352</v>
      </c>
      <c r="AC121" s="1499" t="s">
        <v>1366</v>
      </c>
      <c r="AD121" s="1500" t="s">
        <v>348</v>
      </c>
      <c r="AE121" s="1501"/>
      <c r="AF121" s="1501"/>
      <c r="AG121" s="1457" t="str">
        <f t="shared" si="7"/>
        <v>23調査結果-建築物の外部-2（8）-改善（予定）年月-月</v>
      </c>
      <c r="AI121" s="1502"/>
      <c r="AJ121" s="1502"/>
      <c r="AK121" s="1502"/>
      <c r="AL121" s="1508"/>
      <c r="AM121" s="1508"/>
      <c r="AN121" s="1508"/>
      <c r="AO121" s="1508"/>
    </row>
    <row r="122" spans="1:41" ht="18.75" customHeight="1" x14ac:dyDescent="0.15">
      <c r="A122" s="1586"/>
      <c r="B122" s="1509"/>
      <c r="C122" s="1509"/>
      <c r="D122" s="1460">
        <f>'1_入力シート【基本情報】'!$BY$344</f>
        <v>0</v>
      </c>
      <c r="E122" s="1674">
        <f t="shared" si="8"/>
        <v>0</v>
      </c>
      <c r="F122" s="1674" t="str">
        <f t="shared" si="9"/>
        <v>0</v>
      </c>
      <c r="G122" s="1674" t="str">
        <f t="shared" si="10"/>
        <v>0</v>
      </c>
      <c r="H122" s="1542"/>
      <c r="I122" s="1509"/>
      <c r="J122" s="1535"/>
      <c r="K122" s="1509"/>
      <c r="L122" s="1509"/>
      <c r="M122" s="1509"/>
      <c r="N122" s="1509"/>
      <c r="O122" s="1509"/>
      <c r="P122" s="1509"/>
      <c r="Q122" s="1509"/>
      <c r="R122" s="1509"/>
      <c r="S122" s="1509"/>
      <c r="T122" s="1509"/>
      <c r="U122" s="1469">
        <v>23</v>
      </c>
      <c r="V122" s="1486" t="s">
        <v>33</v>
      </c>
      <c r="W122" s="1471" t="s">
        <v>1306</v>
      </c>
      <c r="X122" s="1472" t="s">
        <v>49</v>
      </c>
      <c r="Y122" s="1473" t="s">
        <v>1306</v>
      </c>
      <c r="Z122" s="1504" t="s">
        <v>1420</v>
      </c>
      <c r="AA122" s="1473" t="s">
        <v>1306</v>
      </c>
      <c r="AB122" s="1486" t="s">
        <v>352</v>
      </c>
      <c r="AC122" s="1499" t="s">
        <v>1366</v>
      </c>
      <c r="AD122" s="1500" t="s">
        <v>640</v>
      </c>
      <c r="AE122" s="1501"/>
      <c r="AF122" s="1501"/>
      <c r="AG122" s="1457" t="str">
        <f t="shared" si="7"/>
        <v>23調査結果-建築物の外部-2（8）-改善（予定）年月-未定</v>
      </c>
      <c r="AI122" s="1502"/>
      <c r="AJ122" s="1502"/>
      <c r="AK122" s="1502"/>
      <c r="AL122" s="1508"/>
      <c r="AM122" s="1508"/>
      <c r="AN122" s="1508"/>
      <c r="AO122" s="1508"/>
    </row>
    <row r="123" spans="1:41" ht="18.75" customHeight="1" x14ac:dyDescent="0.15">
      <c r="A123" s="1586"/>
      <c r="B123" s="1509"/>
      <c r="C123" s="1509"/>
      <c r="D123" s="1460">
        <f>'1_入力シート【基本情報】'!$AF$345</f>
        <v>0</v>
      </c>
      <c r="E123" s="1674">
        <f t="shared" si="8"/>
        <v>0</v>
      </c>
      <c r="F123" s="1674" t="str">
        <f t="shared" si="9"/>
        <v>0</v>
      </c>
      <c r="G123" s="1674" t="str">
        <f t="shared" si="10"/>
        <v>0</v>
      </c>
      <c r="H123" s="1542"/>
      <c r="I123" s="1509"/>
      <c r="J123" s="1535"/>
      <c r="K123" s="1509"/>
      <c r="L123" s="1509"/>
      <c r="M123" s="1509"/>
      <c r="N123" s="1509"/>
      <c r="O123" s="1509"/>
      <c r="P123" s="1509"/>
      <c r="Q123" s="1509"/>
      <c r="R123" s="1509"/>
      <c r="S123" s="1509"/>
      <c r="T123" s="1509"/>
      <c r="U123" s="1469">
        <v>23</v>
      </c>
      <c r="V123" s="1486" t="s">
        <v>33</v>
      </c>
      <c r="W123" s="1471" t="s">
        <v>1306</v>
      </c>
      <c r="X123" s="1472" t="s">
        <v>49</v>
      </c>
      <c r="Y123" s="1473" t="s">
        <v>1306</v>
      </c>
      <c r="Z123" s="1504" t="s">
        <v>1421</v>
      </c>
      <c r="AA123" s="1473" t="s">
        <v>1306</v>
      </c>
      <c r="AB123" s="1486" t="s">
        <v>33</v>
      </c>
      <c r="AC123" s="1499"/>
      <c r="AD123" s="1500"/>
      <c r="AE123" s="1501"/>
      <c r="AF123" s="1501"/>
      <c r="AG123" s="1457" t="str">
        <f t="shared" si="7"/>
        <v>23調査結果-建築物の外部-2（9）-調査結果</v>
      </c>
      <c r="AI123" s="1502"/>
      <c r="AJ123" s="1502"/>
      <c r="AK123" s="1502"/>
      <c r="AL123" s="1508"/>
      <c r="AM123" s="1508"/>
      <c r="AN123" s="1508"/>
      <c r="AO123" s="1508"/>
    </row>
    <row r="124" spans="1:41" ht="18.75" customHeight="1" x14ac:dyDescent="0.15">
      <c r="A124" s="1578"/>
      <c r="B124" s="1462"/>
      <c r="C124" s="1462"/>
      <c r="D124" s="1460">
        <f>'1_入力シート【基本情報】'!$AR$345</f>
        <v>0</v>
      </c>
      <c r="E124" s="1650">
        <f t="shared" si="8"/>
        <v>0</v>
      </c>
      <c r="F124" s="1650" t="str">
        <f t="shared" si="9"/>
        <v>0</v>
      </c>
      <c r="G124" s="1650" t="str">
        <f t="shared" si="10"/>
        <v>0</v>
      </c>
      <c r="H124" s="1468"/>
      <c r="I124" s="1462"/>
      <c r="J124" s="1531"/>
      <c r="K124" s="1462"/>
      <c r="L124" s="1462"/>
      <c r="M124" s="1493"/>
      <c r="N124" s="1462"/>
      <c r="O124" s="1462"/>
      <c r="P124" s="1462"/>
      <c r="Q124" s="1462"/>
      <c r="R124" s="1462"/>
      <c r="S124" s="1462"/>
      <c r="T124" s="1462"/>
      <c r="U124" s="1469">
        <v>23</v>
      </c>
      <c r="V124" s="1486" t="s">
        <v>33</v>
      </c>
      <c r="W124" s="1471" t="s">
        <v>1306</v>
      </c>
      <c r="X124" s="1472" t="s">
        <v>49</v>
      </c>
      <c r="Y124" s="1473" t="s">
        <v>1306</v>
      </c>
      <c r="Z124" s="1504" t="s">
        <v>1421</v>
      </c>
      <c r="AA124" s="1473" t="s">
        <v>1306</v>
      </c>
      <c r="AB124" s="1486" t="s">
        <v>30</v>
      </c>
      <c r="AC124" s="1499"/>
      <c r="AD124" s="1500"/>
      <c r="AE124" s="1501"/>
      <c r="AF124" s="1501"/>
      <c r="AG124" s="1457" t="str">
        <f t="shared" si="7"/>
        <v>23調査結果-建築物の外部-2（9）-調査者番号</v>
      </c>
      <c r="AI124" s="1502"/>
      <c r="AJ124" s="1502"/>
      <c r="AK124" s="1502"/>
      <c r="AL124" s="1508"/>
      <c r="AM124" s="1508"/>
      <c r="AN124" s="1508"/>
      <c r="AO124" s="1508"/>
    </row>
    <row r="125" spans="1:41" ht="18.75" customHeight="1" x14ac:dyDescent="0.15">
      <c r="A125" s="1586"/>
      <c r="B125" s="1509"/>
      <c r="C125" s="1509"/>
      <c r="D125" s="1460">
        <f>'1_入力シート【基本情報】'!$AT$345</f>
        <v>0</v>
      </c>
      <c r="E125" s="1674">
        <f t="shared" si="8"/>
        <v>0</v>
      </c>
      <c r="F125" s="1674" t="str">
        <f t="shared" si="9"/>
        <v>0</v>
      </c>
      <c r="G125" s="1674" t="str">
        <f t="shared" si="10"/>
        <v>0</v>
      </c>
      <c r="H125" s="1542"/>
      <c r="I125" s="1509"/>
      <c r="J125" s="1535"/>
      <c r="K125" s="1509"/>
      <c r="L125" s="1509"/>
      <c r="M125" s="1509"/>
      <c r="N125" s="1509"/>
      <c r="O125" s="1509"/>
      <c r="P125" s="1509"/>
      <c r="Q125" s="1509"/>
      <c r="R125" s="1509"/>
      <c r="S125" s="1509"/>
      <c r="T125" s="1509"/>
      <c r="U125" s="1469">
        <v>23</v>
      </c>
      <c r="V125" s="1486" t="s">
        <v>33</v>
      </c>
      <c r="W125" s="1471" t="s">
        <v>1306</v>
      </c>
      <c r="X125" s="1472" t="s">
        <v>49</v>
      </c>
      <c r="Y125" s="1473" t="s">
        <v>1306</v>
      </c>
      <c r="Z125" s="1504" t="s">
        <v>1421</v>
      </c>
      <c r="AA125" s="1473" t="s">
        <v>1306</v>
      </c>
      <c r="AB125" s="1470" t="s">
        <v>1402</v>
      </c>
      <c r="AC125" s="1499"/>
      <c r="AD125" s="1500"/>
      <c r="AE125" s="1501"/>
      <c r="AF125" s="1501"/>
      <c r="AG125" s="1457" t="str">
        <f t="shared" si="7"/>
        <v>23調査結果-建築物の外部-2（9）-指摘の具体的内容等</v>
      </c>
      <c r="AI125" s="1502"/>
      <c r="AJ125" s="1502"/>
      <c r="AK125" s="1502"/>
      <c r="AL125" s="1508"/>
      <c r="AM125" s="1508"/>
      <c r="AN125" s="1508"/>
      <c r="AO125" s="1508"/>
    </row>
    <row r="126" spans="1:41" ht="18.75" customHeight="1" x14ac:dyDescent="0.15">
      <c r="A126" s="1586"/>
      <c r="B126" s="1509"/>
      <c r="C126" s="1509"/>
      <c r="D126" s="1460">
        <f>'1_入力シート【基本情報】'!$BD$345</f>
        <v>0</v>
      </c>
      <c r="E126" s="1674">
        <f t="shared" si="8"/>
        <v>0</v>
      </c>
      <c r="F126" s="1674" t="str">
        <f t="shared" si="9"/>
        <v>0</v>
      </c>
      <c r="G126" s="1674" t="str">
        <f t="shared" si="10"/>
        <v>0</v>
      </c>
      <c r="H126" s="1542"/>
      <c r="I126" s="1509"/>
      <c r="J126" s="1535"/>
      <c r="K126" s="1509"/>
      <c r="L126" s="1509"/>
      <c r="M126" s="1509"/>
      <c r="N126" s="1509"/>
      <c r="O126" s="1509"/>
      <c r="P126" s="1509"/>
      <c r="Q126" s="1509"/>
      <c r="R126" s="1509"/>
      <c r="S126" s="1509"/>
      <c r="T126" s="1509"/>
      <c r="U126" s="1469">
        <v>23</v>
      </c>
      <c r="V126" s="1486" t="s">
        <v>33</v>
      </c>
      <c r="W126" s="1471" t="s">
        <v>1306</v>
      </c>
      <c r="X126" s="1472" t="s">
        <v>49</v>
      </c>
      <c r="Y126" s="1473" t="s">
        <v>1306</v>
      </c>
      <c r="Z126" s="1504" t="s">
        <v>1421</v>
      </c>
      <c r="AA126" s="1473" t="s">
        <v>1306</v>
      </c>
      <c r="AB126" s="1470" t="s">
        <v>1403</v>
      </c>
      <c r="AC126" s="1499"/>
      <c r="AD126" s="1500"/>
      <c r="AE126" s="1501"/>
      <c r="AF126" s="1501"/>
      <c r="AG126" s="1457" t="str">
        <f t="shared" si="7"/>
        <v>23調査結果-建築物の外部-2（9）-改善策の具体的内容等</v>
      </c>
      <c r="AI126" s="1502"/>
      <c r="AJ126" s="1502"/>
      <c r="AK126" s="1502"/>
      <c r="AL126" s="1508"/>
      <c r="AM126" s="1508"/>
      <c r="AN126" s="1508"/>
      <c r="AO126" s="1508"/>
    </row>
    <row r="127" spans="1:41" ht="18.75" customHeight="1" x14ac:dyDescent="0.15">
      <c r="A127" s="1586"/>
      <c r="B127" s="1509"/>
      <c r="C127" s="1509"/>
      <c r="D127" s="1460">
        <f>'1_入力シート【基本情報】'!$BS$345</f>
        <v>0</v>
      </c>
      <c r="E127" s="1674">
        <f t="shared" si="8"/>
        <v>0</v>
      </c>
      <c r="F127" s="1674" t="str">
        <f t="shared" si="9"/>
        <v>0</v>
      </c>
      <c r="G127" s="1674" t="str">
        <f t="shared" si="10"/>
        <v>0</v>
      </c>
      <c r="H127" s="1542"/>
      <c r="I127" s="1509"/>
      <c r="J127" s="1535"/>
      <c r="K127" s="1509"/>
      <c r="L127" s="1509"/>
      <c r="M127" s="1509"/>
      <c r="N127" s="1509"/>
      <c r="O127" s="1509"/>
      <c r="P127" s="1509"/>
      <c r="Q127" s="1509"/>
      <c r="R127" s="1509"/>
      <c r="S127" s="1509"/>
      <c r="T127" s="1509"/>
      <c r="U127" s="1469">
        <v>23</v>
      </c>
      <c r="V127" s="1486" t="s">
        <v>33</v>
      </c>
      <c r="W127" s="1471" t="s">
        <v>1306</v>
      </c>
      <c r="X127" s="1472" t="s">
        <v>49</v>
      </c>
      <c r="Y127" s="1473" t="s">
        <v>1306</v>
      </c>
      <c r="Z127" s="1504" t="s">
        <v>1421</v>
      </c>
      <c r="AA127" s="1473" t="s">
        <v>1306</v>
      </c>
      <c r="AB127" s="1470" t="s">
        <v>352</v>
      </c>
      <c r="AC127" s="1499" t="s">
        <v>1366</v>
      </c>
      <c r="AD127" s="1500" t="s">
        <v>1387</v>
      </c>
      <c r="AE127" s="1501"/>
      <c r="AF127" s="1501"/>
      <c r="AG127" s="1457" t="str">
        <f t="shared" ref="AG127:AG190" si="11">CONCATENATE(U127,V127,W127,X127,Y127,Z127,AA127,AB127,AC127,AD127)</f>
        <v>23調査結果-建築物の外部-2（9）-改善（予定）年月-年（令和）</v>
      </c>
      <c r="AI127" s="1502"/>
      <c r="AJ127" s="1502"/>
      <c r="AK127" s="1502"/>
      <c r="AL127" s="1508"/>
      <c r="AM127" s="1508"/>
      <c r="AN127" s="1508"/>
      <c r="AO127" s="1508"/>
    </row>
    <row r="128" spans="1:41" ht="18.75" customHeight="1" x14ac:dyDescent="0.15">
      <c r="A128" s="1586"/>
      <c r="B128" s="1509"/>
      <c r="C128" s="1509"/>
      <c r="D128" s="1460">
        <f>'1_入力シート【基本情報】'!$BV$345</f>
        <v>0</v>
      </c>
      <c r="E128" s="1674">
        <f t="shared" si="8"/>
        <v>0</v>
      </c>
      <c r="F128" s="1674" t="str">
        <f t="shared" si="9"/>
        <v>0</v>
      </c>
      <c r="G128" s="1674" t="str">
        <f t="shared" si="10"/>
        <v>0</v>
      </c>
      <c r="H128" s="1542"/>
      <c r="I128" s="1509"/>
      <c r="J128" s="1535"/>
      <c r="K128" s="1509"/>
      <c r="L128" s="1509"/>
      <c r="M128" s="1509"/>
      <c r="N128" s="1509"/>
      <c r="O128" s="1509"/>
      <c r="P128" s="1509"/>
      <c r="Q128" s="1509"/>
      <c r="R128" s="1509"/>
      <c r="S128" s="1509"/>
      <c r="T128" s="1509"/>
      <c r="U128" s="1469">
        <v>23</v>
      </c>
      <c r="V128" s="1486" t="s">
        <v>33</v>
      </c>
      <c r="W128" s="1471" t="s">
        <v>1306</v>
      </c>
      <c r="X128" s="1472" t="s">
        <v>49</v>
      </c>
      <c r="Y128" s="1473" t="s">
        <v>1306</v>
      </c>
      <c r="Z128" s="1504" t="s">
        <v>1421</v>
      </c>
      <c r="AA128" s="1473" t="s">
        <v>1306</v>
      </c>
      <c r="AB128" s="1470" t="s">
        <v>352</v>
      </c>
      <c r="AC128" s="1499" t="s">
        <v>1366</v>
      </c>
      <c r="AD128" s="1500" t="s">
        <v>348</v>
      </c>
      <c r="AE128" s="1501"/>
      <c r="AF128" s="1501"/>
      <c r="AG128" s="1457" t="str">
        <f t="shared" si="11"/>
        <v>23調査結果-建築物の外部-2（9）-改善（予定）年月-月</v>
      </c>
      <c r="AI128" s="1502"/>
      <c r="AJ128" s="1502"/>
      <c r="AK128" s="1502"/>
      <c r="AL128" s="1508"/>
      <c r="AM128" s="1508"/>
      <c r="AN128" s="1508"/>
      <c r="AO128" s="1508"/>
    </row>
    <row r="129" spans="1:41" ht="18.75" customHeight="1" x14ac:dyDescent="0.15">
      <c r="A129" s="1586"/>
      <c r="B129" s="1509"/>
      <c r="C129" s="1509"/>
      <c r="D129" s="1460">
        <f>'1_入力シート【基本情報】'!$BY$345</f>
        <v>0</v>
      </c>
      <c r="E129" s="1674">
        <f t="shared" si="8"/>
        <v>0</v>
      </c>
      <c r="F129" s="1674" t="str">
        <f t="shared" si="9"/>
        <v>0</v>
      </c>
      <c r="G129" s="1674" t="str">
        <f t="shared" si="10"/>
        <v>0</v>
      </c>
      <c r="H129" s="1542"/>
      <c r="I129" s="1509"/>
      <c r="J129" s="1535"/>
      <c r="K129" s="1509"/>
      <c r="L129" s="1509"/>
      <c r="M129" s="1509"/>
      <c r="N129" s="1509"/>
      <c r="O129" s="1509"/>
      <c r="P129" s="1509"/>
      <c r="Q129" s="1509"/>
      <c r="R129" s="1509"/>
      <c r="S129" s="1509"/>
      <c r="T129" s="1509"/>
      <c r="U129" s="1469">
        <v>23</v>
      </c>
      <c r="V129" s="1486" t="s">
        <v>33</v>
      </c>
      <c r="W129" s="1471" t="s">
        <v>1306</v>
      </c>
      <c r="X129" s="1472" t="s">
        <v>49</v>
      </c>
      <c r="Y129" s="1473" t="s">
        <v>1306</v>
      </c>
      <c r="Z129" s="1504" t="s">
        <v>1421</v>
      </c>
      <c r="AA129" s="1473" t="s">
        <v>1306</v>
      </c>
      <c r="AB129" s="1486" t="s">
        <v>352</v>
      </c>
      <c r="AC129" s="1499" t="s">
        <v>1366</v>
      </c>
      <c r="AD129" s="1500" t="s">
        <v>640</v>
      </c>
      <c r="AE129" s="1501"/>
      <c r="AF129" s="1501"/>
      <c r="AG129" s="1457" t="str">
        <f t="shared" si="11"/>
        <v>23調査結果-建築物の外部-2（9）-改善（予定）年月-未定</v>
      </c>
      <c r="AI129" s="1502"/>
      <c r="AJ129" s="1502"/>
      <c r="AK129" s="1502"/>
      <c r="AL129" s="1508"/>
      <c r="AM129" s="1508"/>
      <c r="AN129" s="1508"/>
      <c r="AO129" s="1508"/>
    </row>
    <row r="130" spans="1:41" ht="18.75" customHeight="1" x14ac:dyDescent="0.15">
      <c r="A130" s="1586"/>
      <c r="B130" s="1509"/>
      <c r="C130" s="1509"/>
      <c r="D130" s="1460">
        <f>'1_入力シート【基本情報】'!$AF$346</f>
        <v>0</v>
      </c>
      <c r="E130" s="1674">
        <f t="shared" si="8"/>
        <v>0</v>
      </c>
      <c r="F130" s="1674" t="str">
        <f t="shared" si="9"/>
        <v>0</v>
      </c>
      <c r="G130" s="1674" t="str">
        <f t="shared" si="10"/>
        <v>0</v>
      </c>
      <c r="H130" s="1542"/>
      <c r="I130" s="1509"/>
      <c r="J130" s="1535"/>
      <c r="K130" s="1509"/>
      <c r="L130" s="1509"/>
      <c r="M130" s="1509"/>
      <c r="N130" s="1509"/>
      <c r="O130" s="1509"/>
      <c r="P130" s="1509"/>
      <c r="Q130" s="1509"/>
      <c r="R130" s="1509"/>
      <c r="S130" s="1509"/>
      <c r="T130" s="1509"/>
      <c r="U130" s="1469">
        <v>23</v>
      </c>
      <c r="V130" s="1486" t="s">
        <v>33</v>
      </c>
      <c r="W130" s="1471" t="s">
        <v>1306</v>
      </c>
      <c r="X130" s="1472" t="s">
        <v>49</v>
      </c>
      <c r="Y130" s="1473" t="s">
        <v>1306</v>
      </c>
      <c r="Z130" s="1504" t="s">
        <v>1422</v>
      </c>
      <c r="AA130" s="1473" t="s">
        <v>1306</v>
      </c>
      <c r="AB130" s="1486" t="s">
        <v>33</v>
      </c>
      <c r="AC130" s="1499"/>
      <c r="AD130" s="1500"/>
      <c r="AE130" s="1501"/>
      <c r="AF130" s="1501"/>
      <c r="AG130" s="1457" t="str">
        <f t="shared" si="11"/>
        <v>23調査結果-建築物の外部-2（10）-調査結果</v>
      </c>
      <c r="AI130" s="1502"/>
      <c r="AJ130" s="1502"/>
      <c r="AK130" s="1502"/>
      <c r="AL130" s="1508"/>
      <c r="AM130" s="1508"/>
      <c r="AN130" s="1508"/>
      <c r="AO130" s="1508"/>
    </row>
    <row r="131" spans="1:41" ht="18.75" customHeight="1" x14ac:dyDescent="0.15">
      <c r="A131" s="1586"/>
      <c r="B131" s="1509"/>
      <c r="C131" s="1509"/>
      <c r="D131" s="1460">
        <f>'1_入力シート【基本情報】'!$AR$346</f>
        <v>0</v>
      </c>
      <c r="E131" s="1674">
        <f t="shared" si="8"/>
        <v>0</v>
      </c>
      <c r="F131" s="1674" t="str">
        <f t="shared" si="9"/>
        <v>0</v>
      </c>
      <c r="G131" s="1674" t="str">
        <f t="shared" si="10"/>
        <v>0</v>
      </c>
      <c r="H131" s="1542"/>
      <c r="I131" s="1509"/>
      <c r="J131" s="1535"/>
      <c r="K131" s="1509"/>
      <c r="L131" s="1509"/>
      <c r="M131" s="1509"/>
      <c r="N131" s="1509"/>
      <c r="O131" s="1509"/>
      <c r="P131" s="1509"/>
      <c r="Q131" s="1509"/>
      <c r="R131" s="1509"/>
      <c r="S131" s="1509"/>
      <c r="T131" s="1509"/>
      <c r="U131" s="1469">
        <v>23</v>
      </c>
      <c r="V131" s="1486" t="s">
        <v>33</v>
      </c>
      <c r="W131" s="1471" t="s">
        <v>1306</v>
      </c>
      <c r="X131" s="1472" t="s">
        <v>49</v>
      </c>
      <c r="Y131" s="1473" t="s">
        <v>1306</v>
      </c>
      <c r="Z131" s="1504" t="s">
        <v>1422</v>
      </c>
      <c r="AA131" s="1473" t="s">
        <v>1306</v>
      </c>
      <c r="AB131" s="1486" t="s">
        <v>30</v>
      </c>
      <c r="AC131" s="1499"/>
      <c r="AD131" s="1500"/>
      <c r="AE131" s="1501"/>
      <c r="AF131" s="1501"/>
      <c r="AG131" s="1457" t="str">
        <f t="shared" si="11"/>
        <v>23調査結果-建築物の外部-2（10）-調査者番号</v>
      </c>
      <c r="AI131" s="1502"/>
      <c r="AJ131" s="1502"/>
      <c r="AK131" s="1502"/>
      <c r="AL131" s="1508"/>
      <c r="AM131" s="1508"/>
      <c r="AN131" s="1508"/>
      <c r="AO131" s="1508"/>
    </row>
    <row r="132" spans="1:41" ht="18.75" customHeight="1" x14ac:dyDescent="0.15">
      <c r="A132" s="1586"/>
      <c r="B132" s="1509"/>
      <c r="C132" s="1509"/>
      <c r="D132" s="1460">
        <f>'1_入力シート【基本情報】'!$AT$346</f>
        <v>0</v>
      </c>
      <c r="E132" s="1674">
        <f t="shared" si="8"/>
        <v>0</v>
      </c>
      <c r="F132" s="1674" t="str">
        <f t="shared" si="9"/>
        <v>0</v>
      </c>
      <c r="G132" s="1674" t="str">
        <f t="shared" si="10"/>
        <v>0</v>
      </c>
      <c r="H132" s="1542"/>
      <c r="I132" s="1509"/>
      <c r="J132" s="1535"/>
      <c r="K132" s="1509"/>
      <c r="L132" s="1509"/>
      <c r="M132" s="1509"/>
      <c r="N132" s="1509"/>
      <c r="O132" s="1509"/>
      <c r="P132" s="1509"/>
      <c r="Q132" s="1509"/>
      <c r="R132" s="1509"/>
      <c r="S132" s="1509"/>
      <c r="T132" s="1509"/>
      <c r="U132" s="1469">
        <v>23</v>
      </c>
      <c r="V132" s="1486" t="s">
        <v>33</v>
      </c>
      <c r="W132" s="1471" t="s">
        <v>1306</v>
      </c>
      <c r="X132" s="1472" t="s">
        <v>49</v>
      </c>
      <c r="Y132" s="1473" t="s">
        <v>1306</v>
      </c>
      <c r="Z132" s="1504" t="s">
        <v>1422</v>
      </c>
      <c r="AA132" s="1473" t="s">
        <v>1306</v>
      </c>
      <c r="AB132" s="1486" t="s">
        <v>1402</v>
      </c>
      <c r="AC132" s="1499"/>
      <c r="AD132" s="1500"/>
      <c r="AE132" s="1501"/>
      <c r="AF132" s="1501"/>
      <c r="AG132" s="1457" t="str">
        <f t="shared" si="11"/>
        <v>23調査結果-建築物の外部-2（10）-指摘の具体的内容等</v>
      </c>
      <c r="AI132" s="1502"/>
      <c r="AJ132" s="1502"/>
      <c r="AK132" s="1502"/>
      <c r="AL132" s="1508"/>
      <c r="AM132" s="1508"/>
      <c r="AN132" s="1508"/>
      <c r="AO132" s="1508"/>
    </row>
    <row r="133" spans="1:41" ht="18.75" customHeight="1" x14ac:dyDescent="0.15">
      <c r="A133" s="1586"/>
      <c r="B133" s="1509"/>
      <c r="C133" s="1509"/>
      <c r="D133" s="1460">
        <f>'1_入力シート【基本情報】'!$BD$346</f>
        <v>0</v>
      </c>
      <c r="E133" s="1674">
        <f t="shared" si="8"/>
        <v>0</v>
      </c>
      <c r="F133" s="1674" t="str">
        <f t="shared" si="9"/>
        <v>0</v>
      </c>
      <c r="G133" s="1674" t="str">
        <f t="shared" si="10"/>
        <v>0</v>
      </c>
      <c r="H133" s="1542"/>
      <c r="I133" s="1509"/>
      <c r="J133" s="1535"/>
      <c r="K133" s="1509"/>
      <c r="L133" s="1509"/>
      <c r="M133" s="1509"/>
      <c r="N133" s="1509"/>
      <c r="O133" s="1509"/>
      <c r="P133" s="1509"/>
      <c r="Q133" s="1509"/>
      <c r="R133" s="1509"/>
      <c r="S133" s="1509"/>
      <c r="T133" s="1509"/>
      <c r="U133" s="1469">
        <v>23</v>
      </c>
      <c r="V133" s="1486" t="s">
        <v>33</v>
      </c>
      <c r="W133" s="1471" t="s">
        <v>1306</v>
      </c>
      <c r="X133" s="1472" t="s">
        <v>49</v>
      </c>
      <c r="Y133" s="1473" t="s">
        <v>1306</v>
      </c>
      <c r="Z133" s="1504" t="s">
        <v>1422</v>
      </c>
      <c r="AA133" s="1473" t="s">
        <v>1306</v>
      </c>
      <c r="AB133" s="1470" t="s">
        <v>1403</v>
      </c>
      <c r="AC133" s="1499"/>
      <c r="AD133" s="1500"/>
      <c r="AE133" s="1501"/>
      <c r="AF133" s="1501"/>
      <c r="AG133" s="1457" t="str">
        <f t="shared" si="11"/>
        <v>23調査結果-建築物の外部-2（10）-改善策の具体的内容等</v>
      </c>
      <c r="AI133" s="1502"/>
      <c r="AJ133" s="1502"/>
      <c r="AK133" s="1459"/>
      <c r="AL133" s="1508"/>
      <c r="AM133" s="1508"/>
      <c r="AN133" s="1508"/>
      <c r="AO133" s="1508"/>
    </row>
    <row r="134" spans="1:41" ht="18.75" customHeight="1" x14ac:dyDescent="0.15">
      <c r="A134" s="1586"/>
      <c r="B134" s="1509"/>
      <c r="C134" s="1509"/>
      <c r="D134" s="1460">
        <f>'1_入力シート【基本情報】'!$BS$346</f>
        <v>0</v>
      </c>
      <c r="E134" s="1674">
        <f t="shared" si="8"/>
        <v>0</v>
      </c>
      <c r="F134" s="1674" t="str">
        <f t="shared" si="9"/>
        <v>0</v>
      </c>
      <c r="G134" s="1674" t="str">
        <f t="shared" si="10"/>
        <v>0</v>
      </c>
      <c r="H134" s="1542"/>
      <c r="I134" s="1509"/>
      <c r="J134" s="1535"/>
      <c r="K134" s="1509"/>
      <c r="L134" s="1509"/>
      <c r="M134" s="1509"/>
      <c r="N134" s="1509"/>
      <c r="O134" s="1509"/>
      <c r="P134" s="1509"/>
      <c r="Q134" s="1509"/>
      <c r="R134" s="1509"/>
      <c r="S134" s="1509"/>
      <c r="T134" s="1509"/>
      <c r="U134" s="1469">
        <v>23</v>
      </c>
      <c r="V134" s="1486" t="s">
        <v>33</v>
      </c>
      <c r="W134" s="1471" t="s">
        <v>1306</v>
      </c>
      <c r="X134" s="1472" t="s">
        <v>49</v>
      </c>
      <c r="Y134" s="1473" t="s">
        <v>1306</v>
      </c>
      <c r="Z134" s="1504" t="s">
        <v>1422</v>
      </c>
      <c r="AA134" s="1473" t="s">
        <v>1306</v>
      </c>
      <c r="AB134" s="1470" t="s">
        <v>352</v>
      </c>
      <c r="AC134" s="1499" t="s">
        <v>1366</v>
      </c>
      <c r="AD134" s="1500" t="s">
        <v>1387</v>
      </c>
      <c r="AE134" s="1501"/>
      <c r="AF134" s="1501"/>
      <c r="AG134" s="1457" t="str">
        <f t="shared" si="11"/>
        <v>23調査結果-建築物の外部-2（10）-改善（予定）年月-年（令和）</v>
      </c>
      <c r="AI134" s="1502"/>
      <c r="AJ134" s="1502"/>
      <c r="AK134" s="1502"/>
      <c r="AL134" s="1508"/>
      <c r="AM134" s="1508"/>
      <c r="AN134" s="1508"/>
      <c r="AO134" s="1508"/>
    </row>
    <row r="135" spans="1:41" ht="18.75" customHeight="1" x14ac:dyDescent="0.15">
      <c r="A135" s="1586"/>
      <c r="B135" s="1509"/>
      <c r="C135" s="1509"/>
      <c r="D135" s="1460">
        <f>'1_入力シート【基本情報】'!$BV$346</f>
        <v>0</v>
      </c>
      <c r="E135" s="1674">
        <f t="shared" si="8"/>
        <v>0</v>
      </c>
      <c r="F135" s="1674" t="str">
        <f t="shared" si="9"/>
        <v>0</v>
      </c>
      <c r="G135" s="1674" t="str">
        <f t="shared" si="10"/>
        <v>0</v>
      </c>
      <c r="H135" s="1542"/>
      <c r="I135" s="1509"/>
      <c r="J135" s="1535"/>
      <c r="K135" s="1509"/>
      <c r="L135" s="1509"/>
      <c r="M135" s="1509"/>
      <c r="N135" s="1509"/>
      <c r="O135" s="1509"/>
      <c r="P135" s="1509"/>
      <c r="Q135" s="1509"/>
      <c r="R135" s="1509"/>
      <c r="S135" s="1509"/>
      <c r="T135" s="1509"/>
      <c r="U135" s="1469">
        <v>23</v>
      </c>
      <c r="V135" s="1486" t="s">
        <v>33</v>
      </c>
      <c r="W135" s="1471" t="s">
        <v>1306</v>
      </c>
      <c r="X135" s="1472" t="s">
        <v>49</v>
      </c>
      <c r="Y135" s="1473" t="s">
        <v>1306</v>
      </c>
      <c r="Z135" s="1504" t="s">
        <v>1422</v>
      </c>
      <c r="AA135" s="1473" t="s">
        <v>1306</v>
      </c>
      <c r="AB135" s="1470" t="s">
        <v>352</v>
      </c>
      <c r="AC135" s="1499" t="s">
        <v>1366</v>
      </c>
      <c r="AD135" s="1500" t="s">
        <v>348</v>
      </c>
      <c r="AE135" s="1501"/>
      <c r="AF135" s="1501"/>
      <c r="AG135" s="1457" t="str">
        <f t="shared" si="11"/>
        <v>23調査結果-建築物の外部-2（10）-改善（予定）年月-月</v>
      </c>
      <c r="AI135" s="1502"/>
      <c r="AJ135" s="1502"/>
      <c r="AK135" s="1502"/>
      <c r="AL135" s="1508"/>
      <c r="AM135" s="1508"/>
      <c r="AN135" s="1508"/>
      <c r="AO135" s="1508"/>
    </row>
    <row r="136" spans="1:41" ht="18.75" customHeight="1" x14ac:dyDescent="0.15">
      <c r="A136" s="1586"/>
      <c r="B136" s="1509"/>
      <c r="C136" s="1509"/>
      <c r="D136" s="1460">
        <f>'1_入力シート【基本情報】'!$BY$346</f>
        <v>0</v>
      </c>
      <c r="E136" s="1674">
        <f t="shared" si="8"/>
        <v>0</v>
      </c>
      <c r="F136" s="1674" t="str">
        <f t="shared" si="9"/>
        <v>0</v>
      </c>
      <c r="G136" s="1674" t="str">
        <f t="shared" si="10"/>
        <v>0</v>
      </c>
      <c r="H136" s="1542"/>
      <c r="I136" s="1509"/>
      <c r="J136" s="1535"/>
      <c r="K136" s="1509"/>
      <c r="L136" s="1509"/>
      <c r="M136" s="1509"/>
      <c r="N136" s="1509"/>
      <c r="O136" s="1509"/>
      <c r="P136" s="1509"/>
      <c r="Q136" s="1509"/>
      <c r="R136" s="1509"/>
      <c r="S136" s="1509"/>
      <c r="T136" s="1509"/>
      <c r="U136" s="1469">
        <v>23</v>
      </c>
      <c r="V136" s="1486" t="s">
        <v>33</v>
      </c>
      <c r="W136" s="1471" t="s">
        <v>1306</v>
      </c>
      <c r="X136" s="1472" t="s">
        <v>49</v>
      </c>
      <c r="Y136" s="1473" t="s">
        <v>1306</v>
      </c>
      <c r="Z136" s="1504" t="s">
        <v>1422</v>
      </c>
      <c r="AA136" s="1473" t="s">
        <v>1306</v>
      </c>
      <c r="AB136" s="1470" t="s">
        <v>352</v>
      </c>
      <c r="AC136" s="1499" t="s">
        <v>1366</v>
      </c>
      <c r="AD136" s="1500" t="s">
        <v>640</v>
      </c>
      <c r="AE136" s="1501"/>
      <c r="AF136" s="1501"/>
      <c r="AG136" s="1457" t="str">
        <f t="shared" si="11"/>
        <v>23調査結果-建築物の外部-2（10）-改善（予定）年月-未定</v>
      </c>
      <c r="AI136" s="1502"/>
      <c r="AJ136" s="1502"/>
      <c r="AK136" s="1502"/>
      <c r="AL136" s="1508"/>
      <c r="AM136" s="1508"/>
      <c r="AN136" s="1508"/>
      <c r="AO136" s="1508"/>
    </row>
    <row r="137" spans="1:41" ht="18.75" customHeight="1" x14ac:dyDescent="0.15">
      <c r="A137" s="1586"/>
      <c r="B137" s="1509"/>
      <c r="C137" s="1509"/>
      <c r="D137" s="1460">
        <f>'1_入力シート【基本情報】'!$AF$347</f>
        <v>0</v>
      </c>
      <c r="E137" s="1674">
        <f t="shared" si="8"/>
        <v>0</v>
      </c>
      <c r="F137" s="1674" t="str">
        <f t="shared" si="9"/>
        <v>0</v>
      </c>
      <c r="G137" s="1674" t="str">
        <f t="shared" si="10"/>
        <v>0</v>
      </c>
      <c r="H137" s="1542"/>
      <c r="I137" s="1509"/>
      <c r="J137" s="1535"/>
      <c r="K137" s="1509"/>
      <c r="L137" s="1509"/>
      <c r="M137" s="1509"/>
      <c r="N137" s="1509"/>
      <c r="O137" s="1509"/>
      <c r="P137" s="1509"/>
      <c r="Q137" s="1509"/>
      <c r="R137" s="1509"/>
      <c r="S137" s="1509"/>
      <c r="T137" s="1509"/>
      <c r="U137" s="1469">
        <v>23</v>
      </c>
      <c r="V137" s="1486" t="s">
        <v>33</v>
      </c>
      <c r="W137" s="1471" t="s">
        <v>1306</v>
      </c>
      <c r="X137" s="1472" t="s">
        <v>49</v>
      </c>
      <c r="Y137" s="1473" t="s">
        <v>1306</v>
      </c>
      <c r="Z137" s="1504" t="s">
        <v>1423</v>
      </c>
      <c r="AA137" s="1473" t="s">
        <v>1306</v>
      </c>
      <c r="AB137" s="1486" t="s">
        <v>33</v>
      </c>
      <c r="AC137" s="1499"/>
      <c r="AD137" s="1500"/>
      <c r="AE137" s="1501"/>
      <c r="AF137" s="1501"/>
      <c r="AG137" s="1457" t="str">
        <f t="shared" si="11"/>
        <v>23調査結果-建築物の外部-2（11）-調査結果</v>
      </c>
      <c r="AI137" s="1502"/>
      <c r="AJ137" s="1502"/>
      <c r="AK137" s="1502"/>
      <c r="AL137" s="1508"/>
      <c r="AM137" s="1508"/>
      <c r="AN137" s="1508"/>
      <c r="AO137" s="1508"/>
    </row>
    <row r="138" spans="1:41" ht="18.75" customHeight="1" x14ac:dyDescent="0.15">
      <c r="A138" s="1586"/>
      <c r="B138" s="1509"/>
      <c r="C138" s="1509"/>
      <c r="D138" s="1460">
        <f>'1_入力シート【基本情報】'!$AR$347</f>
        <v>0</v>
      </c>
      <c r="E138" s="1674">
        <f t="shared" si="8"/>
        <v>0</v>
      </c>
      <c r="F138" s="1674" t="str">
        <f t="shared" si="9"/>
        <v>0</v>
      </c>
      <c r="G138" s="1674" t="str">
        <f t="shared" si="10"/>
        <v>0</v>
      </c>
      <c r="H138" s="1542"/>
      <c r="I138" s="1509"/>
      <c r="J138" s="1535"/>
      <c r="K138" s="1509"/>
      <c r="L138" s="1509"/>
      <c r="M138" s="1509"/>
      <c r="N138" s="1509"/>
      <c r="O138" s="1509"/>
      <c r="P138" s="1509"/>
      <c r="Q138" s="1509"/>
      <c r="R138" s="1509"/>
      <c r="S138" s="1509"/>
      <c r="T138" s="1509"/>
      <c r="U138" s="1469">
        <v>23</v>
      </c>
      <c r="V138" s="1486" t="s">
        <v>33</v>
      </c>
      <c r="W138" s="1471" t="s">
        <v>1306</v>
      </c>
      <c r="X138" s="1472" t="s">
        <v>49</v>
      </c>
      <c r="Y138" s="1473" t="s">
        <v>1306</v>
      </c>
      <c r="Z138" s="1504" t="s">
        <v>1423</v>
      </c>
      <c r="AA138" s="1473" t="s">
        <v>1306</v>
      </c>
      <c r="AB138" s="1486" t="s">
        <v>30</v>
      </c>
      <c r="AC138" s="1499"/>
      <c r="AD138" s="1500"/>
      <c r="AE138" s="1501"/>
      <c r="AF138" s="1501"/>
      <c r="AG138" s="1457" t="str">
        <f t="shared" si="11"/>
        <v>23調査結果-建築物の外部-2（11）-調査者番号</v>
      </c>
      <c r="AI138" s="1502"/>
      <c r="AJ138" s="1502"/>
      <c r="AK138" s="1502"/>
      <c r="AL138" s="1508"/>
      <c r="AM138" s="1508"/>
      <c r="AN138" s="1508"/>
      <c r="AO138" s="1508"/>
    </row>
    <row r="139" spans="1:41" ht="18.75" customHeight="1" x14ac:dyDescent="0.15">
      <c r="A139" s="1586"/>
      <c r="B139" s="1509"/>
      <c r="C139" s="1509"/>
      <c r="D139" s="1460">
        <f>'1_入力シート【基本情報】'!$AT$347</f>
        <v>0</v>
      </c>
      <c r="E139" s="1674">
        <f t="shared" si="8"/>
        <v>0</v>
      </c>
      <c r="F139" s="1674" t="str">
        <f t="shared" si="9"/>
        <v>0</v>
      </c>
      <c r="G139" s="1674" t="str">
        <f t="shared" si="10"/>
        <v>0</v>
      </c>
      <c r="H139" s="1542"/>
      <c r="I139" s="1509"/>
      <c r="J139" s="1535"/>
      <c r="K139" s="1509"/>
      <c r="L139" s="1509"/>
      <c r="M139" s="1509"/>
      <c r="N139" s="1509"/>
      <c r="O139" s="1509"/>
      <c r="P139" s="1509"/>
      <c r="Q139" s="1509"/>
      <c r="R139" s="1509"/>
      <c r="S139" s="1509"/>
      <c r="T139" s="1509"/>
      <c r="U139" s="1469">
        <v>23</v>
      </c>
      <c r="V139" s="1486" t="s">
        <v>33</v>
      </c>
      <c r="W139" s="1471" t="s">
        <v>1306</v>
      </c>
      <c r="X139" s="1472" t="s">
        <v>49</v>
      </c>
      <c r="Y139" s="1473" t="s">
        <v>1306</v>
      </c>
      <c r="Z139" s="1504" t="s">
        <v>1423</v>
      </c>
      <c r="AA139" s="1473" t="s">
        <v>1306</v>
      </c>
      <c r="AB139" s="1486" t="s">
        <v>1402</v>
      </c>
      <c r="AC139" s="1499"/>
      <c r="AD139" s="1500"/>
      <c r="AE139" s="1501"/>
      <c r="AF139" s="1501"/>
      <c r="AG139" s="1457" t="str">
        <f t="shared" si="11"/>
        <v>23調査結果-建築物の外部-2（11）-指摘の具体的内容等</v>
      </c>
      <c r="AI139" s="1502"/>
      <c r="AJ139" s="1502"/>
      <c r="AK139" s="1502"/>
      <c r="AL139" s="1508"/>
      <c r="AM139" s="1508"/>
      <c r="AN139" s="1508"/>
      <c r="AO139" s="1508"/>
    </row>
    <row r="140" spans="1:41" ht="18.75" customHeight="1" x14ac:dyDescent="0.15">
      <c r="A140" s="1586"/>
      <c r="B140" s="1509"/>
      <c r="C140" s="1509"/>
      <c r="D140" s="1460">
        <f>'1_入力シート【基本情報】'!$BD$347</f>
        <v>0</v>
      </c>
      <c r="E140" s="1674">
        <f t="shared" si="8"/>
        <v>0</v>
      </c>
      <c r="F140" s="1674" t="str">
        <f t="shared" si="9"/>
        <v>0</v>
      </c>
      <c r="G140" s="1674" t="str">
        <f t="shared" si="10"/>
        <v>0</v>
      </c>
      <c r="H140" s="1542"/>
      <c r="I140" s="1509"/>
      <c r="J140" s="1535"/>
      <c r="K140" s="1509"/>
      <c r="L140" s="1509"/>
      <c r="M140" s="1509"/>
      <c r="N140" s="1509"/>
      <c r="O140" s="1509"/>
      <c r="P140" s="1509"/>
      <c r="Q140" s="1509"/>
      <c r="R140" s="1509"/>
      <c r="S140" s="1509"/>
      <c r="T140" s="1509"/>
      <c r="U140" s="1469">
        <v>23</v>
      </c>
      <c r="V140" s="1486" t="s">
        <v>33</v>
      </c>
      <c r="W140" s="1471" t="s">
        <v>1306</v>
      </c>
      <c r="X140" s="1472" t="s">
        <v>49</v>
      </c>
      <c r="Y140" s="1473" t="s">
        <v>1306</v>
      </c>
      <c r="Z140" s="1504" t="s">
        <v>1423</v>
      </c>
      <c r="AA140" s="1473" t="s">
        <v>1306</v>
      </c>
      <c r="AB140" s="1486" t="s">
        <v>1403</v>
      </c>
      <c r="AC140" s="1499"/>
      <c r="AD140" s="1500"/>
      <c r="AE140" s="1501"/>
      <c r="AF140" s="1501"/>
      <c r="AG140" s="1457" t="str">
        <f t="shared" si="11"/>
        <v>23調査結果-建築物の外部-2（11）-改善策の具体的内容等</v>
      </c>
      <c r="AI140" s="1502"/>
      <c r="AJ140" s="1502"/>
      <c r="AK140" s="1502"/>
      <c r="AL140" s="1508"/>
      <c r="AM140" s="1508"/>
      <c r="AN140" s="1508"/>
      <c r="AO140" s="1508"/>
    </row>
    <row r="141" spans="1:41" ht="18.75" customHeight="1" x14ac:dyDescent="0.15">
      <c r="A141" s="1586"/>
      <c r="B141" s="1509"/>
      <c r="C141" s="1509"/>
      <c r="D141" s="1460">
        <f>'1_入力シート【基本情報】'!$BS$347</f>
        <v>0</v>
      </c>
      <c r="E141" s="1674">
        <f t="shared" si="8"/>
        <v>0</v>
      </c>
      <c r="F141" s="1674" t="str">
        <f t="shared" si="9"/>
        <v>0</v>
      </c>
      <c r="G141" s="1674" t="str">
        <f t="shared" si="10"/>
        <v>0</v>
      </c>
      <c r="H141" s="1542"/>
      <c r="I141" s="1509"/>
      <c r="J141" s="1535"/>
      <c r="K141" s="1509"/>
      <c r="L141" s="1509"/>
      <c r="M141" s="1509"/>
      <c r="N141" s="1509"/>
      <c r="O141" s="1509"/>
      <c r="P141" s="1509"/>
      <c r="Q141" s="1509"/>
      <c r="R141" s="1509"/>
      <c r="S141" s="1509"/>
      <c r="T141" s="1509"/>
      <c r="U141" s="1469">
        <v>23</v>
      </c>
      <c r="V141" s="1486" t="s">
        <v>33</v>
      </c>
      <c r="W141" s="1471" t="s">
        <v>1306</v>
      </c>
      <c r="X141" s="1472" t="s">
        <v>49</v>
      </c>
      <c r="Y141" s="1473" t="s">
        <v>1306</v>
      </c>
      <c r="Z141" s="1504" t="s">
        <v>1423</v>
      </c>
      <c r="AA141" s="1473" t="s">
        <v>1306</v>
      </c>
      <c r="AB141" s="1470" t="s">
        <v>352</v>
      </c>
      <c r="AC141" s="1499" t="s">
        <v>1366</v>
      </c>
      <c r="AD141" s="1500" t="s">
        <v>1387</v>
      </c>
      <c r="AE141" s="1501"/>
      <c r="AF141" s="1501"/>
      <c r="AG141" s="1457" t="str">
        <f t="shared" si="11"/>
        <v>23調査結果-建築物の外部-2（11）-改善（予定）年月-年（令和）</v>
      </c>
      <c r="AI141" s="1502"/>
      <c r="AJ141" s="1502"/>
      <c r="AK141" s="1502"/>
      <c r="AL141" s="1508"/>
      <c r="AM141" s="1508"/>
      <c r="AN141" s="1508"/>
      <c r="AO141" s="1508"/>
    </row>
    <row r="142" spans="1:41" ht="18.75" customHeight="1" x14ac:dyDescent="0.15">
      <c r="A142" s="1586"/>
      <c r="B142" s="1509"/>
      <c r="C142" s="1509"/>
      <c r="D142" s="1460">
        <f>'1_入力シート【基本情報】'!$BV$347</f>
        <v>0</v>
      </c>
      <c r="E142" s="1674">
        <f t="shared" si="8"/>
        <v>0</v>
      </c>
      <c r="F142" s="1674" t="str">
        <f t="shared" si="9"/>
        <v>0</v>
      </c>
      <c r="G142" s="1674" t="str">
        <f t="shared" si="10"/>
        <v>0</v>
      </c>
      <c r="H142" s="1542"/>
      <c r="I142" s="1509"/>
      <c r="J142" s="1535"/>
      <c r="K142" s="1509"/>
      <c r="L142" s="1509"/>
      <c r="M142" s="1509"/>
      <c r="N142" s="1509"/>
      <c r="O142" s="1509"/>
      <c r="P142" s="1509"/>
      <c r="Q142" s="1509"/>
      <c r="R142" s="1509"/>
      <c r="S142" s="1509"/>
      <c r="T142" s="1509"/>
      <c r="U142" s="1469">
        <v>23</v>
      </c>
      <c r="V142" s="1486" t="s">
        <v>33</v>
      </c>
      <c r="W142" s="1471" t="s">
        <v>1306</v>
      </c>
      <c r="X142" s="1472" t="s">
        <v>49</v>
      </c>
      <c r="Y142" s="1473" t="s">
        <v>1306</v>
      </c>
      <c r="Z142" s="1504" t="s">
        <v>1423</v>
      </c>
      <c r="AA142" s="1473" t="s">
        <v>1306</v>
      </c>
      <c r="AB142" s="1470" t="s">
        <v>352</v>
      </c>
      <c r="AC142" s="1499" t="s">
        <v>1366</v>
      </c>
      <c r="AD142" s="1500" t="s">
        <v>348</v>
      </c>
      <c r="AE142" s="1501"/>
      <c r="AF142" s="1501"/>
      <c r="AG142" s="1457" t="str">
        <f t="shared" si="11"/>
        <v>23調査結果-建築物の外部-2（11）-改善（予定）年月-月</v>
      </c>
      <c r="AI142" s="1502"/>
      <c r="AJ142" s="1502"/>
      <c r="AK142" s="1502"/>
      <c r="AL142" s="1508"/>
      <c r="AM142" s="1508"/>
      <c r="AN142" s="1508"/>
      <c r="AO142" s="1508"/>
    </row>
    <row r="143" spans="1:41" ht="18.75" customHeight="1" x14ac:dyDescent="0.15">
      <c r="A143" s="1586"/>
      <c r="B143" s="1509"/>
      <c r="C143" s="1509"/>
      <c r="D143" s="1460">
        <f>'1_入力シート【基本情報】'!$BY$347</f>
        <v>0</v>
      </c>
      <c r="E143" s="1674">
        <f t="shared" si="8"/>
        <v>0</v>
      </c>
      <c r="F143" s="1674" t="str">
        <f t="shared" si="9"/>
        <v>0</v>
      </c>
      <c r="G143" s="1674" t="str">
        <f t="shared" si="10"/>
        <v>0</v>
      </c>
      <c r="H143" s="1542"/>
      <c r="I143" s="1509"/>
      <c r="J143" s="1535"/>
      <c r="K143" s="1509"/>
      <c r="L143" s="1509"/>
      <c r="M143" s="1509"/>
      <c r="N143" s="1509"/>
      <c r="O143" s="1509"/>
      <c r="P143" s="1509"/>
      <c r="Q143" s="1509"/>
      <c r="R143" s="1509"/>
      <c r="S143" s="1509"/>
      <c r="T143" s="1509"/>
      <c r="U143" s="1469">
        <v>23</v>
      </c>
      <c r="V143" s="1486" t="s">
        <v>33</v>
      </c>
      <c r="W143" s="1471" t="s">
        <v>1306</v>
      </c>
      <c r="X143" s="1472" t="s">
        <v>49</v>
      </c>
      <c r="Y143" s="1473" t="s">
        <v>1306</v>
      </c>
      <c r="Z143" s="1504" t="s">
        <v>1423</v>
      </c>
      <c r="AA143" s="1473" t="s">
        <v>1306</v>
      </c>
      <c r="AB143" s="1470" t="s">
        <v>352</v>
      </c>
      <c r="AC143" s="1499" t="s">
        <v>1366</v>
      </c>
      <c r="AD143" s="1500" t="s">
        <v>640</v>
      </c>
      <c r="AE143" s="1501"/>
      <c r="AF143" s="1501"/>
      <c r="AG143" s="1457" t="str">
        <f t="shared" si="11"/>
        <v>23調査結果-建築物の外部-2（11）-改善（予定）年月-未定</v>
      </c>
      <c r="AI143" s="1502"/>
      <c r="AJ143" s="1502"/>
      <c r="AK143" s="1502"/>
      <c r="AL143" s="1508"/>
      <c r="AM143" s="1508"/>
      <c r="AN143" s="1508"/>
      <c r="AO143" s="1508"/>
    </row>
    <row r="144" spans="1:41" ht="18.75" customHeight="1" x14ac:dyDescent="0.15">
      <c r="A144" s="1586"/>
      <c r="B144" s="1509"/>
      <c r="C144" s="1509"/>
      <c r="D144" s="1460">
        <f>'1_入力シート【基本情報】'!$AF$348</f>
        <v>0</v>
      </c>
      <c r="E144" s="1674">
        <f t="shared" si="8"/>
        <v>0</v>
      </c>
      <c r="F144" s="1674" t="str">
        <f t="shared" si="9"/>
        <v>0</v>
      </c>
      <c r="G144" s="1674" t="str">
        <f t="shared" si="10"/>
        <v>0</v>
      </c>
      <c r="H144" s="1542"/>
      <c r="I144" s="1509"/>
      <c r="J144" s="1535"/>
      <c r="K144" s="1509"/>
      <c r="L144" s="1509"/>
      <c r="M144" s="1509"/>
      <c r="N144" s="1509"/>
      <c r="O144" s="1509"/>
      <c r="P144" s="1509"/>
      <c r="Q144" s="1509"/>
      <c r="R144" s="1509"/>
      <c r="S144" s="1509"/>
      <c r="T144" s="1509"/>
      <c r="U144" s="1469">
        <v>23</v>
      </c>
      <c r="V144" s="1486" t="s">
        <v>33</v>
      </c>
      <c r="W144" s="1471" t="s">
        <v>1306</v>
      </c>
      <c r="X144" s="1472" t="s">
        <v>49</v>
      </c>
      <c r="Y144" s="1473" t="s">
        <v>1306</v>
      </c>
      <c r="Z144" s="1504" t="s">
        <v>1424</v>
      </c>
      <c r="AA144" s="1473" t="s">
        <v>1306</v>
      </c>
      <c r="AB144" s="1470" t="s">
        <v>33</v>
      </c>
      <c r="AC144" s="1499"/>
      <c r="AD144" s="1500"/>
      <c r="AE144" s="1501"/>
      <c r="AF144" s="1501"/>
      <c r="AG144" s="1457" t="str">
        <f t="shared" si="11"/>
        <v>23調査結果-建築物の外部-2（12）-調査結果</v>
      </c>
      <c r="AI144" s="1502"/>
      <c r="AJ144" s="1502"/>
      <c r="AK144" s="1502"/>
      <c r="AL144" s="1508"/>
      <c r="AM144" s="1508"/>
      <c r="AN144" s="1508"/>
      <c r="AO144" s="1508"/>
    </row>
    <row r="145" spans="1:41" ht="18.75" customHeight="1" x14ac:dyDescent="0.15">
      <c r="A145" s="1586"/>
      <c r="B145" s="1509"/>
      <c r="C145" s="1509"/>
      <c r="D145" s="1460">
        <f>'1_入力シート【基本情報】'!$AR$348</f>
        <v>0</v>
      </c>
      <c r="E145" s="1674">
        <f t="shared" si="8"/>
        <v>0</v>
      </c>
      <c r="F145" s="1674" t="str">
        <f t="shared" si="9"/>
        <v>0</v>
      </c>
      <c r="G145" s="1674" t="str">
        <f t="shared" si="10"/>
        <v>0</v>
      </c>
      <c r="H145" s="1542"/>
      <c r="I145" s="1509"/>
      <c r="J145" s="1535"/>
      <c r="K145" s="1509"/>
      <c r="L145" s="1509"/>
      <c r="M145" s="1509"/>
      <c r="N145" s="1509"/>
      <c r="O145" s="1509"/>
      <c r="P145" s="1509"/>
      <c r="Q145" s="1509"/>
      <c r="R145" s="1509"/>
      <c r="S145" s="1509"/>
      <c r="T145" s="1509"/>
      <c r="U145" s="1469">
        <v>23</v>
      </c>
      <c r="V145" s="1486" t="s">
        <v>33</v>
      </c>
      <c r="W145" s="1471" t="s">
        <v>1306</v>
      </c>
      <c r="X145" s="1472" t="s">
        <v>49</v>
      </c>
      <c r="Y145" s="1473" t="s">
        <v>1306</v>
      </c>
      <c r="Z145" s="1504" t="s">
        <v>1424</v>
      </c>
      <c r="AA145" s="1473" t="s">
        <v>1306</v>
      </c>
      <c r="AB145" s="1486" t="s">
        <v>30</v>
      </c>
      <c r="AC145" s="1499"/>
      <c r="AD145" s="1500"/>
      <c r="AE145" s="1501"/>
      <c r="AF145" s="1501"/>
      <c r="AG145" s="1457" t="str">
        <f t="shared" si="11"/>
        <v>23調査結果-建築物の外部-2（12）-調査者番号</v>
      </c>
      <c r="AI145" s="1502"/>
      <c r="AJ145" s="1502"/>
      <c r="AK145" s="1502"/>
      <c r="AL145" s="1508"/>
      <c r="AM145" s="1508"/>
      <c r="AN145" s="1508"/>
      <c r="AO145" s="1508"/>
    </row>
    <row r="146" spans="1:41" ht="18.75" customHeight="1" x14ac:dyDescent="0.15">
      <c r="A146" s="1586"/>
      <c r="B146" s="1509"/>
      <c r="C146" s="1509"/>
      <c r="D146" s="1460">
        <f>'1_入力シート【基本情報】'!$AT$348</f>
        <v>0</v>
      </c>
      <c r="E146" s="1674">
        <f t="shared" si="8"/>
        <v>0</v>
      </c>
      <c r="F146" s="1674" t="str">
        <f t="shared" si="9"/>
        <v>0</v>
      </c>
      <c r="G146" s="1674" t="str">
        <f t="shared" si="10"/>
        <v>0</v>
      </c>
      <c r="H146" s="1542"/>
      <c r="I146" s="1509"/>
      <c r="J146" s="1535"/>
      <c r="K146" s="1509"/>
      <c r="L146" s="1509"/>
      <c r="M146" s="1509"/>
      <c r="N146" s="1509"/>
      <c r="O146" s="1509"/>
      <c r="P146" s="1509"/>
      <c r="Q146" s="1509"/>
      <c r="R146" s="1509"/>
      <c r="S146" s="1509"/>
      <c r="T146" s="1509"/>
      <c r="U146" s="1469">
        <v>23</v>
      </c>
      <c r="V146" s="1486" t="s">
        <v>33</v>
      </c>
      <c r="W146" s="1471" t="s">
        <v>1306</v>
      </c>
      <c r="X146" s="1472" t="s">
        <v>49</v>
      </c>
      <c r="Y146" s="1473" t="s">
        <v>1306</v>
      </c>
      <c r="Z146" s="1504" t="s">
        <v>1424</v>
      </c>
      <c r="AA146" s="1473" t="s">
        <v>1306</v>
      </c>
      <c r="AB146" s="1486" t="s">
        <v>1402</v>
      </c>
      <c r="AC146" s="1499"/>
      <c r="AD146" s="1500"/>
      <c r="AE146" s="1501"/>
      <c r="AF146" s="1501"/>
      <c r="AG146" s="1457" t="str">
        <f t="shared" si="11"/>
        <v>23調査結果-建築物の外部-2（12）-指摘の具体的内容等</v>
      </c>
      <c r="AI146" s="1502"/>
      <c r="AJ146" s="1502"/>
      <c r="AK146" s="1502"/>
      <c r="AL146" s="1508"/>
      <c r="AM146" s="1508"/>
      <c r="AN146" s="1508"/>
      <c r="AO146" s="1508"/>
    </row>
    <row r="147" spans="1:41" ht="18.75" customHeight="1" x14ac:dyDescent="0.15">
      <c r="A147" s="1586"/>
      <c r="B147" s="1509"/>
      <c r="C147" s="1509"/>
      <c r="D147" s="1460">
        <f>'1_入力シート【基本情報】'!$BD$348</f>
        <v>0</v>
      </c>
      <c r="E147" s="1674">
        <f t="shared" si="8"/>
        <v>0</v>
      </c>
      <c r="F147" s="1674" t="str">
        <f t="shared" si="9"/>
        <v>0</v>
      </c>
      <c r="G147" s="1674" t="str">
        <f t="shared" si="10"/>
        <v>0</v>
      </c>
      <c r="H147" s="1542"/>
      <c r="I147" s="1509"/>
      <c r="J147" s="1535"/>
      <c r="K147" s="1509"/>
      <c r="L147" s="1509"/>
      <c r="M147" s="1509"/>
      <c r="N147" s="1509"/>
      <c r="O147" s="1509"/>
      <c r="P147" s="1509"/>
      <c r="Q147" s="1509"/>
      <c r="R147" s="1509"/>
      <c r="S147" s="1509"/>
      <c r="T147" s="1509"/>
      <c r="U147" s="1469">
        <v>23</v>
      </c>
      <c r="V147" s="1486" t="s">
        <v>33</v>
      </c>
      <c r="W147" s="1471" t="s">
        <v>1306</v>
      </c>
      <c r="X147" s="1472" t="s">
        <v>49</v>
      </c>
      <c r="Y147" s="1473" t="s">
        <v>1306</v>
      </c>
      <c r="Z147" s="1504" t="s">
        <v>1424</v>
      </c>
      <c r="AA147" s="1473" t="s">
        <v>1306</v>
      </c>
      <c r="AB147" s="1486" t="s">
        <v>1403</v>
      </c>
      <c r="AC147" s="1499"/>
      <c r="AD147" s="1500"/>
      <c r="AE147" s="1501"/>
      <c r="AF147" s="1501"/>
      <c r="AG147" s="1457" t="str">
        <f t="shared" si="11"/>
        <v>23調査結果-建築物の外部-2（12）-改善策の具体的内容等</v>
      </c>
      <c r="AI147" s="1502"/>
      <c r="AJ147" s="1502"/>
      <c r="AK147" s="1502"/>
      <c r="AL147" s="1508"/>
      <c r="AM147" s="1508"/>
      <c r="AN147" s="1508"/>
      <c r="AO147" s="1508"/>
    </row>
    <row r="148" spans="1:41" ht="18.75" customHeight="1" x14ac:dyDescent="0.15">
      <c r="A148" s="1586"/>
      <c r="B148" s="1509"/>
      <c r="C148" s="1509"/>
      <c r="D148" s="1460">
        <f>'1_入力シート【基本情報】'!$BS$348</f>
        <v>0</v>
      </c>
      <c r="E148" s="1674">
        <f t="shared" si="8"/>
        <v>0</v>
      </c>
      <c r="F148" s="1674" t="str">
        <f t="shared" si="9"/>
        <v>0</v>
      </c>
      <c r="G148" s="1674" t="str">
        <f t="shared" si="10"/>
        <v>0</v>
      </c>
      <c r="H148" s="1542"/>
      <c r="I148" s="1509"/>
      <c r="J148" s="1535"/>
      <c r="K148" s="1509"/>
      <c r="L148" s="1509"/>
      <c r="M148" s="1509"/>
      <c r="N148" s="1509"/>
      <c r="O148" s="1509"/>
      <c r="P148" s="1509"/>
      <c r="Q148" s="1509"/>
      <c r="R148" s="1509"/>
      <c r="S148" s="1509"/>
      <c r="T148" s="1509"/>
      <c r="U148" s="1469">
        <v>23</v>
      </c>
      <c r="V148" s="1486" t="s">
        <v>33</v>
      </c>
      <c r="W148" s="1471" t="s">
        <v>1306</v>
      </c>
      <c r="X148" s="1472" t="s">
        <v>49</v>
      </c>
      <c r="Y148" s="1473" t="s">
        <v>1306</v>
      </c>
      <c r="Z148" s="1504" t="s">
        <v>1424</v>
      </c>
      <c r="AA148" s="1473" t="s">
        <v>1306</v>
      </c>
      <c r="AB148" s="1486" t="s">
        <v>352</v>
      </c>
      <c r="AC148" s="1499" t="s">
        <v>1366</v>
      </c>
      <c r="AD148" s="1476" t="s">
        <v>1387</v>
      </c>
      <c r="AE148" s="1501"/>
      <c r="AF148" s="1501"/>
      <c r="AG148" s="1457" t="str">
        <f t="shared" si="11"/>
        <v>23調査結果-建築物の外部-2（12）-改善（予定）年月-年（令和）</v>
      </c>
      <c r="AI148" s="1502"/>
      <c r="AJ148" s="1502"/>
      <c r="AK148" s="1502"/>
      <c r="AL148" s="1508"/>
      <c r="AM148" s="1508"/>
      <c r="AN148" s="1508"/>
      <c r="AO148" s="1508"/>
    </row>
    <row r="149" spans="1:41" ht="18.75" customHeight="1" x14ac:dyDescent="0.15">
      <c r="A149" s="1586"/>
      <c r="B149" s="1509"/>
      <c r="C149" s="1509"/>
      <c r="D149" s="1460">
        <f>'1_入力シート【基本情報】'!$BV$348</f>
        <v>0</v>
      </c>
      <c r="E149" s="1674">
        <f t="shared" si="8"/>
        <v>0</v>
      </c>
      <c r="F149" s="1674" t="str">
        <f t="shared" si="9"/>
        <v>0</v>
      </c>
      <c r="G149" s="1674" t="str">
        <f t="shared" si="10"/>
        <v>0</v>
      </c>
      <c r="H149" s="1542"/>
      <c r="I149" s="1509"/>
      <c r="J149" s="1535"/>
      <c r="K149" s="1509"/>
      <c r="L149" s="1509"/>
      <c r="M149" s="1509"/>
      <c r="N149" s="1509"/>
      <c r="O149" s="1509"/>
      <c r="P149" s="1509"/>
      <c r="Q149" s="1509"/>
      <c r="R149" s="1509"/>
      <c r="S149" s="1509"/>
      <c r="T149" s="1509"/>
      <c r="U149" s="1469">
        <v>23</v>
      </c>
      <c r="V149" s="1486" t="s">
        <v>33</v>
      </c>
      <c r="W149" s="1471" t="s">
        <v>1306</v>
      </c>
      <c r="X149" s="1472" t="s">
        <v>49</v>
      </c>
      <c r="Y149" s="1473" t="s">
        <v>1306</v>
      </c>
      <c r="Z149" s="1504" t="s">
        <v>1424</v>
      </c>
      <c r="AA149" s="1473" t="s">
        <v>1306</v>
      </c>
      <c r="AB149" s="1470" t="s">
        <v>352</v>
      </c>
      <c r="AC149" s="1499" t="s">
        <v>1366</v>
      </c>
      <c r="AD149" s="1500" t="s">
        <v>348</v>
      </c>
      <c r="AE149" s="1501"/>
      <c r="AF149" s="1501"/>
      <c r="AG149" s="1457" t="str">
        <f t="shared" si="11"/>
        <v>23調査結果-建築物の外部-2（12）-改善（予定）年月-月</v>
      </c>
      <c r="AI149" s="1502"/>
      <c r="AJ149" s="1502"/>
      <c r="AK149" s="1502"/>
      <c r="AL149" s="1508"/>
      <c r="AM149" s="1508"/>
      <c r="AN149" s="1508"/>
      <c r="AO149" s="1508"/>
    </row>
    <row r="150" spans="1:41" ht="18.75" customHeight="1" x14ac:dyDescent="0.15">
      <c r="A150" s="1586"/>
      <c r="B150" s="1509"/>
      <c r="C150" s="1509"/>
      <c r="D150" s="1460">
        <f>'1_入力シート【基本情報】'!$BY$348</f>
        <v>0</v>
      </c>
      <c r="E150" s="1674">
        <f t="shared" si="8"/>
        <v>0</v>
      </c>
      <c r="F150" s="1674" t="str">
        <f t="shared" si="9"/>
        <v>0</v>
      </c>
      <c r="G150" s="1674" t="str">
        <f t="shared" si="10"/>
        <v>0</v>
      </c>
      <c r="H150" s="1542"/>
      <c r="I150" s="1509"/>
      <c r="J150" s="1535"/>
      <c r="K150" s="1509"/>
      <c r="L150" s="1509"/>
      <c r="M150" s="1509"/>
      <c r="N150" s="1509"/>
      <c r="O150" s="1509"/>
      <c r="P150" s="1509"/>
      <c r="Q150" s="1509"/>
      <c r="R150" s="1509"/>
      <c r="S150" s="1509"/>
      <c r="T150" s="1509"/>
      <c r="U150" s="1469">
        <v>23</v>
      </c>
      <c r="V150" s="1486" t="s">
        <v>33</v>
      </c>
      <c r="W150" s="1471" t="s">
        <v>1306</v>
      </c>
      <c r="X150" s="1472" t="s">
        <v>49</v>
      </c>
      <c r="Y150" s="1473" t="s">
        <v>1306</v>
      </c>
      <c r="Z150" s="1504" t="s">
        <v>1424</v>
      </c>
      <c r="AA150" s="1473" t="s">
        <v>1306</v>
      </c>
      <c r="AB150" s="1470" t="s">
        <v>352</v>
      </c>
      <c r="AC150" s="1499" t="s">
        <v>1366</v>
      </c>
      <c r="AD150" s="1500" t="s">
        <v>640</v>
      </c>
      <c r="AE150" s="1501"/>
      <c r="AF150" s="1501"/>
      <c r="AG150" s="1457" t="str">
        <f t="shared" si="11"/>
        <v>23調査結果-建築物の外部-2（12）-改善（予定）年月-未定</v>
      </c>
      <c r="AI150" s="1502"/>
      <c r="AJ150" s="1502"/>
      <c r="AK150" s="1502"/>
      <c r="AL150" s="1508"/>
      <c r="AM150" s="1508"/>
      <c r="AN150" s="1508"/>
      <c r="AO150" s="1508"/>
    </row>
    <row r="151" spans="1:41" ht="18.75" customHeight="1" x14ac:dyDescent="0.15">
      <c r="A151" s="1586"/>
      <c r="B151" s="1509"/>
      <c r="C151" s="1509"/>
      <c r="D151" s="1460">
        <f>'1_入力シート【基本情報】'!$AF$349</f>
        <v>0</v>
      </c>
      <c r="E151" s="1674">
        <f t="shared" si="8"/>
        <v>0</v>
      </c>
      <c r="F151" s="1674" t="str">
        <f t="shared" si="9"/>
        <v>0</v>
      </c>
      <c r="G151" s="1674" t="str">
        <f t="shared" si="10"/>
        <v>0</v>
      </c>
      <c r="H151" s="1542"/>
      <c r="I151" s="1509"/>
      <c r="J151" s="1535"/>
      <c r="K151" s="1509"/>
      <c r="L151" s="1509"/>
      <c r="M151" s="1509"/>
      <c r="N151" s="1509"/>
      <c r="O151" s="1509"/>
      <c r="P151" s="1509"/>
      <c r="Q151" s="1509"/>
      <c r="R151" s="1509"/>
      <c r="S151" s="1509"/>
      <c r="T151" s="1509"/>
      <c r="U151" s="1469">
        <v>23</v>
      </c>
      <c r="V151" s="1486" t="s">
        <v>33</v>
      </c>
      <c r="W151" s="1471" t="s">
        <v>1306</v>
      </c>
      <c r="X151" s="1472" t="s">
        <v>49</v>
      </c>
      <c r="Y151" s="1473" t="s">
        <v>1306</v>
      </c>
      <c r="Z151" s="1504" t="s">
        <v>1425</v>
      </c>
      <c r="AA151" s="1473" t="s">
        <v>1306</v>
      </c>
      <c r="AB151" s="1470" t="s">
        <v>33</v>
      </c>
      <c r="AC151" s="1499"/>
      <c r="AD151" s="1500"/>
      <c r="AE151" s="1501"/>
      <c r="AF151" s="1501"/>
      <c r="AG151" s="1457" t="str">
        <f t="shared" si="11"/>
        <v>23調査結果-建築物の外部-2（13）-調査結果</v>
      </c>
      <c r="AI151" s="1502"/>
      <c r="AJ151" s="1502"/>
      <c r="AK151" s="1502"/>
      <c r="AL151" s="1508"/>
      <c r="AM151" s="1508"/>
      <c r="AN151" s="1508"/>
      <c r="AO151" s="1508"/>
    </row>
    <row r="152" spans="1:41" ht="18.75" customHeight="1" x14ac:dyDescent="0.15">
      <c r="A152" s="1586"/>
      <c r="B152" s="1509"/>
      <c r="C152" s="1509"/>
      <c r="D152" s="1460">
        <f>'1_入力シート【基本情報】'!$AR$349</f>
        <v>0</v>
      </c>
      <c r="E152" s="1674">
        <f t="shared" si="8"/>
        <v>0</v>
      </c>
      <c r="F152" s="1674" t="str">
        <f t="shared" si="9"/>
        <v>0</v>
      </c>
      <c r="G152" s="1674" t="str">
        <f t="shared" si="10"/>
        <v>0</v>
      </c>
      <c r="H152" s="1542"/>
      <c r="I152" s="1509"/>
      <c r="J152" s="1535"/>
      <c r="K152" s="1509"/>
      <c r="L152" s="1509"/>
      <c r="M152" s="1509"/>
      <c r="N152" s="1509"/>
      <c r="O152" s="1509"/>
      <c r="P152" s="1509"/>
      <c r="Q152" s="1509"/>
      <c r="R152" s="1509"/>
      <c r="S152" s="1509"/>
      <c r="T152" s="1509"/>
      <c r="U152" s="1469">
        <v>23</v>
      </c>
      <c r="V152" s="1486" t="s">
        <v>33</v>
      </c>
      <c r="W152" s="1471" t="s">
        <v>1306</v>
      </c>
      <c r="X152" s="1472" t="s">
        <v>49</v>
      </c>
      <c r="Y152" s="1473" t="s">
        <v>1306</v>
      </c>
      <c r="Z152" s="1504" t="s">
        <v>1425</v>
      </c>
      <c r="AA152" s="1473" t="s">
        <v>1306</v>
      </c>
      <c r="AB152" s="1470" t="s">
        <v>30</v>
      </c>
      <c r="AC152" s="1499"/>
      <c r="AD152" s="1500"/>
      <c r="AE152" s="1501"/>
      <c r="AF152" s="1501"/>
      <c r="AG152" s="1457" t="str">
        <f t="shared" si="11"/>
        <v>23調査結果-建築物の外部-2（13）-調査者番号</v>
      </c>
      <c r="AI152" s="1502"/>
      <c r="AJ152" s="1502"/>
      <c r="AK152" s="1502"/>
      <c r="AL152" s="1508"/>
      <c r="AM152" s="1508"/>
      <c r="AN152" s="1508"/>
      <c r="AO152" s="1508"/>
    </row>
    <row r="153" spans="1:41" ht="18.75" customHeight="1" x14ac:dyDescent="0.15">
      <c r="A153" s="1586"/>
      <c r="B153" s="1509"/>
      <c r="C153" s="1509"/>
      <c r="D153" s="1460">
        <f>'1_入力シート【基本情報】'!$AT$349</f>
        <v>0</v>
      </c>
      <c r="E153" s="1674">
        <f t="shared" si="8"/>
        <v>0</v>
      </c>
      <c r="F153" s="1674" t="str">
        <f t="shared" si="9"/>
        <v>0</v>
      </c>
      <c r="G153" s="1674" t="str">
        <f t="shared" si="10"/>
        <v>0</v>
      </c>
      <c r="H153" s="1542"/>
      <c r="I153" s="1509"/>
      <c r="J153" s="1535"/>
      <c r="K153" s="1509"/>
      <c r="L153" s="1509"/>
      <c r="M153" s="1509"/>
      <c r="N153" s="1509"/>
      <c r="O153" s="1509"/>
      <c r="P153" s="1509"/>
      <c r="Q153" s="1509"/>
      <c r="R153" s="1509"/>
      <c r="S153" s="1509"/>
      <c r="T153" s="1509"/>
      <c r="U153" s="1469">
        <v>23</v>
      </c>
      <c r="V153" s="1486" t="s">
        <v>33</v>
      </c>
      <c r="W153" s="1471" t="s">
        <v>1306</v>
      </c>
      <c r="X153" s="1472" t="s">
        <v>49</v>
      </c>
      <c r="Y153" s="1473" t="s">
        <v>1306</v>
      </c>
      <c r="Z153" s="1504" t="s">
        <v>1425</v>
      </c>
      <c r="AA153" s="1473" t="s">
        <v>1306</v>
      </c>
      <c r="AB153" s="1486" t="s">
        <v>1402</v>
      </c>
      <c r="AC153" s="1499"/>
      <c r="AD153" s="1500"/>
      <c r="AE153" s="1501"/>
      <c r="AF153" s="1501"/>
      <c r="AG153" s="1457" t="str">
        <f t="shared" si="11"/>
        <v>23調査結果-建築物の外部-2（13）-指摘の具体的内容等</v>
      </c>
      <c r="AI153" s="1502"/>
      <c r="AJ153" s="1502"/>
      <c r="AK153" s="1502"/>
      <c r="AL153" s="1508"/>
      <c r="AM153" s="1508"/>
      <c r="AN153" s="1508"/>
      <c r="AO153" s="1508"/>
    </row>
    <row r="154" spans="1:41" ht="18.75" customHeight="1" x14ac:dyDescent="0.15">
      <c r="A154" s="1586"/>
      <c r="B154" s="1509"/>
      <c r="C154" s="1509"/>
      <c r="D154" s="1460">
        <f>'1_入力シート【基本情報】'!$BD$349</f>
        <v>0</v>
      </c>
      <c r="E154" s="1674">
        <f t="shared" si="8"/>
        <v>0</v>
      </c>
      <c r="F154" s="1674" t="str">
        <f t="shared" si="9"/>
        <v>0</v>
      </c>
      <c r="G154" s="1674" t="str">
        <f t="shared" si="10"/>
        <v>0</v>
      </c>
      <c r="H154" s="1542"/>
      <c r="I154" s="1509"/>
      <c r="J154" s="1535"/>
      <c r="K154" s="1509"/>
      <c r="L154" s="1509"/>
      <c r="M154" s="1509"/>
      <c r="N154" s="1509"/>
      <c r="O154" s="1509"/>
      <c r="P154" s="1509"/>
      <c r="Q154" s="1509"/>
      <c r="R154" s="1509"/>
      <c r="S154" s="1509"/>
      <c r="T154" s="1509"/>
      <c r="U154" s="1469">
        <v>23</v>
      </c>
      <c r="V154" s="1486" t="s">
        <v>33</v>
      </c>
      <c r="W154" s="1471" t="s">
        <v>1306</v>
      </c>
      <c r="X154" s="1472" t="s">
        <v>49</v>
      </c>
      <c r="Y154" s="1473" t="s">
        <v>1306</v>
      </c>
      <c r="Z154" s="1504" t="s">
        <v>1425</v>
      </c>
      <c r="AA154" s="1473" t="s">
        <v>1306</v>
      </c>
      <c r="AB154" s="1486" t="s">
        <v>1403</v>
      </c>
      <c r="AC154" s="1499"/>
      <c r="AD154" s="1500"/>
      <c r="AE154" s="1501"/>
      <c r="AF154" s="1501"/>
      <c r="AG154" s="1457" t="str">
        <f t="shared" si="11"/>
        <v>23調査結果-建築物の外部-2（13）-改善策の具体的内容等</v>
      </c>
      <c r="AI154" s="1502"/>
      <c r="AJ154" s="1502"/>
      <c r="AK154" s="1502"/>
      <c r="AL154" s="1508"/>
      <c r="AM154" s="1508"/>
      <c r="AN154" s="1508"/>
      <c r="AO154" s="1508"/>
    </row>
    <row r="155" spans="1:41" ht="18.75" customHeight="1" x14ac:dyDescent="0.15">
      <c r="A155" s="1586"/>
      <c r="B155" s="1509"/>
      <c r="C155" s="1509"/>
      <c r="D155" s="1460">
        <f>'1_入力シート【基本情報】'!$BS$349</f>
        <v>0</v>
      </c>
      <c r="E155" s="1674">
        <f t="shared" ref="E155:E218" si="12">D155</f>
        <v>0</v>
      </c>
      <c r="F155" s="1674" t="str">
        <f t="shared" ref="F155:F218" si="13">SUBSTITUTE(E155,CHAR(10),"")</f>
        <v>0</v>
      </c>
      <c r="G155" s="1674" t="str">
        <f t="shared" ref="G155:G218" si="14">TRIM(F155)</f>
        <v>0</v>
      </c>
      <c r="H155" s="1542"/>
      <c r="I155" s="1509"/>
      <c r="J155" s="1535"/>
      <c r="K155" s="1509"/>
      <c r="L155" s="1509"/>
      <c r="M155" s="1509"/>
      <c r="N155" s="1509"/>
      <c r="O155" s="1509"/>
      <c r="P155" s="1509"/>
      <c r="Q155" s="1509"/>
      <c r="R155" s="1509"/>
      <c r="S155" s="1509"/>
      <c r="T155" s="1509"/>
      <c r="U155" s="1469">
        <v>23</v>
      </c>
      <c r="V155" s="1486" t="s">
        <v>33</v>
      </c>
      <c r="W155" s="1471" t="s">
        <v>1306</v>
      </c>
      <c r="X155" s="1472" t="s">
        <v>49</v>
      </c>
      <c r="Y155" s="1473" t="s">
        <v>1306</v>
      </c>
      <c r="Z155" s="1504" t="s">
        <v>1425</v>
      </c>
      <c r="AA155" s="1473" t="s">
        <v>1306</v>
      </c>
      <c r="AB155" s="1486" t="s">
        <v>352</v>
      </c>
      <c r="AC155" s="1499" t="s">
        <v>1366</v>
      </c>
      <c r="AD155" s="1500" t="s">
        <v>1387</v>
      </c>
      <c r="AE155" s="1501"/>
      <c r="AF155" s="1501"/>
      <c r="AG155" s="1457" t="str">
        <f t="shared" si="11"/>
        <v>23調査結果-建築物の外部-2（13）-改善（予定）年月-年（令和）</v>
      </c>
      <c r="AI155" s="1502"/>
      <c r="AJ155" s="1502"/>
      <c r="AK155" s="1502"/>
      <c r="AL155" s="1508"/>
      <c r="AM155" s="1508"/>
      <c r="AN155" s="1508"/>
      <c r="AO155" s="1508"/>
    </row>
    <row r="156" spans="1:41" ht="18.75" customHeight="1" x14ac:dyDescent="0.15">
      <c r="A156" s="1586"/>
      <c r="B156" s="1509"/>
      <c r="C156" s="1509"/>
      <c r="D156" s="1460">
        <f>'1_入力シート【基本情報】'!$BV$349</f>
        <v>0</v>
      </c>
      <c r="E156" s="1674">
        <f t="shared" si="12"/>
        <v>0</v>
      </c>
      <c r="F156" s="1674" t="str">
        <f t="shared" si="13"/>
        <v>0</v>
      </c>
      <c r="G156" s="1674" t="str">
        <f t="shared" si="14"/>
        <v>0</v>
      </c>
      <c r="H156" s="1542"/>
      <c r="I156" s="1509"/>
      <c r="J156" s="1535"/>
      <c r="K156" s="1509"/>
      <c r="L156" s="1509"/>
      <c r="M156" s="1509"/>
      <c r="N156" s="1509"/>
      <c r="O156" s="1509"/>
      <c r="P156" s="1509"/>
      <c r="Q156" s="1509"/>
      <c r="R156" s="1509"/>
      <c r="S156" s="1509"/>
      <c r="T156" s="1509"/>
      <c r="U156" s="1469">
        <v>23</v>
      </c>
      <c r="V156" s="1486" t="s">
        <v>33</v>
      </c>
      <c r="W156" s="1471" t="s">
        <v>1306</v>
      </c>
      <c r="X156" s="1472" t="s">
        <v>49</v>
      </c>
      <c r="Y156" s="1473" t="s">
        <v>1306</v>
      </c>
      <c r="Z156" s="1504" t="s">
        <v>1425</v>
      </c>
      <c r="AA156" s="1473" t="s">
        <v>1306</v>
      </c>
      <c r="AB156" s="1486" t="s">
        <v>352</v>
      </c>
      <c r="AC156" s="1499" t="s">
        <v>1366</v>
      </c>
      <c r="AD156" s="1500" t="s">
        <v>348</v>
      </c>
      <c r="AE156" s="1501"/>
      <c r="AF156" s="1501"/>
      <c r="AG156" s="1457" t="str">
        <f t="shared" si="11"/>
        <v>23調査結果-建築物の外部-2（13）-改善（予定）年月-月</v>
      </c>
      <c r="AI156" s="1502"/>
      <c r="AJ156" s="1502"/>
      <c r="AK156" s="1502"/>
      <c r="AL156" s="1508"/>
      <c r="AM156" s="1508"/>
      <c r="AN156" s="1508"/>
      <c r="AO156" s="1508"/>
    </row>
    <row r="157" spans="1:41" ht="18.75" customHeight="1" x14ac:dyDescent="0.15">
      <c r="A157" s="1586"/>
      <c r="B157" s="1509"/>
      <c r="C157" s="1509"/>
      <c r="D157" s="1460">
        <f>'1_入力シート【基本情報】'!$BY$349</f>
        <v>0</v>
      </c>
      <c r="E157" s="1674">
        <f t="shared" si="12"/>
        <v>0</v>
      </c>
      <c r="F157" s="1674" t="str">
        <f t="shared" si="13"/>
        <v>0</v>
      </c>
      <c r="G157" s="1674" t="str">
        <f t="shared" si="14"/>
        <v>0</v>
      </c>
      <c r="H157" s="1542"/>
      <c r="I157" s="1509"/>
      <c r="J157" s="1535"/>
      <c r="K157" s="1509"/>
      <c r="L157" s="1509"/>
      <c r="M157" s="1509"/>
      <c r="N157" s="1509"/>
      <c r="O157" s="1509"/>
      <c r="P157" s="1509"/>
      <c r="Q157" s="1509"/>
      <c r="R157" s="1509"/>
      <c r="S157" s="1509"/>
      <c r="T157" s="1509"/>
      <c r="U157" s="1469">
        <v>23</v>
      </c>
      <c r="V157" s="1486" t="s">
        <v>33</v>
      </c>
      <c r="W157" s="1471" t="s">
        <v>1306</v>
      </c>
      <c r="X157" s="1472" t="s">
        <v>49</v>
      </c>
      <c r="Y157" s="1473" t="s">
        <v>1306</v>
      </c>
      <c r="Z157" s="1504" t="s">
        <v>1425</v>
      </c>
      <c r="AA157" s="1473" t="s">
        <v>1306</v>
      </c>
      <c r="AB157" s="1470" t="s">
        <v>352</v>
      </c>
      <c r="AC157" s="1499" t="s">
        <v>1366</v>
      </c>
      <c r="AD157" s="1500" t="s">
        <v>640</v>
      </c>
      <c r="AE157" s="1501"/>
      <c r="AF157" s="1501"/>
      <c r="AG157" s="1457" t="str">
        <f t="shared" si="11"/>
        <v>23調査結果-建築物の外部-2（13）-改善（予定）年月-未定</v>
      </c>
      <c r="AI157" s="1502"/>
      <c r="AJ157" s="1502"/>
      <c r="AK157" s="1502"/>
      <c r="AL157" s="1508"/>
      <c r="AM157" s="1508"/>
      <c r="AN157" s="1508"/>
      <c r="AO157" s="1508"/>
    </row>
    <row r="158" spans="1:41" ht="18.75" customHeight="1" x14ac:dyDescent="0.15">
      <c r="A158" s="1586"/>
      <c r="B158" s="1509"/>
      <c r="C158" s="1509"/>
      <c r="D158" s="1460">
        <f>'1_入力シート【基本情報】'!$AF$350</f>
        <v>0</v>
      </c>
      <c r="E158" s="1674">
        <f t="shared" si="12"/>
        <v>0</v>
      </c>
      <c r="F158" s="1674" t="str">
        <f t="shared" si="13"/>
        <v>0</v>
      </c>
      <c r="G158" s="1674" t="str">
        <f t="shared" si="14"/>
        <v>0</v>
      </c>
      <c r="H158" s="1542"/>
      <c r="I158" s="1509"/>
      <c r="J158" s="1535"/>
      <c r="K158" s="1509"/>
      <c r="L158" s="1509"/>
      <c r="M158" s="1509"/>
      <c r="N158" s="1509"/>
      <c r="O158" s="1509"/>
      <c r="P158" s="1509"/>
      <c r="Q158" s="1509"/>
      <c r="R158" s="1509"/>
      <c r="S158" s="1509"/>
      <c r="T158" s="1509"/>
      <c r="U158" s="1469">
        <v>23</v>
      </c>
      <c r="V158" s="1486" t="s">
        <v>33</v>
      </c>
      <c r="W158" s="1471" t="s">
        <v>1306</v>
      </c>
      <c r="X158" s="1472" t="s">
        <v>49</v>
      </c>
      <c r="Y158" s="1473" t="s">
        <v>1306</v>
      </c>
      <c r="Z158" s="1504" t="s">
        <v>1426</v>
      </c>
      <c r="AA158" s="1473" t="s">
        <v>1306</v>
      </c>
      <c r="AB158" s="1470" t="s">
        <v>33</v>
      </c>
      <c r="AC158" s="1499"/>
      <c r="AD158" s="1500"/>
      <c r="AE158" s="1501"/>
      <c r="AF158" s="1501"/>
      <c r="AG158" s="1457" t="str">
        <f t="shared" si="11"/>
        <v>23調査結果-建築物の外部-2（14）-調査結果</v>
      </c>
      <c r="AI158" s="1502"/>
      <c r="AJ158" s="1502"/>
      <c r="AK158" s="1502"/>
    </row>
    <row r="159" spans="1:41" ht="18.75" customHeight="1" x14ac:dyDescent="0.15">
      <c r="A159" s="1586"/>
      <c r="B159" s="1509"/>
      <c r="C159" s="1509"/>
      <c r="D159" s="1460">
        <f>'1_入力シート【基本情報】'!$AR$350</f>
        <v>0</v>
      </c>
      <c r="E159" s="1674">
        <f t="shared" si="12"/>
        <v>0</v>
      </c>
      <c r="F159" s="1674" t="str">
        <f t="shared" si="13"/>
        <v>0</v>
      </c>
      <c r="G159" s="1674" t="str">
        <f t="shared" si="14"/>
        <v>0</v>
      </c>
      <c r="H159" s="1542"/>
      <c r="I159" s="1509"/>
      <c r="J159" s="1535"/>
      <c r="K159" s="1509"/>
      <c r="L159" s="1509"/>
      <c r="M159" s="1509"/>
      <c r="N159" s="1509"/>
      <c r="O159" s="1509"/>
      <c r="P159" s="1509"/>
      <c r="Q159" s="1509"/>
      <c r="R159" s="1509"/>
      <c r="S159" s="1509"/>
      <c r="T159" s="1509"/>
      <c r="U159" s="1469">
        <v>23</v>
      </c>
      <c r="V159" s="1486" t="s">
        <v>33</v>
      </c>
      <c r="W159" s="1471" t="s">
        <v>1306</v>
      </c>
      <c r="X159" s="1472" t="s">
        <v>49</v>
      </c>
      <c r="Y159" s="1473" t="s">
        <v>1306</v>
      </c>
      <c r="Z159" s="1504" t="s">
        <v>1426</v>
      </c>
      <c r="AA159" s="1473" t="s">
        <v>1306</v>
      </c>
      <c r="AB159" s="1470" t="s">
        <v>30</v>
      </c>
      <c r="AC159" s="1499"/>
      <c r="AD159" s="1500"/>
      <c r="AE159" s="1477"/>
      <c r="AF159" s="1477"/>
      <c r="AG159" s="1457" t="str">
        <f t="shared" si="11"/>
        <v>23調査結果-建築物の外部-2（14）-調査者番号</v>
      </c>
      <c r="AI159" s="1502"/>
      <c r="AJ159" s="1502"/>
      <c r="AK159" s="1502"/>
      <c r="AL159" s="1508"/>
      <c r="AM159" s="1508"/>
      <c r="AN159" s="1508"/>
      <c r="AO159" s="1508"/>
    </row>
    <row r="160" spans="1:41" ht="18.75" customHeight="1" x14ac:dyDescent="0.15">
      <c r="A160" s="1586"/>
      <c r="B160" s="1509"/>
      <c r="C160" s="1509"/>
      <c r="D160" s="1460">
        <f>'1_入力シート【基本情報】'!$AT$350</f>
        <v>0</v>
      </c>
      <c r="E160" s="1674">
        <f t="shared" si="12"/>
        <v>0</v>
      </c>
      <c r="F160" s="1674" t="str">
        <f t="shared" si="13"/>
        <v>0</v>
      </c>
      <c r="G160" s="1674" t="str">
        <f t="shared" si="14"/>
        <v>0</v>
      </c>
      <c r="H160" s="1542"/>
      <c r="I160" s="1509"/>
      <c r="J160" s="1535"/>
      <c r="K160" s="1509"/>
      <c r="L160" s="1509"/>
      <c r="M160" s="1509"/>
      <c r="N160" s="1509"/>
      <c r="O160" s="1509"/>
      <c r="P160" s="1509"/>
      <c r="Q160" s="1509"/>
      <c r="R160" s="1509"/>
      <c r="S160" s="1509"/>
      <c r="T160" s="1509"/>
      <c r="U160" s="1469">
        <v>23</v>
      </c>
      <c r="V160" s="1486" t="s">
        <v>33</v>
      </c>
      <c r="W160" s="1471" t="s">
        <v>1306</v>
      </c>
      <c r="X160" s="1472" t="s">
        <v>49</v>
      </c>
      <c r="Y160" s="1473" t="s">
        <v>1306</v>
      </c>
      <c r="Z160" s="1504" t="s">
        <v>1426</v>
      </c>
      <c r="AA160" s="1473" t="s">
        <v>1306</v>
      </c>
      <c r="AB160" s="1470" t="s">
        <v>1402</v>
      </c>
      <c r="AC160" s="1499"/>
      <c r="AD160" s="1500"/>
      <c r="AE160" s="1501"/>
      <c r="AF160" s="1501"/>
      <c r="AG160" s="1457" t="str">
        <f t="shared" si="11"/>
        <v>23調査結果-建築物の外部-2（14）-指摘の具体的内容等</v>
      </c>
      <c r="AI160" s="1502"/>
      <c r="AJ160" s="1502"/>
      <c r="AK160" s="1502"/>
      <c r="AL160" s="1508"/>
      <c r="AM160" s="1508"/>
      <c r="AN160" s="1508"/>
      <c r="AO160" s="1508"/>
    </row>
    <row r="161" spans="1:41" ht="18.75" customHeight="1" x14ac:dyDescent="0.15">
      <c r="A161" s="1586"/>
      <c r="B161" s="1509"/>
      <c r="C161" s="1509"/>
      <c r="D161" s="1460">
        <f>'1_入力シート【基本情報】'!$BD$350</f>
        <v>0</v>
      </c>
      <c r="E161" s="1674">
        <f t="shared" si="12"/>
        <v>0</v>
      </c>
      <c r="F161" s="1674" t="str">
        <f t="shared" si="13"/>
        <v>0</v>
      </c>
      <c r="G161" s="1674" t="str">
        <f t="shared" si="14"/>
        <v>0</v>
      </c>
      <c r="H161" s="1542"/>
      <c r="I161" s="1509"/>
      <c r="J161" s="1535"/>
      <c r="K161" s="1509"/>
      <c r="L161" s="1509"/>
      <c r="M161" s="1509"/>
      <c r="N161" s="1509"/>
      <c r="O161" s="1509"/>
      <c r="P161" s="1509"/>
      <c r="Q161" s="1509"/>
      <c r="R161" s="1509"/>
      <c r="S161" s="1509"/>
      <c r="T161" s="1509"/>
      <c r="U161" s="1469">
        <v>23</v>
      </c>
      <c r="V161" s="1486" t="s">
        <v>33</v>
      </c>
      <c r="W161" s="1471" t="s">
        <v>1306</v>
      </c>
      <c r="X161" s="1472" t="s">
        <v>49</v>
      </c>
      <c r="Y161" s="1473" t="s">
        <v>1306</v>
      </c>
      <c r="Z161" s="1504" t="s">
        <v>1426</v>
      </c>
      <c r="AA161" s="1473" t="s">
        <v>1306</v>
      </c>
      <c r="AB161" s="1486" t="s">
        <v>1403</v>
      </c>
      <c r="AC161" s="1499"/>
      <c r="AD161" s="1500"/>
      <c r="AE161" s="1501"/>
      <c r="AF161" s="1501"/>
      <c r="AG161" s="1457" t="str">
        <f t="shared" si="11"/>
        <v>23調査結果-建築物の外部-2（14）-改善策の具体的内容等</v>
      </c>
      <c r="AI161" s="1502"/>
      <c r="AJ161" s="1502"/>
      <c r="AK161" s="1502"/>
      <c r="AL161" s="1508"/>
      <c r="AM161" s="1508"/>
      <c r="AN161" s="1508"/>
      <c r="AO161" s="1508"/>
    </row>
    <row r="162" spans="1:41" ht="18.75" customHeight="1" x14ac:dyDescent="0.15">
      <c r="A162" s="1586"/>
      <c r="B162" s="1509"/>
      <c r="C162" s="1509"/>
      <c r="D162" s="1460">
        <f>'1_入力シート【基本情報】'!$BS$350</f>
        <v>0</v>
      </c>
      <c r="E162" s="1674">
        <f t="shared" si="12"/>
        <v>0</v>
      </c>
      <c r="F162" s="1674" t="str">
        <f t="shared" si="13"/>
        <v>0</v>
      </c>
      <c r="G162" s="1674" t="str">
        <f t="shared" si="14"/>
        <v>0</v>
      </c>
      <c r="H162" s="1542"/>
      <c r="I162" s="1509"/>
      <c r="J162" s="1535"/>
      <c r="K162" s="1509"/>
      <c r="L162" s="1509"/>
      <c r="M162" s="1509"/>
      <c r="N162" s="1509"/>
      <c r="O162" s="1509"/>
      <c r="P162" s="1509"/>
      <c r="Q162" s="1509"/>
      <c r="R162" s="1509"/>
      <c r="S162" s="1509"/>
      <c r="T162" s="1509"/>
      <c r="U162" s="1469">
        <v>23</v>
      </c>
      <c r="V162" s="1486" t="s">
        <v>33</v>
      </c>
      <c r="W162" s="1471" t="s">
        <v>1306</v>
      </c>
      <c r="X162" s="1472" t="s">
        <v>49</v>
      </c>
      <c r="Y162" s="1473" t="s">
        <v>1306</v>
      </c>
      <c r="Z162" s="1504" t="s">
        <v>1426</v>
      </c>
      <c r="AA162" s="1473" t="s">
        <v>1306</v>
      </c>
      <c r="AB162" s="1486" t="s">
        <v>352</v>
      </c>
      <c r="AC162" s="1499" t="s">
        <v>1366</v>
      </c>
      <c r="AD162" s="1500" t="s">
        <v>1387</v>
      </c>
      <c r="AE162" s="1501"/>
      <c r="AF162" s="1501"/>
      <c r="AG162" s="1457" t="str">
        <f t="shared" si="11"/>
        <v>23調査結果-建築物の外部-2（14）-改善（予定）年月-年（令和）</v>
      </c>
      <c r="AI162" s="1459"/>
      <c r="AJ162" s="1459"/>
      <c r="AK162" s="1502"/>
      <c r="AL162" s="1508"/>
      <c r="AM162" s="1508"/>
      <c r="AN162" s="1508"/>
      <c r="AO162" s="1508"/>
    </row>
    <row r="163" spans="1:41" ht="18.75" customHeight="1" x14ac:dyDescent="0.15">
      <c r="A163" s="1586"/>
      <c r="B163" s="1509"/>
      <c r="C163" s="1509"/>
      <c r="D163" s="1460">
        <f>'1_入力シート【基本情報】'!$BV$350</f>
        <v>0</v>
      </c>
      <c r="E163" s="1674">
        <f t="shared" si="12"/>
        <v>0</v>
      </c>
      <c r="F163" s="1674" t="str">
        <f t="shared" si="13"/>
        <v>0</v>
      </c>
      <c r="G163" s="1674" t="str">
        <f t="shared" si="14"/>
        <v>0</v>
      </c>
      <c r="H163" s="1542"/>
      <c r="I163" s="1509"/>
      <c r="J163" s="1535"/>
      <c r="K163" s="1509"/>
      <c r="L163" s="1509"/>
      <c r="M163" s="1509"/>
      <c r="N163" s="1509"/>
      <c r="O163" s="1509"/>
      <c r="P163" s="1509"/>
      <c r="Q163" s="1509"/>
      <c r="R163" s="1509"/>
      <c r="S163" s="1509"/>
      <c r="T163" s="1509"/>
      <c r="U163" s="1469">
        <v>23</v>
      </c>
      <c r="V163" s="1486" t="s">
        <v>33</v>
      </c>
      <c r="W163" s="1471" t="s">
        <v>1306</v>
      </c>
      <c r="X163" s="1472" t="s">
        <v>49</v>
      </c>
      <c r="Y163" s="1473" t="s">
        <v>1306</v>
      </c>
      <c r="Z163" s="1504" t="s">
        <v>1426</v>
      </c>
      <c r="AA163" s="1473" t="s">
        <v>1306</v>
      </c>
      <c r="AB163" s="1486" t="s">
        <v>352</v>
      </c>
      <c r="AC163" s="1499" t="s">
        <v>1366</v>
      </c>
      <c r="AD163" s="1500" t="s">
        <v>348</v>
      </c>
      <c r="AE163" s="1501"/>
      <c r="AF163" s="1501"/>
      <c r="AG163" s="1457" t="str">
        <f t="shared" si="11"/>
        <v>23調査結果-建築物の外部-2（14）-改善（予定）年月-月</v>
      </c>
      <c r="AI163" s="1502"/>
      <c r="AJ163" s="1502"/>
      <c r="AK163" s="1502"/>
      <c r="AL163" s="1508"/>
      <c r="AM163" s="1508"/>
      <c r="AN163" s="1508"/>
      <c r="AO163" s="1508"/>
    </row>
    <row r="164" spans="1:41" ht="18.75" customHeight="1" x14ac:dyDescent="0.15">
      <c r="A164" s="1586"/>
      <c r="B164" s="1509"/>
      <c r="C164" s="1509"/>
      <c r="D164" s="1460">
        <f>'1_入力シート【基本情報】'!$BY$350</f>
        <v>0</v>
      </c>
      <c r="E164" s="1674">
        <f t="shared" si="12"/>
        <v>0</v>
      </c>
      <c r="F164" s="1674" t="str">
        <f t="shared" si="13"/>
        <v>0</v>
      </c>
      <c r="G164" s="1674" t="str">
        <f t="shared" si="14"/>
        <v>0</v>
      </c>
      <c r="H164" s="1542"/>
      <c r="I164" s="1509"/>
      <c r="J164" s="1535"/>
      <c r="K164" s="1509"/>
      <c r="L164" s="1509"/>
      <c r="M164" s="1509"/>
      <c r="N164" s="1509"/>
      <c r="O164" s="1509"/>
      <c r="P164" s="1509"/>
      <c r="Q164" s="1509"/>
      <c r="R164" s="1509"/>
      <c r="S164" s="1509"/>
      <c r="T164" s="1509"/>
      <c r="U164" s="1469">
        <v>23</v>
      </c>
      <c r="V164" s="1486" t="s">
        <v>33</v>
      </c>
      <c r="W164" s="1471" t="s">
        <v>1306</v>
      </c>
      <c r="X164" s="1472" t="s">
        <v>49</v>
      </c>
      <c r="Y164" s="1473" t="s">
        <v>1306</v>
      </c>
      <c r="Z164" s="1504" t="s">
        <v>1426</v>
      </c>
      <c r="AA164" s="1473" t="s">
        <v>1306</v>
      </c>
      <c r="AB164" s="1486" t="s">
        <v>352</v>
      </c>
      <c r="AC164" s="1499" t="s">
        <v>1366</v>
      </c>
      <c r="AD164" s="1500" t="s">
        <v>640</v>
      </c>
      <c r="AE164" s="1501"/>
      <c r="AF164" s="1501"/>
      <c r="AG164" s="1457" t="str">
        <f t="shared" si="11"/>
        <v>23調査結果-建築物の外部-2（14）-改善（予定）年月-未定</v>
      </c>
      <c r="AI164" s="1502"/>
      <c r="AJ164" s="1502"/>
      <c r="AK164" s="1502"/>
      <c r="AL164" s="1508"/>
      <c r="AM164" s="1508"/>
      <c r="AN164" s="1508"/>
      <c r="AO164" s="1508"/>
    </row>
    <row r="165" spans="1:41" ht="18.75" customHeight="1" x14ac:dyDescent="0.15">
      <c r="A165" s="1586"/>
      <c r="B165" s="1509"/>
      <c r="C165" s="1509"/>
      <c r="D165" s="1460">
        <f>'1_入力シート【基本情報】'!$AF$351</f>
        <v>0</v>
      </c>
      <c r="E165" s="1674">
        <f t="shared" si="12"/>
        <v>0</v>
      </c>
      <c r="F165" s="1674" t="str">
        <f t="shared" si="13"/>
        <v>0</v>
      </c>
      <c r="G165" s="1674" t="str">
        <f t="shared" si="14"/>
        <v>0</v>
      </c>
      <c r="H165" s="1542"/>
      <c r="I165" s="1509"/>
      <c r="J165" s="1535"/>
      <c r="K165" s="1509"/>
      <c r="L165" s="1509"/>
      <c r="M165" s="1509"/>
      <c r="N165" s="1509"/>
      <c r="O165" s="1509"/>
      <c r="P165" s="1509"/>
      <c r="Q165" s="1509"/>
      <c r="R165" s="1509"/>
      <c r="S165" s="1509"/>
      <c r="T165" s="1509"/>
      <c r="U165" s="1469">
        <v>23</v>
      </c>
      <c r="V165" s="1486" t="s">
        <v>33</v>
      </c>
      <c r="W165" s="1471" t="s">
        <v>1306</v>
      </c>
      <c r="X165" s="1472" t="s">
        <v>49</v>
      </c>
      <c r="Y165" s="1473" t="s">
        <v>1306</v>
      </c>
      <c r="Z165" s="1504" t="s">
        <v>1427</v>
      </c>
      <c r="AA165" s="1473" t="s">
        <v>1306</v>
      </c>
      <c r="AB165" s="1470" t="s">
        <v>33</v>
      </c>
      <c r="AC165" s="1499"/>
      <c r="AD165" s="1500"/>
      <c r="AE165" s="1501"/>
      <c r="AF165" s="1501"/>
      <c r="AG165" s="1457" t="str">
        <f t="shared" si="11"/>
        <v>23調査結果-建築物の外部-2（15）-調査結果</v>
      </c>
      <c r="AI165" s="1502"/>
      <c r="AJ165" s="1502"/>
      <c r="AK165" s="1502"/>
      <c r="AL165" s="1508"/>
      <c r="AM165" s="1508"/>
      <c r="AN165" s="1508"/>
      <c r="AO165" s="1508"/>
    </row>
    <row r="166" spans="1:41" ht="18.75" customHeight="1" x14ac:dyDescent="0.15">
      <c r="A166" s="1586"/>
      <c r="B166" s="1509"/>
      <c r="C166" s="1509"/>
      <c r="D166" s="1460">
        <f>'1_入力シート【基本情報】'!$AR$351</f>
        <v>0</v>
      </c>
      <c r="E166" s="1674">
        <f t="shared" si="12"/>
        <v>0</v>
      </c>
      <c r="F166" s="1674" t="str">
        <f t="shared" si="13"/>
        <v>0</v>
      </c>
      <c r="G166" s="1674" t="str">
        <f t="shared" si="14"/>
        <v>0</v>
      </c>
      <c r="H166" s="1542"/>
      <c r="I166" s="1509"/>
      <c r="J166" s="1535"/>
      <c r="K166" s="1509"/>
      <c r="L166" s="1509"/>
      <c r="M166" s="1509"/>
      <c r="N166" s="1509"/>
      <c r="O166" s="1509"/>
      <c r="P166" s="1509"/>
      <c r="Q166" s="1509"/>
      <c r="R166" s="1509"/>
      <c r="S166" s="1509"/>
      <c r="T166" s="1509"/>
      <c r="U166" s="1469">
        <v>23</v>
      </c>
      <c r="V166" s="1486" t="s">
        <v>33</v>
      </c>
      <c r="W166" s="1471" t="s">
        <v>1306</v>
      </c>
      <c r="X166" s="1472" t="s">
        <v>49</v>
      </c>
      <c r="Y166" s="1473" t="s">
        <v>1306</v>
      </c>
      <c r="Z166" s="1504" t="s">
        <v>1427</v>
      </c>
      <c r="AA166" s="1473" t="s">
        <v>1306</v>
      </c>
      <c r="AB166" s="1470" t="s">
        <v>30</v>
      </c>
      <c r="AC166" s="1499"/>
      <c r="AD166" s="1500"/>
      <c r="AE166" s="1501"/>
      <c r="AF166" s="1501"/>
      <c r="AG166" s="1457" t="str">
        <f t="shared" si="11"/>
        <v>23調査結果-建築物の外部-2（15）-調査者番号</v>
      </c>
      <c r="AI166" s="1502"/>
      <c r="AJ166" s="1502"/>
      <c r="AK166" s="1502"/>
      <c r="AL166" s="1508"/>
      <c r="AM166" s="1508"/>
      <c r="AN166" s="1508"/>
      <c r="AO166" s="1508"/>
    </row>
    <row r="167" spans="1:41" ht="18.75" customHeight="1" x14ac:dyDescent="0.15">
      <c r="A167" s="1586"/>
      <c r="B167" s="1509"/>
      <c r="C167" s="1509"/>
      <c r="D167" s="1460">
        <f>'1_入力シート【基本情報】'!$AT$351</f>
        <v>0</v>
      </c>
      <c r="E167" s="1674">
        <f t="shared" si="12"/>
        <v>0</v>
      </c>
      <c r="F167" s="1674" t="str">
        <f t="shared" si="13"/>
        <v>0</v>
      </c>
      <c r="G167" s="1674" t="str">
        <f t="shared" si="14"/>
        <v>0</v>
      </c>
      <c r="H167" s="1542"/>
      <c r="I167" s="1509"/>
      <c r="J167" s="1535"/>
      <c r="K167" s="1509"/>
      <c r="L167" s="1509"/>
      <c r="M167" s="1509"/>
      <c r="N167" s="1509"/>
      <c r="O167" s="1509"/>
      <c r="P167" s="1509"/>
      <c r="Q167" s="1509"/>
      <c r="R167" s="1509"/>
      <c r="S167" s="1509"/>
      <c r="T167" s="1509"/>
      <c r="U167" s="1469">
        <v>23</v>
      </c>
      <c r="V167" s="1486" t="s">
        <v>33</v>
      </c>
      <c r="W167" s="1471" t="s">
        <v>1306</v>
      </c>
      <c r="X167" s="1472" t="s">
        <v>49</v>
      </c>
      <c r="Y167" s="1473" t="s">
        <v>1306</v>
      </c>
      <c r="Z167" s="1504" t="s">
        <v>1427</v>
      </c>
      <c r="AA167" s="1473" t="s">
        <v>1306</v>
      </c>
      <c r="AB167" s="1470" t="s">
        <v>1402</v>
      </c>
      <c r="AC167" s="1499"/>
      <c r="AD167" s="1500"/>
      <c r="AE167" s="1501"/>
      <c r="AF167" s="1501"/>
      <c r="AG167" s="1457" t="str">
        <f t="shared" si="11"/>
        <v>23調査結果-建築物の外部-2（15）-指摘の具体的内容等</v>
      </c>
      <c r="AI167" s="1502"/>
      <c r="AJ167" s="1502"/>
      <c r="AK167" s="1502"/>
      <c r="AL167" s="1508"/>
      <c r="AM167" s="1508"/>
      <c r="AN167" s="1508"/>
      <c r="AO167" s="1508"/>
    </row>
    <row r="168" spans="1:41" ht="18.75" customHeight="1" x14ac:dyDescent="0.15">
      <c r="A168" s="1578"/>
      <c r="B168" s="1462"/>
      <c r="C168" s="1462"/>
      <c r="D168" s="1460">
        <f>'1_入力シート【基本情報】'!$BD$351</f>
        <v>0</v>
      </c>
      <c r="E168" s="1650">
        <f t="shared" si="12"/>
        <v>0</v>
      </c>
      <c r="F168" s="1650" t="str">
        <f t="shared" si="13"/>
        <v>0</v>
      </c>
      <c r="G168" s="1650" t="str">
        <f t="shared" si="14"/>
        <v>0</v>
      </c>
      <c r="H168" s="1468"/>
      <c r="I168" s="1462"/>
      <c r="J168" s="1531"/>
      <c r="K168" s="1462"/>
      <c r="L168" s="1462"/>
      <c r="M168" s="1493"/>
      <c r="N168" s="1462"/>
      <c r="O168" s="1462"/>
      <c r="P168" s="1462"/>
      <c r="Q168" s="1462"/>
      <c r="R168" s="1462"/>
      <c r="S168" s="1462"/>
      <c r="T168" s="1462"/>
      <c r="U168" s="1469">
        <v>23</v>
      </c>
      <c r="V168" s="1486" t="s">
        <v>33</v>
      </c>
      <c r="W168" s="1471" t="s">
        <v>1306</v>
      </c>
      <c r="X168" s="1472" t="s">
        <v>49</v>
      </c>
      <c r="Y168" s="1473" t="s">
        <v>1306</v>
      </c>
      <c r="Z168" s="1504" t="s">
        <v>1427</v>
      </c>
      <c r="AA168" s="1473" t="s">
        <v>1306</v>
      </c>
      <c r="AB168" s="1470" t="s">
        <v>1403</v>
      </c>
      <c r="AC168" s="1499"/>
      <c r="AD168" s="1500"/>
      <c r="AE168" s="1501"/>
      <c r="AF168" s="1501"/>
      <c r="AG168" s="1457" t="str">
        <f t="shared" si="11"/>
        <v>23調査結果-建築物の外部-2（15）-改善策の具体的内容等</v>
      </c>
      <c r="AI168" s="1502"/>
      <c r="AJ168" s="1502"/>
      <c r="AK168" s="1502"/>
      <c r="AL168" s="1508"/>
      <c r="AM168" s="1508"/>
      <c r="AN168" s="1508"/>
      <c r="AO168" s="1508"/>
    </row>
    <row r="169" spans="1:41" ht="18.75" customHeight="1" x14ac:dyDescent="0.15">
      <c r="A169" s="1586"/>
      <c r="B169" s="1509"/>
      <c r="C169" s="1509"/>
      <c r="D169" s="1460">
        <f>'1_入力シート【基本情報】'!$BS$351</f>
        <v>0</v>
      </c>
      <c r="E169" s="1674">
        <f t="shared" si="12"/>
        <v>0</v>
      </c>
      <c r="F169" s="1674" t="str">
        <f t="shared" si="13"/>
        <v>0</v>
      </c>
      <c r="G169" s="1674" t="str">
        <f t="shared" si="14"/>
        <v>0</v>
      </c>
      <c r="H169" s="1542"/>
      <c r="I169" s="1509"/>
      <c r="J169" s="1535"/>
      <c r="K169" s="1509"/>
      <c r="L169" s="1509"/>
      <c r="M169" s="1509"/>
      <c r="N169" s="1509"/>
      <c r="O169" s="1509"/>
      <c r="P169" s="1509"/>
      <c r="Q169" s="1509"/>
      <c r="R169" s="1509"/>
      <c r="S169" s="1509"/>
      <c r="T169" s="1509"/>
      <c r="U169" s="1469">
        <v>23</v>
      </c>
      <c r="V169" s="1486" t="s">
        <v>33</v>
      </c>
      <c r="W169" s="1471" t="s">
        <v>1306</v>
      </c>
      <c r="X169" s="1472" t="s">
        <v>49</v>
      </c>
      <c r="Y169" s="1473" t="s">
        <v>1306</v>
      </c>
      <c r="Z169" s="1504" t="s">
        <v>1427</v>
      </c>
      <c r="AA169" s="1473" t="s">
        <v>1306</v>
      </c>
      <c r="AB169" s="1486" t="s">
        <v>352</v>
      </c>
      <c r="AC169" s="1499" t="s">
        <v>1366</v>
      </c>
      <c r="AD169" s="1500" t="s">
        <v>1387</v>
      </c>
      <c r="AE169" s="1501"/>
      <c r="AF169" s="1501"/>
      <c r="AG169" s="1457" t="str">
        <f t="shared" si="11"/>
        <v>23調査結果-建築物の外部-2（15）-改善（予定）年月-年（令和）</v>
      </c>
      <c r="AI169" s="1502"/>
      <c r="AJ169" s="1502"/>
      <c r="AK169" s="1502"/>
      <c r="AL169" s="1508"/>
      <c r="AM169" s="1508"/>
      <c r="AN169" s="1508"/>
      <c r="AO169" s="1508"/>
    </row>
    <row r="170" spans="1:41" ht="18.75" customHeight="1" x14ac:dyDescent="0.15">
      <c r="A170" s="1586"/>
      <c r="B170" s="1509"/>
      <c r="C170" s="1509"/>
      <c r="D170" s="1460">
        <f>'1_入力シート【基本情報】'!$BV$351</f>
        <v>0</v>
      </c>
      <c r="E170" s="1674">
        <f t="shared" si="12"/>
        <v>0</v>
      </c>
      <c r="F170" s="1674" t="str">
        <f t="shared" si="13"/>
        <v>0</v>
      </c>
      <c r="G170" s="1674" t="str">
        <f t="shared" si="14"/>
        <v>0</v>
      </c>
      <c r="H170" s="1542"/>
      <c r="I170" s="1509"/>
      <c r="J170" s="1535"/>
      <c r="K170" s="1509"/>
      <c r="L170" s="1509"/>
      <c r="M170" s="1509"/>
      <c r="N170" s="1509"/>
      <c r="O170" s="1509"/>
      <c r="P170" s="1509"/>
      <c r="Q170" s="1509"/>
      <c r="R170" s="1509"/>
      <c r="S170" s="1509"/>
      <c r="T170" s="1509"/>
      <c r="U170" s="1469">
        <v>23</v>
      </c>
      <c r="V170" s="1486" t="s">
        <v>33</v>
      </c>
      <c r="W170" s="1471" t="s">
        <v>1306</v>
      </c>
      <c r="X170" s="1472" t="s">
        <v>49</v>
      </c>
      <c r="Y170" s="1473" t="s">
        <v>1306</v>
      </c>
      <c r="Z170" s="1504" t="s">
        <v>1427</v>
      </c>
      <c r="AA170" s="1473" t="s">
        <v>1306</v>
      </c>
      <c r="AB170" s="1486" t="s">
        <v>352</v>
      </c>
      <c r="AC170" s="1499" t="s">
        <v>1366</v>
      </c>
      <c r="AD170" s="1500" t="s">
        <v>348</v>
      </c>
      <c r="AE170" s="1501"/>
      <c r="AF170" s="1501"/>
      <c r="AG170" s="1457" t="str">
        <f t="shared" si="11"/>
        <v>23調査結果-建築物の外部-2（15）-改善（予定）年月-月</v>
      </c>
      <c r="AI170" s="1502"/>
      <c r="AJ170" s="1502"/>
      <c r="AK170" s="1502"/>
      <c r="AL170" s="1508"/>
      <c r="AM170" s="1508"/>
      <c r="AN170" s="1508"/>
      <c r="AO170" s="1508"/>
    </row>
    <row r="171" spans="1:41" ht="18.75" customHeight="1" x14ac:dyDescent="0.15">
      <c r="A171" s="1586"/>
      <c r="B171" s="1509"/>
      <c r="C171" s="1509"/>
      <c r="D171" s="1460">
        <f>'1_入力シート【基本情報】'!$BY$351</f>
        <v>0</v>
      </c>
      <c r="E171" s="1674">
        <f t="shared" si="12"/>
        <v>0</v>
      </c>
      <c r="F171" s="1674" t="str">
        <f t="shared" si="13"/>
        <v>0</v>
      </c>
      <c r="G171" s="1674" t="str">
        <f t="shared" si="14"/>
        <v>0</v>
      </c>
      <c r="H171" s="1542"/>
      <c r="I171" s="1509"/>
      <c r="J171" s="1535"/>
      <c r="K171" s="1509"/>
      <c r="L171" s="1509"/>
      <c r="M171" s="1509"/>
      <c r="N171" s="1509"/>
      <c r="O171" s="1509"/>
      <c r="P171" s="1509"/>
      <c r="Q171" s="1509"/>
      <c r="R171" s="1509"/>
      <c r="S171" s="1509"/>
      <c r="T171" s="1509"/>
      <c r="U171" s="1469">
        <v>23</v>
      </c>
      <c r="V171" s="1486" t="s">
        <v>33</v>
      </c>
      <c r="W171" s="1471" t="s">
        <v>1306</v>
      </c>
      <c r="X171" s="1472" t="s">
        <v>49</v>
      </c>
      <c r="Y171" s="1473" t="s">
        <v>1306</v>
      </c>
      <c r="Z171" s="1504" t="s">
        <v>1427</v>
      </c>
      <c r="AA171" s="1473" t="s">
        <v>1306</v>
      </c>
      <c r="AB171" s="1486" t="s">
        <v>352</v>
      </c>
      <c r="AC171" s="1499" t="s">
        <v>1366</v>
      </c>
      <c r="AD171" s="1500" t="s">
        <v>640</v>
      </c>
      <c r="AE171" s="1501"/>
      <c r="AF171" s="1501"/>
      <c r="AG171" s="1457" t="str">
        <f t="shared" si="11"/>
        <v>23調査結果-建築物の外部-2（15）-改善（予定）年月-未定</v>
      </c>
      <c r="AI171" s="1502"/>
      <c r="AJ171" s="1502"/>
      <c r="AK171" s="1502"/>
    </row>
    <row r="172" spans="1:41" ht="18.75" customHeight="1" x14ac:dyDescent="0.15">
      <c r="A172" s="1586"/>
      <c r="B172" s="1509"/>
      <c r="C172" s="1509"/>
      <c r="D172" s="1460">
        <f>'1_入力シート【基本情報】'!$AF$352</f>
        <v>0</v>
      </c>
      <c r="E172" s="1674">
        <f t="shared" si="12"/>
        <v>0</v>
      </c>
      <c r="F172" s="1674" t="str">
        <f t="shared" si="13"/>
        <v>0</v>
      </c>
      <c r="G172" s="1674" t="str">
        <f t="shared" si="14"/>
        <v>0</v>
      </c>
      <c r="H172" s="1542"/>
      <c r="I172" s="1509"/>
      <c r="J172" s="1535"/>
      <c r="K172" s="1509"/>
      <c r="L172" s="1509"/>
      <c r="M172" s="1509"/>
      <c r="N172" s="1509"/>
      <c r="O172" s="1509"/>
      <c r="P172" s="1509"/>
      <c r="Q172" s="1509"/>
      <c r="R172" s="1509"/>
      <c r="S172" s="1509"/>
      <c r="T172" s="1509"/>
      <c r="U172" s="1469">
        <v>23</v>
      </c>
      <c r="V172" s="1486" t="s">
        <v>33</v>
      </c>
      <c r="W172" s="1471" t="s">
        <v>1306</v>
      </c>
      <c r="X172" s="1472" t="s">
        <v>49</v>
      </c>
      <c r="Y172" s="1473" t="s">
        <v>1306</v>
      </c>
      <c r="Z172" s="1504" t="s">
        <v>1428</v>
      </c>
      <c r="AA172" s="1473" t="s">
        <v>1306</v>
      </c>
      <c r="AB172" s="1486" t="s">
        <v>33</v>
      </c>
      <c r="AC172" s="1499"/>
      <c r="AD172" s="1500"/>
      <c r="AE172" s="1501"/>
      <c r="AF172" s="1501"/>
      <c r="AG172" s="1457" t="str">
        <f t="shared" si="11"/>
        <v>23調査結果-建築物の外部-2（16）-調査結果</v>
      </c>
      <c r="AI172" s="1502"/>
      <c r="AJ172" s="1502"/>
      <c r="AK172" s="1502"/>
      <c r="AL172" s="1508"/>
      <c r="AM172" s="1508"/>
      <c r="AN172" s="1508"/>
      <c r="AO172" s="1508"/>
    </row>
    <row r="173" spans="1:41" ht="18.75" customHeight="1" x14ac:dyDescent="0.15">
      <c r="A173" s="1586"/>
      <c r="B173" s="1509"/>
      <c r="C173" s="1509"/>
      <c r="D173" s="1460">
        <f>'1_入力シート【基本情報】'!$AR$352</f>
        <v>0</v>
      </c>
      <c r="E173" s="1674">
        <f t="shared" si="12"/>
        <v>0</v>
      </c>
      <c r="F173" s="1674" t="str">
        <f t="shared" si="13"/>
        <v>0</v>
      </c>
      <c r="G173" s="1674" t="str">
        <f t="shared" si="14"/>
        <v>0</v>
      </c>
      <c r="H173" s="1542"/>
      <c r="I173" s="1509"/>
      <c r="J173" s="1535"/>
      <c r="K173" s="1509"/>
      <c r="L173" s="1509"/>
      <c r="M173" s="1509"/>
      <c r="N173" s="1509"/>
      <c r="O173" s="1509"/>
      <c r="P173" s="1509"/>
      <c r="Q173" s="1509"/>
      <c r="R173" s="1509"/>
      <c r="S173" s="1509"/>
      <c r="T173" s="1509"/>
      <c r="U173" s="1469">
        <v>23</v>
      </c>
      <c r="V173" s="1486" t="s">
        <v>33</v>
      </c>
      <c r="W173" s="1471" t="s">
        <v>1306</v>
      </c>
      <c r="X173" s="1472" t="s">
        <v>49</v>
      </c>
      <c r="Y173" s="1473" t="s">
        <v>1306</v>
      </c>
      <c r="Z173" s="1504" t="s">
        <v>1428</v>
      </c>
      <c r="AA173" s="1473" t="s">
        <v>1306</v>
      </c>
      <c r="AB173" s="1470" t="s">
        <v>30</v>
      </c>
      <c r="AC173" s="1499"/>
      <c r="AD173" s="1500"/>
      <c r="AE173" s="1501"/>
      <c r="AF173" s="1501"/>
      <c r="AG173" s="1457" t="str">
        <f t="shared" si="11"/>
        <v>23調査結果-建築物の外部-2（16）-調査者番号</v>
      </c>
      <c r="AI173" s="1502"/>
      <c r="AJ173" s="1502"/>
      <c r="AK173" s="1502"/>
      <c r="AL173" s="1508"/>
      <c r="AM173" s="1508"/>
      <c r="AN173" s="1508"/>
      <c r="AO173" s="1508"/>
    </row>
    <row r="174" spans="1:41" ht="18.75" customHeight="1" x14ac:dyDescent="0.15">
      <c r="A174" s="1586"/>
      <c r="B174" s="1509"/>
      <c r="C174" s="1509"/>
      <c r="D174" s="1460">
        <f>'1_入力シート【基本情報】'!$AT$352</f>
        <v>0</v>
      </c>
      <c r="E174" s="1674">
        <f t="shared" si="12"/>
        <v>0</v>
      </c>
      <c r="F174" s="1674" t="str">
        <f t="shared" si="13"/>
        <v>0</v>
      </c>
      <c r="G174" s="1674" t="str">
        <f t="shared" si="14"/>
        <v>0</v>
      </c>
      <c r="H174" s="1542"/>
      <c r="I174" s="1509"/>
      <c r="J174" s="1535"/>
      <c r="K174" s="1509"/>
      <c r="L174" s="1509"/>
      <c r="M174" s="1509"/>
      <c r="N174" s="1509"/>
      <c r="O174" s="1509"/>
      <c r="P174" s="1509"/>
      <c r="Q174" s="1509"/>
      <c r="R174" s="1509"/>
      <c r="S174" s="1509"/>
      <c r="T174" s="1509"/>
      <c r="U174" s="1469">
        <v>23</v>
      </c>
      <c r="V174" s="1486" t="s">
        <v>33</v>
      </c>
      <c r="W174" s="1471" t="s">
        <v>1306</v>
      </c>
      <c r="X174" s="1472" t="s">
        <v>49</v>
      </c>
      <c r="Y174" s="1473" t="s">
        <v>1306</v>
      </c>
      <c r="Z174" s="1504" t="s">
        <v>1428</v>
      </c>
      <c r="AA174" s="1473" t="s">
        <v>1306</v>
      </c>
      <c r="AB174" s="1470" t="s">
        <v>1402</v>
      </c>
      <c r="AC174" s="1499"/>
      <c r="AD174" s="1500"/>
      <c r="AE174" s="1501"/>
      <c r="AF174" s="1501"/>
      <c r="AG174" s="1457" t="str">
        <f t="shared" si="11"/>
        <v>23調査結果-建築物の外部-2（16）-指摘の具体的内容等</v>
      </c>
      <c r="AI174" s="1502"/>
      <c r="AJ174" s="1502"/>
      <c r="AK174" s="1502"/>
      <c r="AL174" s="1508"/>
      <c r="AM174" s="1508"/>
      <c r="AN174" s="1508"/>
      <c r="AO174" s="1508"/>
    </row>
    <row r="175" spans="1:41" ht="18.75" customHeight="1" x14ac:dyDescent="0.15">
      <c r="A175" s="1586"/>
      <c r="B175" s="1509"/>
      <c r="C175" s="1509"/>
      <c r="D175" s="1460">
        <f>'1_入力シート【基本情報】'!$BD$352</f>
        <v>0</v>
      </c>
      <c r="E175" s="1674">
        <f t="shared" si="12"/>
        <v>0</v>
      </c>
      <c r="F175" s="1674" t="str">
        <f t="shared" si="13"/>
        <v>0</v>
      </c>
      <c r="G175" s="1674" t="str">
        <f t="shared" si="14"/>
        <v>0</v>
      </c>
      <c r="H175" s="1542"/>
      <c r="I175" s="1509"/>
      <c r="J175" s="1535"/>
      <c r="K175" s="1509"/>
      <c r="L175" s="1509"/>
      <c r="M175" s="1509"/>
      <c r="N175" s="1509"/>
      <c r="O175" s="1509"/>
      <c r="P175" s="1509"/>
      <c r="Q175" s="1509"/>
      <c r="R175" s="1509"/>
      <c r="S175" s="1509"/>
      <c r="T175" s="1509"/>
      <c r="U175" s="1469">
        <v>23</v>
      </c>
      <c r="V175" s="1486" t="s">
        <v>33</v>
      </c>
      <c r="W175" s="1471" t="s">
        <v>1306</v>
      </c>
      <c r="X175" s="1472" t="s">
        <v>49</v>
      </c>
      <c r="Y175" s="1473" t="s">
        <v>1306</v>
      </c>
      <c r="Z175" s="1504" t="s">
        <v>1428</v>
      </c>
      <c r="AA175" s="1473" t="s">
        <v>1306</v>
      </c>
      <c r="AB175" s="1470" t="s">
        <v>1403</v>
      </c>
      <c r="AC175" s="1499"/>
      <c r="AD175" s="1500"/>
      <c r="AE175" s="1501"/>
      <c r="AF175" s="1501"/>
      <c r="AG175" s="1457" t="str">
        <f t="shared" si="11"/>
        <v>23調査結果-建築物の外部-2（16）-改善策の具体的内容等</v>
      </c>
      <c r="AI175" s="1459"/>
      <c r="AJ175" s="1459"/>
      <c r="AK175" s="1502"/>
      <c r="AL175" s="1508"/>
      <c r="AM175" s="1508"/>
      <c r="AN175" s="1508"/>
      <c r="AO175" s="1508"/>
    </row>
    <row r="176" spans="1:41" ht="18.75" customHeight="1" x14ac:dyDescent="0.15">
      <c r="A176" s="1586"/>
      <c r="B176" s="1509"/>
      <c r="C176" s="1509"/>
      <c r="D176" s="1460">
        <f>'1_入力シート【基本情報】'!$BS$352</f>
        <v>0</v>
      </c>
      <c r="E176" s="1674">
        <f t="shared" si="12"/>
        <v>0</v>
      </c>
      <c r="F176" s="1674" t="str">
        <f t="shared" si="13"/>
        <v>0</v>
      </c>
      <c r="G176" s="1674" t="str">
        <f t="shared" si="14"/>
        <v>0</v>
      </c>
      <c r="H176" s="1542"/>
      <c r="I176" s="1509"/>
      <c r="J176" s="1535"/>
      <c r="K176" s="1509"/>
      <c r="L176" s="1509"/>
      <c r="M176" s="1509"/>
      <c r="N176" s="1509"/>
      <c r="O176" s="1509"/>
      <c r="P176" s="1509"/>
      <c r="Q176" s="1509"/>
      <c r="R176" s="1509"/>
      <c r="S176" s="1509"/>
      <c r="T176" s="1509"/>
      <c r="U176" s="1469">
        <v>23</v>
      </c>
      <c r="V176" s="1486" t="s">
        <v>33</v>
      </c>
      <c r="W176" s="1471" t="s">
        <v>1306</v>
      </c>
      <c r="X176" s="1472" t="s">
        <v>49</v>
      </c>
      <c r="Y176" s="1473" t="s">
        <v>1306</v>
      </c>
      <c r="Z176" s="1504" t="s">
        <v>1428</v>
      </c>
      <c r="AA176" s="1473" t="s">
        <v>1306</v>
      </c>
      <c r="AB176" s="1470" t="s">
        <v>352</v>
      </c>
      <c r="AC176" s="1499" t="s">
        <v>1366</v>
      </c>
      <c r="AD176" s="1500" t="s">
        <v>1387</v>
      </c>
      <c r="AE176" s="1501"/>
      <c r="AF176" s="1501"/>
      <c r="AG176" s="1457" t="str">
        <f t="shared" si="11"/>
        <v>23調査結果-建築物の外部-2（16）-改善（予定）年月-年（令和）</v>
      </c>
      <c r="AI176" s="1502"/>
      <c r="AJ176" s="1502"/>
      <c r="AK176" s="1502"/>
      <c r="AL176" s="1508"/>
      <c r="AM176" s="1508"/>
      <c r="AN176" s="1508"/>
      <c r="AO176" s="1508"/>
    </row>
    <row r="177" spans="1:41" ht="18.75" customHeight="1" x14ac:dyDescent="0.15">
      <c r="A177" s="1586"/>
      <c r="B177" s="1509"/>
      <c r="C177" s="1509"/>
      <c r="D177" s="1460">
        <f>'1_入力シート【基本情報】'!$BV$352</f>
        <v>0</v>
      </c>
      <c r="E177" s="1674">
        <f t="shared" si="12"/>
        <v>0</v>
      </c>
      <c r="F177" s="1674" t="str">
        <f t="shared" si="13"/>
        <v>0</v>
      </c>
      <c r="G177" s="1674" t="str">
        <f t="shared" si="14"/>
        <v>0</v>
      </c>
      <c r="H177" s="1542"/>
      <c r="I177" s="1509"/>
      <c r="J177" s="1535"/>
      <c r="K177" s="1509"/>
      <c r="L177" s="1509"/>
      <c r="M177" s="1509"/>
      <c r="N177" s="1509"/>
      <c r="O177" s="1509"/>
      <c r="P177" s="1509"/>
      <c r="Q177" s="1509"/>
      <c r="R177" s="1509"/>
      <c r="S177" s="1509"/>
      <c r="T177" s="1509"/>
      <c r="U177" s="1469">
        <v>23</v>
      </c>
      <c r="V177" s="1486" t="s">
        <v>33</v>
      </c>
      <c r="W177" s="1471" t="s">
        <v>1306</v>
      </c>
      <c r="X177" s="1472" t="s">
        <v>49</v>
      </c>
      <c r="Y177" s="1473" t="s">
        <v>1306</v>
      </c>
      <c r="Z177" s="1504" t="s">
        <v>1428</v>
      </c>
      <c r="AA177" s="1473" t="s">
        <v>1306</v>
      </c>
      <c r="AB177" s="1486" t="s">
        <v>352</v>
      </c>
      <c r="AC177" s="1499" t="s">
        <v>1366</v>
      </c>
      <c r="AD177" s="1500" t="s">
        <v>348</v>
      </c>
      <c r="AE177" s="1501"/>
      <c r="AF177" s="1501"/>
      <c r="AG177" s="1457" t="str">
        <f t="shared" si="11"/>
        <v>23調査結果-建築物の外部-2（16）-改善（予定）年月-月</v>
      </c>
      <c r="AI177" s="1502"/>
      <c r="AJ177" s="1502"/>
      <c r="AK177" s="1459"/>
      <c r="AL177" s="1508"/>
      <c r="AM177" s="1508"/>
      <c r="AN177" s="1508"/>
      <c r="AO177" s="1508"/>
    </row>
    <row r="178" spans="1:41" ht="18.75" customHeight="1" x14ac:dyDescent="0.15">
      <c r="A178" s="1586"/>
      <c r="B178" s="1509"/>
      <c r="C178" s="1509"/>
      <c r="D178" s="1460">
        <f>'1_入力シート【基本情報】'!$BY$352</f>
        <v>0</v>
      </c>
      <c r="E178" s="1674">
        <f t="shared" si="12"/>
        <v>0</v>
      </c>
      <c r="F178" s="1674" t="str">
        <f t="shared" si="13"/>
        <v>0</v>
      </c>
      <c r="G178" s="1674" t="str">
        <f t="shared" si="14"/>
        <v>0</v>
      </c>
      <c r="H178" s="1542"/>
      <c r="I178" s="1509"/>
      <c r="J178" s="1535"/>
      <c r="K178" s="1509"/>
      <c r="L178" s="1509"/>
      <c r="M178" s="1509"/>
      <c r="N178" s="1509"/>
      <c r="O178" s="1509"/>
      <c r="P178" s="1509"/>
      <c r="Q178" s="1509"/>
      <c r="R178" s="1509"/>
      <c r="S178" s="1509"/>
      <c r="T178" s="1509"/>
      <c r="U178" s="1469">
        <v>23</v>
      </c>
      <c r="V178" s="1486" t="s">
        <v>33</v>
      </c>
      <c r="W178" s="1471" t="s">
        <v>1306</v>
      </c>
      <c r="X178" s="1472" t="s">
        <v>49</v>
      </c>
      <c r="Y178" s="1473" t="s">
        <v>1306</v>
      </c>
      <c r="Z178" s="1504" t="s">
        <v>1428</v>
      </c>
      <c r="AA178" s="1473" t="s">
        <v>1306</v>
      </c>
      <c r="AB178" s="1486" t="s">
        <v>352</v>
      </c>
      <c r="AC178" s="1499" t="s">
        <v>1366</v>
      </c>
      <c r="AD178" s="1500" t="s">
        <v>640</v>
      </c>
      <c r="AE178" s="1501"/>
      <c r="AF178" s="1501"/>
      <c r="AG178" s="1457" t="str">
        <f t="shared" si="11"/>
        <v>23調査結果-建築物の外部-2（16）-改善（予定）年月-未定</v>
      </c>
      <c r="AI178" s="1502"/>
      <c r="AJ178" s="1502"/>
      <c r="AK178" s="1502"/>
      <c r="AL178" s="1508"/>
      <c r="AM178" s="1508"/>
      <c r="AN178" s="1508"/>
      <c r="AO178" s="1508"/>
    </row>
    <row r="179" spans="1:41" ht="18.75" customHeight="1" x14ac:dyDescent="0.15">
      <c r="A179" s="1586"/>
      <c r="B179" s="1509"/>
      <c r="C179" s="1509"/>
      <c r="D179" s="1460">
        <f>'1_入力シート【基本情報】'!$AF$353</f>
        <v>0</v>
      </c>
      <c r="E179" s="1674">
        <f t="shared" si="12"/>
        <v>0</v>
      </c>
      <c r="F179" s="1674" t="str">
        <f t="shared" si="13"/>
        <v>0</v>
      </c>
      <c r="G179" s="1674" t="str">
        <f t="shared" si="14"/>
        <v>0</v>
      </c>
      <c r="H179" s="1542"/>
      <c r="I179" s="1509"/>
      <c r="J179" s="1535"/>
      <c r="K179" s="1509"/>
      <c r="L179" s="1509"/>
      <c r="M179" s="1509"/>
      <c r="N179" s="1509"/>
      <c r="O179" s="1509"/>
      <c r="P179" s="1509"/>
      <c r="Q179" s="1509"/>
      <c r="R179" s="1509"/>
      <c r="S179" s="1509"/>
      <c r="T179" s="1509"/>
      <c r="U179" s="1469">
        <v>23</v>
      </c>
      <c r="V179" s="1486" t="s">
        <v>33</v>
      </c>
      <c r="W179" s="1471" t="s">
        <v>1306</v>
      </c>
      <c r="X179" s="1472" t="s">
        <v>49</v>
      </c>
      <c r="Y179" s="1473" t="s">
        <v>1306</v>
      </c>
      <c r="Z179" s="1504" t="s">
        <v>1429</v>
      </c>
      <c r="AA179" s="1473" t="s">
        <v>1306</v>
      </c>
      <c r="AB179" s="1486" t="s">
        <v>33</v>
      </c>
      <c r="AC179" s="1499"/>
      <c r="AD179" s="1500"/>
      <c r="AE179" s="1501"/>
      <c r="AF179" s="1501"/>
      <c r="AG179" s="1457" t="str">
        <f t="shared" si="11"/>
        <v>23調査結果-建築物の外部-2（17）-調査結果</v>
      </c>
      <c r="AI179" s="1502"/>
      <c r="AJ179" s="1502"/>
      <c r="AK179" s="1502"/>
      <c r="AL179" s="1508"/>
      <c r="AM179" s="1508"/>
      <c r="AN179" s="1508"/>
      <c r="AO179" s="1508"/>
    </row>
    <row r="180" spans="1:41" ht="18.75" customHeight="1" x14ac:dyDescent="0.15">
      <c r="A180" s="1586"/>
      <c r="B180" s="1509"/>
      <c r="C180" s="1509"/>
      <c r="D180" s="1460">
        <f>'1_入力シート【基本情報】'!$AR$353</f>
        <v>0</v>
      </c>
      <c r="E180" s="1674">
        <f t="shared" si="12"/>
        <v>0</v>
      </c>
      <c r="F180" s="1674" t="str">
        <f t="shared" si="13"/>
        <v>0</v>
      </c>
      <c r="G180" s="1674" t="str">
        <f t="shared" si="14"/>
        <v>0</v>
      </c>
      <c r="H180" s="1542"/>
      <c r="I180" s="1509"/>
      <c r="J180" s="1535"/>
      <c r="K180" s="1509"/>
      <c r="L180" s="1509"/>
      <c r="M180" s="1509"/>
      <c r="N180" s="1509"/>
      <c r="O180" s="1509"/>
      <c r="P180" s="1509"/>
      <c r="Q180" s="1509"/>
      <c r="R180" s="1509"/>
      <c r="S180" s="1509"/>
      <c r="T180" s="1509"/>
      <c r="U180" s="1469">
        <v>23</v>
      </c>
      <c r="V180" s="1486" t="s">
        <v>33</v>
      </c>
      <c r="W180" s="1471" t="s">
        <v>1306</v>
      </c>
      <c r="X180" s="1472" t="s">
        <v>49</v>
      </c>
      <c r="Y180" s="1473" t="s">
        <v>1306</v>
      </c>
      <c r="Z180" s="1504" t="s">
        <v>1429</v>
      </c>
      <c r="AA180" s="1473" t="s">
        <v>1306</v>
      </c>
      <c r="AB180" s="1486" t="s">
        <v>30</v>
      </c>
      <c r="AC180" s="1499"/>
      <c r="AD180" s="1500"/>
      <c r="AE180" s="1501"/>
      <c r="AF180" s="1501"/>
      <c r="AG180" s="1457" t="str">
        <f t="shared" si="11"/>
        <v>23調査結果-建築物の外部-2（17）-調査者番号</v>
      </c>
      <c r="AI180" s="1502"/>
      <c r="AJ180" s="1502"/>
      <c r="AK180" s="1502"/>
      <c r="AL180" s="1508"/>
      <c r="AM180" s="1508"/>
      <c r="AN180" s="1508"/>
      <c r="AO180" s="1508"/>
    </row>
    <row r="181" spans="1:41" ht="18.75" customHeight="1" x14ac:dyDescent="0.15">
      <c r="A181" s="1578"/>
      <c r="B181" s="1462"/>
      <c r="C181" s="1462"/>
      <c r="D181" s="1460">
        <f>'1_入力シート【基本情報】'!$AT$353</f>
        <v>0</v>
      </c>
      <c r="E181" s="1650">
        <f t="shared" si="12"/>
        <v>0</v>
      </c>
      <c r="F181" s="1650" t="str">
        <f t="shared" si="13"/>
        <v>0</v>
      </c>
      <c r="G181" s="1650" t="str">
        <f t="shared" si="14"/>
        <v>0</v>
      </c>
      <c r="H181" s="1468"/>
      <c r="I181" s="1462"/>
      <c r="J181" s="1531"/>
      <c r="K181" s="1462"/>
      <c r="L181" s="1462"/>
      <c r="M181" s="1493"/>
      <c r="N181" s="1462"/>
      <c r="O181" s="1462"/>
      <c r="P181" s="1462"/>
      <c r="Q181" s="1462"/>
      <c r="R181" s="1462"/>
      <c r="S181" s="1462"/>
      <c r="T181" s="1462"/>
      <c r="U181" s="1469">
        <v>23</v>
      </c>
      <c r="V181" s="1486" t="s">
        <v>33</v>
      </c>
      <c r="W181" s="1471" t="s">
        <v>1306</v>
      </c>
      <c r="X181" s="1472" t="s">
        <v>49</v>
      </c>
      <c r="Y181" s="1473" t="s">
        <v>1306</v>
      </c>
      <c r="Z181" s="1504" t="s">
        <v>1429</v>
      </c>
      <c r="AA181" s="1473" t="s">
        <v>1306</v>
      </c>
      <c r="AB181" s="1470" t="s">
        <v>1402</v>
      </c>
      <c r="AC181" s="1499"/>
      <c r="AD181" s="1500"/>
      <c r="AE181" s="1501"/>
      <c r="AF181" s="1501"/>
      <c r="AG181" s="1457" t="str">
        <f t="shared" si="11"/>
        <v>23調査結果-建築物の外部-2（17）-指摘の具体的内容等</v>
      </c>
      <c r="AI181" s="1502"/>
      <c r="AJ181" s="1502"/>
      <c r="AK181" s="1502"/>
      <c r="AL181" s="1508"/>
      <c r="AM181" s="1508"/>
      <c r="AN181" s="1508"/>
      <c r="AO181" s="1508"/>
    </row>
    <row r="182" spans="1:41" ht="18.75" customHeight="1" x14ac:dyDescent="0.15">
      <c r="A182" s="1586"/>
      <c r="B182" s="1509"/>
      <c r="C182" s="1509"/>
      <c r="D182" s="1460">
        <f>'1_入力シート【基本情報】'!$BD$353</f>
        <v>0</v>
      </c>
      <c r="E182" s="1674">
        <f t="shared" si="12"/>
        <v>0</v>
      </c>
      <c r="F182" s="1674" t="str">
        <f t="shared" si="13"/>
        <v>0</v>
      </c>
      <c r="G182" s="1674" t="str">
        <f t="shared" si="14"/>
        <v>0</v>
      </c>
      <c r="H182" s="1542"/>
      <c r="I182" s="1509"/>
      <c r="J182" s="1535"/>
      <c r="K182" s="1509"/>
      <c r="L182" s="1509"/>
      <c r="M182" s="1509"/>
      <c r="N182" s="1509"/>
      <c r="O182" s="1509"/>
      <c r="P182" s="1509"/>
      <c r="Q182" s="1509"/>
      <c r="R182" s="1509"/>
      <c r="S182" s="1509"/>
      <c r="T182" s="1509"/>
      <c r="U182" s="1469">
        <v>23</v>
      </c>
      <c r="V182" s="1486" t="s">
        <v>33</v>
      </c>
      <c r="W182" s="1471" t="s">
        <v>1306</v>
      </c>
      <c r="X182" s="1472" t="s">
        <v>49</v>
      </c>
      <c r="Y182" s="1473" t="s">
        <v>1306</v>
      </c>
      <c r="Z182" s="1504" t="s">
        <v>1429</v>
      </c>
      <c r="AA182" s="1473" t="s">
        <v>1306</v>
      </c>
      <c r="AB182" s="1470" t="s">
        <v>1403</v>
      </c>
      <c r="AC182" s="1499"/>
      <c r="AD182" s="1500"/>
      <c r="AE182" s="1501"/>
      <c r="AF182" s="1501"/>
      <c r="AG182" s="1457" t="str">
        <f t="shared" si="11"/>
        <v>23調査結果-建築物の外部-2（17）-改善策の具体的内容等</v>
      </c>
      <c r="AI182" s="1502"/>
      <c r="AJ182" s="1502"/>
      <c r="AK182" s="1502"/>
      <c r="AL182" s="1508"/>
      <c r="AM182" s="1508"/>
      <c r="AN182" s="1508"/>
      <c r="AO182" s="1508"/>
    </row>
    <row r="183" spans="1:41" ht="18.75" customHeight="1" x14ac:dyDescent="0.15">
      <c r="A183" s="1586"/>
      <c r="B183" s="1509"/>
      <c r="C183" s="1509"/>
      <c r="D183" s="1460">
        <f>'1_入力シート【基本情報】'!$BS$353</f>
        <v>0</v>
      </c>
      <c r="E183" s="1674">
        <f t="shared" si="12"/>
        <v>0</v>
      </c>
      <c r="F183" s="1674" t="str">
        <f t="shared" si="13"/>
        <v>0</v>
      </c>
      <c r="G183" s="1674" t="str">
        <f t="shared" si="14"/>
        <v>0</v>
      </c>
      <c r="H183" s="1542"/>
      <c r="I183" s="1509"/>
      <c r="J183" s="1535"/>
      <c r="K183" s="1509"/>
      <c r="L183" s="1509"/>
      <c r="M183" s="1509"/>
      <c r="N183" s="1509"/>
      <c r="O183" s="1509"/>
      <c r="P183" s="1509"/>
      <c r="Q183" s="1509"/>
      <c r="R183" s="1509"/>
      <c r="S183" s="1509"/>
      <c r="T183" s="1509"/>
      <c r="U183" s="1469">
        <v>23</v>
      </c>
      <c r="V183" s="1486" t="s">
        <v>33</v>
      </c>
      <c r="W183" s="1471" t="s">
        <v>1306</v>
      </c>
      <c r="X183" s="1472" t="s">
        <v>49</v>
      </c>
      <c r="Y183" s="1473" t="s">
        <v>1306</v>
      </c>
      <c r="Z183" s="1504" t="s">
        <v>1429</v>
      </c>
      <c r="AA183" s="1473" t="s">
        <v>1306</v>
      </c>
      <c r="AB183" s="1470" t="s">
        <v>352</v>
      </c>
      <c r="AC183" s="1499" t="s">
        <v>1366</v>
      </c>
      <c r="AD183" s="1500" t="s">
        <v>1387</v>
      </c>
      <c r="AE183" s="1501"/>
      <c r="AF183" s="1501"/>
      <c r="AG183" s="1457" t="str">
        <f t="shared" si="11"/>
        <v>23調査結果-建築物の外部-2（17）-改善（予定）年月-年（令和）</v>
      </c>
      <c r="AI183" s="1502"/>
      <c r="AJ183" s="1502"/>
      <c r="AK183" s="1502"/>
      <c r="AL183" s="1508"/>
      <c r="AM183" s="1508"/>
      <c r="AN183" s="1508"/>
      <c r="AO183" s="1508"/>
    </row>
    <row r="184" spans="1:41" ht="18.75" customHeight="1" x14ac:dyDescent="0.15">
      <c r="A184" s="1586"/>
      <c r="B184" s="1509"/>
      <c r="C184" s="1509"/>
      <c r="D184" s="1460">
        <f>'1_入力シート【基本情報】'!$BV$353</f>
        <v>0</v>
      </c>
      <c r="E184" s="1674">
        <f t="shared" si="12"/>
        <v>0</v>
      </c>
      <c r="F184" s="1674" t="str">
        <f t="shared" si="13"/>
        <v>0</v>
      </c>
      <c r="G184" s="1674" t="str">
        <f t="shared" si="14"/>
        <v>0</v>
      </c>
      <c r="H184" s="1542"/>
      <c r="I184" s="1509"/>
      <c r="J184" s="1535"/>
      <c r="K184" s="1509"/>
      <c r="L184" s="1509"/>
      <c r="M184" s="1509"/>
      <c r="N184" s="1509"/>
      <c r="O184" s="1509"/>
      <c r="P184" s="1509"/>
      <c r="Q184" s="1509"/>
      <c r="R184" s="1509"/>
      <c r="S184" s="1509"/>
      <c r="T184" s="1509"/>
      <c r="U184" s="1469">
        <v>23</v>
      </c>
      <c r="V184" s="1486" t="s">
        <v>33</v>
      </c>
      <c r="W184" s="1471" t="s">
        <v>1306</v>
      </c>
      <c r="X184" s="1472" t="s">
        <v>49</v>
      </c>
      <c r="Y184" s="1473" t="s">
        <v>1306</v>
      </c>
      <c r="Z184" s="1504" t="s">
        <v>1429</v>
      </c>
      <c r="AA184" s="1473" t="s">
        <v>1306</v>
      </c>
      <c r="AB184" s="1470" t="s">
        <v>352</v>
      </c>
      <c r="AC184" s="1499" t="s">
        <v>1366</v>
      </c>
      <c r="AD184" s="1500" t="s">
        <v>348</v>
      </c>
      <c r="AE184" s="1501"/>
      <c r="AF184" s="1501"/>
      <c r="AG184" s="1457" t="str">
        <f t="shared" si="11"/>
        <v>23調査結果-建築物の外部-2（17）-改善（予定）年月-月</v>
      </c>
      <c r="AI184" s="1502"/>
      <c r="AJ184" s="1502"/>
      <c r="AK184" s="1502"/>
      <c r="AL184" s="1508"/>
      <c r="AM184" s="1508"/>
      <c r="AN184" s="1508"/>
      <c r="AO184" s="1508"/>
    </row>
    <row r="185" spans="1:41" ht="18.75" customHeight="1" x14ac:dyDescent="0.15">
      <c r="A185" s="1586"/>
      <c r="B185" s="1509"/>
      <c r="C185" s="1509"/>
      <c r="D185" s="1460">
        <f>'1_入力シート【基本情報】'!$BY$353</f>
        <v>0</v>
      </c>
      <c r="E185" s="1674">
        <f t="shared" si="12"/>
        <v>0</v>
      </c>
      <c r="F185" s="1674" t="str">
        <f t="shared" si="13"/>
        <v>0</v>
      </c>
      <c r="G185" s="1674" t="str">
        <f t="shared" si="14"/>
        <v>0</v>
      </c>
      <c r="H185" s="1542"/>
      <c r="I185" s="1509"/>
      <c r="J185" s="1535"/>
      <c r="K185" s="1509"/>
      <c r="L185" s="1509"/>
      <c r="M185" s="1509"/>
      <c r="N185" s="1509"/>
      <c r="O185" s="1509"/>
      <c r="P185" s="1509"/>
      <c r="Q185" s="1509"/>
      <c r="R185" s="1509"/>
      <c r="S185" s="1509"/>
      <c r="T185" s="1509"/>
      <c r="U185" s="1469">
        <v>23</v>
      </c>
      <c r="V185" s="1486" t="s">
        <v>33</v>
      </c>
      <c r="W185" s="1471" t="s">
        <v>1306</v>
      </c>
      <c r="X185" s="1472" t="s">
        <v>49</v>
      </c>
      <c r="Y185" s="1473" t="s">
        <v>1306</v>
      </c>
      <c r="Z185" s="1504" t="s">
        <v>1429</v>
      </c>
      <c r="AA185" s="1473" t="s">
        <v>1306</v>
      </c>
      <c r="AB185" s="1486" t="s">
        <v>352</v>
      </c>
      <c r="AC185" s="1499" t="s">
        <v>1366</v>
      </c>
      <c r="AD185" s="1500" t="s">
        <v>640</v>
      </c>
      <c r="AE185" s="1501"/>
      <c r="AF185" s="1501"/>
      <c r="AG185" s="1457" t="str">
        <f t="shared" si="11"/>
        <v>23調査結果-建築物の外部-2（17）-改善（予定）年月-未定</v>
      </c>
      <c r="AI185" s="1502"/>
      <c r="AJ185" s="1502"/>
      <c r="AK185" s="1502"/>
    </row>
    <row r="186" spans="1:41" ht="18.75" customHeight="1" x14ac:dyDescent="0.15">
      <c r="A186" s="1586"/>
      <c r="B186" s="1509"/>
      <c r="C186" s="1509"/>
      <c r="D186" s="1460">
        <f>'1_入力シート【基本情報】'!$AF$354</f>
        <v>0</v>
      </c>
      <c r="E186" s="1674">
        <f t="shared" si="12"/>
        <v>0</v>
      </c>
      <c r="F186" s="1674" t="str">
        <f t="shared" si="13"/>
        <v>0</v>
      </c>
      <c r="G186" s="1674" t="str">
        <f t="shared" si="14"/>
        <v>0</v>
      </c>
      <c r="H186" s="1542"/>
      <c r="I186" s="1509"/>
      <c r="J186" s="1535"/>
      <c r="K186" s="1509"/>
      <c r="L186" s="1509"/>
      <c r="M186" s="1509"/>
      <c r="N186" s="1509"/>
      <c r="O186" s="1509"/>
      <c r="P186" s="1509"/>
      <c r="Q186" s="1509"/>
      <c r="R186" s="1509"/>
      <c r="S186" s="1509"/>
      <c r="T186" s="1509"/>
      <c r="U186" s="1469">
        <v>23</v>
      </c>
      <c r="V186" s="1486" t="s">
        <v>33</v>
      </c>
      <c r="W186" s="1471" t="s">
        <v>1306</v>
      </c>
      <c r="X186" s="1472" t="s">
        <v>49</v>
      </c>
      <c r="Y186" s="1473" t="s">
        <v>1306</v>
      </c>
      <c r="Z186" s="1504" t="s">
        <v>1430</v>
      </c>
      <c r="AA186" s="1473" t="s">
        <v>1306</v>
      </c>
      <c r="AB186" s="1486" t="s">
        <v>33</v>
      </c>
      <c r="AC186" s="1499"/>
      <c r="AD186" s="1500"/>
      <c r="AE186" s="1501"/>
      <c r="AF186" s="1501"/>
      <c r="AG186" s="1457" t="str">
        <f t="shared" si="11"/>
        <v>23調査結果-建築物の外部-2（18）-調査結果</v>
      </c>
      <c r="AI186" s="1502"/>
      <c r="AJ186" s="1502"/>
      <c r="AK186" s="1502"/>
      <c r="AL186" s="1508"/>
      <c r="AM186" s="1508"/>
      <c r="AN186" s="1508"/>
      <c r="AO186" s="1508"/>
    </row>
    <row r="187" spans="1:41" ht="18.75" customHeight="1" x14ac:dyDescent="0.15">
      <c r="A187" s="1586"/>
      <c r="B187" s="1509"/>
      <c r="C187" s="1509"/>
      <c r="D187" s="1460">
        <f>'1_入力シート【基本情報】'!$AR$354</f>
        <v>0</v>
      </c>
      <c r="E187" s="1674">
        <f t="shared" si="12"/>
        <v>0</v>
      </c>
      <c r="F187" s="1674" t="str">
        <f t="shared" si="13"/>
        <v>0</v>
      </c>
      <c r="G187" s="1674" t="str">
        <f t="shared" si="14"/>
        <v>0</v>
      </c>
      <c r="H187" s="1542"/>
      <c r="I187" s="1509"/>
      <c r="J187" s="1535"/>
      <c r="K187" s="1509"/>
      <c r="L187" s="1509"/>
      <c r="M187" s="1509"/>
      <c r="N187" s="1509"/>
      <c r="O187" s="1509"/>
      <c r="P187" s="1509"/>
      <c r="Q187" s="1509"/>
      <c r="R187" s="1509"/>
      <c r="S187" s="1509"/>
      <c r="T187" s="1509"/>
      <c r="U187" s="1469">
        <v>23</v>
      </c>
      <c r="V187" s="1486" t="s">
        <v>33</v>
      </c>
      <c r="W187" s="1471" t="s">
        <v>1306</v>
      </c>
      <c r="X187" s="1472" t="s">
        <v>49</v>
      </c>
      <c r="Y187" s="1473" t="s">
        <v>1306</v>
      </c>
      <c r="Z187" s="1504" t="s">
        <v>1430</v>
      </c>
      <c r="AA187" s="1473" t="s">
        <v>1306</v>
      </c>
      <c r="AB187" s="1486" t="s">
        <v>30</v>
      </c>
      <c r="AC187" s="1499"/>
      <c r="AD187" s="1500"/>
      <c r="AE187" s="1501"/>
      <c r="AF187" s="1501"/>
      <c r="AG187" s="1457" t="str">
        <f t="shared" si="11"/>
        <v>23調査結果-建築物の外部-2（18）-調査者番号</v>
      </c>
      <c r="AI187" s="1502"/>
      <c r="AJ187" s="1502"/>
      <c r="AK187" s="1502"/>
      <c r="AL187" s="1508"/>
      <c r="AM187" s="1508"/>
      <c r="AN187" s="1508"/>
      <c r="AO187" s="1508"/>
    </row>
    <row r="188" spans="1:41" ht="18.75" customHeight="1" x14ac:dyDescent="0.15">
      <c r="A188" s="1586"/>
      <c r="B188" s="1509"/>
      <c r="C188" s="1509"/>
      <c r="D188" s="1460">
        <f>'1_入力シート【基本情報】'!$AT$354</f>
        <v>0</v>
      </c>
      <c r="E188" s="1674">
        <f t="shared" si="12"/>
        <v>0</v>
      </c>
      <c r="F188" s="1674" t="str">
        <f t="shared" si="13"/>
        <v>0</v>
      </c>
      <c r="G188" s="1674" t="str">
        <f t="shared" si="14"/>
        <v>0</v>
      </c>
      <c r="H188" s="1542"/>
      <c r="I188" s="1509"/>
      <c r="J188" s="1535"/>
      <c r="K188" s="1509"/>
      <c r="L188" s="1509"/>
      <c r="M188" s="1509"/>
      <c r="N188" s="1509"/>
      <c r="O188" s="1509"/>
      <c r="P188" s="1509"/>
      <c r="Q188" s="1509"/>
      <c r="R188" s="1509"/>
      <c r="S188" s="1509"/>
      <c r="T188" s="1509"/>
      <c r="U188" s="1469">
        <v>23</v>
      </c>
      <c r="V188" s="1486" t="s">
        <v>33</v>
      </c>
      <c r="W188" s="1471" t="s">
        <v>1306</v>
      </c>
      <c r="X188" s="1472" t="s">
        <v>49</v>
      </c>
      <c r="Y188" s="1473" t="s">
        <v>1306</v>
      </c>
      <c r="Z188" s="1504" t="s">
        <v>1430</v>
      </c>
      <c r="AA188" s="1473" t="s">
        <v>1306</v>
      </c>
      <c r="AB188" s="1486" t="s">
        <v>1402</v>
      </c>
      <c r="AC188" s="1499"/>
      <c r="AD188" s="1500"/>
      <c r="AE188" s="1501"/>
      <c r="AF188" s="1501"/>
      <c r="AG188" s="1457" t="str">
        <f t="shared" si="11"/>
        <v>23調査結果-建築物の外部-2（18）-指摘の具体的内容等</v>
      </c>
      <c r="AI188" s="1502"/>
      <c r="AJ188" s="1502"/>
      <c r="AK188" s="1502"/>
      <c r="AL188" s="1508"/>
      <c r="AM188" s="1508"/>
      <c r="AN188" s="1508"/>
      <c r="AO188" s="1508"/>
    </row>
    <row r="189" spans="1:41" ht="18.75" customHeight="1" x14ac:dyDescent="0.15">
      <c r="A189" s="1586"/>
      <c r="B189" s="1509"/>
      <c r="C189" s="1509"/>
      <c r="D189" s="1460">
        <f>'1_入力シート【基本情報】'!$BD$354</f>
        <v>0</v>
      </c>
      <c r="E189" s="1674">
        <f t="shared" si="12"/>
        <v>0</v>
      </c>
      <c r="F189" s="1674" t="str">
        <f t="shared" si="13"/>
        <v>0</v>
      </c>
      <c r="G189" s="1674" t="str">
        <f t="shared" si="14"/>
        <v>0</v>
      </c>
      <c r="H189" s="1542"/>
      <c r="I189" s="1509"/>
      <c r="J189" s="1535"/>
      <c r="K189" s="1509"/>
      <c r="L189" s="1509"/>
      <c r="M189" s="1509"/>
      <c r="N189" s="1509"/>
      <c r="O189" s="1509"/>
      <c r="P189" s="1509"/>
      <c r="Q189" s="1509"/>
      <c r="R189" s="1509"/>
      <c r="S189" s="1509"/>
      <c r="T189" s="1509"/>
      <c r="U189" s="1469">
        <v>23</v>
      </c>
      <c r="V189" s="1486" t="s">
        <v>33</v>
      </c>
      <c r="W189" s="1471" t="s">
        <v>1306</v>
      </c>
      <c r="X189" s="1472" t="s">
        <v>49</v>
      </c>
      <c r="Y189" s="1473" t="s">
        <v>1306</v>
      </c>
      <c r="Z189" s="1504" t="s">
        <v>1430</v>
      </c>
      <c r="AA189" s="1473" t="s">
        <v>1306</v>
      </c>
      <c r="AB189" s="1470" t="s">
        <v>1403</v>
      </c>
      <c r="AC189" s="1499"/>
      <c r="AD189" s="1500"/>
      <c r="AE189" s="1501"/>
      <c r="AF189" s="1501"/>
      <c r="AG189" s="1457" t="str">
        <f t="shared" si="11"/>
        <v>23調査結果-建築物の外部-2（18）-改善策の具体的内容等</v>
      </c>
      <c r="AI189" s="1459"/>
      <c r="AJ189" s="1459"/>
      <c r="AK189" s="1502"/>
      <c r="AL189" s="1508"/>
      <c r="AM189" s="1508"/>
      <c r="AN189" s="1508"/>
      <c r="AO189" s="1508"/>
    </row>
    <row r="190" spans="1:41" ht="18.75" customHeight="1" x14ac:dyDescent="0.15">
      <c r="A190" s="1586"/>
      <c r="B190" s="1509"/>
      <c r="C190" s="1509"/>
      <c r="D190" s="1460">
        <f>'1_入力シート【基本情報】'!$BS$354</f>
        <v>0</v>
      </c>
      <c r="E190" s="1674">
        <f t="shared" si="12"/>
        <v>0</v>
      </c>
      <c r="F190" s="1674" t="str">
        <f t="shared" si="13"/>
        <v>0</v>
      </c>
      <c r="G190" s="1674" t="str">
        <f t="shared" si="14"/>
        <v>0</v>
      </c>
      <c r="H190" s="1542"/>
      <c r="I190" s="1509"/>
      <c r="J190" s="1535"/>
      <c r="K190" s="1509"/>
      <c r="L190" s="1509"/>
      <c r="M190" s="1509"/>
      <c r="N190" s="1509"/>
      <c r="O190" s="1509"/>
      <c r="P190" s="1509"/>
      <c r="Q190" s="1509"/>
      <c r="R190" s="1509"/>
      <c r="S190" s="1509"/>
      <c r="T190" s="1509"/>
      <c r="U190" s="1469">
        <v>23</v>
      </c>
      <c r="V190" s="1486" t="s">
        <v>33</v>
      </c>
      <c r="W190" s="1471" t="s">
        <v>1306</v>
      </c>
      <c r="X190" s="1472" t="s">
        <v>49</v>
      </c>
      <c r="Y190" s="1473" t="s">
        <v>1306</v>
      </c>
      <c r="Z190" s="1504" t="s">
        <v>1430</v>
      </c>
      <c r="AA190" s="1473" t="s">
        <v>1306</v>
      </c>
      <c r="AB190" s="1470" t="s">
        <v>352</v>
      </c>
      <c r="AC190" s="1499" t="s">
        <v>1366</v>
      </c>
      <c r="AD190" s="1500" t="s">
        <v>1387</v>
      </c>
      <c r="AE190" s="1501"/>
      <c r="AF190" s="1501"/>
      <c r="AG190" s="1457" t="str">
        <f t="shared" si="11"/>
        <v>23調査結果-建築物の外部-2（18）-改善（予定）年月-年（令和）</v>
      </c>
      <c r="AI190" s="1502"/>
      <c r="AJ190" s="1502"/>
      <c r="AK190" s="1459"/>
      <c r="AL190" s="1508"/>
      <c r="AM190" s="1508"/>
      <c r="AN190" s="1508"/>
      <c r="AO190" s="1508"/>
    </row>
    <row r="191" spans="1:41" ht="18.75" customHeight="1" x14ac:dyDescent="0.15">
      <c r="A191" s="1586"/>
      <c r="B191" s="1509"/>
      <c r="C191" s="1509"/>
      <c r="D191" s="1460">
        <f>'1_入力シート【基本情報】'!$BV$354</f>
        <v>0</v>
      </c>
      <c r="E191" s="1674">
        <f t="shared" si="12"/>
        <v>0</v>
      </c>
      <c r="F191" s="1674" t="str">
        <f t="shared" si="13"/>
        <v>0</v>
      </c>
      <c r="G191" s="1674" t="str">
        <f t="shared" si="14"/>
        <v>0</v>
      </c>
      <c r="H191" s="1542"/>
      <c r="I191" s="1509"/>
      <c r="J191" s="1535"/>
      <c r="K191" s="1509"/>
      <c r="L191" s="1509"/>
      <c r="M191" s="1509"/>
      <c r="N191" s="1509"/>
      <c r="O191" s="1509"/>
      <c r="P191" s="1509"/>
      <c r="Q191" s="1509"/>
      <c r="R191" s="1509"/>
      <c r="S191" s="1509"/>
      <c r="T191" s="1509"/>
      <c r="U191" s="1469">
        <v>23</v>
      </c>
      <c r="V191" s="1486" t="s">
        <v>33</v>
      </c>
      <c r="W191" s="1471" t="s">
        <v>1306</v>
      </c>
      <c r="X191" s="1472" t="s">
        <v>49</v>
      </c>
      <c r="Y191" s="1473" t="s">
        <v>1306</v>
      </c>
      <c r="Z191" s="1504" t="s">
        <v>1430</v>
      </c>
      <c r="AA191" s="1473" t="s">
        <v>1306</v>
      </c>
      <c r="AB191" s="1470" t="s">
        <v>352</v>
      </c>
      <c r="AC191" s="1499" t="s">
        <v>1366</v>
      </c>
      <c r="AD191" s="1500" t="s">
        <v>348</v>
      </c>
      <c r="AE191" s="1501"/>
      <c r="AF191" s="1501"/>
      <c r="AG191" s="1457" t="str">
        <f t="shared" ref="AG191:AG254" si="15">CONCATENATE(U191,V191,W191,X191,Y191,Z191,AA191,AB191,AC191,AD191)</f>
        <v>23調査結果-建築物の外部-2（18）-改善（予定）年月-月</v>
      </c>
      <c r="AI191" s="1502"/>
      <c r="AJ191" s="1502"/>
      <c r="AK191" s="1502"/>
      <c r="AL191" s="1508"/>
      <c r="AM191" s="1508"/>
      <c r="AN191" s="1508"/>
      <c r="AO191" s="1508"/>
    </row>
    <row r="192" spans="1:41" ht="18.75" customHeight="1" x14ac:dyDescent="0.15">
      <c r="A192" s="1586"/>
      <c r="B192" s="1509"/>
      <c r="C192" s="1509"/>
      <c r="D192" s="1460">
        <f>'1_入力シート【基本情報】'!$BY$354</f>
        <v>0</v>
      </c>
      <c r="E192" s="1674">
        <f t="shared" si="12"/>
        <v>0</v>
      </c>
      <c r="F192" s="1674" t="str">
        <f t="shared" si="13"/>
        <v>0</v>
      </c>
      <c r="G192" s="1674" t="str">
        <f t="shared" si="14"/>
        <v>0</v>
      </c>
      <c r="H192" s="1542"/>
      <c r="I192" s="1509"/>
      <c r="J192" s="1535"/>
      <c r="K192" s="1509"/>
      <c r="L192" s="1509"/>
      <c r="M192" s="1509"/>
      <c r="N192" s="1509"/>
      <c r="O192" s="1509"/>
      <c r="P192" s="1509"/>
      <c r="Q192" s="1509"/>
      <c r="R192" s="1509"/>
      <c r="S192" s="1509"/>
      <c r="T192" s="1509"/>
      <c r="U192" s="1469">
        <v>23</v>
      </c>
      <c r="V192" s="1486" t="s">
        <v>33</v>
      </c>
      <c r="W192" s="1471" t="s">
        <v>1306</v>
      </c>
      <c r="X192" s="1472" t="s">
        <v>49</v>
      </c>
      <c r="Y192" s="1473" t="s">
        <v>1306</v>
      </c>
      <c r="Z192" s="1504" t="s">
        <v>1430</v>
      </c>
      <c r="AA192" s="1473" t="s">
        <v>1306</v>
      </c>
      <c r="AB192" s="1470" t="s">
        <v>352</v>
      </c>
      <c r="AC192" s="1499" t="s">
        <v>1366</v>
      </c>
      <c r="AD192" s="1500" t="s">
        <v>640</v>
      </c>
      <c r="AE192" s="1501"/>
      <c r="AF192" s="1501"/>
      <c r="AG192" s="1457" t="str">
        <f t="shared" si="15"/>
        <v>23調査結果-建築物の外部-2（18）-改善（予定）年月-未定</v>
      </c>
      <c r="AI192" s="1502"/>
      <c r="AJ192" s="1502"/>
      <c r="AK192" s="1502"/>
      <c r="AL192" s="1508"/>
      <c r="AM192" s="1508"/>
      <c r="AN192" s="1508"/>
      <c r="AO192" s="1508"/>
    </row>
    <row r="193" spans="1:41" ht="18.75" customHeight="1" x14ac:dyDescent="0.15">
      <c r="A193" s="1586"/>
      <c r="B193" s="1509"/>
      <c r="C193" s="1509"/>
      <c r="D193" s="1460">
        <f>'1_入力シート【基本情報】'!$AF$364</f>
        <v>0</v>
      </c>
      <c r="E193" s="1674">
        <f t="shared" si="12"/>
        <v>0</v>
      </c>
      <c r="F193" s="1674" t="str">
        <f t="shared" si="13"/>
        <v>0</v>
      </c>
      <c r="G193" s="1674" t="str">
        <f t="shared" si="14"/>
        <v>0</v>
      </c>
      <c r="H193" s="1542"/>
      <c r="I193" s="1509"/>
      <c r="J193" s="1535"/>
      <c r="K193" s="1509"/>
      <c r="L193" s="1509"/>
      <c r="M193" s="1509"/>
      <c r="N193" s="1509"/>
      <c r="O193" s="1509"/>
      <c r="P193" s="1509"/>
      <c r="Q193" s="1509"/>
      <c r="R193" s="1509"/>
      <c r="S193" s="1509"/>
      <c r="T193" s="1509"/>
      <c r="U193" s="1469">
        <v>23</v>
      </c>
      <c r="V193" s="1486" t="s">
        <v>33</v>
      </c>
      <c r="W193" s="1471" t="s">
        <v>1306</v>
      </c>
      <c r="X193" s="1472" t="s">
        <v>72</v>
      </c>
      <c r="Y193" s="1473" t="s">
        <v>1306</v>
      </c>
      <c r="Z193" s="1504" t="s">
        <v>1431</v>
      </c>
      <c r="AA193" s="1473" t="s">
        <v>1306</v>
      </c>
      <c r="AB193" s="1486" t="s">
        <v>33</v>
      </c>
      <c r="AC193" s="1499"/>
      <c r="AD193" s="1500"/>
      <c r="AE193" s="1501"/>
      <c r="AF193" s="1501"/>
      <c r="AG193" s="1457" t="str">
        <f t="shared" si="15"/>
        <v>23調査結果-屋上及び屋根-3（1）-調査結果</v>
      </c>
      <c r="AI193" s="1502"/>
      <c r="AJ193" s="1502"/>
      <c r="AK193" s="1502"/>
      <c r="AL193" s="1508"/>
      <c r="AM193" s="1508"/>
      <c r="AN193" s="1508"/>
      <c r="AO193" s="1508"/>
    </row>
    <row r="194" spans="1:41" ht="18.75" customHeight="1" x14ac:dyDescent="0.15">
      <c r="A194" s="1586"/>
      <c r="B194" s="1509"/>
      <c r="C194" s="1509"/>
      <c r="D194" s="1460">
        <f>'1_入力シート【基本情報】'!$AR$364</f>
        <v>0</v>
      </c>
      <c r="E194" s="1674">
        <f t="shared" si="12"/>
        <v>0</v>
      </c>
      <c r="F194" s="1674" t="str">
        <f t="shared" si="13"/>
        <v>0</v>
      </c>
      <c r="G194" s="1674" t="str">
        <f t="shared" si="14"/>
        <v>0</v>
      </c>
      <c r="H194" s="1542"/>
      <c r="I194" s="1509"/>
      <c r="J194" s="1535"/>
      <c r="K194" s="1509"/>
      <c r="L194" s="1509"/>
      <c r="M194" s="1509"/>
      <c r="N194" s="1509"/>
      <c r="O194" s="1509"/>
      <c r="P194" s="1509"/>
      <c r="Q194" s="1509"/>
      <c r="R194" s="1509"/>
      <c r="S194" s="1509"/>
      <c r="T194" s="1509"/>
      <c r="U194" s="1469">
        <v>23</v>
      </c>
      <c r="V194" s="1486" t="s">
        <v>33</v>
      </c>
      <c r="W194" s="1471" t="s">
        <v>1306</v>
      </c>
      <c r="X194" s="1472" t="s">
        <v>72</v>
      </c>
      <c r="Y194" s="1473" t="s">
        <v>1306</v>
      </c>
      <c r="Z194" s="1504" t="s">
        <v>1431</v>
      </c>
      <c r="AA194" s="1473" t="s">
        <v>1306</v>
      </c>
      <c r="AB194" s="1470" t="s">
        <v>30</v>
      </c>
      <c r="AC194" s="1499"/>
      <c r="AD194" s="1500"/>
      <c r="AE194" s="1501"/>
      <c r="AF194" s="1501"/>
      <c r="AG194" s="1457" t="str">
        <f t="shared" si="15"/>
        <v>23調査結果-屋上及び屋根-3（1）-調査者番号</v>
      </c>
      <c r="AI194" s="1502"/>
      <c r="AJ194" s="1502"/>
      <c r="AK194" s="1502"/>
      <c r="AL194" s="1508"/>
      <c r="AM194" s="1508"/>
      <c r="AN194" s="1508"/>
      <c r="AO194" s="1508"/>
    </row>
    <row r="195" spans="1:41" ht="18.75" customHeight="1" x14ac:dyDescent="0.15">
      <c r="A195" s="1586"/>
      <c r="B195" s="1509"/>
      <c r="C195" s="1509"/>
      <c r="D195" s="1460">
        <f>'1_入力シート【基本情報】'!$AT$364</f>
        <v>0</v>
      </c>
      <c r="E195" s="1674">
        <f t="shared" si="12"/>
        <v>0</v>
      </c>
      <c r="F195" s="1674" t="str">
        <f t="shared" si="13"/>
        <v>0</v>
      </c>
      <c r="G195" s="1674" t="str">
        <f t="shared" si="14"/>
        <v>0</v>
      </c>
      <c r="H195" s="1542"/>
      <c r="I195" s="1509"/>
      <c r="J195" s="1535"/>
      <c r="K195" s="1509"/>
      <c r="L195" s="1509"/>
      <c r="M195" s="1509"/>
      <c r="N195" s="1509"/>
      <c r="O195" s="1509"/>
      <c r="P195" s="1509"/>
      <c r="Q195" s="1509"/>
      <c r="R195" s="1509"/>
      <c r="S195" s="1509"/>
      <c r="T195" s="1509"/>
      <c r="U195" s="1469">
        <v>23</v>
      </c>
      <c r="V195" s="1486" t="s">
        <v>33</v>
      </c>
      <c r="W195" s="1471" t="s">
        <v>1306</v>
      </c>
      <c r="X195" s="1472" t="s">
        <v>72</v>
      </c>
      <c r="Y195" s="1473" t="s">
        <v>1306</v>
      </c>
      <c r="Z195" s="1504" t="s">
        <v>1431</v>
      </c>
      <c r="AA195" s="1473" t="s">
        <v>1306</v>
      </c>
      <c r="AB195" s="1470" t="s">
        <v>1402</v>
      </c>
      <c r="AC195" s="1499"/>
      <c r="AD195" s="1500"/>
      <c r="AE195" s="1501"/>
      <c r="AF195" s="1501"/>
      <c r="AG195" s="1457" t="str">
        <f t="shared" si="15"/>
        <v>23調査結果-屋上及び屋根-3（1）-指摘の具体的内容等</v>
      </c>
      <c r="AI195" s="1502"/>
      <c r="AJ195" s="1502"/>
      <c r="AK195" s="1502"/>
      <c r="AL195" s="1508"/>
      <c r="AM195" s="1508"/>
      <c r="AN195" s="1508"/>
      <c r="AO195" s="1508"/>
    </row>
    <row r="196" spans="1:41" ht="18.75" customHeight="1" x14ac:dyDescent="0.15">
      <c r="A196" s="1586"/>
      <c r="B196" s="1509"/>
      <c r="C196" s="1509"/>
      <c r="D196" s="1460">
        <f>'1_入力シート【基本情報】'!$BD$364</f>
        <v>0</v>
      </c>
      <c r="E196" s="1674">
        <f t="shared" si="12"/>
        <v>0</v>
      </c>
      <c r="F196" s="1674" t="str">
        <f t="shared" si="13"/>
        <v>0</v>
      </c>
      <c r="G196" s="1674" t="str">
        <f t="shared" si="14"/>
        <v>0</v>
      </c>
      <c r="H196" s="1542"/>
      <c r="I196" s="1509"/>
      <c r="J196" s="1535"/>
      <c r="K196" s="1509"/>
      <c r="L196" s="1509"/>
      <c r="M196" s="1509"/>
      <c r="N196" s="1509"/>
      <c r="O196" s="1509"/>
      <c r="P196" s="1509"/>
      <c r="Q196" s="1509"/>
      <c r="R196" s="1509"/>
      <c r="S196" s="1509"/>
      <c r="T196" s="1509"/>
      <c r="U196" s="1469">
        <v>23</v>
      </c>
      <c r="V196" s="1486" t="s">
        <v>33</v>
      </c>
      <c r="W196" s="1471" t="s">
        <v>1306</v>
      </c>
      <c r="X196" s="1472" t="s">
        <v>72</v>
      </c>
      <c r="Y196" s="1473" t="s">
        <v>1306</v>
      </c>
      <c r="Z196" s="1504" t="s">
        <v>1431</v>
      </c>
      <c r="AA196" s="1473" t="s">
        <v>1306</v>
      </c>
      <c r="AB196" s="1470" t="s">
        <v>1403</v>
      </c>
      <c r="AC196" s="1499"/>
      <c r="AD196" s="1500"/>
      <c r="AE196" s="1501"/>
      <c r="AF196" s="1501"/>
      <c r="AG196" s="1457" t="str">
        <f t="shared" si="15"/>
        <v>23調査結果-屋上及び屋根-3（1）-改善策の具体的内容等</v>
      </c>
      <c r="AI196" s="1502"/>
      <c r="AJ196" s="1502"/>
      <c r="AK196" s="1502"/>
      <c r="AL196" s="1508"/>
      <c r="AM196" s="1508"/>
      <c r="AN196" s="1508"/>
      <c r="AO196" s="1508"/>
    </row>
    <row r="197" spans="1:41" ht="18.75" customHeight="1" x14ac:dyDescent="0.15">
      <c r="A197" s="1586"/>
      <c r="B197" s="1509"/>
      <c r="C197" s="1509"/>
      <c r="D197" s="1460">
        <f>'1_入力シート【基本情報】'!$BS$364</f>
        <v>0</v>
      </c>
      <c r="E197" s="1674">
        <f t="shared" si="12"/>
        <v>0</v>
      </c>
      <c r="F197" s="1674" t="str">
        <f t="shared" si="13"/>
        <v>0</v>
      </c>
      <c r="G197" s="1674" t="str">
        <f t="shared" si="14"/>
        <v>0</v>
      </c>
      <c r="H197" s="1542"/>
      <c r="I197" s="1509"/>
      <c r="J197" s="1535"/>
      <c r="K197" s="1509"/>
      <c r="L197" s="1509"/>
      <c r="M197" s="1509"/>
      <c r="N197" s="1509"/>
      <c r="O197" s="1509"/>
      <c r="P197" s="1509"/>
      <c r="Q197" s="1509"/>
      <c r="R197" s="1509"/>
      <c r="S197" s="1509"/>
      <c r="T197" s="1509"/>
      <c r="U197" s="1469">
        <v>23</v>
      </c>
      <c r="V197" s="1486" t="s">
        <v>33</v>
      </c>
      <c r="W197" s="1471" t="s">
        <v>1306</v>
      </c>
      <c r="X197" s="1472" t="s">
        <v>72</v>
      </c>
      <c r="Y197" s="1473" t="s">
        <v>1306</v>
      </c>
      <c r="Z197" s="1504" t="s">
        <v>1431</v>
      </c>
      <c r="AA197" s="1473" t="s">
        <v>1306</v>
      </c>
      <c r="AB197" s="1470" t="s">
        <v>352</v>
      </c>
      <c r="AC197" s="1499" t="s">
        <v>1366</v>
      </c>
      <c r="AD197" s="1500" t="s">
        <v>1387</v>
      </c>
      <c r="AE197" s="1501"/>
      <c r="AF197" s="1501"/>
      <c r="AG197" s="1457" t="str">
        <f t="shared" si="15"/>
        <v>23調査結果-屋上及び屋根-3（1）-改善（予定）年月-年（令和）</v>
      </c>
      <c r="AI197" s="1502"/>
      <c r="AJ197" s="1502"/>
      <c r="AK197" s="1502"/>
      <c r="AL197" s="1508"/>
      <c r="AM197" s="1508"/>
      <c r="AN197" s="1508"/>
      <c r="AO197" s="1508"/>
    </row>
    <row r="198" spans="1:41" ht="18.75" customHeight="1" x14ac:dyDescent="0.15">
      <c r="A198" s="1586"/>
      <c r="B198" s="1509"/>
      <c r="C198" s="1509"/>
      <c r="D198" s="1460">
        <f>'1_入力シート【基本情報】'!$BV$364</f>
        <v>0</v>
      </c>
      <c r="E198" s="1674">
        <f t="shared" si="12"/>
        <v>0</v>
      </c>
      <c r="F198" s="1674" t="str">
        <f t="shared" si="13"/>
        <v>0</v>
      </c>
      <c r="G198" s="1674" t="str">
        <f t="shared" si="14"/>
        <v>0</v>
      </c>
      <c r="H198" s="1542"/>
      <c r="I198" s="1509"/>
      <c r="J198" s="1535"/>
      <c r="K198" s="1509"/>
      <c r="L198" s="1509"/>
      <c r="M198" s="1509"/>
      <c r="N198" s="1509"/>
      <c r="O198" s="1509"/>
      <c r="P198" s="1509"/>
      <c r="Q198" s="1509"/>
      <c r="R198" s="1509"/>
      <c r="S198" s="1509"/>
      <c r="T198" s="1509"/>
      <c r="U198" s="1469">
        <v>23</v>
      </c>
      <c r="V198" s="1486" t="s">
        <v>33</v>
      </c>
      <c r="W198" s="1471" t="s">
        <v>1306</v>
      </c>
      <c r="X198" s="1472" t="s">
        <v>72</v>
      </c>
      <c r="Y198" s="1473" t="s">
        <v>1306</v>
      </c>
      <c r="Z198" s="1504" t="s">
        <v>1431</v>
      </c>
      <c r="AA198" s="1473" t="s">
        <v>1306</v>
      </c>
      <c r="AB198" s="1486" t="s">
        <v>352</v>
      </c>
      <c r="AC198" s="1499" t="s">
        <v>1366</v>
      </c>
      <c r="AD198" s="1500" t="s">
        <v>348</v>
      </c>
      <c r="AE198" s="1501"/>
      <c r="AF198" s="1501"/>
      <c r="AG198" s="1457" t="str">
        <f t="shared" si="15"/>
        <v>23調査結果-屋上及び屋根-3（1）-改善（予定）年月-月</v>
      </c>
      <c r="AI198" s="1502"/>
      <c r="AJ198" s="1502"/>
      <c r="AK198" s="1502"/>
      <c r="AL198" s="1508"/>
      <c r="AM198" s="1508"/>
      <c r="AN198" s="1508"/>
      <c r="AO198" s="1508"/>
    </row>
    <row r="199" spans="1:41" ht="18.75" customHeight="1" x14ac:dyDescent="0.15">
      <c r="A199" s="1586"/>
      <c r="B199" s="1509"/>
      <c r="C199" s="1509"/>
      <c r="D199" s="1460">
        <f>'1_入力シート【基本情報】'!$BY$364</f>
        <v>0</v>
      </c>
      <c r="E199" s="1674">
        <f t="shared" si="12"/>
        <v>0</v>
      </c>
      <c r="F199" s="1674" t="str">
        <f t="shared" si="13"/>
        <v>0</v>
      </c>
      <c r="G199" s="1674" t="str">
        <f t="shared" si="14"/>
        <v>0</v>
      </c>
      <c r="H199" s="1542"/>
      <c r="I199" s="1509"/>
      <c r="J199" s="1535"/>
      <c r="K199" s="1509"/>
      <c r="L199" s="1509"/>
      <c r="M199" s="1509"/>
      <c r="N199" s="1509"/>
      <c r="O199" s="1509"/>
      <c r="P199" s="1509"/>
      <c r="Q199" s="1509"/>
      <c r="R199" s="1509"/>
      <c r="S199" s="1509"/>
      <c r="T199" s="1509"/>
      <c r="U199" s="1469">
        <v>23</v>
      </c>
      <c r="V199" s="1486" t="s">
        <v>33</v>
      </c>
      <c r="W199" s="1471" t="s">
        <v>1306</v>
      </c>
      <c r="X199" s="1472" t="s">
        <v>72</v>
      </c>
      <c r="Y199" s="1473" t="s">
        <v>1306</v>
      </c>
      <c r="Z199" s="1504" t="s">
        <v>1431</v>
      </c>
      <c r="AA199" s="1473" t="s">
        <v>1306</v>
      </c>
      <c r="AB199" s="1486" t="s">
        <v>352</v>
      </c>
      <c r="AC199" s="1499" t="s">
        <v>1366</v>
      </c>
      <c r="AD199" s="1500" t="s">
        <v>640</v>
      </c>
      <c r="AE199" s="1501"/>
      <c r="AF199" s="1501"/>
      <c r="AG199" s="1457" t="str">
        <f t="shared" si="15"/>
        <v>23調査結果-屋上及び屋根-3（1）-改善（予定）年月-未定</v>
      </c>
      <c r="AI199" s="1502"/>
      <c r="AJ199" s="1502"/>
      <c r="AK199" s="1502"/>
      <c r="AL199" s="1508"/>
      <c r="AM199" s="1508"/>
      <c r="AN199" s="1508"/>
      <c r="AO199" s="1508"/>
    </row>
    <row r="200" spans="1:41" ht="18.75" customHeight="1" x14ac:dyDescent="0.15">
      <c r="A200" s="1586"/>
      <c r="B200" s="1509"/>
      <c r="C200" s="1509"/>
      <c r="D200" s="1460">
        <f>'1_入力シート【基本情報】'!$AF$365</f>
        <v>0</v>
      </c>
      <c r="E200" s="1674">
        <f t="shared" si="12"/>
        <v>0</v>
      </c>
      <c r="F200" s="1674" t="str">
        <f t="shared" si="13"/>
        <v>0</v>
      </c>
      <c r="G200" s="1674" t="str">
        <f t="shared" si="14"/>
        <v>0</v>
      </c>
      <c r="H200" s="1542"/>
      <c r="I200" s="1509"/>
      <c r="J200" s="1535"/>
      <c r="K200" s="1509"/>
      <c r="L200" s="1509"/>
      <c r="M200" s="1509"/>
      <c r="N200" s="1509"/>
      <c r="O200" s="1509"/>
      <c r="P200" s="1509"/>
      <c r="Q200" s="1509"/>
      <c r="R200" s="1509"/>
      <c r="S200" s="1509"/>
      <c r="T200" s="1509"/>
      <c r="U200" s="1469">
        <v>23</v>
      </c>
      <c r="V200" s="1486" t="s">
        <v>33</v>
      </c>
      <c r="W200" s="1471" t="s">
        <v>1306</v>
      </c>
      <c r="X200" s="1472" t="s">
        <v>72</v>
      </c>
      <c r="Y200" s="1473" t="s">
        <v>1306</v>
      </c>
      <c r="Z200" s="1504" t="s">
        <v>1432</v>
      </c>
      <c r="AA200" s="1473" t="s">
        <v>1306</v>
      </c>
      <c r="AB200" s="1486" t="s">
        <v>33</v>
      </c>
      <c r="AC200" s="1499"/>
      <c r="AD200" s="1500"/>
      <c r="AE200" s="1501"/>
      <c r="AF200" s="1501"/>
      <c r="AG200" s="1457" t="str">
        <f t="shared" si="15"/>
        <v>23調査結果-屋上及び屋根-3（2）-調査結果</v>
      </c>
      <c r="AI200" s="1502"/>
      <c r="AJ200" s="1502"/>
      <c r="AK200" s="1502"/>
      <c r="AL200" s="1508"/>
      <c r="AM200" s="1508"/>
      <c r="AN200" s="1508"/>
      <c r="AO200" s="1508"/>
    </row>
    <row r="201" spans="1:41" ht="18.75" customHeight="1" x14ac:dyDescent="0.15">
      <c r="A201" s="1586"/>
      <c r="B201" s="1509"/>
      <c r="C201" s="1509"/>
      <c r="D201" s="1460">
        <f>'1_入力シート【基本情報】'!$AR$365</f>
        <v>0</v>
      </c>
      <c r="E201" s="1674">
        <f t="shared" si="12"/>
        <v>0</v>
      </c>
      <c r="F201" s="1674" t="str">
        <f t="shared" si="13"/>
        <v>0</v>
      </c>
      <c r="G201" s="1674" t="str">
        <f t="shared" si="14"/>
        <v>0</v>
      </c>
      <c r="H201" s="1542"/>
      <c r="I201" s="1509"/>
      <c r="J201" s="1535"/>
      <c r="K201" s="1509"/>
      <c r="L201" s="1509"/>
      <c r="M201" s="1509"/>
      <c r="N201" s="1509"/>
      <c r="O201" s="1509"/>
      <c r="P201" s="1509"/>
      <c r="Q201" s="1509"/>
      <c r="R201" s="1509"/>
      <c r="S201" s="1509"/>
      <c r="T201" s="1509"/>
      <c r="U201" s="1469">
        <v>23</v>
      </c>
      <c r="V201" s="1486" t="s">
        <v>33</v>
      </c>
      <c r="W201" s="1471" t="s">
        <v>1306</v>
      </c>
      <c r="X201" s="1472" t="s">
        <v>72</v>
      </c>
      <c r="Y201" s="1473" t="s">
        <v>1306</v>
      </c>
      <c r="Z201" s="1504" t="s">
        <v>1432</v>
      </c>
      <c r="AA201" s="1473" t="s">
        <v>1306</v>
      </c>
      <c r="AB201" s="1486" t="s">
        <v>30</v>
      </c>
      <c r="AC201" s="1499"/>
      <c r="AD201" s="1500"/>
      <c r="AE201" s="1501"/>
      <c r="AF201" s="1501"/>
      <c r="AG201" s="1457" t="str">
        <f t="shared" si="15"/>
        <v>23調査結果-屋上及び屋根-3（2）-調査者番号</v>
      </c>
      <c r="AI201" s="1502"/>
      <c r="AJ201" s="1502"/>
      <c r="AK201" s="1502"/>
      <c r="AL201" s="1508"/>
      <c r="AM201" s="1508"/>
      <c r="AN201" s="1508"/>
      <c r="AO201" s="1508"/>
    </row>
    <row r="202" spans="1:41" ht="18.75" customHeight="1" x14ac:dyDescent="0.15">
      <c r="A202" s="1586"/>
      <c r="B202" s="1509"/>
      <c r="C202" s="1509"/>
      <c r="D202" s="1460">
        <f>'1_入力シート【基本情報】'!$AT$365</f>
        <v>0</v>
      </c>
      <c r="E202" s="1674">
        <f t="shared" si="12"/>
        <v>0</v>
      </c>
      <c r="F202" s="1674" t="str">
        <f t="shared" si="13"/>
        <v>0</v>
      </c>
      <c r="G202" s="1674" t="str">
        <f t="shared" si="14"/>
        <v>0</v>
      </c>
      <c r="H202" s="1542"/>
      <c r="I202" s="1509"/>
      <c r="J202" s="1535"/>
      <c r="K202" s="1509"/>
      <c r="L202" s="1509"/>
      <c r="M202" s="1509"/>
      <c r="N202" s="1509"/>
      <c r="O202" s="1509"/>
      <c r="P202" s="1509"/>
      <c r="Q202" s="1509"/>
      <c r="R202" s="1509"/>
      <c r="S202" s="1509"/>
      <c r="T202" s="1509"/>
      <c r="U202" s="1469">
        <v>23</v>
      </c>
      <c r="V202" s="1486" t="s">
        <v>33</v>
      </c>
      <c r="W202" s="1471" t="s">
        <v>1306</v>
      </c>
      <c r="X202" s="1472" t="s">
        <v>72</v>
      </c>
      <c r="Y202" s="1473" t="s">
        <v>1306</v>
      </c>
      <c r="Z202" s="1504" t="s">
        <v>1432</v>
      </c>
      <c r="AA202" s="1473" t="s">
        <v>1306</v>
      </c>
      <c r="AB202" s="1470" t="s">
        <v>1402</v>
      </c>
      <c r="AC202" s="1499"/>
      <c r="AD202" s="1500"/>
      <c r="AE202" s="1501"/>
      <c r="AF202" s="1501"/>
      <c r="AG202" s="1457" t="str">
        <f t="shared" si="15"/>
        <v>23調査結果-屋上及び屋根-3（2）-指摘の具体的内容等</v>
      </c>
      <c r="AI202" s="1502"/>
      <c r="AJ202" s="1502"/>
      <c r="AK202" s="1502"/>
      <c r="AL202" s="1508"/>
      <c r="AM202" s="1508"/>
      <c r="AN202" s="1508"/>
      <c r="AO202" s="1508"/>
    </row>
    <row r="203" spans="1:41" ht="18.75" customHeight="1" x14ac:dyDescent="0.15">
      <c r="A203" s="1586"/>
      <c r="B203" s="1509"/>
      <c r="C203" s="1509"/>
      <c r="D203" s="1460">
        <f>'1_入力シート【基本情報】'!$BD$365</f>
        <v>0</v>
      </c>
      <c r="E203" s="1674">
        <f t="shared" si="12"/>
        <v>0</v>
      </c>
      <c r="F203" s="1674" t="str">
        <f t="shared" si="13"/>
        <v>0</v>
      </c>
      <c r="G203" s="1674" t="str">
        <f t="shared" si="14"/>
        <v>0</v>
      </c>
      <c r="H203" s="1542"/>
      <c r="I203" s="1509"/>
      <c r="J203" s="1535"/>
      <c r="K203" s="1509"/>
      <c r="L203" s="1509"/>
      <c r="M203" s="1509"/>
      <c r="N203" s="1509"/>
      <c r="O203" s="1509"/>
      <c r="P203" s="1509"/>
      <c r="Q203" s="1509"/>
      <c r="R203" s="1509"/>
      <c r="S203" s="1509"/>
      <c r="T203" s="1509"/>
      <c r="U203" s="1469">
        <v>23</v>
      </c>
      <c r="V203" s="1486" t="s">
        <v>33</v>
      </c>
      <c r="W203" s="1471" t="s">
        <v>1306</v>
      </c>
      <c r="X203" s="1472" t="s">
        <v>72</v>
      </c>
      <c r="Y203" s="1473" t="s">
        <v>1306</v>
      </c>
      <c r="Z203" s="1504" t="s">
        <v>1432</v>
      </c>
      <c r="AA203" s="1473" t="s">
        <v>1306</v>
      </c>
      <c r="AB203" s="1470" t="s">
        <v>1403</v>
      </c>
      <c r="AC203" s="1499"/>
      <c r="AD203" s="1500"/>
      <c r="AE203" s="1501"/>
      <c r="AF203" s="1501"/>
      <c r="AG203" s="1457" t="str">
        <f t="shared" si="15"/>
        <v>23調査結果-屋上及び屋根-3（2）-改善策の具体的内容等</v>
      </c>
      <c r="AI203" s="1502"/>
      <c r="AJ203" s="1502"/>
      <c r="AK203" s="1502"/>
      <c r="AL203" s="1508"/>
      <c r="AM203" s="1508"/>
      <c r="AN203" s="1508"/>
      <c r="AO203" s="1508"/>
    </row>
    <row r="204" spans="1:41" ht="18.75" customHeight="1" x14ac:dyDescent="0.15">
      <c r="A204" s="1586"/>
      <c r="B204" s="1509"/>
      <c r="C204" s="1509"/>
      <c r="D204" s="1460">
        <f>'1_入力シート【基本情報】'!$BS$365</f>
        <v>0</v>
      </c>
      <c r="E204" s="1674">
        <f t="shared" si="12"/>
        <v>0</v>
      </c>
      <c r="F204" s="1674" t="str">
        <f t="shared" si="13"/>
        <v>0</v>
      </c>
      <c r="G204" s="1674" t="str">
        <f t="shared" si="14"/>
        <v>0</v>
      </c>
      <c r="H204" s="1542"/>
      <c r="I204" s="1509"/>
      <c r="J204" s="1535"/>
      <c r="K204" s="1509"/>
      <c r="L204" s="1509"/>
      <c r="M204" s="1509"/>
      <c r="N204" s="1509"/>
      <c r="O204" s="1509"/>
      <c r="P204" s="1509"/>
      <c r="Q204" s="1509"/>
      <c r="R204" s="1509"/>
      <c r="S204" s="1509"/>
      <c r="T204" s="1509"/>
      <c r="U204" s="1469">
        <v>23</v>
      </c>
      <c r="V204" s="1486" t="s">
        <v>33</v>
      </c>
      <c r="W204" s="1471" t="s">
        <v>1306</v>
      </c>
      <c r="X204" s="1472" t="s">
        <v>72</v>
      </c>
      <c r="Y204" s="1473" t="s">
        <v>1306</v>
      </c>
      <c r="Z204" s="1504" t="s">
        <v>1432</v>
      </c>
      <c r="AA204" s="1473" t="s">
        <v>1306</v>
      </c>
      <c r="AB204" s="1470" t="s">
        <v>352</v>
      </c>
      <c r="AC204" s="1499" t="s">
        <v>1366</v>
      </c>
      <c r="AD204" s="1500" t="s">
        <v>1387</v>
      </c>
      <c r="AE204" s="1501"/>
      <c r="AF204" s="1501"/>
      <c r="AG204" s="1457" t="str">
        <f t="shared" si="15"/>
        <v>23調査結果-屋上及び屋根-3（2）-改善（予定）年月-年（令和）</v>
      </c>
      <c r="AI204" s="1502"/>
      <c r="AJ204" s="1502"/>
      <c r="AK204" s="1502"/>
      <c r="AL204" s="1508"/>
      <c r="AM204" s="1508"/>
      <c r="AN204" s="1508"/>
      <c r="AO204" s="1508"/>
    </row>
    <row r="205" spans="1:41" ht="18.75" customHeight="1" x14ac:dyDescent="0.15">
      <c r="A205" s="1586"/>
      <c r="B205" s="1509"/>
      <c r="C205" s="1509"/>
      <c r="D205" s="1460">
        <f>'1_入力シート【基本情報】'!$BV$365</f>
        <v>0</v>
      </c>
      <c r="E205" s="1674">
        <f t="shared" si="12"/>
        <v>0</v>
      </c>
      <c r="F205" s="1674" t="str">
        <f t="shared" si="13"/>
        <v>0</v>
      </c>
      <c r="G205" s="1674" t="str">
        <f t="shared" si="14"/>
        <v>0</v>
      </c>
      <c r="H205" s="1542"/>
      <c r="I205" s="1509"/>
      <c r="J205" s="1535"/>
      <c r="K205" s="1509"/>
      <c r="L205" s="1509"/>
      <c r="M205" s="1509"/>
      <c r="N205" s="1509"/>
      <c r="O205" s="1509"/>
      <c r="P205" s="1509"/>
      <c r="Q205" s="1509"/>
      <c r="R205" s="1509"/>
      <c r="S205" s="1509"/>
      <c r="T205" s="1509"/>
      <c r="U205" s="1469">
        <v>23</v>
      </c>
      <c r="V205" s="1486" t="s">
        <v>33</v>
      </c>
      <c r="W205" s="1471" t="s">
        <v>1306</v>
      </c>
      <c r="X205" s="1472" t="s">
        <v>72</v>
      </c>
      <c r="Y205" s="1473" t="s">
        <v>1306</v>
      </c>
      <c r="Z205" s="1504" t="s">
        <v>1432</v>
      </c>
      <c r="AA205" s="1473" t="s">
        <v>1306</v>
      </c>
      <c r="AB205" s="1470" t="s">
        <v>352</v>
      </c>
      <c r="AC205" s="1499" t="s">
        <v>1366</v>
      </c>
      <c r="AD205" s="1500" t="s">
        <v>348</v>
      </c>
      <c r="AE205" s="1501"/>
      <c r="AF205" s="1501"/>
      <c r="AG205" s="1457" t="str">
        <f t="shared" si="15"/>
        <v>23調査結果-屋上及び屋根-3（2）-改善（予定）年月-月</v>
      </c>
      <c r="AI205" s="1502"/>
      <c r="AJ205" s="1502"/>
      <c r="AK205" s="1502"/>
      <c r="AL205" s="1508"/>
      <c r="AM205" s="1508"/>
      <c r="AN205" s="1508"/>
      <c r="AO205" s="1508"/>
    </row>
    <row r="206" spans="1:41" ht="18.75" customHeight="1" x14ac:dyDescent="0.15">
      <c r="A206" s="1586"/>
      <c r="B206" s="1509"/>
      <c r="C206" s="1509"/>
      <c r="D206" s="1460">
        <f>'1_入力シート【基本情報】'!$BY$365</f>
        <v>0</v>
      </c>
      <c r="E206" s="1674">
        <f t="shared" si="12"/>
        <v>0</v>
      </c>
      <c r="F206" s="1674" t="str">
        <f t="shared" si="13"/>
        <v>0</v>
      </c>
      <c r="G206" s="1674" t="str">
        <f t="shared" si="14"/>
        <v>0</v>
      </c>
      <c r="H206" s="1542"/>
      <c r="I206" s="1509"/>
      <c r="J206" s="1535"/>
      <c r="K206" s="1509"/>
      <c r="L206" s="1509"/>
      <c r="M206" s="1509"/>
      <c r="N206" s="1509"/>
      <c r="O206" s="1509"/>
      <c r="P206" s="1509"/>
      <c r="Q206" s="1509"/>
      <c r="R206" s="1509"/>
      <c r="S206" s="1509"/>
      <c r="T206" s="1509"/>
      <c r="U206" s="1469">
        <v>23</v>
      </c>
      <c r="V206" s="1486" t="s">
        <v>33</v>
      </c>
      <c r="W206" s="1471" t="s">
        <v>1306</v>
      </c>
      <c r="X206" s="1472" t="s">
        <v>72</v>
      </c>
      <c r="Y206" s="1473" t="s">
        <v>1306</v>
      </c>
      <c r="Z206" s="1504" t="s">
        <v>1432</v>
      </c>
      <c r="AA206" s="1473" t="s">
        <v>1306</v>
      </c>
      <c r="AB206" s="1486" t="s">
        <v>352</v>
      </c>
      <c r="AC206" s="1499" t="s">
        <v>1366</v>
      </c>
      <c r="AD206" s="1500" t="s">
        <v>640</v>
      </c>
      <c r="AE206" s="1501"/>
      <c r="AF206" s="1501"/>
      <c r="AG206" s="1457" t="str">
        <f t="shared" si="15"/>
        <v>23調査結果-屋上及び屋根-3（2）-改善（予定）年月-未定</v>
      </c>
      <c r="AI206" s="1502"/>
      <c r="AJ206" s="1502"/>
      <c r="AK206" s="1502"/>
      <c r="AL206" s="1508"/>
      <c r="AM206" s="1508"/>
      <c r="AN206" s="1508"/>
      <c r="AO206" s="1508"/>
    </row>
    <row r="207" spans="1:41" ht="18.75" customHeight="1" x14ac:dyDescent="0.15">
      <c r="A207" s="1586"/>
      <c r="B207" s="1509"/>
      <c r="C207" s="1509"/>
      <c r="D207" s="1460">
        <f>'1_入力シート【基本情報】'!$AF$366</f>
        <v>0</v>
      </c>
      <c r="E207" s="1674">
        <f t="shared" si="12"/>
        <v>0</v>
      </c>
      <c r="F207" s="1674" t="str">
        <f t="shared" si="13"/>
        <v>0</v>
      </c>
      <c r="G207" s="1674" t="str">
        <f t="shared" si="14"/>
        <v>0</v>
      </c>
      <c r="H207" s="1542"/>
      <c r="I207" s="1509"/>
      <c r="J207" s="1535"/>
      <c r="K207" s="1509"/>
      <c r="L207" s="1509"/>
      <c r="M207" s="1509"/>
      <c r="N207" s="1509"/>
      <c r="O207" s="1509"/>
      <c r="P207" s="1509"/>
      <c r="Q207" s="1509"/>
      <c r="R207" s="1509"/>
      <c r="S207" s="1509"/>
      <c r="T207" s="1509"/>
      <c r="U207" s="1469">
        <v>23</v>
      </c>
      <c r="V207" s="1486" t="s">
        <v>33</v>
      </c>
      <c r="W207" s="1471" t="s">
        <v>1306</v>
      </c>
      <c r="X207" s="1472" t="s">
        <v>72</v>
      </c>
      <c r="Y207" s="1473" t="s">
        <v>1306</v>
      </c>
      <c r="Z207" s="1504" t="s">
        <v>1433</v>
      </c>
      <c r="AA207" s="1473" t="s">
        <v>1306</v>
      </c>
      <c r="AB207" s="1486" t="s">
        <v>33</v>
      </c>
      <c r="AC207" s="1499"/>
      <c r="AD207" s="1500"/>
      <c r="AE207" s="1501"/>
      <c r="AF207" s="1501"/>
      <c r="AG207" s="1457" t="str">
        <f t="shared" si="15"/>
        <v>23調査結果-屋上及び屋根-3（3）-調査結果</v>
      </c>
      <c r="AI207" s="1502"/>
      <c r="AJ207" s="1502"/>
      <c r="AK207" s="1502"/>
      <c r="AL207" s="1508"/>
      <c r="AM207" s="1508"/>
      <c r="AN207" s="1508"/>
      <c r="AO207" s="1508"/>
    </row>
    <row r="208" spans="1:41" ht="18.75" customHeight="1" x14ac:dyDescent="0.15">
      <c r="A208" s="1586"/>
      <c r="B208" s="1509"/>
      <c r="C208" s="1509"/>
      <c r="D208" s="1460">
        <f>'1_入力シート【基本情報】'!$AR$366</f>
        <v>0</v>
      </c>
      <c r="E208" s="1674">
        <f t="shared" si="12"/>
        <v>0</v>
      </c>
      <c r="F208" s="1674" t="str">
        <f t="shared" si="13"/>
        <v>0</v>
      </c>
      <c r="G208" s="1674" t="str">
        <f t="shared" si="14"/>
        <v>0</v>
      </c>
      <c r="H208" s="1542"/>
      <c r="I208" s="1509"/>
      <c r="J208" s="1535"/>
      <c r="K208" s="1509"/>
      <c r="L208" s="1509"/>
      <c r="M208" s="1509"/>
      <c r="N208" s="1509"/>
      <c r="O208" s="1509"/>
      <c r="P208" s="1509"/>
      <c r="Q208" s="1509"/>
      <c r="R208" s="1509"/>
      <c r="S208" s="1509"/>
      <c r="T208" s="1509"/>
      <c r="U208" s="1469">
        <v>23</v>
      </c>
      <c r="V208" s="1486" t="s">
        <v>33</v>
      </c>
      <c r="W208" s="1471" t="s">
        <v>1306</v>
      </c>
      <c r="X208" s="1472" t="s">
        <v>72</v>
      </c>
      <c r="Y208" s="1473" t="s">
        <v>1306</v>
      </c>
      <c r="Z208" s="1504" t="s">
        <v>1433</v>
      </c>
      <c r="AA208" s="1473" t="s">
        <v>1306</v>
      </c>
      <c r="AB208" s="1486" t="s">
        <v>30</v>
      </c>
      <c r="AC208" s="1499"/>
      <c r="AD208" s="1500"/>
      <c r="AE208" s="1501"/>
      <c r="AF208" s="1501"/>
      <c r="AG208" s="1457" t="str">
        <f t="shared" si="15"/>
        <v>23調査結果-屋上及び屋根-3（3）-調査者番号</v>
      </c>
      <c r="AI208" s="1502"/>
      <c r="AJ208" s="1502"/>
      <c r="AK208" s="1502"/>
      <c r="AL208" s="1508"/>
      <c r="AM208" s="1508"/>
      <c r="AN208" s="1508"/>
      <c r="AO208" s="1508"/>
    </row>
    <row r="209" spans="1:41" ht="18.75" customHeight="1" x14ac:dyDescent="0.15">
      <c r="A209" s="1586"/>
      <c r="B209" s="1509"/>
      <c r="C209" s="1509"/>
      <c r="D209" s="1460">
        <f>'1_入力シート【基本情報】'!$AT$366</f>
        <v>0</v>
      </c>
      <c r="E209" s="1674">
        <f t="shared" si="12"/>
        <v>0</v>
      </c>
      <c r="F209" s="1674" t="str">
        <f t="shared" si="13"/>
        <v>0</v>
      </c>
      <c r="G209" s="1674" t="str">
        <f t="shared" si="14"/>
        <v>0</v>
      </c>
      <c r="H209" s="1542"/>
      <c r="I209" s="1509"/>
      <c r="J209" s="1535"/>
      <c r="K209" s="1509"/>
      <c r="L209" s="1509"/>
      <c r="M209" s="1509"/>
      <c r="N209" s="1509"/>
      <c r="O209" s="1509"/>
      <c r="P209" s="1509"/>
      <c r="Q209" s="1509"/>
      <c r="R209" s="1509"/>
      <c r="S209" s="1509"/>
      <c r="T209" s="1509"/>
      <c r="U209" s="1469">
        <v>23</v>
      </c>
      <c r="V209" s="1486" t="s">
        <v>33</v>
      </c>
      <c r="W209" s="1471" t="s">
        <v>1306</v>
      </c>
      <c r="X209" s="1472" t="s">
        <v>72</v>
      </c>
      <c r="Y209" s="1473" t="s">
        <v>1306</v>
      </c>
      <c r="Z209" s="1504" t="s">
        <v>1433</v>
      </c>
      <c r="AA209" s="1473" t="s">
        <v>1306</v>
      </c>
      <c r="AB209" s="1486" t="s">
        <v>1402</v>
      </c>
      <c r="AC209" s="1499"/>
      <c r="AD209" s="1500"/>
      <c r="AE209" s="1501"/>
      <c r="AF209" s="1501"/>
      <c r="AG209" s="1457" t="str">
        <f t="shared" si="15"/>
        <v>23調査結果-屋上及び屋根-3（3）-指摘の具体的内容等</v>
      </c>
      <c r="AI209" s="1502"/>
      <c r="AJ209" s="1502"/>
      <c r="AK209" s="1502"/>
      <c r="AL209" s="1508"/>
      <c r="AM209" s="1508"/>
      <c r="AN209" s="1508"/>
      <c r="AO209" s="1508"/>
    </row>
    <row r="210" spans="1:41" ht="18.75" customHeight="1" x14ac:dyDescent="0.15">
      <c r="A210" s="1586"/>
      <c r="B210" s="1509"/>
      <c r="C210" s="1509"/>
      <c r="D210" s="1460">
        <f>'1_入力シート【基本情報】'!$BD$366</f>
        <v>0</v>
      </c>
      <c r="E210" s="1674">
        <f t="shared" si="12"/>
        <v>0</v>
      </c>
      <c r="F210" s="1674" t="str">
        <f t="shared" si="13"/>
        <v>0</v>
      </c>
      <c r="G210" s="1674" t="str">
        <f t="shared" si="14"/>
        <v>0</v>
      </c>
      <c r="H210" s="1542"/>
      <c r="I210" s="1509"/>
      <c r="J210" s="1535"/>
      <c r="K210" s="1509"/>
      <c r="L210" s="1509"/>
      <c r="M210" s="1509"/>
      <c r="N210" s="1509"/>
      <c r="O210" s="1509"/>
      <c r="P210" s="1509"/>
      <c r="Q210" s="1509"/>
      <c r="R210" s="1509"/>
      <c r="S210" s="1509"/>
      <c r="T210" s="1509"/>
      <c r="U210" s="1469">
        <v>23</v>
      </c>
      <c r="V210" s="1486" t="s">
        <v>33</v>
      </c>
      <c r="W210" s="1471" t="s">
        <v>1306</v>
      </c>
      <c r="X210" s="1472" t="s">
        <v>72</v>
      </c>
      <c r="Y210" s="1473" t="s">
        <v>1306</v>
      </c>
      <c r="Z210" s="1504" t="s">
        <v>1433</v>
      </c>
      <c r="AA210" s="1473" t="s">
        <v>1306</v>
      </c>
      <c r="AB210" s="1470" t="s">
        <v>1403</v>
      </c>
      <c r="AC210" s="1499"/>
      <c r="AD210" s="1500"/>
      <c r="AE210" s="1501"/>
      <c r="AF210" s="1501"/>
      <c r="AG210" s="1457" t="str">
        <f t="shared" si="15"/>
        <v>23調査結果-屋上及び屋根-3（3）-改善策の具体的内容等</v>
      </c>
      <c r="AI210" s="1502"/>
      <c r="AJ210" s="1502"/>
      <c r="AK210" s="1502"/>
      <c r="AL210" s="1508"/>
      <c r="AM210" s="1508"/>
      <c r="AN210" s="1508"/>
      <c r="AO210" s="1508"/>
    </row>
    <row r="211" spans="1:41" ht="18.75" customHeight="1" x14ac:dyDescent="0.15">
      <c r="A211" s="1586"/>
      <c r="B211" s="1509"/>
      <c r="C211" s="1509"/>
      <c r="D211" s="1460">
        <f>'1_入力シート【基本情報】'!$BS$366</f>
        <v>0</v>
      </c>
      <c r="E211" s="1674">
        <f t="shared" si="12"/>
        <v>0</v>
      </c>
      <c r="F211" s="1674" t="str">
        <f t="shared" si="13"/>
        <v>0</v>
      </c>
      <c r="G211" s="1674" t="str">
        <f t="shared" si="14"/>
        <v>0</v>
      </c>
      <c r="H211" s="1542"/>
      <c r="I211" s="1509"/>
      <c r="J211" s="1535"/>
      <c r="K211" s="1509"/>
      <c r="L211" s="1509"/>
      <c r="M211" s="1509"/>
      <c r="N211" s="1509"/>
      <c r="O211" s="1509"/>
      <c r="P211" s="1509"/>
      <c r="Q211" s="1509"/>
      <c r="R211" s="1509"/>
      <c r="S211" s="1509"/>
      <c r="T211" s="1509"/>
      <c r="U211" s="1469">
        <v>23</v>
      </c>
      <c r="V211" s="1486" t="s">
        <v>33</v>
      </c>
      <c r="W211" s="1471" t="s">
        <v>1306</v>
      </c>
      <c r="X211" s="1472" t="s">
        <v>72</v>
      </c>
      <c r="Y211" s="1473" t="s">
        <v>1306</v>
      </c>
      <c r="Z211" s="1504" t="s">
        <v>1433</v>
      </c>
      <c r="AA211" s="1473" t="s">
        <v>1306</v>
      </c>
      <c r="AB211" s="1470" t="s">
        <v>352</v>
      </c>
      <c r="AC211" s="1499" t="s">
        <v>1366</v>
      </c>
      <c r="AD211" s="1500" t="s">
        <v>1387</v>
      </c>
      <c r="AE211" s="1501"/>
      <c r="AF211" s="1501"/>
      <c r="AG211" s="1457" t="str">
        <f t="shared" si="15"/>
        <v>23調査結果-屋上及び屋根-3（3）-改善（予定）年月-年（令和）</v>
      </c>
      <c r="AI211" s="1502"/>
      <c r="AJ211" s="1502"/>
      <c r="AK211" s="1502"/>
      <c r="AL211" s="1508"/>
      <c r="AM211" s="1508"/>
      <c r="AN211" s="1508"/>
      <c r="AO211" s="1508"/>
    </row>
    <row r="212" spans="1:41" ht="18.75" customHeight="1" x14ac:dyDescent="0.15">
      <c r="A212" s="1586"/>
      <c r="B212" s="1509"/>
      <c r="C212" s="1509"/>
      <c r="D212" s="1460">
        <f>'1_入力シート【基本情報】'!$BV$366</f>
        <v>0</v>
      </c>
      <c r="E212" s="1674">
        <f t="shared" si="12"/>
        <v>0</v>
      </c>
      <c r="F212" s="1674" t="str">
        <f t="shared" si="13"/>
        <v>0</v>
      </c>
      <c r="G212" s="1674" t="str">
        <f t="shared" si="14"/>
        <v>0</v>
      </c>
      <c r="H212" s="1542"/>
      <c r="I212" s="1509"/>
      <c r="J212" s="1535"/>
      <c r="K212" s="1509"/>
      <c r="L212" s="1509"/>
      <c r="M212" s="1509"/>
      <c r="N212" s="1509"/>
      <c r="O212" s="1509"/>
      <c r="P212" s="1509"/>
      <c r="Q212" s="1509"/>
      <c r="R212" s="1509"/>
      <c r="S212" s="1509"/>
      <c r="T212" s="1509"/>
      <c r="U212" s="1469">
        <v>23</v>
      </c>
      <c r="V212" s="1486" t="s">
        <v>33</v>
      </c>
      <c r="W212" s="1471" t="s">
        <v>1306</v>
      </c>
      <c r="X212" s="1472" t="s">
        <v>72</v>
      </c>
      <c r="Y212" s="1473" t="s">
        <v>1306</v>
      </c>
      <c r="Z212" s="1504" t="s">
        <v>1433</v>
      </c>
      <c r="AA212" s="1473" t="s">
        <v>1306</v>
      </c>
      <c r="AB212" s="1470" t="s">
        <v>352</v>
      </c>
      <c r="AC212" s="1499" t="s">
        <v>1366</v>
      </c>
      <c r="AD212" s="1500" t="s">
        <v>348</v>
      </c>
      <c r="AE212" s="1501"/>
      <c r="AF212" s="1501"/>
      <c r="AG212" s="1457" t="str">
        <f t="shared" si="15"/>
        <v>23調査結果-屋上及び屋根-3（3）-改善（予定）年月-月</v>
      </c>
      <c r="AI212" s="1502"/>
      <c r="AJ212" s="1502"/>
      <c r="AK212" s="1502"/>
      <c r="AL212" s="1508"/>
      <c r="AM212" s="1508"/>
      <c r="AN212" s="1508"/>
      <c r="AO212" s="1508"/>
    </row>
    <row r="213" spans="1:41" ht="18.75" customHeight="1" x14ac:dyDescent="0.15">
      <c r="A213" s="1586"/>
      <c r="B213" s="1509"/>
      <c r="C213" s="1509"/>
      <c r="D213" s="1460">
        <f>'1_入力シート【基本情報】'!$BY$366</f>
        <v>0</v>
      </c>
      <c r="E213" s="1674">
        <f t="shared" si="12"/>
        <v>0</v>
      </c>
      <c r="F213" s="1674" t="str">
        <f t="shared" si="13"/>
        <v>0</v>
      </c>
      <c r="G213" s="1674" t="str">
        <f t="shared" si="14"/>
        <v>0</v>
      </c>
      <c r="H213" s="1542"/>
      <c r="I213" s="1509"/>
      <c r="J213" s="1535"/>
      <c r="K213" s="1509"/>
      <c r="L213" s="1509"/>
      <c r="M213" s="1509"/>
      <c r="N213" s="1509"/>
      <c r="O213" s="1509"/>
      <c r="P213" s="1509"/>
      <c r="Q213" s="1509"/>
      <c r="R213" s="1509"/>
      <c r="S213" s="1509"/>
      <c r="T213" s="1509"/>
      <c r="U213" s="1469">
        <v>23</v>
      </c>
      <c r="V213" s="1486" t="s">
        <v>33</v>
      </c>
      <c r="W213" s="1471" t="s">
        <v>1306</v>
      </c>
      <c r="X213" s="1472" t="s">
        <v>72</v>
      </c>
      <c r="Y213" s="1473" t="s">
        <v>1306</v>
      </c>
      <c r="Z213" s="1504" t="s">
        <v>1433</v>
      </c>
      <c r="AA213" s="1473" t="s">
        <v>1306</v>
      </c>
      <c r="AB213" s="1470" t="s">
        <v>352</v>
      </c>
      <c r="AC213" s="1499" t="s">
        <v>1366</v>
      </c>
      <c r="AD213" s="1500" t="s">
        <v>640</v>
      </c>
      <c r="AE213" s="1501"/>
      <c r="AF213" s="1501"/>
      <c r="AG213" s="1457" t="str">
        <f t="shared" si="15"/>
        <v>23調査結果-屋上及び屋根-3（3）-改善（予定）年月-未定</v>
      </c>
      <c r="AI213" s="1502"/>
      <c r="AJ213" s="1502"/>
      <c r="AK213" s="1502"/>
      <c r="AL213" s="1508"/>
      <c r="AM213" s="1508"/>
      <c r="AN213" s="1508"/>
      <c r="AO213" s="1508"/>
    </row>
    <row r="214" spans="1:41" ht="18.75" customHeight="1" x14ac:dyDescent="0.15">
      <c r="A214" s="1586"/>
      <c r="B214" s="1509"/>
      <c r="C214" s="1509"/>
      <c r="D214" s="1460">
        <f>'1_入力シート【基本情報】'!$AF$367</f>
        <v>0</v>
      </c>
      <c r="E214" s="1674">
        <f t="shared" si="12"/>
        <v>0</v>
      </c>
      <c r="F214" s="1674" t="str">
        <f t="shared" si="13"/>
        <v>0</v>
      </c>
      <c r="G214" s="1674" t="str">
        <f t="shared" si="14"/>
        <v>0</v>
      </c>
      <c r="H214" s="1542"/>
      <c r="I214" s="1509"/>
      <c r="J214" s="1535"/>
      <c r="K214" s="1509"/>
      <c r="L214" s="1509"/>
      <c r="M214" s="1509"/>
      <c r="N214" s="1509"/>
      <c r="O214" s="1509"/>
      <c r="P214" s="1509"/>
      <c r="Q214" s="1509"/>
      <c r="R214" s="1509"/>
      <c r="S214" s="1509"/>
      <c r="T214" s="1509"/>
      <c r="U214" s="1469">
        <v>23</v>
      </c>
      <c r="V214" s="1486" t="s">
        <v>33</v>
      </c>
      <c r="W214" s="1471" t="s">
        <v>1306</v>
      </c>
      <c r="X214" s="1472" t="s">
        <v>72</v>
      </c>
      <c r="Y214" s="1473" t="s">
        <v>1306</v>
      </c>
      <c r="Z214" s="1504" t="s">
        <v>1434</v>
      </c>
      <c r="AA214" s="1473" t="s">
        <v>1306</v>
      </c>
      <c r="AB214" s="1486" t="s">
        <v>33</v>
      </c>
      <c r="AC214" s="1499"/>
      <c r="AD214" s="1500"/>
      <c r="AE214" s="1501"/>
      <c r="AF214" s="1501"/>
      <c r="AG214" s="1457" t="str">
        <f t="shared" si="15"/>
        <v>23調査結果-屋上及び屋根-3（4）-調査結果</v>
      </c>
      <c r="AI214" s="1502"/>
      <c r="AJ214" s="1502"/>
      <c r="AK214" s="1502"/>
      <c r="AL214" s="1508"/>
      <c r="AM214" s="1508"/>
      <c r="AN214" s="1508"/>
      <c r="AO214" s="1508"/>
    </row>
    <row r="215" spans="1:41" ht="18.75" customHeight="1" x14ac:dyDescent="0.15">
      <c r="A215" s="1586"/>
      <c r="B215" s="1509"/>
      <c r="C215" s="1509"/>
      <c r="D215" s="1460">
        <f>'1_入力シート【基本情報】'!$AR$367</f>
        <v>0</v>
      </c>
      <c r="E215" s="1674">
        <f t="shared" si="12"/>
        <v>0</v>
      </c>
      <c r="F215" s="1674" t="str">
        <f t="shared" si="13"/>
        <v>0</v>
      </c>
      <c r="G215" s="1674" t="str">
        <f t="shared" si="14"/>
        <v>0</v>
      </c>
      <c r="H215" s="1542"/>
      <c r="I215" s="1509"/>
      <c r="J215" s="1535"/>
      <c r="K215" s="1509"/>
      <c r="L215" s="1509"/>
      <c r="M215" s="1509"/>
      <c r="N215" s="1509"/>
      <c r="O215" s="1509"/>
      <c r="P215" s="1509"/>
      <c r="Q215" s="1509"/>
      <c r="R215" s="1509"/>
      <c r="S215" s="1509"/>
      <c r="T215" s="1509"/>
      <c r="U215" s="1469">
        <v>23</v>
      </c>
      <c r="V215" s="1486" t="s">
        <v>33</v>
      </c>
      <c r="W215" s="1471" t="s">
        <v>1306</v>
      </c>
      <c r="X215" s="1472" t="s">
        <v>72</v>
      </c>
      <c r="Y215" s="1473" t="s">
        <v>1306</v>
      </c>
      <c r="Z215" s="1504" t="s">
        <v>1434</v>
      </c>
      <c r="AA215" s="1473" t="s">
        <v>1306</v>
      </c>
      <c r="AB215" s="1470" t="s">
        <v>30</v>
      </c>
      <c r="AC215" s="1499"/>
      <c r="AD215" s="1500"/>
      <c r="AE215" s="1501"/>
      <c r="AF215" s="1501"/>
      <c r="AG215" s="1457" t="str">
        <f t="shared" si="15"/>
        <v>23調査結果-屋上及び屋根-3（4）-調査者番号</v>
      </c>
      <c r="AI215" s="1502"/>
      <c r="AJ215" s="1502"/>
      <c r="AK215" s="1502"/>
      <c r="AL215" s="1508"/>
      <c r="AM215" s="1508"/>
      <c r="AN215" s="1508"/>
      <c r="AO215" s="1508"/>
    </row>
    <row r="216" spans="1:41" ht="18.75" customHeight="1" x14ac:dyDescent="0.15">
      <c r="A216" s="1586"/>
      <c r="B216" s="1509"/>
      <c r="C216" s="1509"/>
      <c r="D216" s="1460">
        <f>'1_入力シート【基本情報】'!$AT$367</f>
        <v>0</v>
      </c>
      <c r="E216" s="1674">
        <f t="shared" si="12"/>
        <v>0</v>
      </c>
      <c r="F216" s="1674" t="str">
        <f t="shared" si="13"/>
        <v>0</v>
      </c>
      <c r="G216" s="1674" t="str">
        <f t="shared" si="14"/>
        <v>0</v>
      </c>
      <c r="H216" s="1542"/>
      <c r="I216" s="1509"/>
      <c r="J216" s="1535"/>
      <c r="K216" s="1509"/>
      <c r="L216" s="1509"/>
      <c r="M216" s="1509"/>
      <c r="N216" s="1509"/>
      <c r="O216" s="1509"/>
      <c r="P216" s="1509"/>
      <c r="Q216" s="1509"/>
      <c r="R216" s="1509"/>
      <c r="S216" s="1509"/>
      <c r="T216" s="1509"/>
      <c r="U216" s="1469">
        <v>23</v>
      </c>
      <c r="V216" s="1486" t="s">
        <v>33</v>
      </c>
      <c r="W216" s="1471" t="s">
        <v>1306</v>
      </c>
      <c r="X216" s="1472" t="s">
        <v>72</v>
      </c>
      <c r="Y216" s="1473" t="s">
        <v>1306</v>
      </c>
      <c r="Z216" s="1504" t="s">
        <v>1434</v>
      </c>
      <c r="AA216" s="1473" t="s">
        <v>1306</v>
      </c>
      <c r="AB216" s="1470" t="s">
        <v>1402</v>
      </c>
      <c r="AC216" s="1499"/>
      <c r="AD216" s="1500"/>
      <c r="AE216" s="1501"/>
      <c r="AF216" s="1501"/>
      <c r="AG216" s="1457" t="str">
        <f t="shared" si="15"/>
        <v>23調査結果-屋上及び屋根-3（4）-指摘の具体的内容等</v>
      </c>
      <c r="AI216" s="1502"/>
      <c r="AJ216" s="1502"/>
      <c r="AK216" s="1502"/>
      <c r="AL216" s="1508"/>
      <c r="AM216" s="1508"/>
      <c r="AN216" s="1508"/>
      <c r="AO216" s="1508"/>
    </row>
    <row r="217" spans="1:41" ht="18.75" customHeight="1" x14ac:dyDescent="0.15">
      <c r="A217" s="1586"/>
      <c r="B217" s="1509"/>
      <c r="C217" s="1509"/>
      <c r="D217" s="1460">
        <f>'1_入力シート【基本情報】'!$BD$367</f>
        <v>0</v>
      </c>
      <c r="E217" s="1674">
        <f t="shared" si="12"/>
        <v>0</v>
      </c>
      <c r="F217" s="1674" t="str">
        <f t="shared" si="13"/>
        <v>0</v>
      </c>
      <c r="G217" s="1674" t="str">
        <f t="shared" si="14"/>
        <v>0</v>
      </c>
      <c r="H217" s="1542"/>
      <c r="I217" s="1509"/>
      <c r="J217" s="1535"/>
      <c r="K217" s="1509"/>
      <c r="L217" s="1509"/>
      <c r="M217" s="1509"/>
      <c r="N217" s="1509"/>
      <c r="O217" s="1509"/>
      <c r="P217" s="1509"/>
      <c r="Q217" s="1509"/>
      <c r="R217" s="1509"/>
      <c r="S217" s="1509"/>
      <c r="T217" s="1509"/>
      <c r="U217" s="1469">
        <v>23</v>
      </c>
      <c r="V217" s="1486" t="s">
        <v>33</v>
      </c>
      <c r="W217" s="1471" t="s">
        <v>1306</v>
      </c>
      <c r="X217" s="1472" t="s">
        <v>72</v>
      </c>
      <c r="Y217" s="1473" t="s">
        <v>1306</v>
      </c>
      <c r="Z217" s="1504" t="s">
        <v>1434</v>
      </c>
      <c r="AA217" s="1473" t="s">
        <v>1306</v>
      </c>
      <c r="AB217" s="1470" t="s">
        <v>1403</v>
      </c>
      <c r="AC217" s="1499"/>
      <c r="AD217" s="1500"/>
      <c r="AE217" s="1501"/>
      <c r="AF217" s="1501"/>
      <c r="AG217" s="1457" t="str">
        <f t="shared" si="15"/>
        <v>23調査結果-屋上及び屋根-3（4）-改善策の具体的内容等</v>
      </c>
      <c r="AI217" s="1502"/>
      <c r="AJ217" s="1502"/>
      <c r="AK217" s="1502"/>
      <c r="AL217" s="1508"/>
      <c r="AM217" s="1508"/>
      <c r="AN217" s="1508"/>
      <c r="AO217" s="1508"/>
    </row>
    <row r="218" spans="1:41" ht="18.75" customHeight="1" x14ac:dyDescent="0.15">
      <c r="A218" s="1586"/>
      <c r="B218" s="1509"/>
      <c r="C218" s="1509"/>
      <c r="D218" s="1460">
        <f>'1_入力シート【基本情報】'!$BS$367</f>
        <v>0</v>
      </c>
      <c r="E218" s="1674">
        <f t="shared" si="12"/>
        <v>0</v>
      </c>
      <c r="F218" s="1674" t="str">
        <f t="shared" si="13"/>
        <v>0</v>
      </c>
      <c r="G218" s="1674" t="str">
        <f t="shared" si="14"/>
        <v>0</v>
      </c>
      <c r="H218" s="1542"/>
      <c r="I218" s="1509"/>
      <c r="J218" s="1535"/>
      <c r="K218" s="1509"/>
      <c r="L218" s="1509"/>
      <c r="M218" s="1509"/>
      <c r="N218" s="1509"/>
      <c r="O218" s="1509"/>
      <c r="P218" s="1509"/>
      <c r="Q218" s="1509"/>
      <c r="R218" s="1509"/>
      <c r="S218" s="1509"/>
      <c r="T218" s="1509"/>
      <c r="U218" s="1469">
        <v>23</v>
      </c>
      <c r="V218" s="1486" t="s">
        <v>33</v>
      </c>
      <c r="W218" s="1471" t="s">
        <v>1306</v>
      </c>
      <c r="X218" s="1472" t="s">
        <v>72</v>
      </c>
      <c r="Y218" s="1473" t="s">
        <v>1306</v>
      </c>
      <c r="Z218" s="1504" t="s">
        <v>1434</v>
      </c>
      <c r="AA218" s="1473" t="s">
        <v>1306</v>
      </c>
      <c r="AB218" s="1470" t="s">
        <v>352</v>
      </c>
      <c r="AC218" s="1499" t="s">
        <v>1366</v>
      </c>
      <c r="AD218" s="1500" t="s">
        <v>1387</v>
      </c>
      <c r="AE218" s="1501"/>
      <c r="AF218" s="1501"/>
      <c r="AG218" s="1457" t="str">
        <f t="shared" si="15"/>
        <v>23調査結果-屋上及び屋根-3（4）-改善（予定）年月-年（令和）</v>
      </c>
      <c r="AI218" s="1502"/>
      <c r="AJ218" s="1502"/>
      <c r="AK218" s="1502"/>
      <c r="AL218" s="1508"/>
      <c r="AM218" s="1508"/>
      <c r="AN218" s="1508"/>
      <c r="AO218" s="1508"/>
    </row>
    <row r="219" spans="1:41" ht="18.75" customHeight="1" x14ac:dyDescent="0.15">
      <c r="A219" s="1586"/>
      <c r="B219" s="1509"/>
      <c r="C219" s="1509"/>
      <c r="D219" s="1460">
        <f>'1_入力シート【基本情報】'!$BV$367</f>
        <v>0</v>
      </c>
      <c r="E219" s="1674">
        <f t="shared" ref="E219:E282" si="16">D219</f>
        <v>0</v>
      </c>
      <c r="F219" s="1674" t="str">
        <f t="shared" ref="F219:F282" si="17">SUBSTITUTE(E219,CHAR(10),"")</f>
        <v>0</v>
      </c>
      <c r="G219" s="1674" t="str">
        <f t="shared" ref="G219:G282" si="18">TRIM(F219)</f>
        <v>0</v>
      </c>
      <c r="H219" s="1542"/>
      <c r="I219" s="1509"/>
      <c r="J219" s="1535"/>
      <c r="K219" s="1509"/>
      <c r="L219" s="1509"/>
      <c r="M219" s="1509"/>
      <c r="N219" s="1509"/>
      <c r="O219" s="1509"/>
      <c r="P219" s="1509"/>
      <c r="Q219" s="1509"/>
      <c r="R219" s="1509"/>
      <c r="S219" s="1509"/>
      <c r="T219" s="1509"/>
      <c r="U219" s="1469">
        <v>23</v>
      </c>
      <c r="V219" s="1486" t="s">
        <v>33</v>
      </c>
      <c r="W219" s="1471" t="s">
        <v>1306</v>
      </c>
      <c r="X219" s="1472" t="s">
        <v>72</v>
      </c>
      <c r="Y219" s="1473" t="s">
        <v>1306</v>
      </c>
      <c r="Z219" s="1504" t="s">
        <v>1434</v>
      </c>
      <c r="AA219" s="1473" t="s">
        <v>1306</v>
      </c>
      <c r="AB219" s="1486" t="s">
        <v>352</v>
      </c>
      <c r="AC219" s="1499" t="s">
        <v>1366</v>
      </c>
      <c r="AD219" s="1500" t="s">
        <v>348</v>
      </c>
      <c r="AE219" s="1501"/>
      <c r="AF219" s="1501"/>
      <c r="AG219" s="1457" t="str">
        <f t="shared" si="15"/>
        <v>23調査結果-屋上及び屋根-3（4）-改善（予定）年月-月</v>
      </c>
      <c r="AI219" s="1502"/>
      <c r="AJ219" s="1502"/>
      <c r="AK219" s="1502"/>
      <c r="AL219" s="1508"/>
      <c r="AM219" s="1508"/>
      <c r="AN219" s="1508"/>
      <c r="AO219" s="1508"/>
    </row>
    <row r="220" spans="1:41" ht="18.75" customHeight="1" x14ac:dyDescent="0.15">
      <c r="A220" s="1586"/>
      <c r="B220" s="1509"/>
      <c r="C220" s="1509"/>
      <c r="D220" s="1460">
        <f>'1_入力シート【基本情報】'!$BY$367</f>
        <v>0</v>
      </c>
      <c r="E220" s="1674">
        <f t="shared" si="16"/>
        <v>0</v>
      </c>
      <c r="F220" s="1674" t="str">
        <f t="shared" si="17"/>
        <v>0</v>
      </c>
      <c r="G220" s="1674" t="str">
        <f t="shared" si="18"/>
        <v>0</v>
      </c>
      <c r="H220" s="1542"/>
      <c r="I220" s="1509"/>
      <c r="J220" s="1535"/>
      <c r="K220" s="1509"/>
      <c r="L220" s="1509"/>
      <c r="M220" s="1509"/>
      <c r="N220" s="1509"/>
      <c r="O220" s="1509"/>
      <c r="P220" s="1509"/>
      <c r="Q220" s="1509"/>
      <c r="R220" s="1509"/>
      <c r="S220" s="1509"/>
      <c r="T220" s="1509"/>
      <c r="U220" s="1469">
        <v>23</v>
      </c>
      <c r="V220" s="1486" t="s">
        <v>33</v>
      </c>
      <c r="W220" s="1471" t="s">
        <v>1306</v>
      </c>
      <c r="X220" s="1472" t="s">
        <v>72</v>
      </c>
      <c r="Y220" s="1473" t="s">
        <v>1306</v>
      </c>
      <c r="Z220" s="1504" t="s">
        <v>1434</v>
      </c>
      <c r="AA220" s="1473" t="s">
        <v>1306</v>
      </c>
      <c r="AB220" s="1486" t="s">
        <v>352</v>
      </c>
      <c r="AC220" s="1499" t="s">
        <v>1366</v>
      </c>
      <c r="AD220" s="1500" t="s">
        <v>640</v>
      </c>
      <c r="AE220" s="1501"/>
      <c r="AF220" s="1501"/>
      <c r="AG220" s="1457" t="str">
        <f t="shared" si="15"/>
        <v>23調査結果-屋上及び屋根-3（4）-改善（予定）年月-未定</v>
      </c>
      <c r="AI220" s="1502"/>
      <c r="AJ220" s="1502"/>
      <c r="AK220" s="1502"/>
      <c r="AL220" s="1508"/>
      <c r="AM220" s="1508"/>
      <c r="AN220" s="1508"/>
      <c r="AO220" s="1508"/>
    </row>
    <row r="221" spans="1:41" ht="18.75" customHeight="1" x14ac:dyDescent="0.15">
      <c r="A221" s="1586"/>
      <c r="B221" s="1509"/>
      <c r="C221" s="1509"/>
      <c r="D221" s="1460">
        <f>'1_入力シート【基本情報】'!$AF$368</f>
        <v>0</v>
      </c>
      <c r="E221" s="1674">
        <f t="shared" si="16"/>
        <v>0</v>
      </c>
      <c r="F221" s="1674" t="str">
        <f t="shared" si="17"/>
        <v>0</v>
      </c>
      <c r="G221" s="1674" t="str">
        <f t="shared" si="18"/>
        <v>0</v>
      </c>
      <c r="H221" s="1542"/>
      <c r="I221" s="1509"/>
      <c r="J221" s="1535"/>
      <c r="K221" s="1509"/>
      <c r="L221" s="1509"/>
      <c r="M221" s="1509"/>
      <c r="N221" s="1509"/>
      <c r="O221" s="1509"/>
      <c r="P221" s="1509"/>
      <c r="Q221" s="1509"/>
      <c r="R221" s="1509"/>
      <c r="S221" s="1509"/>
      <c r="T221" s="1509"/>
      <c r="U221" s="1469">
        <v>23</v>
      </c>
      <c r="V221" s="1486" t="s">
        <v>33</v>
      </c>
      <c r="W221" s="1471" t="s">
        <v>1306</v>
      </c>
      <c r="X221" s="1472" t="s">
        <v>72</v>
      </c>
      <c r="Y221" s="1473" t="s">
        <v>1306</v>
      </c>
      <c r="Z221" s="1504" t="s">
        <v>1435</v>
      </c>
      <c r="AA221" s="1473" t="s">
        <v>1306</v>
      </c>
      <c r="AB221" s="1486" t="s">
        <v>33</v>
      </c>
      <c r="AC221" s="1499"/>
      <c r="AD221" s="1500"/>
      <c r="AE221" s="1501"/>
      <c r="AF221" s="1501"/>
      <c r="AG221" s="1457" t="str">
        <f t="shared" si="15"/>
        <v>23調査結果-屋上及び屋根-3（5）-調査結果</v>
      </c>
      <c r="AI221" s="1502"/>
      <c r="AJ221" s="1502"/>
      <c r="AK221" s="1502"/>
      <c r="AL221" s="1508"/>
      <c r="AM221" s="1508"/>
      <c r="AN221" s="1508"/>
      <c r="AO221" s="1508"/>
    </row>
    <row r="222" spans="1:41" ht="18.75" customHeight="1" x14ac:dyDescent="0.15">
      <c r="A222" s="1586"/>
      <c r="B222" s="1509"/>
      <c r="C222" s="1509"/>
      <c r="D222" s="1460">
        <f>'1_入力シート【基本情報】'!$AR$368</f>
        <v>0</v>
      </c>
      <c r="E222" s="1674">
        <f t="shared" si="16"/>
        <v>0</v>
      </c>
      <c r="F222" s="1674" t="str">
        <f t="shared" si="17"/>
        <v>0</v>
      </c>
      <c r="G222" s="1674" t="str">
        <f t="shared" si="18"/>
        <v>0</v>
      </c>
      <c r="H222" s="1542"/>
      <c r="I222" s="1509"/>
      <c r="J222" s="1535"/>
      <c r="K222" s="1509"/>
      <c r="L222" s="1509"/>
      <c r="M222" s="1509"/>
      <c r="N222" s="1509"/>
      <c r="O222" s="1509"/>
      <c r="P222" s="1509"/>
      <c r="Q222" s="1509"/>
      <c r="R222" s="1509"/>
      <c r="S222" s="1509"/>
      <c r="T222" s="1509"/>
      <c r="U222" s="1469">
        <v>23</v>
      </c>
      <c r="V222" s="1486" t="s">
        <v>33</v>
      </c>
      <c r="W222" s="1471" t="s">
        <v>1306</v>
      </c>
      <c r="X222" s="1472" t="s">
        <v>72</v>
      </c>
      <c r="Y222" s="1473" t="s">
        <v>1306</v>
      </c>
      <c r="Z222" s="1504" t="s">
        <v>1435</v>
      </c>
      <c r="AA222" s="1473" t="s">
        <v>1306</v>
      </c>
      <c r="AB222" s="1486" t="s">
        <v>30</v>
      </c>
      <c r="AC222" s="1499"/>
      <c r="AD222" s="1500"/>
      <c r="AE222" s="1501"/>
      <c r="AF222" s="1501"/>
      <c r="AG222" s="1457" t="str">
        <f t="shared" si="15"/>
        <v>23調査結果-屋上及び屋根-3（5）-調査者番号</v>
      </c>
      <c r="AI222" s="1502"/>
      <c r="AJ222" s="1502"/>
      <c r="AK222" s="1502"/>
      <c r="AL222" s="1508"/>
      <c r="AM222" s="1508"/>
      <c r="AN222" s="1508"/>
      <c r="AO222" s="1508"/>
    </row>
    <row r="223" spans="1:41" ht="18.75" customHeight="1" x14ac:dyDescent="0.15">
      <c r="A223" s="1586"/>
      <c r="B223" s="1509"/>
      <c r="C223" s="1509"/>
      <c r="D223" s="1460">
        <f>'1_入力シート【基本情報】'!$AT$368</f>
        <v>0</v>
      </c>
      <c r="E223" s="1674">
        <f t="shared" si="16"/>
        <v>0</v>
      </c>
      <c r="F223" s="1674" t="str">
        <f t="shared" si="17"/>
        <v>0</v>
      </c>
      <c r="G223" s="1674" t="str">
        <f t="shared" si="18"/>
        <v>0</v>
      </c>
      <c r="H223" s="1542"/>
      <c r="I223" s="1509"/>
      <c r="J223" s="1535"/>
      <c r="K223" s="1509"/>
      <c r="L223" s="1509"/>
      <c r="M223" s="1509"/>
      <c r="N223" s="1509"/>
      <c r="O223" s="1509"/>
      <c r="P223" s="1509"/>
      <c r="Q223" s="1509"/>
      <c r="R223" s="1509"/>
      <c r="S223" s="1509"/>
      <c r="T223" s="1509"/>
      <c r="U223" s="1469">
        <v>23</v>
      </c>
      <c r="V223" s="1486" t="s">
        <v>33</v>
      </c>
      <c r="W223" s="1471" t="s">
        <v>1306</v>
      </c>
      <c r="X223" s="1472" t="s">
        <v>72</v>
      </c>
      <c r="Y223" s="1473" t="s">
        <v>1306</v>
      </c>
      <c r="Z223" s="1504" t="s">
        <v>1435</v>
      </c>
      <c r="AA223" s="1473" t="s">
        <v>1306</v>
      </c>
      <c r="AB223" s="1470" t="s">
        <v>1402</v>
      </c>
      <c r="AC223" s="1499"/>
      <c r="AD223" s="1500"/>
      <c r="AE223" s="1501"/>
      <c r="AF223" s="1501"/>
      <c r="AG223" s="1457" t="str">
        <f t="shared" si="15"/>
        <v>23調査結果-屋上及び屋根-3（5）-指摘の具体的内容等</v>
      </c>
      <c r="AI223" s="1502"/>
      <c r="AJ223" s="1502"/>
      <c r="AK223" s="1502"/>
      <c r="AL223" s="1508"/>
      <c r="AM223" s="1508"/>
      <c r="AN223" s="1508"/>
      <c r="AO223" s="1508"/>
    </row>
    <row r="224" spans="1:41" ht="18.75" customHeight="1" x14ac:dyDescent="0.15">
      <c r="A224" s="1586"/>
      <c r="B224" s="1509"/>
      <c r="C224" s="1509"/>
      <c r="D224" s="1460">
        <f>'1_入力シート【基本情報】'!$BD$368</f>
        <v>0</v>
      </c>
      <c r="E224" s="1674">
        <f t="shared" si="16"/>
        <v>0</v>
      </c>
      <c r="F224" s="1674" t="str">
        <f t="shared" si="17"/>
        <v>0</v>
      </c>
      <c r="G224" s="1674" t="str">
        <f t="shared" si="18"/>
        <v>0</v>
      </c>
      <c r="H224" s="1542"/>
      <c r="I224" s="1509"/>
      <c r="J224" s="1535"/>
      <c r="K224" s="1509"/>
      <c r="L224" s="1509"/>
      <c r="M224" s="1509"/>
      <c r="N224" s="1509"/>
      <c r="O224" s="1509"/>
      <c r="P224" s="1509"/>
      <c r="Q224" s="1509"/>
      <c r="R224" s="1509"/>
      <c r="S224" s="1509"/>
      <c r="T224" s="1509"/>
      <c r="U224" s="1469">
        <v>23</v>
      </c>
      <c r="V224" s="1486" t="s">
        <v>33</v>
      </c>
      <c r="W224" s="1471" t="s">
        <v>1306</v>
      </c>
      <c r="X224" s="1472" t="s">
        <v>72</v>
      </c>
      <c r="Y224" s="1473" t="s">
        <v>1306</v>
      </c>
      <c r="Z224" s="1504" t="s">
        <v>1435</v>
      </c>
      <c r="AA224" s="1473" t="s">
        <v>1306</v>
      </c>
      <c r="AB224" s="1470" t="s">
        <v>1403</v>
      </c>
      <c r="AC224" s="1499"/>
      <c r="AD224" s="1500"/>
      <c r="AE224" s="1501"/>
      <c r="AF224" s="1501"/>
      <c r="AG224" s="1457" t="str">
        <f t="shared" si="15"/>
        <v>23調査結果-屋上及び屋根-3（5）-改善策の具体的内容等</v>
      </c>
      <c r="AI224" s="1502"/>
      <c r="AJ224" s="1502"/>
      <c r="AK224" s="1502"/>
      <c r="AL224" s="1508"/>
      <c r="AM224" s="1508"/>
      <c r="AN224" s="1508"/>
      <c r="AO224" s="1508"/>
    </row>
    <row r="225" spans="1:41" ht="18.75" customHeight="1" x14ac:dyDescent="0.15">
      <c r="A225" s="1586"/>
      <c r="B225" s="1509"/>
      <c r="C225" s="1509"/>
      <c r="D225" s="1460">
        <f>'1_入力シート【基本情報】'!$BS$368</f>
        <v>0</v>
      </c>
      <c r="E225" s="1674">
        <f t="shared" si="16"/>
        <v>0</v>
      </c>
      <c r="F225" s="1674" t="str">
        <f t="shared" si="17"/>
        <v>0</v>
      </c>
      <c r="G225" s="1674" t="str">
        <f t="shared" si="18"/>
        <v>0</v>
      </c>
      <c r="H225" s="1542"/>
      <c r="I225" s="1509"/>
      <c r="J225" s="1535"/>
      <c r="K225" s="1509"/>
      <c r="L225" s="1509"/>
      <c r="M225" s="1509"/>
      <c r="N225" s="1509"/>
      <c r="O225" s="1509"/>
      <c r="P225" s="1509"/>
      <c r="Q225" s="1509"/>
      <c r="R225" s="1509"/>
      <c r="S225" s="1509"/>
      <c r="T225" s="1509"/>
      <c r="U225" s="1469">
        <v>23</v>
      </c>
      <c r="V225" s="1486" t="s">
        <v>33</v>
      </c>
      <c r="W225" s="1471" t="s">
        <v>1306</v>
      </c>
      <c r="X225" s="1472" t="s">
        <v>72</v>
      </c>
      <c r="Y225" s="1473" t="s">
        <v>1306</v>
      </c>
      <c r="Z225" s="1504" t="s">
        <v>1435</v>
      </c>
      <c r="AA225" s="1473" t="s">
        <v>1306</v>
      </c>
      <c r="AB225" s="1470" t="s">
        <v>352</v>
      </c>
      <c r="AC225" s="1499" t="s">
        <v>1366</v>
      </c>
      <c r="AD225" s="1500" t="s">
        <v>1387</v>
      </c>
      <c r="AE225" s="1501"/>
      <c r="AF225" s="1501"/>
      <c r="AG225" s="1457" t="str">
        <f t="shared" si="15"/>
        <v>23調査結果-屋上及び屋根-3（5）-改善（予定）年月-年（令和）</v>
      </c>
      <c r="AI225" s="1502"/>
      <c r="AJ225" s="1502"/>
      <c r="AK225" s="1502"/>
      <c r="AL225" s="1508"/>
      <c r="AM225" s="1508"/>
      <c r="AN225" s="1508"/>
      <c r="AO225" s="1508"/>
    </row>
    <row r="226" spans="1:41" ht="18.75" customHeight="1" x14ac:dyDescent="0.15">
      <c r="A226" s="1586"/>
      <c r="B226" s="1509"/>
      <c r="C226" s="1509"/>
      <c r="D226" s="1460">
        <f>'1_入力シート【基本情報】'!$BV$368</f>
        <v>0</v>
      </c>
      <c r="E226" s="1674">
        <f t="shared" si="16"/>
        <v>0</v>
      </c>
      <c r="F226" s="1674" t="str">
        <f t="shared" si="17"/>
        <v>0</v>
      </c>
      <c r="G226" s="1674" t="str">
        <f t="shared" si="18"/>
        <v>0</v>
      </c>
      <c r="H226" s="1542"/>
      <c r="I226" s="1509"/>
      <c r="J226" s="1535"/>
      <c r="K226" s="1509"/>
      <c r="L226" s="1509"/>
      <c r="M226" s="1509"/>
      <c r="N226" s="1509"/>
      <c r="O226" s="1509"/>
      <c r="P226" s="1509"/>
      <c r="Q226" s="1509"/>
      <c r="R226" s="1509"/>
      <c r="S226" s="1509"/>
      <c r="T226" s="1509"/>
      <c r="U226" s="1469">
        <v>23</v>
      </c>
      <c r="V226" s="1486" t="s">
        <v>33</v>
      </c>
      <c r="W226" s="1471" t="s">
        <v>1306</v>
      </c>
      <c r="X226" s="1472" t="s">
        <v>72</v>
      </c>
      <c r="Y226" s="1473" t="s">
        <v>1306</v>
      </c>
      <c r="Z226" s="1504" t="s">
        <v>1435</v>
      </c>
      <c r="AA226" s="1473" t="s">
        <v>1306</v>
      </c>
      <c r="AB226" s="1470" t="s">
        <v>352</v>
      </c>
      <c r="AC226" s="1499" t="s">
        <v>1366</v>
      </c>
      <c r="AD226" s="1500" t="s">
        <v>348</v>
      </c>
      <c r="AE226" s="1501"/>
      <c r="AF226" s="1501"/>
      <c r="AG226" s="1457" t="str">
        <f t="shared" si="15"/>
        <v>23調査結果-屋上及び屋根-3（5）-改善（予定）年月-月</v>
      </c>
      <c r="AI226" s="1502"/>
      <c r="AJ226" s="1502"/>
      <c r="AK226" s="1502"/>
      <c r="AL226" s="1508"/>
      <c r="AM226" s="1508"/>
      <c r="AN226" s="1508"/>
      <c r="AO226" s="1508"/>
    </row>
    <row r="227" spans="1:41" ht="18.75" customHeight="1" x14ac:dyDescent="0.15">
      <c r="A227" s="1586"/>
      <c r="B227" s="1509"/>
      <c r="C227" s="1509"/>
      <c r="D227" s="1460">
        <f>'1_入力シート【基本情報】'!$BY$368</f>
        <v>0</v>
      </c>
      <c r="E227" s="1674">
        <f t="shared" si="16"/>
        <v>0</v>
      </c>
      <c r="F227" s="1674" t="str">
        <f t="shared" si="17"/>
        <v>0</v>
      </c>
      <c r="G227" s="1674" t="str">
        <f t="shared" si="18"/>
        <v>0</v>
      </c>
      <c r="H227" s="1542"/>
      <c r="I227" s="1509"/>
      <c r="J227" s="1535"/>
      <c r="K227" s="1509"/>
      <c r="L227" s="1509"/>
      <c r="M227" s="1509"/>
      <c r="N227" s="1509"/>
      <c r="O227" s="1509"/>
      <c r="P227" s="1509"/>
      <c r="Q227" s="1509"/>
      <c r="R227" s="1509"/>
      <c r="S227" s="1509"/>
      <c r="T227" s="1509"/>
      <c r="U227" s="1469">
        <v>23</v>
      </c>
      <c r="V227" s="1486" t="s">
        <v>33</v>
      </c>
      <c r="W227" s="1471" t="s">
        <v>1306</v>
      </c>
      <c r="X227" s="1472" t="s">
        <v>72</v>
      </c>
      <c r="Y227" s="1473" t="s">
        <v>1306</v>
      </c>
      <c r="Z227" s="1504" t="s">
        <v>1435</v>
      </c>
      <c r="AA227" s="1473" t="s">
        <v>1306</v>
      </c>
      <c r="AB227" s="1486" t="s">
        <v>352</v>
      </c>
      <c r="AC227" s="1499" t="s">
        <v>1366</v>
      </c>
      <c r="AD227" s="1500" t="s">
        <v>640</v>
      </c>
      <c r="AE227" s="1501"/>
      <c r="AF227" s="1501"/>
      <c r="AG227" s="1457" t="str">
        <f t="shared" si="15"/>
        <v>23調査結果-屋上及び屋根-3（5）-改善（予定）年月-未定</v>
      </c>
      <c r="AI227" s="1502"/>
      <c r="AJ227" s="1502"/>
      <c r="AK227" s="1502"/>
      <c r="AL227" s="1508"/>
      <c r="AM227" s="1508"/>
      <c r="AN227" s="1508"/>
      <c r="AO227" s="1508"/>
    </row>
    <row r="228" spans="1:41" ht="18.75" customHeight="1" x14ac:dyDescent="0.15">
      <c r="A228" s="1586"/>
      <c r="B228" s="1509"/>
      <c r="C228" s="1509"/>
      <c r="D228" s="1460">
        <f>'1_入力シート【基本情報】'!$AF$369</f>
        <v>0</v>
      </c>
      <c r="E228" s="1674">
        <f t="shared" si="16"/>
        <v>0</v>
      </c>
      <c r="F228" s="1674" t="str">
        <f t="shared" si="17"/>
        <v>0</v>
      </c>
      <c r="G228" s="1674" t="str">
        <f t="shared" si="18"/>
        <v>0</v>
      </c>
      <c r="H228" s="1542"/>
      <c r="I228" s="1509"/>
      <c r="J228" s="1535"/>
      <c r="K228" s="1509"/>
      <c r="L228" s="1509"/>
      <c r="M228" s="1509"/>
      <c r="N228" s="1509"/>
      <c r="O228" s="1509"/>
      <c r="P228" s="1509"/>
      <c r="Q228" s="1509"/>
      <c r="R228" s="1509"/>
      <c r="S228" s="1509"/>
      <c r="T228" s="1509"/>
      <c r="U228" s="1469">
        <v>23</v>
      </c>
      <c r="V228" s="1486" t="s">
        <v>33</v>
      </c>
      <c r="W228" s="1471" t="s">
        <v>1306</v>
      </c>
      <c r="X228" s="1472" t="s">
        <v>72</v>
      </c>
      <c r="Y228" s="1473" t="s">
        <v>1306</v>
      </c>
      <c r="Z228" s="1504" t="s">
        <v>1436</v>
      </c>
      <c r="AA228" s="1473" t="s">
        <v>1306</v>
      </c>
      <c r="AB228" s="1486" t="s">
        <v>33</v>
      </c>
      <c r="AC228" s="1499"/>
      <c r="AD228" s="1500"/>
      <c r="AE228" s="1501"/>
      <c r="AF228" s="1501"/>
      <c r="AG228" s="1457" t="str">
        <f t="shared" si="15"/>
        <v>23調査結果-屋上及び屋根-3（6）-調査結果</v>
      </c>
      <c r="AI228" s="1502"/>
      <c r="AJ228" s="1502"/>
      <c r="AK228" s="1502"/>
      <c r="AL228" s="1508"/>
      <c r="AM228" s="1508"/>
      <c r="AN228" s="1508"/>
      <c r="AO228" s="1508"/>
    </row>
    <row r="229" spans="1:41" ht="18.75" customHeight="1" x14ac:dyDescent="0.15">
      <c r="A229" s="1586"/>
      <c r="B229" s="1509"/>
      <c r="C229" s="1509"/>
      <c r="D229" s="1460">
        <f>'1_入力シート【基本情報】'!$AR$369</f>
        <v>0</v>
      </c>
      <c r="E229" s="1674">
        <f t="shared" si="16"/>
        <v>0</v>
      </c>
      <c r="F229" s="1674" t="str">
        <f t="shared" si="17"/>
        <v>0</v>
      </c>
      <c r="G229" s="1674" t="str">
        <f t="shared" si="18"/>
        <v>0</v>
      </c>
      <c r="H229" s="1542"/>
      <c r="I229" s="1509"/>
      <c r="J229" s="1535"/>
      <c r="K229" s="1509"/>
      <c r="L229" s="1509"/>
      <c r="M229" s="1509"/>
      <c r="N229" s="1509"/>
      <c r="O229" s="1509"/>
      <c r="P229" s="1509"/>
      <c r="Q229" s="1509"/>
      <c r="R229" s="1509"/>
      <c r="S229" s="1509"/>
      <c r="T229" s="1509"/>
      <c r="U229" s="1469">
        <v>23</v>
      </c>
      <c r="V229" s="1486" t="s">
        <v>33</v>
      </c>
      <c r="W229" s="1471" t="s">
        <v>1306</v>
      </c>
      <c r="X229" s="1472" t="s">
        <v>72</v>
      </c>
      <c r="Y229" s="1473" t="s">
        <v>1306</v>
      </c>
      <c r="Z229" s="1504" t="s">
        <v>1436</v>
      </c>
      <c r="AA229" s="1473" t="s">
        <v>1306</v>
      </c>
      <c r="AB229" s="1486" t="s">
        <v>30</v>
      </c>
      <c r="AC229" s="1499"/>
      <c r="AD229" s="1500"/>
      <c r="AE229" s="1501"/>
      <c r="AF229" s="1501"/>
      <c r="AG229" s="1457" t="str">
        <f t="shared" si="15"/>
        <v>23調査結果-屋上及び屋根-3（6）-調査者番号</v>
      </c>
      <c r="AI229" s="1502"/>
      <c r="AJ229" s="1502"/>
      <c r="AK229" s="1502"/>
      <c r="AL229" s="1508"/>
      <c r="AM229" s="1508"/>
      <c r="AN229" s="1508"/>
      <c r="AO229" s="1508"/>
    </row>
    <row r="230" spans="1:41" ht="18.75" customHeight="1" x14ac:dyDescent="0.15">
      <c r="A230" s="1586"/>
      <c r="B230" s="1509"/>
      <c r="C230" s="1509"/>
      <c r="D230" s="1460">
        <f>'1_入力シート【基本情報】'!$AT$369</f>
        <v>0</v>
      </c>
      <c r="E230" s="1674">
        <f t="shared" si="16"/>
        <v>0</v>
      </c>
      <c r="F230" s="1674" t="str">
        <f t="shared" si="17"/>
        <v>0</v>
      </c>
      <c r="G230" s="1674" t="str">
        <f t="shared" si="18"/>
        <v>0</v>
      </c>
      <c r="H230" s="1542"/>
      <c r="I230" s="1509"/>
      <c r="J230" s="1535"/>
      <c r="K230" s="1509"/>
      <c r="L230" s="1509"/>
      <c r="M230" s="1509"/>
      <c r="N230" s="1509"/>
      <c r="O230" s="1509"/>
      <c r="P230" s="1509"/>
      <c r="Q230" s="1509"/>
      <c r="R230" s="1509"/>
      <c r="S230" s="1509"/>
      <c r="T230" s="1509"/>
      <c r="U230" s="1469">
        <v>23</v>
      </c>
      <c r="V230" s="1486" t="s">
        <v>33</v>
      </c>
      <c r="W230" s="1471" t="s">
        <v>1306</v>
      </c>
      <c r="X230" s="1472" t="s">
        <v>72</v>
      </c>
      <c r="Y230" s="1473" t="s">
        <v>1306</v>
      </c>
      <c r="Z230" s="1504" t="s">
        <v>1436</v>
      </c>
      <c r="AA230" s="1473" t="s">
        <v>1306</v>
      </c>
      <c r="AB230" s="1486" t="s">
        <v>1402</v>
      </c>
      <c r="AC230" s="1499"/>
      <c r="AD230" s="1500"/>
      <c r="AE230" s="1501"/>
      <c r="AF230" s="1501"/>
      <c r="AG230" s="1457" t="str">
        <f t="shared" si="15"/>
        <v>23調査結果-屋上及び屋根-3（6）-指摘の具体的内容等</v>
      </c>
      <c r="AI230" s="1502"/>
      <c r="AJ230" s="1502"/>
      <c r="AK230" s="1502"/>
      <c r="AL230" s="1508"/>
      <c r="AM230" s="1508"/>
      <c r="AN230" s="1508"/>
      <c r="AO230" s="1508"/>
    </row>
    <row r="231" spans="1:41" ht="18.75" customHeight="1" x14ac:dyDescent="0.15">
      <c r="A231" s="1586"/>
      <c r="B231" s="1509"/>
      <c r="C231" s="1509"/>
      <c r="D231" s="1460">
        <f>'1_入力シート【基本情報】'!$BD$369</f>
        <v>0</v>
      </c>
      <c r="E231" s="1674">
        <f t="shared" si="16"/>
        <v>0</v>
      </c>
      <c r="F231" s="1674" t="str">
        <f t="shared" si="17"/>
        <v>0</v>
      </c>
      <c r="G231" s="1674" t="str">
        <f t="shared" si="18"/>
        <v>0</v>
      </c>
      <c r="H231" s="1542"/>
      <c r="I231" s="1509"/>
      <c r="J231" s="1535"/>
      <c r="K231" s="1509"/>
      <c r="L231" s="1509"/>
      <c r="M231" s="1509"/>
      <c r="N231" s="1509"/>
      <c r="O231" s="1509"/>
      <c r="P231" s="1509"/>
      <c r="Q231" s="1509"/>
      <c r="R231" s="1509"/>
      <c r="S231" s="1509"/>
      <c r="T231" s="1509"/>
      <c r="U231" s="1469">
        <v>23</v>
      </c>
      <c r="V231" s="1486" t="s">
        <v>33</v>
      </c>
      <c r="W231" s="1471" t="s">
        <v>1306</v>
      </c>
      <c r="X231" s="1472" t="s">
        <v>72</v>
      </c>
      <c r="Y231" s="1473" t="s">
        <v>1306</v>
      </c>
      <c r="Z231" s="1504" t="s">
        <v>1436</v>
      </c>
      <c r="AA231" s="1473" t="s">
        <v>1306</v>
      </c>
      <c r="AB231" s="1470" t="s">
        <v>1403</v>
      </c>
      <c r="AC231" s="1499"/>
      <c r="AD231" s="1500"/>
      <c r="AE231" s="1501"/>
      <c r="AF231" s="1501"/>
      <c r="AG231" s="1457" t="str">
        <f t="shared" si="15"/>
        <v>23調査結果-屋上及び屋根-3（6）-改善策の具体的内容等</v>
      </c>
      <c r="AI231" s="1502"/>
      <c r="AJ231" s="1502"/>
      <c r="AK231" s="1502"/>
      <c r="AL231" s="1508"/>
      <c r="AM231" s="1508"/>
      <c r="AN231" s="1508"/>
      <c r="AO231" s="1508"/>
    </row>
    <row r="232" spans="1:41" ht="18.75" customHeight="1" x14ac:dyDescent="0.15">
      <c r="A232" s="1586"/>
      <c r="B232" s="1509"/>
      <c r="C232" s="1509"/>
      <c r="D232" s="1460">
        <f>'1_入力シート【基本情報】'!$BS$369</f>
        <v>0</v>
      </c>
      <c r="E232" s="1674">
        <f t="shared" si="16"/>
        <v>0</v>
      </c>
      <c r="F232" s="1674" t="str">
        <f t="shared" si="17"/>
        <v>0</v>
      </c>
      <c r="G232" s="1674" t="str">
        <f t="shared" si="18"/>
        <v>0</v>
      </c>
      <c r="H232" s="1542"/>
      <c r="I232" s="1509"/>
      <c r="J232" s="1535"/>
      <c r="K232" s="1509"/>
      <c r="L232" s="1509"/>
      <c r="M232" s="1509"/>
      <c r="N232" s="1509"/>
      <c r="O232" s="1509"/>
      <c r="P232" s="1509"/>
      <c r="Q232" s="1509"/>
      <c r="R232" s="1509"/>
      <c r="S232" s="1509"/>
      <c r="T232" s="1509"/>
      <c r="U232" s="1469">
        <v>23</v>
      </c>
      <c r="V232" s="1486" t="s">
        <v>33</v>
      </c>
      <c r="W232" s="1471" t="s">
        <v>1306</v>
      </c>
      <c r="X232" s="1472" t="s">
        <v>72</v>
      </c>
      <c r="Y232" s="1473" t="s">
        <v>1306</v>
      </c>
      <c r="Z232" s="1504" t="s">
        <v>1436</v>
      </c>
      <c r="AA232" s="1473" t="s">
        <v>1306</v>
      </c>
      <c r="AB232" s="1470" t="s">
        <v>352</v>
      </c>
      <c r="AC232" s="1499" t="s">
        <v>1366</v>
      </c>
      <c r="AD232" s="1500" t="s">
        <v>1387</v>
      </c>
      <c r="AE232" s="1501"/>
      <c r="AF232" s="1501"/>
      <c r="AG232" s="1457" t="str">
        <f t="shared" si="15"/>
        <v>23調査結果-屋上及び屋根-3（6）-改善（予定）年月-年（令和）</v>
      </c>
      <c r="AI232" s="1502"/>
      <c r="AJ232" s="1502"/>
      <c r="AK232" s="1502"/>
      <c r="AL232" s="1508"/>
      <c r="AM232" s="1508"/>
      <c r="AN232" s="1508"/>
      <c r="AO232" s="1508"/>
    </row>
    <row r="233" spans="1:41" ht="18.75" customHeight="1" x14ac:dyDescent="0.15">
      <c r="A233" s="1586"/>
      <c r="B233" s="1509"/>
      <c r="C233" s="1509"/>
      <c r="D233" s="1460">
        <f>'1_入力シート【基本情報】'!$BV$369</f>
        <v>0</v>
      </c>
      <c r="E233" s="1674">
        <f t="shared" si="16"/>
        <v>0</v>
      </c>
      <c r="F233" s="1674" t="str">
        <f t="shared" si="17"/>
        <v>0</v>
      </c>
      <c r="G233" s="1674" t="str">
        <f t="shared" si="18"/>
        <v>0</v>
      </c>
      <c r="H233" s="1542"/>
      <c r="I233" s="1509"/>
      <c r="J233" s="1535"/>
      <c r="K233" s="1509"/>
      <c r="L233" s="1509"/>
      <c r="M233" s="1509"/>
      <c r="N233" s="1509"/>
      <c r="O233" s="1509"/>
      <c r="P233" s="1509"/>
      <c r="Q233" s="1509"/>
      <c r="R233" s="1509"/>
      <c r="S233" s="1509"/>
      <c r="T233" s="1509"/>
      <c r="U233" s="1469">
        <v>23</v>
      </c>
      <c r="V233" s="1486" t="s">
        <v>33</v>
      </c>
      <c r="W233" s="1471" t="s">
        <v>1306</v>
      </c>
      <c r="X233" s="1472" t="s">
        <v>72</v>
      </c>
      <c r="Y233" s="1473" t="s">
        <v>1306</v>
      </c>
      <c r="Z233" s="1504" t="s">
        <v>1436</v>
      </c>
      <c r="AA233" s="1473" t="s">
        <v>1306</v>
      </c>
      <c r="AB233" s="1470" t="s">
        <v>352</v>
      </c>
      <c r="AC233" s="1499" t="s">
        <v>1366</v>
      </c>
      <c r="AD233" s="1500" t="s">
        <v>348</v>
      </c>
      <c r="AE233" s="1501"/>
      <c r="AF233" s="1501"/>
      <c r="AG233" s="1457" t="str">
        <f t="shared" si="15"/>
        <v>23調査結果-屋上及び屋根-3（6）-改善（予定）年月-月</v>
      </c>
      <c r="AI233" s="1502"/>
      <c r="AJ233" s="1502"/>
      <c r="AK233" s="1502"/>
      <c r="AL233" s="1508"/>
      <c r="AM233" s="1508"/>
      <c r="AN233" s="1508"/>
      <c r="AO233" s="1508"/>
    </row>
    <row r="234" spans="1:41" ht="18.75" customHeight="1" x14ac:dyDescent="0.15">
      <c r="A234" s="1586"/>
      <c r="B234" s="1509"/>
      <c r="C234" s="1509"/>
      <c r="D234" s="1460">
        <f>'1_入力シート【基本情報】'!$BY$369</f>
        <v>0</v>
      </c>
      <c r="E234" s="1674">
        <f t="shared" si="16"/>
        <v>0</v>
      </c>
      <c r="F234" s="1674" t="str">
        <f t="shared" si="17"/>
        <v>0</v>
      </c>
      <c r="G234" s="1674" t="str">
        <f t="shared" si="18"/>
        <v>0</v>
      </c>
      <c r="H234" s="1542"/>
      <c r="I234" s="1509"/>
      <c r="J234" s="1535"/>
      <c r="K234" s="1509"/>
      <c r="L234" s="1509"/>
      <c r="M234" s="1509"/>
      <c r="N234" s="1509"/>
      <c r="O234" s="1509"/>
      <c r="P234" s="1509"/>
      <c r="Q234" s="1509"/>
      <c r="R234" s="1509"/>
      <c r="S234" s="1509"/>
      <c r="T234" s="1509"/>
      <c r="U234" s="1469">
        <v>23</v>
      </c>
      <c r="V234" s="1486" t="s">
        <v>33</v>
      </c>
      <c r="W234" s="1471" t="s">
        <v>1306</v>
      </c>
      <c r="X234" s="1472" t="s">
        <v>72</v>
      </c>
      <c r="Y234" s="1473" t="s">
        <v>1306</v>
      </c>
      <c r="Z234" s="1504" t="s">
        <v>1436</v>
      </c>
      <c r="AA234" s="1473" t="s">
        <v>1306</v>
      </c>
      <c r="AB234" s="1470" t="s">
        <v>352</v>
      </c>
      <c r="AC234" s="1499" t="s">
        <v>1366</v>
      </c>
      <c r="AD234" s="1500" t="s">
        <v>640</v>
      </c>
      <c r="AE234" s="1501"/>
      <c r="AF234" s="1501"/>
      <c r="AG234" s="1457" t="str">
        <f t="shared" si="15"/>
        <v>23調査結果-屋上及び屋根-3（6）-改善（予定）年月-未定</v>
      </c>
      <c r="AI234" s="1502"/>
      <c r="AJ234" s="1502"/>
      <c r="AK234" s="1502"/>
      <c r="AL234" s="1508"/>
      <c r="AM234" s="1508"/>
      <c r="AN234" s="1508"/>
      <c r="AO234" s="1508"/>
    </row>
    <row r="235" spans="1:41" ht="18.75" customHeight="1" x14ac:dyDescent="0.15">
      <c r="A235" s="1586"/>
      <c r="B235" s="1509"/>
      <c r="C235" s="1509"/>
      <c r="D235" s="1460">
        <f>'1_入力シート【基本情報】'!$AF$370</f>
        <v>0</v>
      </c>
      <c r="E235" s="1674">
        <f t="shared" si="16"/>
        <v>0</v>
      </c>
      <c r="F235" s="1674" t="str">
        <f t="shared" si="17"/>
        <v>0</v>
      </c>
      <c r="G235" s="1674" t="str">
        <f t="shared" si="18"/>
        <v>0</v>
      </c>
      <c r="H235" s="1542"/>
      <c r="I235" s="1509"/>
      <c r="J235" s="1535"/>
      <c r="K235" s="1509"/>
      <c r="L235" s="1509"/>
      <c r="M235" s="1509"/>
      <c r="N235" s="1509"/>
      <c r="O235" s="1509"/>
      <c r="P235" s="1509"/>
      <c r="Q235" s="1509"/>
      <c r="R235" s="1509"/>
      <c r="S235" s="1509"/>
      <c r="T235" s="1509"/>
      <c r="U235" s="1469">
        <v>23</v>
      </c>
      <c r="V235" s="1486" t="s">
        <v>33</v>
      </c>
      <c r="W235" s="1471" t="s">
        <v>1306</v>
      </c>
      <c r="X235" s="1472" t="s">
        <v>72</v>
      </c>
      <c r="Y235" s="1473" t="s">
        <v>1306</v>
      </c>
      <c r="Z235" s="1504" t="s">
        <v>1437</v>
      </c>
      <c r="AA235" s="1473" t="s">
        <v>1306</v>
      </c>
      <c r="AB235" s="1486" t="s">
        <v>33</v>
      </c>
      <c r="AC235" s="1499"/>
      <c r="AD235" s="1500"/>
      <c r="AE235" s="1501"/>
      <c r="AF235" s="1501"/>
      <c r="AG235" s="1457" t="str">
        <f t="shared" si="15"/>
        <v>23調査結果-屋上及び屋根-3（7）-調査結果</v>
      </c>
      <c r="AI235" s="1502"/>
      <c r="AJ235" s="1502"/>
      <c r="AK235" s="1502"/>
      <c r="AL235" s="1508"/>
      <c r="AM235" s="1508"/>
      <c r="AN235" s="1508"/>
      <c r="AO235" s="1508"/>
    </row>
    <row r="236" spans="1:41" ht="18.75" customHeight="1" x14ac:dyDescent="0.15">
      <c r="A236" s="1586"/>
      <c r="B236" s="1509"/>
      <c r="C236" s="1509"/>
      <c r="D236" s="1460">
        <f>'1_入力シート【基本情報】'!$AR$370</f>
        <v>0</v>
      </c>
      <c r="E236" s="1674">
        <f t="shared" si="16"/>
        <v>0</v>
      </c>
      <c r="F236" s="1674" t="str">
        <f t="shared" si="17"/>
        <v>0</v>
      </c>
      <c r="G236" s="1674" t="str">
        <f t="shared" si="18"/>
        <v>0</v>
      </c>
      <c r="H236" s="1542"/>
      <c r="I236" s="1509"/>
      <c r="J236" s="1535"/>
      <c r="K236" s="1509"/>
      <c r="L236" s="1509"/>
      <c r="M236" s="1509"/>
      <c r="N236" s="1509"/>
      <c r="O236" s="1509"/>
      <c r="P236" s="1509"/>
      <c r="Q236" s="1509"/>
      <c r="R236" s="1509"/>
      <c r="S236" s="1509"/>
      <c r="T236" s="1509"/>
      <c r="U236" s="1469">
        <v>23</v>
      </c>
      <c r="V236" s="1486" t="s">
        <v>33</v>
      </c>
      <c r="W236" s="1471" t="s">
        <v>1306</v>
      </c>
      <c r="X236" s="1472" t="s">
        <v>72</v>
      </c>
      <c r="Y236" s="1473" t="s">
        <v>1306</v>
      </c>
      <c r="Z236" s="1504" t="s">
        <v>1437</v>
      </c>
      <c r="AA236" s="1473" t="s">
        <v>1306</v>
      </c>
      <c r="AB236" s="1470" t="s">
        <v>30</v>
      </c>
      <c r="AC236" s="1499"/>
      <c r="AD236" s="1500"/>
      <c r="AE236" s="1501"/>
      <c r="AF236" s="1501"/>
      <c r="AG236" s="1457" t="str">
        <f t="shared" si="15"/>
        <v>23調査結果-屋上及び屋根-3（7）-調査者番号</v>
      </c>
      <c r="AI236" s="1502"/>
      <c r="AJ236" s="1502"/>
      <c r="AK236" s="1502"/>
      <c r="AL236" s="1508"/>
      <c r="AM236" s="1508"/>
      <c r="AN236" s="1508"/>
      <c r="AO236" s="1508"/>
    </row>
    <row r="237" spans="1:41" ht="18.75" customHeight="1" x14ac:dyDescent="0.15">
      <c r="A237" s="1586"/>
      <c r="B237" s="1509"/>
      <c r="C237" s="1509"/>
      <c r="D237" s="1460">
        <f>'1_入力シート【基本情報】'!$AT$370</f>
        <v>0</v>
      </c>
      <c r="E237" s="1674">
        <f t="shared" si="16"/>
        <v>0</v>
      </c>
      <c r="F237" s="1674" t="str">
        <f t="shared" si="17"/>
        <v>0</v>
      </c>
      <c r="G237" s="1674" t="str">
        <f t="shared" si="18"/>
        <v>0</v>
      </c>
      <c r="H237" s="1542"/>
      <c r="I237" s="1509"/>
      <c r="J237" s="1535"/>
      <c r="K237" s="1509"/>
      <c r="L237" s="1509"/>
      <c r="M237" s="1509"/>
      <c r="N237" s="1509"/>
      <c r="O237" s="1509"/>
      <c r="P237" s="1509"/>
      <c r="Q237" s="1509"/>
      <c r="R237" s="1509"/>
      <c r="S237" s="1509"/>
      <c r="T237" s="1509"/>
      <c r="U237" s="1469">
        <v>23</v>
      </c>
      <c r="V237" s="1486" t="s">
        <v>33</v>
      </c>
      <c r="W237" s="1471" t="s">
        <v>1306</v>
      </c>
      <c r="X237" s="1472" t="s">
        <v>72</v>
      </c>
      <c r="Y237" s="1473" t="s">
        <v>1306</v>
      </c>
      <c r="Z237" s="1504" t="s">
        <v>1437</v>
      </c>
      <c r="AA237" s="1473" t="s">
        <v>1306</v>
      </c>
      <c r="AB237" s="1470" t="s">
        <v>1402</v>
      </c>
      <c r="AC237" s="1499"/>
      <c r="AD237" s="1500"/>
      <c r="AE237" s="1501"/>
      <c r="AF237" s="1501"/>
      <c r="AG237" s="1457" t="str">
        <f t="shared" si="15"/>
        <v>23調査結果-屋上及び屋根-3（7）-指摘の具体的内容等</v>
      </c>
      <c r="AI237" s="1502"/>
      <c r="AJ237" s="1502"/>
      <c r="AK237" s="1502"/>
      <c r="AL237" s="1508"/>
      <c r="AM237" s="1508"/>
      <c r="AN237" s="1508"/>
      <c r="AO237" s="1508"/>
    </row>
    <row r="238" spans="1:41" ht="18.75" customHeight="1" x14ac:dyDescent="0.15">
      <c r="A238" s="1586"/>
      <c r="B238" s="1509"/>
      <c r="C238" s="1509"/>
      <c r="D238" s="1460">
        <f>'1_入力シート【基本情報】'!$BD$370</f>
        <v>0</v>
      </c>
      <c r="E238" s="1674">
        <f t="shared" si="16"/>
        <v>0</v>
      </c>
      <c r="F238" s="1674" t="str">
        <f t="shared" si="17"/>
        <v>0</v>
      </c>
      <c r="G238" s="1674" t="str">
        <f t="shared" si="18"/>
        <v>0</v>
      </c>
      <c r="H238" s="1542"/>
      <c r="I238" s="1509"/>
      <c r="J238" s="1535"/>
      <c r="K238" s="1509"/>
      <c r="L238" s="1509"/>
      <c r="M238" s="1509"/>
      <c r="N238" s="1509"/>
      <c r="O238" s="1509"/>
      <c r="P238" s="1509"/>
      <c r="Q238" s="1509"/>
      <c r="R238" s="1509"/>
      <c r="S238" s="1509"/>
      <c r="T238" s="1509"/>
      <c r="U238" s="1469">
        <v>23</v>
      </c>
      <c r="V238" s="1486" t="s">
        <v>33</v>
      </c>
      <c r="W238" s="1471" t="s">
        <v>1306</v>
      </c>
      <c r="X238" s="1472" t="s">
        <v>72</v>
      </c>
      <c r="Y238" s="1473" t="s">
        <v>1306</v>
      </c>
      <c r="Z238" s="1504" t="s">
        <v>1437</v>
      </c>
      <c r="AA238" s="1473" t="s">
        <v>1306</v>
      </c>
      <c r="AB238" s="1470" t="s">
        <v>1403</v>
      </c>
      <c r="AC238" s="1499"/>
      <c r="AD238" s="1500"/>
      <c r="AE238" s="1501"/>
      <c r="AF238" s="1501"/>
      <c r="AG238" s="1457" t="str">
        <f t="shared" si="15"/>
        <v>23調査結果-屋上及び屋根-3（7）-改善策の具体的内容等</v>
      </c>
      <c r="AI238" s="1502"/>
      <c r="AJ238" s="1502"/>
      <c r="AK238" s="1502"/>
      <c r="AL238" s="1508"/>
      <c r="AM238" s="1508"/>
      <c r="AN238" s="1508"/>
      <c r="AO238" s="1508"/>
    </row>
    <row r="239" spans="1:41" ht="18.75" customHeight="1" x14ac:dyDescent="0.15">
      <c r="A239" s="1586"/>
      <c r="B239" s="1509"/>
      <c r="C239" s="1509"/>
      <c r="D239" s="1460">
        <f>'1_入力シート【基本情報】'!$BS$370</f>
        <v>0</v>
      </c>
      <c r="E239" s="1674">
        <f t="shared" si="16"/>
        <v>0</v>
      </c>
      <c r="F239" s="1674" t="str">
        <f t="shared" si="17"/>
        <v>0</v>
      </c>
      <c r="G239" s="1674" t="str">
        <f t="shared" si="18"/>
        <v>0</v>
      </c>
      <c r="H239" s="1542"/>
      <c r="I239" s="1509"/>
      <c r="J239" s="1535"/>
      <c r="K239" s="1509"/>
      <c r="L239" s="1509"/>
      <c r="M239" s="1509"/>
      <c r="N239" s="1509"/>
      <c r="O239" s="1509"/>
      <c r="P239" s="1509"/>
      <c r="Q239" s="1509"/>
      <c r="R239" s="1509"/>
      <c r="S239" s="1509"/>
      <c r="T239" s="1509"/>
      <c r="U239" s="1469">
        <v>23</v>
      </c>
      <c r="V239" s="1486" t="s">
        <v>33</v>
      </c>
      <c r="W239" s="1471" t="s">
        <v>1306</v>
      </c>
      <c r="X239" s="1472" t="s">
        <v>72</v>
      </c>
      <c r="Y239" s="1473" t="s">
        <v>1306</v>
      </c>
      <c r="Z239" s="1504" t="s">
        <v>1437</v>
      </c>
      <c r="AA239" s="1473" t="s">
        <v>1306</v>
      </c>
      <c r="AB239" s="1470" t="s">
        <v>352</v>
      </c>
      <c r="AC239" s="1499" t="s">
        <v>1366</v>
      </c>
      <c r="AD239" s="1500" t="s">
        <v>1387</v>
      </c>
      <c r="AE239" s="1501"/>
      <c r="AF239" s="1501"/>
      <c r="AG239" s="1457" t="str">
        <f t="shared" si="15"/>
        <v>23調査結果-屋上及び屋根-3（7）-改善（予定）年月-年（令和）</v>
      </c>
      <c r="AI239" s="1502"/>
      <c r="AJ239" s="1502"/>
      <c r="AK239" s="1502"/>
      <c r="AL239" s="1508"/>
      <c r="AM239" s="1508"/>
      <c r="AN239" s="1508"/>
      <c r="AO239" s="1508"/>
    </row>
    <row r="240" spans="1:41" ht="18.75" customHeight="1" x14ac:dyDescent="0.15">
      <c r="A240" s="1586"/>
      <c r="B240" s="1509"/>
      <c r="C240" s="1509"/>
      <c r="D240" s="1460">
        <f>'1_入力シート【基本情報】'!$BV$370</f>
        <v>0</v>
      </c>
      <c r="E240" s="1674">
        <f t="shared" si="16"/>
        <v>0</v>
      </c>
      <c r="F240" s="1674" t="str">
        <f t="shared" si="17"/>
        <v>0</v>
      </c>
      <c r="G240" s="1674" t="str">
        <f t="shared" si="18"/>
        <v>0</v>
      </c>
      <c r="H240" s="1542"/>
      <c r="I240" s="1509"/>
      <c r="J240" s="1535"/>
      <c r="K240" s="1509"/>
      <c r="L240" s="1509"/>
      <c r="M240" s="1509"/>
      <c r="N240" s="1509"/>
      <c r="O240" s="1509"/>
      <c r="P240" s="1509"/>
      <c r="Q240" s="1509"/>
      <c r="R240" s="1509"/>
      <c r="S240" s="1509"/>
      <c r="T240" s="1509"/>
      <c r="U240" s="1469">
        <v>23</v>
      </c>
      <c r="V240" s="1486" t="s">
        <v>33</v>
      </c>
      <c r="W240" s="1471" t="s">
        <v>1306</v>
      </c>
      <c r="X240" s="1472" t="s">
        <v>72</v>
      </c>
      <c r="Y240" s="1473" t="s">
        <v>1306</v>
      </c>
      <c r="Z240" s="1504" t="s">
        <v>1437</v>
      </c>
      <c r="AA240" s="1473" t="s">
        <v>1306</v>
      </c>
      <c r="AB240" s="1486" t="s">
        <v>352</v>
      </c>
      <c r="AC240" s="1499" t="s">
        <v>1366</v>
      </c>
      <c r="AD240" s="1500" t="s">
        <v>348</v>
      </c>
      <c r="AE240" s="1501"/>
      <c r="AF240" s="1501"/>
      <c r="AG240" s="1457" t="str">
        <f t="shared" si="15"/>
        <v>23調査結果-屋上及び屋根-3（7）-改善（予定）年月-月</v>
      </c>
      <c r="AI240" s="1502"/>
      <c r="AJ240" s="1502"/>
      <c r="AK240" s="1502"/>
      <c r="AL240" s="1508"/>
      <c r="AM240" s="1508"/>
      <c r="AN240" s="1508"/>
      <c r="AO240" s="1508"/>
    </row>
    <row r="241" spans="1:41" ht="18.75" customHeight="1" x14ac:dyDescent="0.15">
      <c r="A241" s="1586"/>
      <c r="B241" s="1509"/>
      <c r="C241" s="1509"/>
      <c r="D241" s="1460">
        <f>'1_入力シート【基本情報】'!$BY$370</f>
        <v>0</v>
      </c>
      <c r="E241" s="1674">
        <f t="shared" si="16"/>
        <v>0</v>
      </c>
      <c r="F241" s="1674" t="str">
        <f t="shared" si="17"/>
        <v>0</v>
      </c>
      <c r="G241" s="1674" t="str">
        <f t="shared" si="18"/>
        <v>0</v>
      </c>
      <c r="H241" s="1542"/>
      <c r="I241" s="1509"/>
      <c r="J241" s="1535"/>
      <c r="K241" s="1509"/>
      <c r="L241" s="1509"/>
      <c r="M241" s="1509"/>
      <c r="N241" s="1509"/>
      <c r="O241" s="1509"/>
      <c r="P241" s="1509"/>
      <c r="Q241" s="1509"/>
      <c r="R241" s="1509"/>
      <c r="S241" s="1509"/>
      <c r="T241" s="1509"/>
      <c r="U241" s="1469">
        <v>23</v>
      </c>
      <c r="V241" s="1486" t="s">
        <v>33</v>
      </c>
      <c r="W241" s="1471" t="s">
        <v>1306</v>
      </c>
      <c r="X241" s="1472" t="s">
        <v>72</v>
      </c>
      <c r="Y241" s="1473" t="s">
        <v>1306</v>
      </c>
      <c r="Z241" s="1504" t="s">
        <v>1437</v>
      </c>
      <c r="AA241" s="1473" t="s">
        <v>1306</v>
      </c>
      <c r="AB241" s="1486" t="s">
        <v>352</v>
      </c>
      <c r="AC241" s="1499" t="s">
        <v>1366</v>
      </c>
      <c r="AD241" s="1500" t="s">
        <v>640</v>
      </c>
      <c r="AE241" s="1501"/>
      <c r="AF241" s="1501"/>
      <c r="AG241" s="1457" t="str">
        <f t="shared" si="15"/>
        <v>23調査結果-屋上及び屋根-3（7）-改善（予定）年月-未定</v>
      </c>
      <c r="AI241" s="1502"/>
      <c r="AJ241" s="1502"/>
      <c r="AK241" s="1502"/>
      <c r="AL241" s="1508"/>
      <c r="AM241" s="1508"/>
      <c r="AN241" s="1508"/>
      <c r="AO241" s="1508"/>
    </row>
    <row r="242" spans="1:41" ht="18.75" customHeight="1" x14ac:dyDescent="0.15">
      <c r="A242" s="1586"/>
      <c r="B242" s="1509"/>
      <c r="C242" s="1509"/>
      <c r="D242" s="1460">
        <f>'1_入力シート【基本情報】'!$AF$371</f>
        <v>0</v>
      </c>
      <c r="E242" s="1674">
        <f t="shared" si="16"/>
        <v>0</v>
      </c>
      <c r="F242" s="1674" t="str">
        <f t="shared" si="17"/>
        <v>0</v>
      </c>
      <c r="G242" s="1674" t="str">
        <f t="shared" si="18"/>
        <v>0</v>
      </c>
      <c r="H242" s="1542"/>
      <c r="I242" s="1509"/>
      <c r="J242" s="1535"/>
      <c r="K242" s="1509"/>
      <c r="L242" s="1509"/>
      <c r="M242" s="1509"/>
      <c r="N242" s="1509"/>
      <c r="O242" s="1509"/>
      <c r="P242" s="1509"/>
      <c r="Q242" s="1509"/>
      <c r="R242" s="1509"/>
      <c r="S242" s="1509"/>
      <c r="T242" s="1509"/>
      <c r="U242" s="1469">
        <v>23</v>
      </c>
      <c r="V242" s="1486" t="s">
        <v>33</v>
      </c>
      <c r="W242" s="1471" t="s">
        <v>1306</v>
      </c>
      <c r="X242" s="1472" t="s">
        <v>72</v>
      </c>
      <c r="Y242" s="1473" t="s">
        <v>1306</v>
      </c>
      <c r="Z242" s="1504" t="s">
        <v>1438</v>
      </c>
      <c r="AA242" s="1473" t="s">
        <v>1306</v>
      </c>
      <c r="AB242" s="1486" t="s">
        <v>33</v>
      </c>
      <c r="AC242" s="1499"/>
      <c r="AD242" s="1500"/>
      <c r="AE242" s="1501"/>
      <c r="AF242" s="1501"/>
      <c r="AG242" s="1457" t="str">
        <f t="shared" si="15"/>
        <v>23調査結果-屋上及び屋根-3（8）-調査結果</v>
      </c>
      <c r="AI242" s="1502"/>
      <c r="AJ242" s="1502"/>
      <c r="AK242" s="1502"/>
      <c r="AL242" s="1508"/>
      <c r="AM242" s="1508"/>
      <c r="AN242" s="1508"/>
      <c r="AO242" s="1508"/>
    </row>
    <row r="243" spans="1:41" ht="18.75" customHeight="1" x14ac:dyDescent="0.15">
      <c r="A243" s="1586"/>
      <c r="B243" s="1509"/>
      <c r="C243" s="1509"/>
      <c r="D243" s="1460">
        <f>'1_入力シート【基本情報】'!$AR$371</f>
        <v>0</v>
      </c>
      <c r="E243" s="1674">
        <f t="shared" si="16"/>
        <v>0</v>
      </c>
      <c r="F243" s="1674" t="str">
        <f t="shared" si="17"/>
        <v>0</v>
      </c>
      <c r="G243" s="1674" t="str">
        <f t="shared" si="18"/>
        <v>0</v>
      </c>
      <c r="H243" s="1542"/>
      <c r="I243" s="1509"/>
      <c r="J243" s="1535"/>
      <c r="K243" s="1509"/>
      <c r="L243" s="1509"/>
      <c r="M243" s="1509"/>
      <c r="N243" s="1509"/>
      <c r="O243" s="1509"/>
      <c r="P243" s="1509"/>
      <c r="Q243" s="1509"/>
      <c r="R243" s="1509"/>
      <c r="S243" s="1509"/>
      <c r="T243" s="1509"/>
      <c r="U243" s="1469">
        <v>23</v>
      </c>
      <c r="V243" s="1486" t="s">
        <v>33</v>
      </c>
      <c r="W243" s="1471" t="s">
        <v>1306</v>
      </c>
      <c r="X243" s="1472" t="s">
        <v>72</v>
      </c>
      <c r="Y243" s="1473" t="s">
        <v>1306</v>
      </c>
      <c r="Z243" s="1504" t="s">
        <v>1438</v>
      </c>
      <c r="AA243" s="1473" t="s">
        <v>1306</v>
      </c>
      <c r="AB243" s="1486" t="s">
        <v>30</v>
      </c>
      <c r="AC243" s="1499"/>
      <c r="AD243" s="1500"/>
      <c r="AE243" s="1501"/>
      <c r="AF243" s="1501"/>
      <c r="AG243" s="1457" t="str">
        <f t="shared" si="15"/>
        <v>23調査結果-屋上及び屋根-3（8）-調査者番号</v>
      </c>
      <c r="AI243" s="1502"/>
      <c r="AJ243" s="1502"/>
      <c r="AK243" s="1502"/>
      <c r="AL243" s="1508"/>
      <c r="AM243" s="1508"/>
      <c r="AN243" s="1508"/>
      <c r="AO243" s="1508"/>
    </row>
    <row r="244" spans="1:41" ht="18.75" customHeight="1" x14ac:dyDescent="0.15">
      <c r="A244" s="1586"/>
      <c r="B244" s="1509"/>
      <c r="C244" s="1509"/>
      <c r="D244" s="1460">
        <f>'1_入力シート【基本情報】'!$AT$371</f>
        <v>0</v>
      </c>
      <c r="E244" s="1674">
        <f t="shared" si="16"/>
        <v>0</v>
      </c>
      <c r="F244" s="1674" t="str">
        <f t="shared" si="17"/>
        <v>0</v>
      </c>
      <c r="G244" s="1674" t="str">
        <f t="shared" si="18"/>
        <v>0</v>
      </c>
      <c r="H244" s="1542"/>
      <c r="I244" s="1509"/>
      <c r="J244" s="1535"/>
      <c r="K244" s="1509"/>
      <c r="L244" s="1509"/>
      <c r="M244" s="1509"/>
      <c r="N244" s="1509"/>
      <c r="O244" s="1509"/>
      <c r="P244" s="1509"/>
      <c r="Q244" s="1509"/>
      <c r="R244" s="1509"/>
      <c r="S244" s="1509"/>
      <c r="T244" s="1509"/>
      <c r="U244" s="1469">
        <v>23</v>
      </c>
      <c r="V244" s="1486" t="s">
        <v>33</v>
      </c>
      <c r="W244" s="1471" t="s">
        <v>1306</v>
      </c>
      <c r="X244" s="1472" t="s">
        <v>72</v>
      </c>
      <c r="Y244" s="1473" t="s">
        <v>1306</v>
      </c>
      <c r="Z244" s="1504" t="s">
        <v>1438</v>
      </c>
      <c r="AA244" s="1473" t="s">
        <v>1306</v>
      </c>
      <c r="AB244" s="1470" t="s">
        <v>1402</v>
      </c>
      <c r="AC244" s="1499"/>
      <c r="AD244" s="1500"/>
      <c r="AE244" s="1501"/>
      <c r="AF244" s="1501"/>
      <c r="AG244" s="1457" t="str">
        <f t="shared" si="15"/>
        <v>23調査結果-屋上及び屋根-3（8）-指摘の具体的内容等</v>
      </c>
      <c r="AI244" s="1502"/>
      <c r="AJ244" s="1502"/>
      <c r="AK244" s="1502"/>
      <c r="AL244" s="1508"/>
      <c r="AM244" s="1508"/>
      <c r="AN244" s="1508"/>
      <c r="AO244" s="1508"/>
    </row>
    <row r="245" spans="1:41" ht="18.75" customHeight="1" x14ac:dyDescent="0.15">
      <c r="A245" s="1586"/>
      <c r="B245" s="1509"/>
      <c r="C245" s="1509"/>
      <c r="D245" s="1460">
        <f>'1_入力シート【基本情報】'!$BD$371</f>
        <v>0</v>
      </c>
      <c r="E245" s="1674">
        <f t="shared" si="16"/>
        <v>0</v>
      </c>
      <c r="F245" s="1674" t="str">
        <f t="shared" si="17"/>
        <v>0</v>
      </c>
      <c r="G245" s="1674" t="str">
        <f t="shared" si="18"/>
        <v>0</v>
      </c>
      <c r="H245" s="1542"/>
      <c r="I245" s="1509"/>
      <c r="J245" s="1535"/>
      <c r="K245" s="1509"/>
      <c r="L245" s="1509"/>
      <c r="M245" s="1509"/>
      <c r="N245" s="1509"/>
      <c r="O245" s="1509"/>
      <c r="P245" s="1509"/>
      <c r="Q245" s="1509"/>
      <c r="R245" s="1509"/>
      <c r="S245" s="1509"/>
      <c r="T245" s="1509"/>
      <c r="U245" s="1469">
        <v>23</v>
      </c>
      <c r="V245" s="1486" t="s">
        <v>33</v>
      </c>
      <c r="W245" s="1471" t="s">
        <v>1306</v>
      </c>
      <c r="X245" s="1472" t="s">
        <v>72</v>
      </c>
      <c r="Y245" s="1473" t="s">
        <v>1306</v>
      </c>
      <c r="Z245" s="1504" t="s">
        <v>1438</v>
      </c>
      <c r="AA245" s="1473" t="s">
        <v>1306</v>
      </c>
      <c r="AB245" s="1470" t="s">
        <v>1403</v>
      </c>
      <c r="AC245" s="1499"/>
      <c r="AD245" s="1500"/>
      <c r="AE245" s="1501"/>
      <c r="AF245" s="1501"/>
      <c r="AG245" s="1457" t="str">
        <f t="shared" si="15"/>
        <v>23調査結果-屋上及び屋根-3（8）-改善策の具体的内容等</v>
      </c>
      <c r="AI245" s="1502"/>
      <c r="AJ245" s="1502"/>
      <c r="AK245" s="1502"/>
      <c r="AL245" s="1508"/>
      <c r="AM245" s="1508"/>
      <c r="AN245" s="1508"/>
      <c r="AO245" s="1508"/>
    </row>
    <row r="246" spans="1:41" ht="18.75" customHeight="1" x14ac:dyDescent="0.15">
      <c r="A246" s="1586"/>
      <c r="B246" s="1509"/>
      <c r="C246" s="1509"/>
      <c r="D246" s="1460">
        <f>'1_入力シート【基本情報】'!$BS$371</f>
        <v>0</v>
      </c>
      <c r="E246" s="1674">
        <f t="shared" si="16"/>
        <v>0</v>
      </c>
      <c r="F246" s="1674" t="str">
        <f t="shared" si="17"/>
        <v>0</v>
      </c>
      <c r="G246" s="1674" t="str">
        <f t="shared" si="18"/>
        <v>0</v>
      </c>
      <c r="H246" s="1542"/>
      <c r="I246" s="1509"/>
      <c r="J246" s="1535"/>
      <c r="K246" s="1509"/>
      <c r="L246" s="1509"/>
      <c r="M246" s="1509"/>
      <c r="N246" s="1509"/>
      <c r="O246" s="1509"/>
      <c r="P246" s="1509"/>
      <c r="Q246" s="1509"/>
      <c r="R246" s="1509"/>
      <c r="S246" s="1509"/>
      <c r="T246" s="1509"/>
      <c r="U246" s="1469">
        <v>23</v>
      </c>
      <c r="V246" s="1486" t="s">
        <v>33</v>
      </c>
      <c r="W246" s="1471" t="s">
        <v>1306</v>
      </c>
      <c r="X246" s="1472" t="s">
        <v>72</v>
      </c>
      <c r="Y246" s="1473" t="s">
        <v>1306</v>
      </c>
      <c r="Z246" s="1504" t="s">
        <v>1438</v>
      </c>
      <c r="AA246" s="1473" t="s">
        <v>1306</v>
      </c>
      <c r="AB246" s="1470" t="s">
        <v>352</v>
      </c>
      <c r="AC246" s="1499" t="s">
        <v>1366</v>
      </c>
      <c r="AD246" s="1500" t="s">
        <v>1387</v>
      </c>
      <c r="AE246" s="1501"/>
      <c r="AF246" s="1501"/>
      <c r="AG246" s="1457" t="str">
        <f t="shared" si="15"/>
        <v>23調査結果-屋上及び屋根-3（8）-改善（予定）年月-年（令和）</v>
      </c>
      <c r="AI246" s="1502"/>
      <c r="AJ246" s="1502"/>
      <c r="AK246" s="1502"/>
      <c r="AL246" s="1508"/>
      <c r="AM246" s="1508"/>
      <c r="AN246" s="1508"/>
      <c r="AO246" s="1508"/>
    </row>
    <row r="247" spans="1:41" ht="18.75" customHeight="1" x14ac:dyDescent="0.15">
      <c r="A247" s="1586"/>
      <c r="B247" s="1509"/>
      <c r="C247" s="1509"/>
      <c r="D247" s="1460">
        <f>'1_入力シート【基本情報】'!$BV$371</f>
        <v>0</v>
      </c>
      <c r="E247" s="1674">
        <f t="shared" si="16"/>
        <v>0</v>
      </c>
      <c r="F247" s="1674" t="str">
        <f t="shared" si="17"/>
        <v>0</v>
      </c>
      <c r="G247" s="1674" t="str">
        <f t="shared" si="18"/>
        <v>0</v>
      </c>
      <c r="H247" s="1542"/>
      <c r="I247" s="1509"/>
      <c r="J247" s="1535"/>
      <c r="K247" s="1509"/>
      <c r="L247" s="1509"/>
      <c r="M247" s="1509"/>
      <c r="N247" s="1509"/>
      <c r="O247" s="1509"/>
      <c r="P247" s="1509"/>
      <c r="Q247" s="1509"/>
      <c r="R247" s="1509"/>
      <c r="S247" s="1509"/>
      <c r="T247" s="1509"/>
      <c r="U247" s="1469">
        <v>23</v>
      </c>
      <c r="V247" s="1486" t="s">
        <v>33</v>
      </c>
      <c r="W247" s="1471" t="s">
        <v>1306</v>
      </c>
      <c r="X247" s="1472" t="s">
        <v>72</v>
      </c>
      <c r="Y247" s="1473" t="s">
        <v>1306</v>
      </c>
      <c r="Z247" s="1504" t="s">
        <v>1438</v>
      </c>
      <c r="AA247" s="1473" t="s">
        <v>1306</v>
      </c>
      <c r="AB247" s="1470" t="s">
        <v>352</v>
      </c>
      <c r="AC247" s="1499" t="s">
        <v>1366</v>
      </c>
      <c r="AD247" s="1500" t="s">
        <v>348</v>
      </c>
      <c r="AE247" s="1501"/>
      <c r="AF247" s="1501"/>
      <c r="AG247" s="1457" t="str">
        <f t="shared" si="15"/>
        <v>23調査結果-屋上及び屋根-3（8）-改善（予定）年月-月</v>
      </c>
      <c r="AI247" s="1502"/>
      <c r="AJ247" s="1502"/>
      <c r="AK247" s="1502"/>
      <c r="AL247" s="1508"/>
      <c r="AM247" s="1508"/>
      <c r="AN247" s="1508"/>
      <c r="AO247" s="1508"/>
    </row>
    <row r="248" spans="1:41" ht="18.75" customHeight="1" x14ac:dyDescent="0.15">
      <c r="A248" s="1586"/>
      <c r="B248" s="1509"/>
      <c r="C248" s="1509"/>
      <c r="D248" s="1460">
        <f>'1_入力シート【基本情報】'!$BY$371</f>
        <v>0</v>
      </c>
      <c r="E248" s="1674">
        <f t="shared" si="16"/>
        <v>0</v>
      </c>
      <c r="F248" s="1674" t="str">
        <f t="shared" si="17"/>
        <v>0</v>
      </c>
      <c r="G248" s="1674" t="str">
        <f t="shared" si="18"/>
        <v>0</v>
      </c>
      <c r="H248" s="1542"/>
      <c r="I248" s="1509"/>
      <c r="J248" s="1535"/>
      <c r="K248" s="1509"/>
      <c r="L248" s="1509"/>
      <c r="M248" s="1509"/>
      <c r="N248" s="1509"/>
      <c r="O248" s="1509"/>
      <c r="P248" s="1509"/>
      <c r="Q248" s="1509"/>
      <c r="R248" s="1509"/>
      <c r="S248" s="1509"/>
      <c r="T248" s="1509"/>
      <c r="U248" s="1469">
        <v>23</v>
      </c>
      <c r="V248" s="1486" t="s">
        <v>33</v>
      </c>
      <c r="W248" s="1471" t="s">
        <v>1306</v>
      </c>
      <c r="X248" s="1472" t="s">
        <v>72</v>
      </c>
      <c r="Y248" s="1473" t="s">
        <v>1306</v>
      </c>
      <c r="Z248" s="1504" t="s">
        <v>1438</v>
      </c>
      <c r="AA248" s="1473" t="s">
        <v>1306</v>
      </c>
      <c r="AB248" s="1486" t="s">
        <v>352</v>
      </c>
      <c r="AC248" s="1499" t="s">
        <v>1366</v>
      </c>
      <c r="AD248" s="1500" t="s">
        <v>640</v>
      </c>
      <c r="AE248" s="1501"/>
      <c r="AF248" s="1501"/>
      <c r="AG248" s="1457" t="str">
        <f t="shared" si="15"/>
        <v>23調査結果-屋上及び屋根-3（8）-改善（予定）年月-未定</v>
      </c>
      <c r="AI248" s="1502"/>
      <c r="AJ248" s="1502"/>
      <c r="AK248" s="1502"/>
      <c r="AL248" s="1508"/>
      <c r="AM248" s="1508"/>
      <c r="AN248" s="1508"/>
      <c r="AO248" s="1508"/>
    </row>
    <row r="249" spans="1:41" ht="18.75" customHeight="1" x14ac:dyDescent="0.15">
      <c r="A249" s="1586"/>
      <c r="B249" s="1509"/>
      <c r="C249" s="1509"/>
      <c r="D249" s="1460">
        <f>'1_入力シート【基本情報】'!$AF$372</f>
        <v>0</v>
      </c>
      <c r="E249" s="1674">
        <f t="shared" si="16"/>
        <v>0</v>
      </c>
      <c r="F249" s="1674" t="str">
        <f t="shared" si="17"/>
        <v>0</v>
      </c>
      <c r="G249" s="1674" t="str">
        <f t="shared" si="18"/>
        <v>0</v>
      </c>
      <c r="H249" s="1542"/>
      <c r="I249" s="1509"/>
      <c r="J249" s="1535"/>
      <c r="K249" s="1509"/>
      <c r="L249" s="1509"/>
      <c r="M249" s="1509"/>
      <c r="N249" s="1509"/>
      <c r="O249" s="1509"/>
      <c r="P249" s="1509"/>
      <c r="Q249" s="1509"/>
      <c r="R249" s="1509"/>
      <c r="S249" s="1509"/>
      <c r="T249" s="1509"/>
      <c r="U249" s="1469">
        <v>23</v>
      </c>
      <c r="V249" s="1486" t="s">
        <v>33</v>
      </c>
      <c r="W249" s="1471" t="s">
        <v>1306</v>
      </c>
      <c r="X249" s="1472" t="s">
        <v>72</v>
      </c>
      <c r="Y249" s="1473" t="s">
        <v>1306</v>
      </c>
      <c r="Z249" s="1504" t="s">
        <v>1439</v>
      </c>
      <c r="AA249" s="1473" t="s">
        <v>1306</v>
      </c>
      <c r="AB249" s="1486" t="s">
        <v>33</v>
      </c>
      <c r="AC249" s="1499"/>
      <c r="AD249" s="1500"/>
      <c r="AE249" s="1501"/>
      <c r="AF249" s="1501"/>
      <c r="AG249" s="1457" t="str">
        <f t="shared" si="15"/>
        <v>23調査結果-屋上及び屋根-3（9）-調査結果</v>
      </c>
      <c r="AI249" s="1502"/>
      <c r="AJ249" s="1502"/>
      <c r="AK249" s="1502"/>
      <c r="AL249" s="1508"/>
      <c r="AM249" s="1508"/>
      <c r="AN249" s="1508"/>
      <c r="AO249" s="1508"/>
    </row>
    <row r="250" spans="1:41" ht="18.75" customHeight="1" x14ac:dyDescent="0.15">
      <c r="A250" s="1586"/>
      <c r="B250" s="1509"/>
      <c r="C250" s="1509"/>
      <c r="D250" s="1460">
        <f>'1_入力シート【基本情報】'!$AR$372</f>
        <v>0</v>
      </c>
      <c r="E250" s="1674">
        <f t="shared" si="16"/>
        <v>0</v>
      </c>
      <c r="F250" s="1674" t="str">
        <f t="shared" si="17"/>
        <v>0</v>
      </c>
      <c r="G250" s="1674" t="str">
        <f t="shared" si="18"/>
        <v>0</v>
      </c>
      <c r="H250" s="1542"/>
      <c r="I250" s="1509"/>
      <c r="J250" s="1535"/>
      <c r="K250" s="1509"/>
      <c r="L250" s="1509"/>
      <c r="M250" s="1509"/>
      <c r="N250" s="1509"/>
      <c r="O250" s="1509"/>
      <c r="P250" s="1509"/>
      <c r="Q250" s="1509"/>
      <c r="R250" s="1509"/>
      <c r="S250" s="1509"/>
      <c r="T250" s="1509"/>
      <c r="U250" s="1469">
        <v>23</v>
      </c>
      <c r="V250" s="1486" t="s">
        <v>33</v>
      </c>
      <c r="W250" s="1471" t="s">
        <v>1306</v>
      </c>
      <c r="X250" s="1472" t="s">
        <v>72</v>
      </c>
      <c r="Y250" s="1473" t="s">
        <v>1306</v>
      </c>
      <c r="Z250" s="1504" t="s">
        <v>1439</v>
      </c>
      <c r="AA250" s="1473" t="s">
        <v>1306</v>
      </c>
      <c r="AB250" s="1486" t="s">
        <v>30</v>
      </c>
      <c r="AC250" s="1499"/>
      <c r="AD250" s="1500"/>
      <c r="AE250" s="1501"/>
      <c r="AF250" s="1501"/>
      <c r="AG250" s="1457" t="str">
        <f t="shared" si="15"/>
        <v>23調査結果-屋上及び屋根-3（9）-調査者番号</v>
      </c>
      <c r="AI250" s="1502"/>
      <c r="AJ250" s="1502"/>
      <c r="AK250" s="1502"/>
      <c r="AL250" s="1508"/>
      <c r="AM250" s="1508"/>
      <c r="AN250" s="1508"/>
      <c r="AO250" s="1508"/>
    </row>
    <row r="251" spans="1:41" ht="18.75" customHeight="1" x14ac:dyDescent="0.15">
      <c r="A251" s="1586"/>
      <c r="B251" s="1509"/>
      <c r="C251" s="1509"/>
      <c r="D251" s="1460">
        <f>'1_入力シート【基本情報】'!$AT$372</f>
        <v>0</v>
      </c>
      <c r="E251" s="1674">
        <f t="shared" si="16"/>
        <v>0</v>
      </c>
      <c r="F251" s="1674" t="str">
        <f t="shared" si="17"/>
        <v>0</v>
      </c>
      <c r="G251" s="1674" t="str">
        <f t="shared" si="18"/>
        <v>0</v>
      </c>
      <c r="H251" s="1542"/>
      <c r="I251" s="1509"/>
      <c r="J251" s="1535"/>
      <c r="K251" s="1509"/>
      <c r="L251" s="1509"/>
      <c r="M251" s="1509"/>
      <c r="N251" s="1509"/>
      <c r="O251" s="1509"/>
      <c r="P251" s="1509"/>
      <c r="Q251" s="1509"/>
      <c r="R251" s="1509"/>
      <c r="S251" s="1509"/>
      <c r="T251" s="1509"/>
      <c r="U251" s="1469">
        <v>23</v>
      </c>
      <c r="V251" s="1486" t="s">
        <v>33</v>
      </c>
      <c r="W251" s="1471" t="s">
        <v>1306</v>
      </c>
      <c r="X251" s="1472" t="s">
        <v>72</v>
      </c>
      <c r="Y251" s="1473" t="s">
        <v>1306</v>
      </c>
      <c r="Z251" s="1504" t="s">
        <v>1439</v>
      </c>
      <c r="AA251" s="1473" t="s">
        <v>1306</v>
      </c>
      <c r="AB251" s="1486" t="s">
        <v>1402</v>
      </c>
      <c r="AC251" s="1499"/>
      <c r="AD251" s="1500"/>
      <c r="AE251" s="1501"/>
      <c r="AF251" s="1501"/>
      <c r="AG251" s="1457" t="str">
        <f t="shared" si="15"/>
        <v>23調査結果-屋上及び屋根-3（9）-指摘の具体的内容等</v>
      </c>
      <c r="AI251" s="1502"/>
      <c r="AJ251" s="1502"/>
      <c r="AK251" s="1502"/>
      <c r="AL251" s="1508"/>
      <c r="AM251" s="1508"/>
      <c r="AN251" s="1508"/>
      <c r="AO251" s="1508"/>
    </row>
    <row r="252" spans="1:41" ht="18.75" customHeight="1" x14ac:dyDescent="0.15">
      <c r="A252" s="1586"/>
      <c r="B252" s="1509"/>
      <c r="C252" s="1509"/>
      <c r="D252" s="1460">
        <f>'1_入力シート【基本情報】'!$BD$372</f>
        <v>0</v>
      </c>
      <c r="E252" s="1674">
        <f t="shared" si="16"/>
        <v>0</v>
      </c>
      <c r="F252" s="1674" t="str">
        <f t="shared" si="17"/>
        <v>0</v>
      </c>
      <c r="G252" s="1674" t="str">
        <f t="shared" si="18"/>
        <v>0</v>
      </c>
      <c r="H252" s="1542"/>
      <c r="I252" s="1509"/>
      <c r="J252" s="1535"/>
      <c r="K252" s="1509"/>
      <c r="L252" s="1509"/>
      <c r="M252" s="1509"/>
      <c r="N252" s="1509"/>
      <c r="O252" s="1509"/>
      <c r="P252" s="1509"/>
      <c r="Q252" s="1509"/>
      <c r="R252" s="1509"/>
      <c r="S252" s="1509"/>
      <c r="T252" s="1509"/>
      <c r="U252" s="1469">
        <v>23</v>
      </c>
      <c r="V252" s="1486" t="s">
        <v>33</v>
      </c>
      <c r="W252" s="1471" t="s">
        <v>1306</v>
      </c>
      <c r="X252" s="1472" t="s">
        <v>72</v>
      </c>
      <c r="Y252" s="1473" t="s">
        <v>1306</v>
      </c>
      <c r="Z252" s="1504" t="s">
        <v>1439</v>
      </c>
      <c r="AA252" s="1473" t="s">
        <v>1306</v>
      </c>
      <c r="AB252" s="1470" t="s">
        <v>1403</v>
      </c>
      <c r="AC252" s="1499"/>
      <c r="AD252" s="1500"/>
      <c r="AE252" s="1501"/>
      <c r="AF252" s="1501"/>
      <c r="AG252" s="1457" t="str">
        <f t="shared" si="15"/>
        <v>23調査結果-屋上及び屋根-3（9）-改善策の具体的内容等</v>
      </c>
      <c r="AI252" s="1502"/>
      <c r="AJ252" s="1502"/>
      <c r="AK252" s="1502"/>
      <c r="AL252" s="1508"/>
      <c r="AM252" s="1508"/>
      <c r="AN252" s="1508"/>
      <c r="AO252" s="1508"/>
    </row>
    <row r="253" spans="1:41" ht="18.75" customHeight="1" x14ac:dyDescent="0.15">
      <c r="A253" s="1586"/>
      <c r="B253" s="1509"/>
      <c r="C253" s="1509"/>
      <c r="D253" s="1460">
        <f>'1_入力シート【基本情報】'!$BS$372</f>
        <v>0</v>
      </c>
      <c r="E253" s="1674">
        <f t="shared" si="16"/>
        <v>0</v>
      </c>
      <c r="F253" s="1674" t="str">
        <f t="shared" si="17"/>
        <v>0</v>
      </c>
      <c r="G253" s="1674" t="str">
        <f t="shared" si="18"/>
        <v>0</v>
      </c>
      <c r="H253" s="1542"/>
      <c r="I253" s="1509"/>
      <c r="J253" s="1535"/>
      <c r="K253" s="1509"/>
      <c r="L253" s="1509"/>
      <c r="M253" s="1509"/>
      <c r="N253" s="1509"/>
      <c r="O253" s="1509"/>
      <c r="P253" s="1509"/>
      <c r="Q253" s="1509"/>
      <c r="R253" s="1509"/>
      <c r="S253" s="1509"/>
      <c r="T253" s="1509"/>
      <c r="U253" s="1469">
        <v>23</v>
      </c>
      <c r="V253" s="1486" t="s">
        <v>33</v>
      </c>
      <c r="W253" s="1471" t="s">
        <v>1306</v>
      </c>
      <c r="X253" s="1472" t="s">
        <v>72</v>
      </c>
      <c r="Y253" s="1473" t="s">
        <v>1306</v>
      </c>
      <c r="Z253" s="1504" t="s">
        <v>1439</v>
      </c>
      <c r="AA253" s="1473" t="s">
        <v>1306</v>
      </c>
      <c r="AB253" s="1470" t="s">
        <v>352</v>
      </c>
      <c r="AC253" s="1499" t="s">
        <v>1366</v>
      </c>
      <c r="AD253" s="1500" t="s">
        <v>1387</v>
      </c>
      <c r="AE253" s="1501"/>
      <c r="AF253" s="1501"/>
      <c r="AG253" s="1457" t="str">
        <f t="shared" si="15"/>
        <v>23調査結果-屋上及び屋根-3（9）-改善（予定）年月-年（令和）</v>
      </c>
      <c r="AI253" s="1502"/>
      <c r="AJ253" s="1502"/>
      <c r="AK253" s="1502"/>
      <c r="AL253" s="1508"/>
      <c r="AM253" s="1508"/>
      <c r="AN253" s="1508"/>
      <c r="AO253" s="1508"/>
    </row>
    <row r="254" spans="1:41" ht="18.75" customHeight="1" x14ac:dyDescent="0.15">
      <c r="A254" s="1586"/>
      <c r="B254" s="1509"/>
      <c r="C254" s="1509"/>
      <c r="D254" s="1460">
        <f>'1_入力シート【基本情報】'!$BV$372</f>
        <v>0</v>
      </c>
      <c r="E254" s="1674">
        <f t="shared" si="16"/>
        <v>0</v>
      </c>
      <c r="F254" s="1674" t="str">
        <f t="shared" si="17"/>
        <v>0</v>
      </c>
      <c r="G254" s="1674" t="str">
        <f t="shared" si="18"/>
        <v>0</v>
      </c>
      <c r="H254" s="1542"/>
      <c r="I254" s="1509"/>
      <c r="J254" s="1535"/>
      <c r="K254" s="1509"/>
      <c r="L254" s="1509"/>
      <c r="M254" s="1509"/>
      <c r="N254" s="1509"/>
      <c r="O254" s="1509"/>
      <c r="P254" s="1509"/>
      <c r="Q254" s="1509"/>
      <c r="R254" s="1509"/>
      <c r="S254" s="1509"/>
      <c r="T254" s="1509"/>
      <c r="U254" s="1469">
        <v>23</v>
      </c>
      <c r="V254" s="1486" t="s">
        <v>33</v>
      </c>
      <c r="W254" s="1471" t="s">
        <v>1306</v>
      </c>
      <c r="X254" s="1472" t="s">
        <v>72</v>
      </c>
      <c r="Y254" s="1473" t="s">
        <v>1306</v>
      </c>
      <c r="Z254" s="1504" t="s">
        <v>1439</v>
      </c>
      <c r="AA254" s="1473" t="s">
        <v>1306</v>
      </c>
      <c r="AB254" s="1470" t="s">
        <v>352</v>
      </c>
      <c r="AC254" s="1499" t="s">
        <v>1366</v>
      </c>
      <c r="AD254" s="1500" t="s">
        <v>348</v>
      </c>
      <c r="AE254" s="1501"/>
      <c r="AF254" s="1501"/>
      <c r="AG254" s="1457" t="str">
        <f t="shared" si="15"/>
        <v>23調査結果-屋上及び屋根-3（9）-改善（予定）年月-月</v>
      </c>
      <c r="AI254" s="1502"/>
      <c r="AJ254" s="1502"/>
      <c r="AK254" s="1502"/>
      <c r="AL254" s="1508"/>
      <c r="AM254" s="1508"/>
      <c r="AN254" s="1508"/>
      <c r="AO254" s="1508"/>
    </row>
    <row r="255" spans="1:41" ht="18.75" customHeight="1" x14ac:dyDescent="0.15">
      <c r="A255" s="1586"/>
      <c r="B255" s="1509"/>
      <c r="C255" s="1509"/>
      <c r="D255" s="1460">
        <f>'1_入力シート【基本情報】'!$BY$372</f>
        <v>0</v>
      </c>
      <c r="E255" s="1674">
        <f t="shared" si="16"/>
        <v>0</v>
      </c>
      <c r="F255" s="1674" t="str">
        <f t="shared" si="17"/>
        <v>0</v>
      </c>
      <c r="G255" s="1674" t="str">
        <f t="shared" si="18"/>
        <v>0</v>
      </c>
      <c r="H255" s="1542"/>
      <c r="I255" s="1509"/>
      <c r="J255" s="1535"/>
      <c r="K255" s="1509"/>
      <c r="L255" s="1509"/>
      <c r="M255" s="1509"/>
      <c r="N255" s="1509"/>
      <c r="O255" s="1509"/>
      <c r="P255" s="1509"/>
      <c r="Q255" s="1509"/>
      <c r="R255" s="1509"/>
      <c r="S255" s="1509"/>
      <c r="T255" s="1509"/>
      <c r="U255" s="1469">
        <v>23</v>
      </c>
      <c r="V255" s="1486" t="s">
        <v>33</v>
      </c>
      <c r="W255" s="1471" t="s">
        <v>1306</v>
      </c>
      <c r="X255" s="1472" t="s">
        <v>72</v>
      </c>
      <c r="Y255" s="1473" t="s">
        <v>1306</v>
      </c>
      <c r="Z255" s="1504" t="s">
        <v>1439</v>
      </c>
      <c r="AA255" s="1473" t="s">
        <v>1306</v>
      </c>
      <c r="AB255" s="1470" t="s">
        <v>352</v>
      </c>
      <c r="AC255" s="1499" t="s">
        <v>1366</v>
      </c>
      <c r="AD255" s="1500" t="s">
        <v>640</v>
      </c>
      <c r="AE255" s="1501"/>
      <c r="AF255" s="1501"/>
      <c r="AG255" s="1457" t="str">
        <f t="shared" ref="AG255:AG381" si="19">CONCATENATE(U255,V255,W255,X255,Y255,Z255,AA255,AB255,AC255,AD255)</f>
        <v>23調査結果-屋上及び屋根-3（9）-改善（予定）年月-未定</v>
      </c>
      <c r="AI255" s="1502"/>
      <c r="AJ255" s="1502"/>
      <c r="AK255" s="1502"/>
      <c r="AL255" s="1508"/>
      <c r="AM255" s="1508"/>
      <c r="AN255" s="1508"/>
      <c r="AO255" s="1508"/>
    </row>
    <row r="256" spans="1:41" ht="18.75" customHeight="1" x14ac:dyDescent="0.15">
      <c r="A256" s="1586"/>
      <c r="B256" s="1509"/>
      <c r="C256" s="1509"/>
      <c r="D256" s="1460">
        <f>'1_入力シート【基本情報】'!$AF$382</f>
        <v>0</v>
      </c>
      <c r="E256" s="1674">
        <f t="shared" si="16"/>
        <v>0</v>
      </c>
      <c r="F256" s="1674" t="str">
        <f t="shared" si="17"/>
        <v>0</v>
      </c>
      <c r="G256" s="1674" t="str">
        <f t="shared" si="18"/>
        <v>0</v>
      </c>
      <c r="H256" s="1542"/>
      <c r="I256" s="1509"/>
      <c r="J256" s="1535"/>
      <c r="K256" s="1509"/>
      <c r="L256" s="1509"/>
      <c r="M256" s="1509"/>
      <c r="N256" s="1509"/>
      <c r="O256" s="1509"/>
      <c r="P256" s="1509"/>
      <c r="Q256" s="1509"/>
      <c r="R256" s="1509"/>
      <c r="S256" s="1509"/>
      <c r="T256" s="1509"/>
      <c r="U256" s="1469">
        <v>23</v>
      </c>
      <c r="V256" s="1486" t="s">
        <v>33</v>
      </c>
      <c r="W256" s="1471" t="s">
        <v>1306</v>
      </c>
      <c r="X256" s="1472" t="s">
        <v>1440</v>
      </c>
      <c r="Y256" s="1473" t="s">
        <v>1306</v>
      </c>
      <c r="Z256" s="1504" t="s">
        <v>1441</v>
      </c>
      <c r="AA256" s="1473" t="s">
        <v>1306</v>
      </c>
      <c r="AB256" s="1486" t="s">
        <v>33</v>
      </c>
      <c r="AC256" s="1499"/>
      <c r="AD256" s="1500"/>
      <c r="AE256" s="1501"/>
      <c r="AF256" s="1501"/>
      <c r="AG256" s="1457" t="str">
        <f t="shared" si="19"/>
        <v>23調査結果-建築物の内部-4（1）-調査結果</v>
      </c>
      <c r="AI256" s="1502"/>
      <c r="AJ256" s="1502"/>
      <c r="AK256" s="1502"/>
      <c r="AL256" s="1508"/>
      <c r="AM256" s="1508"/>
      <c r="AN256" s="1508"/>
      <c r="AO256" s="1508"/>
    </row>
    <row r="257" spans="1:41" ht="18.75" customHeight="1" x14ac:dyDescent="0.15">
      <c r="A257" s="1586"/>
      <c r="B257" s="1509"/>
      <c r="C257" s="1509"/>
      <c r="D257" s="1460">
        <f>'1_入力シート【基本情報】'!$AR$382</f>
        <v>0</v>
      </c>
      <c r="E257" s="1674">
        <f t="shared" si="16"/>
        <v>0</v>
      </c>
      <c r="F257" s="1674" t="str">
        <f t="shared" si="17"/>
        <v>0</v>
      </c>
      <c r="G257" s="1674" t="str">
        <f t="shared" si="18"/>
        <v>0</v>
      </c>
      <c r="H257" s="1542"/>
      <c r="I257" s="1509"/>
      <c r="J257" s="1535"/>
      <c r="K257" s="1509"/>
      <c r="L257" s="1509"/>
      <c r="M257" s="1509"/>
      <c r="N257" s="1509"/>
      <c r="O257" s="1509"/>
      <c r="P257" s="1509"/>
      <c r="Q257" s="1509"/>
      <c r="R257" s="1509"/>
      <c r="S257" s="1509"/>
      <c r="T257" s="1509"/>
      <c r="U257" s="1469">
        <v>23</v>
      </c>
      <c r="V257" s="1486" t="s">
        <v>33</v>
      </c>
      <c r="W257" s="1471" t="s">
        <v>1306</v>
      </c>
      <c r="X257" s="1472" t="s">
        <v>1440</v>
      </c>
      <c r="Y257" s="1473" t="s">
        <v>1306</v>
      </c>
      <c r="Z257" s="1504" t="s">
        <v>1441</v>
      </c>
      <c r="AA257" s="1473" t="s">
        <v>1306</v>
      </c>
      <c r="AB257" s="1486" t="s">
        <v>30</v>
      </c>
      <c r="AC257" s="1499"/>
      <c r="AD257" s="1500"/>
      <c r="AE257" s="1501"/>
      <c r="AF257" s="1501"/>
      <c r="AG257" s="1457" t="str">
        <f t="shared" si="19"/>
        <v>23調査結果-建築物の内部-4（1）-調査者番号</v>
      </c>
      <c r="AI257" s="1502"/>
      <c r="AJ257" s="1502"/>
      <c r="AK257" s="1502"/>
      <c r="AL257" s="1508"/>
      <c r="AM257" s="1508"/>
      <c r="AN257" s="1508"/>
      <c r="AO257" s="1508"/>
    </row>
    <row r="258" spans="1:41" ht="18.75" customHeight="1" x14ac:dyDescent="0.15">
      <c r="A258" s="1578"/>
      <c r="B258" s="1462"/>
      <c r="C258" s="1462"/>
      <c r="D258" s="1460">
        <f>'1_入力シート【基本情報】'!$AT$382</f>
        <v>0</v>
      </c>
      <c r="E258" s="1650">
        <f t="shared" si="16"/>
        <v>0</v>
      </c>
      <c r="F258" s="1650" t="str">
        <f t="shared" si="17"/>
        <v>0</v>
      </c>
      <c r="G258" s="1650" t="str">
        <f t="shared" si="18"/>
        <v>0</v>
      </c>
      <c r="H258" s="1468"/>
      <c r="I258" s="1462"/>
      <c r="J258" s="1531"/>
      <c r="K258" s="1462"/>
      <c r="L258" s="1462"/>
      <c r="M258" s="1493"/>
      <c r="N258" s="1462"/>
      <c r="O258" s="1462"/>
      <c r="P258" s="1462"/>
      <c r="Q258" s="1462"/>
      <c r="R258" s="1462"/>
      <c r="S258" s="1462"/>
      <c r="T258" s="1462"/>
      <c r="U258" s="1469">
        <v>23</v>
      </c>
      <c r="V258" s="1486" t="s">
        <v>33</v>
      </c>
      <c r="W258" s="1471" t="s">
        <v>1306</v>
      </c>
      <c r="X258" s="1472" t="s">
        <v>1440</v>
      </c>
      <c r="Y258" s="1473" t="s">
        <v>1306</v>
      </c>
      <c r="Z258" s="1504" t="s">
        <v>1441</v>
      </c>
      <c r="AA258" s="1473" t="s">
        <v>1306</v>
      </c>
      <c r="AB258" s="1486" t="s">
        <v>1402</v>
      </c>
      <c r="AC258" s="1499"/>
      <c r="AD258" s="1500"/>
      <c r="AE258" s="1501"/>
      <c r="AF258" s="1501"/>
      <c r="AG258" s="1457" t="str">
        <f t="shared" si="19"/>
        <v>23調査結果-建築物の内部-4（1）-指摘の具体的内容等</v>
      </c>
      <c r="AI258" s="1502"/>
      <c r="AJ258" s="1502"/>
      <c r="AK258" s="1502"/>
      <c r="AL258" s="1508"/>
      <c r="AM258" s="1508"/>
      <c r="AN258" s="1508"/>
      <c r="AO258" s="1508"/>
    </row>
    <row r="259" spans="1:41" ht="18.75" customHeight="1" x14ac:dyDescent="0.15">
      <c r="A259" s="1586"/>
      <c r="B259" s="1509"/>
      <c r="C259" s="1509"/>
      <c r="D259" s="1460">
        <f>'1_入力シート【基本情報】'!$BD$382</f>
        <v>0</v>
      </c>
      <c r="E259" s="1674">
        <f t="shared" si="16"/>
        <v>0</v>
      </c>
      <c r="F259" s="1674" t="str">
        <f t="shared" si="17"/>
        <v>0</v>
      </c>
      <c r="G259" s="1674" t="str">
        <f t="shared" si="18"/>
        <v>0</v>
      </c>
      <c r="H259" s="1542"/>
      <c r="I259" s="1509"/>
      <c r="J259" s="1535"/>
      <c r="K259" s="1509"/>
      <c r="L259" s="1509"/>
      <c r="M259" s="1509"/>
      <c r="N259" s="1509"/>
      <c r="O259" s="1509"/>
      <c r="P259" s="1509"/>
      <c r="Q259" s="1509"/>
      <c r="R259" s="1509"/>
      <c r="S259" s="1509"/>
      <c r="T259" s="1509"/>
      <c r="U259" s="1469">
        <v>23</v>
      </c>
      <c r="V259" s="1486" t="s">
        <v>33</v>
      </c>
      <c r="W259" s="1471" t="s">
        <v>1306</v>
      </c>
      <c r="X259" s="1472" t="s">
        <v>1440</v>
      </c>
      <c r="Y259" s="1473" t="s">
        <v>1306</v>
      </c>
      <c r="Z259" s="1504" t="s">
        <v>1441</v>
      </c>
      <c r="AA259" s="1473" t="s">
        <v>1306</v>
      </c>
      <c r="AB259" s="1486" t="s">
        <v>1403</v>
      </c>
      <c r="AC259" s="1499"/>
      <c r="AD259" s="1500"/>
      <c r="AE259" s="1501"/>
      <c r="AF259" s="1501"/>
      <c r="AG259" s="1457" t="str">
        <f t="shared" si="19"/>
        <v>23調査結果-建築物の内部-4（1）-改善策の具体的内容等</v>
      </c>
      <c r="AI259" s="1502"/>
      <c r="AJ259" s="1502"/>
      <c r="AK259" s="1502"/>
      <c r="AL259" s="1508"/>
      <c r="AM259" s="1508"/>
      <c r="AN259" s="1508"/>
      <c r="AO259" s="1508"/>
    </row>
    <row r="260" spans="1:41" ht="18.75" customHeight="1" x14ac:dyDescent="0.15">
      <c r="A260" s="1586"/>
      <c r="B260" s="1509"/>
      <c r="C260" s="1509"/>
      <c r="D260" s="1460">
        <f>'1_入力シート【基本情報】'!$BS$382</f>
        <v>0</v>
      </c>
      <c r="E260" s="1674">
        <f t="shared" si="16"/>
        <v>0</v>
      </c>
      <c r="F260" s="1674" t="str">
        <f t="shared" si="17"/>
        <v>0</v>
      </c>
      <c r="G260" s="1674" t="str">
        <f t="shared" si="18"/>
        <v>0</v>
      </c>
      <c r="H260" s="1542"/>
      <c r="I260" s="1509"/>
      <c r="J260" s="1535"/>
      <c r="K260" s="1509"/>
      <c r="L260" s="1509"/>
      <c r="M260" s="1509"/>
      <c r="N260" s="1509"/>
      <c r="O260" s="1509"/>
      <c r="P260" s="1509"/>
      <c r="Q260" s="1509"/>
      <c r="R260" s="1509"/>
      <c r="S260" s="1509"/>
      <c r="T260" s="1509"/>
      <c r="U260" s="1469">
        <v>23</v>
      </c>
      <c r="V260" s="1486" t="s">
        <v>33</v>
      </c>
      <c r="W260" s="1471" t="s">
        <v>1306</v>
      </c>
      <c r="X260" s="1472" t="s">
        <v>1440</v>
      </c>
      <c r="Y260" s="1473" t="s">
        <v>1306</v>
      </c>
      <c r="Z260" s="1504" t="s">
        <v>1441</v>
      </c>
      <c r="AA260" s="1473" t="s">
        <v>1306</v>
      </c>
      <c r="AB260" s="1470" t="s">
        <v>352</v>
      </c>
      <c r="AC260" s="1499" t="s">
        <v>1366</v>
      </c>
      <c r="AD260" s="1500" t="s">
        <v>1387</v>
      </c>
      <c r="AE260" s="1501"/>
      <c r="AF260" s="1501"/>
      <c r="AG260" s="1457" t="str">
        <f t="shared" si="19"/>
        <v>23調査結果-建築物の内部-4（1）-改善（予定）年月-年（令和）</v>
      </c>
      <c r="AI260" s="1502"/>
      <c r="AJ260" s="1502"/>
      <c r="AK260" s="1502"/>
      <c r="AL260" s="1508"/>
      <c r="AM260" s="1508"/>
      <c r="AN260" s="1508"/>
      <c r="AO260" s="1508"/>
    </row>
    <row r="261" spans="1:41" ht="18.75" customHeight="1" x14ac:dyDescent="0.15">
      <c r="A261" s="1586"/>
      <c r="B261" s="1509"/>
      <c r="C261" s="1509"/>
      <c r="D261" s="1460">
        <f>'1_入力シート【基本情報】'!$BV$382</f>
        <v>0</v>
      </c>
      <c r="E261" s="1674">
        <f t="shared" si="16"/>
        <v>0</v>
      </c>
      <c r="F261" s="1674" t="str">
        <f t="shared" si="17"/>
        <v>0</v>
      </c>
      <c r="G261" s="1674" t="str">
        <f t="shared" si="18"/>
        <v>0</v>
      </c>
      <c r="H261" s="1542"/>
      <c r="I261" s="1509"/>
      <c r="J261" s="1535"/>
      <c r="K261" s="1509"/>
      <c r="L261" s="1509"/>
      <c r="M261" s="1509"/>
      <c r="N261" s="1509"/>
      <c r="O261" s="1509"/>
      <c r="P261" s="1509"/>
      <c r="Q261" s="1509"/>
      <c r="R261" s="1509"/>
      <c r="S261" s="1509"/>
      <c r="T261" s="1509"/>
      <c r="U261" s="1469">
        <v>23</v>
      </c>
      <c r="V261" s="1486" t="s">
        <v>33</v>
      </c>
      <c r="W261" s="1471" t="s">
        <v>1306</v>
      </c>
      <c r="X261" s="1472" t="s">
        <v>1440</v>
      </c>
      <c r="Y261" s="1473" t="s">
        <v>1306</v>
      </c>
      <c r="Z261" s="1504" t="s">
        <v>1441</v>
      </c>
      <c r="AA261" s="1473" t="s">
        <v>1306</v>
      </c>
      <c r="AB261" s="1470" t="s">
        <v>352</v>
      </c>
      <c r="AC261" s="1499" t="s">
        <v>1366</v>
      </c>
      <c r="AD261" s="1500" t="s">
        <v>348</v>
      </c>
      <c r="AE261" s="1501"/>
      <c r="AF261" s="1501"/>
      <c r="AG261" s="1457" t="str">
        <f t="shared" si="19"/>
        <v>23調査結果-建築物の内部-4（1）-改善（予定）年月-月</v>
      </c>
      <c r="AI261" s="1502"/>
      <c r="AJ261" s="1502"/>
      <c r="AK261" s="1502"/>
      <c r="AL261" s="1508"/>
      <c r="AM261" s="1508"/>
      <c r="AN261" s="1508"/>
      <c r="AO261" s="1508"/>
    </row>
    <row r="262" spans="1:41" ht="18.75" customHeight="1" x14ac:dyDescent="0.15">
      <c r="A262" s="1586"/>
      <c r="B262" s="1509"/>
      <c r="C262" s="1509"/>
      <c r="D262" s="1460">
        <f>'1_入力シート【基本情報】'!$BY$382</f>
        <v>0</v>
      </c>
      <c r="E262" s="1674">
        <f t="shared" si="16"/>
        <v>0</v>
      </c>
      <c r="F262" s="1674" t="str">
        <f t="shared" si="17"/>
        <v>0</v>
      </c>
      <c r="G262" s="1674" t="str">
        <f t="shared" si="18"/>
        <v>0</v>
      </c>
      <c r="H262" s="1542"/>
      <c r="I262" s="1509"/>
      <c r="J262" s="1535"/>
      <c r="K262" s="1509"/>
      <c r="L262" s="1509"/>
      <c r="M262" s="1509"/>
      <c r="N262" s="1509"/>
      <c r="O262" s="1509"/>
      <c r="P262" s="1509"/>
      <c r="Q262" s="1509"/>
      <c r="R262" s="1509"/>
      <c r="S262" s="1509"/>
      <c r="T262" s="1509"/>
      <c r="U262" s="1469">
        <v>23</v>
      </c>
      <c r="V262" s="1486" t="s">
        <v>33</v>
      </c>
      <c r="W262" s="1471" t="s">
        <v>1306</v>
      </c>
      <c r="X262" s="1472" t="s">
        <v>1440</v>
      </c>
      <c r="Y262" s="1473" t="s">
        <v>1306</v>
      </c>
      <c r="Z262" s="1504" t="s">
        <v>1441</v>
      </c>
      <c r="AA262" s="1473" t="s">
        <v>1306</v>
      </c>
      <c r="AB262" s="1470" t="s">
        <v>352</v>
      </c>
      <c r="AC262" s="1499" t="s">
        <v>1366</v>
      </c>
      <c r="AD262" s="1500" t="s">
        <v>640</v>
      </c>
      <c r="AE262" s="1501"/>
      <c r="AF262" s="1501"/>
      <c r="AG262" s="1457" t="str">
        <f t="shared" si="19"/>
        <v>23調査結果-建築物の内部-4（1）-改善（予定）年月-未定</v>
      </c>
      <c r="AI262" s="1502"/>
      <c r="AJ262" s="1502"/>
      <c r="AK262" s="1502"/>
      <c r="AL262" s="1508"/>
      <c r="AM262" s="1508"/>
      <c r="AN262" s="1508"/>
      <c r="AO262" s="1508"/>
    </row>
    <row r="263" spans="1:41" ht="18.75" customHeight="1" x14ac:dyDescent="0.15">
      <c r="A263" s="1586"/>
      <c r="B263" s="1509"/>
      <c r="C263" s="1509"/>
      <c r="D263" s="1460">
        <f>'1_入力シート【基本情報】'!$AF$383</f>
        <v>0</v>
      </c>
      <c r="E263" s="1674">
        <f t="shared" si="16"/>
        <v>0</v>
      </c>
      <c r="F263" s="1674" t="str">
        <f t="shared" si="17"/>
        <v>0</v>
      </c>
      <c r="G263" s="1674" t="str">
        <f t="shared" si="18"/>
        <v>0</v>
      </c>
      <c r="H263" s="1542"/>
      <c r="I263" s="1509"/>
      <c r="J263" s="1535"/>
      <c r="K263" s="1509"/>
      <c r="L263" s="1509"/>
      <c r="M263" s="1509"/>
      <c r="N263" s="1509"/>
      <c r="O263" s="1509"/>
      <c r="P263" s="1509"/>
      <c r="Q263" s="1509"/>
      <c r="R263" s="1509"/>
      <c r="S263" s="1509"/>
      <c r="T263" s="1509"/>
      <c r="U263" s="1469">
        <v>23</v>
      </c>
      <c r="V263" s="1486" t="s">
        <v>33</v>
      </c>
      <c r="W263" s="1471" t="s">
        <v>1306</v>
      </c>
      <c r="X263" s="1472" t="s">
        <v>1440</v>
      </c>
      <c r="Y263" s="1473" t="s">
        <v>1306</v>
      </c>
      <c r="Z263" s="1504" t="s">
        <v>1442</v>
      </c>
      <c r="AA263" s="1473" t="s">
        <v>1306</v>
      </c>
      <c r="AB263" s="1470" t="s">
        <v>33</v>
      </c>
      <c r="AC263" s="1499"/>
      <c r="AD263" s="1500"/>
      <c r="AE263" s="1501"/>
      <c r="AF263" s="1501"/>
      <c r="AG263" s="1457" t="str">
        <f t="shared" si="19"/>
        <v>23調査結果-建築物の内部-4（2）-調査結果</v>
      </c>
      <c r="AI263" s="1502"/>
      <c r="AJ263" s="1502"/>
      <c r="AK263" s="1502"/>
      <c r="AL263" s="1508"/>
      <c r="AM263" s="1508"/>
      <c r="AN263" s="1508"/>
      <c r="AO263" s="1508"/>
    </row>
    <row r="264" spans="1:41" ht="18.75" customHeight="1" x14ac:dyDescent="0.15">
      <c r="A264" s="1586"/>
      <c r="B264" s="1509"/>
      <c r="C264" s="1509"/>
      <c r="D264" s="1460">
        <f>'1_入力シート【基本情報】'!$AR$383</f>
        <v>0</v>
      </c>
      <c r="E264" s="1674">
        <f t="shared" si="16"/>
        <v>0</v>
      </c>
      <c r="F264" s="1674" t="str">
        <f t="shared" si="17"/>
        <v>0</v>
      </c>
      <c r="G264" s="1674" t="str">
        <f t="shared" si="18"/>
        <v>0</v>
      </c>
      <c r="H264" s="1542"/>
      <c r="I264" s="1509"/>
      <c r="J264" s="1535"/>
      <c r="K264" s="1509"/>
      <c r="L264" s="1509"/>
      <c r="M264" s="1509"/>
      <c r="N264" s="1509"/>
      <c r="O264" s="1509"/>
      <c r="P264" s="1509"/>
      <c r="Q264" s="1509"/>
      <c r="R264" s="1509"/>
      <c r="S264" s="1509"/>
      <c r="T264" s="1509"/>
      <c r="U264" s="1469">
        <v>23</v>
      </c>
      <c r="V264" s="1486" t="s">
        <v>33</v>
      </c>
      <c r="W264" s="1471" t="s">
        <v>1306</v>
      </c>
      <c r="X264" s="1472" t="s">
        <v>1440</v>
      </c>
      <c r="Y264" s="1473" t="s">
        <v>1306</v>
      </c>
      <c r="Z264" s="1504" t="s">
        <v>1442</v>
      </c>
      <c r="AA264" s="1473" t="s">
        <v>1306</v>
      </c>
      <c r="AB264" s="1486" t="s">
        <v>30</v>
      </c>
      <c r="AC264" s="1499"/>
      <c r="AD264" s="1500"/>
      <c r="AE264" s="1501"/>
      <c r="AF264" s="1501"/>
      <c r="AG264" s="1457" t="str">
        <f t="shared" si="19"/>
        <v>23調査結果-建築物の内部-4（2）-調査者番号</v>
      </c>
      <c r="AI264" s="1502"/>
      <c r="AJ264" s="1502"/>
      <c r="AK264" s="1502"/>
      <c r="AL264" s="1508"/>
      <c r="AM264" s="1508"/>
      <c r="AN264" s="1508"/>
      <c r="AO264" s="1508"/>
    </row>
    <row r="265" spans="1:41" ht="18.75" customHeight="1" x14ac:dyDescent="0.15">
      <c r="A265" s="1586"/>
      <c r="B265" s="1509"/>
      <c r="C265" s="1509"/>
      <c r="D265" s="1460">
        <f>'1_入力シート【基本情報】'!$AT$383</f>
        <v>0</v>
      </c>
      <c r="E265" s="1674">
        <f t="shared" si="16"/>
        <v>0</v>
      </c>
      <c r="F265" s="1674" t="str">
        <f t="shared" si="17"/>
        <v>0</v>
      </c>
      <c r="G265" s="1674" t="str">
        <f t="shared" si="18"/>
        <v>0</v>
      </c>
      <c r="H265" s="1542"/>
      <c r="I265" s="1509"/>
      <c r="J265" s="1535"/>
      <c r="K265" s="1509"/>
      <c r="L265" s="1509"/>
      <c r="M265" s="1509"/>
      <c r="N265" s="1509"/>
      <c r="O265" s="1509"/>
      <c r="P265" s="1509"/>
      <c r="Q265" s="1509"/>
      <c r="R265" s="1509"/>
      <c r="S265" s="1509"/>
      <c r="T265" s="1509"/>
      <c r="U265" s="1469">
        <v>23</v>
      </c>
      <c r="V265" s="1486" t="s">
        <v>33</v>
      </c>
      <c r="W265" s="1471" t="s">
        <v>1306</v>
      </c>
      <c r="X265" s="1472" t="s">
        <v>1440</v>
      </c>
      <c r="Y265" s="1473" t="s">
        <v>1306</v>
      </c>
      <c r="Z265" s="1504" t="s">
        <v>1442</v>
      </c>
      <c r="AA265" s="1473" t="s">
        <v>1306</v>
      </c>
      <c r="AB265" s="1486" t="s">
        <v>1402</v>
      </c>
      <c r="AC265" s="1499"/>
      <c r="AD265" s="1500"/>
      <c r="AE265" s="1501"/>
      <c r="AF265" s="1501"/>
      <c r="AG265" s="1457" t="str">
        <f t="shared" si="19"/>
        <v>23調査結果-建築物の内部-4（2）-指摘の具体的内容等</v>
      </c>
      <c r="AI265" s="1502"/>
      <c r="AJ265" s="1502"/>
      <c r="AK265" s="1502"/>
      <c r="AL265" s="1508"/>
      <c r="AM265" s="1508"/>
      <c r="AN265" s="1508"/>
      <c r="AO265" s="1508"/>
    </row>
    <row r="266" spans="1:41" ht="18.75" customHeight="1" x14ac:dyDescent="0.15">
      <c r="A266" s="1586"/>
      <c r="B266" s="1509"/>
      <c r="C266" s="1509"/>
      <c r="D266" s="1460">
        <f>'1_入力シート【基本情報】'!$BD$383</f>
        <v>0</v>
      </c>
      <c r="E266" s="1674">
        <f t="shared" si="16"/>
        <v>0</v>
      </c>
      <c r="F266" s="1674" t="str">
        <f t="shared" si="17"/>
        <v>0</v>
      </c>
      <c r="G266" s="1674" t="str">
        <f t="shared" si="18"/>
        <v>0</v>
      </c>
      <c r="H266" s="1542"/>
      <c r="I266" s="1509"/>
      <c r="J266" s="1535"/>
      <c r="K266" s="1509"/>
      <c r="L266" s="1509"/>
      <c r="M266" s="1509"/>
      <c r="N266" s="1509"/>
      <c r="O266" s="1509"/>
      <c r="P266" s="1509"/>
      <c r="Q266" s="1509"/>
      <c r="R266" s="1509"/>
      <c r="S266" s="1509"/>
      <c r="T266" s="1509"/>
      <c r="U266" s="1469">
        <v>23</v>
      </c>
      <c r="V266" s="1486" t="s">
        <v>33</v>
      </c>
      <c r="W266" s="1471" t="s">
        <v>1306</v>
      </c>
      <c r="X266" s="1472" t="s">
        <v>1440</v>
      </c>
      <c r="Y266" s="1473" t="s">
        <v>1306</v>
      </c>
      <c r="Z266" s="1504" t="s">
        <v>1442</v>
      </c>
      <c r="AA266" s="1473" t="s">
        <v>1306</v>
      </c>
      <c r="AB266" s="1486" t="s">
        <v>1403</v>
      </c>
      <c r="AC266" s="1499"/>
      <c r="AD266" s="1500"/>
      <c r="AE266" s="1501"/>
      <c r="AF266" s="1501"/>
      <c r="AG266" s="1457" t="str">
        <f t="shared" si="19"/>
        <v>23調査結果-建築物の内部-4（2）-改善策の具体的内容等</v>
      </c>
      <c r="AI266" s="1502"/>
      <c r="AJ266" s="1502"/>
      <c r="AK266" s="1502"/>
      <c r="AL266" s="1508"/>
      <c r="AM266" s="1508"/>
      <c r="AN266" s="1508"/>
      <c r="AO266" s="1508"/>
    </row>
    <row r="267" spans="1:41" ht="18.75" customHeight="1" x14ac:dyDescent="0.15">
      <c r="A267" s="1586"/>
      <c r="B267" s="1509"/>
      <c r="C267" s="1509"/>
      <c r="D267" s="1460">
        <f>'1_入力シート【基本情報】'!$BS$383</f>
        <v>0</v>
      </c>
      <c r="E267" s="1674">
        <f t="shared" si="16"/>
        <v>0</v>
      </c>
      <c r="F267" s="1674" t="str">
        <f t="shared" si="17"/>
        <v>0</v>
      </c>
      <c r="G267" s="1674" t="str">
        <f t="shared" si="18"/>
        <v>0</v>
      </c>
      <c r="H267" s="1542"/>
      <c r="I267" s="1509"/>
      <c r="J267" s="1535"/>
      <c r="K267" s="1509"/>
      <c r="L267" s="1509"/>
      <c r="M267" s="1509"/>
      <c r="N267" s="1509"/>
      <c r="O267" s="1509"/>
      <c r="P267" s="1509"/>
      <c r="Q267" s="1509"/>
      <c r="R267" s="1509"/>
      <c r="S267" s="1509"/>
      <c r="T267" s="1509"/>
      <c r="U267" s="1469">
        <v>23</v>
      </c>
      <c r="V267" s="1486" t="s">
        <v>33</v>
      </c>
      <c r="W267" s="1471" t="s">
        <v>1306</v>
      </c>
      <c r="X267" s="1472" t="s">
        <v>1440</v>
      </c>
      <c r="Y267" s="1473" t="s">
        <v>1306</v>
      </c>
      <c r="Z267" s="1504" t="s">
        <v>1442</v>
      </c>
      <c r="AA267" s="1473" t="s">
        <v>1306</v>
      </c>
      <c r="AB267" s="1486" t="s">
        <v>352</v>
      </c>
      <c r="AC267" s="1499" t="s">
        <v>1366</v>
      </c>
      <c r="AD267" s="1500" t="s">
        <v>1387</v>
      </c>
      <c r="AE267" s="1501"/>
      <c r="AF267" s="1501"/>
      <c r="AG267" s="1457" t="str">
        <f t="shared" si="19"/>
        <v>23調査結果-建築物の内部-4（2）-改善（予定）年月-年（令和）</v>
      </c>
      <c r="AI267" s="1502"/>
      <c r="AJ267" s="1502"/>
      <c r="AK267" s="1459"/>
      <c r="AL267" s="1508"/>
      <c r="AM267" s="1508"/>
      <c r="AN267" s="1508"/>
      <c r="AO267" s="1508"/>
    </row>
    <row r="268" spans="1:41" ht="18.75" customHeight="1" x14ac:dyDescent="0.15">
      <c r="A268" s="1586"/>
      <c r="B268" s="1509"/>
      <c r="C268" s="1509"/>
      <c r="D268" s="1460">
        <f>'1_入力シート【基本情報】'!$BV$383</f>
        <v>0</v>
      </c>
      <c r="E268" s="1674">
        <f t="shared" si="16"/>
        <v>0</v>
      </c>
      <c r="F268" s="1674" t="str">
        <f t="shared" si="17"/>
        <v>0</v>
      </c>
      <c r="G268" s="1674" t="str">
        <f t="shared" si="18"/>
        <v>0</v>
      </c>
      <c r="H268" s="1542"/>
      <c r="I268" s="1509"/>
      <c r="J268" s="1535"/>
      <c r="K268" s="1509"/>
      <c r="L268" s="1509"/>
      <c r="M268" s="1509"/>
      <c r="N268" s="1509"/>
      <c r="O268" s="1509"/>
      <c r="P268" s="1509"/>
      <c r="Q268" s="1509"/>
      <c r="R268" s="1509"/>
      <c r="S268" s="1509"/>
      <c r="T268" s="1509"/>
      <c r="U268" s="1469">
        <v>23</v>
      </c>
      <c r="V268" s="1486" t="s">
        <v>33</v>
      </c>
      <c r="W268" s="1471" t="s">
        <v>1306</v>
      </c>
      <c r="X268" s="1472" t="s">
        <v>1440</v>
      </c>
      <c r="Y268" s="1473" t="s">
        <v>1306</v>
      </c>
      <c r="Z268" s="1504" t="s">
        <v>1442</v>
      </c>
      <c r="AA268" s="1473" t="s">
        <v>1306</v>
      </c>
      <c r="AB268" s="1470" t="s">
        <v>352</v>
      </c>
      <c r="AC268" s="1499" t="s">
        <v>1366</v>
      </c>
      <c r="AD268" s="1500" t="s">
        <v>348</v>
      </c>
      <c r="AE268" s="1501"/>
      <c r="AF268" s="1501"/>
      <c r="AG268" s="1457" t="str">
        <f t="shared" si="19"/>
        <v>23調査結果-建築物の内部-4（2）-改善（予定）年月-月</v>
      </c>
      <c r="AI268" s="1502"/>
      <c r="AJ268" s="1502"/>
      <c r="AK268" s="1502"/>
      <c r="AL268" s="1508"/>
      <c r="AM268" s="1508"/>
      <c r="AN268" s="1508"/>
      <c r="AO268" s="1508"/>
    </row>
    <row r="269" spans="1:41" ht="18.75" customHeight="1" x14ac:dyDescent="0.15">
      <c r="A269" s="1586"/>
      <c r="B269" s="1509"/>
      <c r="C269" s="1509"/>
      <c r="D269" s="1460">
        <f>'1_入力シート【基本情報】'!$BY$383</f>
        <v>0</v>
      </c>
      <c r="E269" s="1674">
        <f t="shared" si="16"/>
        <v>0</v>
      </c>
      <c r="F269" s="1674" t="str">
        <f t="shared" si="17"/>
        <v>0</v>
      </c>
      <c r="G269" s="1674" t="str">
        <f t="shared" si="18"/>
        <v>0</v>
      </c>
      <c r="H269" s="1542"/>
      <c r="I269" s="1509"/>
      <c r="J269" s="1535"/>
      <c r="K269" s="1509"/>
      <c r="L269" s="1509"/>
      <c r="M269" s="1509"/>
      <c r="N269" s="1509"/>
      <c r="O269" s="1509"/>
      <c r="P269" s="1509"/>
      <c r="Q269" s="1509"/>
      <c r="R269" s="1509"/>
      <c r="S269" s="1509"/>
      <c r="T269" s="1509"/>
      <c r="U269" s="1469">
        <v>23</v>
      </c>
      <c r="V269" s="1486" t="s">
        <v>33</v>
      </c>
      <c r="W269" s="1471" t="s">
        <v>1306</v>
      </c>
      <c r="X269" s="1472" t="s">
        <v>1440</v>
      </c>
      <c r="Y269" s="1473" t="s">
        <v>1306</v>
      </c>
      <c r="Z269" s="1504" t="s">
        <v>1442</v>
      </c>
      <c r="AA269" s="1473" t="s">
        <v>1306</v>
      </c>
      <c r="AB269" s="1470" t="s">
        <v>352</v>
      </c>
      <c r="AC269" s="1499" t="s">
        <v>1366</v>
      </c>
      <c r="AD269" s="1500" t="s">
        <v>640</v>
      </c>
      <c r="AE269" s="1501"/>
      <c r="AF269" s="1501"/>
      <c r="AG269" s="1457" t="str">
        <f t="shared" si="19"/>
        <v>23調査結果-建築物の内部-4（2）-改善（予定）年月-未定</v>
      </c>
      <c r="AI269" s="1502"/>
      <c r="AJ269" s="1502"/>
      <c r="AK269" s="1502"/>
      <c r="AL269" s="1508"/>
      <c r="AM269" s="1508"/>
      <c r="AN269" s="1508"/>
      <c r="AO269" s="1508"/>
    </row>
    <row r="270" spans="1:41" ht="18.75" customHeight="1" x14ac:dyDescent="0.15">
      <c r="A270" s="1586"/>
      <c r="B270" s="1509"/>
      <c r="C270" s="1509"/>
      <c r="D270" s="1460">
        <f>'1_入力シート【基本情報】'!$AF$384</f>
        <v>0</v>
      </c>
      <c r="E270" s="1674">
        <f t="shared" si="16"/>
        <v>0</v>
      </c>
      <c r="F270" s="1674" t="str">
        <f t="shared" si="17"/>
        <v>0</v>
      </c>
      <c r="G270" s="1674" t="str">
        <f t="shared" si="18"/>
        <v>0</v>
      </c>
      <c r="H270" s="1542"/>
      <c r="I270" s="1509"/>
      <c r="J270" s="1535"/>
      <c r="K270" s="1509"/>
      <c r="L270" s="1509"/>
      <c r="M270" s="1509"/>
      <c r="N270" s="1509"/>
      <c r="O270" s="1509"/>
      <c r="P270" s="1509"/>
      <c r="Q270" s="1509"/>
      <c r="R270" s="1509"/>
      <c r="S270" s="1509"/>
      <c r="T270" s="1509"/>
      <c r="U270" s="1469">
        <v>23</v>
      </c>
      <c r="V270" s="1486" t="s">
        <v>33</v>
      </c>
      <c r="W270" s="1471" t="s">
        <v>1306</v>
      </c>
      <c r="X270" s="1472" t="s">
        <v>1440</v>
      </c>
      <c r="Y270" s="1473" t="s">
        <v>1306</v>
      </c>
      <c r="Z270" s="1504" t="s">
        <v>1443</v>
      </c>
      <c r="AA270" s="1473" t="s">
        <v>1306</v>
      </c>
      <c r="AB270" s="1470" t="s">
        <v>33</v>
      </c>
      <c r="AC270" s="1499"/>
      <c r="AD270" s="1500"/>
      <c r="AE270" s="1501"/>
      <c r="AF270" s="1501"/>
      <c r="AG270" s="1457" t="str">
        <f t="shared" si="19"/>
        <v>23調査結果-建築物の内部-4（3）-調査結果</v>
      </c>
      <c r="AI270" s="1502"/>
      <c r="AJ270" s="1502"/>
      <c r="AK270" s="1502"/>
      <c r="AL270" s="1508"/>
      <c r="AM270" s="1508"/>
      <c r="AN270" s="1508"/>
      <c r="AO270" s="1508"/>
    </row>
    <row r="271" spans="1:41" ht="18.75" customHeight="1" x14ac:dyDescent="0.15">
      <c r="A271" s="1586"/>
      <c r="B271" s="1509"/>
      <c r="C271" s="1509"/>
      <c r="D271" s="1460">
        <f>'1_入力シート【基本情報】'!$AR$384</f>
        <v>0</v>
      </c>
      <c r="E271" s="1674">
        <f t="shared" si="16"/>
        <v>0</v>
      </c>
      <c r="F271" s="1674" t="str">
        <f t="shared" si="17"/>
        <v>0</v>
      </c>
      <c r="G271" s="1674" t="str">
        <f t="shared" si="18"/>
        <v>0</v>
      </c>
      <c r="H271" s="1542"/>
      <c r="I271" s="1509"/>
      <c r="J271" s="1535"/>
      <c r="K271" s="1509"/>
      <c r="L271" s="1509"/>
      <c r="M271" s="1509"/>
      <c r="N271" s="1509"/>
      <c r="O271" s="1509"/>
      <c r="P271" s="1509"/>
      <c r="Q271" s="1509"/>
      <c r="R271" s="1509"/>
      <c r="S271" s="1509"/>
      <c r="T271" s="1509"/>
      <c r="U271" s="1469">
        <v>23</v>
      </c>
      <c r="V271" s="1486" t="s">
        <v>33</v>
      </c>
      <c r="W271" s="1471" t="s">
        <v>1306</v>
      </c>
      <c r="X271" s="1472" t="s">
        <v>1440</v>
      </c>
      <c r="Y271" s="1473" t="s">
        <v>1306</v>
      </c>
      <c r="Z271" s="1504" t="s">
        <v>1443</v>
      </c>
      <c r="AA271" s="1473" t="s">
        <v>1306</v>
      </c>
      <c r="AB271" s="1470" t="s">
        <v>30</v>
      </c>
      <c r="AC271" s="1499"/>
      <c r="AD271" s="1500"/>
      <c r="AE271" s="1501"/>
      <c r="AF271" s="1501"/>
      <c r="AG271" s="1457" t="str">
        <f t="shared" si="19"/>
        <v>23調査結果-建築物の内部-4（3）-調査者番号</v>
      </c>
      <c r="AI271" s="1502"/>
      <c r="AJ271" s="1502"/>
      <c r="AK271" s="1502"/>
      <c r="AL271" s="1508"/>
      <c r="AM271" s="1508"/>
      <c r="AN271" s="1508"/>
      <c r="AO271" s="1508"/>
    </row>
    <row r="272" spans="1:41" ht="18.75" customHeight="1" x14ac:dyDescent="0.15">
      <c r="A272" s="1586"/>
      <c r="B272" s="1509"/>
      <c r="C272" s="1509"/>
      <c r="D272" s="1460">
        <f>'1_入力シート【基本情報】'!$AT$384</f>
        <v>0</v>
      </c>
      <c r="E272" s="1674">
        <f t="shared" si="16"/>
        <v>0</v>
      </c>
      <c r="F272" s="1674" t="str">
        <f t="shared" si="17"/>
        <v>0</v>
      </c>
      <c r="G272" s="1674" t="str">
        <f t="shared" si="18"/>
        <v>0</v>
      </c>
      <c r="H272" s="1542"/>
      <c r="I272" s="1509"/>
      <c r="J272" s="1535"/>
      <c r="K272" s="1509"/>
      <c r="L272" s="1509"/>
      <c r="M272" s="1509"/>
      <c r="N272" s="1509"/>
      <c r="O272" s="1509"/>
      <c r="P272" s="1509"/>
      <c r="Q272" s="1509"/>
      <c r="R272" s="1509"/>
      <c r="S272" s="1509"/>
      <c r="T272" s="1509"/>
      <c r="U272" s="1469">
        <v>23</v>
      </c>
      <c r="V272" s="1486" t="s">
        <v>33</v>
      </c>
      <c r="W272" s="1471" t="s">
        <v>1306</v>
      </c>
      <c r="X272" s="1472" t="s">
        <v>1440</v>
      </c>
      <c r="Y272" s="1473" t="s">
        <v>1306</v>
      </c>
      <c r="Z272" s="1504" t="s">
        <v>1443</v>
      </c>
      <c r="AA272" s="1473" t="s">
        <v>1306</v>
      </c>
      <c r="AB272" s="1486" t="s">
        <v>1402</v>
      </c>
      <c r="AC272" s="1499"/>
      <c r="AD272" s="1500"/>
      <c r="AE272" s="1501"/>
      <c r="AF272" s="1501"/>
      <c r="AG272" s="1457" t="str">
        <f t="shared" si="19"/>
        <v>23調査結果-建築物の内部-4（3）-指摘の具体的内容等</v>
      </c>
      <c r="AI272" s="1502"/>
      <c r="AJ272" s="1502"/>
      <c r="AK272" s="1502"/>
      <c r="AL272" s="1508"/>
      <c r="AM272" s="1508"/>
      <c r="AN272" s="1508"/>
      <c r="AO272" s="1508"/>
    </row>
    <row r="273" spans="1:41" ht="18.75" customHeight="1" x14ac:dyDescent="0.15">
      <c r="A273" s="1586"/>
      <c r="B273" s="1509"/>
      <c r="C273" s="1509"/>
      <c r="D273" s="1460">
        <f>'1_入力シート【基本情報】'!$BD$384</f>
        <v>0</v>
      </c>
      <c r="E273" s="1674">
        <f t="shared" si="16"/>
        <v>0</v>
      </c>
      <c r="F273" s="1674" t="str">
        <f t="shared" si="17"/>
        <v>0</v>
      </c>
      <c r="G273" s="1674" t="str">
        <f t="shared" si="18"/>
        <v>0</v>
      </c>
      <c r="H273" s="1542"/>
      <c r="I273" s="1509"/>
      <c r="J273" s="1535"/>
      <c r="K273" s="1509"/>
      <c r="L273" s="1509"/>
      <c r="M273" s="1509"/>
      <c r="N273" s="1509"/>
      <c r="O273" s="1509"/>
      <c r="P273" s="1509"/>
      <c r="Q273" s="1509"/>
      <c r="R273" s="1509"/>
      <c r="S273" s="1509"/>
      <c r="T273" s="1509"/>
      <c r="U273" s="1469">
        <v>23</v>
      </c>
      <c r="V273" s="1486" t="s">
        <v>33</v>
      </c>
      <c r="W273" s="1471" t="s">
        <v>1306</v>
      </c>
      <c r="X273" s="1472" t="s">
        <v>1440</v>
      </c>
      <c r="Y273" s="1473" t="s">
        <v>1306</v>
      </c>
      <c r="Z273" s="1504" t="s">
        <v>1443</v>
      </c>
      <c r="AA273" s="1473" t="s">
        <v>1306</v>
      </c>
      <c r="AB273" s="1486" t="s">
        <v>1403</v>
      </c>
      <c r="AC273" s="1499"/>
      <c r="AD273" s="1500"/>
      <c r="AE273" s="1501"/>
      <c r="AF273" s="1501"/>
      <c r="AG273" s="1457" t="str">
        <f t="shared" si="19"/>
        <v>23調査結果-建築物の内部-4（3）-改善策の具体的内容等</v>
      </c>
      <c r="AI273" s="1502"/>
      <c r="AJ273" s="1502"/>
      <c r="AK273" s="1502"/>
      <c r="AL273" s="1508"/>
      <c r="AM273" s="1508"/>
      <c r="AN273" s="1508"/>
      <c r="AO273" s="1508"/>
    </row>
    <row r="274" spans="1:41" ht="18.75" customHeight="1" x14ac:dyDescent="0.15">
      <c r="A274" s="1586"/>
      <c r="B274" s="1509"/>
      <c r="C274" s="1509"/>
      <c r="D274" s="1460">
        <f>'1_入力シート【基本情報】'!$BS$384</f>
        <v>0</v>
      </c>
      <c r="E274" s="1674">
        <f t="shared" si="16"/>
        <v>0</v>
      </c>
      <c r="F274" s="1674" t="str">
        <f t="shared" si="17"/>
        <v>0</v>
      </c>
      <c r="G274" s="1674" t="str">
        <f t="shared" si="18"/>
        <v>0</v>
      </c>
      <c r="H274" s="1542"/>
      <c r="I274" s="1509"/>
      <c r="J274" s="1535"/>
      <c r="K274" s="1509"/>
      <c r="L274" s="1509"/>
      <c r="M274" s="1509"/>
      <c r="N274" s="1509"/>
      <c r="O274" s="1509"/>
      <c r="P274" s="1509"/>
      <c r="Q274" s="1509"/>
      <c r="R274" s="1509"/>
      <c r="S274" s="1509"/>
      <c r="T274" s="1509"/>
      <c r="U274" s="1469">
        <v>23</v>
      </c>
      <c r="V274" s="1486" t="s">
        <v>33</v>
      </c>
      <c r="W274" s="1471" t="s">
        <v>1306</v>
      </c>
      <c r="X274" s="1472" t="s">
        <v>1440</v>
      </c>
      <c r="Y274" s="1473" t="s">
        <v>1306</v>
      </c>
      <c r="Z274" s="1504" t="s">
        <v>1443</v>
      </c>
      <c r="AA274" s="1473" t="s">
        <v>1306</v>
      </c>
      <c r="AB274" s="1486" t="s">
        <v>352</v>
      </c>
      <c r="AC274" s="1499" t="s">
        <v>1366</v>
      </c>
      <c r="AD274" s="1500" t="s">
        <v>1387</v>
      </c>
      <c r="AE274" s="1501"/>
      <c r="AF274" s="1501"/>
      <c r="AG274" s="1457" t="str">
        <f t="shared" si="19"/>
        <v>23調査結果-建築物の内部-4（3）-改善（予定）年月-年（令和）</v>
      </c>
      <c r="AI274" s="1502"/>
      <c r="AJ274" s="1502"/>
      <c r="AK274" s="1502"/>
      <c r="AL274" s="1508"/>
      <c r="AM274" s="1508"/>
      <c r="AN274" s="1508"/>
      <c r="AO274" s="1508"/>
    </row>
    <row r="275" spans="1:41" ht="18.75" customHeight="1" x14ac:dyDescent="0.15">
      <c r="A275" s="1586"/>
      <c r="B275" s="1509"/>
      <c r="C275" s="1509"/>
      <c r="D275" s="1460">
        <f>'1_入力シート【基本情報】'!$BV$384</f>
        <v>0</v>
      </c>
      <c r="E275" s="1674">
        <f t="shared" si="16"/>
        <v>0</v>
      </c>
      <c r="F275" s="1674" t="str">
        <f t="shared" si="17"/>
        <v>0</v>
      </c>
      <c r="G275" s="1674" t="str">
        <f t="shared" si="18"/>
        <v>0</v>
      </c>
      <c r="H275" s="1542"/>
      <c r="I275" s="1509"/>
      <c r="J275" s="1535"/>
      <c r="K275" s="1509"/>
      <c r="L275" s="1509"/>
      <c r="M275" s="1509"/>
      <c r="N275" s="1509"/>
      <c r="O275" s="1509"/>
      <c r="P275" s="1509"/>
      <c r="Q275" s="1509"/>
      <c r="R275" s="1509"/>
      <c r="S275" s="1509"/>
      <c r="T275" s="1509"/>
      <c r="U275" s="1469">
        <v>23</v>
      </c>
      <c r="V275" s="1486" t="s">
        <v>33</v>
      </c>
      <c r="W275" s="1471" t="s">
        <v>1306</v>
      </c>
      <c r="X275" s="1472" t="s">
        <v>1440</v>
      </c>
      <c r="Y275" s="1473" t="s">
        <v>1306</v>
      </c>
      <c r="Z275" s="1504" t="s">
        <v>1443</v>
      </c>
      <c r="AA275" s="1473" t="s">
        <v>1306</v>
      </c>
      <c r="AB275" s="1486" t="s">
        <v>352</v>
      </c>
      <c r="AC275" s="1499" t="s">
        <v>1366</v>
      </c>
      <c r="AD275" s="1500" t="s">
        <v>348</v>
      </c>
      <c r="AE275" s="1501"/>
      <c r="AF275" s="1501"/>
      <c r="AG275" s="1457" t="str">
        <f t="shared" si="19"/>
        <v>23調査結果-建築物の内部-4（3）-改善（予定）年月-月</v>
      </c>
      <c r="AI275" s="1502"/>
      <c r="AJ275" s="1502"/>
      <c r="AK275" s="1502"/>
      <c r="AL275" s="1508"/>
      <c r="AM275" s="1508"/>
      <c r="AN275" s="1508"/>
      <c r="AO275" s="1508"/>
    </row>
    <row r="276" spans="1:41" ht="18.75" customHeight="1" x14ac:dyDescent="0.15">
      <c r="A276" s="1586"/>
      <c r="B276" s="1509"/>
      <c r="C276" s="1509"/>
      <c r="D276" s="1460">
        <f>'1_入力シート【基本情報】'!$BY$384</f>
        <v>0</v>
      </c>
      <c r="E276" s="1674">
        <f t="shared" si="16"/>
        <v>0</v>
      </c>
      <c r="F276" s="1674" t="str">
        <f t="shared" si="17"/>
        <v>0</v>
      </c>
      <c r="G276" s="1674" t="str">
        <f t="shared" si="18"/>
        <v>0</v>
      </c>
      <c r="H276" s="1542"/>
      <c r="I276" s="1509"/>
      <c r="J276" s="1535"/>
      <c r="K276" s="1509"/>
      <c r="L276" s="1509"/>
      <c r="M276" s="1509"/>
      <c r="N276" s="1509"/>
      <c r="O276" s="1509"/>
      <c r="P276" s="1509"/>
      <c r="Q276" s="1509"/>
      <c r="R276" s="1509"/>
      <c r="S276" s="1509"/>
      <c r="T276" s="1509"/>
      <c r="U276" s="1469">
        <v>23</v>
      </c>
      <c r="V276" s="1486" t="s">
        <v>33</v>
      </c>
      <c r="W276" s="1471" t="s">
        <v>1306</v>
      </c>
      <c r="X276" s="1472" t="s">
        <v>1440</v>
      </c>
      <c r="Y276" s="1473" t="s">
        <v>1306</v>
      </c>
      <c r="Z276" s="1504" t="s">
        <v>1443</v>
      </c>
      <c r="AA276" s="1473" t="s">
        <v>1306</v>
      </c>
      <c r="AB276" s="1470" t="s">
        <v>352</v>
      </c>
      <c r="AC276" s="1499" t="s">
        <v>1366</v>
      </c>
      <c r="AD276" s="1500" t="s">
        <v>640</v>
      </c>
      <c r="AE276" s="1501"/>
      <c r="AF276" s="1501"/>
      <c r="AG276" s="1457" t="str">
        <f t="shared" si="19"/>
        <v>23調査結果-建築物の内部-4（3）-改善（予定）年月-未定</v>
      </c>
      <c r="AI276" s="1502"/>
      <c r="AJ276" s="1502"/>
      <c r="AK276" s="1502"/>
      <c r="AL276" s="1508"/>
      <c r="AM276" s="1508"/>
      <c r="AN276" s="1508"/>
      <c r="AO276" s="1508"/>
    </row>
    <row r="277" spans="1:41" ht="18.75" customHeight="1" x14ac:dyDescent="0.15">
      <c r="A277" s="1586"/>
      <c r="B277" s="1509"/>
      <c r="C277" s="1509"/>
      <c r="D277" s="1460">
        <f>'1_入力シート【基本情報】'!$AF$385</f>
        <v>0</v>
      </c>
      <c r="E277" s="1674">
        <f t="shared" si="16"/>
        <v>0</v>
      </c>
      <c r="F277" s="1674" t="str">
        <f t="shared" si="17"/>
        <v>0</v>
      </c>
      <c r="G277" s="1674" t="str">
        <f t="shared" si="18"/>
        <v>0</v>
      </c>
      <c r="H277" s="1542"/>
      <c r="I277" s="1509"/>
      <c r="J277" s="1535"/>
      <c r="K277" s="1509"/>
      <c r="L277" s="1509"/>
      <c r="M277" s="1509"/>
      <c r="N277" s="1509"/>
      <c r="O277" s="1509"/>
      <c r="P277" s="1509"/>
      <c r="Q277" s="1509"/>
      <c r="R277" s="1509"/>
      <c r="S277" s="1509"/>
      <c r="T277" s="1509"/>
      <c r="U277" s="1469">
        <v>23</v>
      </c>
      <c r="V277" s="1486" t="s">
        <v>33</v>
      </c>
      <c r="W277" s="1471" t="s">
        <v>1306</v>
      </c>
      <c r="X277" s="1472" t="s">
        <v>1440</v>
      </c>
      <c r="Y277" s="1473" t="s">
        <v>1306</v>
      </c>
      <c r="Z277" s="1504" t="s">
        <v>1444</v>
      </c>
      <c r="AA277" s="1473" t="s">
        <v>1306</v>
      </c>
      <c r="AB277" s="1470" t="s">
        <v>33</v>
      </c>
      <c r="AC277" s="1499"/>
      <c r="AD277" s="1500"/>
      <c r="AE277" s="1501"/>
      <c r="AF277" s="1501"/>
      <c r="AG277" s="1457" t="str">
        <f t="shared" si="19"/>
        <v>23調査結果-建築物の内部-4（4）-調査結果</v>
      </c>
      <c r="AI277" s="1502"/>
      <c r="AJ277" s="1502"/>
      <c r="AK277" s="1502"/>
    </row>
    <row r="278" spans="1:41" s="1457" customFormat="1" ht="18.75" customHeight="1" x14ac:dyDescent="0.15">
      <c r="A278" s="1586"/>
      <c r="B278" s="1509"/>
      <c r="C278" s="1509"/>
      <c r="D278" s="1460">
        <f>'1_入力シート【基本情報】'!$AR$385</f>
        <v>0</v>
      </c>
      <c r="E278" s="1674">
        <f t="shared" si="16"/>
        <v>0</v>
      </c>
      <c r="F278" s="1674" t="str">
        <f t="shared" si="17"/>
        <v>0</v>
      </c>
      <c r="G278" s="1674" t="str">
        <f t="shared" si="18"/>
        <v>0</v>
      </c>
      <c r="H278" s="1542"/>
      <c r="I278" s="1509"/>
      <c r="J278" s="1535"/>
      <c r="K278" s="1509"/>
      <c r="L278" s="1509"/>
      <c r="M278" s="1509"/>
      <c r="N278" s="1509"/>
      <c r="O278" s="1509"/>
      <c r="P278" s="1509"/>
      <c r="Q278" s="1509"/>
      <c r="R278" s="1509"/>
      <c r="S278" s="1509"/>
      <c r="T278" s="1509"/>
      <c r="U278" s="1469">
        <v>23</v>
      </c>
      <c r="V278" s="1486" t="s">
        <v>33</v>
      </c>
      <c r="W278" s="1471" t="s">
        <v>1306</v>
      </c>
      <c r="X278" s="1472" t="s">
        <v>1440</v>
      </c>
      <c r="Y278" s="1473" t="s">
        <v>1306</v>
      </c>
      <c r="Z278" s="1504" t="s">
        <v>1444</v>
      </c>
      <c r="AA278" s="1473" t="s">
        <v>1306</v>
      </c>
      <c r="AB278" s="1470" t="s">
        <v>30</v>
      </c>
      <c r="AC278" s="1499"/>
      <c r="AD278" s="1500"/>
      <c r="AE278" s="1501"/>
      <c r="AF278" s="1501"/>
      <c r="AG278" s="1457" t="str">
        <f t="shared" si="19"/>
        <v>23調査結果-建築物の内部-4（4）-調査者番号</v>
      </c>
      <c r="AI278" s="1502"/>
      <c r="AJ278" s="1502"/>
      <c r="AK278" s="1502"/>
    </row>
    <row r="279" spans="1:41" s="1457" customFormat="1" ht="18.75" customHeight="1" x14ac:dyDescent="0.15">
      <c r="A279" s="1586"/>
      <c r="B279" s="1509"/>
      <c r="C279" s="1509"/>
      <c r="D279" s="1460">
        <f>'1_入力シート【基本情報】'!$AT$385</f>
        <v>0</v>
      </c>
      <c r="E279" s="1674">
        <f t="shared" si="16"/>
        <v>0</v>
      </c>
      <c r="F279" s="1674" t="str">
        <f t="shared" si="17"/>
        <v>0</v>
      </c>
      <c r="G279" s="1674" t="str">
        <f t="shared" si="18"/>
        <v>0</v>
      </c>
      <c r="H279" s="1542"/>
      <c r="I279" s="1509"/>
      <c r="J279" s="1535"/>
      <c r="K279" s="1509"/>
      <c r="L279" s="1509"/>
      <c r="M279" s="1509"/>
      <c r="N279" s="1509"/>
      <c r="O279" s="1509"/>
      <c r="P279" s="1509"/>
      <c r="Q279" s="1509"/>
      <c r="R279" s="1509"/>
      <c r="S279" s="1509"/>
      <c r="T279" s="1509"/>
      <c r="U279" s="1469">
        <v>23</v>
      </c>
      <c r="V279" s="1486" t="s">
        <v>33</v>
      </c>
      <c r="W279" s="1471" t="s">
        <v>1306</v>
      </c>
      <c r="X279" s="1472" t="s">
        <v>1440</v>
      </c>
      <c r="Y279" s="1473" t="s">
        <v>1306</v>
      </c>
      <c r="Z279" s="1504" t="s">
        <v>1444</v>
      </c>
      <c r="AA279" s="1473" t="s">
        <v>1306</v>
      </c>
      <c r="AB279" s="1470" t="s">
        <v>1402</v>
      </c>
      <c r="AC279" s="1499"/>
      <c r="AD279" s="1500"/>
      <c r="AE279" s="1501"/>
      <c r="AF279" s="1501"/>
      <c r="AG279" s="1457" t="str">
        <f t="shared" si="19"/>
        <v>23調査結果-建築物の内部-4（4）-指摘の具体的内容等</v>
      </c>
      <c r="AI279" s="1502"/>
      <c r="AJ279" s="1502"/>
      <c r="AK279" s="1502"/>
    </row>
    <row r="280" spans="1:41" s="1457" customFormat="1" ht="18.75" customHeight="1" x14ac:dyDescent="0.15">
      <c r="A280" s="1586"/>
      <c r="B280" s="1509"/>
      <c r="C280" s="1509"/>
      <c r="D280" s="1460">
        <f>'1_入力シート【基本情報】'!$BD$385</f>
        <v>0</v>
      </c>
      <c r="E280" s="1674">
        <f t="shared" si="16"/>
        <v>0</v>
      </c>
      <c r="F280" s="1674" t="str">
        <f t="shared" si="17"/>
        <v>0</v>
      </c>
      <c r="G280" s="1674" t="str">
        <f t="shared" si="18"/>
        <v>0</v>
      </c>
      <c r="H280" s="1542"/>
      <c r="I280" s="1509"/>
      <c r="J280" s="1535"/>
      <c r="K280" s="1509"/>
      <c r="L280" s="1509"/>
      <c r="M280" s="1509"/>
      <c r="N280" s="1509"/>
      <c r="O280" s="1509"/>
      <c r="P280" s="1509"/>
      <c r="Q280" s="1509"/>
      <c r="R280" s="1509"/>
      <c r="S280" s="1509"/>
      <c r="T280" s="1509"/>
      <c r="U280" s="1469">
        <v>23</v>
      </c>
      <c r="V280" s="1486" t="s">
        <v>33</v>
      </c>
      <c r="W280" s="1471" t="s">
        <v>1306</v>
      </c>
      <c r="X280" s="1472" t="s">
        <v>1440</v>
      </c>
      <c r="Y280" s="1473" t="s">
        <v>1306</v>
      </c>
      <c r="Z280" s="1504" t="s">
        <v>1444</v>
      </c>
      <c r="AA280" s="1473" t="s">
        <v>1306</v>
      </c>
      <c r="AB280" s="1486" t="s">
        <v>1403</v>
      </c>
      <c r="AC280" s="1499"/>
      <c r="AD280" s="1500"/>
      <c r="AE280" s="1501"/>
      <c r="AF280" s="1501"/>
      <c r="AG280" s="1457" t="str">
        <f t="shared" si="19"/>
        <v>23調査結果-建築物の内部-4（4）-改善策の具体的内容等</v>
      </c>
      <c r="AI280" s="1502"/>
      <c r="AJ280" s="1502"/>
      <c r="AK280" s="1502"/>
    </row>
    <row r="281" spans="1:41" s="1457" customFormat="1" ht="18.75" customHeight="1" x14ac:dyDescent="0.15">
      <c r="A281" s="1586"/>
      <c r="B281" s="1509"/>
      <c r="C281" s="1509"/>
      <c r="D281" s="1460">
        <f>'1_入力シート【基本情報】'!$BS$385</f>
        <v>0</v>
      </c>
      <c r="E281" s="1674">
        <f t="shared" si="16"/>
        <v>0</v>
      </c>
      <c r="F281" s="1674" t="str">
        <f t="shared" si="17"/>
        <v>0</v>
      </c>
      <c r="G281" s="1674" t="str">
        <f t="shared" si="18"/>
        <v>0</v>
      </c>
      <c r="H281" s="1542"/>
      <c r="I281" s="1509"/>
      <c r="J281" s="1535"/>
      <c r="K281" s="1509"/>
      <c r="L281" s="1509"/>
      <c r="M281" s="1509"/>
      <c r="N281" s="1509"/>
      <c r="O281" s="1509"/>
      <c r="P281" s="1509"/>
      <c r="Q281" s="1509"/>
      <c r="R281" s="1509"/>
      <c r="S281" s="1509"/>
      <c r="T281" s="1509"/>
      <c r="U281" s="1469">
        <v>23</v>
      </c>
      <c r="V281" s="1486" t="s">
        <v>33</v>
      </c>
      <c r="W281" s="1471" t="s">
        <v>1306</v>
      </c>
      <c r="X281" s="1472" t="s">
        <v>1440</v>
      </c>
      <c r="Y281" s="1473" t="s">
        <v>1306</v>
      </c>
      <c r="Z281" s="1504" t="s">
        <v>1444</v>
      </c>
      <c r="AA281" s="1473" t="s">
        <v>1306</v>
      </c>
      <c r="AB281" s="1486" t="s">
        <v>352</v>
      </c>
      <c r="AC281" s="1499" t="s">
        <v>1366</v>
      </c>
      <c r="AD281" s="1500" t="s">
        <v>1387</v>
      </c>
      <c r="AE281" s="1501"/>
      <c r="AF281" s="1501"/>
      <c r="AG281" s="1457" t="str">
        <f t="shared" si="19"/>
        <v>23調査結果-建築物の内部-4（4）-改善（予定）年月-年（令和）</v>
      </c>
      <c r="AI281" s="1459"/>
      <c r="AJ281" s="1459"/>
      <c r="AK281" s="1502"/>
    </row>
    <row r="282" spans="1:41" s="1457" customFormat="1" ht="18.75" customHeight="1" x14ac:dyDescent="0.15">
      <c r="A282" s="1586"/>
      <c r="B282" s="1509"/>
      <c r="C282" s="1509"/>
      <c r="D282" s="1460">
        <f>'1_入力シート【基本情報】'!$BV$385</f>
        <v>0</v>
      </c>
      <c r="E282" s="1674">
        <f t="shared" si="16"/>
        <v>0</v>
      </c>
      <c r="F282" s="1674" t="str">
        <f t="shared" si="17"/>
        <v>0</v>
      </c>
      <c r="G282" s="1674" t="str">
        <f t="shared" si="18"/>
        <v>0</v>
      </c>
      <c r="H282" s="1542"/>
      <c r="I282" s="1509"/>
      <c r="J282" s="1535"/>
      <c r="K282" s="1509"/>
      <c r="L282" s="1509"/>
      <c r="M282" s="1509"/>
      <c r="N282" s="1509"/>
      <c r="O282" s="1509"/>
      <c r="P282" s="1509"/>
      <c r="Q282" s="1509"/>
      <c r="R282" s="1509"/>
      <c r="S282" s="1509"/>
      <c r="T282" s="1509"/>
      <c r="U282" s="1469">
        <v>23</v>
      </c>
      <c r="V282" s="1486" t="s">
        <v>33</v>
      </c>
      <c r="W282" s="1471" t="s">
        <v>1306</v>
      </c>
      <c r="X282" s="1472" t="s">
        <v>1440</v>
      </c>
      <c r="Y282" s="1473" t="s">
        <v>1306</v>
      </c>
      <c r="Z282" s="1504" t="s">
        <v>1444</v>
      </c>
      <c r="AA282" s="1473" t="s">
        <v>1306</v>
      </c>
      <c r="AB282" s="1486" t="s">
        <v>352</v>
      </c>
      <c r="AC282" s="1499" t="s">
        <v>1366</v>
      </c>
      <c r="AD282" s="1500" t="s">
        <v>348</v>
      </c>
      <c r="AE282" s="1501"/>
      <c r="AF282" s="1501"/>
      <c r="AG282" s="1457" t="str">
        <f t="shared" si="19"/>
        <v>23調査結果-建築物の内部-4（4）-改善（予定）年月-月</v>
      </c>
      <c r="AI282" s="1459"/>
      <c r="AJ282" s="1459"/>
      <c r="AK282" s="1502"/>
    </row>
    <row r="283" spans="1:41" s="1457" customFormat="1" ht="18.75" customHeight="1" x14ac:dyDescent="0.15">
      <c r="A283" s="1586"/>
      <c r="B283" s="1509"/>
      <c r="C283" s="1509"/>
      <c r="D283" s="1460">
        <f>'1_入力シート【基本情報】'!$BY$385</f>
        <v>0</v>
      </c>
      <c r="E283" s="1674">
        <f t="shared" ref="E283:E346" si="20">D283</f>
        <v>0</v>
      </c>
      <c r="F283" s="1674" t="str">
        <f t="shared" ref="F283:F346" si="21">SUBSTITUTE(E283,CHAR(10),"")</f>
        <v>0</v>
      </c>
      <c r="G283" s="1674" t="str">
        <f t="shared" ref="G283:G346" si="22">TRIM(F283)</f>
        <v>0</v>
      </c>
      <c r="H283" s="1542"/>
      <c r="I283" s="1509"/>
      <c r="J283" s="1535"/>
      <c r="K283" s="1509"/>
      <c r="L283" s="1509"/>
      <c r="M283" s="1509"/>
      <c r="N283" s="1509"/>
      <c r="O283" s="1509"/>
      <c r="P283" s="1509"/>
      <c r="Q283" s="1509"/>
      <c r="R283" s="1509"/>
      <c r="S283" s="1509"/>
      <c r="T283" s="1509"/>
      <c r="U283" s="1469">
        <v>23</v>
      </c>
      <c r="V283" s="1486" t="s">
        <v>33</v>
      </c>
      <c r="W283" s="1471" t="s">
        <v>1306</v>
      </c>
      <c r="X283" s="1472" t="s">
        <v>1440</v>
      </c>
      <c r="Y283" s="1473" t="s">
        <v>1306</v>
      </c>
      <c r="Z283" s="1504" t="s">
        <v>1444</v>
      </c>
      <c r="AA283" s="1473" t="s">
        <v>1306</v>
      </c>
      <c r="AB283" s="1486" t="s">
        <v>352</v>
      </c>
      <c r="AC283" s="1499" t="s">
        <v>1366</v>
      </c>
      <c r="AD283" s="1500" t="s">
        <v>640</v>
      </c>
      <c r="AE283" s="1501"/>
      <c r="AF283" s="1501"/>
      <c r="AG283" s="1457" t="str">
        <f t="shared" si="19"/>
        <v>23調査結果-建築物の内部-4（4）-改善（予定）年月-未定</v>
      </c>
      <c r="AI283" s="1459"/>
      <c r="AJ283" s="1459"/>
      <c r="AK283" s="1502"/>
    </row>
    <row r="284" spans="1:41" s="1457" customFormat="1" ht="18.75" customHeight="1" x14ac:dyDescent="0.15">
      <c r="A284" s="1586"/>
      <c r="B284" s="1509"/>
      <c r="C284" s="1509"/>
      <c r="D284" s="1460">
        <f>'1_入力シート【基本情報】'!$AF$386</f>
        <v>0</v>
      </c>
      <c r="E284" s="1674">
        <f t="shared" si="20"/>
        <v>0</v>
      </c>
      <c r="F284" s="1674" t="str">
        <f t="shared" si="21"/>
        <v>0</v>
      </c>
      <c r="G284" s="1674" t="str">
        <f t="shared" si="22"/>
        <v>0</v>
      </c>
      <c r="H284" s="1542"/>
      <c r="I284" s="1509"/>
      <c r="J284" s="1535"/>
      <c r="K284" s="1509"/>
      <c r="L284" s="1509"/>
      <c r="M284" s="1509"/>
      <c r="N284" s="1509"/>
      <c r="O284" s="1509"/>
      <c r="P284" s="1509"/>
      <c r="Q284" s="1509"/>
      <c r="R284" s="1509"/>
      <c r="S284" s="1509"/>
      <c r="T284" s="1509"/>
      <c r="U284" s="1469">
        <v>23</v>
      </c>
      <c r="V284" s="1486" t="s">
        <v>33</v>
      </c>
      <c r="W284" s="1471" t="s">
        <v>1306</v>
      </c>
      <c r="X284" s="1472" t="s">
        <v>1440</v>
      </c>
      <c r="Y284" s="1473" t="s">
        <v>1306</v>
      </c>
      <c r="Z284" s="1504" t="s">
        <v>1445</v>
      </c>
      <c r="AA284" s="1473" t="s">
        <v>1306</v>
      </c>
      <c r="AB284" s="1470" t="s">
        <v>33</v>
      </c>
      <c r="AC284" s="1499"/>
      <c r="AD284" s="1500"/>
      <c r="AE284" s="1501"/>
      <c r="AF284" s="1501"/>
      <c r="AG284" s="1457" t="str">
        <f t="shared" si="19"/>
        <v>23調査結果-建築物の内部-4（5）-調査結果</v>
      </c>
      <c r="AI284" s="1459"/>
      <c r="AJ284" s="1459"/>
      <c r="AK284" s="1502"/>
    </row>
    <row r="285" spans="1:41" s="1457" customFormat="1" ht="18.75" customHeight="1" x14ac:dyDescent="0.15">
      <c r="A285" s="1586"/>
      <c r="B285" s="1509"/>
      <c r="C285" s="1509"/>
      <c r="D285" s="1460">
        <f>'1_入力シート【基本情報】'!$AR$386</f>
        <v>0</v>
      </c>
      <c r="E285" s="1674">
        <f t="shared" si="20"/>
        <v>0</v>
      </c>
      <c r="F285" s="1674" t="str">
        <f t="shared" si="21"/>
        <v>0</v>
      </c>
      <c r="G285" s="1674" t="str">
        <f t="shared" si="22"/>
        <v>0</v>
      </c>
      <c r="H285" s="1542"/>
      <c r="I285" s="1509"/>
      <c r="J285" s="1535"/>
      <c r="K285" s="1509"/>
      <c r="L285" s="1509"/>
      <c r="M285" s="1509"/>
      <c r="N285" s="1509"/>
      <c r="O285" s="1509"/>
      <c r="P285" s="1509"/>
      <c r="Q285" s="1509"/>
      <c r="R285" s="1509"/>
      <c r="S285" s="1509"/>
      <c r="T285" s="1509"/>
      <c r="U285" s="1469">
        <v>23</v>
      </c>
      <c r="V285" s="1486" t="s">
        <v>33</v>
      </c>
      <c r="W285" s="1471" t="s">
        <v>1306</v>
      </c>
      <c r="X285" s="1472" t="s">
        <v>1440</v>
      </c>
      <c r="Y285" s="1473" t="s">
        <v>1306</v>
      </c>
      <c r="Z285" s="1504" t="s">
        <v>1445</v>
      </c>
      <c r="AA285" s="1473" t="s">
        <v>1306</v>
      </c>
      <c r="AB285" s="1470" t="s">
        <v>30</v>
      </c>
      <c r="AC285" s="1499"/>
      <c r="AD285" s="1500"/>
      <c r="AE285" s="1501"/>
      <c r="AF285" s="1501"/>
      <c r="AG285" s="1457" t="str">
        <f t="shared" si="19"/>
        <v>23調査結果-建築物の内部-4（5）-調査者番号</v>
      </c>
      <c r="AI285" s="1459"/>
      <c r="AJ285" s="1459"/>
      <c r="AK285" s="1502"/>
    </row>
    <row r="286" spans="1:41" s="1457" customFormat="1" ht="18.75" customHeight="1" x14ac:dyDescent="0.15">
      <c r="A286" s="1586"/>
      <c r="B286" s="1509"/>
      <c r="C286" s="1509"/>
      <c r="D286" s="1460">
        <f>'1_入力シート【基本情報】'!$AT$386</f>
        <v>0</v>
      </c>
      <c r="E286" s="1674">
        <f t="shared" si="20"/>
        <v>0</v>
      </c>
      <c r="F286" s="1674" t="str">
        <f t="shared" si="21"/>
        <v>0</v>
      </c>
      <c r="G286" s="1674" t="str">
        <f t="shared" si="22"/>
        <v>0</v>
      </c>
      <c r="H286" s="1542"/>
      <c r="I286" s="1509"/>
      <c r="J286" s="1535"/>
      <c r="K286" s="1509"/>
      <c r="L286" s="1509"/>
      <c r="M286" s="1509"/>
      <c r="N286" s="1509"/>
      <c r="O286" s="1509"/>
      <c r="P286" s="1509"/>
      <c r="Q286" s="1509"/>
      <c r="R286" s="1509"/>
      <c r="S286" s="1509"/>
      <c r="T286" s="1509"/>
      <c r="U286" s="1469">
        <v>23</v>
      </c>
      <c r="V286" s="1486" t="s">
        <v>33</v>
      </c>
      <c r="W286" s="1471" t="s">
        <v>1306</v>
      </c>
      <c r="X286" s="1472" t="s">
        <v>1440</v>
      </c>
      <c r="Y286" s="1473" t="s">
        <v>1306</v>
      </c>
      <c r="Z286" s="1504" t="s">
        <v>1445</v>
      </c>
      <c r="AA286" s="1473" t="s">
        <v>1306</v>
      </c>
      <c r="AB286" s="1470" t="s">
        <v>1402</v>
      </c>
      <c r="AC286" s="1499"/>
      <c r="AD286" s="1500"/>
      <c r="AE286" s="1501"/>
      <c r="AF286" s="1501"/>
      <c r="AG286" s="1457" t="str">
        <f t="shared" si="19"/>
        <v>23調査結果-建築物の内部-4（5）-指摘の具体的内容等</v>
      </c>
      <c r="AI286" s="1459"/>
      <c r="AJ286" s="1459"/>
      <c r="AK286" s="1502"/>
    </row>
    <row r="287" spans="1:41" s="1457" customFormat="1" ht="18.75" customHeight="1" x14ac:dyDescent="0.15">
      <c r="A287" s="1578"/>
      <c r="B287" s="1462"/>
      <c r="C287" s="1462"/>
      <c r="D287" s="1460">
        <f>'1_入力シート【基本情報】'!$BD$386</f>
        <v>0</v>
      </c>
      <c r="E287" s="1650">
        <f t="shared" si="20"/>
        <v>0</v>
      </c>
      <c r="F287" s="1650" t="str">
        <f t="shared" si="21"/>
        <v>0</v>
      </c>
      <c r="G287" s="1650" t="str">
        <f t="shared" si="22"/>
        <v>0</v>
      </c>
      <c r="H287" s="1468"/>
      <c r="I287" s="1462"/>
      <c r="J287" s="1531"/>
      <c r="K287" s="1462"/>
      <c r="L287" s="1462"/>
      <c r="M287" s="1493"/>
      <c r="N287" s="1462"/>
      <c r="O287" s="1462"/>
      <c r="P287" s="1462"/>
      <c r="Q287" s="1462"/>
      <c r="R287" s="1462"/>
      <c r="S287" s="1462"/>
      <c r="T287" s="1462"/>
      <c r="U287" s="1469">
        <v>23</v>
      </c>
      <c r="V287" s="1486" t="s">
        <v>33</v>
      </c>
      <c r="W287" s="1471" t="s">
        <v>1306</v>
      </c>
      <c r="X287" s="1472" t="s">
        <v>1440</v>
      </c>
      <c r="Y287" s="1473" t="s">
        <v>1306</v>
      </c>
      <c r="Z287" s="1504" t="s">
        <v>1445</v>
      </c>
      <c r="AA287" s="1473" t="s">
        <v>1306</v>
      </c>
      <c r="AB287" s="1470" t="s">
        <v>1403</v>
      </c>
      <c r="AC287" s="1499"/>
      <c r="AD287" s="1500"/>
      <c r="AE287" s="1501"/>
      <c r="AF287" s="1501"/>
      <c r="AG287" s="1457" t="str">
        <f t="shared" si="19"/>
        <v>23調査結果-建築物の内部-4（5）-改善策の具体的内容等</v>
      </c>
      <c r="AI287" s="1459"/>
      <c r="AJ287" s="1459"/>
      <c r="AK287" s="1502"/>
    </row>
    <row r="288" spans="1:41" s="1457" customFormat="1" ht="18.75" customHeight="1" x14ac:dyDescent="0.15">
      <c r="A288" s="1578"/>
      <c r="B288" s="1462"/>
      <c r="C288" s="1462"/>
      <c r="D288" s="1460">
        <f>'1_入力シート【基本情報】'!$BS$386</f>
        <v>0</v>
      </c>
      <c r="E288" s="1650">
        <f t="shared" si="20"/>
        <v>0</v>
      </c>
      <c r="F288" s="1650" t="str">
        <f t="shared" si="21"/>
        <v>0</v>
      </c>
      <c r="G288" s="1650" t="str">
        <f t="shared" si="22"/>
        <v>0</v>
      </c>
      <c r="H288" s="1468"/>
      <c r="I288" s="1462"/>
      <c r="J288" s="1531"/>
      <c r="K288" s="1462"/>
      <c r="L288" s="1462"/>
      <c r="M288" s="1493"/>
      <c r="N288" s="1462"/>
      <c r="O288" s="1462"/>
      <c r="P288" s="1462"/>
      <c r="Q288" s="1462"/>
      <c r="R288" s="1462"/>
      <c r="S288" s="1462"/>
      <c r="T288" s="1462"/>
      <c r="U288" s="1469">
        <v>23</v>
      </c>
      <c r="V288" s="1486" t="s">
        <v>33</v>
      </c>
      <c r="W288" s="1471" t="s">
        <v>1306</v>
      </c>
      <c r="X288" s="1472" t="s">
        <v>1440</v>
      </c>
      <c r="Y288" s="1473" t="s">
        <v>1306</v>
      </c>
      <c r="Z288" s="1504" t="s">
        <v>1445</v>
      </c>
      <c r="AA288" s="1473" t="s">
        <v>1306</v>
      </c>
      <c r="AB288" s="1486" t="s">
        <v>352</v>
      </c>
      <c r="AC288" s="1499" t="s">
        <v>1366</v>
      </c>
      <c r="AD288" s="1500" t="s">
        <v>1387</v>
      </c>
      <c r="AE288" s="1501"/>
      <c r="AF288" s="1501"/>
      <c r="AG288" s="1457" t="str">
        <f t="shared" si="19"/>
        <v>23調査結果-建築物の内部-4（5）-改善（予定）年月-年（令和）</v>
      </c>
      <c r="AI288" s="1459"/>
      <c r="AJ288" s="1459"/>
      <c r="AK288" s="1502"/>
    </row>
    <row r="289" spans="1:37" s="1457" customFormat="1" ht="18.75" customHeight="1" x14ac:dyDescent="0.15">
      <c r="A289" s="1578"/>
      <c r="B289" s="1462"/>
      <c r="C289" s="1462"/>
      <c r="D289" s="1460">
        <f>'1_入力シート【基本情報】'!$BV$386</f>
        <v>0</v>
      </c>
      <c r="E289" s="1650">
        <f t="shared" si="20"/>
        <v>0</v>
      </c>
      <c r="F289" s="1650" t="str">
        <f t="shared" si="21"/>
        <v>0</v>
      </c>
      <c r="G289" s="1650" t="str">
        <f t="shared" si="22"/>
        <v>0</v>
      </c>
      <c r="H289" s="1468"/>
      <c r="I289" s="1462"/>
      <c r="J289" s="1531"/>
      <c r="K289" s="1462"/>
      <c r="L289" s="1462"/>
      <c r="M289" s="1493"/>
      <c r="N289" s="1462"/>
      <c r="O289" s="1462"/>
      <c r="P289" s="1462"/>
      <c r="Q289" s="1462"/>
      <c r="R289" s="1462"/>
      <c r="S289" s="1462"/>
      <c r="T289" s="1462"/>
      <c r="U289" s="1469">
        <v>23</v>
      </c>
      <c r="V289" s="1486" t="s">
        <v>33</v>
      </c>
      <c r="W289" s="1471" t="s">
        <v>1306</v>
      </c>
      <c r="X289" s="1472" t="s">
        <v>1440</v>
      </c>
      <c r="Y289" s="1473" t="s">
        <v>1306</v>
      </c>
      <c r="Z289" s="1504" t="s">
        <v>1445</v>
      </c>
      <c r="AA289" s="1473" t="s">
        <v>1306</v>
      </c>
      <c r="AB289" s="1486" t="s">
        <v>352</v>
      </c>
      <c r="AC289" s="1499" t="s">
        <v>1366</v>
      </c>
      <c r="AD289" s="1500" t="s">
        <v>348</v>
      </c>
      <c r="AE289" s="1501"/>
      <c r="AF289" s="1501"/>
      <c r="AG289" s="1457" t="str">
        <f t="shared" si="19"/>
        <v>23調査結果-建築物の内部-4（5）-改善（予定）年月-月</v>
      </c>
      <c r="AI289" s="1459"/>
      <c r="AJ289" s="1459"/>
      <c r="AK289" s="1502"/>
    </row>
    <row r="290" spans="1:37" s="1457" customFormat="1" ht="18.75" customHeight="1" x14ac:dyDescent="0.15">
      <c r="A290" s="1578"/>
      <c r="B290" s="1462"/>
      <c r="C290" s="1462"/>
      <c r="D290" s="1460">
        <f>'1_入力シート【基本情報】'!$BY$386</f>
        <v>0</v>
      </c>
      <c r="E290" s="1650">
        <f t="shared" si="20"/>
        <v>0</v>
      </c>
      <c r="F290" s="1650" t="str">
        <f t="shared" si="21"/>
        <v>0</v>
      </c>
      <c r="G290" s="1650" t="str">
        <f t="shared" si="22"/>
        <v>0</v>
      </c>
      <c r="H290" s="1468"/>
      <c r="I290" s="1462"/>
      <c r="J290" s="1531"/>
      <c r="K290" s="1462"/>
      <c r="L290" s="1462"/>
      <c r="M290" s="1493"/>
      <c r="N290" s="1462"/>
      <c r="O290" s="1462"/>
      <c r="P290" s="1462"/>
      <c r="Q290" s="1462"/>
      <c r="R290" s="1462"/>
      <c r="S290" s="1462"/>
      <c r="T290" s="1462"/>
      <c r="U290" s="1469">
        <v>23</v>
      </c>
      <c r="V290" s="1486" t="s">
        <v>33</v>
      </c>
      <c r="W290" s="1471" t="s">
        <v>1306</v>
      </c>
      <c r="X290" s="1472" t="s">
        <v>1440</v>
      </c>
      <c r="Y290" s="1473" t="s">
        <v>1306</v>
      </c>
      <c r="Z290" s="1504" t="s">
        <v>1445</v>
      </c>
      <c r="AA290" s="1473" t="s">
        <v>1306</v>
      </c>
      <c r="AB290" s="1486" t="s">
        <v>352</v>
      </c>
      <c r="AC290" s="1499" t="s">
        <v>1366</v>
      </c>
      <c r="AD290" s="1500" t="s">
        <v>640</v>
      </c>
      <c r="AE290" s="1501"/>
      <c r="AF290" s="1501"/>
      <c r="AG290" s="1457" t="str">
        <f t="shared" si="19"/>
        <v>23調査結果-建築物の内部-4（5）-改善（予定）年月-未定</v>
      </c>
      <c r="AI290" s="1459"/>
      <c r="AJ290" s="1459"/>
      <c r="AK290" s="1502"/>
    </row>
    <row r="291" spans="1:37" s="1457" customFormat="1" ht="18.75" customHeight="1" x14ac:dyDescent="0.15">
      <c r="A291" s="1578"/>
      <c r="B291" s="1462"/>
      <c r="C291" s="1462"/>
      <c r="D291" s="1460">
        <f>'1_入力シート【基本情報】'!$AF$387</f>
        <v>0</v>
      </c>
      <c r="E291" s="1650">
        <f t="shared" si="20"/>
        <v>0</v>
      </c>
      <c r="F291" s="1650" t="str">
        <f t="shared" si="21"/>
        <v>0</v>
      </c>
      <c r="G291" s="1650" t="str">
        <f t="shared" si="22"/>
        <v>0</v>
      </c>
      <c r="H291" s="1468"/>
      <c r="I291" s="1462"/>
      <c r="J291" s="1531"/>
      <c r="K291" s="1462"/>
      <c r="L291" s="1462"/>
      <c r="M291" s="1493"/>
      <c r="N291" s="1462"/>
      <c r="O291" s="1462"/>
      <c r="P291" s="1462"/>
      <c r="Q291" s="1462"/>
      <c r="R291" s="1462"/>
      <c r="S291" s="1462"/>
      <c r="T291" s="1462"/>
      <c r="U291" s="1469">
        <v>23</v>
      </c>
      <c r="V291" s="1486" t="s">
        <v>33</v>
      </c>
      <c r="W291" s="1471" t="s">
        <v>1306</v>
      </c>
      <c r="X291" s="1472" t="s">
        <v>1440</v>
      </c>
      <c r="Y291" s="1473" t="s">
        <v>1306</v>
      </c>
      <c r="Z291" s="1504" t="s">
        <v>1446</v>
      </c>
      <c r="AA291" s="1473" t="s">
        <v>1306</v>
      </c>
      <c r="AB291" s="1486" t="s">
        <v>33</v>
      </c>
      <c r="AC291" s="1499"/>
      <c r="AD291" s="1500"/>
      <c r="AE291" s="1501"/>
      <c r="AF291" s="1501"/>
      <c r="AG291" s="1457" t="str">
        <f t="shared" si="19"/>
        <v>23調査結果-建築物の内部-4（6）-調査結果</v>
      </c>
      <c r="AI291" s="1459"/>
      <c r="AJ291" s="1459"/>
      <c r="AK291" s="1502"/>
    </row>
    <row r="292" spans="1:37" s="1457" customFormat="1" ht="18.75" customHeight="1" x14ac:dyDescent="0.15">
      <c r="A292" s="1578"/>
      <c r="B292" s="1462"/>
      <c r="C292" s="1462"/>
      <c r="D292" s="1460">
        <f>'1_入力シート【基本情報】'!$AR$387</f>
        <v>0</v>
      </c>
      <c r="E292" s="1650">
        <f t="shared" si="20"/>
        <v>0</v>
      </c>
      <c r="F292" s="1650" t="str">
        <f t="shared" si="21"/>
        <v>0</v>
      </c>
      <c r="G292" s="1650" t="str">
        <f t="shared" si="22"/>
        <v>0</v>
      </c>
      <c r="H292" s="1468"/>
      <c r="I292" s="1462"/>
      <c r="J292" s="1531"/>
      <c r="K292" s="1462"/>
      <c r="L292" s="1462"/>
      <c r="M292" s="1493"/>
      <c r="N292" s="1462"/>
      <c r="O292" s="1462"/>
      <c r="P292" s="1462"/>
      <c r="Q292" s="1462"/>
      <c r="R292" s="1462"/>
      <c r="S292" s="1462"/>
      <c r="T292" s="1462"/>
      <c r="U292" s="1469">
        <v>23</v>
      </c>
      <c r="V292" s="1486" t="s">
        <v>33</v>
      </c>
      <c r="W292" s="1471" t="s">
        <v>1306</v>
      </c>
      <c r="X292" s="1472" t="s">
        <v>1440</v>
      </c>
      <c r="Y292" s="1473" t="s">
        <v>1306</v>
      </c>
      <c r="Z292" s="1504" t="s">
        <v>1446</v>
      </c>
      <c r="AA292" s="1473" t="s">
        <v>1306</v>
      </c>
      <c r="AB292" s="1470" t="s">
        <v>30</v>
      </c>
      <c r="AC292" s="1499"/>
      <c r="AD292" s="1500"/>
      <c r="AE292" s="1501"/>
      <c r="AF292" s="1501"/>
      <c r="AG292" s="1457" t="str">
        <f t="shared" si="19"/>
        <v>23調査結果-建築物の内部-4（6）-調査者番号</v>
      </c>
      <c r="AI292" s="1459"/>
      <c r="AJ292" s="1459"/>
      <c r="AK292" s="1502"/>
    </row>
    <row r="293" spans="1:37" s="1457" customFormat="1" ht="18.75" customHeight="1" x14ac:dyDescent="0.15">
      <c r="A293" s="1578"/>
      <c r="B293" s="1462"/>
      <c r="C293" s="1462"/>
      <c r="D293" s="1460">
        <f>'1_入力シート【基本情報】'!$AT$387</f>
        <v>0</v>
      </c>
      <c r="E293" s="1650">
        <f t="shared" si="20"/>
        <v>0</v>
      </c>
      <c r="F293" s="1650" t="str">
        <f t="shared" si="21"/>
        <v>0</v>
      </c>
      <c r="G293" s="1650" t="str">
        <f t="shared" si="22"/>
        <v>0</v>
      </c>
      <c r="H293" s="1468"/>
      <c r="I293" s="1462"/>
      <c r="J293" s="1531"/>
      <c r="K293" s="1462"/>
      <c r="L293" s="1462"/>
      <c r="M293" s="1493"/>
      <c r="N293" s="1462"/>
      <c r="O293" s="1462"/>
      <c r="P293" s="1462"/>
      <c r="Q293" s="1462"/>
      <c r="R293" s="1462"/>
      <c r="S293" s="1462"/>
      <c r="T293" s="1462"/>
      <c r="U293" s="1469">
        <v>23</v>
      </c>
      <c r="V293" s="1486" t="s">
        <v>33</v>
      </c>
      <c r="W293" s="1471" t="s">
        <v>1306</v>
      </c>
      <c r="X293" s="1472" t="s">
        <v>1440</v>
      </c>
      <c r="Y293" s="1473" t="s">
        <v>1306</v>
      </c>
      <c r="Z293" s="1504" t="s">
        <v>1446</v>
      </c>
      <c r="AA293" s="1473" t="s">
        <v>1306</v>
      </c>
      <c r="AB293" s="1470" t="s">
        <v>1402</v>
      </c>
      <c r="AC293" s="1499"/>
      <c r="AD293" s="1500"/>
      <c r="AE293" s="1501"/>
      <c r="AF293" s="1501"/>
      <c r="AG293" s="1457" t="str">
        <f t="shared" si="19"/>
        <v>23調査結果-建築物の内部-4（6）-指摘の具体的内容等</v>
      </c>
      <c r="AI293" s="1459"/>
      <c r="AJ293" s="1459"/>
      <c r="AK293" s="1502"/>
    </row>
    <row r="294" spans="1:37" s="1457" customFormat="1" ht="18.75" customHeight="1" x14ac:dyDescent="0.15">
      <c r="A294" s="1578"/>
      <c r="B294" s="1462"/>
      <c r="C294" s="1462"/>
      <c r="D294" s="1460">
        <f>'1_入力シート【基本情報】'!$BD$387</f>
        <v>0</v>
      </c>
      <c r="E294" s="1650">
        <f t="shared" si="20"/>
        <v>0</v>
      </c>
      <c r="F294" s="1650" t="str">
        <f t="shared" si="21"/>
        <v>0</v>
      </c>
      <c r="G294" s="1650" t="str">
        <f t="shared" si="22"/>
        <v>0</v>
      </c>
      <c r="H294" s="1468"/>
      <c r="I294" s="1462"/>
      <c r="J294" s="1531"/>
      <c r="K294" s="1462"/>
      <c r="L294" s="1462"/>
      <c r="M294" s="1493"/>
      <c r="N294" s="1462"/>
      <c r="O294" s="1462"/>
      <c r="P294" s="1462"/>
      <c r="Q294" s="1462"/>
      <c r="R294" s="1462"/>
      <c r="S294" s="1462"/>
      <c r="T294" s="1462"/>
      <c r="U294" s="1469">
        <v>23</v>
      </c>
      <c r="V294" s="1486" t="s">
        <v>33</v>
      </c>
      <c r="W294" s="1471" t="s">
        <v>1306</v>
      </c>
      <c r="X294" s="1472" t="s">
        <v>1440</v>
      </c>
      <c r="Y294" s="1473" t="s">
        <v>1306</v>
      </c>
      <c r="Z294" s="1504" t="s">
        <v>1446</v>
      </c>
      <c r="AA294" s="1473" t="s">
        <v>1306</v>
      </c>
      <c r="AB294" s="1470" t="s">
        <v>1403</v>
      </c>
      <c r="AC294" s="1499"/>
      <c r="AD294" s="1500"/>
      <c r="AE294" s="1501"/>
      <c r="AF294" s="1501"/>
      <c r="AG294" s="1457" t="str">
        <f t="shared" si="19"/>
        <v>23調査結果-建築物の内部-4（6）-改善策の具体的内容等</v>
      </c>
      <c r="AI294" s="1459"/>
      <c r="AJ294" s="1459"/>
      <c r="AK294" s="1502"/>
    </row>
    <row r="295" spans="1:37" s="1457" customFormat="1" ht="18.75" customHeight="1" x14ac:dyDescent="0.15">
      <c r="A295" s="1578"/>
      <c r="B295" s="1462"/>
      <c r="C295" s="1462"/>
      <c r="D295" s="1460">
        <f>'1_入力シート【基本情報】'!$BS$387</f>
        <v>0</v>
      </c>
      <c r="E295" s="1650">
        <f t="shared" si="20"/>
        <v>0</v>
      </c>
      <c r="F295" s="1650" t="str">
        <f t="shared" si="21"/>
        <v>0</v>
      </c>
      <c r="G295" s="1650" t="str">
        <f t="shared" si="22"/>
        <v>0</v>
      </c>
      <c r="H295" s="1468"/>
      <c r="I295" s="1462"/>
      <c r="J295" s="1531"/>
      <c r="K295" s="1462"/>
      <c r="L295" s="1462"/>
      <c r="M295" s="1493"/>
      <c r="N295" s="1462"/>
      <c r="O295" s="1462"/>
      <c r="P295" s="1462"/>
      <c r="Q295" s="1462"/>
      <c r="R295" s="1462"/>
      <c r="S295" s="1462"/>
      <c r="T295" s="1462"/>
      <c r="U295" s="1469">
        <v>23</v>
      </c>
      <c r="V295" s="1486" t="s">
        <v>33</v>
      </c>
      <c r="W295" s="1471" t="s">
        <v>1306</v>
      </c>
      <c r="X295" s="1472" t="s">
        <v>1440</v>
      </c>
      <c r="Y295" s="1473" t="s">
        <v>1306</v>
      </c>
      <c r="Z295" s="1504" t="s">
        <v>1446</v>
      </c>
      <c r="AA295" s="1473" t="s">
        <v>1306</v>
      </c>
      <c r="AB295" s="1470" t="s">
        <v>352</v>
      </c>
      <c r="AC295" s="1499" t="s">
        <v>1366</v>
      </c>
      <c r="AD295" s="1500" t="s">
        <v>1387</v>
      </c>
      <c r="AE295" s="1501"/>
      <c r="AF295" s="1501"/>
      <c r="AG295" s="1457" t="str">
        <f t="shared" si="19"/>
        <v>23調査結果-建築物の内部-4（6）-改善（予定）年月-年（令和）</v>
      </c>
      <c r="AI295" s="1459"/>
      <c r="AJ295" s="1459"/>
      <c r="AK295" s="1502"/>
    </row>
    <row r="296" spans="1:37" s="1457" customFormat="1" ht="18.75" customHeight="1" x14ac:dyDescent="0.15">
      <c r="A296" s="1578"/>
      <c r="B296" s="1462"/>
      <c r="C296" s="1462"/>
      <c r="D296" s="1460">
        <f>'1_入力シート【基本情報】'!$BV$387</f>
        <v>0</v>
      </c>
      <c r="E296" s="1650">
        <f t="shared" si="20"/>
        <v>0</v>
      </c>
      <c r="F296" s="1650" t="str">
        <f t="shared" si="21"/>
        <v>0</v>
      </c>
      <c r="G296" s="1650" t="str">
        <f t="shared" si="22"/>
        <v>0</v>
      </c>
      <c r="H296" s="1468"/>
      <c r="I296" s="1462"/>
      <c r="J296" s="1531"/>
      <c r="K296" s="1462"/>
      <c r="L296" s="1462"/>
      <c r="M296" s="1493"/>
      <c r="N296" s="1462"/>
      <c r="O296" s="1462"/>
      <c r="P296" s="1462"/>
      <c r="Q296" s="1462"/>
      <c r="R296" s="1462"/>
      <c r="S296" s="1462"/>
      <c r="T296" s="1462"/>
      <c r="U296" s="1469">
        <v>23</v>
      </c>
      <c r="V296" s="1486" t="s">
        <v>33</v>
      </c>
      <c r="W296" s="1471" t="s">
        <v>1306</v>
      </c>
      <c r="X296" s="1472" t="s">
        <v>1440</v>
      </c>
      <c r="Y296" s="1473" t="s">
        <v>1306</v>
      </c>
      <c r="Z296" s="1504" t="s">
        <v>1446</v>
      </c>
      <c r="AA296" s="1473" t="s">
        <v>1306</v>
      </c>
      <c r="AB296" s="1486" t="s">
        <v>352</v>
      </c>
      <c r="AC296" s="1499" t="s">
        <v>1366</v>
      </c>
      <c r="AD296" s="1500" t="s">
        <v>348</v>
      </c>
      <c r="AE296" s="1501"/>
      <c r="AF296" s="1501"/>
      <c r="AG296" s="1457" t="str">
        <f t="shared" si="19"/>
        <v>23調査結果-建築物の内部-4（6）-改善（予定）年月-月</v>
      </c>
      <c r="AI296" s="1459"/>
      <c r="AJ296" s="1459"/>
      <c r="AK296" s="1459"/>
    </row>
    <row r="297" spans="1:37" s="1457" customFormat="1" ht="18.75" customHeight="1" x14ac:dyDescent="0.15">
      <c r="A297" s="1578"/>
      <c r="B297" s="1462"/>
      <c r="C297" s="1462"/>
      <c r="D297" s="1460">
        <f>'1_入力シート【基本情報】'!$BY$387</f>
        <v>0</v>
      </c>
      <c r="E297" s="1650">
        <f t="shared" si="20"/>
        <v>0</v>
      </c>
      <c r="F297" s="1650" t="str">
        <f t="shared" si="21"/>
        <v>0</v>
      </c>
      <c r="G297" s="1650" t="str">
        <f t="shared" si="22"/>
        <v>0</v>
      </c>
      <c r="H297" s="1468"/>
      <c r="I297" s="1462"/>
      <c r="J297" s="1531"/>
      <c r="K297" s="1462"/>
      <c r="L297" s="1462"/>
      <c r="M297" s="1493"/>
      <c r="N297" s="1462"/>
      <c r="O297" s="1462"/>
      <c r="P297" s="1462"/>
      <c r="Q297" s="1462"/>
      <c r="R297" s="1462"/>
      <c r="S297" s="1462"/>
      <c r="T297" s="1462"/>
      <c r="U297" s="1469">
        <v>23</v>
      </c>
      <c r="V297" s="1486" t="s">
        <v>33</v>
      </c>
      <c r="W297" s="1471" t="s">
        <v>1306</v>
      </c>
      <c r="X297" s="1472" t="s">
        <v>1440</v>
      </c>
      <c r="Y297" s="1473" t="s">
        <v>1306</v>
      </c>
      <c r="Z297" s="1504" t="s">
        <v>1446</v>
      </c>
      <c r="AA297" s="1473" t="s">
        <v>1306</v>
      </c>
      <c r="AB297" s="1486" t="s">
        <v>352</v>
      </c>
      <c r="AC297" s="1499" t="s">
        <v>1366</v>
      </c>
      <c r="AD297" s="1500" t="s">
        <v>640</v>
      </c>
      <c r="AE297" s="1501"/>
      <c r="AF297" s="1501"/>
      <c r="AG297" s="1457" t="str">
        <f t="shared" si="19"/>
        <v>23調査結果-建築物の内部-4（6）-改善（予定）年月-未定</v>
      </c>
      <c r="AI297" s="1459"/>
      <c r="AJ297" s="1459"/>
      <c r="AK297" s="1459"/>
    </row>
    <row r="298" spans="1:37" s="1457" customFormat="1" ht="18.75" customHeight="1" x14ac:dyDescent="0.15">
      <c r="A298" s="1578"/>
      <c r="B298" s="1462"/>
      <c r="C298" s="1462"/>
      <c r="D298" s="1460">
        <f>'1_入力シート【基本情報】'!$AF$388</f>
        <v>0</v>
      </c>
      <c r="E298" s="1650">
        <f t="shared" si="20"/>
        <v>0</v>
      </c>
      <c r="F298" s="1650" t="str">
        <f t="shared" si="21"/>
        <v>0</v>
      </c>
      <c r="G298" s="1650" t="str">
        <f t="shared" si="22"/>
        <v>0</v>
      </c>
      <c r="H298" s="1468"/>
      <c r="I298" s="1462"/>
      <c r="J298" s="1531"/>
      <c r="K298" s="1462"/>
      <c r="L298" s="1462"/>
      <c r="M298" s="1493"/>
      <c r="N298" s="1462"/>
      <c r="O298" s="1462"/>
      <c r="P298" s="1462"/>
      <c r="Q298" s="1462"/>
      <c r="R298" s="1462"/>
      <c r="S298" s="1462"/>
      <c r="T298" s="1462"/>
      <c r="U298" s="1469">
        <v>23</v>
      </c>
      <c r="V298" s="1486" t="s">
        <v>33</v>
      </c>
      <c r="W298" s="1471" t="s">
        <v>1306</v>
      </c>
      <c r="X298" s="1472" t="s">
        <v>1440</v>
      </c>
      <c r="Y298" s="1473" t="s">
        <v>1306</v>
      </c>
      <c r="Z298" s="1504" t="s">
        <v>1447</v>
      </c>
      <c r="AA298" s="1473" t="s">
        <v>1306</v>
      </c>
      <c r="AB298" s="1486" t="s">
        <v>33</v>
      </c>
      <c r="AC298" s="1499"/>
      <c r="AD298" s="1500"/>
      <c r="AE298" s="1501"/>
      <c r="AF298" s="1501"/>
      <c r="AG298" s="1457" t="str">
        <f t="shared" si="19"/>
        <v>23調査結果-建築物の内部-4（7）-調査結果</v>
      </c>
      <c r="AI298" s="1459"/>
      <c r="AJ298" s="1459"/>
      <c r="AK298" s="1459"/>
    </row>
    <row r="299" spans="1:37" s="1457" customFormat="1" ht="18.75" customHeight="1" x14ac:dyDescent="0.15">
      <c r="A299" s="1578"/>
      <c r="B299" s="1462"/>
      <c r="C299" s="1462"/>
      <c r="D299" s="1460">
        <f>'1_入力シート【基本情報】'!$AR$388</f>
        <v>0</v>
      </c>
      <c r="E299" s="1650">
        <f t="shared" si="20"/>
        <v>0</v>
      </c>
      <c r="F299" s="1650" t="str">
        <f t="shared" si="21"/>
        <v>0</v>
      </c>
      <c r="G299" s="1650" t="str">
        <f t="shared" si="22"/>
        <v>0</v>
      </c>
      <c r="H299" s="1468"/>
      <c r="I299" s="1462"/>
      <c r="J299" s="1531"/>
      <c r="K299" s="1462"/>
      <c r="L299" s="1462"/>
      <c r="M299" s="1493"/>
      <c r="N299" s="1462"/>
      <c r="O299" s="1462"/>
      <c r="P299" s="1462"/>
      <c r="Q299" s="1462"/>
      <c r="R299" s="1462"/>
      <c r="S299" s="1462"/>
      <c r="T299" s="1462"/>
      <c r="U299" s="1469">
        <v>23</v>
      </c>
      <c r="V299" s="1486" t="s">
        <v>33</v>
      </c>
      <c r="W299" s="1471" t="s">
        <v>1306</v>
      </c>
      <c r="X299" s="1472" t="s">
        <v>1440</v>
      </c>
      <c r="Y299" s="1473" t="s">
        <v>1306</v>
      </c>
      <c r="Z299" s="1504" t="s">
        <v>1447</v>
      </c>
      <c r="AA299" s="1473" t="s">
        <v>1306</v>
      </c>
      <c r="AB299" s="1470" t="s">
        <v>30</v>
      </c>
      <c r="AC299" s="1499"/>
      <c r="AD299" s="1500"/>
      <c r="AE299" s="1501"/>
      <c r="AF299" s="1501"/>
      <c r="AG299" s="1457" t="str">
        <f t="shared" si="19"/>
        <v>23調査結果-建築物の内部-4（7）-調査者番号</v>
      </c>
      <c r="AI299" s="1459"/>
      <c r="AJ299" s="1459"/>
      <c r="AK299" s="1459"/>
    </row>
    <row r="300" spans="1:37" s="1457" customFormat="1" ht="18.75" customHeight="1" x14ac:dyDescent="0.15">
      <c r="A300" s="1578"/>
      <c r="B300" s="1462"/>
      <c r="C300" s="1462"/>
      <c r="D300" s="1460">
        <f>'1_入力シート【基本情報】'!$AT$388</f>
        <v>0</v>
      </c>
      <c r="E300" s="1650">
        <f t="shared" si="20"/>
        <v>0</v>
      </c>
      <c r="F300" s="1650" t="str">
        <f t="shared" si="21"/>
        <v>0</v>
      </c>
      <c r="G300" s="1650" t="str">
        <f t="shared" si="22"/>
        <v>0</v>
      </c>
      <c r="H300" s="1468"/>
      <c r="I300" s="1462"/>
      <c r="J300" s="1531"/>
      <c r="K300" s="1462"/>
      <c r="L300" s="1462"/>
      <c r="M300" s="1493"/>
      <c r="N300" s="1462"/>
      <c r="O300" s="1462"/>
      <c r="P300" s="1462"/>
      <c r="Q300" s="1462"/>
      <c r="R300" s="1462"/>
      <c r="S300" s="1462"/>
      <c r="T300" s="1462"/>
      <c r="U300" s="1469">
        <v>23</v>
      </c>
      <c r="V300" s="1486" t="s">
        <v>33</v>
      </c>
      <c r="W300" s="1471" t="s">
        <v>1306</v>
      </c>
      <c r="X300" s="1472" t="s">
        <v>1440</v>
      </c>
      <c r="Y300" s="1473" t="s">
        <v>1306</v>
      </c>
      <c r="Z300" s="1504" t="s">
        <v>1447</v>
      </c>
      <c r="AA300" s="1473" t="s">
        <v>1306</v>
      </c>
      <c r="AB300" s="1470" t="s">
        <v>1402</v>
      </c>
      <c r="AC300" s="1499"/>
      <c r="AD300" s="1500"/>
      <c r="AE300" s="1501"/>
      <c r="AF300" s="1501"/>
      <c r="AG300" s="1457" t="str">
        <f t="shared" si="19"/>
        <v>23調査結果-建築物の内部-4（7）-指摘の具体的内容等</v>
      </c>
      <c r="AI300" s="1459"/>
      <c r="AJ300" s="1459"/>
      <c r="AK300" s="1459"/>
    </row>
    <row r="301" spans="1:37" s="1457" customFormat="1" ht="18.75" customHeight="1" x14ac:dyDescent="0.15">
      <c r="A301" s="1578"/>
      <c r="B301" s="1462"/>
      <c r="C301" s="1462"/>
      <c r="D301" s="1460">
        <f>'1_入力シート【基本情報】'!$BD$388</f>
        <v>0</v>
      </c>
      <c r="E301" s="1650">
        <f t="shared" si="20"/>
        <v>0</v>
      </c>
      <c r="F301" s="1650" t="str">
        <f t="shared" si="21"/>
        <v>0</v>
      </c>
      <c r="G301" s="1650" t="str">
        <f t="shared" si="22"/>
        <v>0</v>
      </c>
      <c r="H301" s="1468"/>
      <c r="I301" s="1462"/>
      <c r="J301" s="1531"/>
      <c r="K301" s="1462"/>
      <c r="L301" s="1462"/>
      <c r="M301" s="1493"/>
      <c r="N301" s="1462"/>
      <c r="O301" s="1462"/>
      <c r="P301" s="1462"/>
      <c r="Q301" s="1462"/>
      <c r="R301" s="1462"/>
      <c r="S301" s="1462"/>
      <c r="T301" s="1462"/>
      <c r="U301" s="1469">
        <v>23</v>
      </c>
      <c r="V301" s="1486" t="s">
        <v>33</v>
      </c>
      <c r="W301" s="1471" t="s">
        <v>1306</v>
      </c>
      <c r="X301" s="1472" t="s">
        <v>1440</v>
      </c>
      <c r="Y301" s="1473" t="s">
        <v>1306</v>
      </c>
      <c r="Z301" s="1504" t="s">
        <v>1447</v>
      </c>
      <c r="AA301" s="1473" t="s">
        <v>1306</v>
      </c>
      <c r="AB301" s="1470" t="s">
        <v>1403</v>
      </c>
      <c r="AC301" s="1499"/>
      <c r="AD301" s="1500"/>
      <c r="AE301" s="1501"/>
      <c r="AF301" s="1501"/>
      <c r="AG301" s="1457" t="str">
        <f t="shared" si="19"/>
        <v>23調査結果-建築物の内部-4（7）-改善策の具体的内容等</v>
      </c>
      <c r="AI301" s="1459"/>
      <c r="AJ301" s="1459"/>
      <c r="AK301" s="1459"/>
    </row>
    <row r="302" spans="1:37" s="1457" customFormat="1" ht="18.75" customHeight="1" x14ac:dyDescent="0.15">
      <c r="A302" s="1578"/>
      <c r="B302" s="1462"/>
      <c r="C302" s="1462"/>
      <c r="D302" s="1460">
        <f>'1_入力シート【基本情報】'!$BS$388</f>
        <v>0</v>
      </c>
      <c r="E302" s="1650">
        <f t="shared" si="20"/>
        <v>0</v>
      </c>
      <c r="F302" s="1650" t="str">
        <f t="shared" si="21"/>
        <v>0</v>
      </c>
      <c r="G302" s="1650" t="str">
        <f t="shared" si="22"/>
        <v>0</v>
      </c>
      <c r="H302" s="1468"/>
      <c r="I302" s="1462"/>
      <c r="J302" s="1531"/>
      <c r="K302" s="1462"/>
      <c r="L302" s="1462"/>
      <c r="M302" s="1493"/>
      <c r="N302" s="1462"/>
      <c r="O302" s="1462"/>
      <c r="P302" s="1462"/>
      <c r="Q302" s="1462"/>
      <c r="R302" s="1462"/>
      <c r="S302" s="1462"/>
      <c r="T302" s="1462"/>
      <c r="U302" s="1469">
        <v>23</v>
      </c>
      <c r="V302" s="1486" t="s">
        <v>33</v>
      </c>
      <c r="W302" s="1471" t="s">
        <v>1306</v>
      </c>
      <c r="X302" s="1472" t="s">
        <v>1440</v>
      </c>
      <c r="Y302" s="1473" t="s">
        <v>1306</v>
      </c>
      <c r="Z302" s="1504" t="s">
        <v>1447</v>
      </c>
      <c r="AA302" s="1473" t="s">
        <v>1306</v>
      </c>
      <c r="AB302" s="1470" t="s">
        <v>352</v>
      </c>
      <c r="AC302" s="1499" t="s">
        <v>1366</v>
      </c>
      <c r="AD302" s="1500" t="s">
        <v>1387</v>
      </c>
      <c r="AE302" s="1501"/>
      <c r="AF302" s="1501"/>
      <c r="AG302" s="1457" t="str">
        <f t="shared" si="19"/>
        <v>23調査結果-建築物の内部-4（7）-改善（予定）年月-年（令和）</v>
      </c>
      <c r="AI302" s="1459"/>
      <c r="AJ302" s="1459"/>
      <c r="AK302" s="1459"/>
    </row>
    <row r="303" spans="1:37" s="1457" customFormat="1" ht="18.75" customHeight="1" x14ac:dyDescent="0.15">
      <c r="A303" s="1578"/>
      <c r="B303" s="1462"/>
      <c r="C303" s="1462"/>
      <c r="D303" s="1460">
        <f>'1_入力シート【基本情報】'!$BV$388</f>
        <v>0</v>
      </c>
      <c r="E303" s="1650">
        <f t="shared" si="20"/>
        <v>0</v>
      </c>
      <c r="F303" s="1650" t="str">
        <f t="shared" si="21"/>
        <v>0</v>
      </c>
      <c r="G303" s="1650" t="str">
        <f t="shared" si="22"/>
        <v>0</v>
      </c>
      <c r="H303" s="1468"/>
      <c r="I303" s="1462"/>
      <c r="J303" s="1531"/>
      <c r="K303" s="1462"/>
      <c r="L303" s="1462"/>
      <c r="M303" s="1493"/>
      <c r="N303" s="1462"/>
      <c r="O303" s="1462"/>
      <c r="P303" s="1462"/>
      <c r="Q303" s="1462"/>
      <c r="R303" s="1462"/>
      <c r="S303" s="1462"/>
      <c r="T303" s="1462"/>
      <c r="U303" s="1469">
        <v>23</v>
      </c>
      <c r="V303" s="1486" t="s">
        <v>33</v>
      </c>
      <c r="W303" s="1471" t="s">
        <v>1306</v>
      </c>
      <c r="X303" s="1472" t="s">
        <v>1440</v>
      </c>
      <c r="Y303" s="1473" t="s">
        <v>1306</v>
      </c>
      <c r="Z303" s="1504" t="s">
        <v>1447</v>
      </c>
      <c r="AA303" s="1473" t="s">
        <v>1306</v>
      </c>
      <c r="AB303" s="1470" t="s">
        <v>352</v>
      </c>
      <c r="AC303" s="1499" t="s">
        <v>1366</v>
      </c>
      <c r="AD303" s="1500" t="s">
        <v>348</v>
      </c>
      <c r="AE303" s="1501"/>
      <c r="AF303" s="1501"/>
      <c r="AG303" s="1457" t="str">
        <f t="shared" si="19"/>
        <v>23調査結果-建築物の内部-4（7）-改善（予定）年月-月</v>
      </c>
      <c r="AI303" s="1459"/>
      <c r="AJ303" s="1459"/>
      <c r="AK303" s="1459"/>
    </row>
    <row r="304" spans="1:37" s="1457" customFormat="1" ht="18.75" customHeight="1" x14ac:dyDescent="0.15">
      <c r="A304" s="1578"/>
      <c r="B304" s="1462"/>
      <c r="C304" s="1462"/>
      <c r="D304" s="1460">
        <f>'1_入力シート【基本情報】'!$BY$388</f>
        <v>0</v>
      </c>
      <c r="E304" s="1650">
        <f t="shared" si="20"/>
        <v>0</v>
      </c>
      <c r="F304" s="1650" t="str">
        <f t="shared" si="21"/>
        <v>0</v>
      </c>
      <c r="G304" s="1650" t="str">
        <f t="shared" si="22"/>
        <v>0</v>
      </c>
      <c r="H304" s="1468"/>
      <c r="I304" s="1462"/>
      <c r="J304" s="1531"/>
      <c r="K304" s="1462"/>
      <c r="L304" s="1462"/>
      <c r="M304" s="1493"/>
      <c r="N304" s="1462"/>
      <c r="O304" s="1462"/>
      <c r="P304" s="1462"/>
      <c r="Q304" s="1462"/>
      <c r="R304" s="1462"/>
      <c r="S304" s="1462"/>
      <c r="T304" s="1462"/>
      <c r="U304" s="1469">
        <v>23</v>
      </c>
      <c r="V304" s="1486" t="s">
        <v>33</v>
      </c>
      <c r="W304" s="1471" t="s">
        <v>1306</v>
      </c>
      <c r="X304" s="1472" t="s">
        <v>1440</v>
      </c>
      <c r="Y304" s="1473" t="s">
        <v>1306</v>
      </c>
      <c r="Z304" s="1504" t="s">
        <v>1447</v>
      </c>
      <c r="AA304" s="1473" t="s">
        <v>1306</v>
      </c>
      <c r="AB304" s="1486" t="s">
        <v>352</v>
      </c>
      <c r="AC304" s="1499" t="s">
        <v>1366</v>
      </c>
      <c r="AD304" s="1500" t="s">
        <v>640</v>
      </c>
      <c r="AE304" s="1501"/>
      <c r="AF304" s="1501"/>
      <c r="AG304" s="1457" t="str">
        <f t="shared" si="19"/>
        <v>23調査結果-建築物の内部-4（7）-改善（予定）年月-未定</v>
      </c>
      <c r="AI304" s="1459"/>
      <c r="AJ304" s="1459"/>
      <c r="AK304" s="1459"/>
    </row>
    <row r="305" spans="1:37" s="1457" customFormat="1" ht="18.75" customHeight="1" x14ac:dyDescent="0.15">
      <c r="A305" s="1578"/>
      <c r="B305" s="1462"/>
      <c r="C305" s="1462"/>
      <c r="D305" s="1460">
        <f>'1_入力シート【基本情報】'!$AF$389</f>
        <v>0</v>
      </c>
      <c r="E305" s="1650">
        <f t="shared" si="20"/>
        <v>0</v>
      </c>
      <c r="F305" s="1650" t="str">
        <f t="shared" si="21"/>
        <v>0</v>
      </c>
      <c r="G305" s="1650" t="str">
        <f t="shared" si="22"/>
        <v>0</v>
      </c>
      <c r="H305" s="1468"/>
      <c r="I305" s="1462"/>
      <c r="J305" s="1531"/>
      <c r="K305" s="1462"/>
      <c r="L305" s="1462"/>
      <c r="M305" s="1493"/>
      <c r="N305" s="1462"/>
      <c r="O305" s="1462"/>
      <c r="P305" s="1462"/>
      <c r="Q305" s="1462"/>
      <c r="R305" s="1462"/>
      <c r="S305" s="1462"/>
      <c r="T305" s="1462"/>
      <c r="U305" s="1469">
        <v>23</v>
      </c>
      <c r="V305" s="1486" t="s">
        <v>33</v>
      </c>
      <c r="W305" s="1471" t="s">
        <v>1306</v>
      </c>
      <c r="X305" s="1472" t="s">
        <v>1440</v>
      </c>
      <c r="Y305" s="1473" t="s">
        <v>1306</v>
      </c>
      <c r="Z305" s="1504" t="s">
        <v>1448</v>
      </c>
      <c r="AA305" s="1473" t="s">
        <v>1306</v>
      </c>
      <c r="AB305" s="1486" t="s">
        <v>33</v>
      </c>
      <c r="AC305" s="1499"/>
      <c r="AD305" s="1500"/>
      <c r="AE305" s="1501"/>
      <c r="AF305" s="1501"/>
      <c r="AG305" s="1457" t="str">
        <f t="shared" si="19"/>
        <v>23調査結果-建築物の内部-4（8）-調査結果</v>
      </c>
      <c r="AI305" s="1459"/>
      <c r="AJ305" s="1459"/>
      <c r="AK305" s="1459"/>
    </row>
    <row r="306" spans="1:37" s="1457" customFormat="1" ht="18.75" customHeight="1" x14ac:dyDescent="0.15">
      <c r="A306" s="1578"/>
      <c r="B306" s="1462"/>
      <c r="C306" s="1462"/>
      <c r="D306" s="1460">
        <f>'1_入力シート【基本情報】'!$AR$389</f>
        <v>0</v>
      </c>
      <c r="E306" s="1650">
        <f t="shared" si="20"/>
        <v>0</v>
      </c>
      <c r="F306" s="1650" t="str">
        <f t="shared" si="21"/>
        <v>0</v>
      </c>
      <c r="G306" s="1650" t="str">
        <f t="shared" si="22"/>
        <v>0</v>
      </c>
      <c r="H306" s="1468"/>
      <c r="I306" s="1462"/>
      <c r="J306" s="1531"/>
      <c r="K306" s="1462"/>
      <c r="L306" s="1462"/>
      <c r="M306" s="1493"/>
      <c r="N306" s="1462"/>
      <c r="O306" s="1462"/>
      <c r="P306" s="1462"/>
      <c r="Q306" s="1462"/>
      <c r="R306" s="1462"/>
      <c r="S306" s="1462"/>
      <c r="T306" s="1462"/>
      <c r="U306" s="1469">
        <v>23</v>
      </c>
      <c r="V306" s="1486" t="s">
        <v>33</v>
      </c>
      <c r="W306" s="1471" t="s">
        <v>1306</v>
      </c>
      <c r="X306" s="1472" t="s">
        <v>1440</v>
      </c>
      <c r="Y306" s="1473" t="s">
        <v>1306</v>
      </c>
      <c r="Z306" s="1504" t="s">
        <v>1448</v>
      </c>
      <c r="AA306" s="1473" t="s">
        <v>1306</v>
      </c>
      <c r="AB306" s="1486" t="s">
        <v>30</v>
      </c>
      <c r="AC306" s="1499"/>
      <c r="AD306" s="1500"/>
      <c r="AE306" s="1501"/>
      <c r="AF306" s="1501"/>
      <c r="AG306" s="1457" t="str">
        <f t="shared" si="19"/>
        <v>23調査結果-建築物の内部-4（8）-調査者番号</v>
      </c>
      <c r="AI306" s="1459"/>
      <c r="AJ306" s="1459"/>
      <c r="AK306" s="1459"/>
    </row>
    <row r="307" spans="1:37" s="1457" customFormat="1" ht="18.75" customHeight="1" x14ac:dyDescent="0.15">
      <c r="A307" s="1578"/>
      <c r="B307" s="1462"/>
      <c r="C307" s="1462"/>
      <c r="D307" s="1460">
        <f>'1_入力シート【基本情報】'!$AT$389</f>
        <v>0</v>
      </c>
      <c r="E307" s="1650">
        <f t="shared" si="20"/>
        <v>0</v>
      </c>
      <c r="F307" s="1650" t="str">
        <f t="shared" si="21"/>
        <v>0</v>
      </c>
      <c r="G307" s="1650" t="str">
        <f t="shared" si="22"/>
        <v>0</v>
      </c>
      <c r="H307" s="1468"/>
      <c r="I307" s="1462"/>
      <c r="J307" s="1531"/>
      <c r="K307" s="1462"/>
      <c r="L307" s="1462"/>
      <c r="M307" s="1493"/>
      <c r="N307" s="1462"/>
      <c r="O307" s="1462"/>
      <c r="P307" s="1462"/>
      <c r="Q307" s="1462"/>
      <c r="R307" s="1462"/>
      <c r="S307" s="1462"/>
      <c r="T307" s="1462"/>
      <c r="U307" s="1469">
        <v>23</v>
      </c>
      <c r="V307" s="1486" t="s">
        <v>33</v>
      </c>
      <c r="W307" s="1471" t="s">
        <v>1306</v>
      </c>
      <c r="X307" s="1472" t="s">
        <v>1440</v>
      </c>
      <c r="Y307" s="1473" t="s">
        <v>1306</v>
      </c>
      <c r="Z307" s="1504" t="s">
        <v>1448</v>
      </c>
      <c r="AA307" s="1473" t="s">
        <v>1306</v>
      </c>
      <c r="AB307" s="1486" t="s">
        <v>1402</v>
      </c>
      <c r="AC307" s="1475"/>
      <c r="AD307" s="1476"/>
      <c r="AE307" s="1501"/>
      <c r="AF307" s="1501"/>
      <c r="AG307" s="1457" t="str">
        <f t="shared" si="19"/>
        <v>23調査結果-建築物の内部-4（8）-指摘の具体的内容等</v>
      </c>
      <c r="AI307" s="1459"/>
      <c r="AJ307" s="1459"/>
      <c r="AK307" s="1459"/>
    </row>
    <row r="308" spans="1:37" s="1457" customFormat="1" ht="18.75" customHeight="1" x14ac:dyDescent="0.15">
      <c r="A308" s="1578"/>
      <c r="B308" s="1462"/>
      <c r="C308" s="1462"/>
      <c r="D308" s="1460">
        <f>'1_入力シート【基本情報】'!$BD$389</f>
        <v>0</v>
      </c>
      <c r="E308" s="1650">
        <f t="shared" si="20"/>
        <v>0</v>
      </c>
      <c r="F308" s="1650" t="str">
        <f t="shared" si="21"/>
        <v>0</v>
      </c>
      <c r="G308" s="1650" t="str">
        <f t="shared" si="22"/>
        <v>0</v>
      </c>
      <c r="H308" s="1468"/>
      <c r="I308" s="1462"/>
      <c r="J308" s="1531"/>
      <c r="K308" s="1462"/>
      <c r="L308" s="1462"/>
      <c r="M308" s="1493"/>
      <c r="N308" s="1462"/>
      <c r="O308" s="1462"/>
      <c r="P308" s="1462"/>
      <c r="Q308" s="1462"/>
      <c r="R308" s="1462"/>
      <c r="S308" s="1462"/>
      <c r="T308" s="1462"/>
      <c r="U308" s="1469">
        <v>23</v>
      </c>
      <c r="V308" s="1486" t="s">
        <v>33</v>
      </c>
      <c r="W308" s="1471" t="s">
        <v>1306</v>
      </c>
      <c r="X308" s="1472" t="s">
        <v>1440</v>
      </c>
      <c r="Y308" s="1473" t="s">
        <v>1306</v>
      </c>
      <c r="Z308" s="1504" t="s">
        <v>1448</v>
      </c>
      <c r="AA308" s="1473" t="s">
        <v>1306</v>
      </c>
      <c r="AB308" s="1470" t="s">
        <v>1403</v>
      </c>
      <c r="AC308" s="1499"/>
      <c r="AD308" s="1500"/>
      <c r="AE308" s="1501"/>
      <c r="AF308" s="1501"/>
      <c r="AG308" s="1457" t="str">
        <f t="shared" si="19"/>
        <v>23調査結果-建築物の内部-4（8）-改善策の具体的内容等</v>
      </c>
      <c r="AI308" s="1459"/>
      <c r="AJ308" s="1459"/>
      <c r="AK308" s="1459"/>
    </row>
    <row r="309" spans="1:37" s="1457" customFormat="1" ht="18.75" customHeight="1" x14ac:dyDescent="0.15">
      <c r="A309" s="1578"/>
      <c r="B309" s="1462"/>
      <c r="C309" s="1462"/>
      <c r="D309" s="1460">
        <f>'1_入力シート【基本情報】'!$BS$389</f>
        <v>0</v>
      </c>
      <c r="E309" s="1650">
        <f t="shared" si="20"/>
        <v>0</v>
      </c>
      <c r="F309" s="1650" t="str">
        <f t="shared" si="21"/>
        <v>0</v>
      </c>
      <c r="G309" s="1650" t="str">
        <f t="shared" si="22"/>
        <v>0</v>
      </c>
      <c r="H309" s="1468"/>
      <c r="I309" s="1462"/>
      <c r="J309" s="1531"/>
      <c r="K309" s="1462"/>
      <c r="L309" s="1462"/>
      <c r="M309" s="1493"/>
      <c r="N309" s="1462"/>
      <c r="O309" s="1462"/>
      <c r="P309" s="1462"/>
      <c r="Q309" s="1462"/>
      <c r="R309" s="1462"/>
      <c r="S309" s="1462"/>
      <c r="T309" s="1462"/>
      <c r="U309" s="1469">
        <v>23</v>
      </c>
      <c r="V309" s="1486" t="s">
        <v>33</v>
      </c>
      <c r="W309" s="1471" t="s">
        <v>1306</v>
      </c>
      <c r="X309" s="1472" t="s">
        <v>1440</v>
      </c>
      <c r="Y309" s="1473" t="s">
        <v>1306</v>
      </c>
      <c r="Z309" s="1504" t="s">
        <v>1448</v>
      </c>
      <c r="AA309" s="1473" t="s">
        <v>1306</v>
      </c>
      <c r="AB309" s="1470" t="s">
        <v>352</v>
      </c>
      <c r="AC309" s="1499" t="s">
        <v>1366</v>
      </c>
      <c r="AD309" s="1500" t="s">
        <v>1387</v>
      </c>
      <c r="AE309" s="1501"/>
      <c r="AF309" s="1501"/>
      <c r="AG309" s="1457" t="str">
        <f t="shared" si="19"/>
        <v>23調査結果-建築物の内部-4（8）-改善（予定）年月-年（令和）</v>
      </c>
      <c r="AI309" s="1459"/>
      <c r="AJ309" s="1459"/>
      <c r="AK309" s="1459"/>
    </row>
    <row r="310" spans="1:37" s="1457" customFormat="1" ht="18.75" customHeight="1" x14ac:dyDescent="0.15">
      <c r="A310" s="1578"/>
      <c r="B310" s="1462"/>
      <c r="C310" s="1462"/>
      <c r="D310" s="1460">
        <f>'1_入力シート【基本情報】'!$BV$389</f>
        <v>0</v>
      </c>
      <c r="E310" s="1650">
        <f t="shared" si="20"/>
        <v>0</v>
      </c>
      <c r="F310" s="1650" t="str">
        <f t="shared" si="21"/>
        <v>0</v>
      </c>
      <c r="G310" s="1650" t="str">
        <f t="shared" si="22"/>
        <v>0</v>
      </c>
      <c r="H310" s="1468"/>
      <c r="I310" s="1462"/>
      <c r="J310" s="1531"/>
      <c r="K310" s="1462"/>
      <c r="L310" s="1462"/>
      <c r="M310" s="1493"/>
      <c r="N310" s="1462"/>
      <c r="O310" s="1462"/>
      <c r="P310" s="1462"/>
      <c r="Q310" s="1462"/>
      <c r="R310" s="1462"/>
      <c r="S310" s="1462"/>
      <c r="T310" s="1462"/>
      <c r="U310" s="1469">
        <v>23</v>
      </c>
      <c r="V310" s="1486" t="s">
        <v>33</v>
      </c>
      <c r="W310" s="1471" t="s">
        <v>1306</v>
      </c>
      <c r="X310" s="1472" t="s">
        <v>1440</v>
      </c>
      <c r="Y310" s="1473" t="s">
        <v>1306</v>
      </c>
      <c r="Z310" s="1504" t="s">
        <v>1448</v>
      </c>
      <c r="AA310" s="1473" t="s">
        <v>1306</v>
      </c>
      <c r="AB310" s="1470" t="s">
        <v>352</v>
      </c>
      <c r="AC310" s="1499" t="s">
        <v>1366</v>
      </c>
      <c r="AD310" s="1500" t="s">
        <v>348</v>
      </c>
      <c r="AE310" s="1501"/>
      <c r="AF310" s="1501"/>
      <c r="AG310" s="1457" t="str">
        <f t="shared" si="19"/>
        <v>23調査結果-建築物の内部-4（8）-改善（予定）年月-月</v>
      </c>
      <c r="AI310" s="1459"/>
      <c r="AJ310" s="1459"/>
      <c r="AK310" s="1459"/>
    </row>
    <row r="311" spans="1:37" s="1457" customFormat="1" ht="18.75" customHeight="1" x14ac:dyDescent="0.15">
      <c r="A311" s="1578"/>
      <c r="B311" s="1462"/>
      <c r="C311" s="1462"/>
      <c r="D311" s="1460">
        <f>'1_入力シート【基本情報】'!$BY$389</f>
        <v>0</v>
      </c>
      <c r="E311" s="1650">
        <f t="shared" si="20"/>
        <v>0</v>
      </c>
      <c r="F311" s="1650" t="str">
        <f t="shared" si="21"/>
        <v>0</v>
      </c>
      <c r="G311" s="1650" t="str">
        <f t="shared" si="22"/>
        <v>0</v>
      </c>
      <c r="H311" s="1468"/>
      <c r="I311" s="1462"/>
      <c r="J311" s="1531"/>
      <c r="K311" s="1462"/>
      <c r="L311" s="1462"/>
      <c r="M311" s="1493"/>
      <c r="N311" s="1462"/>
      <c r="O311" s="1462"/>
      <c r="P311" s="1462"/>
      <c r="Q311" s="1462"/>
      <c r="R311" s="1462"/>
      <c r="S311" s="1462"/>
      <c r="T311" s="1462"/>
      <c r="U311" s="1469">
        <v>23</v>
      </c>
      <c r="V311" s="1486" t="s">
        <v>33</v>
      </c>
      <c r="W311" s="1471" t="s">
        <v>1306</v>
      </c>
      <c r="X311" s="1472" t="s">
        <v>1440</v>
      </c>
      <c r="Y311" s="1473" t="s">
        <v>1306</v>
      </c>
      <c r="Z311" s="1504" t="s">
        <v>1448</v>
      </c>
      <c r="AA311" s="1473" t="s">
        <v>1306</v>
      </c>
      <c r="AB311" s="1470" t="s">
        <v>352</v>
      </c>
      <c r="AC311" s="1499" t="s">
        <v>1366</v>
      </c>
      <c r="AD311" s="1500" t="s">
        <v>640</v>
      </c>
      <c r="AE311" s="1501"/>
      <c r="AF311" s="1501"/>
      <c r="AG311" s="1457" t="str">
        <f t="shared" si="19"/>
        <v>23調査結果-建築物の内部-4（8）-改善（予定）年月-未定</v>
      </c>
      <c r="AI311" s="1459"/>
      <c r="AJ311" s="1459"/>
      <c r="AK311" s="1459"/>
    </row>
    <row r="312" spans="1:37" s="1457" customFormat="1" ht="18.75" customHeight="1" x14ac:dyDescent="0.15">
      <c r="A312" s="1578"/>
      <c r="B312" s="1462"/>
      <c r="C312" s="1462"/>
      <c r="D312" s="1460">
        <f>'1_入力シート【基本情報】'!$AF$390</f>
        <v>0</v>
      </c>
      <c r="E312" s="1650">
        <f t="shared" si="20"/>
        <v>0</v>
      </c>
      <c r="F312" s="1650" t="str">
        <f t="shared" si="21"/>
        <v>0</v>
      </c>
      <c r="G312" s="1650" t="str">
        <f t="shared" si="22"/>
        <v>0</v>
      </c>
      <c r="H312" s="1468"/>
      <c r="I312" s="1462"/>
      <c r="J312" s="1531"/>
      <c r="K312" s="1462"/>
      <c r="L312" s="1462"/>
      <c r="M312" s="1493"/>
      <c r="N312" s="1462"/>
      <c r="O312" s="1462"/>
      <c r="P312" s="1462"/>
      <c r="Q312" s="1462"/>
      <c r="R312" s="1462"/>
      <c r="S312" s="1462"/>
      <c r="T312" s="1462"/>
      <c r="U312" s="1469">
        <v>23</v>
      </c>
      <c r="V312" s="1486" t="s">
        <v>33</v>
      </c>
      <c r="W312" s="1471" t="s">
        <v>1306</v>
      </c>
      <c r="X312" s="1472" t="s">
        <v>1440</v>
      </c>
      <c r="Y312" s="1473" t="s">
        <v>1306</v>
      </c>
      <c r="Z312" s="1504" t="s">
        <v>1449</v>
      </c>
      <c r="AA312" s="1473" t="s">
        <v>1306</v>
      </c>
      <c r="AB312" s="1486" t="s">
        <v>33</v>
      </c>
      <c r="AC312" s="1499"/>
      <c r="AD312" s="1500"/>
      <c r="AE312" s="1501"/>
      <c r="AF312" s="1501"/>
      <c r="AG312" s="1457" t="str">
        <f t="shared" si="19"/>
        <v>23調査結果-建築物の内部-4（9）-調査結果</v>
      </c>
      <c r="AI312" s="1459"/>
      <c r="AJ312" s="1459"/>
      <c r="AK312" s="1459"/>
    </row>
    <row r="313" spans="1:37" s="1457" customFormat="1" ht="18.75" customHeight="1" x14ac:dyDescent="0.15">
      <c r="A313" s="1578"/>
      <c r="B313" s="1462"/>
      <c r="C313" s="1462"/>
      <c r="D313" s="1460">
        <f>'1_入力シート【基本情報】'!$AR$390</f>
        <v>0</v>
      </c>
      <c r="E313" s="1650">
        <f t="shared" si="20"/>
        <v>0</v>
      </c>
      <c r="F313" s="1650" t="str">
        <f t="shared" si="21"/>
        <v>0</v>
      </c>
      <c r="G313" s="1650" t="str">
        <f t="shared" si="22"/>
        <v>0</v>
      </c>
      <c r="H313" s="1468"/>
      <c r="I313" s="1462"/>
      <c r="J313" s="1531"/>
      <c r="K313" s="1462"/>
      <c r="L313" s="1462"/>
      <c r="M313" s="1493"/>
      <c r="N313" s="1462"/>
      <c r="O313" s="1462"/>
      <c r="P313" s="1462"/>
      <c r="Q313" s="1462"/>
      <c r="R313" s="1462"/>
      <c r="S313" s="1462"/>
      <c r="T313" s="1462"/>
      <c r="U313" s="1469">
        <v>23</v>
      </c>
      <c r="V313" s="1486" t="s">
        <v>33</v>
      </c>
      <c r="W313" s="1471" t="s">
        <v>1306</v>
      </c>
      <c r="X313" s="1472" t="s">
        <v>1440</v>
      </c>
      <c r="Y313" s="1473" t="s">
        <v>1306</v>
      </c>
      <c r="Z313" s="1504" t="s">
        <v>1449</v>
      </c>
      <c r="AA313" s="1473" t="s">
        <v>1306</v>
      </c>
      <c r="AB313" s="1486" t="s">
        <v>30</v>
      </c>
      <c r="AC313" s="1499"/>
      <c r="AD313" s="1500"/>
      <c r="AE313" s="1501"/>
      <c r="AF313" s="1501"/>
      <c r="AG313" s="1457" t="str">
        <f t="shared" si="19"/>
        <v>23調査結果-建築物の内部-4（9）-調査者番号</v>
      </c>
      <c r="AI313" s="1459"/>
      <c r="AJ313" s="1459"/>
      <c r="AK313" s="1459"/>
    </row>
    <row r="314" spans="1:37" s="1457" customFormat="1" ht="18.75" customHeight="1" x14ac:dyDescent="0.15">
      <c r="A314" s="1578"/>
      <c r="B314" s="1462"/>
      <c r="C314" s="1462"/>
      <c r="D314" s="1460">
        <f>'1_入力シート【基本情報】'!$AT$390</f>
        <v>0</v>
      </c>
      <c r="E314" s="1650">
        <f t="shared" si="20"/>
        <v>0</v>
      </c>
      <c r="F314" s="1650" t="str">
        <f t="shared" si="21"/>
        <v>0</v>
      </c>
      <c r="G314" s="1650" t="str">
        <f t="shared" si="22"/>
        <v>0</v>
      </c>
      <c r="H314" s="1468"/>
      <c r="I314" s="1462"/>
      <c r="J314" s="1531"/>
      <c r="K314" s="1462"/>
      <c r="L314" s="1462"/>
      <c r="M314" s="1493"/>
      <c r="N314" s="1462"/>
      <c r="O314" s="1462"/>
      <c r="P314" s="1462"/>
      <c r="Q314" s="1462"/>
      <c r="R314" s="1462"/>
      <c r="S314" s="1462"/>
      <c r="T314" s="1462"/>
      <c r="U314" s="1469">
        <v>23</v>
      </c>
      <c r="V314" s="1486" t="s">
        <v>33</v>
      </c>
      <c r="W314" s="1471" t="s">
        <v>1306</v>
      </c>
      <c r="X314" s="1472" t="s">
        <v>1440</v>
      </c>
      <c r="Y314" s="1473" t="s">
        <v>1306</v>
      </c>
      <c r="Z314" s="1504" t="s">
        <v>1449</v>
      </c>
      <c r="AA314" s="1473" t="s">
        <v>1306</v>
      </c>
      <c r="AB314" s="1486" t="s">
        <v>1402</v>
      </c>
      <c r="AC314" s="1499"/>
      <c r="AD314" s="1500"/>
      <c r="AE314" s="1501"/>
      <c r="AF314" s="1501"/>
      <c r="AG314" s="1457" t="str">
        <f t="shared" si="19"/>
        <v>23調査結果-建築物の内部-4（9）-指摘の具体的内容等</v>
      </c>
      <c r="AI314" s="1459"/>
      <c r="AJ314" s="1459"/>
      <c r="AK314" s="1459"/>
    </row>
    <row r="315" spans="1:37" s="1457" customFormat="1" ht="18.75" customHeight="1" x14ac:dyDescent="0.15">
      <c r="A315" s="1578"/>
      <c r="B315" s="1462"/>
      <c r="C315" s="1462"/>
      <c r="D315" s="1460">
        <f>'1_入力シート【基本情報】'!$BD$390</f>
        <v>0</v>
      </c>
      <c r="E315" s="1650">
        <f t="shared" si="20"/>
        <v>0</v>
      </c>
      <c r="F315" s="1650" t="str">
        <f t="shared" si="21"/>
        <v>0</v>
      </c>
      <c r="G315" s="1650" t="str">
        <f t="shared" si="22"/>
        <v>0</v>
      </c>
      <c r="H315" s="1468"/>
      <c r="I315" s="1462"/>
      <c r="J315" s="1531"/>
      <c r="K315" s="1462"/>
      <c r="L315" s="1462"/>
      <c r="M315" s="1493"/>
      <c r="N315" s="1462"/>
      <c r="O315" s="1462"/>
      <c r="P315" s="1462"/>
      <c r="Q315" s="1462"/>
      <c r="R315" s="1462"/>
      <c r="S315" s="1462"/>
      <c r="T315" s="1462"/>
      <c r="U315" s="1469">
        <v>23</v>
      </c>
      <c r="V315" s="1486" t="s">
        <v>33</v>
      </c>
      <c r="W315" s="1471" t="s">
        <v>1306</v>
      </c>
      <c r="X315" s="1472" t="s">
        <v>1440</v>
      </c>
      <c r="Y315" s="1473" t="s">
        <v>1306</v>
      </c>
      <c r="Z315" s="1504" t="s">
        <v>1449</v>
      </c>
      <c r="AA315" s="1473" t="s">
        <v>1306</v>
      </c>
      <c r="AB315" s="1486" t="s">
        <v>1403</v>
      </c>
      <c r="AC315" s="1475"/>
      <c r="AD315" s="1476"/>
      <c r="AE315" s="1501"/>
      <c r="AF315" s="1501"/>
      <c r="AG315" s="1457" t="str">
        <f t="shared" si="19"/>
        <v>23調査結果-建築物の内部-4（9）-改善策の具体的内容等</v>
      </c>
      <c r="AI315" s="1459"/>
      <c r="AJ315" s="1459"/>
      <c r="AK315" s="1459"/>
    </row>
    <row r="316" spans="1:37" s="1457" customFormat="1" ht="18.75" customHeight="1" x14ac:dyDescent="0.15">
      <c r="A316" s="1578"/>
      <c r="B316" s="1462"/>
      <c r="C316" s="1462"/>
      <c r="D316" s="1460">
        <f>'1_入力シート【基本情報】'!$BS$390</f>
        <v>0</v>
      </c>
      <c r="E316" s="1650">
        <f t="shared" si="20"/>
        <v>0</v>
      </c>
      <c r="F316" s="1650" t="str">
        <f t="shared" si="21"/>
        <v>0</v>
      </c>
      <c r="G316" s="1650" t="str">
        <f t="shared" si="22"/>
        <v>0</v>
      </c>
      <c r="H316" s="1468"/>
      <c r="I316" s="1462"/>
      <c r="J316" s="1531"/>
      <c r="K316" s="1462"/>
      <c r="L316" s="1462"/>
      <c r="M316" s="1493"/>
      <c r="N316" s="1462"/>
      <c r="O316" s="1462"/>
      <c r="P316" s="1462"/>
      <c r="Q316" s="1462"/>
      <c r="R316" s="1462"/>
      <c r="S316" s="1462"/>
      <c r="T316" s="1462"/>
      <c r="U316" s="1469">
        <v>23</v>
      </c>
      <c r="V316" s="1486" t="s">
        <v>33</v>
      </c>
      <c r="W316" s="1471" t="s">
        <v>1306</v>
      </c>
      <c r="X316" s="1472" t="s">
        <v>1440</v>
      </c>
      <c r="Y316" s="1473" t="s">
        <v>1306</v>
      </c>
      <c r="Z316" s="1504" t="s">
        <v>1449</v>
      </c>
      <c r="AA316" s="1473" t="s">
        <v>1306</v>
      </c>
      <c r="AB316" s="1470" t="s">
        <v>352</v>
      </c>
      <c r="AC316" s="1499" t="s">
        <v>1366</v>
      </c>
      <c r="AD316" s="1500" t="s">
        <v>1387</v>
      </c>
      <c r="AE316" s="1501"/>
      <c r="AF316" s="1501"/>
      <c r="AG316" s="1457" t="str">
        <f t="shared" si="19"/>
        <v>23調査結果-建築物の内部-4（9）-改善（予定）年月-年（令和）</v>
      </c>
      <c r="AI316" s="1459"/>
      <c r="AJ316" s="1459"/>
      <c r="AK316" s="1459"/>
    </row>
    <row r="317" spans="1:37" s="1457" customFormat="1" ht="18.75" customHeight="1" x14ac:dyDescent="0.15">
      <c r="A317" s="1578"/>
      <c r="B317" s="1462"/>
      <c r="C317" s="1462"/>
      <c r="D317" s="1460">
        <f>'1_入力シート【基本情報】'!$BV$390</f>
        <v>0</v>
      </c>
      <c r="E317" s="1650">
        <f t="shared" si="20"/>
        <v>0</v>
      </c>
      <c r="F317" s="1650" t="str">
        <f t="shared" si="21"/>
        <v>0</v>
      </c>
      <c r="G317" s="1650" t="str">
        <f t="shared" si="22"/>
        <v>0</v>
      </c>
      <c r="H317" s="1468"/>
      <c r="I317" s="1462"/>
      <c r="J317" s="1531"/>
      <c r="K317" s="1462"/>
      <c r="L317" s="1462"/>
      <c r="M317" s="1493"/>
      <c r="N317" s="1462"/>
      <c r="O317" s="1462"/>
      <c r="P317" s="1462"/>
      <c r="Q317" s="1462"/>
      <c r="R317" s="1462"/>
      <c r="S317" s="1462"/>
      <c r="T317" s="1462"/>
      <c r="U317" s="1469">
        <v>23</v>
      </c>
      <c r="V317" s="1486" t="s">
        <v>33</v>
      </c>
      <c r="W317" s="1471" t="s">
        <v>1306</v>
      </c>
      <c r="X317" s="1472" t="s">
        <v>1440</v>
      </c>
      <c r="Y317" s="1473" t="s">
        <v>1306</v>
      </c>
      <c r="Z317" s="1504" t="s">
        <v>1449</v>
      </c>
      <c r="AA317" s="1473" t="s">
        <v>1306</v>
      </c>
      <c r="AB317" s="1470" t="s">
        <v>352</v>
      </c>
      <c r="AC317" s="1499" t="s">
        <v>1366</v>
      </c>
      <c r="AD317" s="1500" t="s">
        <v>348</v>
      </c>
      <c r="AE317" s="1501"/>
      <c r="AF317" s="1501"/>
      <c r="AG317" s="1457" t="str">
        <f t="shared" si="19"/>
        <v>23調査結果-建築物の内部-4（9）-改善（予定）年月-月</v>
      </c>
      <c r="AI317" s="1459"/>
      <c r="AJ317" s="1459"/>
      <c r="AK317" s="1459"/>
    </row>
    <row r="318" spans="1:37" s="1457" customFormat="1" ht="18.75" customHeight="1" x14ac:dyDescent="0.15">
      <c r="A318" s="1578"/>
      <c r="B318" s="1462"/>
      <c r="C318" s="1462"/>
      <c r="D318" s="1460">
        <f>'1_入力シート【基本情報】'!$BY$390</f>
        <v>0</v>
      </c>
      <c r="E318" s="1650">
        <f t="shared" si="20"/>
        <v>0</v>
      </c>
      <c r="F318" s="1650" t="str">
        <f t="shared" si="21"/>
        <v>0</v>
      </c>
      <c r="G318" s="1650" t="str">
        <f t="shared" si="22"/>
        <v>0</v>
      </c>
      <c r="H318" s="1468"/>
      <c r="I318" s="1462"/>
      <c r="J318" s="1531"/>
      <c r="K318" s="1462"/>
      <c r="L318" s="1462"/>
      <c r="M318" s="1493"/>
      <c r="N318" s="1462"/>
      <c r="O318" s="1462"/>
      <c r="P318" s="1462"/>
      <c r="Q318" s="1462"/>
      <c r="R318" s="1462"/>
      <c r="S318" s="1462"/>
      <c r="T318" s="1462"/>
      <c r="U318" s="1469">
        <v>23</v>
      </c>
      <c r="V318" s="1486" t="s">
        <v>33</v>
      </c>
      <c r="W318" s="1471" t="s">
        <v>1306</v>
      </c>
      <c r="X318" s="1472" t="s">
        <v>1440</v>
      </c>
      <c r="Y318" s="1473" t="s">
        <v>1306</v>
      </c>
      <c r="Z318" s="1504" t="s">
        <v>1449</v>
      </c>
      <c r="AA318" s="1473" t="s">
        <v>1306</v>
      </c>
      <c r="AB318" s="1470" t="s">
        <v>352</v>
      </c>
      <c r="AC318" s="1499" t="s">
        <v>1366</v>
      </c>
      <c r="AD318" s="1500" t="s">
        <v>640</v>
      </c>
      <c r="AE318" s="1477"/>
      <c r="AF318" s="1477"/>
      <c r="AG318" s="1457" t="str">
        <f t="shared" si="19"/>
        <v>23調査結果-建築物の内部-4（9）-改善（予定）年月-未定</v>
      </c>
      <c r="AI318" s="1459"/>
      <c r="AJ318" s="1459"/>
      <c r="AK318" s="1459"/>
    </row>
    <row r="319" spans="1:37" s="1457" customFormat="1" ht="18.75" customHeight="1" x14ac:dyDescent="0.15">
      <c r="A319" s="1578"/>
      <c r="B319" s="1462"/>
      <c r="C319" s="1462"/>
      <c r="D319" s="1460">
        <f>'1_入力シート【基本情報】'!$AF$391</f>
        <v>0</v>
      </c>
      <c r="E319" s="1650">
        <f t="shared" si="20"/>
        <v>0</v>
      </c>
      <c r="F319" s="1650" t="str">
        <f t="shared" si="21"/>
        <v>0</v>
      </c>
      <c r="G319" s="1650" t="str">
        <f t="shared" si="22"/>
        <v>0</v>
      </c>
      <c r="H319" s="1468"/>
      <c r="I319" s="1462"/>
      <c r="J319" s="1531"/>
      <c r="K319" s="1462"/>
      <c r="L319" s="1462"/>
      <c r="M319" s="1493"/>
      <c r="N319" s="1462"/>
      <c r="O319" s="1462"/>
      <c r="P319" s="1462"/>
      <c r="Q319" s="1462"/>
      <c r="R319" s="1462"/>
      <c r="S319" s="1462"/>
      <c r="T319" s="1462"/>
      <c r="U319" s="1469">
        <v>23</v>
      </c>
      <c r="V319" s="1486" t="s">
        <v>33</v>
      </c>
      <c r="W319" s="1471" t="s">
        <v>1306</v>
      </c>
      <c r="X319" s="1472" t="s">
        <v>1440</v>
      </c>
      <c r="Y319" s="1473" t="s">
        <v>1306</v>
      </c>
      <c r="Z319" s="1504" t="s">
        <v>1450</v>
      </c>
      <c r="AA319" s="1473" t="s">
        <v>1306</v>
      </c>
      <c r="AB319" s="1470" t="s">
        <v>33</v>
      </c>
      <c r="AC319" s="1499"/>
      <c r="AD319" s="1500"/>
      <c r="AE319" s="1501"/>
      <c r="AF319" s="1501"/>
      <c r="AG319" s="1457" t="str">
        <f t="shared" si="19"/>
        <v>23調査結果-建築物の内部-4（10）-調査結果</v>
      </c>
      <c r="AI319" s="1459"/>
      <c r="AJ319" s="1459"/>
      <c r="AK319" s="1459"/>
    </row>
    <row r="320" spans="1:37" s="1457" customFormat="1" ht="18.75" customHeight="1" x14ac:dyDescent="0.15">
      <c r="A320" s="1578"/>
      <c r="B320" s="1462"/>
      <c r="C320" s="1462"/>
      <c r="D320" s="1460">
        <f>'1_入力シート【基本情報】'!$AR$391</f>
        <v>0</v>
      </c>
      <c r="E320" s="1650">
        <f t="shared" si="20"/>
        <v>0</v>
      </c>
      <c r="F320" s="1650" t="str">
        <f t="shared" si="21"/>
        <v>0</v>
      </c>
      <c r="G320" s="1650" t="str">
        <f t="shared" si="22"/>
        <v>0</v>
      </c>
      <c r="H320" s="1468"/>
      <c r="I320" s="1462"/>
      <c r="J320" s="1531"/>
      <c r="K320" s="1462"/>
      <c r="L320" s="1462"/>
      <c r="M320" s="1493"/>
      <c r="N320" s="1462"/>
      <c r="O320" s="1462"/>
      <c r="P320" s="1462"/>
      <c r="Q320" s="1462"/>
      <c r="R320" s="1462"/>
      <c r="S320" s="1462"/>
      <c r="T320" s="1462"/>
      <c r="U320" s="1469">
        <v>23</v>
      </c>
      <c r="V320" s="1486" t="s">
        <v>33</v>
      </c>
      <c r="W320" s="1471" t="s">
        <v>1306</v>
      </c>
      <c r="X320" s="1472" t="s">
        <v>1440</v>
      </c>
      <c r="Y320" s="1473" t="s">
        <v>1306</v>
      </c>
      <c r="Z320" s="1504" t="s">
        <v>1450</v>
      </c>
      <c r="AA320" s="1473" t="s">
        <v>1306</v>
      </c>
      <c r="AB320" s="1486" t="s">
        <v>30</v>
      </c>
      <c r="AC320" s="1499"/>
      <c r="AD320" s="1500"/>
      <c r="AE320" s="1501"/>
      <c r="AF320" s="1501"/>
      <c r="AG320" s="1457" t="str">
        <f t="shared" si="19"/>
        <v>23調査結果-建築物の内部-4（10）-調査者番号</v>
      </c>
      <c r="AI320" s="1459"/>
      <c r="AJ320" s="1459"/>
      <c r="AK320" s="1459"/>
    </row>
    <row r="321" spans="1:37" s="1457" customFormat="1" ht="18.75" customHeight="1" x14ac:dyDescent="0.15">
      <c r="A321" s="1578"/>
      <c r="B321" s="1462"/>
      <c r="C321" s="1462"/>
      <c r="D321" s="1460">
        <f>'1_入力シート【基本情報】'!$AT$391</f>
        <v>0</v>
      </c>
      <c r="E321" s="1650">
        <f t="shared" si="20"/>
        <v>0</v>
      </c>
      <c r="F321" s="1650" t="str">
        <f t="shared" si="21"/>
        <v>0</v>
      </c>
      <c r="G321" s="1650" t="str">
        <f t="shared" si="22"/>
        <v>0</v>
      </c>
      <c r="H321" s="1468"/>
      <c r="I321" s="1462"/>
      <c r="J321" s="1531"/>
      <c r="K321" s="1462"/>
      <c r="L321" s="1462"/>
      <c r="M321" s="1493"/>
      <c r="N321" s="1462"/>
      <c r="O321" s="1462"/>
      <c r="P321" s="1462"/>
      <c r="Q321" s="1462"/>
      <c r="R321" s="1462"/>
      <c r="S321" s="1462"/>
      <c r="T321" s="1462"/>
      <c r="U321" s="1469">
        <v>23</v>
      </c>
      <c r="V321" s="1486" t="s">
        <v>33</v>
      </c>
      <c r="W321" s="1471" t="s">
        <v>1306</v>
      </c>
      <c r="X321" s="1472" t="s">
        <v>1440</v>
      </c>
      <c r="Y321" s="1473" t="s">
        <v>1306</v>
      </c>
      <c r="Z321" s="1504" t="s">
        <v>1450</v>
      </c>
      <c r="AA321" s="1473" t="s">
        <v>1306</v>
      </c>
      <c r="AB321" s="1486" t="s">
        <v>1402</v>
      </c>
      <c r="AC321" s="1499"/>
      <c r="AD321" s="1500"/>
      <c r="AE321" s="1501"/>
      <c r="AF321" s="1501"/>
      <c r="AG321" s="1457" t="str">
        <f t="shared" si="19"/>
        <v>23調査結果-建築物の内部-4（10）-指摘の具体的内容等</v>
      </c>
      <c r="AI321" s="1459"/>
      <c r="AJ321" s="1459"/>
      <c r="AK321" s="1459"/>
    </row>
    <row r="322" spans="1:37" s="1457" customFormat="1" ht="18.75" customHeight="1" x14ac:dyDescent="0.15">
      <c r="A322" s="1578"/>
      <c r="B322" s="1462"/>
      <c r="C322" s="1462"/>
      <c r="D322" s="1460">
        <f>'1_入力シート【基本情報】'!$BD$391</f>
        <v>0</v>
      </c>
      <c r="E322" s="1650">
        <f t="shared" si="20"/>
        <v>0</v>
      </c>
      <c r="F322" s="1650" t="str">
        <f t="shared" si="21"/>
        <v>0</v>
      </c>
      <c r="G322" s="1650" t="str">
        <f t="shared" si="22"/>
        <v>0</v>
      </c>
      <c r="H322" s="1468"/>
      <c r="I322" s="1462"/>
      <c r="J322" s="1531"/>
      <c r="K322" s="1462"/>
      <c r="L322" s="1462"/>
      <c r="M322" s="1493"/>
      <c r="N322" s="1462"/>
      <c r="O322" s="1462"/>
      <c r="P322" s="1462"/>
      <c r="Q322" s="1462"/>
      <c r="R322" s="1462"/>
      <c r="S322" s="1462"/>
      <c r="T322" s="1462"/>
      <c r="U322" s="1469">
        <v>23</v>
      </c>
      <c r="V322" s="1486" t="s">
        <v>33</v>
      </c>
      <c r="W322" s="1471" t="s">
        <v>1306</v>
      </c>
      <c r="X322" s="1472" t="s">
        <v>1440</v>
      </c>
      <c r="Y322" s="1473" t="s">
        <v>1306</v>
      </c>
      <c r="Z322" s="1504" t="s">
        <v>1450</v>
      </c>
      <c r="AA322" s="1473" t="s">
        <v>1306</v>
      </c>
      <c r="AB322" s="1486" t="s">
        <v>1403</v>
      </c>
      <c r="AC322" s="1499"/>
      <c r="AD322" s="1500"/>
      <c r="AE322" s="1501"/>
      <c r="AF322" s="1501"/>
      <c r="AG322" s="1457" t="str">
        <f t="shared" si="19"/>
        <v>23調査結果-建築物の内部-4（10）-改善策の具体的内容等</v>
      </c>
      <c r="AI322" s="1459"/>
      <c r="AJ322" s="1459"/>
      <c r="AK322" s="1459"/>
    </row>
    <row r="323" spans="1:37" s="1457" customFormat="1" ht="18.75" customHeight="1" x14ac:dyDescent="0.15">
      <c r="A323" s="1578"/>
      <c r="B323" s="1462"/>
      <c r="C323" s="1462"/>
      <c r="D323" s="1460">
        <f>'1_入力シート【基本情報】'!$BS$391</f>
        <v>0</v>
      </c>
      <c r="E323" s="1650">
        <f t="shared" si="20"/>
        <v>0</v>
      </c>
      <c r="F323" s="1650" t="str">
        <f t="shared" si="21"/>
        <v>0</v>
      </c>
      <c r="G323" s="1650" t="str">
        <f t="shared" si="22"/>
        <v>0</v>
      </c>
      <c r="H323" s="1468"/>
      <c r="I323" s="1462"/>
      <c r="J323" s="1531"/>
      <c r="K323" s="1462"/>
      <c r="L323" s="1462"/>
      <c r="M323" s="1493"/>
      <c r="N323" s="1462"/>
      <c r="O323" s="1462"/>
      <c r="P323" s="1462"/>
      <c r="Q323" s="1462"/>
      <c r="R323" s="1462"/>
      <c r="S323" s="1462"/>
      <c r="T323" s="1462"/>
      <c r="U323" s="1469">
        <v>23</v>
      </c>
      <c r="V323" s="1486" t="s">
        <v>33</v>
      </c>
      <c r="W323" s="1471" t="s">
        <v>1306</v>
      </c>
      <c r="X323" s="1472" t="s">
        <v>1440</v>
      </c>
      <c r="Y323" s="1473" t="s">
        <v>1306</v>
      </c>
      <c r="Z323" s="1504" t="s">
        <v>1450</v>
      </c>
      <c r="AA323" s="1473" t="s">
        <v>1306</v>
      </c>
      <c r="AB323" s="1486" t="s">
        <v>352</v>
      </c>
      <c r="AC323" s="1475" t="s">
        <v>1366</v>
      </c>
      <c r="AD323" s="1476" t="s">
        <v>1387</v>
      </c>
      <c r="AE323" s="1501"/>
      <c r="AF323" s="1501"/>
      <c r="AG323" s="1457" t="str">
        <f t="shared" si="19"/>
        <v>23調査結果-建築物の内部-4（10）-改善（予定）年月-年（令和）</v>
      </c>
      <c r="AI323" s="1459"/>
      <c r="AJ323" s="1459"/>
      <c r="AK323" s="1459"/>
    </row>
    <row r="324" spans="1:37" s="1457" customFormat="1" ht="18.75" customHeight="1" x14ac:dyDescent="0.15">
      <c r="A324" s="1578"/>
      <c r="B324" s="1462"/>
      <c r="C324" s="1462"/>
      <c r="D324" s="1460">
        <f>'1_入力シート【基本情報】'!$BV$391</f>
        <v>0</v>
      </c>
      <c r="E324" s="1650">
        <f t="shared" si="20"/>
        <v>0</v>
      </c>
      <c r="F324" s="1650" t="str">
        <f t="shared" si="21"/>
        <v>0</v>
      </c>
      <c r="G324" s="1650" t="str">
        <f t="shared" si="22"/>
        <v>0</v>
      </c>
      <c r="H324" s="1468"/>
      <c r="I324" s="1462"/>
      <c r="J324" s="1531"/>
      <c r="K324" s="1462"/>
      <c r="L324" s="1462"/>
      <c r="M324" s="1493"/>
      <c r="N324" s="1462"/>
      <c r="O324" s="1462"/>
      <c r="P324" s="1462"/>
      <c r="Q324" s="1462"/>
      <c r="R324" s="1462"/>
      <c r="S324" s="1462"/>
      <c r="T324" s="1462"/>
      <c r="U324" s="1469">
        <v>23</v>
      </c>
      <c r="V324" s="1486" t="s">
        <v>33</v>
      </c>
      <c r="W324" s="1471" t="s">
        <v>1306</v>
      </c>
      <c r="X324" s="1472" t="s">
        <v>1440</v>
      </c>
      <c r="Y324" s="1473" t="s">
        <v>1306</v>
      </c>
      <c r="Z324" s="1504" t="s">
        <v>1450</v>
      </c>
      <c r="AA324" s="1473" t="s">
        <v>1306</v>
      </c>
      <c r="AB324" s="1470" t="s">
        <v>352</v>
      </c>
      <c r="AC324" s="1499" t="s">
        <v>1366</v>
      </c>
      <c r="AD324" s="1500" t="s">
        <v>348</v>
      </c>
      <c r="AE324" s="1501"/>
      <c r="AF324" s="1501"/>
      <c r="AG324" s="1457" t="str">
        <f t="shared" si="19"/>
        <v>23調査結果-建築物の内部-4（10）-改善（予定）年月-月</v>
      </c>
      <c r="AI324" s="1459"/>
      <c r="AJ324" s="1459"/>
      <c r="AK324" s="1459"/>
    </row>
    <row r="325" spans="1:37" s="1457" customFormat="1" ht="18.75" customHeight="1" x14ac:dyDescent="0.15">
      <c r="A325" s="1578"/>
      <c r="B325" s="1462"/>
      <c r="C325" s="1462"/>
      <c r="D325" s="1460">
        <f>'1_入力シート【基本情報】'!$BY$391</f>
        <v>0</v>
      </c>
      <c r="E325" s="1650">
        <f t="shared" si="20"/>
        <v>0</v>
      </c>
      <c r="F325" s="1650" t="str">
        <f t="shared" si="21"/>
        <v>0</v>
      </c>
      <c r="G325" s="1650" t="str">
        <f t="shared" si="22"/>
        <v>0</v>
      </c>
      <c r="H325" s="1468"/>
      <c r="I325" s="1462"/>
      <c r="J325" s="1531"/>
      <c r="K325" s="1462"/>
      <c r="L325" s="1462"/>
      <c r="M325" s="1493"/>
      <c r="N325" s="1462"/>
      <c r="O325" s="1462"/>
      <c r="P325" s="1462"/>
      <c r="Q325" s="1462"/>
      <c r="R325" s="1462"/>
      <c r="S325" s="1462"/>
      <c r="T325" s="1462"/>
      <c r="U325" s="1469">
        <v>23</v>
      </c>
      <c r="V325" s="1486" t="s">
        <v>33</v>
      </c>
      <c r="W325" s="1471" t="s">
        <v>1306</v>
      </c>
      <c r="X325" s="1472" t="s">
        <v>1440</v>
      </c>
      <c r="Y325" s="1473" t="s">
        <v>1306</v>
      </c>
      <c r="Z325" s="1504" t="s">
        <v>1450</v>
      </c>
      <c r="AA325" s="1473" t="s">
        <v>1306</v>
      </c>
      <c r="AB325" s="1470" t="s">
        <v>352</v>
      </c>
      <c r="AC325" s="1499" t="s">
        <v>1366</v>
      </c>
      <c r="AD325" s="1500" t="s">
        <v>640</v>
      </c>
      <c r="AE325" s="1501"/>
      <c r="AF325" s="1501"/>
      <c r="AG325" s="1457" t="str">
        <f t="shared" si="19"/>
        <v>23調査結果-建築物の内部-4（10）-改善（予定）年月-未定</v>
      </c>
      <c r="AI325" s="1459"/>
      <c r="AJ325" s="1459"/>
      <c r="AK325" s="1459"/>
    </row>
    <row r="326" spans="1:37" s="1457" customFormat="1" ht="18.75" customHeight="1" x14ac:dyDescent="0.15">
      <c r="A326" s="1578"/>
      <c r="B326" s="1462"/>
      <c r="C326" s="1462"/>
      <c r="D326" s="1460">
        <f>'1_入力シート【基本情報】'!$AF$392</f>
        <v>0</v>
      </c>
      <c r="E326" s="1650">
        <f t="shared" si="20"/>
        <v>0</v>
      </c>
      <c r="F326" s="1650" t="str">
        <f t="shared" si="21"/>
        <v>0</v>
      </c>
      <c r="G326" s="1650" t="str">
        <f t="shared" si="22"/>
        <v>0</v>
      </c>
      <c r="H326" s="1468"/>
      <c r="I326" s="1462"/>
      <c r="J326" s="1531"/>
      <c r="K326" s="1462"/>
      <c r="L326" s="1462"/>
      <c r="M326" s="1493"/>
      <c r="N326" s="1462"/>
      <c r="O326" s="1462"/>
      <c r="P326" s="1462"/>
      <c r="Q326" s="1462"/>
      <c r="R326" s="1462"/>
      <c r="S326" s="1462"/>
      <c r="T326" s="1462"/>
      <c r="U326" s="1469">
        <v>23</v>
      </c>
      <c r="V326" s="1486" t="s">
        <v>33</v>
      </c>
      <c r="W326" s="1471" t="s">
        <v>1306</v>
      </c>
      <c r="X326" s="1472" t="s">
        <v>1440</v>
      </c>
      <c r="Y326" s="1473" t="s">
        <v>1306</v>
      </c>
      <c r="Z326" s="1504" t="s">
        <v>1451</v>
      </c>
      <c r="AA326" s="1473" t="s">
        <v>1306</v>
      </c>
      <c r="AB326" s="1470" t="s">
        <v>33</v>
      </c>
      <c r="AC326" s="1499"/>
      <c r="AD326" s="1500"/>
      <c r="AE326" s="1477"/>
      <c r="AF326" s="1477"/>
      <c r="AG326" s="1457" t="str">
        <f t="shared" si="19"/>
        <v>23調査結果-建築物の内部-4（11）-調査結果</v>
      </c>
      <c r="AI326" s="1459"/>
      <c r="AJ326" s="1459"/>
      <c r="AK326" s="1459"/>
    </row>
    <row r="327" spans="1:37" s="1457" customFormat="1" ht="18.75" customHeight="1" x14ac:dyDescent="0.15">
      <c r="A327" s="1578"/>
      <c r="B327" s="1462"/>
      <c r="C327" s="1462"/>
      <c r="D327" s="1460">
        <f>'1_入力シート【基本情報】'!$AR$392</f>
        <v>0</v>
      </c>
      <c r="E327" s="1650">
        <f t="shared" si="20"/>
        <v>0</v>
      </c>
      <c r="F327" s="1650" t="str">
        <f t="shared" si="21"/>
        <v>0</v>
      </c>
      <c r="G327" s="1650" t="str">
        <f t="shared" si="22"/>
        <v>0</v>
      </c>
      <c r="H327" s="1468"/>
      <c r="I327" s="1462"/>
      <c r="J327" s="1531"/>
      <c r="K327" s="1462"/>
      <c r="L327" s="1462"/>
      <c r="M327" s="1493"/>
      <c r="N327" s="1462"/>
      <c r="O327" s="1462"/>
      <c r="P327" s="1462"/>
      <c r="Q327" s="1462"/>
      <c r="R327" s="1462"/>
      <c r="S327" s="1462"/>
      <c r="T327" s="1462"/>
      <c r="U327" s="1469">
        <v>23</v>
      </c>
      <c r="V327" s="1486" t="s">
        <v>33</v>
      </c>
      <c r="W327" s="1471" t="s">
        <v>1306</v>
      </c>
      <c r="X327" s="1472" t="s">
        <v>1440</v>
      </c>
      <c r="Y327" s="1473" t="s">
        <v>1306</v>
      </c>
      <c r="Z327" s="1504" t="s">
        <v>1451</v>
      </c>
      <c r="AA327" s="1473" t="s">
        <v>1306</v>
      </c>
      <c r="AB327" s="1470" t="s">
        <v>30</v>
      </c>
      <c r="AC327" s="1499"/>
      <c r="AD327" s="1500"/>
      <c r="AE327" s="1501"/>
      <c r="AF327" s="1501"/>
      <c r="AG327" s="1457" t="str">
        <f t="shared" si="19"/>
        <v>23調査結果-建築物の内部-4（11）-調査者番号</v>
      </c>
      <c r="AI327" s="1459"/>
      <c r="AJ327" s="1459"/>
      <c r="AK327" s="1459"/>
    </row>
    <row r="328" spans="1:37" s="1457" customFormat="1" ht="18.75" customHeight="1" x14ac:dyDescent="0.15">
      <c r="A328" s="1578"/>
      <c r="B328" s="1462"/>
      <c r="C328" s="1462"/>
      <c r="D328" s="1460">
        <f>'1_入力シート【基本情報】'!$AT$392</f>
        <v>0</v>
      </c>
      <c r="E328" s="1650">
        <f t="shared" si="20"/>
        <v>0</v>
      </c>
      <c r="F328" s="1650" t="str">
        <f t="shared" si="21"/>
        <v>0</v>
      </c>
      <c r="G328" s="1650" t="str">
        <f t="shared" si="22"/>
        <v>0</v>
      </c>
      <c r="H328" s="1468"/>
      <c r="I328" s="1462"/>
      <c r="J328" s="1531"/>
      <c r="K328" s="1462"/>
      <c r="L328" s="1462"/>
      <c r="M328" s="1493"/>
      <c r="N328" s="1462"/>
      <c r="O328" s="1462"/>
      <c r="P328" s="1462"/>
      <c r="Q328" s="1462"/>
      <c r="R328" s="1462"/>
      <c r="S328" s="1462"/>
      <c r="T328" s="1462"/>
      <c r="U328" s="1469">
        <v>23</v>
      </c>
      <c r="V328" s="1486" t="s">
        <v>33</v>
      </c>
      <c r="W328" s="1471" t="s">
        <v>1306</v>
      </c>
      <c r="X328" s="1472" t="s">
        <v>1440</v>
      </c>
      <c r="Y328" s="1473" t="s">
        <v>1306</v>
      </c>
      <c r="Z328" s="1504" t="s">
        <v>1451</v>
      </c>
      <c r="AA328" s="1473" t="s">
        <v>1306</v>
      </c>
      <c r="AB328" s="1486" t="s">
        <v>1402</v>
      </c>
      <c r="AC328" s="1499"/>
      <c r="AD328" s="1500"/>
      <c r="AE328" s="1501"/>
      <c r="AF328" s="1501"/>
      <c r="AG328" s="1457" t="str">
        <f t="shared" si="19"/>
        <v>23調査結果-建築物の内部-4（11）-指摘の具体的内容等</v>
      </c>
      <c r="AI328" s="1459"/>
      <c r="AJ328" s="1459"/>
      <c r="AK328" s="1459"/>
    </row>
    <row r="329" spans="1:37" s="1457" customFormat="1" ht="18.75" customHeight="1" x14ac:dyDescent="0.15">
      <c r="A329" s="1578"/>
      <c r="B329" s="1462"/>
      <c r="C329" s="1462"/>
      <c r="D329" s="1460">
        <f>'1_入力シート【基本情報】'!$BD$392</f>
        <v>0</v>
      </c>
      <c r="E329" s="1650">
        <f t="shared" si="20"/>
        <v>0</v>
      </c>
      <c r="F329" s="1650" t="str">
        <f t="shared" si="21"/>
        <v>0</v>
      </c>
      <c r="G329" s="1650" t="str">
        <f t="shared" si="22"/>
        <v>0</v>
      </c>
      <c r="H329" s="1468"/>
      <c r="I329" s="1462"/>
      <c r="J329" s="1531"/>
      <c r="K329" s="1462"/>
      <c r="L329" s="1462"/>
      <c r="M329" s="1493"/>
      <c r="N329" s="1462"/>
      <c r="O329" s="1462"/>
      <c r="P329" s="1462"/>
      <c r="Q329" s="1462"/>
      <c r="R329" s="1462"/>
      <c r="S329" s="1462"/>
      <c r="T329" s="1462"/>
      <c r="U329" s="1469">
        <v>23</v>
      </c>
      <c r="V329" s="1486" t="s">
        <v>33</v>
      </c>
      <c r="W329" s="1471" t="s">
        <v>1306</v>
      </c>
      <c r="X329" s="1472" t="s">
        <v>1440</v>
      </c>
      <c r="Y329" s="1473" t="s">
        <v>1306</v>
      </c>
      <c r="Z329" s="1504" t="s">
        <v>1451</v>
      </c>
      <c r="AA329" s="1473" t="s">
        <v>1306</v>
      </c>
      <c r="AB329" s="1486" t="s">
        <v>1403</v>
      </c>
      <c r="AC329" s="1499"/>
      <c r="AD329" s="1500"/>
      <c r="AE329" s="1501"/>
      <c r="AF329" s="1501"/>
      <c r="AG329" s="1457" t="str">
        <f t="shared" si="19"/>
        <v>23調査結果-建築物の内部-4（11）-改善策の具体的内容等</v>
      </c>
      <c r="AI329" s="1459"/>
      <c r="AJ329" s="1459"/>
      <c r="AK329" s="1459"/>
    </row>
    <row r="330" spans="1:37" s="1457" customFormat="1" ht="18.75" customHeight="1" x14ac:dyDescent="0.15">
      <c r="A330" s="1578"/>
      <c r="B330" s="1462"/>
      <c r="C330" s="1462"/>
      <c r="D330" s="1460">
        <f>'1_入力シート【基本情報】'!$BS$392</f>
        <v>0</v>
      </c>
      <c r="E330" s="1650">
        <f t="shared" si="20"/>
        <v>0</v>
      </c>
      <c r="F330" s="1650" t="str">
        <f t="shared" si="21"/>
        <v>0</v>
      </c>
      <c r="G330" s="1650" t="str">
        <f t="shared" si="22"/>
        <v>0</v>
      </c>
      <c r="H330" s="1468"/>
      <c r="I330" s="1462"/>
      <c r="J330" s="1531"/>
      <c r="K330" s="1462"/>
      <c r="L330" s="1462"/>
      <c r="M330" s="1493"/>
      <c r="N330" s="1462"/>
      <c r="O330" s="1462"/>
      <c r="P330" s="1462"/>
      <c r="Q330" s="1462"/>
      <c r="R330" s="1462"/>
      <c r="S330" s="1462"/>
      <c r="T330" s="1462"/>
      <c r="U330" s="1469">
        <v>23</v>
      </c>
      <c r="V330" s="1486" t="s">
        <v>33</v>
      </c>
      <c r="W330" s="1471" t="s">
        <v>1306</v>
      </c>
      <c r="X330" s="1472" t="s">
        <v>1440</v>
      </c>
      <c r="Y330" s="1473" t="s">
        <v>1306</v>
      </c>
      <c r="Z330" s="1504" t="s">
        <v>1451</v>
      </c>
      <c r="AA330" s="1473" t="s">
        <v>1306</v>
      </c>
      <c r="AB330" s="1486" t="s">
        <v>352</v>
      </c>
      <c r="AC330" s="1499" t="s">
        <v>1366</v>
      </c>
      <c r="AD330" s="1500" t="s">
        <v>1387</v>
      </c>
      <c r="AE330" s="1501"/>
      <c r="AF330" s="1501"/>
      <c r="AG330" s="1457" t="str">
        <f t="shared" si="19"/>
        <v>23調査結果-建築物の内部-4（11）-改善（予定）年月-年（令和）</v>
      </c>
      <c r="AI330" s="1459"/>
      <c r="AJ330" s="1459"/>
      <c r="AK330" s="1459"/>
    </row>
    <row r="331" spans="1:37" s="1457" customFormat="1" ht="18.75" customHeight="1" x14ac:dyDescent="0.15">
      <c r="A331" s="1578"/>
      <c r="B331" s="1462"/>
      <c r="C331" s="1462"/>
      <c r="D331" s="1460">
        <f>'1_入力シート【基本情報】'!$BV$392</f>
        <v>0</v>
      </c>
      <c r="E331" s="1650">
        <f t="shared" si="20"/>
        <v>0</v>
      </c>
      <c r="F331" s="1650" t="str">
        <f t="shared" si="21"/>
        <v>0</v>
      </c>
      <c r="G331" s="1650" t="str">
        <f t="shared" si="22"/>
        <v>0</v>
      </c>
      <c r="H331" s="1468"/>
      <c r="I331" s="1462"/>
      <c r="J331" s="1531"/>
      <c r="K331" s="1462"/>
      <c r="L331" s="1462"/>
      <c r="M331" s="1493"/>
      <c r="N331" s="1462"/>
      <c r="O331" s="1462"/>
      <c r="P331" s="1462"/>
      <c r="Q331" s="1462"/>
      <c r="R331" s="1462"/>
      <c r="S331" s="1462"/>
      <c r="T331" s="1462"/>
      <c r="U331" s="1469">
        <v>23</v>
      </c>
      <c r="V331" s="1486" t="s">
        <v>33</v>
      </c>
      <c r="W331" s="1471" t="s">
        <v>1306</v>
      </c>
      <c r="X331" s="1472" t="s">
        <v>1440</v>
      </c>
      <c r="Y331" s="1473" t="s">
        <v>1306</v>
      </c>
      <c r="Z331" s="1504" t="s">
        <v>1451</v>
      </c>
      <c r="AA331" s="1473" t="s">
        <v>1306</v>
      </c>
      <c r="AB331" s="1486" t="s">
        <v>352</v>
      </c>
      <c r="AC331" s="1475" t="s">
        <v>1366</v>
      </c>
      <c r="AD331" s="1476" t="s">
        <v>348</v>
      </c>
      <c r="AE331" s="1501"/>
      <c r="AF331" s="1501"/>
      <c r="AG331" s="1457" t="str">
        <f t="shared" si="19"/>
        <v>23調査結果-建築物の内部-4（11）-改善（予定）年月-月</v>
      </c>
      <c r="AI331" s="1459"/>
      <c r="AJ331" s="1459"/>
      <c r="AK331" s="1459"/>
    </row>
    <row r="332" spans="1:37" s="1457" customFormat="1" ht="18.75" customHeight="1" x14ac:dyDescent="0.15">
      <c r="A332" s="1578"/>
      <c r="B332" s="1462"/>
      <c r="C332" s="1462"/>
      <c r="D332" s="1460">
        <f>'1_入力シート【基本情報】'!$BY$392</f>
        <v>0</v>
      </c>
      <c r="E332" s="1650">
        <f t="shared" si="20"/>
        <v>0</v>
      </c>
      <c r="F332" s="1650" t="str">
        <f t="shared" si="21"/>
        <v>0</v>
      </c>
      <c r="G332" s="1650" t="str">
        <f t="shared" si="22"/>
        <v>0</v>
      </c>
      <c r="H332" s="1468"/>
      <c r="I332" s="1462"/>
      <c r="J332" s="1531"/>
      <c r="K332" s="1462"/>
      <c r="L332" s="1462"/>
      <c r="M332" s="1493"/>
      <c r="N332" s="1462"/>
      <c r="O332" s="1462"/>
      <c r="P332" s="1462"/>
      <c r="Q332" s="1462"/>
      <c r="R332" s="1462"/>
      <c r="S332" s="1462"/>
      <c r="T332" s="1462"/>
      <c r="U332" s="1469">
        <v>23</v>
      </c>
      <c r="V332" s="1486" t="s">
        <v>33</v>
      </c>
      <c r="W332" s="1471" t="s">
        <v>1306</v>
      </c>
      <c r="X332" s="1472" t="s">
        <v>1440</v>
      </c>
      <c r="Y332" s="1473" t="s">
        <v>1306</v>
      </c>
      <c r="Z332" s="1504" t="s">
        <v>1451</v>
      </c>
      <c r="AA332" s="1473" t="s">
        <v>1306</v>
      </c>
      <c r="AB332" s="1470" t="s">
        <v>352</v>
      </c>
      <c r="AC332" s="1499" t="s">
        <v>1366</v>
      </c>
      <c r="AD332" s="1500" t="s">
        <v>640</v>
      </c>
      <c r="AE332" s="1501"/>
      <c r="AF332" s="1501"/>
      <c r="AG332" s="1457" t="str">
        <f t="shared" si="19"/>
        <v>23調査結果-建築物の内部-4（11）-改善（予定）年月-未定</v>
      </c>
      <c r="AI332" s="1459"/>
      <c r="AJ332" s="1459"/>
      <c r="AK332" s="1459"/>
    </row>
    <row r="333" spans="1:37" s="1457" customFormat="1" ht="18.75" customHeight="1" x14ac:dyDescent="0.15">
      <c r="A333" s="1578"/>
      <c r="B333" s="1462"/>
      <c r="C333" s="1462"/>
      <c r="D333" s="1460">
        <f>'1_入力シート【基本情報】'!$AF$393</f>
        <v>0</v>
      </c>
      <c r="E333" s="1650">
        <f t="shared" si="20"/>
        <v>0</v>
      </c>
      <c r="F333" s="1650" t="str">
        <f t="shared" si="21"/>
        <v>0</v>
      </c>
      <c r="G333" s="1650" t="str">
        <f t="shared" si="22"/>
        <v>0</v>
      </c>
      <c r="H333" s="1468"/>
      <c r="I333" s="1462"/>
      <c r="J333" s="1531"/>
      <c r="K333" s="1462"/>
      <c r="L333" s="1462"/>
      <c r="M333" s="1493"/>
      <c r="N333" s="1462"/>
      <c r="O333" s="1462"/>
      <c r="P333" s="1462"/>
      <c r="Q333" s="1462"/>
      <c r="R333" s="1462"/>
      <c r="S333" s="1462"/>
      <c r="T333" s="1462"/>
      <c r="U333" s="1469">
        <v>23</v>
      </c>
      <c r="V333" s="1486" t="s">
        <v>33</v>
      </c>
      <c r="W333" s="1471" t="s">
        <v>1306</v>
      </c>
      <c r="X333" s="1472" t="s">
        <v>1440</v>
      </c>
      <c r="Y333" s="1473" t="s">
        <v>1306</v>
      </c>
      <c r="Z333" s="1504" t="s">
        <v>1452</v>
      </c>
      <c r="AA333" s="1473" t="s">
        <v>1306</v>
      </c>
      <c r="AB333" s="1470" t="s">
        <v>33</v>
      </c>
      <c r="AC333" s="1499"/>
      <c r="AD333" s="1500"/>
      <c r="AE333" s="1501"/>
      <c r="AF333" s="1501"/>
      <c r="AG333" s="1457" t="str">
        <f t="shared" si="19"/>
        <v>23調査結果-建築物の内部-4（12）-調査結果</v>
      </c>
      <c r="AI333" s="1459"/>
      <c r="AJ333" s="1459"/>
      <c r="AK333" s="1459"/>
    </row>
    <row r="334" spans="1:37" s="1457" customFormat="1" ht="18.75" customHeight="1" x14ac:dyDescent="0.15">
      <c r="A334" s="1578"/>
      <c r="B334" s="1462"/>
      <c r="C334" s="1462"/>
      <c r="D334" s="1460">
        <f>'1_入力シート【基本情報】'!$AR$393</f>
        <v>0</v>
      </c>
      <c r="E334" s="1650">
        <f t="shared" si="20"/>
        <v>0</v>
      </c>
      <c r="F334" s="1650" t="str">
        <f t="shared" si="21"/>
        <v>0</v>
      </c>
      <c r="G334" s="1650" t="str">
        <f t="shared" si="22"/>
        <v>0</v>
      </c>
      <c r="H334" s="1468"/>
      <c r="I334" s="1462"/>
      <c r="J334" s="1531"/>
      <c r="K334" s="1462"/>
      <c r="L334" s="1462"/>
      <c r="M334" s="1493"/>
      <c r="N334" s="1462"/>
      <c r="O334" s="1462"/>
      <c r="P334" s="1462"/>
      <c r="Q334" s="1462"/>
      <c r="R334" s="1462"/>
      <c r="S334" s="1462"/>
      <c r="T334" s="1462"/>
      <c r="U334" s="1469">
        <v>23</v>
      </c>
      <c r="V334" s="1486" t="s">
        <v>33</v>
      </c>
      <c r="W334" s="1471" t="s">
        <v>1306</v>
      </c>
      <c r="X334" s="1472" t="s">
        <v>1440</v>
      </c>
      <c r="Y334" s="1473" t="s">
        <v>1306</v>
      </c>
      <c r="Z334" s="1504" t="s">
        <v>1452</v>
      </c>
      <c r="AA334" s="1473" t="s">
        <v>1306</v>
      </c>
      <c r="AB334" s="1470" t="s">
        <v>30</v>
      </c>
      <c r="AC334" s="1499"/>
      <c r="AD334" s="1500"/>
      <c r="AE334" s="1477"/>
      <c r="AF334" s="1477"/>
      <c r="AG334" s="1457" t="str">
        <f t="shared" si="19"/>
        <v>23調査結果-建築物の内部-4（12）-調査者番号</v>
      </c>
      <c r="AI334" s="1459"/>
      <c r="AJ334" s="1459"/>
      <c r="AK334" s="1459"/>
    </row>
    <row r="335" spans="1:37" s="1457" customFormat="1" ht="18.75" customHeight="1" x14ac:dyDescent="0.15">
      <c r="A335" s="1578"/>
      <c r="B335" s="1462"/>
      <c r="C335" s="1462"/>
      <c r="D335" s="1460">
        <f>'1_入力シート【基本情報】'!$AT$393</f>
        <v>0</v>
      </c>
      <c r="E335" s="1650">
        <f t="shared" si="20"/>
        <v>0</v>
      </c>
      <c r="F335" s="1650" t="str">
        <f t="shared" si="21"/>
        <v>0</v>
      </c>
      <c r="G335" s="1650" t="str">
        <f t="shared" si="22"/>
        <v>0</v>
      </c>
      <c r="H335" s="1468"/>
      <c r="I335" s="1462"/>
      <c r="J335" s="1531"/>
      <c r="K335" s="1462"/>
      <c r="L335" s="1462"/>
      <c r="M335" s="1493"/>
      <c r="N335" s="1462"/>
      <c r="O335" s="1462"/>
      <c r="P335" s="1462"/>
      <c r="Q335" s="1462"/>
      <c r="R335" s="1462"/>
      <c r="S335" s="1462"/>
      <c r="T335" s="1462"/>
      <c r="U335" s="1469">
        <v>23</v>
      </c>
      <c r="V335" s="1486" t="s">
        <v>33</v>
      </c>
      <c r="W335" s="1471" t="s">
        <v>1306</v>
      </c>
      <c r="X335" s="1472" t="s">
        <v>1440</v>
      </c>
      <c r="Y335" s="1473" t="s">
        <v>1306</v>
      </c>
      <c r="Z335" s="1504" t="s">
        <v>1452</v>
      </c>
      <c r="AA335" s="1473" t="s">
        <v>1306</v>
      </c>
      <c r="AB335" s="1470" t="s">
        <v>1402</v>
      </c>
      <c r="AC335" s="1499"/>
      <c r="AD335" s="1500"/>
      <c r="AE335" s="1501"/>
      <c r="AF335" s="1501"/>
      <c r="AG335" s="1457" t="str">
        <f t="shared" si="19"/>
        <v>23調査結果-建築物の内部-4（12）-指摘の具体的内容等</v>
      </c>
      <c r="AI335" s="1459"/>
      <c r="AJ335" s="1459"/>
      <c r="AK335" s="1459"/>
    </row>
    <row r="336" spans="1:37" s="1457" customFormat="1" ht="18.75" customHeight="1" x14ac:dyDescent="0.15">
      <c r="A336" s="1578"/>
      <c r="B336" s="1462"/>
      <c r="C336" s="1462"/>
      <c r="D336" s="1460">
        <f>'1_入力シート【基本情報】'!$BD$393</f>
        <v>0</v>
      </c>
      <c r="E336" s="1650">
        <f t="shared" si="20"/>
        <v>0</v>
      </c>
      <c r="F336" s="1650" t="str">
        <f t="shared" si="21"/>
        <v>0</v>
      </c>
      <c r="G336" s="1650" t="str">
        <f t="shared" si="22"/>
        <v>0</v>
      </c>
      <c r="H336" s="1468"/>
      <c r="I336" s="1462"/>
      <c r="J336" s="1531"/>
      <c r="K336" s="1462"/>
      <c r="L336" s="1462"/>
      <c r="M336" s="1493"/>
      <c r="N336" s="1462"/>
      <c r="O336" s="1462"/>
      <c r="P336" s="1462"/>
      <c r="Q336" s="1462"/>
      <c r="R336" s="1462"/>
      <c r="S336" s="1462"/>
      <c r="T336" s="1462"/>
      <c r="U336" s="1469">
        <v>23</v>
      </c>
      <c r="V336" s="1486" t="s">
        <v>33</v>
      </c>
      <c r="W336" s="1471" t="s">
        <v>1306</v>
      </c>
      <c r="X336" s="1472" t="s">
        <v>1440</v>
      </c>
      <c r="Y336" s="1473" t="s">
        <v>1306</v>
      </c>
      <c r="Z336" s="1504" t="s">
        <v>1452</v>
      </c>
      <c r="AA336" s="1473" t="s">
        <v>1306</v>
      </c>
      <c r="AB336" s="1486" t="s">
        <v>1403</v>
      </c>
      <c r="AC336" s="1499"/>
      <c r="AD336" s="1500"/>
      <c r="AE336" s="1501"/>
      <c r="AF336" s="1501"/>
      <c r="AG336" s="1457" t="str">
        <f t="shared" si="19"/>
        <v>23調査結果-建築物の内部-4（12）-改善策の具体的内容等</v>
      </c>
      <c r="AI336" s="1459"/>
      <c r="AJ336" s="1459"/>
      <c r="AK336" s="1459"/>
    </row>
    <row r="337" spans="1:37" s="1457" customFormat="1" ht="18.75" customHeight="1" x14ac:dyDescent="0.15">
      <c r="A337" s="1578"/>
      <c r="B337" s="1462"/>
      <c r="C337" s="1462"/>
      <c r="D337" s="1460">
        <f>'1_入力シート【基本情報】'!$BS$393</f>
        <v>0</v>
      </c>
      <c r="E337" s="1650">
        <f t="shared" si="20"/>
        <v>0</v>
      </c>
      <c r="F337" s="1650" t="str">
        <f t="shared" si="21"/>
        <v>0</v>
      </c>
      <c r="G337" s="1650" t="str">
        <f t="shared" si="22"/>
        <v>0</v>
      </c>
      <c r="H337" s="1468"/>
      <c r="I337" s="1462"/>
      <c r="J337" s="1531"/>
      <c r="K337" s="1462"/>
      <c r="L337" s="1462"/>
      <c r="M337" s="1493"/>
      <c r="N337" s="1462"/>
      <c r="O337" s="1462"/>
      <c r="P337" s="1462"/>
      <c r="Q337" s="1462"/>
      <c r="R337" s="1462"/>
      <c r="S337" s="1462"/>
      <c r="T337" s="1462"/>
      <c r="U337" s="1469">
        <v>23</v>
      </c>
      <c r="V337" s="1486" t="s">
        <v>33</v>
      </c>
      <c r="W337" s="1471" t="s">
        <v>1306</v>
      </c>
      <c r="X337" s="1472" t="s">
        <v>1440</v>
      </c>
      <c r="Y337" s="1473" t="s">
        <v>1306</v>
      </c>
      <c r="Z337" s="1504" t="s">
        <v>1452</v>
      </c>
      <c r="AA337" s="1473" t="s">
        <v>1306</v>
      </c>
      <c r="AB337" s="1486" t="s">
        <v>352</v>
      </c>
      <c r="AC337" s="1499" t="s">
        <v>1366</v>
      </c>
      <c r="AD337" s="1500" t="s">
        <v>1387</v>
      </c>
      <c r="AE337" s="1501"/>
      <c r="AF337" s="1501"/>
      <c r="AG337" s="1457" t="str">
        <f t="shared" si="19"/>
        <v>23調査結果-建築物の内部-4（12）-改善（予定）年月-年（令和）</v>
      </c>
      <c r="AI337" s="1459"/>
      <c r="AJ337" s="1459"/>
      <c r="AK337" s="1459"/>
    </row>
    <row r="338" spans="1:37" s="1457" customFormat="1" ht="18.75" customHeight="1" x14ac:dyDescent="0.15">
      <c r="A338" s="1578"/>
      <c r="B338" s="1462"/>
      <c r="C338" s="1462"/>
      <c r="D338" s="1460">
        <f>'1_入力シート【基本情報】'!$BV$393</f>
        <v>0</v>
      </c>
      <c r="E338" s="1650">
        <f t="shared" si="20"/>
        <v>0</v>
      </c>
      <c r="F338" s="1650" t="str">
        <f t="shared" si="21"/>
        <v>0</v>
      </c>
      <c r="G338" s="1650" t="str">
        <f t="shared" si="22"/>
        <v>0</v>
      </c>
      <c r="H338" s="1468"/>
      <c r="I338" s="1462"/>
      <c r="J338" s="1531"/>
      <c r="K338" s="1462"/>
      <c r="L338" s="1462"/>
      <c r="M338" s="1493"/>
      <c r="N338" s="1462"/>
      <c r="O338" s="1462"/>
      <c r="P338" s="1462"/>
      <c r="Q338" s="1462"/>
      <c r="R338" s="1462"/>
      <c r="S338" s="1462"/>
      <c r="T338" s="1462"/>
      <c r="U338" s="1469">
        <v>23</v>
      </c>
      <c r="V338" s="1486" t="s">
        <v>33</v>
      </c>
      <c r="W338" s="1471" t="s">
        <v>1306</v>
      </c>
      <c r="X338" s="1472" t="s">
        <v>1440</v>
      </c>
      <c r="Y338" s="1473" t="s">
        <v>1306</v>
      </c>
      <c r="Z338" s="1504" t="s">
        <v>1452</v>
      </c>
      <c r="AA338" s="1473" t="s">
        <v>1306</v>
      </c>
      <c r="AB338" s="1486" t="s">
        <v>352</v>
      </c>
      <c r="AC338" s="1499" t="s">
        <v>1366</v>
      </c>
      <c r="AD338" s="1500" t="s">
        <v>348</v>
      </c>
      <c r="AE338" s="1501"/>
      <c r="AF338" s="1501"/>
      <c r="AG338" s="1457" t="str">
        <f t="shared" si="19"/>
        <v>23調査結果-建築物の内部-4（12）-改善（予定）年月-月</v>
      </c>
      <c r="AI338" s="1459"/>
      <c r="AJ338" s="1459"/>
      <c r="AK338" s="1459"/>
    </row>
    <row r="339" spans="1:37" s="1457" customFormat="1" ht="18.75" customHeight="1" x14ac:dyDescent="0.15">
      <c r="A339" s="1578"/>
      <c r="B339" s="1462"/>
      <c r="C339" s="1462"/>
      <c r="D339" s="1460">
        <f>'1_入力シート【基本情報】'!$BY$393</f>
        <v>0</v>
      </c>
      <c r="E339" s="1650">
        <f t="shared" si="20"/>
        <v>0</v>
      </c>
      <c r="F339" s="1650" t="str">
        <f t="shared" si="21"/>
        <v>0</v>
      </c>
      <c r="G339" s="1650" t="str">
        <f t="shared" si="22"/>
        <v>0</v>
      </c>
      <c r="H339" s="1468"/>
      <c r="I339" s="1462"/>
      <c r="J339" s="1531"/>
      <c r="K339" s="1462"/>
      <c r="L339" s="1462"/>
      <c r="M339" s="1493"/>
      <c r="N339" s="1462"/>
      <c r="O339" s="1462"/>
      <c r="P339" s="1462"/>
      <c r="Q339" s="1462"/>
      <c r="R339" s="1462"/>
      <c r="S339" s="1462"/>
      <c r="T339" s="1462"/>
      <c r="U339" s="1469">
        <v>23</v>
      </c>
      <c r="V339" s="1486" t="s">
        <v>33</v>
      </c>
      <c r="W339" s="1471" t="s">
        <v>1306</v>
      </c>
      <c r="X339" s="1472" t="s">
        <v>1440</v>
      </c>
      <c r="Y339" s="1473" t="s">
        <v>1306</v>
      </c>
      <c r="Z339" s="1504" t="s">
        <v>1452</v>
      </c>
      <c r="AA339" s="1473" t="s">
        <v>1306</v>
      </c>
      <c r="AB339" s="1486" t="s">
        <v>352</v>
      </c>
      <c r="AC339" s="1475" t="s">
        <v>1366</v>
      </c>
      <c r="AD339" s="1476" t="s">
        <v>640</v>
      </c>
      <c r="AE339" s="1501"/>
      <c r="AF339" s="1501"/>
      <c r="AG339" s="1457" t="str">
        <f t="shared" si="19"/>
        <v>23調査結果-建築物の内部-4（12）-改善（予定）年月-未定</v>
      </c>
      <c r="AI339" s="1459"/>
      <c r="AJ339" s="1459"/>
      <c r="AK339" s="1459"/>
    </row>
    <row r="340" spans="1:37" s="1457" customFormat="1" ht="18.75" customHeight="1" x14ac:dyDescent="0.15">
      <c r="A340" s="1578"/>
      <c r="B340" s="1462"/>
      <c r="C340" s="1462"/>
      <c r="D340" s="1460">
        <f>'1_入力シート【基本情報】'!$AF$394</f>
        <v>0</v>
      </c>
      <c r="E340" s="1650">
        <f t="shared" si="20"/>
        <v>0</v>
      </c>
      <c r="F340" s="1650" t="str">
        <f t="shared" si="21"/>
        <v>0</v>
      </c>
      <c r="G340" s="1650" t="str">
        <f t="shared" si="22"/>
        <v>0</v>
      </c>
      <c r="H340" s="1468"/>
      <c r="I340" s="1462"/>
      <c r="J340" s="1531"/>
      <c r="K340" s="1462"/>
      <c r="L340" s="1462"/>
      <c r="M340" s="1493"/>
      <c r="N340" s="1462"/>
      <c r="O340" s="1462"/>
      <c r="P340" s="1462"/>
      <c r="Q340" s="1462"/>
      <c r="R340" s="1462"/>
      <c r="S340" s="1462"/>
      <c r="T340" s="1462"/>
      <c r="U340" s="1469">
        <v>23</v>
      </c>
      <c r="V340" s="1486" t="s">
        <v>33</v>
      </c>
      <c r="W340" s="1471" t="s">
        <v>1306</v>
      </c>
      <c r="X340" s="1472" t="s">
        <v>1440</v>
      </c>
      <c r="Y340" s="1473" t="s">
        <v>1306</v>
      </c>
      <c r="Z340" s="1504" t="s">
        <v>1453</v>
      </c>
      <c r="AA340" s="1473" t="s">
        <v>1306</v>
      </c>
      <c r="AB340" s="1470" t="s">
        <v>33</v>
      </c>
      <c r="AC340" s="1499"/>
      <c r="AD340" s="1500"/>
      <c r="AE340" s="1501"/>
      <c r="AF340" s="1501"/>
      <c r="AG340" s="1457" t="str">
        <f t="shared" si="19"/>
        <v>23調査結果-建築物の内部-4（13）-調査結果</v>
      </c>
      <c r="AI340" s="1459"/>
      <c r="AJ340" s="1459"/>
      <c r="AK340" s="1459"/>
    </row>
    <row r="341" spans="1:37" s="1457" customFormat="1" ht="18.75" customHeight="1" x14ac:dyDescent="0.15">
      <c r="A341" s="1578"/>
      <c r="B341" s="1462"/>
      <c r="C341" s="1462"/>
      <c r="D341" s="1460">
        <f>'1_入力シート【基本情報】'!$AR$394</f>
        <v>0</v>
      </c>
      <c r="E341" s="1650">
        <f t="shared" si="20"/>
        <v>0</v>
      </c>
      <c r="F341" s="1650" t="str">
        <f t="shared" si="21"/>
        <v>0</v>
      </c>
      <c r="G341" s="1650" t="str">
        <f t="shared" si="22"/>
        <v>0</v>
      </c>
      <c r="H341" s="1468"/>
      <c r="I341" s="1462"/>
      <c r="J341" s="1531"/>
      <c r="K341" s="1462"/>
      <c r="L341" s="1462"/>
      <c r="M341" s="1493"/>
      <c r="N341" s="1462"/>
      <c r="O341" s="1462"/>
      <c r="P341" s="1462"/>
      <c r="Q341" s="1462"/>
      <c r="R341" s="1462"/>
      <c r="S341" s="1462"/>
      <c r="T341" s="1462"/>
      <c r="U341" s="1469">
        <v>23</v>
      </c>
      <c r="V341" s="1486" t="s">
        <v>33</v>
      </c>
      <c r="W341" s="1471" t="s">
        <v>1306</v>
      </c>
      <c r="X341" s="1472" t="s">
        <v>1440</v>
      </c>
      <c r="Y341" s="1473" t="s">
        <v>1306</v>
      </c>
      <c r="Z341" s="1504" t="s">
        <v>1453</v>
      </c>
      <c r="AA341" s="1473" t="s">
        <v>1306</v>
      </c>
      <c r="AB341" s="1470" t="s">
        <v>30</v>
      </c>
      <c r="AC341" s="1499"/>
      <c r="AD341" s="1500"/>
      <c r="AE341" s="1501"/>
      <c r="AF341" s="1501"/>
      <c r="AG341" s="1457" t="str">
        <f t="shared" si="19"/>
        <v>23調査結果-建築物の内部-4（13）-調査者番号</v>
      </c>
      <c r="AI341" s="1459"/>
      <c r="AJ341" s="1459"/>
      <c r="AK341" s="1459"/>
    </row>
    <row r="342" spans="1:37" s="1457" customFormat="1" ht="18.75" customHeight="1" x14ac:dyDescent="0.15">
      <c r="A342" s="1578"/>
      <c r="B342" s="1462"/>
      <c r="C342" s="1462"/>
      <c r="D342" s="1460">
        <f>'1_入力シート【基本情報】'!$AT$394</f>
        <v>0</v>
      </c>
      <c r="E342" s="1650">
        <f t="shared" si="20"/>
        <v>0</v>
      </c>
      <c r="F342" s="1650" t="str">
        <f t="shared" si="21"/>
        <v>0</v>
      </c>
      <c r="G342" s="1650" t="str">
        <f t="shared" si="22"/>
        <v>0</v>
      </c>
      <c r="H342" s="1468"/>
      <c r="I342" s="1462"/>
      <c r="J342" s="1531"/>
      <c r="K342" s="1462"/>
      <c r="L342" s="1462"/>
      <c r="M342" s="1493"/>
      <c r="N342" s="1462"/>
      <c r="O342" s="1462"/>
      <c r="P342" s="1462"/>
      <c r="Q342" s="1462"/>
      <c r="R342" s="1462"/>
      <c r="S342" s="1462"/>
      <c r="T342" s="1462"/>
      <c r="U342" s="1469">
        <v>23</v>
      </c>
      <c r="V342" s="1486" t="s">
        <v>33</v>
      </c>
      <c r="W342" s="1471" t="s">
        <v>1306</v>
      </c>
      <c r="X342" s="1472" t="s">
        <v>1440</v>
      </c>
      <c r="Y342" s="1473" t="s">
        <v>1306</v>
      </c>
      <c r="Z342" s="1504" t="s">
        <v>1453</v>
      </c>
      <c r="AA342" s="1473" t="s">
        <v>1306</v>
      </c>
      <c r="AB342" s="1470" t="s">
        <v>1402</v>
      </c>
      <c r="AC342" s="1499"/>
      <c r="AD342" s="1500"/>
      <c r="AE342" s="1477"/>
      <c r="AF342" s="1477"/>
      <c r="AG342" s="1457" t="str">
        <f t="shared" si="19"/>
        <v>23調査結果-建築物の内部-4（13）-指摘の具体的内容等</v>
      </c>
      <c r="AI342" s="1459"/>
      <c r="AJ342" s="1459"/>
      <c r="AK342" s="1459"/>
    </row>
    <row r="343" spans="1:37" s="1457" customFormat="1" ht="18.75" customHeight="1" x14ac:dyDescent="0.15">
      <c r="A343" s="1578"/>
      <c r="B343" s="1462"/>
      <c r="C343" s="1462"/>
      <c r="D343" s="1460">
        <f>'1_入力シート【基本情報】'!$BD$394</f>
        <v>0</v>
      </c>
      <c r="E343" s="1650">
        <f t="shared" si="20"/>
        <v>0</v>
      </c>
      <c r="F343" s="1650" t="str">
        <f t="shared" si="21"/>
        <v>0</v>
      </c>
      <c r="G343" s="1650" t="str">
        <f t="shared" si="22"/>
        <v>0</v>
      </c>
      <c r="H343" s="1468"/>
      <c r="I343" s="1462"/>
      <c r="J343" s="1531"/>
      <c r="K343" s="1462"/>
      <c r="L343" s="1462"/>
      <c r="M343" s="1493"/>
      <c r="N343" s="1462"/>
      <c r="O343" s="1462"/>
      <c r="P343" s="1462"/>
      <c r="Q343" s="1462"/>
      <c r="R343" s="1462"/>
      <c r="S343" s="1462"/>
      <c r="T343" s="1462"/>
      <c r="U343" s="1469">
        <v>23</v>
      </c>
      <c r="V343" s="1486" t="s">
        <v>33</v>
      </c>
      <c r="W343" s="1471" t="s">
        <v>1306</v>
      </c>
      <c r="X343" s="1472" t="s">
        <v>1440</v>
      </c>
      <c r="Y343" s="1473" t="s">
        <v>1306</v>
      </c>
      <c r="Z343" s="1504" t="s">
        <v>1453</v>
      </c>
      <c r="AA343" s="1473" t="s">
        <v>1306</v>
      </c>
      <c r="AB343" s="1470" t="s">
        <v>1403</v>
      </c>
      <c r="AC343" s="1499"/>
      <c r="AD343" s="1500"/>
      <c r="AE343" s="1501"/>
      <c r="AF343" s="1501"/>
      <c r="AG343" s="1457" t="str">
        <f t="shared" si="19"/>
        <v>23調査結果-建築物の内部-4（13）-改善策の具体的内容等</v>
      </c>
      <c r="AI343" s="1459"/>
      <c r="AJ343" s="1459"/>
      <c r="AK343" s="1459"/>
    </row>
    <row r="344" spans="1:37" s="1457" customFormat="1" ht="18.75" customHeight="1" x14ac:dyDescent="0.15">
      <c r="A344" s="1578"/>
      <c r="B344" s="1462"/>
      <c r="C344" s="1462"/>
      <c r="D344" s="1460">
        <f>'1_入力シート【基本情報】'!$BS$394</f>
        <v>0</v>
      </c>
      <c r="E344" s="1650">
        <f t="shared" si="20"/>
        <v>0</v>
      </c>
      <c r="F344" s="1650" t="str">
        <f t="shared" si="21"/>
        <v>0</v>
      </c>
      <c r="G344" s="1650" t="str">
        <f t="shared" si="22"/>
        <v>0</v>
      </c>
      <c r="H344" s="1468"/>
      <c r="I344" s="1462"/>
      <c r="J344" s="1531"/>
      <c r="K344" s="1462"/>
      <c r="L344" s="1462"/>
      <c r="M344" s="1493"/>
      <c r="N344" s="1462"/>
      <c r="O344" s="1462"/>
      <c r="P344" s="1462"/>
      <c r="Q344" s="1462"/>
      <c r="R344" s="1462"/>
      <c r="S344" s="1462"/>
      <c r="T344" s="1462"/>
      <c r="U344" s="1469">
        <v>23</v>
      </c>
      <c r="V344" s="1486" t="s">
        <v>33</v>
      </c>
      <c r="W344" s="1471" t="s">
        <v>1306</v>
      </c>
      <c r="X344" s="1472" t="s">
        <v>1440</v>
      </c>
      <c r="Y344" s="1473" t="s">
        <v>1306</v>
      </c>
      <c r="Z344" s="1504" t="s">
        <v>1453</v>
      </c>
      <c r="AA344" s="1473" t="s">
        <v>1306</v>
      </c>
      <c r="AB344" s="1486" t="s">
        <v>352</v>
      </c>
      <c r="AC344" s="1499" t="s">
        <v>1366</v>
      </c>
      <c r="AD344" s="1500" t="s">
        <v>1387</v>
      </c>
      <c r="AE344" s="1501"/>
      <c r="AF344" s="1501"/>
      <c r="AG344" s="1457" t="str">
        <f t="shared" si="19"/>
        <v>23調査結果-建築物の内部-4（13）-改善（予定）年月-年（令和）</v>
      </c>
      <c r="AI344" s="1459"/>
      <c r="AJ344" s="1459"/>
      <c r="AK344" s="1459"/>
    </row>
    <row r="345" spans="1:37" s="1457" customFormat="1" ht="18.75" customHeight="1" x14ac:dyDescent="0.15">
      <c r="A345" s="1578"/>
      <c r="B345" s="1462"/>
      <c r="C345" s="1462"/>
      <c r="D345" s="1460">
        <f>'1_入力シート【基本情報】'!$BV$394</f>
        <v>0</v>
      </c>
      <c r="E345" s="1650">
        <f t="shared" si="20"/>
        <v>0</v>
      </c>
      <c r="F345" s="1650" t="str">
        <f t="shared" si="21"/>
        <v>0</v>
      </c>
      <c r="G345" s="1650" t="str">
        <f t="shared" si="22"/>
        <v>0</v>
      </c>
      <c r="H345" s="1468"/>
      <c r="I345" s="1462"/>
      <c r="J345" s="1531"/>
      <c r="K345" s="1462"/>
      <c r="L345" s="1462"/>
      <c r="M345" s="1493"/>
      <c r="N345" s="1462"/>
      <c r="O345" s="1462"/>
      <c r="P345" s="1462"/>
      <c r="Q345" s="1462"/>
      <c r="R345" s="1462"/>
      <c r="S345" s="1462"/>
      <c r="T345" s="1462"/>
      <c r="U345" s="1469">
        <v>23</v>
      </c>
      <c r="V345" s="1486" t="s">
        <v>33</v>
      </c>
      <c r="W345" s="1471" t="s">
        <v>1306</v>
      </c>
      <c r="X345" s="1472" t="s">
        <v>1440</v>
      </c>
      <c r="Y345" s="1473" t="s">
        <v>1306</v>
      </c>
      <c r="Z345" s="1504" t="s">
        <v>1453</v>
      </c>
      <c r="AA345" s="1473" t="s">
        <v>1306</v>
      </c>
      <c r="AB345" s="1486" t="s">
        <v>352</v>
      </c>
      <c r="AC345" s="1499" t="s">
        <v>1366</v>
      </c>
      <c r="AD345" s="1500" t="s">
        <v>348</v>
      </c>
      <c r="AE345" s="1501"/>
      <c r="AF345" s="1501"/>
      <c r="AG345" s="1457" t="str">
        <f t="shared" si="19"/>
        <v>23調査結果-建築物の内部-4（13）-改善（予定）年月-月</v>
      </c>
      <c r="AI345" s="1459"/>
      <c r="AJ345" s="1459"/>
      <c r="AK345" s="1459"/>
    </row>
    <row r="346" spans="1:37" s="1457" customFormat="1" ht="18.75" customHeight="1" x14ac:dyDescent="0.15">
      <c r="A346" s="1578"/>
      <c r="B346" s="1462"/>
      <c r="C346" s="1462"/>
      <c r="D346" s="1460">
        <f>'1_入力シート【基本情報】'!$BY$394</f>
        <v>0</v>
      </c>
      <c r="E346" s="1650">
        <f t="shared" si="20"/>
        <v>0</v>
      </c>
      <c r="F346" s="1650" t="str">
        <f t="shared" si="21"/>
        <v>0</v>
      </c>
      <c r="G346" s="1650" t="str">
        <f t="shared" si="22"/>
        <v>0</v>
      </c>
      <c r="H346" s="1468"/>
      <c r="I346" s="1462"/>
      <c r="J346" s="1531"/>
      <c r="K346" s="1462"/>
      <c r="L346" s="1462"/>
      <c r="M346" s="1493"/>
      <c r="N346" s="1462"/>
      <c r="O346" s="1462"/>
      <c r="P346" s="1462"/>
      <c r="Q346" s="1462"/>
      <c r="R346" s="1462"/>
      <c r="S346" s="1462"/>
      <c r="T346" s="1462"/>
      <c r="U346" s="1469">
        <v>23</v>
      </c>
      <c r="V346" s="1486" t="s">
        <v>33</v>
      </c>
      <c r="W346" s="1471" t="s">
        <v>1306</v>
      </c>
      <c r="X346" s="1472" t="s">
        <v>1440</v>
      </c>
      <c r="Y346" s="1473" t="s">
        <v>1306</v>
      </c>
      <c r="Z346" s="1504" t="s">
        <v>1453</v>
      </c>
      <c r="AA346" s="1473" t="s">
        <v>1306</v>
      </c>
      <c r="AB346" s="1486" t="s">
        <v>352</v>
      </c>
      <c r="AC346" s="1499" t="s">
        <v>1366</v>
      </c>
      <c r="AD346" s="1500" t="s">
        <v>640</v>
      </c>
      <c r="AE346" s="1501"/>
      <c r="AF346" s="1501"/>
      <c r="AG346" s="1457" t="str">
        <f t="shared" si="19"/>
        <v>23調査結果-建築物の内部-4（13）-改善（予定）年月-未定</v>
      </c>
      <c r="AI346" s="1459"/>
      <c r="AJ346" s="1459"/>
      <c r="AK346" s="1459"/>
    </row>
    <row r="347" spans="1:37" s="1457" customFormat="1" ht="18.75" customHeight="1" x14ac:dyDescent="0.15">
      <c r="A347" s="1578"/>
      <c r="B347" s="1462"/>
      <c r="C347" s="1462"/>
      <c r="D347" s="1460">
        <f>'1_入力シート【基本情報】'!$AF$395</f>
        <v>0</v>
      </c>
      <c r="E347" s="1650">
        <f t="shared" ref="E347:E410" si="23">D347</f>
        <v>0</v>
      </c>
      <c r="F347" s="1650" t="str">
        <f t="shared" ref="F347:F410" si="24">SUBSTITUTE(E347,CHAR(10),"")</f>
        <v>0</v>
      </c>
      <c r="G347" s="1650" t="str">
        <f t="shared" ref="G347:G410" si="25">TRIM(F347)</f>
        <v>0</v>
      </c>
      <c r="H347" s="1468"/>
      <c r="I347" s="1462"/>
      <c r="J347" s="1531"/>
      <c r="K347" s="1462"/>
      <c r="L347" s="1462"/>
      <c r="M347" s="1493"/>
      <c r="N347" s="1462"/>
      <c r="O347" s="1462"/>
      <c r="P347" s="1462"/>
      <c r="Q347" s="1462"/>
      <c r="R347" s="1462"/>
      <c r="S347" s="1462"/>
      <c r="T347" s="1462"/>
      <c r="U347" s="1469">
        <v>23</v>
      </c>
      <c r="V347" s="1486" t="s">
        <v>33</v>
      </c>
      <c r="W347" s="1471" t="s">
        <v>1306</v>
      </c>
      <c r="X347" s="1472" t="s">
        <v>1440</v>
      </c>
      <c r="Y347" s="1473" t="s">
        <v>1306</v>
      </c>
      <c r="Z347" s="1504" t="s">
        <v>1454</v>
      </c>
      <c r="AA347" s="1473" t="s">
        <v>1306</v>
      </c>
      <c r="AB347" s="1470" t="s">
        <v>33</v>
      </c>
      <c r="AC347" s="1475"/>
      <c r="AD347" s="1476"/>
      <c r="AE347" s="1501"/>
      <c r="AF347" s="1501"/>
      <c r="AG347" s="1457" t="str">
        <f t="shared" si="19"/>
        <v>23調査結果-建築物の内部-4（14）-調査結果</v>
      </c>
      <c r="AI347" s="1459"/>
      <c r="AJ347" s="1459"/>
      <c r="AK347" s="1459"/>
    </row>
    <row r="348" spans="1:37" s="1457" customFormat="1" ht="18.75" customHeight="1" x14ac:dyDescent="0.15">
      <c r="A348" s="1578"/>
      <c r="B348" s="1462"/>
      <c r="C348" s="1462"/>
      <c r="D348" s="1460">
        <f>'1_入力シート【基本情報】'!$AR$395</f>
        <v>0</v>
      </c>
      <c r="E348" s="1650">
        <f t="shared" si="23"/>
        <v>0</v>
      </c>
      <c r="F348" s="1650" t="str">
        <f t="shared" si="24"/>
        <v>0</v>
      </c>
      <c r="G348" s="1650" t="str">
        <f t="shared" si="25"/>
        <v>0</v>
      </c>
      <c r="H348" s="1468"/>
      <c r="I348" s="1462"/>
      <c r="J348" s="1531"/>
      <c r="K348" s="1462"/>
      <c r="L348" s="1462"/>
      <c r="M348" s="1493"/>
      <c r="N348" s="1462"/>
      <c r="O348" s="1462"/>
      <c r="P348" s="1462"/>
      <c r="Q348" s="1462"/>
      <c r="R348" s="1462"/>
      <c r="S348" s="1462"/>
      <c r="T348" s="1462"/>
      <c r="U348" s="1469">
        <v>23</v>
      </c>
      <c r="V348" s="1486" t="s">
        <v>33</v>
      </c>
      <c r="W348" s="1471" t="s">
        <v>1306</v>
      </c>
      <c r="X348" s="1472" t="s">
        <v>1440</v>
      </c>
      <c r="Y348" s="1473" t="s">
        <v>1306</v>
      </c>
      <c r="Z348" s="1504" t="s">
        <v>1454</v>
      </c>
      <c r="AA348" s="1473" t="s">
        <v>1306</v>
      </c>
      <c r="AB348" s="1470" t="s">
        <v>30</v>
      </c>
      <c r="AC348" s="1499"/>
      <c r="AD348" s="1500"/>
      <c r="AE348" s="1501"/>
      <c r="AF348" s="1501"/>
      <c r="AG348" s="1457" t="str">
        <f t="shared" si="19"/>
        <v>23調査結果-建築物の内部-4（14）-調査者番号</v>
      </c>
      <c r="AI348" s="1459"/>
      <c r="AJ348" s="1459"/>
      <c r="AK348" s="1459"/>
    </row>
    <row r="349" spans="1:37" s="1457" customFormat="1" ht="18.75" customHeight="1" x14ac:dyDescent="0.15">
      <c r="A349" s="1578"/>
      <c r="B349" s="1462"/>
      <c r="C349" s="1462"/>
      <c r="D349" s="1460">
        <f>'1_入力シート【基本情報】'!$AT$395</f>
        <v>0</v>
      </c>
      <c r="E349" s="1650">
        <f t="shared" si="23"/>
        <v>0</v>
      </c>
      <c r="F349" s="1650" t="str">
        <f t="shared" si="24"/>
        <v>0</v>
      </c>
      <c r="G349" s="1650" t="str">
        <f t="shared" si="25"/>
        <v>0</v>
      </c>
      <c r="H349" s="1468"/>
      <c r="I349" s="1462"/>
      <c r="J349" s="1531"/>
      <c r="K349" s="1462"/>
      <c r="L349" s="1462"/>
      <c r="M349" s="1493"/>
      <c r="N349" s="1462"/>
      <c r="O349" s="1462"/>
      <c r="P349" s="1462"/>
      <c r="Q349" s="1462"/>
      <c r="R349" s="1462"/>
      <c r="S349" s="1462"/>
      <c r="T349" s="1462"/>
      <c r="U349" s="1469">
        <v>23</v>
      </c>
      <c r="V349" s="1486" t="s">
        <v>33</v>
      </c>
      <c r="W349" s="1471" t="s">
        <v>1306</v>
      </c>
      <c r="X349" s="1472" t="s">
        <v>1440</v>
      </c>
      <c r="Y349" s="1473" t="s">
        <v>1306</v>
      </c>
      <c r="Z349" s="1504" t="s">
        <v>1454</v>
      </c>
      <c r="AA349" s="1473" t="s">
        <v>1306</v>
      </c>
      <c r="AB349" s="1470" t="s">
        <v>1402</v>
      </c>
      <c r="AC349" s="1499"/>
      <c r="AD349" s="1500"/>
      <c r="AE349" s="1501"/>
      <c r="AF349" s="1501"/>
      <c r="AG349" s="1457" t="str">
        <f t="shared" si="19"/>
        <v>23調査結果-建築物の内部-4（14）-指摘の具体的内容等</v>
      </c>
      <c r="AI349" s="1459"/>
      <c r="AJ349" s="1459"/>
      <c r="AK349" s="1459"/>
    </row>
    <row r="350" spans="1:37" s="1457" customFormat="1" ht="18.75" customHeight="1" x14ac:dyDescent="0.15">
      <c r="A350" s="1578"/>
      <c r="B350" s="1462"/>
      <c r="C350" s="1462"/>
      <c r="D350" s="1460">
        <f>'1_入力シート【基本情報】'!$BD$395</f>
        <v>0</v>
      </c>
      <c r="E350" s="1650">
        <f t="shared" si="23"/>
        <v>0</v>
      </c>
      <c r="F350" s="1650" t="str">
        <f t="shared" si="24"/>
        <v>0</v>
      </c>
      <c r="G350" s="1650" t="str">
        <f t="shared" si="25"/>
        <v>0</v>
      </c>
      <c r="H350" s="1468"/>
      <c r="I350" s="1462"/>
      <c r="J350" s="1531"/>
      <c r="K350" s="1462"/>
      <c r="L350" s="1462"/>
      <c r="M350" s="1493"/>
      <c r="N350" s="1462"/>
      <c r="O350" s="1462"/>
      <c r="P350" s="1462"/>
      <c r="Q350" s="1462"/>
      <c r="R350" s="1462"/>
      <c r="S350" s="1462"/>
      <c r="T350" s="1462"/>
      <c r="U350" s="1469">
        <v>23</v>
      </c>
      <c r="V350" s="1486" t="s">
        <v>33</v>
      </c>
      <c r="W350" s="1471" t="s">
        <v>1306</v>
      </c>
      <c r="X350" s="1472" t="s">
        <v>1440</v>
      </c>
      <c r="Y350" s="1473" t="s">
        <v>1306</v>
      </c>
      <c r="Z350" s="1504" t="s">
        <v>1454</v>
      </c>
      <c r="AA350" s="1473" t="s">
        <v>1306</v>
      </c>
      <c r="AB350" s="1470" t="s">
        <v>1403</v>
      </c>
      <c r="AC350" s="1499"/>
      <c r="AD350" s="1500"/>
      <c r="AE350" s="1477"/>
      <c r="AF350" s="1477"/>
      <c r="AG350" s="1457" t="str">
        <f t="shared" si="19"/>
        <v>23調査結果-建築物の内部-4（14）-改善策の具体的内容等</v>
      </c>
      <c r="AI350" s="1459"/>
      <c r="AJ350" s="1459"/>
      <c r="AK350" s="1459"/>
    </row>
    <row r="351" spans="1:37" s="1457" customFormat="1" ht="18.75" customHeight="1" x14ac:dyDescent="0.15">
      <c r="A351" s="1578"/>
      <c r="B351" s="1462"/>
      <c r="C351" s="1462"/>
      <c r="D351" s="1460">
        <f>'1_入力シート【基本情報】'!$BS$395</f>
        <v>0</v>
      </c>
      <c r="E351" s="1650">
        <f t="shared" si="23"/>
        <v>0</v>
      </c>
      <c r="F351" s="1650" t="str">
        <f t="shared" si="24"/>
        <v>0</v>
      </c>
      <c r="G351" s="1650" t="str">
        <f t="shared" si="25"/>
        <v>0</v>
      </c>
      <c r="H351" s="1468"/>
      <c r="I351" s="1462"/>
      <c r="J351" s="1531"/>
      <c r="K351" s="1462"/>
      <c r="L351" s="1462"/>
      <c r="M351" s="1493"/>
      <c r="N351" s="1462"/>
      <c r="O351" s="1462"/>
      <c r="P351" s="1462"/>
      <c r="Q351" s="1462"/>
      <c r="R351" s="1462"/>
      <c r="S351" s="1462"/>
      <c r="T351" s="1462"/>
      <c r="U351" s="1469">
        <v>23</v>
      </c>
      <c r="V351" s="1486" t="s">
        <v>33</v>
      </c>
      <c r="W351" s="1471" t="s">
        <v>1306</v>
      </c>
      <c r="X351" s="1472" t="s">
        <v>1440</v>
      </c>
      <c r="Y351" s="1473" t="s">
        <v>1306</v>
      </c>
      <c r="Z351" s="1504" t="s">
        <v>1454</v>
      </c>
      <c r="AA351" s="1473" t="s">
        <v>1306</v>
      </c>
      <c r="AB351" s="1470" t="s">
        <v>352</v>
      </c>
      <c r="AC351" s="1499" t="s">
        <v>1366</v>
      </c>
      <c r="AD351" s="1500" t="s">
        <v>1387</v>
      </c>
      <c r="AE351" s="1501"/>
      <c r="AF351" s="1501"/>
      <c r="AG351" s="1457" t="str">
        <f t="shared" si="19"/>
        <v>23調査結果-建築物の内部-4（14）-改善（予定）年月-年（令和）</v>
      </c>
      <c r="AI351" s="1459"/>
      <c r="AJ351" s="1459"/>
      <c r="AK351" s="1459"/>
    </row>
    <row r="352" spans="1:37" s="1457" customFormat="1" ht="18.75" customHeight="1" x14ac:dyDescent="0.15">
      <c r="A352" s="1578"/>
      <c r="B352" s="1462"/>
      <c r="C352" s="1462"/>
      <c r="D352" s="1460">
        <f>'1_入力シート【基本情報】'!$BV$395</f>
        <v>0</v>
      </c>
      <c r="E352" s="1650">
        <f t="shared" si="23"/>
        <v>0</v>
      </c>
      <c r="F352" s="1650" t="str">
        <f t="shared" si="24"/>
        <v>0</v>
      </c>
      <c r="G352" s="1650" t="str">
        <f t="shared" si="25"/>
        <v>0</v>
      </c>
      <c r="H352" s="1468"/>
      <c r="I352" s="1462"/>
      <c r="J352" s="1531"/>
      <c r="K352" s="1462"/>
      <c r="L352" s="1462"/>
      <c r="M352" s="1493"/>
      <c r="N352" s="1462"/>
      <c r="O352" s="1462"/>
      <c r="P352" s="1462"/>
      <c r="Q352" s="1462"/>
      <c r="R352" s="1462"/>
      <c r="S352" s="1462"/>
      <c r="T352" s="1462"/>
      <c r="U352" s="1469">
        <v>23</v>
      </c>
      <c r="V352" s="1486" t="s">
        <v>33</v>
      </c>
      <c r="W352" s="1471" t="s">
        <v>1306</v>
      </c>
      <c r="X352" s="1472" t="s">
        <v>1440</v>
      </c>
      <c r="Y352" s="1473" t="s">
        <v>1306</v>
      </c>
      <c r="Z352" s="1504" t="s">
        <v>1454</v>
      </c>
      <c r="AA352" s="1473" t="s">
        <v>1306</v>
      </c>
      <c r="AB352" s="1486" t="s">
        <v>352</v>
      </c>
      <c r="AC352" s="1499" t="s">
        <v>1366</v>
      </c>
      <c r="AD352" s="1500" t="s">
        <v>348</v>
      </c>
      <c r="AE352" s="1501"/>
      <c r="AF352" s="1501"/>
      <c r="AG352" s="1457" t="str">
        <f t="shared" si="19"/>
        <v>23調査結果-建築物の内部-4（14）-改善（予定）年月-月</v>
      </c>
      <c r="AI352" s="1459"/>
      <c r="AJ352" s="1459"/>
      <c r="AK352" s="1459"/>
    </row>
    <row r="353" spans="1:37" s="1457" customFormat="1" ht="18.75" customHeight="1" x14ac:dyDescent="0.15">
      <c r="A353" s="1578"/>
      <c r="B353" s="1462"/>
      <c r="C353" s="1462"/>
      <c r="D353" s="1460">
        <f>'1_入力シート【基本情報】'!$BY$395</f>
        <v>0</v>
      </c>
      <c r="E353" s="1650">
        <f t="shared" si="23"/>
        <v>0</v>
      </c>
      <c r="F353" s="1650" t="str">
        <f t="shared" si="24"/>
        <v>0</v>
      </c>
      <c r="G353" s="1650" t="str">
        <f t="shared" si="25"/>
        <v>0</v>
      </c>
      <c r="H353" s="1468"/>
      <c r="I353" s="1462"/>
      <c r="J353" s="1531"/>
      <c r="K353" s="1462"/>
      <c r="L353" s="1462"/>
      <c r="M353" s="1493"/>
      <c r="N353" s="1462"/>
      <c r="O353" s="1462"/>
      <c r="P353" s="1462"/>
      <c r="Q353" s="1462"/>
      <c r="R353" s="1462"/>
      <c r="S353" s="1462"/>
      <c r="T353" s="1462"/>
      <c r="U353" s="1469">
        <v>23</v>
      </c>
      <c r="V353" s="1486" t="s">
        <v>33</v>
      </c>
      <c r="W353" s="1471" t="s">
        <v>1306</v>
      </c>
      <c r="X353" s="1472" t="s">
        <v>1440</v>
      </c>
      <c r="Y353" s="1473" t="s">
        <v>1306</v>
      </c>
      <c r="Z353" s="1504" t="s">
        <v>1454</v>
      </c>
      <c r="AA353" s="1473" t="s">
        <v>1306</v>
      </c>
      <c r="AB353" s="1486" t="s">
        <v>352</v>
      </c>
      <c r="AC353" s="1499" t="s">
        <v>1366</v>
      </c>
      <c r="AD353" s="1500" t="s">
        <v>640</v>
      </c>
      <c r="AE353" s="1501"/>
      <c r="AF353" s="1501"/>
      <c r="AG353" s="1457" t="str">
        <f t="shared" si="19"/>
        <v>23調査結果-建築物の内部-4（14）-改善（予定）年月-未定</v>
      </c>
      <c r="AI353" s="1459"/>
      <c r="AJ353" s="1459"/>
      <c r="AK353" s="1459"/>
    </row>
    <row r="354" spans="1:37" s="1457" customFormat="1" ht="18.75" customHeight="1" x14ac:dyDescent="0.15">
      <c r="A354" s="1578"/>
      <c r="B354" s="1462"/>
      <c r="C354" s="1462"/>
      <c r="D354" s="1460">
        <f>'1_入力シート【基本情報】'!$AF$396</f>
        <v>0</v>
      </c>
      <c r="E354" s="1650">
        <f t="shared" si="23"/>
        <v>0</v>
      </c>
      <c r="F354" s="1650" t="str">
        <f t="shared" si="24"/>
        <v>0</v>
      </c>
      <c r="G354" s="1650" t="str">
        <f t="shared" si="25"/>
        <v>0</v>
      </c>
      <c r="H354" s="1468"/>
      <c r="I354" s="1462"/>
      <c r="J354" s="1531"/>
      <c r="K354" s="1462"/>
      <c r="L354" s="1462"/>
      <c r="M354" s="1493"/>
      <c r="N354" s="1462"/>
      <c r="O354" s="1462"/>
      <c r="P354" s="1462"/>
      <c r="Q354" s="1462"/>
      <c r="R354" s="1462"/>
      <c r="S354" s="1462"/>
      <c r="T354" s="1462"/>
      <c r="U354" s="1469">
        <v>23</v>
      </c>
      <c r="V354" s="1486" t="s">
        <v>33</v>
      </c>
      <c r="W354" s="1471" t="s">
        <v>1306</v>
      </c>
      <c r="X354" s="1472" t="s">
        <v>1440</v>
      </c>
      <c r="Y354" s="1473" t="s">
        <v>1306</v>
      </c>
      <c r="Z354" s="1504" t="s">
        <v>1455</v>
      </c>
      <c r="AA354" s="1473" t="s">
        <v>1306</v>
      </c>
      <c r="AB354" s="1486" t="s">
        <v>33</v>
      </c>
      <c r="AC354" s="1499"/>
      <c r="AD354" s="1500"/>
      <c r="AE354" s="1501"/>
      <c r="AF354" s="1501"/>
      <c r="AG354" s="1457" t="str">
        <f t="shared" si="19"/>
        <v>23調査結果-建築物の内部-4（15）-調査結果</v>
      </c>
      <c r="AI354" s="1459"/>
      <c r="AJ354" s="1459"/>
      <c r="AK354" s="1459"/>
    </row>
    <row r="355" spans="1:37" s="1457" customFormat="1" ht="18.75" customHeight="1" x14ac:dyDescent="0.15">
      <c r="A355" s="1578"/>
      <c r="B355" s="1462"/>
      <c r="C355" s="1462"/>
      <c r="D355" s="1460">
        <f>'1_入力シート【基本情報】'!$AR$396</f>
        <v>0</v>
      </c>
      <c r="E355" s="1650">
        <f t="shared" si="23"/>
        <v>0</v>
      </c>
      <c r="F355" s="1650" t="str">
        <f t="shared" si="24"/>
        <v>0</v>
      </c>
      <c r="G355" s="1650" t="str">
        <f t="shared" si="25"/>
        <v>0</v>
      </c>
      <c r="H355" s="1468"/>
      <c r="I355" s="1462"/>
      <c r="J355" s="1531"/>
      <c r="K355" s="1462"/>
      <c r="L355" s="1462"/>
      <c r="M355" s="1493"/>
      <c r="N355" s="1462"/>
      <c r="O355" s="1462"/>
      <c r="P355" s="1462"/>
      <c r="Q355" s="1462"/>
      <c r="R355" s="1462"/>
      <c r="S355" s="1462"/>
      <c r="T355" s="1462"/>
      <c r="U355" s="1469">
        <v>23</v>
      </c>
      <c r="V355" s="1486" t="s">
        <v>33</v>
      </c>
      <c r="W355" s="1471" t="s">
        <v>1306</v>
      </c>
      <c r="X355" s="1472" t="s">
        <v>1440</v>
      </c>
      <c r="Y355" s="1473" t="s">
        <v>1306</v>
      </c>
      <c r="Z355" s="1504" t="s">
        <v>1455</v>
      </c>
      <c r="AA355" s="1473" t="s">
        <v>1306</v>
      </c>
      <c r="AB355" s="1470" t="s">
        <v>30</v>
      </c>
      <c r="AC355" s="1475"/>
      <c r="AD355" s="1476"/>
      <c r="AE355" s="1501"/>
      <c r="AF355" s="1501"/>
      <c r="AG355" s="1457" t="str">
        <f t="shared" si="19"/>
        <v>23調査結果-建築物の内部-4（15）-調査者番号</v>
      </c>
      <c r="AI355" s="1459"/>
      <c r="AJ355" s="1459"/>
      <c r="AK355" s="1459"/>
    </row>
    <row r="356" spans="1:37" s="1457" customFormat="1" ht="18.75" customHeight="1" x14ac:dyDescent="0.15">
      <c r="A356" s="1578"/>
      <c r="B356" s="1462"/>
      <c r="C356" s="1462"/>
      <c r="D356" s="1460">
        <f>'1_入力シート【基本情報】'!$AT$396</f>
        <v>0</v>
      </c>
      <c r="E356" s="1650">
        <f t="shared" si="23"/>
        <v>0</v>
      </c>
      <c r="F356" s="1650" t="str">
        <f t="shared" si="24"/>
        <v>0</v>
      </c>
      <c r="G356" s="1650" t="str">
        <f t="shared" si="25"/>
        <v>0</v>
      </c>
      <c r="H356" s="1468"/>
      <c r="I356" s="1462"/>
      <c r="J356" s="1531"/>
      <c r="K356" s="1462"/>
      <c r="L356" s="1462"/>
      <c r="M356" s="1493"/>
      <c r="N356" s="1462"/>
      <c r="O356" s="1462"/>
      <c r="P356" s="1462"/>
      <c r="Q356" s="1462"/>
      <c r="R356" s="1462"/>
      <c r="S356" s="1462"/>
      <c r="T356" s="1462"/>
      <c r="U356" s="1469">
        <v>23</v>
      </c>
      <c r="V356" s="1486" t="s">
        <v>33</v>
      </c>
      <c r="W356" s="1471" t="s">
        <v>1306</v>
      </c>
      <c r="X356" s="1472" t="s">
        <v>1440</v>
      </c>
      <c r="Y356" s="1473" t="s">
        <v>1306</v>
      </c>
      <c r="Z356" s="1504" t="s">
        <v>1455</v>
      </c>
      <c r="AA356" s="1473" t="s">
        <v>1306</v>
      </c>
      <c r="AB356" s="1470" t="s">
        <v>1402</v>
      </c>
      <c r="AC356" s="1499"/>
      <c r="AD356" s="1500"/>
      <c r="AE356" s="1501"/>
      <c r="AF356" s="1501"/>
      <c r="AG356" s="1457" t="str">
        <f t="shared" si="19"/>
        <v>23調査結果-建築物の内部-4（15）-指摘の具体的内容等</v>
      </c>
      <c r="AI356" s="1459"/>
      <c r="AJ356" s="1459"/>
      <c r="AK356" s="1459"/>
    </row>
    <row r="357" spans="1:37" s="1457" customFormat="1" ht="18.75" customHeight="1" x14ac:dyDescent="0.15">
      <c r="A357" s="1578"/>
      <c r="B357" s="1462"/>
      <c r="C357" s="1462"/>
      <c r="D357" s="1460">
        <f>'1_入力シート【基本情報】'!$BD$396</f>
        <v>0</v>
      </c>
      <c r="E357" s="1650">
        <f t="shared" si="23"/>
        <v>0</v>
      </c>
      <c r="F357" s="1650" t="str">
        <f t="shared" si="24"/>
        <v>0</v>
      </c>
      <c r="G357" s="1650" t="str">
        <f t="shared" si="25"/>
        <v>0</v>
      </c>
      <c r="H357" s="1468"/>
      <c r="I357" s="1462"/>
      <c r="J357" s="1531"/>
      <c r="K357" s="1462"/>
      <c r="L357" s="1462"/>
      <c r="M357" s="1493"/>
      <c r="N357" s="1462"/>
      <c r="O357" s="1462"/>
      <c r="P357" s="1462"/>
      <c r="Q357" s="1462"/>
      <c r="R357" s="1462"/>
      <c r="S357" s="1462"/>
      <c r="T357" s="1462"/>
      <c r="U357" s="1469">
        <v>23</v>
      </c>
      <c r="V357" s="1486" t="s">
        <v>33</v>
      </c>
      <c r="W357" s="1471" t="s">
        <v>1306</v>
      </c>
      <c r="X357" s="1472" t="s">
        <v>1440</v>
      </c>
      <c r="Y357" s="1473" t="s">
        <v>1306</v>
      </c>
      <c r="Z357" s="1504" t="s">
        <v>1455</v>
      </c>
      <c r="AA357" s="1473" t="s">
        <v>1306</v>
      </c>
      <c r="AB357" s="1470" t="s">
        <v>1403</v>
      </c>
      <c r="AC357" s="1499"/>
      <c r="AD357" s="1500"/>
      <c r="AE357" s="1501"/>
      <c r="AF357" s="1501"/>
      <c r="AG357" s="1457" t="str">
        <f t="shared" si="19"/>
        <v>23調査結果-建築物の内部-4（15）-改善策の具体的内容等</v>
      </c>
      <c r="AI357" s="1459"/>
      <c r="AJ357" s="1459"/>
      <c r="AK357" s="1459"/>
    </row>
    <row r="358" spans="1:37" s="1457" customFormat="1" ht="18.75" customHeight="1" x14ac:dyDescent="0.15">
      <c r="A358" s="1578"/>
      <c r="B358" s="1462"/>
      <c r="C358" s="1462"/>
      <c r="D358" s="1460">
        <f>'1_入力シート【基本情報】'!$BS$396</f>
        <v>0</v>
      </c>
      <c r="E358" s="1650">
        <f t="shared" si="23"/>
        <v>0</v>
      </c>
      <c r="F358" s="1650" t="str">
        <f t="shared" si="24"/>
        <v>0</v>
      </c>
      <c r="G358" s="1650" t="str">
        <f t="shared" si="25"/>
        <v>0</v>
      </c>
      <c r="H358" s="1468"/>
      <c r="I358" s="1462"/>
      <c r="J358" s="1531"/>
      <c r="K358" s="1462"/>
      <c r="L358" s="1462"/>
      <c r="M358" s="1493"/>
      <c r="N358" s="1462"/>
      <c r="O358" s="1462"/>
      <c r="P358" s="1462"/>
      <c r="Q358" s="1462"/>
      <c r="R358" s="1462"/>
      <c r="S358" s="1462"/>
      <c r="T358" s="1462"/>
      <c r="U358" s="1469">
        <v>23</v>
      </c>
      <c r="V358" s="1486" t="s">
        <v>33</v>
      </c>
      <c r="W358" s="1471" t="s">
        <v>1306</v>
      </c>
      <c r="X358" s="1472" t="s">
        <v>1440</v>
      </c>
      <c r="Y358" s="1473" t="s">
        <v>1306</v>
      </c>
      <c r="Z358" s="1504" t="s">
        <v>1455</v>
      </c>
      <c r="AA358" s="1473" t="s">
        <v>1306</v>
      </c>
      <c r="AB358" s="1470" t="s">
        <v>352</v>
      </c>
      <c r="AC358" s="1499" t="s">
        <v>1366</v>
      </c>
      <c r="AD358" s="1500" t="s">
        <v>1387</v>
      </c>
      <c r="AE358" s="1477"/>
      <c r="AF358" s="1477"/>
      <c r="AG358" s="1457" t="str">
        <f t="shared" si="19"/>
        <v>23調査結果-建築物の内部-4（15）-改善（予定）年月-年（令和）</v>
      </c>
      <c r="AI358" s="1459"/>
      <c r="AJ358" s="1459"/>
      <c r="AK358" s="1459"/>
    </row>
    <row r="359" spans="1:37" s="1457" customFormat="1" ht="18.75" customHeight="1" x14ac:dyDescent="0.15">
      <c r="A359" s="1578"/>
      <c r="B359" s="1462"/>
      <c r="C359" s="1462"/>
      <c r="D359" s="1460">
        <f>'1_入力シート【基本情報】'!$BV$396</f>
        <v>0</v>
      </c>
      <c r="E359" s="1650">
        <f t="shared" si="23"/>
        <v>0</v>
      </c>
      <c r="F359" s="1650" t="str">
        <f t="shared" si="24"/>
        <v>0</v>
      </c>
      <c r="G359" s="1650" t="str">
        <f t="shared" si="25"/>
        <v>0</v>
      </c>
      <c r="H359" s="1468"/>
      <c r="I359" s="1462"/>
      <c r="J359" s="1531"/>
      <c r="K359" s="1462"/>
      <c r="L359" s="1462"/>
      <c r="M359" s="1493"/>
      <c r="N359" s="1462"/>
      <c r="O359" s="1462"/>
      <c r="P359" s="1462"/>
      <c r="Q359" s="1462"/>
      <c r="R359" s="1462"/>
      <c r="S359" s="1462"/>
      <c r="T359" s="1462"/>
      <c r="U359" s="1469">
        <v>23</v>
      </c>
      <c r="V359" s="1486" t="s">
        <v>33</v>
      </c>
      <c r="W359" s="1471" t="s">
        <v>1306</v>
      </c>
      <c r="X359" s="1472" t="s">
        <v>1440</v>
      </c>
      <c r="Y359" s="1473" t="s">
        <v>1306</v>
      </c>
      <c r="Z359" s="1504" t="s">
        <v>1455</v>
      </c>
      <c r="AA359" s="1473" t="s">
        <v>1306</v>
      </c>
      <c r="AB359" s="1470" t="s">
        <v>352</v>
      </c>
      <c r="AC359" s="1499" t="s">
        <v>1366</v>
      </c>
      <c r="AD359" s="1500" t="s">
        <v>348</v>
      </c>
      <c r="AE359" s="1501"/>
      <c r="AF359" s="1501"/>
      <c r="AG359" s="1457" t="str">
        <f t="shared" si="19"/>
        <v>23調査結果-建築物の内部-4（15）-改善（予定）年月-月</v>
      </c>
      <c r="AI359" s="1459"/>
      <c r="AJ359" s="1459"/>
      <c r="AK359" s="1459"/>
    </row>
    <row r="360" spans="1:37" s="1457" customFormat="1" ht="18.75" customHeight="1" x14ac:dyDescent="0.15">
      <c r="A360" s="1578"/>
      <c r="B360" s="1462"/>
      <c r="C360" s="1462"/>
      <c r="D360" s="1460">
        <f>'1_入力シート【基本情報】'!$BY$396</f>
        <v>0</v>
      </c>
      <c r="E360" s="1650">
        <f t="shared" si="23"/>
        <v>0</v>
      </c>
      <c r="F360" s="1650" t="str">
        <f t="shared" si="24"/>
        <v>0</v>
      </c>
      <c r="G360" s="1650" t="str">
        <f t="shared" si="25"/>
        <v>0</v>
      </c>
      <c r="H360" s="1468"/>
      <c r="I360" s="1462"/>
      <c r="J360" s="1531"/>
      <c r="K360" s="1462"/>
      <c r="L360" s="1462"/>
      <c r="M360" s="1493"/>
      <c r="N360" s="1462"/>
      <c r="O360" s="1462"/>
      <c r="P360" s="1462"/>
      <c r="Q360" s="1462"/>
      <c r="R360" s="1462"/>
      <c r="S360" s="1462"/>
      <c r="T360" s="1462"/>
      <c r="U360" s="1469">
        <v>23</v>
      </c>
      <c r="V360" s="1486" t="s">
        <v>33</v>
      </c>
      <c r="W360" s="1471" t="s">
        <v>1306</v>
      </c>
      <c r="X360" s="1472" t="s">
        <v>1440</v>
      </c>
      <c r="Y360" s="1473" t="s">
        <v>1306</v>
      </c>
      <c r="Z360" s="1504" t="s">
        <v>1455</v>
      </c>
      <c r="AA360" s="1473" t="s">
        <v>1306</v>
      </c>
      <c r="AB360" s="1486" t="s">
        <v>352</v>
      </c>
      <c r="AC360" s="1499" t="s">
        <v>1366</v>
      </c>
      <c r="AD360" s="1500" t="s">
        <v>640</v>
      </c>
      <c r="AE360" s="1501"/>
      <c r="AF360" s="1501"/>
      <c r="AG360" s="1457" t="str">
        <f t="shared" si="19"/>
        <v>23調査結果-建築物の内部-4（15）-改善（予定）年月-未定</v>
      </c>
      <c r="AI360" s="1459"/>
      <c r="AJ360" s="1459"/>
      <c r="AK360" s="1459"/>
    </row>
    <row r="361" spans="1:37" s="1457" customFormat="1" ht="18.75" customHeight="1" x14ac:dyDescent="0.15">
      <c r="A361" s="1578"/>
      <c r="B361" s="1462"/>
      <c r="C361" s="1462"/>
      <c r="D361" s="1460">
        <f>'1_入力シート【基本情報】'!$AF$397</f>
        <v>0</v>
      </c>
      <c r="E361" s="1650">
        <f t="shared" si="23"/>
        <v>0</v>
      </c>
      <c r="F361" s="1650" t="str">
        <f t="shared" si="24"/>
        <v>0</v>
      </c>
      <c r="G361" s="1650" t="str">
        <f t="shared" si="25"/>
        <v>0</v>
      </c>
      <c r="H361" s="1468"/>
      <c r="I361" s="1462"/>
      <c r="J361" s="1531"/>
      <c r="K361" s="1462"/>
      <c r="L361" s="1462"/>
      <c r="M361" s="1493"/>
      <c r="N361" s="1462"/>
      <c r="O361" s="1462"/>
      <c r="P361" s="1462"/>
      <c r="Q361" s="1462"/>
      <c r="R361" s="1462"/>
      <c r="S361" s="1462"/>
      <c r="T361" s="1462"/>
      <c r="U361" s="1469">
        <v>23</v>
      </c>
      <c r="V361" s="1486" t="s">
        <v>33</v>
      </c>
      <c r="W361" s="1471" t="s">
        <v>1306</v>
      </c>
      <c r="X361" s="1472" t="s">
        <v>1440</v>
      </c>
      <c r="Y361" s="1473" t="s">
        <v>1306</v>
      </c>
      <c r="Z361" s="1504" t="s">
        <v>1456</v>
      </c>
      <c r="AA361" s="1473" t="s">
        <v>1306</v>
      </c>
      <c r="AB361" s="1486" t="s">
        <v>33</v>
      </c>
      <c r="AC361" s="1499"/>
      <c r="AD361" s="1500"/>
      <c r="AE361" s="1501"/>
      <c r="AF361" s="1501"/>
      <c r="AG361" s="1457" t="str">
        <f t="shared" si="19"/>
        <v>23調査結果-建築物の内部-4（16）-調査結果</v>
      </c>
      <c r="AI361" s="1459"/>
      <c r="AJ361" s="1459"/>
      <c r="AK361" s="1459"/>
    </row>
    <row r="362" spans="1:37" s="1457" customFormat="1" ht="18.75" customHeight="1" x14ac:dyDescent="0.15">
      <c r="A362" s="1578"/>
      <c r="B362" s="1462"/>
      <c r="C362" s="1462"/>
      <c r="D362" s="1460">
        <f>'1_入力シート【基本情報】'!$AR$397</f>
        <v>0</v>
      </c>
      <c r="E362" s="1650">
        <f t="shared" si="23"/>
        <v>0</v>
      </c>
      <c r="F362" s="1650" t="str">
        <f t="shared" si="24"/>
        <v>0</v>
      </c>
      <c r="G362" s="1650" t="str">
        <f t="shared" si="25"/>
        <v>0</v>
      </c>
      <c r="H362" s="1468"/>
      <c r="I362" s="1462"/>
      <c r="J362" s="1531"/>
      <c r="K362" s="1462"/>
      <c r="L362" s="1462"/>
      <c r="M362" s="1493"/>
      <c r="N362" s="1462"/>
      <c r="O362" s="1462"/>
      <c r="P362" s="1462"/>
      <c r="Q362" s="1462"/>
      <c r="R362" s="1462"/>
      <c r="S362" s="1462"/>
      <c r="T362" s="1462"/>
      <c r="U362" s="1469">
        <v>23</v>
      </c>
      <c r="V362" s="1486" t="s">
        <v>33</v>
      </c>
      <c r="W362" s="1471" t="s">
        <v>1306</v>
      </c>
      <c r="X362" s="1472" t="s">
        <v>1440</v>
      </c>
      <c r="Y362" s="1473" t="s">
        <v>1306</v>
      </c>
      <c r="Z362" s="1504" t="s">
        <v>1456</v>
      </c>
      <c r="AA362" s="1473" t="s">
        <v>1306</v>
      </c>
      <c r="AB362" s="1486" t="s">
        <v>30</v>
      </c>
      <c r="AC362" s="1499"/>
      <c r="AD362" s="1500"/>
      <c r="AE362" s="1501"/>
      <c r="AF362" s="1501"/>
      <c r="AG362" s="1457" t="str">
        <f t="shared" si="19"/>
        <v>23調査結果-建築物の内部-4（16）-調査者番号</v>
      </c>
      <c r="AI362" s="1459"/>
      <c r="AJ362" s="1459"/>
      <c r="AK362" s="1459"/>
    </row>
    <row r="363" spans="1:37" s="1457" customFormat="1" ht="18.75" customHeight="1" x14ac:dyDescent="0.15">
      <c r="A363" s="1578"/>
      <c r="B363" s="1462"/>
      <c r="C363" s="1462"/>
      <c r="D363" s="1460">
        <f>'1_入力シート【基本情報】'!$AT$397</f>
        <v>0</v>
      </c>
      <c r="E363" s="1650">
        <f t="shared" si="23"/>
        <v>0</v>
      </c>
      <c r="F363" s="1650" t="str">
        <f t="shared" si="24"/>
        <v>0</v>
      </c>
      <c r="G363" s="1650" t="str">
        <f t="shared" si="25"/>
        <v>0</v>
      </c>
      <c r="H363" s="1468"/>
      <c r="I363" s="1462"/>
      <c r="J363" s="1531"/>
      <c r="K363" s="1462"/>
      <c r="L363" s="1462"/>
      <c r="M363" s="1493"/>
      <c r="N363" s="1462"/>
      <c r="O363" s="1462"/>
      <c r="P363" s="1462"/>
      <c r="Q363" s="1462"/>
      <c r="R363" s="1462"/>
      <c r="S363" s="1462"/>
      <c r="T363" s="1462"/>
      <c r="U363" s="1469">
        <v>23</v>
      </c>
      <c r="V363" s="1486" t="s">
        <v>33</v>
      </c>
      <c r="W363" s="1471" t="s">
        <v>1306</v>
      </c>
      <c r="X363" s="1472" t="s">
        <v>1440</v>
      </c>
      <c r="Y363" s="1473" t="s">
        <v>1306</v>
      </c>
      <c r="Z363" s="1504" t="s">
        <v>1456</v>
      </c>
      <c r="AA363" s="1473" t="s">
        <v>1306</v>
      </c>
      <c r="AB363" s="1470" t="s">
        <v>1402</v>
      </c>
      <c r="AC363" s="1475"/>
      <c r="AD363" s="1476"/>
      <c r="AE363" s="1501"/>
      <c r="AF363" s="1501"/>
      <c r="AG363" s="1457" t="str">
        <f t="shared" si="19"/>
        <v>23調査結果-建築物の内部-4（16）-指摘の具体的内容等</v>
      </c>
      <c r="AI363" s="1459"/>
      <c r="AJ363" s="1459"/>
      <c r="AK363" s="1459"/>
    </row>
    <row r="364" spans="1:37" s="1457" customFormat="1" ht="18.75" customHeight="1" x14ac:dyDescent="0.15">
      <c r="A364" s="1578"/>
      <c r="B364" s="1462"/>
      <c r="C364" s="1462"/>
      <c r="D364" s="1460">
        <f>'1_入力シート【基本情報】'!$BD$397</f>
        <v>0</v>
      </c>
      <c r="E364" s="1650">
        <f t="shared" si="23"/>
        <v>0</v>
      </c>
      <c r="F364" s="1650" t="str">
        <f t="shared" si="24"/>
        <v>0</v>
      </c>
      <c r="G364" s="1650" t="str">
        <f t="shared" si="25"/>
        <v>0</v>
      </c>
      <c r="H364" s="1468"/>
      <c r="I364" s="1462"/>
      <c r="J364" s="1531"/>
      <c r="K364" s="1462"/>
      <c r="L364" s="1462"/>
      <c r="M364" s="1493"/>
      <c r="N364" s="1462"/>
      <c r="O364" s="1462"/>
      <c r="P364" s="1462"/>
      <c r="Q364" s="1462"/>
      <c r="R364" s="1462"/>
      <c r="S364" s="1462"/>
      <c r="T364" s="1462"/>
      <c r="U364" s="1469">
        <v>23</v>
      </c>
      <c r="V364" s="1486" t="s">
        <v>33</v>
      </c>
      <c r="W364" s="1471" t="s">
        <v>1306</v>
      </c>
      <c r="X364" s="1472" t="s">
        <v>1440</v>
      </c>
      <c r="Y364" s="1473" t="s">
        <v>1306</v>
      </c>
      <c r="Z364" s="1504" t="s">
        <v>1456</v>
      </c>
      <c r="AA364" s="1473" t="s">
        <v>1306</v>
      </c>
      <c r="AB364" s="1470" t="s">
        <v>1403</v>
      </c>
      <c r="AC364" s="1499"/>
      <c r="AD364" s="1500"/>
      <c r="AE364" s="1501"/>
      <c r="AF364" s="1501"/>
      <c r="AG364" s="1457" t="str">
        <f t="shared" si="19"/>
        <v>23調査結果-建築物の内部-4（16）-改善策の具体的内容等</v>
      </c>
      <c r="AI364" s="1459"/>
      <c r="AJ364" s="1459"/>
      <c r="AK364" s="1459"/>
    </row>
    <row r="365" spans="1:37" s="1457" customFormat="1" ht="18.75" customHeight="1" x14ac:dyDescent="0.15">
      <c r="A365" s="1578"/>
      <c r="B365" s="1462"/>
      <c r="C365" s="1462"/>
      <c r="D365" s="1460">
        <f>'1_入力シート【基本情報】'!$BS$397</f>
        <v>0</v>
      </c>
      <c r="E365" s="1650">
        <f t="shared" si="23"/>
        <v>0</v>
      </c>
      <c r="F365" s="1650" t="str">
        <f t="shared" si="24"/>
        <v>0</v>
      </c>
      <c r="G365" s="1650" t="str">
        <f t="shared" si="25"/>
        <v>0</v>
      </c>
      <c r="H365" s="1468"/>
      <c r="I365" s="1462"/>
      <c r="J365" s="1531"/>
      <c r="K365" s="1462"/>
      <c r="L365" s="1462"/>
      <c r="M365" s="1493"/>
      <c r="N365" s="1462"/>
      <c r="O365" s="1462"/>
      <c r="P365" s="1462"/>
      <c r="Q365" s="1462"/>
      <c r="R365" s="1462"/>
      <c r="S365" s="1462"/>
      <c r="T365" s="1462"/>
      <c r="U365" s="1469">
        <v>23</v>
      </c>
      <c r="V365" s="1486" t="s">
        <v>33</v>
      </c>
      <c r="W365" s="1471" t="s">
        <v>1306</v>
      </c>
      <c r="X365" s="1472" t="s">
        <v>1440</v>
      </c>
      <c r="Y365" s="1473" t="s">
        <v>1306</v>
      </c>
      <c r="Z365" s="1504" t="s">
        <v>1456</v>
      </c>
      <c r="AA365" s="1473" t="s">
        <v>1306</v>
      </c>
      <c r="AB365" s="1470" t="s">
        <v>352</v>
      </c>
      <c r="AC365" s="1499" t="s">
        <v>1366</v>
      </c>
      <c r="AD365" s="1500" t="s">
        <v>1387</v>
      </c>
      <c r="AE365" s="1501"/>
      <c r="AF365" s="1501"/>
      <c r="AG365" s="1457" t="str">
        <f t="shared" si="19"/>
        <v>23調査結果-建築物の内部-4（16）-改善（予定）年月-年（令和）</v>
      </c>
      <c r="AI365" s="1459"/>
      <c r="AJ365" s="1459"/>
      <c r="AK365" s="1459"/>
    </row>
    <row r="366" spans="1:37" s="1457" customFormat="1" ht="18.75" customHeight="1" x14ac:dyDescent="0.15">
      <c r="A366" s="1578"/>
      <c r="B366" s="1462"/>
      <c r="C366" s="1462"/>
      <c r="D366" s="1460">
        <f>'1_入力シート【基本情報】'!$BV$397</f>
        <v>0</v>
      </c>
      <c r="E366" s="1650">
        <f t="shared" si="23"/>
        <v>0</v>
      </c>
      <c r="F366" s="1650" t="str">
        <f t="shared" si="24"/>
        <v>0</v>
      </c>
      <c r="G366" s="1650" t="str">
        <f t="shared" si="25"/>
        <v>0</v>
      </c>
      <c r="H366" s="1468"/>
      <c r="I366" s="1462"/>
      <c r="J366" s="1531"/>
      <c r="K366" s="1462"/>
      <c r="L366" s="1462"/>
      <c r="M366" s="1493"/>
      <c r="N366" s="1462"/>
      <c r="O366" s="1462"/>
      <c r="P366" s="1462"/>
      <c r="Q366" s="1462"/>
      <c r="R366" s="1462"/>
      <c r="S366" s="1462"/>
      <c r="T366" s="1462"/>
      <c r="U366" s="1469">
        <v>23</v>
      </c>
      <c r="V366" s="1486" t="s">
        <v>33</v>
      </c>
      <c r="W366" s="1471" t="s">
        <v>1306</v>
      </c>
      <c r="X366" s="1472" t="s">
        <v>1440</v>
      </c>
      <c r="Y366" s="1473" t="s">
        <v>1306</v>
      </c>
      <c r="Z366" s="1504" t="s">
        <v>1456</v>
      </c>
      <c r="AA366" s="1473" t="s">
        <v>1306</v>
      </c>
      <c r="AB366" s="1470" t="s">
        <v>352</v>
      </c>
      <c r="AC366" s="1499" t="s">
        <v>1366</v>
      </c>
      <c r="AD366" s="1500" t="s">
        <v>348</v>
      </c>
      <c r="AE366" s="1477"/>
      <c r="AF366" s="1477"/>
      <c r="AG366" s="1457" t="str">
        <f t="shared" si="19"/>
        <v>23調査結果-建築物の内部-4（16）-改善（予定）年月-月</v>
      </c>
      <c r="AI366" s="1459"/>
      <c r="AJ366" s="1459"/>
      <c r="AK366" s="1459"/>
    </row>
    <row r="367" spans="1:37" s="1457" customFormat="1" ht="18.75" customHeight="1" x14ac:dyDescent="0.15">
      <c r="A367" s="1578"/>
      <c r="B367" s="1462"/>
      <c r="C367" s="1462"/>
      <c r="D367" s="1460">
        <f>'1_入力シート【基本情報】'!$BY$397</f>
        <v>0</v>
      </c>
      <c r="E367" s="1650">
        <f t="shared" si="23"/>
        <v>0</v>
      </c>
      <c r="F367" s="1650" t="str">
        <f t="shared" si="24"/>
        <v>0</v>
      </c>
      <c r="G367" s="1650" t="str">
        <f t="shared" si="25"/>
        <v>0</v>
      </c>
      <c r="H367" s="1468"/>
      <c r="I367" s="1462"/>
      <c r="J367" s="1531"/>
      <c r="K367" s="1462"/>
      <c r="L367" s="1462"/>
      <c r="M367" s="1493"/>
      <c r="N367" s="1462"/>
      <c r="O367" s="1462"/>
      <c r="P367" s="1462"/>
      <c r="Q367" s="1462"/>
      <c r="R367" s="1462"/>
      <c r="S367" s="1462"/>
      <c r="T367" s="1462"/>
      <c r="U367" s="1469">
        <v>23</v>
      </c>
      <c r="V367" s="1486" t="s">
        <v>33</v>
      </c>
      <c r="W367" s="1471" t="s">
        <v>1306</v>
      </c>
      <c r="X367" s="1472" t="s">
        <v>1440</v>
      </c>
      <c r="Y367" s="1473" t="s">
        <v>1306</v>
      </c>
      <c r="Z367" s="1504" t="s">
        <v>1456</v>
      </c>
      <c r="AA367" s="1473" t="s">
        <v>1306</v>
      </c>
      <c r="AB367" s="1470" t="s">
        <v>352</v>
      </c>
      <c r="AC367" s="1499" t="s">
        <v>1366</v>
      </c>
      <c r="AD367" s="1500" t="s">
        <v>640</v>
      </c>
      <c r="AE367" s="1501"/>
      <c r="AF367" s="1501"/>
      <c r="AG367" s="1457" t="str">
        <f t="shared" si="19"/>
        <v>23調査結果-建築物の内部-4（16）-改善（予定）年月-未定</v>
      </c>
      <c r="AI367" s="1459"/>
      <c r="AJ367" s="1459"/>
      <c r="AK367" s="1459"/>
    </row>
    <row r="368" spans="1:37" s="1457" customFormat="1" ht="18.75" customHeight="1" x14ac:dyDescent="0.15">
      <c r="A368" s="1578"/>
      <c r="B368" s="1462"/>
      <c r="C368" s="1462"/>
      <c r="D368" s="1460">
        <f>'1_入力シート【基本情報】'!$AF$398</f>
        <v>0</v>
      </c>
      <c r="E368" s="1650">
        <f t="shared" si="23"/>
        <v>0</v>
      </c>
      <c r="F368" s="1650" t="str">
        <f t="shared" si="24"/>
        <v>0</v>
      </c>
      <c r="G368" s="1650" t="str">
        <f t="shared" si="25"/>
        <v>0</v>
      </c>
      <c r="H368" s="1468"/>
      <c r="I368" s="1462"/>
      <c r="J368" s="1531"/>
      <c r="K368" s="1462"/>
      <c r="L368" s="1462"/>
      <c r="M368" s="1493"/>
      <c r="N368" s="1462"/>
      <c r="O368" s="1462"/>
      <c r="P368" s="1462"/>
      <c r="Q368" s="1462"/>
      <c r="R368" s="1462"/>
      <c r="S368" s="1462"/>
      <c r="T368" s="1462"/>
      <c r="U368" s="1469">
        <v>23</v>
      </c>
      <c r="V368" s="1486" t="s">
        <v>33</v>
      </c>
      <c r="W368" s="1471" t="s">
        <v>1306</v>
      </c>
      <c r="X368" s="1472" t="s">
        <v>1440</v>
      </c>
      <c r="Y368" s="1473" t="s">
        <v>1306</v>
      </c>
      <c r="Z368" s="1504" t="s">
        <v>1457</v>
      </c>
      <c r="AA368" s="1473" t="s">
        <v>1306</v>
      </c>
      <c r="AB368" s="1486" t="s">
        <v>33</v>
      </c>
      <c r="AC368" s="1499"/>
      <c r="AD368" s="1500"/>
      <c r="AE368" s="1501"/>
      <c r="AF368" s="1501"/>
      <c r="AG368" s="1457" t="str">
        <f t="shared" si="19"/>
        <v>23調査結果-建築物の内部-4（17）-調査結果</v>
      </c>
      <c r="AI368" s="1459"/>
      <c r="AJ368" s="1459"/>
      <c r="AK368" s="1459"/>
    </row>
    <row r="369" spans="1:37" s="1457" customFormat="1" ht="18.75" customHeight="1" x14ac:dyDescent="0.15">
      <c r="A369" s="1578"/>
      <c r="B369" s="1462"/>
      <c r="C369" s="1462"/>
      <c r="D369" s="1460">
        <f>'1_入力シート【基本情報】'!$AR$398</f>
        <v>0</v>
      </c>
      <c r="E369" s="1650">
        <f t="shared" si="23"/>
        <v>0</v>
      </c>
      <c r="F369" s="1650" t="str">
        <f t="shared" si="24"/>
        <v>0</v>
      </c>
      <c r="G369" s="1650" t="str">
        <f t="shared" si="25"/>
        <v>0</v>
      </c>
      <c r="H369" s="1468"/>
      <c r="I369" s="1462"/>
      <c r="J369" s="1531"/>
      <c r="K369" s="1462"/>
      <c r="L369" s="1462"/>
      <c r="M369" s="1493"/>
      <c r="N369" s="1462"/>
      <c r="O369" s="1462"/>
      <c r="P369" s="1462"/>
      <c r="Q369" s="1462"/>
      <c r="R369" s="1462"/>
      <c r="S369" s="1462"/>
      <c r="T369" s="1462"/>
      <c r="U369" s="1469">
        <v>23</v>
      </c>
      <c r="V369" s="1486" t="s">
        <v>33</v>
      </c>
      <c r="W369" s="1471" t="s">
        <v>1306</v>
      </c>
      <c r="X369" s="1472" t="s">
        <v>1440</v>
      </c>
      <c r="Y369" s="1473" t="s">
        <v>1306</v>
      </c>
      <c r="Z369" s="1504" t="s">
        <v>1457</v>
      </c>
      <c r="AA369" s="1473" t="s">
        <v>1306</v>
      </c>
      <c r="AB369" s="1486" t="s">
        <v>30</v>
      </c>
      <c r="AC369" s="1499"/>
      <c r="AD369" s="1500"/>
      <c r="AE369" s="1501"/>
      <c r="AF369" s="1501"/>
      <c r="AG369" s="1457" t="str">
        <f t="shared" si="19"/>
        <v>23調査結果-建築物の内部-4（17）-調査者番号</v>
      </c>
      <c r="AI369" s="1459"/>
      <c r="AJ369" s="1459"/>
      <c r="AK369" s="1459"/>
    </row>
    <row r="370" spans="1:37" s="1457" customFormat="1" ht="18.75" customHeight="1" x14ac:dyDescent="0.15">
      <c r="A370" s="1578"/>
      <c r="B370" s="1462"/>
      <c r="C370" s="1462"/>
      <c r="D370" s="1460">
        <f>'1_入力シート【基本情報】'!$AT$398</f>
        <v>0</v>
      </c>
      <c r="E370" s="1650">
        <f t="shared" si="23"/>
        <v>0</v>
      </c>
      <c r="F370" s="1650" t="str">
        <f t="shared" si="24"/>
        <v>0</v>
      </c>
      <c r="G370" s="1650" t="str">
        <f t="shared" si="25"/>
        <v>0</v>
      </c>
      <c r="H370" s="1468"/>
      <c r="I370" s="1462"/>
      <c r="J370" s="1531"/>
      <c r="K370" s="1462"/>
      <c r="L370" s="1462"/>
      <c r="M370" s="1493"/>
      <c r="N370" s="1462"/>
      <c r="O370" s="1462"/>
      <c r="P370" s="1462"/>
      <c r="Q370" s="1462"/>
      <c r="R370" s="1462"/>
      <c r="S370" s="1462"/>
      <c r="T370" s="1462"/>
      <c r="U370" s="1469">
        <v>23</v>
      </c>
      <c r="V370" s="1486" t="s">
        <v>33</v>
      </c>
      <c r="W370" s="1471" t="s">
        <v>1306</v>
      </c>
      <c r="X370" s="1472" t="s">
        <v>1440</v>
      </c>
      <c r="Y370" s="1473" t="s">
        <v>1306</v>
      </c>
      <c r="Z370" s="1504" t="s">
        <v>1457</v>
      </c>
      <c r="AA370" s="1473" t="s">
        <v>1306</v>
      </c>
      <c r="AB370" s="1486" t="s">
        <v>1402</v>
      </c>
      <c r="AC370" s="1499"/>
      <c r="AD370" s="1500"/>
      <c r="AE370" s="1501"/>
      <c r="AF370" s="1501"/>
      <c r="AG370" s="1457" t="str">
        <f t="shared" si="19"/>
        <v>23調査結果-建築物の内部-4（17）-指摘の具体的内容等</v>
      </c>
      <c r="AI370" s="1459"/>
      <c r="AJ370" s="1459"/>
      <c r="AK370" s="1459"/>
    </row>
    <row r="371" spans="1:37" s="1457" customFormat="1" ht="18.75" customHeight="1" x14ac:dyDescent="0.15">
      <c r="A371" s="1578"/>
      <c r="B371" s="1462"/>
      <c r="C371" s="1462"/>
      <c r="D371" s="1460">
        <f>'1_入力シート【基本情報】'!$BD$398</f>
        <v>0</v>
      </c>
      <c r="E371" s="1650">
        <f t="shared" si="23"/>
        <v>0</v>
      </c>
      <c r="F371" s="1650" t="str">
        <f t="shared" si="24"/>
        <v>0</v>
      </c>
      <c r="G371" s="1650" t="str">
        <f t="shared" si="25"/>
        <v>0</v>
      </c>
      <c r="H371" s="1468"/>
      <c r="I371" s="1462"/>
      <c r="J371" s="1531"/>
      <c r="K371" s="1462"/>
      <c r="L371" s="1462"/>
      <c r="M371" s="1493"/>
      <c r="N371" s="1462"/>
      <c r="O371" s="1462"/>
      <c r="P371" s="1462"/>
      <c r="Q371" s="1462"/>
      <c r="R371" s="1462"/>
      <c r="S371" s="1462"/>
      <c r="T371" s="1462"/>
      <c r="U371" s="1469">
        <v>23</v>
      </c>
      <c r="V371" s="1486" t="s">
        <v>33</v>
      </c>
      <c r="W371" s="1471" t="s">
        <v>1306</v>
      </c>
      <c r="X371" s="1472" t="s">
        <v>1440</v>
      </c>
      <c r="Y371" s="1473" t="s">
        <v>1306</v>
      </c>
      <c r="Z371" s="1504" t="s">
        <v>1457</v>
      </c>
      <c r="AA371" s="1473" t="s">
        <v>1306</v>
      </c>
      <c r="AB371" s="1470" t="s">
        <v>1403</v>
      </c>
      <c r="AC371" s="1475"/>
      <c r="AD371" s="1476"/>
      <c r="AE371" s="1501"/>
      <c r="AF371" s="1501"/>
      <c r="AG371" s="1457" t="str">
        <f t="shared" si="19"/>
        <v>23調査結果-建築物の内部-4（17）-改善策の具体的内容等</v>
      </c>
      <c r="AI371" s="1459"/>
      <c r="AJ371" s="1459"/>
      <c r="AK371" s="1459"/>
    </row>
    <row r="372" spans="1:37" s="1457" customFormat="1" ht="18.75" customHeight="1" x14ac:dyDescent="0.15">
      <c r="A372" s="1578"/>
      <c r="B372" s="1462"/>
      <c r="C372" s="1462"/>
      <c r="D372" s="1460">
        <f>'1_入力シート【基本情報】'!$BS$398</f>
        <v>0</v>
      </c>
      <c r="E372" s="1650">
        <f t="shared" si="23"/>
        <v>0</v>
      </c>
      <c r="F372" s="1650" t="str">
        <f t="shared" si="24"/>
        <v>0</v>
      </c>
      <c r="G372" s="1650" t="str">
        <f t="shared" si="25"/>
        <v>0</v>
      </c>
      <c r="H372" s="1468"/>
      <c r="I372" s="1462"/>
      <c r="J372" s="1531"/>
      <c r="K372" s="1462"/>
      <c r="L372" s="1462"/>
      <c r="M372" s="1493"/>
      <c r="N372" s="1462"/>
      <c r="O372" s="1462"/>
      <c r="P372" s="1462"/>
      <c r="Q372" s="1462"/>
      <c r="R372" s="1462"/>
      <c r="S372" s="1462"/>
      <c r="T372" s="1462"/>
      <c r="U372" s="1469">
        <v>23</v>
      </c>
      <c r="V372" s="1486" t="s">
        <v>33</v>
      </c>
      <c r="W372" s="1471" t="s">
        <v>1306</v>
      </c>
      <c r="X372" s="1472" t="s">
        <v>1440</v>
      </c>
      <c r="Y372" s="1473" t="s">
        <v>1306</v>
      </c>
      <c r="Z372" s="1504" t="s">
        <v>1457</v>
      </c>
      <c r="AA372" s="1473" t="s">
        <v>1306</v>
      </c>
      <c r="AB372" s="1470" t="s">
        <v>352</v>
      </c>
      <c r="AC372" s="1499" t="s">
        <v>1366</v>
      </c>
      <c r="AD372" s="1500" t="s">
        <v>1387</v>
      </c>
      <c r="AE372" s="1501"/>
      <c r="AF372" s="1501"/>
      <c r="AG372" s="1457" t="str">
        <f t="shared" si="19"/>
        <v>23調査結果-建築物の内部-4（17）-改善（予定）年月-年（令和）</v>
      </c>
      <c r="AI372" s="1459"/>
      <c r="AJ372" s="1459"/>
      <c r="AK372" s="1459"/>
    </row>
    <row r="373" spans="1:37" s="1457" customFormat="1" ht="18.75" customHeight="1" x14ac:dyDescent="0.15">
      <c r="A373" s="1578"/>
      <c r="B373" s="1462"/>
      <c r="C373" s="1462"/>
      <c r="D373" s="1460">
        <f>'1_入力シート【基本情報】'!$BV$398</f>
        <v>0</v>
      </c>
      <c r="E373" s="1650">
        <f t="shared" si="23"/>
        <v>0</v>
      </c>
      <c r="F373" s="1650" t="str">
        <f t="shared" si="24"/>
        <v>0</v>
      </c>
      <c r="G373" s="1650" t="str">
        <f t="shared" si="25"/>
        <v>0</v>
      </c>
      <c r="H373" s="1468"/>
      <c r="I373" s="1462"/>
      <c r="J373" s="1531"/>
      <c r="K373" s="1462"/>
      <c r="L373" s="1462"/>
      <c r="M373" s="1493"/>
      <c r="N373" s="1462"/>
      <c r="O373" s="1462"/>
      <c r="P373" s="1462"/>
      <c r="Q373" s="1462"/>
      <c r="R373" s="1462"/>
      <c r="S373" s="1462"/>
      <c r="T373" s="1462"/>
      <c r="U373" s="1469">
        <v>23</v>
      </c>
      <c r="V373" s="1486" t="s">
        <v>33</v>
      </c>
      <c r="W373" s="1471" t="s">
        <v>1306</v>
      </c>
      <c r="X373" s="1472" t="s">
        <v>1440</v>
      </c>
      <c r="Y373" s="1473" t="s">
        <v>1306</v>
      </c>
      <c r="Z373" s="1504" t="s">
        <v>1457</v>
      </c>
      <c r="AA373" s="1473" t="s">
        <v>1306</v>
      </c>
      <c r="AB373" s="1470" t="s">
        <v>352</v>
      </c>
      <c r="AC373" s="1499" t="s">
        <v>1366</v>
      </c>
      <c r="AD373" s="1500" t="s">
        <v>348</v>
      </c>
      <c r="AE373" s="1501"/>
      <c r="AF373" s="1501"/>
      <c r="AG373" s="1457" t="str">
        <f t="shared" si="19"/>
        <v>23調査結果-建築物の内部-4（17）-改善（予定）年月-月</v>
      </c>
      <c r="AI373" s="1459"/>
      <c r="AJ373" s="1459"/>
      <c r="AK373" s="1459"/>
    </row>
    <row r="374" spans="1:37" s="1457" customFormat="1" ht="18.75" customHeight="1" x14ac:dyDescent="0.15">
      <c r="A374" s="1578"/>
      <c r="B374" s="1462"/>
      <c r="C374" s="1462"/>
      <c r="D374" s="1460">
        <f>'1_入力シート【基本情報】'!$BY$398</f>
        <v>0</v>
      </c>
      <c r="E374" s="1650">
        <f t="shared" si="23"/>
        <v>0</v>
      </c>
      <c r="F374" s="1650" t="str">
        <f t="shared" si="24"/>
        <v>0</v>
      </c>
      <c r="G374" s="1650" t="str">
        <f t="shared" si="25"/>
        <v>0</v>
      </c>
      <c r="H374" s="1468"/>
      <c r="I374" s="1462"/>
      <c r="J374" s="1531"/>
      <c r="K374" s="1462"/>
      <c r="L374" s="1462"/>
      <c r="M374" s="1493"/>
      <c r="N374" s="1462"/>
      <c r="O374" s="1462"/>
      <c r="P374" s="1462"/>
      <c r="Q374" s="1462"/>
      <c r="R374" s="1462"/>
      <c r="S374" s="1462"/>
      <c r="T374" s="1462"/>
      <c r="U374" s="1469">
        <v>23</v>
      </c>
      <c r="V374" s="1486" t="s">
        <v>33</v>
      </c>
      <c r="W374" s="1471" t="s">
        <v>1306</v>
      </c>
      <c r="X374" s="1472" t="s">
        <v>1440</v>
      </c>
      <c r="Y374" s="1473" t="s">
        <v>1306</v>
      </c>
      <c r="Z374" s="1504" t="s">
        <v>1457</v>
      </c>
      <c r="AA374" s="1473" t="s">
        <v>1306</v>
      </c>
      <c r="AB374" s="1470" t="s">
        <v>352</v>
      </c>
      <c r="AC374" s="1499" t="s">
        <v>1366</v>
      </c>
      <c r="AD374" s="1500" t="s">
        <v>640</v>
      </c>
      <c r="AE374" s="1477"/>
      <c r="AF374" s="1477"/>
      <c r="AG374" s="1457" t="str">
        <f t="shared" si="19"/>
        <v>23調査結果-建築物の内部-4（17）-改善（予定）年月-未定</v>
      </c>
      <c r="AI374" s="1459"/>
      <c r="AJ374" s="1459"/>
      <c r="AK374" s="1459"/>
    </row>
    <row r="375" spans="1:37" s="1457" customFormat="1" ht="18.75" customHeight="1" x14ac:dyDescent="0.15">
      <c r="A375" s="1578"/>
      <c r="B375" s="1462"/>
      <c r="C375" s="1462"/>
      <c r="D375" s="1460">
        <f>'1_入力シート【基本情報】'!$AF$399</f>
        <v>0</v>
      </c>
      <c r="E375" s="1650">
        <f t="shared" si="23"/>
        <v>0</v>
      </c>
      <c r="F375" s="1650" t="str">
        <f t="shared" si="24"/>
        <v>0</v>
      </c>
      <c r="G375" s="1650" t="str">
        <f t="shared" si="25"/>
        <v>0</v>
      </c>
      <c r="H375" s="1468"/>
      <c r="I375" s="1462"/>
      <c r="J375" s="1531"/>
      <c r="K375" s="1462"/>
      <c r="L375" s="1462"/>
      <c r="M375" s="1493"/>
      <c r="N375" s="1462"/>
      <c r="O375" s="1462"/>
      <c r="P375" s="1462"/>
      <c r="Q375" s="1462"/>
      <c r="R375" s="1462"/>
      <c r="S375" s="1462"/>
      <c r="T375" s="1462"/>
      <c r="U375" s="1469">
        <v>23</v>
      </c>
      <c r="V375" s="1486" t="s">
        <v>33</v>
      </c>
      <c r="W375" s="1471" t="s">
        <v>1306</v>
      </c>
      <c r="X375" s="1472" t="s">
        <v>1440</v>
      </c>
      <c r="Y375" s="1473" t="s">
        <v>1306</v>
      </c>
      <c r="Z375" s="1504" t="s">
        <v>1458</v>
      </c>
      <c r="AA375" s="1473" t="s">
        <v>1306</v>
      </c>
      <c r="AB375" s="1470" t="s">
        <v>33</v>
      </c>
      <c r="AC375" s="1499"/>
      <c r="AD375" s="1500"/>
      <c r="AE375" s="1501"/>
      <c r="AF375" s="1501"/>
      <c r="AG375" s="1457" t="str">
        <f t="shared" si="19"/>
        <v>23調査結果-建築物の内部-4（18）-調査結果</v>
      </c>
      <c r="AI375" s="1459"/>
      <c r="AJ375" s="1459"/>
      <c r="AK375" s="1459"/>
    </row>
    <row r="376" spans="1:37" s="1457" customFormat="1" ht="18.75" customHeight="1" x14ac:dyDescent="0.15">
      <c r="A376" s="1578"/>
      <c r="B376" s="1462"/>
      <c r="C376" s="1462"/>
      <c r="D376" s="1460">
        <f>'1_入力シート【基本情報】'!$AR$399</f>
        <v>0</v>
      </c>
      <c r="E376" s="1650">
        <f t="shared" si="23"/>
        <v>0</v>
      </c>
      <c r="F376" s="1650" t="str">
        <f t="shared" si="24"/>
        <v>0</v>
      </c>
      <c r="G376" s="1650" t="str">
        <f t="shared" si="25"/>
        <v>0</v>
      </c>
      <c r="H376" s="1468"/>
      <c r="I376" s="1462"/>
      <c r="J376" s="1531"/>
      <c r="K376" s="1462"/>
      <c r="L376" s="1462"/>
      <c r="M376" s="1493"/>
      <c r="N376" s="1462"/>
      <c r="O376" s="1462"/>
      <c r="P376" s="1462"/>
      <c r="Q376" s="1462"/>
      <c r="R376" s="1462"/>
      <c r="S376" s="1462"/>
      <c r="T376" s="1462"/>
      <c r="U376" s="1469">
        <v>23</v>
      </c>
      <c r="V376" s="1486" t="s">
        <v>33</v>
      </c>
      <c r="W376" s="1471" t="s">
        <v>1306</v>
      </c>
      <c r="X376" s="1472" t="s">
        <v>1440</v>
      </c>
      <c r="Y376" s="1473" t="s">
        <v>1306</v>
      </c>
      <c r="Z376" s="1504" t="s">
        <v>1458</v>
      </c>
      <c r="AA376" s="1473" t="s">
        <v>1306</v>
      </c>
      <c r="AB376" s="1486" t="s">
        <v>30</v>
      </c>
      <c r="AC376" s="1499"/>
      <c r="AD376" s="1500"/>
      <c r="AE376" s="1501"/>
      <c r="AF376" s="1501"/>
      <c r="AG376" s="1457" t="str">
        <f t="shared" si="19"/>
        <v>23調査結果-建築物の内部-4（18）-調査者番号</v>
      </c>
      <c r="AI376" s="1459"/>
      <c r="AJ376" s="1459"/>
      <c r="AK376" s="1459"/>
    </row>
    <row r="377" spans="1:37" s="1457" customFormat="1" ht="18.75" customHeight="1" x14ac:dyDescent="0.15">
      <c r="A377" s="1578"/>
      <c r="B377" s="1462"/>
      <c r="C377" s="1462"/>
      <c r="D377" s="1460">
        <f>'1_入力シート【基本情報】'!$AT$399</f>
        <v>0</v>
      </c>
      <c r="E377" s="1650">
        <f t="shared" si="23"/>
        <v>0</v>
      </c>
      <c r="F377" s="1650" t="str">
        <f t="shared" si="24"/>
        <v>0</v>
      </c>
      <c r="G377" s="1650" t="str">
        <f t="shared" si="25"/>
        <v>0</v>
      </c>
      <c r="H377" s="1468"/>
      <c r="I377" s="1462"/>
      <c r="J377" s="1531"/>
      <c r="K377" s="1462"/>
      <c r="L377" s="1462"/>
      <c r="M377" s="1493"/>
      <c r="N377" s="1462"/>
      <c r="O377" s="1462"/>
      <c r="P377" s="1462"/>
      <c r="Q377" s="1462"/>
      <c r="R377" s="1462"/>
      <c r="S377" s="1462"/>
      <c r="T377" s="1462"/>
      <c r="U377" s="1469">
        <v>23</v>
      </c>
      <c r="V377" s="1486" t="s">
        <v>33</v>
      </c>
      <c r="W377" s="1471" t="s">
        <v>1306</v>
      </c>
      <c r="X377" s="1472" t="s">
        <v>1440</v>
      </c>
      <c r="Y377" s="1473" t="s">
        <v>1306</v>
      </c>
      <c r="Z377" s="1504" t="s">
        <v>1458</v>
      </c>
      <c r="AA377" s="1473" t="s">
        <v>1306</v>
      </c>
      <c r="AB377" s="1486" t="s">
        <v>1402</v>
      </c>
      <c r="AC377" s="1499"/>
      <c r="AD377" s="1500"/>
      <c r="AE377" s="1501"/>
      <c r="AF377" s="1501"/>
      <c r="AG377" s="1457" t="str">
        <f t="shared" si="19"/>
        <v>23調査結果-建築物の内部-4（18）-指摘の具体的内容等</v>
      </c>
      <c r="AI377" s="1459"/>
      <c r="AJ377" s="1459"/>
      <c r="AK377" s="1459"/>
    </row>
    <row r="378" spans="1:37" s="1457" customFormat="1" ht="18.75" customHeight="1" x14ac:dyDescent="0.15">
      <c r="A378" s="1578"/>
      <c r="B378" s="1462"/>
      <c r="C378" s="1462"/>
      <c r="D378" s="1460">
        <f>'1_入力シート【基本情報】'!$BD$399</f>
        <v>0</v>
      </c>
      <c r="E378" s="1650">
        <f t="shared" si="23"/>
        <v>0</v>
      </c>
      <c r="F378" s="1650" t="str">
        <f t="shared" si="24"/>
        <v>0</v>
      </c>
      <c r="G378" s="1650" t="str">
        <f t="shared" si="25"/>
        <v>0</v>
      </c>
      <c r="H378" s="1468"/>
      <c r="I378" s="1462"/>
      <c r="J378" s="1531"/>
      <c r="K378" s="1462"/>
      <c r="L378" s="1462"/>
      <c r="M378" s="1493"/>
      <c r="N378" s="1462"/>
      <c r="O378" s="1462"/>
      <c r="P378" s="1462"/>
      <c r="Q378" s="1462"/>
      <c r="R378" s="1462"/>
      <c r="S378" s="1462"/>
      <c r="T378" s="1462"/>
      <c r="U378" s="1469">
        <v>23</v>
      </c>
      <c r="V378" s="1486" t="s">
        <v>33</v>
      </c>
      <c r="W378" s="1471" t="s">
        <v>1306</v>
      </c>
      <c r="X378" s="1472" t="s">
        <v>1440</v>
      </c>
      <c r="Y378" s="1473" t="s">
        <v>1306</v>
      </c>
      <c r="Z378" s="1504" t="s">
        <v>1458</v>
      </c>
      <c r="AA378" s="1473" t="s">
        <v>1306</v>
      </c>
      <c r="AB378" s="1486" t="s">
        <v>1403</v>
      </c>
      <c r="AC378" s="1499"/>
      <c r="AD378" s="1500"/>
      <c r="AE378" s="1501"/>
      <c r="AF378" s="1501"/>
      <c r="AG378" s="1457" t="str">
        <f t="shared" si="19"/>
        <v>23調査結果-建築物の内部-4（18）-改善策の具体的内容等</v>
      </c>
      <c r="AI378" s="1459"/>
      <c r="AJ378" s="1459"/>
      <c r="AK378" s="1459"/>
    </row>
    <row r="379" spans="1:37" s="1457" customFormat="1" ht="18.75" customHeight="1" x14ac:dyDescent="0.15">
      <c r="A379" s="1578"/>
      <c r="B379" s="1462"/>
      <c r="C379" s="1462"/>
      <c r="D379" s="1460">
        <f>'1_入力シート【基本情報】'!$BS$399</f>
        <v>0</v>
      </c>
      <c r="E379" s="1650">
        <f t="shared" si="23"/>
        <v>0</v>
      </c>
      <c r="F379" s="1650" t="str">
        <f t="shared" si="24"/>
        <v>0</v>
      </c>
      <c r="G379" s="1650" t="str">
        <f t="shared" si="25"/>
        <v>0</v>
      </c>
      <c r="H379" s="1468"/>
      <c r="I379" s="1462"/>
      <c r="J379" s="1531"/>
      <c r="K379" s="1462"/>
      <c r="L379" s="1462"/>
      <c r="M379" s="1493"/>
      <c r="N379" s="1462"/>
      <c r="O379" s="1462"/>
      <c r="P379" s="1462"/>
      <c r="Q379" s="1462"/>
      <c r="R379" s="1462"/>
      <c r="S379" s="1462"/>
      <c r="T379" s="1462"/>
      <c r="U379" s="1469">
        <v>23</v>
      </c>
      <c r="V379" s="1486" t="s">
        <v>33</v>
      </c>
      <c r="W379" s="1471" t="s">
        <v>1306</v>
      </c>
      <c r="X379" s="1472" t="s">
        <v>1440</v>
      </c>
      <c r="Y379" s="1473" t="s">
        <v>1306</v>
      </c>
      <c r="Z379" s="1504" t="s">
        <v>1458</v>
      </c>
      <c r="AA379" s="1473" t="s">
        <v>1306</v>
      </c>
      <c r="AB379" s="1470" t="s">
        <v>352</v>
      </c>
      <c r="AC379" s="1475" t="s">
        <v>1366</v>
      </c>
      <c r="AD379" s="1476" t="s">
        <v>1387</v>
      </c>
      <c r="AE379" s="1501"/>
      <c r="AF379" s="1501"/>
      <c r="AG379" s="1457" t="str">
        <f t="shared" si="19"/>
        <v>23調査結果-建築物の内部-4（18）-改善（予定）年月-年（令和）</v>
      </c>
      <c r="AI379" s="1459"/>
      <c r="AJ379" s="1459"/>
      <c r="AK379" s="1459"/>
    </row>
    <row r="380" spans="1:37" s="1457" customFormat="1" ht="18.75" customHeight="1" x14ac:dyDescent="0.15">
      <c r="A380" s="1578"/>
      <c r="B380" s="1462"/>
      <c r="C380" s="1462"/>
      <c r="D380" s="1460">
        <f>'1_入力シート【基本情報】'!$BV$399</f>
        <v>0</v>
      </c>
      <c r="E380" s="1650">
        <f t="shared" si="23"/>
        <v>0</v>
      </c>
      <c r="F380" s="1650" t="str">
        <f t="shared" si="24"/>
        <v>0</v>
      </c>
      <c r="G380" s="1650" t="str">
        <f t="shared" si="25"/>
        <v>0</v>
      </c>
      <c r="H380" s="1468"/>
      <c r="I380" s="1462"/>
      <c r="J380" s="1531"/>
      <c r="K380" s="1462"/>
      <c r="L380" s="1462"/>
      <c r="M380" s="1493"/>
      <c r="N380" s="1462"/>
      <c r="O380" s="1462"/>
      <c r="P380" s="1462"/>
      <c r="Q380" s="1462"/>
      <c r="R380" s="1462"/>
      <c r="S380" s="1462"/>
      <c r="T380" s="1462"/>
      <c r="U380" s="1469">
        <v>23</v>
      </c>
      <c r="V380" s="1486" t="s">
        <v>33</v>
      </c>
      <c r="W380" s="1471" t="s">
        <v>1306</v>
      </c>
      <c r="X380" s="1472" t="s">
        <v>1440</v>
      </c>
      <c r="Y380" s="1473" t="s">
        <v>1306</v>
      </c>
      <c r="Z380" s="1504" t="s">
        <v>1458</v>
      </c>
      <c r="AA380" s="1473" t="s">
        <v>1306</v>
      </c>
      <c r="AB380" s="1470" t="s">
        <v>352</v>
      </c>
      <c r="AC380" s="1499" t="s">
        <v>1366</v>
      </c>
      <c r="AD380" s="1500" t="s">
        <v>348</v>
      </c>
      <c r="AE380" s="1501"/>
      <c r="AF380" s="1501"/>
      <c r="AG380" s="1457" t="str">
        <f t="shared" si="19"/>
        <v>23調査結果-建築物の内部-4（18）-改善（予定）年月-月</v>
      </c>
      <c r="AI380" s="1459"/>
      <c r="AJ380" s="1459"/>
      <c r="AK380" s="1459"/>
    </row>
    <row r="381" spans="1:37" s="1457" customFormat="1" ht="18.75" customHeight="1" x14ac:dyDescent="0.15">
      <c r="A381" s="1578"/>
      <c r="B381" s="1462"/>
      <c r="C381" s="1462"/>
      <c r="D381" s="1460">
        <f>'1_入力シート【基本情報】'!$BY$399</f>
        <v>0</v>
      </c>
      <c r="E381" s="1650">
        <f t="shared" si="23"/>
        <v>0</v>
      </c>
      <c r="F381" s="1650" t="str">
        <f t="shared" si="24"/>
        <v>0</v>
      </c>
      <c r="G381" s="1650" t="str">
        <f t="shared" si="25"/>
        <v>0</v>
      </c>
      <c r="H381" s="1468"/>
      <c r="I381" s="1462"/>
      <c r="J381" s="1531"/>
      <c r="K381" s="1462"/>
      <c r="L381" s="1462"/>
      <c r="M381" s="1493"/>
      <c r="N381" s="1462"/>
      <c r="O381" s="1462"/>
      <c r="P381" s="1462"/>
      <c r="Q381" s="1462"/>
      <c r="R381" s="1462"/>
      <c r="S381" s="1462"/>
      <c r="T381" s="1462"/>
      <c r="U381" s="1469">
        <v>23</v>
      </c>
      <c r="V381" s="1486" t="s">
        <v>33</v>
      </c>
      <c r="W381" s="1471" t="s">
        <v>1306</v>
      </c>
      <c r="X381" s="1472" t="s">
        <v>1440</v>
      </c>
      <c r="Y381" s="1473" t="s">
        <v>1306</v>
      </c>
      <c r="Z381" s="1504" t="s">
        <v>1458</v>
      </c>
      <c r="AA381" s="1473" t="s">
        <v>1306</v>
      </c>
      <c r="AB381" s="1470" t="s">
        <v>352</v>
      </c>
      <c r="AC381" s="1499" t="s">
        <v>1366</v>
      </c>
      <c r="AD381" s="1500" t="s">
        <v>640</v>
      </c>
      <c r="AE381" s="1501"/>
      <c r="AF381" s="1501"/>
      <c r="AG381" s="1457" t="str">
        <f t="shared" si="19"/>
        <v>23調査結果-建築物の内部-4（18）-改善（予定）年月-未定</v>
      </c>
      <c r="AI381" s="1459"/>
      <c r="AJ381" s="1459"/>
      <c r="AK381" s="1459"/>
    </row>
    <row r="382" spans="1:37" s="1457" customFormat="1" ht="18.75" customHeight="1" x14ac:dyDescent="0.15">
      <c r="A382" s="1578"/>
      <c r="B382" s="1462"/>
      <c r="C382" s="1462"/>
      <c r="D382" s="1460">
        <f>'1_入力シート【基本情報】'!$AF$400</f>
        <v>0</v>
      </c>
      <c r="E382" s="1650">
        <f t="shared" si="23"/>
        <v>0</v>
      </c>
      <c r="F382" s="1650" t="str">
        <f t="shared" si="24"/>
        <v>0</v>
      </c>
      <c r="G382" s="1650" t="str">
        <f t="shared" si="25"/>
        <v>0</v>
      </c>
      <c r="H382" s="1468"/>
      <c r="I382" s="1462"/>
      <c r="J382" s="1531"/>
      <c r="K382" s="1462"/>
      <c r="L382" s="1462"/>
      <c r="M382" s="1493"/>
      <c r="N382" s="1462"/>
      <c r="O382" s="1462"/>
      <c r="P382" s="1462"/>
      <c r="Q382" s="1462"/>
      <c r="R382" s="1462"/>
      <c r="S382" s="1462"/>
      <c r="T382" s="1462"/>
      <c r="U382" s="1469">
        <v>23</v>
      </c>
      <c r="V382" s="1486" t="s">
        <v>33</v>
      </c>
      <c r="W382" s="1471" t="s">
        <v>1306</v>
      </c>
      <c r="X382" s="1472" t="s">
        <v>1440</v>
      </c>
      <c r="Y382" s="1473" t="s">
        <v>1306</v>
      </c>
      <c r="Z382" s="1504" t="s">
        <v>1459</v>
      </c>
      <c r="AA382" s="1473" t="s">
        <v>1306</v>
      </c>
      <c r="AB382" s="1470" t="s">
        <v>33</v>
      </c>
      <c r="AC382" s="1499"/>
      <c r="AD382" s="1500"/>
      <c r="AE382" s="1477"/>
      <c r="AF382" s="1477"/>
      <c r="AG382" s="1457" t="str">
        <f t="shared" ref="AG382:AG445" si="26">CONCATENATE(U382,V382,W382,X382,Y382,Z382,AA382,AB382,AC382,AD382)</f>
        <v>23調査結果-建築物の内部-4（19）-調査結果</v>
      </c>
      <c r="AI382" s="1459"/>
      <c r="AJ382" s="1459"/>
      <c r="AK382" s="1459"/>
    </row>
    <row r="383" spans="1:37" s="1457" customFormat="1" ht="18.75" customHeight="1" x14ac:dyDescent="0.15">
      <c r="A383" s="1578"/>
      <c r="B383" s="1462"/>
      <c r="C383" s="1462"/>
      <c r="D383" s="1460">
        <f>'1_入力シート【基本情報】'!$AR$400</f>
        <v>0</v>
      </c>
      <c r="E383" s="1650">
        <f t="shared" si="23"/>
        <v>0</v>
      </c>
      <c r="F383" s="1650" t="str">
        <f t="shared" si="24"/>
        <v>0</v>
      </c>
      <c r="G383" s="1650" t="str">
        <f t="shared" si="25"/>
        <v>0</v>
      </c>
      <c r="H383" s="1468"/>
      <c r="I383" s="1462"/>
      <c r="J383" s="1531"/>
      <c r="K383" s="1462"/>
      <c r="L383" s="1462"/>
      <c r="M383" s="1493"/>
      <c r="N383" s="1462"/>
      <c r="O383" s="1462"/>
      <c r="P383" s="1462"/>
      <c r="Q383" s="1462"/>
      <c r="R383" s="1462"/>
      <c r="S383" s="1462"/>
      <c r="T383" s="1462"/>
      <c r="U383" s="1469">
        <v>23</v>
      </c>
      <c r="V383" s="1486" t="s">
        <v>33</v>
      </c>
      <c r="W383" s="1471" t="s">
        <v>1306</v>
      </c>
      <c r="X383" s="1472" t="s">
        <v>1440</v>
      </c>
      <c r="Y383" s="1473" t="s">
        <v>1306</v>
      </c>
      <c r="Z383" s="1504" t="s">
        <v>1459</v>
      </c>
      <c r="AA383" s="1473" t="s">
        <v>1306</v>
      </c>
      <c r="AB383" s="1470" t="s">
        <v>30</v>
      </c>
      <c r="AC383" s="1499"/>
      <c r="AD383" s="1500"/>
      <c r="AE383" s="1501"/>
      <c r="AF383" s="1501"/>
      <c r="AG383" s="1457" t="str">
        <f t="shared" si="26"/>
        <v>23調査結果-建築物の内部-4（19）-調査者番号</v>
      </c>
      <c r="AI383" s="1459"/>
      <c r="AJ383" s="1459"/>
      <c r="AK383" s="1459"/>
    </row>
    <row r="384" spans="1:37" s="1457" customFormat="1" ht="18.75" customHeight="1" x14ac:dyDescent="0.15">
      <c r="A384" s="1578"/>
      <c r="B384" s="1462"/>
      <c r="C384" s="1462"/>
      <c r="D384" s="1460">
        <f>'1_入力シート【基本情報】'!$AT$400</f>
        <v>0</v>
      </c>
      <c r="E384" s="1650">
        <f t="shared" si="23"/>
        <v>0</v>
      </c>
      <c r="F384" s="1650" t="str">
        <f t="shared" si="24"/>
        <v>0</v>
      </c>
      <c r="G384" s="1650" t="str">
        <f t="shared" si="25"/>
        <v>0</v>
      </c>
      <c r="H384" s="1468"/>
      <c r="I384" s="1462"/>
      <c r="J384" s="1531"/>
      <c r="K384" s="1462"/>
      <c r="L384" s="1462"/>
      <c r="M384" s="1493"/>
      <c r="N384" s="1462"/>
      <c r="O384" s="1462"/>
      <c r="P384" s="1462"/>
      <c r="Q384" s="1462"/>
      <c r="R384" s="1462"/>
      <c r="S384" s="1462"/>
      <c r="T384" s="1462"/>
      <c r="U384" s="1469">
        <v>23</v>
      </c>
      <c r="V384" s="1486" t="s">
        <v>33</v>
      </c>
      <c r="W384" s="1471" t="s">
        <v>1306</v>
      </c>
      <c r="X384" s="1472" t="s">
        <v>1440</v>
      </c>
      <c r="Y384" s="1473" t="s">
        <v>1306</v>
      </c>
      <c r="Z384" s="1504" t="s">
        <v>1459</v>
      </c>
      <c r="AA384" s="1473" t="s">
        <v>1306</v>
      </c>
      <c r="AB384" s="1486" t="s">
        <v>1402</v>
      </c>
      <c r="AC384" s="1499"/>
      <c r="AD384" s="1500"/>
      <c r="AE384" s="1501"/>
      <c r="AF384" s="1501"/>
      <c r="AG384" s="1457" t="str">
        <f t="shared" si="26"/>
        <v>23調査結果-建築物の内部-4（19）-指摘の具体的内容等</v>
      </c>
      <c r="AI384" s="1459"/>
      <c r="AJ384" s="1459"/>
      <c r="AK384" s="1459"/>
    </row>
    <row r="385" spans="1:37" s="1457" customFormat="1" ht="18.75" customHeight="1" x14ac:dyDescent="0.15">
      <c r="A385" s="1578"/>
      <c r="B385" s="1462"/>
      <c r="C385" s="1462"/>
      <c r="D385" s="1460">
        <f>'1_入力シート【基本情報】'!$BD$400</f>
        <v>0</v>
      </c>
      <c r="E385" s="1650">
        <f t="shared" si="23"/>
        <v>0</v>
      </c>
      <c r="F385" s="1650" t="str">
        <f t="shared" si="24"/>
        <v>0</v>
      </c>
      <c r="G385" s="1650" t="str">
        <f t="shared" si="25"/>
        <v>0</v>
      </c>
      <c r="H385" s="1468"/>
      <c r="I385" s="1462"/>
      <c r="J385" s="1531"/>
      <c r="K385" s="1462"/>
      <c r="L385" s="1462"/>
      <c r="M385" s="1493"/>
      <c r="N385" s="1462"/>
      <c r="O385" s="1462"/>
      <c r="P385" s="1462"/>
      <c r="Q385" s="1462"/>
      <c r="R385" s="1462"/>
      <c r="S385" s="1462"/>
      <c r="T385" s="1462"/>
      <c r="U385" s="1469">
        <v>23</v>
      </c>
      <c r="V385" s="1486" t="s">
        <v>33</v>
      </c>
      <c r="W385" s="1471" t="s">
        <v>1306</v>
      </c>
      <c r="X385" s="1472" t="s">
        <v>1440</v>
      </c>
      <c r="Y385" s="1473" t="s">
        <v>1306</v>
      </c>
      <c r="Z385" s="1504" t="s">
        <v>1459</v>
      </c>
      <c r="AA385" s="1473" t="s">
        <v>1306</v>
      </c>
      <c r="AB385" s="1486" t="s">
        <v>1403</v>
      </c>
      <c r="AC385" s="1499"/>
      <c r="AD385" s="1500"/>
      <c r="AE385" s="1501"/>
      <c r="AF385" s="1501"/>
      <c r="AG385" s="1457" t="str">
        <f t="shared" si="26"/>
        <v>23調査結果-建築物の内部-4（19）-改善策の具体的内容等</v>
      </c>
      <c r="AI385" s="1459"/>
      <c r="AJ385" s="1459"/>
      <c r="AK385" s="1459"/>
    </row>
    <row r="386" spans="1:37" s="1457" customFormat="1" ht="18.75" customHeight="1" x14ac:dyDescent="0.15">
      <c r="A386" s="1578"/>
      <c r="B386" s="1462"/>
      <c r="C386" s="1462"/>
      <c r="D386" s="1460">
        <f>'1_入力シート【基本情報】'!$BS$400</f>
        <v>0</v>
      </c>
      <c r="E386" s="1650">
        <f t="shared" si="23"/>
        <v>0</v>
      </c>
      <c r="F386" s="1650" t="str">
        <f t="shared" si="24"/>
        <v>0</v>
      </c>
      <c r="G386" s="1650" t="str">
        <f t="shared" si="25"/>
        <v>0</v>
      </c>
      <c r="H386" s="1468"/>
      <c r="I386" s="1462"/>
      <c r="J386" s="1531"/>
      <c r="K386" s="1462"/>
      <c r="L386" s="1462"/>
      <c r="M386" s="1493"/>
      <c r="N386" s="1462"/>
      <c r="O386" s="1462"/>
      <c r="P386" s="1462"/>
      <c r="Q386" s="1462"/>
      <c r="R386" s="1462"/>
      <c r="S386" s="1462"/>
      <c r="T386" s="1462"/>
      <c r="U386" s="1469">
        <v>23</v>
      </c>
      <c r="V386" s="1486" t="s">
        <v>33</v>
      </c>
      <c r="W386" s="1471" t="s">
        <v>1306</v>
      </c>
      <c r="X386" s="1472" t="s">
        <v>1440</v>
      </c>
      <c r="Y386" s="1473" t="s">
        <v>1306</v>
      </c>
      <c r="Z386" s="1504" t="s">
        <v>1459</v>
      </c>
      <c r="AA386" s="1473" t="s">
        <v>1306</v>
      </c>
      <c r="AB386" s="1486" t="s">
        <v>352</v>
      </c>
      <c r="AC386" s="1499" t="s">
        <v>1366</v>
      </c>
      <c r="AD386" s="1500" t="s">
        <v>1387</v>
      </c>
      <c r="AE386" s="1501"/>
      <c r="AF386" s="1501"/>
      <c r="AG386" s="1457" t="str">
        <f t="shared" si="26"/>
        <v>23調査結果-建築物の内部-4（19）-改善（予定）年月-年（令和）</v>
      </c>
      <c r="AI386" s="1459"/>
      <c r="AJ386" s="1459"/>
      <c r="AK386" s="1459"/>
    </row>
    <row r="387" spans="1:37" s="1457" customFormat="1" ht="18.75" customHeight="1" x14ac:dyDescent="0.15">
      <c r="A387" s="1578"/>
      <c r="B387" s="1462"/>
      <c r="C387" s="1462"/>
      <c r="D387" s="1460">
        <f>'1_入力シート【基本情報】'!$BV$400</f>
        <v>0</v>
      </c>
      <c r="E387" s="1650">
        <f t="shared" si="23"/>
        <v>0</v>
      </c>
      <c r="F387" s="1650" t="str">
        <f t="shared" si="24"/>
        <v>0</v>
      </c>
      <c r="G387" s="1650" t="str">
        <f t="shared" si="25"/>
        <v>0</v>
      </c>
      <c r="H387" s="1468"/>
      <c r="I387" s="1462"/>
      <c r="J387" s="1531"/>
      <c r="K387" s="1462"/>
      <c r="L387" s="1462"/>
      <c r="M387" s="1493"/>
      <c r="N387" s="1462"/>
      <c r="O387" s="1462"/>
      <c r="P387" s="1462"/>
      <c r="Q387" s="1462"/>
      <c r="R387" s="1462"/>
      <c r="S387" s="1462"/>
      <c r="T387" s="1462"/>
      <c r="U387" s="1469">
        <v>23</v>
      </c>
      <c r="V387" s="1486" t="s">
        <v>33</v>
      </c>
      <c r="W387" s="1471" t="s">
        <v>1306</v>
      </c>
      <c r="X387" s="1472" t="s">
        <v>1440</v>
      </c>
      <c r="Y387" s="1473" t="s">
        <v>1306</v>
      </c>
      <c r="Z387" s="1504" t="s">
        <v>1459</v>
      </c>
      <c r="AA387" s="1473" t="s">
        <v>1306</v>
      </c>
      <c r="AB387" s="1470" t="s">
        <v>352</v>
      </c>
      <c r="AC387" s="1475" t="s">
        <v>1366</v>
      </c>
      <c r="AD387" s="1476" t="s">
        <v>348</v>
      </c>
      <c r="AE387" s="1501"/>
      <c r="AF387" s="1501"/>
      <c r="AG387" s="1457" t="str">
        <f t="shared" si="26"/>
        <v>23調査結果-建築物の内部-4（19）-改善（予定）年月-月</v>
      </c>
      <c r="AI387" s="1459"/>
      <c r="AJ387" s="1459"/>
      <c r="AK387" s="1459"/>
    </row>
    <row r="388" spans="1:37" s="1457" customFormat="1" ht="18.75" customHeight="1" x14ac:dyDescent="0.15">
      <c r="A388" s="1578"/>
      <c r="B388" s="1462"/>
      <c r="C388" s="1462"/>
      <c r="D388" s="1460">
        <f>'1_入力シート【基本情報】'!$BY$400</f>
        <v>0</v>
      </c>
      <c r="E388" s="1650">
        <f t="shared" si="23"/>
        <v>0</v>
      </c>
      <c r="F388" s="1650" t="str">
        <f t="shared" si="24"/>
        <v>0</v>
      </c>
      <c r="G388" s="1650" t="str">
        <f t="shared" si="25"/>
        <v>0</v>
      </c>
      <c r="H388" s="1468"/>
      <c r="I388" s="1462"/>
      <c r="J388" s="1531"/>
      <c r="K388" s="1462"/>
      <c r="L388" s="1462"/>
      <c r="M388" s="1493"/>
      <c r="N388" s="1462"/>
      <c r="O388" s="1462"/>
      <c r="P388" s="1462"/>
      <c r="Q388" s="1462"/>
      <c r="R388" s="1462"/>
      <c r="S388" s="1462"/>
      <c r="T388" s="1462"/>
      <c r="U388" s="1469">
        <v>23</v>
      </c>
      <c r="V388" s="1486" t="s">
        <v>33</v>
      </c>
      <c r="W388" s="1471" t="s">
        <v>1306</v>
      </c>
      <c r="X388" s="1472" t="s">
        <v>1440</v>
      </c>
      <c r="Y388" s="1473" t="s">
        <v>1306</v>
      </c>
      <c r="Z388" s="1504" t="s">
        <v>1459</v>
      </c>
      <c r="AA388" s="1473" t="s">
        <v>1306</v>
      </c>
      <c r="AB388" s="1470" t="s">
        <v>352</v>
      </c>
      <c r="AC388" s="1499" t="s">
        <v>1366</v>
      </c>
      <c r="AD388" s="1500" t="s">
        <v>640</v>
      </c>
      <c r="AE388" s="1501"/>
      <c r="AF388" s="1501"/>
      <c r="AG388" s="1457" t="str">
        <f t="shared" si="26"/>
        <v>23調査結果-建築物の内部-4（19）-改善（予定）年月-未定</v>
      </c>
      <c r="AI388" s="1459"/>
      <c r="AJ388" s="1459"/>
      <c r="AK388" s="1459"/>
    </row>
    <row r="389" spans="1:37" s="1457" customFormat="1" ht="18.75" customHeight="1" x14ac:dyDescent="0.15">
      <c r="A389" s="1578"/>
      <c r="B389" s="1462"/>
      <c r="C389" s="1462"/>
      <c r="D389" s="1460">
        <f>'1_入力シート【基本情報】'!$AF$401</f>
        <v>0</v>
      </c>
      <c r="E389" s="1650">
        <f t="shared" si="23"/>
        <v>0</v>
      </c>
      <c r="F389" s="1650" t="str">
        <f t="shared" si="24"/>
        <v>0</v>
      </c>
      <c r="G389" s="1650" t="str">
        <f t="shared" si="25"/>
        <v>0</v>
      </c>
      <c r="H389" s="1468"/>
      <c r="I389" s="1462"/>
      <c r="J389" s="1531"/>
      <c r="K389" s="1462"/>
      <c r="L389" s="1462"/>
      <c r="M389" s="1493"/>
      <c r="N389" s="1462"/>
      <c r="O389" s="1462"/>
      <c r="P389" s="1462"/>
      <c r="Q389" s="1462"/>
      <c r="R389" s="1462"/>
      <c r="S389" s="1462"/>
      <c r="T389" s="1462"/>
      <c r="U389" s="1469">
        <v>23</v>
      </c>
      <c r="V389" s="1486" t="s">
        <v>33</v>
      </c>
      <c r="W389" s="1471" t="s">
        <v>1306</v>
      </c>
      <c r="X389" s="1472" t="s">
        <v>1440</v>
      </c>
      <c r="Y389" s="1473" t="s">
        <v>1306</v>
      </c>
      <c r="Z389" s="1504" t="s">
        <v>1460</v>
      </c>
      <c r="AA389" s="1473" t="s">
        <v>1306</v>
      </c>
      <c r="AB389" s="1470" t="s">
        <v>33</v>
      </c>
      <c r="AC389" s="1499"/>
      <c r="AD389" s="1500"/>
      <c r="AE389" s="1501"/>
      <c r="AF389" s="1501"/>
      <c r="AG389" s="1457" t="str">
        <f t="shared" si="26"/>
        <v>23調査結果-建築物の内部-4（20）-調査結果</v>
      </c>
      <c r="AI389" s="1459"/>
      <c r="AJ389" s="1459"/>
      <c r="AK389" s="1459"/>
    </row>
    <row r="390" spans="1:37" s="1457" customFormat="1" ht="18.75" customHeight="1" x14ac:dyDescent="0.15">
      <c r="A390" s="1578"/>
      <c r="B390" s="1462"/>
      <c r="C390" s="1462"/>
      <c r="D390" s="1460">
        <f>'1_入力シート【基本情報】'!$AR$401</f>
        <v>0</v>
      </c>
      <c r="E390" s="1650">
        <f t="shared" si="23"/>
        <v>0</v>
      </c>
      <c r="F390" s="1650" t="str">
        <f t="shared" si="24"/>
        <v>0</v>
      </c>
      <c r="G390" s="1650" t="str">
        <f t="shared" si="25"/>
        <v>0</v>
      </c>
      <c r="H390" s="1468"/>
      <c r="I390" s="1462"/>
      <c r="J390" s="1531"/>
      <c r="K390" s="1462"/>
      <c r="L390" s="1462"/>
      <c r="M390" s="1493"/>
      <c r="N390" s="1462"/>
      <c r="O390" s="1462"/>
      <c r="P390" s="1462"/>
      <c r="Q390" s="1462"/>
      <c r="R390" s="1462"/>
      <c r="S390" s="1462"/>
      <c r="T390" s="1462"/>
      <c r="U390" s="1469">
        <v>23</v>
      </c>
      <c r="V390" s="1486" t="s">
        <v>33</v>
      </c>
      <c r="W390" s="1471" t="s">
        <v>1306</v>
      </c>
      <c r="X390" s="1472" t="s">
        <v>1440</v>
      </c>
      <c r="Y390" s="1473" t="s">
        <v>1306</v>
      </c>
      <c r="Z390" s="1504" t="s">
        <v>1460</v>
      </c>
      <c r="AA390" s="1473" t="s">
        <v>1306</v>
      </c>
      <c r="AB390" s="1470" t="s">
        <v>30</v>
      </c>
      <c r="AC390" s="1499"/>
      <c r="AD390" s="1500"/>
      <c r="AE390" s="1477"/>
      <c r="AF390" s="1477"/>
      <c r="AG390" s="1457" t="str">
        <f t="shared" si="26"/>
        <v>23調査結果-建築物の内部-4（20）-調査者番号</v>
      </c>
      <c r="AI390" s="1459"/>
      <c r="AJ390" s="1459"/>
      <c r="AK390" s="1459"/>
    </row>
    <row r="391" spans="1:37" s="1457" customFormat="1" ht="18.75" customHeight="1" x14ac:dyDescent="0.15">
      <c r="A391" s="1578"/>
      <c r="B391" s="1462"/>
      <c r="C391" s="1462"/>
      <c r="D391" s="1460">
        <f>'1_入力シート【基本情報】'!$AT$401</f>
        <v>0</v>
      </c>
      <c r="E391" s="1650">
        <f t="shared" si="23"/>
        <v>0</v>
      </c>
      <c r="F391" s="1650" t="str">
        <f t="shared" si="24"/>
        <v>0</v>
      </c>
      <c r="G391" s="1650" t="str">
        <f t="shared" si="25"/>
        <v>0</v>
      </c>
      <c r="H391" s="1468"/>
      <c r="I391" s="1462"/>
      <c r="J391" s="1531"/>
      <c r="K391" s="1462"/>
      <c r="L391" s="1462"/>
      <c r="M391" s="1493"/>
      <c r="N391" s="1462"/>
      <c r="O391" s="1462"/>
      <c r="P391" s="1462"/>
      <c r="Q391" s="1462"/>
      <c r="R391" s="1462"/>
      <c r="S391" s="1462"/>
      <c r="T391" s="1462"/>
      <c r="U391" s="1469">
        <v>23</v>
      </c>
      <c r="V391" s="1486" t="s">
        <v>33</v>
      </c>
      <c r="W391" s="1471" t="s">
        <v>1306</v>
      </c>
      <c r="X391" s="1472" t="s">
        <v>1440</v>
      </c>
      <c r="Y391" s="1473" t="s">
        <v>1306</v>
      </c>
      <c r="Z391" s="1504" t="s">
        <v>1460</v>
      </c>
      <c r="AA391" s="1473" t="s">
        <v>1306</v>
      </c>
      <c r="AB391" s="1470" t="s">
        <v>1402</v>
      </c>
      <c r="AC391" s="1499"/>
      <c r="AD391" s="1500"/>
      <c r="AE391" s="1501"/>
      <c r="AF391" s="1501"/>
      <c r="AG391" s="1457" t="str">
        <f t="shared" si="26"/>
        <v>23調査結果-建築物の内部-4（20）-指摘の具体的内容等</v>
      </c>
      <c r="AI391" s="1459"/>
      <c r="AJ391" s="1459"/>
      <c r="AK391" s="1459"/>
    </row>
    <row r="392" spans="1:37" s="1457" customFormat="1" ht="18.75" customHeight="1" x14ac:dyDescent="0.15">
      <c r="A392" s="1578"/>
      <c r="B392" s="1462"/>
      <c r="C392" s="1462"/>
      <c r="D392" s="1460">
        <f>'1_入力シート【基本情報】'!$BD$401</f>
        <v>0</v>
      </c>
      <c r="E392" s="1650">
        <f t="shared" si="23"/>
        <v>0</v>
      </c>
      <c r="F392" s="1650" t="str">
        <f t="shared" si="24"/>
        <v>0</v>
      </c>
      <c r="G392" s="1650" t="str">
        <f t="shared" si="25"/>
        <v>0</v>
      </c>
      <c r="H392" s="1468"/>
      <c r="I392" s="1462"/>
      <c r="J392" s="1531"/>
      <c r="K392" s="1462"/>
      <c r="L392" s="1462"/>
      <c r="M392" s="1493"/>
      <c r="N392" s="1462"/>
      <c r="O392" s="1462"/>
      <c r="P392" s="1462"/>
      <c r="Q392" s="1462"/>
      <c r="R392" s="1462"/>
      <c r="S392" s="1462"/>
      <c r="T392" s="1462"/>
      <c r="U392" s="1469">
        <v>23</v>
      </c>
      <c r="V392" s="1486" t="s">
        <v>33</v>
      </c>
      <c r="W392" s="1471" t="s">
        <v>1306</v>
      </c>
      <c r="X392" s="1472" t="s">
        <v>1440</v>
      </c>
      <c r="Y392" s="1473" t="s">
        <v>1306</v>
      </c>
      <c r="Z392" s="1504" t="s">
        <v>1460</v>
      </c>
      <c r="AA392" s="1473" t="s">
        <v>1306</v>
      </c>
      <c r="AB392" s="1486" t="s">
        <v>1403</v>
      </c>
      <c r="AC392" s="1499"/>
      <c r="AD392" s="1500"/>
      <c r="AE392" s="1501"/>
      <c r="AF392" s="1501"/>
      <c r="AG392" s="1457" t="str">
        <f t="shared" si="26"/>
        <v>23調査結果-建築物の内部-4（20）-改善策の具体的内容等</v>
      </c>
      <c r="AI392" s="1459"/>
      <c r="AJ392" s="1459"/>
      <c r="AK392" s="1459"/>
    </row>
    <row r="393" spans="1:37" s="1457" customFormat="1" ht="18.75" customHeight="1" x14ac:dyDescent="0.15">
      <c r="A393" s="1578"/>
      <c r="B393" s="1462"/>
      <c r="C393" s="1462"/>
      <c r="D393" s="1460">
        <f>'1_入力シート【基本情報】'!$BS$401</f>
        <v>0</v>
      </c>
      <c r="E393" s="1650">
        <f t="shared" si="23"/>
        <v>0</v>
      </c>
      <c r="F393" s="1650" t="str">
        <f t="shared" si="24"/>
        <v>0</v>
      </c>
      <c r="G393" s="1650" t="str">
        <f t="shared" si="25"/>
        <v>0</v>
      </c>
      <c r="H393" s="1468"/>
      <c r="I393" s="1462"/>
      <c r="J393" s="1531"/>
      <c r="K393" s="1462"/>
      <c r="L393" s="1462"/>
      <c r="M393" s="1493"/>
      <c r="N393" s="1462"/>
      <c r="O393" s="1462"/>
      <c r="P393" s="1462"/>
      <c r="Q393" s="1462"/>
      <c r="R393" s="1462"/>
      <c r="S393" s="1462"/>
      <c r="T393" s="1462"/>
      <c r="U393" s="1469">
        <v>23</v>
      </c>
      <c r="V393" s="1486" t="s">
        <v>33</v>
      </c>
      <c r="W393" s="1471" t="s">
        <v>1306</v>
      </c>
      <c r="X393" s="1472" t="s">
        <v>1440</v>
      </c>
      <c r="Y393" s="1473" t="s">
        <v>1306</v>
      </c>
      <c r="Z393" s="1504" t="s">
        <v>1460</v>
      </c>
      <c r="AA393" s="1473" t="s">
        <v>1306</v>
      </c>
      <c r="AB393" s="1486" t="s">
        <v>352</v>
      </c>
      <c r="AC393" s="1499" t="s">
        <v>1366</v>
      </c>
      <c r="AD393" s="1500" t="s">
        <v>1387</v>
      </c>
      <c r="AE393" s="1501"/>
      <c r="AF393" s="1501"/>
      <c r="AG393" s="1457" t="str">
        <f t="shared" si="26"/>
        <v>23調査結果-建築物の内部-4（20）-改善（予定）年月-年（令和）</v>
      </c>
      <c r="AI393" s="1459"/>
      <c r="AJ393" s="1459"/>
      <c r="AK393" s="1459"/>
    </row>
    <row r="394" spans="1:37" s="1457" customFormat="1" ht="18.75" customHeight="1" x14ac:dyDescent="0.15">
      <c r="A394" s="1578"/>
      <c r="B394" s="1462"/>
      <c r="C394" s="1462"/>
      <c r="D394" s="1460">
        <f>'1_入力シート【基本情報】'!$BV$401</f>
        <v>0</v>
      </c>
      <c r="E394" s="1650">
        <f t="shared" si="23"/>
        <v>0</v>
      </c>
      <c r="F394" s="1650" t="str">
        <f t="shared" si="24"/>
        <v>0</v>
      </c>
      <c r="G394" s="1650" t="str">
        <f t="shared" si="25"/>
        <v>0</v>
      </c>
      <c r="H394" s="1468"/>
      <c r="I394" s="1462"/>
      <c r="J394" s="1531"/>
      <c r="K394" s="1462"/>
      <c r="L394" s="1462"/>
      <c r="M394" s="1493"/>
      <c r="N394" s="1462"/>
      <c r="O394" s="1462"/>
      <c r="P394" s="1462"/>
      <c r="Q394" s="1462"/>
      <c r="R394" s="1462"/>
      <c r="S394" s="1462"/>
      <c r="T394" s="1462"/>
      <c r="U394" s="1469">
        <v>23</v>
      </c>
      <c r="V394" s="1486" t="s">
        <v>33</v>
      </c>
      <c r="W394" s="1471" t="s">
        <v>1306</v>
      </c>
      <c r="X394" s="1472" t="s">
        <v>1440</v>
      </c>
      <c r="Y394" s="1473" t="s">
        <v>1306</v>
      </c>
      <c r="Z394" s="1504" t="s">
        <v>1460</v>
      </c>
      <c r="AA394" s="1473" t="s">
        <v>1306</v>
      </c>
      <c r="AB394" s="1486" t="s">
        <v>352</v>
      </c>
      <c r="AC394" s="1499" t="s">
        <v>1366</v>
      </c>
      <c r="AD394" s="1500" t="s">
        <v>348</v>
      </c>
      <c r="AE394" s="1501"/>
      <c r="AF394" s="1501"/>
      <c r="AG394" s="1457" t="str">
        <f t="shared" si="26"/>
        <v>23調査結果-建築物の内部-4（20）-改善（予定）年月-月</v>
      </c>
      <c r="AI394" s="1459"/>
      <c r="AJ394" s="1459"/>
      <c r="AK394" s="1459"/>
    </row>
    <row r="395" spans="1:37" s="1457" customFormat="1" ht="18.75" customHeight="1" x14ac:dyDescent="0.15">
      <c r="A395" s="1578"/>
      <c r="B395" s="1462"/>
      <c r="C395" s="1462"/>
      <c r="D395" s="1460">
        <f>'1_入力シート【基本情報】'!$BY$401</f>
        <v>0</v>
      </c>
      <c r="E395" s="1650">
        <f t="shared" si="23"/>
        <v>0</v>
      </c>
      <c r="F395" s="1650" t="str">
        <f t="shared" si="24"/>
        <v>0</v>
      </c>
      <c r="G395" s="1650" t="str">
        <f t="shared" si="25"/>
        <v>0</v>
      </c>
      <c r="H395" s="1468"/>
      <c r="I395" s="1462"/>
      <c r="J395" s="1531"/>
      <c r="K395" s="1462"/>
      <c r="L395" s="1462"/>
      <c r="M395" s="1493"/>
      <c r="N395" s="1462"/>
      <c r="O395" s="1462"/>
      <c r="P395" s="1462"/>
      <c r="Q395" s="1462"/>
      <c r="R395" s="1462"/>
      <c r="S395" s="1462"/>
      <c r="T395" s="1462"/>
      <c r="U395" s="1469">
        <v>23</v>
      </c>
      <c r="V395" s="1486" t="s">
        <v>33</v>
      </c>
      <c r="W395" s="1471" t="s">
        <v>1306</v>
      </c>
      <c r="X395" s="1472" t="s">
        <v>1440</v>
      </c>
      <c r="Y395" s="1473" t="s">
        <v>1306</v>
      </c>
      <c r="Z395" s="1504" t="s">
        <v>1460</v>
      </c>
      <c r="AA395" s="1473" t="s">
        <v>1306</v>
      </c>
      <c r="AB395" s="1470" t="s">
        <v>352</v>
      </c>
      <c r="AC395" s="1475" t="s">
        <v>1366</v>
      </c>
      <c r="AD395" s="1476" t="s">
        <v>640</v>
      </c>
      <c r="AE395" s="1501"/>
      <c r="AF395" s="1501"/>
      <c r="AG395" s="1457" t="str">
        <f t="shared" si="26"/>
        <v>23調査結果-建築物の内部-4（20）-改善（予定）年月-未定</v>
      </c>
      <c r="AI395" s="1459"/>
      <c r="AJ395" s="1459"/>
      <c r="AK395" s="1459"/>
    </row>
    <row r="396" spans="1:37" s="1457" customFormat="1" ht="18.75" customHeight="1" x14ac:dyDescent="0.15">
      <c r="A396" s="1578"/>
      <c r="B396" s="1462"/>
      <c r="C396" s="1462"/>
      <c r="D396" s="1460">
        <f>'1_入力シート【基本情報】'!$AF$402</f>
        <v>0</v>
      </c>
      <c r="E396" s="1650">
        <f t="shared" si="23"/>
        <v>0</v>
      </c>
      <c r="F396" s="1650" t="str">
        <f t="shared" si="24"/>
        <v>0</v>
      </c>
      <c r="G396" s="1650" t="str">
        <f t="shared" si="25"/>
        <v>0</v>
      </c>
      <c r="H396" s="1468"/>
      <c r="I396" s="1462"/>
      <c r="J396" s="1531"/>
      <c r="K396" s="1462"/>
      <c r="L396" s="1462"/>
      <c r="M396" s="1493"/>
      <c r="N396" s="1462"/>
      <c r="O396" s="1462"/>
      <c r="P396" s="1462"/>
      <c r="Q396" s="1462"/>
      <c r="R396" s="1462"/>
      <c r="S396" s="1462"/>
      <c r="T396" s="1462"/>
      <c r="U396" s="1469">
        <v>23</v>
      </c>
      <c r="V396" s="1486" t="s">
        <v>33</v>
      </c>
      <c r="W396" s="1471" t="s">
        <v>1306</v>
      </c>
      <c r="X396" s="1472" t="s">
        <v>1440</v>
      </c>
      <c r="Y396" s="1473" t="s">
        <v>1306</v>
      </c>
      <c r="Z396" s="1504" t="s">
        <v>1461</v>
      </c>
      <c r="AA396" s="1473" t="s">
        <v>1306</v>
      </c>
      <c r="AB396" s="1470" t="s">
        <v>33</v>
      </c>
      <c r="AC396" s="1499"/>
      <c r="AD396" s="1500"/>
      <c r="AE396" s="1501"/>
      <c r="AF396" s="1501"/>
      <c r="AG396" s="1457" t="str">
        <f t="shared" si="26"/>
        <v>23調査結果-建築物の内部-4（21）-調査結果</v>
      </c>
      <c r="AI396" s="1459"/>
      <c r="AJ396" s="1459"/>
      <c r="AK396" s="1459"/>
    </row>
    <row r="397" spans="1:37" s="1457" customFormat="1" ht="18.75" customHeight="1" x14ac:dyDescent="0.15">
      <c r="A397" s="1578"/>
      <c r="B397" s="1462"/>
      <c r="C397" s="1462"/>
      <c r="D397" s="1460">
        <f>'1_入力シート【基本情報】'!$AR$402</f>
        <v>0</v>
      </c>
      <c r="E397" s="1650">
        <f t="shared" si="23"/>
        <v>0</v>
      </c>
      <c r="F397" s="1650" t="str">
        <f t="shared" si="24"/>
        <v>0</v>
      </c>
      <c r="G397" s="1650" t="str">
        <f t="shared" si="25"/>
        <v>0</v>
      </c>
      <c r="H397" s="1468"/>
      <c r="I397" s="1462"/>
      <c r="J397" s="1531"/>
      <c r="K397" s="1462"/>
      <c r="L397" s="1462"/>
      <c r="M397" s="1493"/>
      <c r="N397" s="1462"/>
      <c r="O397" s="1462"/>
      <c r="P397" s="1462"/>
      <c r="Q397" s="1462"/>
      <c r="R397" s="1462"/>
      <c r="S397" s="1462"/>
      <c r="T397" s="1462"/>
      <c r="U397" s="1469">
        <v>23</v>
      </c>
      <c r="V397" s="1486" t="s">
        <v>33</v>
      </c>
      <c r="W397" s="1471" t="s">
        <v>1306</v>
      </c>
      <c r="X397" s="1472" t="s">
        <v>1440</v>
      </c>
      <c r="Y397" s="1473" t="s">
        <v>1306</v>
      </c>
      <c r="Z397" s="1504" t="s">
        <v>1461</v>
      </c>
      <c r="AA397" s="1473" t="s">
        <v>1306</v>
      </c>
      <c r="AB397" s="1470" t="s">
        <v>30</v>
      </c>
      <c r="AC397" s="1499"/>
      <c r="AD397" s="1500"/>
      <c r="AE397" s="1501"/>
      <c r="AF397" s="1501"/>
      <c r="AG397" s="1457" t="str">
        <f t="shared" si="26"/>
        <v>23調査結果-建築物の内部-4（21）-調査者番号</v>
      </c>
      <c r="AI397" s="1459"/>
      <c r="AJ397" s="1459"/>
      <c r="AK397" s="1459"/>
    </row>
    <row r="398" spans="1:37" s="1457" customFormat="1" ht="18.75" customHeight="1" x14ac:dyDescent="0.15">
      <c r="A398" s="1578"/>
      <c r="B398" s="1462"/>
      <c r="C398" s="1462"/>
      <c r="D398" s="1460">
        <f>'1_入力シート【基本情報】'!$AT$402</f>
        <v>0</v>
      </c>
      <c r="E398" s="1650">
        <f t="shared" si="23"/>
        <v>0</v>
      </c>
      <c r="F398" s="1650" t="str">
        <f t="shared" si="24"/>
        <v>0</v>
      </c>
      <c r="G398" s="1650" t="str">
        <f t="shared" si="25"/>
        <v>0</v>
      </c>
      <c r="H398" s="1468"/>
      <c r="I398" s="1462"/>
      <c r="J398" s="1531"/>
      <c r="K398" s="1462"/>
      <c r="L398" s="1462"/>
      <c r="M398" s="1493"/>
      <c r="N398" s="1462"/>
      <c r="O398" s="1462"/>
      <c r="P398" s="1462"/>
      <c r="Q398" s="1462"/>
      <c r="R398" s="1462"/>
      <c r="S398" s="1462"/>
      <c r="T398" s="1462"/>
      <c r="U398" s="1469">
        <v>23</v>
      </c>
      <c r="V398" s="1486" t="s">
        <v>33</v>
      </c>
      <c r="W398" s="1471" t="s">
        <v>1306</v>
      </c>
      <c r="X398" s="1472" t="s">
        <v>1440</v>
      </c>
      <c r="Y398" s="1473" t="s">
        <v>1306</v>
      </c>
      <c r="Z398" s="1504" t="s">
        <v>1461</v>
      </c>
      <c r="AA398" s="1473" t="s">
        <v>1306</v>
      </c>
      <c r="AB398" s="1470" t="s">
        <v>1402</v>
      </c>
      <c r="AC398" s="1499"/>
      <c r="AD398" s="1500"/>
      <c r="AE398" s="1477"/>
      <c r="AF398" s="1477"/>
      <c r="AG398" s="1457" t="str">
        <f t="shared" si="26"/>
        <v>23調査結果-建築物の内部-4（21）-指摘の具体的内容等</v>
      </c>
      <c r="AI398" s="1459"/>
      <c r="AJ398" s="1459"/>
      <c r="AK398" s="1459"/>
    </row>
    <row r="399" spans="1:37" s="1457" customFormat="1" ht="18.75" customHeight="1" x14ac:dyDescent="0.15">
      <c r="A399" s="1578"/>
      <c r="B399" s="1462"/>
      <c r="C399" s="1462"/>
      <c r="D399" s="1460">
        <f>'1_入力シート【基本情報】'!$BD$402</f>
        <v>0</v>
      </c>
      <c r="E399" s="1650">
        <f t="shared" si="23"/>
        <v>0</v>
      </c>
      <c r="F399" s="1650" t="str">
        <f t="shared" si="24"/>
        <v>0</v>
      </c>
      <c r="G399" s="1650" t="str">
        <f t="shared" si="25"/>
        <v>0</v>
      </c>
      <c r="H399" s="1468"/>
      <c r="I399" s="1462"/>
      <c r="J399" s="1531"/>
      <c r="K399" s="1462"/>
      <c r="L399" s="1462"/>
      <c r="M399" s="1493"/>
      <c r="N399" s="1462"/>
      <c r="O399" s="1462"/>
      <c r="P399" s="1462"/>
      <c r="Q399" s="1462"/>
      <c r="R399" s="1462"/>
      <c r="S399" s="1462"/>
      <c r="T399" s="1462"/>
      <c r="U399" s="1469">
        <v>23</v>
      </c>
      <c r="V399" s="1486" t="s">
        <v>33</v>
      </c>
      <c r="W399" s="1471" t="s">
        <v>1306</v>
      </c>
      <c r="X399" s="1472" t="s">
        <v>1440</v>
      </c>
      <c r="Y399" s="1473" t="s">
        <v>1306</v>
      </c>
      <c r="Z399" s="1504" t="s">
        <v>1461</v>
      </c>
      <c r="AA399" s="1473" t="s">
        <v>1306</v>
      </c>
      <c r="AB399" s="1470" t="s">
        <v>1403</v>
      </c>
      <c r="AC399" s="1499"/>
      <c r="AD399" s="1500"/>
      <c r="AE399" s="1501"/>
      <c r="AF399" s="1501"/>
      <c r="AG399" s="1457" t="str">
        <f t="shared" si="26"/>
        <v>23調査結果-建築物の内部-4（21）-改善策の具体的内容等</v>
      </c>
      <c r="AI399" s="1459"/>
      <c r="AJ399" s="1459"/>
      <c r="AK399" s="1459"/>
    </row>
    <row r="400" spans="1:37" s="1457" customFormat="1" ht="18.75" customHeight="1" x14ac:dyDescent="0.15">
      <c r="A400" s="1578"/>
      <c r="B400" s="1462"/>
      <c r="C400" s="1462"/>
      <c r="D400" s="1460">
        <f>'1_入力シート【基本情報】'!$BS$402</f>
        <v>0</v>
      </c>
      <c r="E400" s="1650">
        <f t="shared" si="23"/>
        <v>0</v>
      </c>
      <c r="F400" s="1650" t="str">
        <f t="shared" si="24"/>
        <v>0</v>
      </c>
      <c r="G400" s="1650" t="str">
        <f t="shared" si="25"/>
        <v>0</v>
      </c>
      <c r="H400" s="1468"/>
      <c r="I400" s="1462"/>
      <c r="J400" s="1531"/>
      <c r="K400" s="1462"/>
      <c r="L400" s="1462"/>
      <c r="M400" s="1493"/>
      <c r="N400" s="1462"/>
      <c r="O400" s="1462"/>
      <c r="P400" s="1462"/>
      <c r="Q400" s="1462"/>
      <c r="R400" s="1462"/>
      <c r="S400" s="1462"/>
      <c r="T400" s="1462"/>
      <c r="U400" s="1469">
        <v>23</v>
      </c>
      <c r="V400" s="1486" t="s">
        <v>33</v>
      </c>
      <c r="W400" s="1471" t="s">
        <v>1306</v>
      </c>
      <c r="X400" s="1472" t="s">
        <v>1440</v>
      </c>
      <c r="Y400" s="1473" t="s">
        <v>1306</v>
      </c>
      <c r="Z400" s="1504" t="s">
        <v>1461</v>
      </c>
      <c r="AA400" s="1473" t="s">
        <v>1306</v>
      </c>
      <c r="AB400" s="1486" t="s">
        <v>352</v>
      </c>
      <c r="AC400" s="1499" t="s">
        <v>1366</v>
      </c>
      <c r="AD400" s="1500" t="s">
        <v>1387</v>
      </c>
      <c r="AE400" s="1501"/>
      <c r="AF400" s="1501"/>
      <c r="AG400" s="1457" t="str">
        <f t="shared" si="26"/>
        <v>23調査結果-建築物の内部-4（21）-改善（予定）年月-年（令和）</v>
      </c>
      <c r="AI400" s="1459"/>
      <c r="AJ400" s="1459"/>
      <c r="AK400" s="1459"/>
    </row>
    <row r="401" spans="1:37" s="1457" customFormat="1" ht="18.75" customHeight="1" x14ac:dyDescent="0.15">
      <c r="A401" s="1578"/>
      <c r="B401" s="1462"/>
      <c r="C401" s="1462"/>
      <c r="D401" s="1460">
        <f>'1_入力シート【基本情報】'!$BV$402</f>
        <v>0</v>
      </c>
      <c r="E401" s="1650">
        <f t="shared" si="23"/>
        <v>0</v>
      </c>
      <c r="F401" s="1650" t="str">
        <f t="shared" si="24"/>
        <v>0</v>
      </c>
      <c r="G401" s="1650" t="str">
        <f t="shared" si="25"/>
        <v>0</v>
      </c>
      <c r="H401" s="1468"/>
      <c r="I401" s="1462"/>
      <c r="J401" s="1531"/>
      <c r="K401" s="1462"/>
      <c r="L401" s="1462"/>
      <c r="M401" s="1493"/>
      <c r="N401" s="1462"/>
      <c r="O401" s="1462"/>
      <c r="P401" s="1462"/>
      <c r="Q401" s="1462"/>
      <c r="R401" s="1462"/>
      <c r="S401" s="1462"/>
      <c r="T401" s="1462"/>
      <c r="U401" s="1469">
        <v>23</v>
      </c>
      <c r="V401" s="1486" t="s">
        <v>33</v>
      </c>
      <c r="W401" s="1471" t="s">
        <v>1306</v>
      </c>
      <c r="X401" s="1472" t="s">
        <v>1440</v>
      </c>
      <c r="Y401" s="1473" t="s">
        <v>1306</v>
      </c>
      <c r="Z401" s="1504" t="s">
        <v>1461</v>
      </c>
      <c r="AA401" s="1473" t="s">
        <v>1306</v>
      </c>
      <c r="AB401" s="1486" t="s">
        <v>352</v>
      </c>
      <c r="AC401" s="1499" t="s">
        <v>1366</v>
      </c>
      <c r="AD401" s="1500" t="s">
        <v>348</v>
      </c>
      <c r="AE401" s="1501"/>
      <c r="AF401" s="1501"/>
      <c r="AG401" s="1457" t="str">
        <f t="shared" si="26"/>
        <v>23調査結果-建築物の内部-4（21）-改善（予定）年月-月</v>
      </c>
      <c r="AI401" s="1459"/>
      <c r="AJ401" s="1459"/>
      <c r="AK401" s="1459"/>
    </row>
    <row r="402" spans="1:37" s="1457" customFormat="1" ht="18.75" customHeight="1" x14ac:dyDescent="0.15">
      <c r="A402" s="1578"/>
      <c r="B402" s="1462"/>
      <c r="C402" s="1462"/>
      <c r="D402" s="1460">
        <f>'1_入力シート【基本情報】'!$BY$402</f>
        <v>0</v>
      </c>
      <c r="E402" s="1650">
        <f t="shared" si="23"/>
        <v>0</v>
      </c>
      <c r="F402" s="1650" t="str">
        <f t="shared" si="24"/>
        <v>0</v>
      </c>
      <c r="G402" s="1650" t="str">
        <f t="shared" si="25"/>
        <v>0</v>
      </c>
      <c r="H402" s="1468"/>
      <c r="I402" s="1462"/>
      <c r="J402" s="1531"/>
      <c r="K402" s="1462"/>
      <c r="L402" s="1462"/>
      <c r="M402" s="1493"/>
      <c r="N402" s="1462"/>
      <c r="O402" s="1462"/>
      <c r="P402" s="1462"/>
      <c r="Q402" s="1462"/>
      <c r="R402" s="1462"/>
      <c r="S402" s="1462"/>
      <c r="T402" s="1462"/>
      <c r="U402" s="1469">
        <v>23</v>
      </c>
      <c r="V402" s="1486" t="s">
        <v>33</v>
      </c>
      <c r="W402" s="1471" t="s">
        <v>1306</v>
      </c>
      <c r="X402" s="1472" t="s">
        <v>1440</v>
      </c>
      <c r="Y402" s="1473" t="s">
        <v>1306</v>
      </c>
      <c r="Z402" s="1504" t="s">
        <v>1461</v>
      </c>
      <c r="AA402" s="1473" t="s">
        <v>1306</v>
      </c>
      <c r="AB402" s="1486" t="s">
        <v>352</v>
      </c>
      <c r="AC402" s="1499" t="s">
        <v>1366</v>
      </c>
      <c r="AD402" s="1500" t="s">
        <v>640</v>
      </c>
      <c r="AE402" s="1501"/>
      <c r="AF402" s="1501"/>
      <c r="AG402" s="1457" t="str">
        <f t="shared" si="26"/>
        <v>23調査結果-建築物の内部-4（21）-改善（予定）年月-未定</v>
      </c>
      <c r="AI402" s="1459"/>
      <c r="AJ402" s="1459"/>
      <c r="AK402" s="1459"/>
    </row>
    <row r="403" spans="1:37" s="1457" customFormat="1" ht="18.75" customHeight="1" x14ac:dyDescent="0.15">
      <c r="A403" s="1578"/>
      <c r="B403" s="1462"/>
      <c r="C403" s="1462"/>
      <c r="D403" s="1460">
        <f>'1_入力シート【基本情報】'!$AF$403</f>
        <v>0</v>
      </c>
      <c r="E403" s="1650">
        <f t="shared" si="23"/>
        <v>0</v>
      </c>
      <c r="F403" s="1650" t="str">
        <f t="shared" si="24"/>
        <v>0</v>
      </c>
      <c r="G403" s="1650" t="str">
        <f t="shared" si="25"/>
        <v>0</v>
      </c>
      <c r="H403" s="1468"/>
      <c r="I403" s="1462"/>
      <c r="J403" s="1531"/>
      <c r="K403" s="1462"/>
      <c r="L403" s="1462"/>
      <c r="M403" s="1493"/>
      <c r="N403" s="1462"/>
      <c r="O403" s="1462"/>
      <c r="P403" s="1462"/>
      <c r="Q403" s="1462"/>
      <c r="R403" s="1462"/>
      <c r="S403" s="1462"/>
      <c r="T403" s="1462"/>
      <c r="U403" s="1469">
        <v>23</v>
      </c>
      <c r="V403" s="1486" t="s">
        <v>33</v>
      </c>
      <c r="W403" s="1471" t="s">
        <v>1306</v>
      </c>
      <c r="X403" s="1472" t="s">
        <v>1440</v>
      </c>
      <c r="Y403" s="1473" t="s">
        <v>1306</v>
      </c>
      <c r="Z403" s="1504" t="s">
        <v>1462</v>
      </c>
      <c r="AA403" s="1473" t="s">
        <v>1306</v>
      </c>
      <c r="AB403" s="1470" t="s">
        <v>33</v>
      </c>
      <c r="AC403" s="1475"/>
      <c r="AD403" s="1476"/>
      <c r="AE403" s="1501"/>
      <c r="AF403" s="1501"/>
      <c r="AG403" s="1457" t="str">
        <f t="shared" si="26"/>
        <v>23調査結果-建築物の内部-4（22）-調査結果</v>
      </c>
      <c r="AI403" s="1459"/>
      <c r="AJ403" s="1459"/>
      <c r="AK403" s="1459"/>
    </row>
    <row r="404" spans="1:37" s="1457" customFormat="1" ht="18.75" customHeight="1" x14ac:dyDescent="0.15">
      <c r="A404" s="1578"/>
      <c r="B404" s="1462"/>
      <c r="C404" s="1462"/>
      <c r="D404" s="1460">
        <f>'1_入力シート【基本情報】'!$AR$403</f>
        <v>0</v>
      </c>
      <c r="E404" s="1650">
        <f t="shared" si="23"/>
        <v>0</v>
      </c>
      <c r="F404" s="1650" t="str">
        <f t="shared" si="24"/>
        <v>0</v>
      </c>
      <c r="G404" s="1650" t="str">
        <f t="shared" si="25"/>
        <v>0</v>
      </c>
      <c r="H404" s="1468"/>
      <c r="I404" s="1462"/>
      <c r="J404" s="1531"/>
      <c r="K404" s="1462"/>
      <c r="L404" s="1462"/>
      <c r="M404" s="1493"/>
      <c r="N404" s="1462"/>
      <c r="O404" s="1462"/>
      <c r="P404" s="1462"/>
      <c r="Q404" s="1462"/>
      <c r="R404" s="1462"/>
      <c r="S404" s="1462"/>
      <c r="T404" s="1462"/>
      <c r="U404" s="1469">
        <v>23</v>
      </c>
      <c r="V404" s="1486" t="s">
        <v>33</v>
      </c>
      <c r="W404" s="1471" t="s">
        <v>1306</v>
      </c>
      <c r="X404" s="1472" t="s">
        <v>1440</v>
      </c>
      <c r="Y404" s="1473" t="s">
        <v>1306</v>
      </c>
      <c r="Z404" s="1504" t="s">
        <v>1462</v>
      </c>
      <c r="AA404" s="1473" t="s">
        <v>1306</v>
      </c>
      <c r="AB404" s="1470" t="s">
        <v>30</v>
      </c>
      <c r="AC404" s="1499"/>
      <c r="AD404" s="1500"/>
      <c r="AE404" s="1501"/>
      <c r="AF404" s="1501"/>
      <c r="AG404" s="1457" t="str">
        <f t="shared" si="26"/>
        <v>23調査結果-建築物の内部-4（22）-調査者番号</v>
      </c>
      <c r="AI404" s="1459"/>
      <c r="AJ404" s="1459"/>
      <c r="AK404" s="1459"/>
    </row>
    <row r="405" spans="1:37" s="1457" customFormat="1" ht="18.75" customHeight="1" x14ac:dyDescent="0.15">
      <c r="A405" s="1578"/>
      <c r="B405" s="1462"/>
      <c r="C405" s="1462"/>
      <c r="D405" s="1460">
        <f>'1_入力シート【基本情報】'!$AT$403</f>
        <v>0</v>
      </c>
      <c r="E405" s="1650">
        <f t="shared" si="23"/>
        <v>0</v>
      </c>
      <c r="F405" s="1650" t="str">
        <f t="shared" si="24"/>
        <v>0</v>
      </c>
      <c r="G405" s="1650" t="str">
        <f t="shared" si="25"/>
        <v>0</v>
      </c>
      <c r="H405" s="1468"/>
      <c r="I405" s="1462"/>
      <c r="J405" s="1531"/>
      <c r="K405" s="1462"/>
      <c r="L405" s="1462"/>
      <c r="M405" s="1493"/>
      <c r="N405" s="1462"/>
      <c r="O405" s="1462"/>
      <c r="P405" s="1462"/>
      <c r="Q405" s="1462"/>
      <c r="R405" s="1462"/>
      <c r="S405" s="1462"/>
      <c r="T405" s="1462"/>
      <c r="U405" s="1469">
        <v>23</v>
      </c>
      <c r="V405" s="1486" t="s">
        <v>33</v>
      </c>
      <c r="W405" s="1471" t="s">
        <v>1306</v>
      </c>
      <c r="X405" s="1472" t="s">
        <v>1440</v>
      </c>
      <c r="Y405" s="1473" t="s">
        <v>1306</v>
      </c>
      <c r="Z405" s="1504" t="s">
        <v>1462</v>
      </c>
      <c r="AA405" s="1473" t="s">
        <v>1306</v>
      </c>
      <c r="AB405" s="1470" t="s">
        <v>1402</v>
      </c>
      <c r="AC405" s="1499"/>
      <c r="AD405" s="1500"/>
      <c r="AE405" s="1501"/>
      <c r="AF405" s="1501"/>
      <c r="AG405" s="1457" t="str">
        <f t="shared" si="26"/>
        <v>23調査結果-建築物の内部-4（22）-指摘の具体的内容等</v>
      </c>
      <c r="AI405" s="1459"/>
      <c r="AJ405" s="1459"/>
      <c r="AK405" s="1459"/>
    </row>
    <row r="406" spans="1:37" s="1457" customFormat="1" ht="18.75" customHeight="1" x14ac:dyDescent="0.15">
      <c r="A406" s="1578"/>
      <c r="B406" s="1462"/>
      <c r="C406" s="1462"/>
      <c r="D406" s="1460">
        <f>'1_入力シート【基本情報】'!$BD$403</f>
        <v>0</v>
      </c>
      <c r="E406" s="1650">
        <f t="shared" si="23"/>
        <v>0</v>
      </c>
      <c r="F406" s="1650" t="str">
        <f t="shared" si="24"/>
        <v>0</v>
      </c>
      <c r="G406" s="1650" t="str">
        <f t="shared" si="25"/>
        <v>0</v>
      </c>
      <c r="H406" s="1468"/>
      <c r="I406" s="1462"/>
      <c r="J406" s="1531"/>
      <c r="K406" s="1462"/>
      <c r="L406" s="1462"/>
      <c r="M406" s="1493"/>
      <c r="N406" s="1462"/>
      <c r="O406" s="1462"/>
      <c r="P406" s="1462"/>
      <c r="Q406" s="1462"/>
      <c r="R406" s="1462"/>
      <c r="S406" s="1462"/>
      <c r="T406" s="1462"/>
      <c r="U406" s="1469">
        <v>23</v>
      </c>
      <c r="V406" s="1486" t="s">
        <v>33</v>
      </c>
      <c r="W406" s="1471" t="s">
        <v>1306</v>
      </c>
      <c r="X406" s="1472" t="s">
        <v>1440</v>
      </c>
      <c r="Y406" s="1473" t="s">
        <v>1306</v>
      </c>
      <c r="Z406" s="1504" t="s">
        <v>1462</v>
      </c>
      <c r="AA406" s="1473" t="s">
        <v>1306</v>
      </c>
      <c r="AB406" s="1470" t="s">
        <v>1403</v>
      </c>
      <c r="AC406" s="1499"/>
      <c r="AD406" s="1500"/>
      <c r="AE406" s="1477"/>
      <c r="AF406" s="1477"/>
      <c r="AG406" s="1457" t="str">
        <f t="shared" si="26"/>
        <v>23調査結果-建築物の内部-4（22）-改善策の具体的内容等</v>
      </c>
      <c r="AI406" s="1459"/>
      <c r="AJ406" s="1459"/>
      <c r="AK406" s="1459"/>
    </row>
    <row r="407" spans="1:37" s="1457" customFormat="1" ht="18.75" customHeight="1" x14ac:dyDescent="0.15">
      <c r="A407" s="1578"/>
      <c r="B407" s="1462"/>
      <c r="C407" s="1462"/>
      <c r="D407" s="1460">
        <f>'1_入力シート【基本情報】'!$BS$403</f>
        <v>0</v>
      </c>
      <c r="E407" s="1650">
        <f t="shared" si="23"/>
        <v>0</v>
      </c>
      <c r="F407" s="1650" t="str">
        <f t="shared" si="24"/>
        <v>0</v>
      </c>
      <c r="G407" s="1650" t="str">
        <f t="shared" si="25"/>
        <v>0</v>
      </c>
      <c r="H407" s="1468"/>
      <c r="I407" s="1462"/>
      <c r="J407" s="1531"/>
      <c r="K407" s="1462"/>
      <c r="L407" s="1462"/>
      <c r="M407" s="1493"/>
      <c r="N407" s="1462"/>
      <c r="O407" s="1462"/>
      <c r="P407" s="1462"/>
      <c r="Q407" s="1462"/>
      <c r="R407" s="1462"/>
      <c r="S407" s="1462"/>
      <c r="T407" s="1462"/>
      <c r="U407" s="1469">
        <v>23</v>
      </c>
      <c r="V407" s="1486" t="s">
        <v>33</v>
      </c>
      <c r="W407" s="1471" t="s">
        <v>1306</v>
      </c>
      <c r="X407" s="1472" t="s">
        <v>1440</v>
      </c>
      <c r="Y407" s="1473" t="s">
        <v>1306</v>
      </c>
      <c r="Z407" s="1504" t="s">
        <v>1462</v>
      </c>
      <c r="AA407" s="1473" t="s">
        <v>1306</v>
      </c>
      <c r="AB407" s="1470" t="s">
        <v>352</v>
      </c>
      <c r="AC407" s="1499" t="s">
        <v>1366</v>
      </c>
      <c r="AD407" s="1500" t="s">
        <v>1387</v>
      </c>
      <c r="AE407" s="1501"/>
      <c r="AF407" s="1501"/>
      <c r="AG407" s="1457" t="str">
        <f t="shared" si="26"/>
        <v>23調査結果-建築物の内部-4（22）-改善（予定）年月-年（令和）</v>
      </c>
      <c r="AI407" s="1459"/>
      <c r="AJ407" s="1459"/>
      <c r="AK407" s="1459"/>
    </row>
    <row r="408" spans="1:37" s="1457" customFormat="1" ht="18.75" customHeight="1" x14ac:dyDescent="0.15">
      <c r="A408" s="1578"/>
      <c r="B408" s="1462"/>
      <c r="C408" s="1462"/>
      <c r="D408" s="1460">
        <f>'1_入力シート【基本情報】'!$BV$403</f>
        <v>0</v>
      </c>
      <c r="E408" s="1650">
        <f t="shared" si="23"/>
        <v>0</v>
      </c>
      <c r="F408" s="1650" t="str">
        <f t="shared" si="24"/>
        <v>0</v>
      </c>
      <c r="G408" s="1650" t="str">
        <f t="shared" si="25"/>
        <v>0</v>
      </c>
      <c r="H408" s="1468"/>
      <c r="I408" s="1462"/>
      <c r="J408" s="1531"/>
      <c r="K408" s="1462"/>
      <c r="L408" s="1462"/>
      <c r="M408" s="1493"/>
      <c r="N408" s="1462"/>
      <c r="O408" s="1462"/>
      <c r="P408" s="1462"/>
      <c r="Q408" s="1462"/>
      <c r="R408" s="1462"/>
      <c r="S408" s="1462"/>
      <c r="T408" s="1462"/>
      <c r="U408" s="1469">
        <v>23</v>
      </c>
      <c r="V408" s="1486" t="s">
        <v>33</v>
      </c>
      <c r="W408" s="1471" t="s">
        <v>1306</v>
      </c>
      <c r="X408" s="1472" t="s">
        <v>1440</v>
      </c>
      <c r="Y408" s="1473" t="s">
        <v>1306</v>
      </c>
      <c r="Z408" s="1504" t="s">
        <v>1462</v>
      </c>
      <c r="AA408" s="1473" t="s">
        <v>1306</v>
      </c>
      <c r="AB408" s="1486" t="s">
        <v>352</v>
      </c>
      <c r="AC408" s="1499" t="s">
        <v>1366</v>
      </c>
      <c r="AD408" s="1500" t="s">
        <v>348</v>
      </c>
      <c r="AE408" s="1501"/>
      <c r="AF408" s="1501"/>
      <c r="AG408" s="1457" t="str">
        <f t="shared" si="26"/>
        <v>23調査結果-建築物の内部-4（22）-改善（予定）年月-月</v>
      </c>
      <c r="AI408" s="1459"/>
      <c r="AJ408" s="1459"/>
      <c r="AK408" s="1459"/>
    </row>
    <row r="409" spans="1:37" s="1457" customFormat="1" ht="18.75" customHeight="1" x14ac:dyDescent="0.15">
      <c r="A409" s="1578"/>
      <c r="B409" s="1462"/>
      <c r="C409" s="1462"/>
      <c r="D409" s="1460">
        <f>'1_入力シート【基本情報】'!$BY$403</f>
        <v>0</v>
      </c>
      <c r="E409" s="1650">
        <f t="shared" si="23"/>
        <v>0</v>
      </c>
      <c r="F409" s="1650" t="str">
        <f t="shared" si="24"/>
        <v>0</v>
      </c>
      <c r="G409" s="1650" t="str">
        <f t="shared" si="25"/>
        <v>0</v>
      </c>
      <c r="H409" s="1468"/>
      <c r="I409" s="1462"/>
      <c r="J409" s="1531"/>
      <c r="K409" s="1462"/>
      <c r="L409" s="1462"/>
      <c r="M409" s="1493"/>
      <c r="N409" s="1462"/>
      <c r="O409" s="1462"/>
      <c r="P409" s="1462"/>
      <c r="Q409" s="1462"/>
      <c r="R409" s="1462"/>
      <c r="S409" s="1462"/>
      <c r="T409" s="1462"/>
      <c r="U409" s="1469">
        <v>23</v>
      </c>
      <c r="V409" s="1486" t="s">
        <v>33</v>
      </c>
      <c r="W409" s="1471" t="s">
        <v>1306</v>
      </c>
      <c r="X409" s="1472" t="s">
        <v>1440</v>
      </c>
      <c r="Y409" s="1473" t="s">
        <v>1306</v>
      </c>
      <c r="Z409" s="1504" t="s">
        <v>1462</v>
      </c>
      <c r="AA409" s="1473" t="s">
        <v>1306</v>
      </c>
      <c r="AB409" s="1486" t="s">
        <v>352</v>
      </c>
      <c r="AC409" s="1499" t="s">
        <v>1366</v>
      </c>
      <c r="AD409" s="1500" t="s">
        <v>640</v>
      </c>
      <c r="AE409" s="1501"/>
      <c r="AF409" s="1501"/>
      <c r="AG409" s="1457" t="str">
        <f t="shared" si="26"/>
        <v>23調査結果-建築物の内部-4（22）-改善（予定）年月-未定</v>
      </c>
      <c r="AI409" s="1459"/>
      <c r="AJ409" s="1459"/>
      <c r="AK409" s="1459"/>
    </row>
    <row r="410" spans="1:37" s="1457" customFormat="1" ht="18.75" customHeight="1" x14ac:dyDescent="0.15">
      <c r="A410" s="1578"/>
      <c r="B410" s="1462"/>
      <c r="C410" s="1462"/>
      <c r="D410" s="1460">
        <f>'1_入力シート【基本情報】'!$AF$404</f>
        <v>0</v>
      </c>
      <c r="E410" s="1650">
        <f t="shared" si="23"/>
        <v>0</v>
      </c>
      <c r="F410" s="1650" t="str">
        <f t="shared" si="24"/>
        <v>0</v>
      </c>
      <c r="G410" s="1650" t="str">
        <f t="shared" si="25"/>
        <v>0</v>
      </c>
      <c r="H410" s="1468"/>
      <c r="I410" s="1462"/>
      <c r="J410" s="1531"/>
      <c r="K410" s="1462"/>
      <c r="L410" s="1462"/>
      <c r="M410" s="1493"/>
      <c r="N410" s="1462"/>
      <c r="O410" s="1462"/>
      <c r="P410" s="1462"/>
      <c r="Q410" s="1462"/>
      <c r="R410" s="1462"/>
      <c r="S410" s="1462"/>
      <c r="T410" s="1462"/>
      <c r="U410" s="1469">
        <v>23</v>
      </c>
      <c r="V410" s="1486" t="s">
        <v>33</v>
      </c>
      <c r="W410" s="1471" t="s">
        <v>1306</v>
      </c>
      <c r="X410" s="1472" t="s">
        <v>1440</v>
      </c>
      <c r="Y410" s="1473" t="s">
        <v>1306</v>
      </c>
      <c r="Z410" s="1504" t="s">
        <v>1463</v>
      </c>
      <c r="AA410" s="1473" t="s">
        <v>1306</v>
      </c>
      <c r="AB410" s="1486" t="s">
        <v>33</v>
      </c>
      <c r="AC410" s="1499"/>
      <c r="AD410" s="1500"/>
      <c r="AE410" s="1501"/>
      <c r="AF410" s="1501"/>
      <c r="AG410" s="1457" t="str">
        <f t="shared" si="26"/>
        <v>23調査結果-建築物の内部-4（23）-調査結果</v>
      </c>
      <c r="AI410" s="1459"/>
      <c r="AJ410" s="1459"/>
      <c r="AK410" s="1459"/>
    </row>
    <row r="411" spans="1:37" s="1457" customFormat="1" ht="18.75" customHeight="1" x14ac:dyDescent="0.15">
      <c r="A411" s="1578"/>
      <c r="B411" s="1462"/>
      <c r="C411" s="1462"/>
      <c r="D411" s="1460">
        <f>'1_入力シート【基本情報】'!$AR$404</f>
        <v>0</v>
      </c>
      <c r="E411" s="1650">
        <f t="shared" ref="E411:E474" si="27">D411</f>
        <v>0</v>
      </c>
      <c r="F411" s="1650" t="str">
        <f t="shared" ref="F411:F474" si="28">SUBSTITUTE(E411,CHAR(10),"")</f>
        <v>0</v>
      </c>
      <c r="G411" s="1650" t="str">
        <f t="shared" ref="G411:G474" si="29">TRIM(F411)</f>
        <v>0</v>
      </c>
      <c r="H411" s="1468"/>
      <c r="I411" s="1462"/>
      <c r="J411" s="1531"/>
      <c r="K411" s="1462"/>
      <c r="L411" s="1462"/>
      <c r="M411" s="1493"/>
      <c r="N411" s="1462"/>
      <c r="O411" s="1462"/>
      <c r="P411" s="1462"/>
      <c r="Q411" s="1462"/>
      <c r="R411" s="1462"/>
      <c r="S411" s="1462"/>
      <c r="T411" s="1462"/>
      <c r="U411" s="1469">
        <v>23</v>
      </c>
      <c r="V411" s="1486" t="s">
        <v>33</v>
      </c>
      <c r="W411" s="1471" t="s">
        <v>1306</v>
      </c>
      <c r="X411" s="1472" t="s">
        <v>1440</v>
      </c>
      <c r="Y411" s="1473" t="s">
        <v>1306</v>
      </c>
      <c r="Z411" s="1504" t="s">
        <v>1463</v>
      </c>
      <c r="AA411" s="1473" t="s">
        <v>1306</v>
      </c>
      <c r="AB411" s="1470" t="s">
        <v>30</v>
      </c>
      <c r="AC411" s="1475"/>
      <c r="AD411" s="1476"/>
      <c r="AE411" s="1501"/>
      <c r="AF411" s="1501"/>
      <c r="AG411" s="1457" t="str">
        <f t="shared" si="26"/>
        <v>23調査結果-建築物の内部-4（23）-調査者番号</v>
      </c>
      <c r="AI411" s="1459"/>
      <c r="AJ411" s="1459"/>
      <c r="AK411" s="1459"/>
    </row>
    <row r="412" spans="1:37" s="1457" customFormat="1" ht="18.75" customHeight="1" x14ac:dyDescent="0.15">
      <c r="A412" s="1578"/>
      <c r="B412" s="1462"/>
      <c r="C412" s="1462"/>
      <c r="D412" s="1460">
        <f>'1_入力シート【基本情報】'!$AT$404</f>
        <v>0</v>
      </c>
      <c r="E412" s="1650">
        <f t="shared" si="27"/>
        <v>0</v>
      </c>
      <c r="F412" s="1650" t="str">
        <f t="shared" si="28"/>
        <v>0</v>
      </c>
      <c r="G412" s="1650" t="str">
        <f t="shared" si="29"/>
        <v>0</v>
      </c>
      <c r="H412" s="1468"/>
      <c r="I412" s="1462"/>
      <c r="J412" s="1531"/>
      <c r="K412" s="1462"/>
      <c r="L412" s="1462"/>
      <c r="M412" s="1493"/>
      <c r="N412" s="1462"/>
      <c r="O412" s="1462"/>
      <c r="P412" s="1462"/>
      <c r="Q412" s="1462"/>
      <c r="R412" s="1462"/>
      <c r="S412" s="1462"/>
      <c r="T412" s="1462"/>
      <c r="U412" s="1469">
        <v>23</v>
      </c>
      <c r="V412" s="1486" t="s">
        <v>33</v>
      </c>
      <c r="W412" s="1471" t="s">
        <v>1306</v>
      </c>
      <c r="X412" s="1472" t="s">
        <v>1440</v>
      </c>
      <c r="Y412" s="1473" t="s">
        <v>1306</v>
      </c>
      <c r="Z412" s="1504" t="s">
        <v>1463</v>
      </c>
      <c r="AA412" s="1473" t="s">
        <v>1306</v>
      </c>
      <c r="AB412" s="1470" t="s">
        <v>1402</v>
      </c>
      <c r="AC412" s="1499"/>
      <c r="AD412" s="1500"/>
      <c r="AE412" s="1501"/>
      <c r="AF412" s="1501"/>
      <c r="AG412" s="1457" t="str">
        <f t="shared" si="26"/>
        <v>23調査結果-建築物の内部-4（23）-指摘の具体的内容等</v>
      </c>
      <c r="AI412" s="1459"/>
      <c r="AJ412" s="1459"/>
      <c r="AK412" s="1459"/>
    </row>
    <row r="413" spans="1:37" s="1457" customFormat="1" ht="18.75" customHeight="1" x14ac:dyDescent="0.15">
      <c r="A413" s="1578"/>
      <c r="B413" s="1462"/>
      <c r="C413" s="1462"/>
      <c r="D413" s="1460">
        <f>'1_入力シート【基本情報】'!$BD$404</f>
        <v>0</v>
      </c>
      <c r="E413" s="1650">
        <f t="shared" si="27"/>
        <v>0</v>
      </c>
      <c r="F413" s="1650" t="str">
        <f t="shared" si="28"/>
        <v>0</v>
      </c>
      <c r="G413" s="1650" t="str">
        <f t="shared" si="29"/>
        <v>0</v>
      </c>
      <c r="H413" s="1468"/>
      <c r="I413" s="1462"/>
      <c r="J413" s="1531"/>
      <c r="K413" s="1462"/>
      <c r="L413" s="1462"/>
      <c r="M413" s="1493"/>
      <c r="N413" s="1462"/>
      <c r="O413" s="1462"/>
      <c r="P413" s="1462"/>
      <c r="Q413" s="1462"/>
      <c r="R413" s="1462"/>
      <c r="S413" s="1462"/>
      <c r="T413" s="1462"/>
      <c r="U413" s="1469">
        <v>23</v>
      </c>
      <c r="V413" s="1486" t="s">
        <v>33</v>
      </c>
      <c r="W413" s="1471" t="s">
        <v>1306</v>
      </c>
      <c r="X413" s="1472" t="s">
        <v>1440</v>
      </c>
      <c r="Y413" s="1473" t="s">
        <v>1306</v>
      </c>
      <c r="Z413" s="1504" t="s">
        <v>1463</v>
      </c>
      <c r="AA413" s="1473" t="s">
        <v>1306</v>
      </c>
      <c r="AB413" s="1470" t="s">
        <v>1403</v>
      </c>
      <c r="AC413" s="1499"/>
      <c r="AD413" s="1500"/>
      <c r="AE413" s="1501"/>
      <c r="AF413" s="1501"/>
      <c r="AG413" s="1457" t="str">
        <f t="shared" si="26"/>
        <v>23調査結果-建築物の内部-4（23）-改善策の具体的内容等</v>
      </c>
      <c r="AI413" s="1459"/>
      <c r="AJ413" s="1459"/>
      <c r="AK413" s="1459"/>
    </row>
    <row r="414" spans="1:37" s="1457" customFormat="1" ht="18.75" customHeight="1" x14ac:dyDescent="0.15">
      <c r="A414" s="1578"/>
      <c r="B414" s="1462"/>
      <c r="C414" s="1462"/>
      <c r="D414" s="1460">
        <f>'1_入力シート【基本情報】'!$BS$404</f>
        <v>0</v>
      </c>
      <c r="E414" s="1650">
        <f t="shared" si="27"/>
        <v>0</v>
      </c>
      <c r="F414" s="1650" t="str">
        <f t="shared" si="28"/>
        <v>0</v>
      </c>
      <c r="G414" s="1650" t="str">
        <f t="shared" si="29"/>
        <v>0</v>
      </c>
      <c r="H414" s="1468"/>
      <c r="I414" s="1462"/>
      <c r="J414" s="1531"/>
      <c r="K414" s="1462"/>
      <c r="L414" s="1462"/>
      <c r="M414" s="1493"/>
      <c r="N414" s="1462"/>
      <c r="O414" s="1462"/>
      <c r="P414" s="1462"/>
      <c r="Q414" s="1462"/>
      <c r="R414" s="1462"/>
      <c r="S414" s="1462"/>
      <c r="T414" s="1462"/>
      <c r="U414" s="1469">
        <v>23</v>
      </c>
      <c r="V414" s="1486" t="s">
        <v>33</v>
      </c>
      <c r="W414" s="1471" t="s">
        <v>1306</v>
      </c>
      <c r="X414" s="1472" t="s">
        <v>1440</v>
      </c>
      <c r="Y414" s="1473" t="s">
        <v>1306</v>
      </c>
      <c r="Z414" s="1504" t="s">
        <v>1463</v>
      </c>
      <c r="AA414" s="1473" t="s">
        <v>1306</v>
      </c>
      <c r="AB414" s="1470" t="s">
        <v>352</v>
      </c>
      <c r="AC414" s="1499" t="s">
        <v>1366</v>
      </c>
      <c r="AD414" s="1500" t="s">
        <v>1387</v>
      </c>
      <c r="AE414" s="1477"/>
      <c r="AF414" s="1477"/>
      <c r="AG414" s="1457" t="str">
        <f t="shared" si="26"/>
        <v>23調査結果-建築物の内部-4（23）-改善（予定）年月-年（令和）</v>
      </c>
      <c r="AI414" s="1459"/>
      <c r="AJ414" s="1459"/>
      <c r="AK414" s="1459"/>
    </row>
    <row r="415" spans="1:37" s="1457" customFormat="1" ht="18.75" customHeight="1" x14ac:dyDescent="0.15">
      <c r="A415" s="1578"/>
      <c r="B415" s="1462"/>
      <c r="C415" s="1462"/>
      <c r="D415" s="1460">
        <f>'1_入力シート【基本情報】'!$BV$404</f>
        <v>0</v>
      </c>
      <c r="E415" s="1650">
        <f t="shared" si="27"/>
        <v>0</v>
      </c>
      <c r="F415" s="1650" t="str">
        <f t="shared" si="28"/>
        <v>0</v>
      </c>
      <c r="G415" s="1650" t="str">
        <f t="shared" si="29"/>
        <v>0</v>
      </c>
      <c r="H415" s="1468"/>
      <c r="I415" s="1462"/>
      <c r="J415" s="1531"/>
      <c r="K415" s="1462"/>
      <c r="L415" s="1462"/>
      <c r="M415" s="1493"/>
      <c r="N415" s="1462"/>
      <c r="O415" s="1462"/>
      <c r="P415" s="1462"/>
      <c r="Q415" s="1462"/>
      <c r="R415" s="1462"/>
      <c r="S415" s="1462"/>
      <c r="T415" s="1462"/>
      <c r="U415" s="1469">
        <v>23</v>
      </c>
      <c r="V415" s="1486" t="s">
        <v>33</v>
      </c>
      <c r="W415" s="1471" t="s">
        <v>1306</v>
      </c>
      <c r="X415" s="1472" t="s">
        <v>1440</v>
      </c>
      <c r="Y415" s="1473" t="s">
        <v>1306</v>
      </c>
      <c r="Z415" s="1504" t="s">
        <v>1463</v>
      </c>
      <c r="AA415" s="1473" t="s">
        <v>1306</v>
      </c>
      <c r="AB415" s="1470" t="s">
        <v>352</v>
      </c>
      <c r="AC415" s="1499" t="s">
        <v>1366</v>
      </c>
      <c r="AD415" s="1500" t="s">
        <v>348</v>
      </c>
      <c r="AE415" s="1501"/>
      <c r="AF415" s="1501"/>
      <c r="AG415" s="1457" t="str">
        <f t="shared" si="26"/>
        <v>23調査結果-建築物の内部-4（23）-改善（予定）年月-月</v>
      </c>
      <c r="AI415" s="1459"/>
      <c r="AJ415" s="1459"/>
      <c r="AK415" s="1459"/>
    </row>
    <row r="416" spans="1:37" s="1457" customFormat="1" ht="18.75" customHeight="1" x14ac:dyDescent="0.15">
      <c r="A416" s="1578"/>
      <c r="B416" s="1462"/>
      <c r="C416" s="1462"/>
      <c r="D416" s="1460">
        <f>'1_入力シート【基本情報】'!$BY$404</f>
        <v>0</v>
      </c>
      <c r="E416" s="1650">
        <f t="shared" si="27"/>
        <v>0</v>
      </c>
      <c r="F416" s="1650" t="str">
        <f t="shared" si="28"/>
        <v>0</v>
      </c>
      <c r="G416" s="1650" t="str">
        <f t="shared" si="29"/>
        <v>0</v>
      </c>
      <c r="H416" s="1468"/>
      <c r="I416" s="1462"/>
      <c r="J416" s="1531"/>
      <c r="K416" s="1462"/>
      <c r="L416" s="1462"/>
      <c r="M416" s="1493"/>
      <c r="N416" s="1462"/>
      <c r="O416" s="1462"/>
      <c r="P416" s="1462"/>
      <c r="Q416" s="1462"/>
      <c r="R416" s="1462"/>
      <c r="S416" s="1462"/>
      <c r="T416" s="1462"/>
      <c r="U416" s="1469">
        <v>23</v>
      </c>
      <c r="V416" s="1486" t="s">
        <v>33</v>
      </c>
      <c r="W416" s="1471" t="s">
        <v>1306</v>
      </c>
      <c r="X416" s="1472" t="s">
        <v>1440</v>
      </c>
      <c r="Y416" s="1473" t="s">
        <v>1306</v>
      </c>
      <c r="Z416" s="1504" t="s">
        <v>1463</v>
      </c>
      <c r="AA416" s="1473" t="s">
        <v>1306</v>
      </c>
      <c r="AB416" s="1486" t="s">
        <v>352</v>
      </c>
      <c r="AC416" s="1499" t="s">
        <v>1366</v>
      </c>
      <c r="AD416" s="1500" t="s">
        <v>640</v>
      </c>
      <c r="AE416" s="1501"/>
      <c r="AF416" s="1501"/>
      <c r="AG416" s="1457" t="str">
        <f t="shared" si="26"/>
        <v>23調査結果-建築物の内部-4（23）-改善（予定）年月-未定</v>
      </c>
      <c r="AI416" s="1459"/>
      <c r="AJ416" s="1459"/>
      <c r="AK416" s="1459"/>
    </row>
    <row r="417" spans="1:37" s="1457" customFormat="1" ht="18.75" customHeight="1" x14ac:dyDescent="0.15">
      <c r="A417" s="1578"/>
      <c r="B417" s="1462"/>
      <c r="C417" s="1462"/>
      <c r="D417" s="1460">
        <f>'1_入力シート【基本情報】'!$AF$405</f>
        <v>0</v>
      </c>
      <c r="E417" s="1650">
        <f t="shared" si="27"/>
        <v>0</v>
      </c>
      <c r="F417" s="1650" t="str">
        <f t="shared" si="28"/>
        <v>0</v>
      </c>
      <c r="G417" s="1650" t="str">
        <f t="shared" si="29"/>
        <v>0</v>
      </c>
      <c r="H417" s="1468"/>
      <c r="I417" s="1462"/>
      <c r="J417" s="1531"/>
      <c r="K417" s="1462"/>
      <c r="L417" s="1462"/>
      <c r="M417" s="1493"/>
      <c r="N417" s="1462"/>
      <c r="O417" s="1462"/>
      <c r="P417" s="1462"/>
      <c r="Q417" s="1462"/>
      <c r="R417" s="1462"/>
      <c r="S417" s="1462"/>
      <c r="T417" s="1462"/>
      <c r="U417" s="1469">
        <v>23</v>
      </c>
      <c r="V417" s="1486" t="s">
        <v>33</v>
      </c>
      <c r="W417" s="1471" t="s">
        <v>1306</v>
      </c>
      <c r="X417" s="1472" t="s">
        <v>1440</v>
      </c>
      <c r="Y417" s="1473" t="s">
        <v>1306</v>
      </c>
      <c r="Z417" s="1504" t="s">
        <v>1464</v>
      </c>
      <c r="AA417" s="1473" t="s">
        <v>1306</v>
      </c>
      <c r="AB417" s="1486" t="s">
        <v>33</v>
      </c>
      <c r="AC417" s="1499"/>
      <c r="AD417" s="1500"/>
      <c r="AE417" s="1501"/>
      <c r="AF417" s="1501"/>
      <c r="AG417" s="1457" t="str">
        <f t="shared" si="26"/>
        <v>23調査結果-建築物の内部-4（24）-調査結果</v>
      </c>
      <c r="AI417" s="1459"/>
      <c r="AJ417" s="1459"/>
      <c r="AK417" s="1459"/>
    </row>
    <row r="418" spans="1:37" s="1457" customFormat="1" ht="18.75" customHeight="1" x14ac:dyDescent="0.15">
      <c r="A418" s="1578"/>
      <c r="B418" s="1462"/>
      <c r="C418" s="1462"/>
      <c r="D418" s="1460">
        <f>'1_入力シート【基本情報】'!$AR$405</f>
        <v>0</v>
      </c>
      <c r="E418" s="1650">
        <f t="shared" si="27"/>
        <v>0</v>
      </c>
      <c r="F418" s="1650" t="str">
        <f t="shared" si="28"/>
        <v>0</v>
      </c>
      <c r="G418" s="1650" t="str">
        <f t="shared" si="29"/>
        <v>0</v>
      </c>
      <c r="H418" s="1468"/>
      <c r="I418" s="1462"/>
      <c r="J418" s="1531"/>
      <c r="K418" s="1462"/>
      <c r="L418" s="1462"/>
      <c r="M418" s="1493"/>
      <c r="N418" s="1462"/>
      <c r="O418" s="1462"/>
      <c r="P418" s="1462"/>
      <c r="Q418" s="1462"/>
      <c r="R418" s="1462"/>
      <c r="S418" s="1462"/>
      <c r="T418" s="1462"/>
      <c r="U418" s="1469">
        <v>23</v>
      </c>
      <c r="V418" s="1486" t="s">
        <v>33</v>
      </c>
      <c r="W418" s="1471" t="s">
        <v>1306</v>
      </c>
      <c r="X418" s="1472" t="s">
        <v>1440</v>
      </c>
      <c r="Y418" s="1473" t="s">
        <v>1306</v>
      </c>
      <c r="Z418" s="1504" t="s">
        <v>1464</v>
      </c>
      <c r="AA418" s="1473" t="s">
        <v>1306</v>
      </c>
      <c r="AB418" s="1486" t="s">
        <v>30</v>
      </c>
      <c r="AC418" s="1499"/>
      <c r="AD418" s="1500"/>
      <c r="AE418" s="1501"/>
      <c r="AF418" s="1501"/>
      <c r="AG418" s="1457" t="str">
        <f t="shared" si="26"/>
        <v>23調査結果-建築物の内部-4（24）-調査者番号</v>
      </c>
      <c r="AI418" s="1459"/>
      <c r="AJ418" s="1459"/>
      <c r="AK418" s="1459"/>
    </row>
    <row r="419" spans="1:37" s="1457" customFormat="1" ht="18.75" customHeight="1" x14ac:dyDescent="0.15">
      <c r="A419" s="1578"/>
      <c r="B419" s="1462"/>
      <c r="C419" s="1462"/>
      <c r="D419" s="1460">
        <f>'1_入力シート【基本情報】'!$AT$405</f>
        <v>0</v>
      </c>
      <c r="E419" s="1650">
        <f t="shared" si="27"/>
        <v>0</v>
      </c>
      <c r="F419" s="1650" t="str">
        <f t="shared" si="28"/>
        <v>0</v>
      </c>
      <c r="G419" s="1650" t="str">
        <f t="shared" si="29"/>
        <v>0</v>
      </c>
      <c r="H419" s="1468"/>
      <c r="I419" s="1462"/>
      <c r="J419" s="1531"/>
      <c r="K419" s="1462"/>
      <c r="L419" s="1462"/>
      <c r="M419" s="1493"/>
      <c r="N419" s="1462"/>
      <c r="O419" s="1462"/>
      <c r="P419" s="1462"/>
      <c r="Q419" s="1462"/>
      <c r="R419" s="1462"/>
      <c r="S419" s="1462"/>
      <c r="T419" s="1462"/>
      <c r="U419" s="1469">
        <v>23</v>
      </c>
      <c r="V419" s="1486" t="s">
        <v>33</v>
      </c>
      <c r="W419" s="1471" t="s">
        <v>1306</v>
      </c>
      <c r="X419" s="1472" t="s">
        <v>1440</v>
      </c>
      <c r="Y419" s="1473" t="s">
        <v>1306</v>
      </c>
      <c r="Z419" s="1504" t="s">
        <v>1464</v>
      </c>
      <c r="AA419" s="1473" t="s">
        <v>1306</v>
      </c>
      <c r="AB419" s="1470" t="s">
        <v>1402</v>
      </c>
      <c r="AC419" s="1475"/>
      <c r="AD419" s="1476"/>
      <c r="AE419" s="1501"/>
      <c r="AF419" s="1501"/>
      <c r="AG419" s="1457" t="str">
        <f t="shared" si="26"/>
        <v>23調査結果-建築物の内部-4（24）-指摘の具体的内容等</v>
      </c>
      <c r="AI419" s="1459"/>
      <c r="AJ419" s="1459"/>
      <c r="AK419" s="1459"/>
    </row>
    <row r="420" spans="1:37" s="1457" customFormat="1" ht="18.75" customHeight="1" x14ac:dyDescent="0.15">
      <c r="A420" s="1578"/>
      <c r="B420" s="1462"/>
      <c r="C420" s="1462"/>
      <c r="D420" s="1460">
        <f>'1_入力シート【基本情報】'!$BD$405</f>
        <v>0</v>
      </c>
      <c r="E420" s="1650">
        <f t="shared" si="27"/>
        <v>0</v>
      </c>
      <c r="F420" s="1650" t="str">
        <f t="shared" si="28"/>
        <v>0</v>
      </c>
      <c r="G420" s="1650" t="str">
        <f t="shared" si="29"/>
        <v>0</v>
      </c>
      <c r="H420" s="1468"/>
      <c r="I420" s="1462"/>
      <c r="J420" s="1531"/>
      <c r="K420" s="1462"/>
      <c r="L420" s="1462"/>
      <c r="M420" s="1493"/>
      <c r="N420" s="1462"/>
      <c r="O420" s="1462"/>
      <c r="P420" s="1462"/>
      <c r="Q420" s="1462"/>
      <c r="R420" s="1462"/>
      <c r="S420" s="1462"/>
      <c r="T420" s="1462"/>
      <c r="U420" s="1469">
        <v>23</v>
      </c>
      <c r="V420" s="1486" t="s">
        <v>33</v>
      </c>
      <c r="W420" s="1471" t="s">
        <v>1306</v>
      </c>
      <c r="X420" s="1472" t="s">
        <v>1440</v>
      </c>
      <c r="Y420" s="1473" t="s">
        <v>1306</v>
      </c>
      <c r="Z420" s="1504" t="s">
        <v>1464</v>
      </c>
      <c r="AA420" s="1473" t="s">
        <v>1306</v>
      </c>
      <c r="AB420" s="1470" t="s">
        <v>1403</v>
      </c>
      <c r="AC420" s="1499"/>
      <c r="AD420" s="1500"/>
      <c r="AE420" s="1501"/>
      <c r="AF420" s="1501"/>
      <c r="AG420" s="1457" t="str">
        <f t="shared" si="26"/>
        <v>23調査結果-建築物の内部-4（24）-改善策の具体的内容等</v>
      </c>
      <c r="AI420" s="1459"/>
      <c r="AJ420" s="1459"/>
      <c r="AK420" s="1459"/>
    </row>
    <row r="421" spans="1:37" s="1457" customFormat="1" ht="18.75" customHeight="1" x14ac:dyDescent="0.15">
      <c r="A421" s="1578"/>
      <c r="B421" s="1462"/>
      <c r="C421" s="1462"/>
      <c r="D421" s="1460">
        <f>'1_入力シート【基本情報】'!$BS$405</f>
        <v>0</v>
      </c>
      <c r="E421" s="1650">
        <f t="shared" si="27"/>
        <v>0</v>
      </c>
      <c r="F421" s="1650" t="str">
        <f t="shared" si="28"/>
        <v>0</v>
      </c>
      <c r="G421" s="1650" t="str">
        <f t="shared" si="29"/>
        <v>0</v>
      </c>
      <c r="H421" s="1468"/>
      <c r="I421" s="1462"/>
      <c r="J421" s="1531"/>
      <c r="K421" s="1462"/>
      <c r="L421" s="1462"/>
      <c r="M421" s="1493"/>
      <c r="N421" s="1462"/>
      <c r="O421" s="1462"/>
      <c r="P421" s="1462"/>
      <c r="Q421" s="1462"/>
      <c r="R421" s="1462"/>
      <c r="S421" s="1462"/>
      <c r="T421" s="1462"/>
      <c r="U421" s="1469">
        <v>23</v>
      </c>
      <c r="V421" s="1486" t="s">
        <v>33</v>
      </c>
      <c r="W421" s="1471" t="s">
        <v>1306</v>
      </c>
      <c r="X421" s="1472" t="s">
        <v>1440</v>
      </c>
      <c r="Y421" s="1473" t="s">
        <v>1306</v>
      </c>
      <c r="Z421" s="1504" t="s">
        <v>1464</v>
      </c>
      <c r="AA421" s="1473" t="s">
        <v>1306</v>
      </c>
      <c r="AB421" s="1470" t="s">
        <v>352</v>
      </c>
      <c r="AC421" s="1499" t="s">
        <v>1366</v>
      </c>
      <c r="AD421" s="1500" t="s">
        <v>1387</v>
      </c>
      <c r="AE421" s="1501"/>
      <c r="AF421" s="1501"/>
      <c r="AG421" s="1457" t="str">
        <f t="shared" si="26"/>
        <v>23調査結果-建築物の内部-4（24）-改善（予定）年月-年（令和）</v>
      </c>
      <c r="AI421" s="1459"/>
      <c r="AJ421" s="1459"/>
      <c r="AK421" s="1459"/>
    </row>
    <row r="422" spans="1:37" s="1457" customFormat="1" ht="18.75" customHeight="1" x14ac:dyDescent="0.15">
      <c r="A422" s="1578"/>
      <c r="B422" s="1462"/>
      <c r="C422" s="1462"/>
      <c r="D422" s="1460">
        <f>'1_入力シート【基本情報】'!$BV$405</f>
        <v>0</v>
      </c>
      <c r="E422" s="1650">
        <f t="shared" si="27"/>
        <v>0</v>
      </c>
      <c r="F422" s="1650" t="str">
        <f t="shared" si="28"/>
        <v>0</v>
      </c>
      <c r="G422" s="1650" t="str">
        <f t="shared" si="29"/>
        <v>0</v>
      </c>
      <c r="H422" s="1468"/>
      <c r="I422" s="1462"/>
      <c r="J422" s="1531"/>
      <c r="K422" s="1462"/>
      <c r="L422" s="1462"/>
      <c r="M422" s="1493"/>
      <c r="N422" s="1462"/>
      <c r="O422" s="1462"/>
      <c r="P422" s="1462"/>
      <c r="Q422" s="1462"/>
      <c r="R422" s="1462"/>
      <c r="S422" s="1462"/>
      <c r="T422" s="1462"/>
      <c r="U422" s="1469">
        <v>23</v>
      </c>
      <c r="V422" s="1486" t="s">
        <v>33</v>
      </c>
      <c r="W422" s="1471" t="s">
        <v>1306</v>
      </c>
      <c r="X422" s="1472" t="s">
        <v>1440</v>
      </c>
      <c r="Y422" s="1473" t="s">
        <v>1306</v>
      </c>
      <c r="Z422" s="1504" t="s">
        <v>1464</v>
      </c>
      <c r="AA422" s="1473" t="s">
        <v>1306</v>
      </c>
      <c r="AB422" s="1470" t="s">
        <v>352</v>
      </c>
      <c r="AC422" s="1499" t="s">
        <v>1366</v>
      </c>
      <c r="AD422" s="1500" t="s">
        <v>348</v>
      </c>
      <c r="AE422" s="1477"/>
      <c r="AF422" s="1477"/>
      <c r="AG422" s="1457" t="str">
        <f t="shared" si="26"/>
        <v>23調査結果-建築物の内部-4（24）-改善（予定）年月-月</v>
      </c>
      <c r="AI422" s="1459"/>
      <c r="AJ422" s="1459"/>
      <c r="AK422" s="1459"/>
    </row>
    <row r="423" spans="1:37" s="1457" customFormat="1" ht="18.75" customHeight="1" x14ac:dyDescent="0.15">
      <c r="A423" s="1578"/>
      <c r="B423" s="1462"/>
      <c r="C423" s="1462"/>
      <c r="D423" s="1460">
        <f>'1_入力シート【基本情報】'!$BY$405</f>
        <v>0</v>
      </c>
      <c r="E423" s="1650">
        <f t="shared" si="27"/>
        <v>0</v>
      </c>
      <c r="F423" s="1650" t="str">
        <f t="shared" si="28"/>
        <v>0</v>
      </c>
      <c r="G423" s="1650" t="str">
        <f t="shared" si="29"/>
        <v>0</v>
      </c>
      <c r="H423" s="1468"/>
      <c r="I423" s="1462"/>
      <c r="J423" s="1531"/>
      <c r="K423" s="1462"/>
      <c r="L423" s="1462"/>
      <c r="M423" s="1493"/>
      <c r="N423" s="1462"/>
      <c r="O423" s="1462"/>
      <c r="P423" s="1462"/>
      <c r="Q423" s="1462"/>
      <c r="R423" s="1462"/>
      <c r="S423" s="1462"/>
      <c r="T423" s="1462"/>
      <c r="U423" s="1469">
        <v>23</v>
      </c>
      <c r="V423" s="1486" t="s">
        <v>33</v>
      </c>
      <c r="W423" s="1471" t="s">
        <v>1306</v>
      </c>
      <c r="X423" s="1472" t="s">
        <v>1440</v>
      </c>
      <c r="Y423" s="1473" t="s">
        <v>1306</v>
      </c>
      <c r="Z423" s="1504" t="s">
        <v>1464</v>
      </c>
      <c r="AA423" s="1473" t="s">
        <v>1306</v>
      </c>
      <c r="AB423" s="1470" t="s">
        <v>352</v>
      </c>
      <c r="AC423" s="1499" t="s">
        <v>1366</v>
      </c>
      <c r="AD423" s="1500" t="s">
        <v>640</v>
      </c>
      <c r="AE423" s="1501"/>
      <c r="AF423" s="1501"/>
      <c r="AG423" s="1457" t="str">
        <f t="shared" si="26"/>
        <v>23調査結果-建築物の内部-4（24）-改善（予定）年月-未定</v>
      </c>
      <c r="AI423" s="1459"/>
      <c r="AJ423" s="1459"/>
      <c r="AK423" s="1459"/>
    </row>
    <row r="424" spans="1:37" s="1457" customFormat="1" ht="18.75" customHeight="1" x14ac:dyDescent="0.15">
      <c r="A424" s="1578"/>
      <c r="B424" s="1462"/>
      <c r="C424" s="1462"/>
      <c r="D424" s="1460">
        <f>'1_入力シート【基本情報】'!$AF$406</f>
        <v>0</v>
      </c>
      <c r="E424" s="1650">
        <f t="shared" si="27"/>
        <v>0</v>
      </c>
      <c r="F424" s="1650" t="str">
        <f t="shared" si="28"/>
        <v>0</v>
      </c>
      <c r="G424" s="1650" t="str">
        <f t="shared" si="29"/>
        <v>0</v>
      </c>
      <c r="H424" s="1468"/>
      <c r="I424" s="1462"/>
      <c r="J424" s="1531"/>
      <c r="K424" s="1462"/>
      <c r="L424" s="1462"/>
      <c r="M424" s="1493"/>
      <c r="N424" s="1462"/>
      <c r="O424" s="1462"/>
      <c r="P424" s="1462"/>
      <c r="Q424" s="1462"/>
      <c r="R424" s="1462"/>
      <c r="S424" s="1462"/>
      <c r="T424" s="1462"/>
      <c r="U424" s="1469">
        <v>23</v>
      </c>
      <c r="V424" s="1486" t="s">
        <v>33</v>
      </c>
      <c r="W424" s="1471" t="s">
        <v>1306</v>
      </c>
      <c r="X424" s="1472" t="s">
        <v>1440</v>
      </c>
      <c r="Y424" s="1473" t="s">
        <v>1306</v>
      </c>
      <c r="Z424" s="1504" t="s">
        <v>1465</v>
      </c>
      <c r="AA424" s="1473" t="s">
        <v>1306</v>
      </c>
      <c r="AB424" s="1486" t="s">
        <v>33</v>
      </c>
      <c r="AC424" s="1499"/>
      <c r="AD424" s="1500"/>
      <c r="AE424" s="1501"/>
      <c r="AF424" s="1501"/>
      <c r="AG424" s="1457" t="str">
        <f t="shared" si="26"/>
        <v>23調査結果-建築物の内部-4（25）-調査結果</v>
      </c>
      <c r="AI424" s="1459"/>
      <c r="AJ424" s="1459"/>
      <c r="AK424" s="1459"/>
    </row>
    <row r="425" spans="1:37" s="1457" customFormat="1" ht="18.75" customHeight="1" x14ac:dyDescent="0.15">
      <c r="A425" s="1578"/>
      <c r="B425" s="1462"/>
      <c r="C425" s="1462"/>
      <c r="D425" s="1460">
        <f>'1_入力シート【基本情報】'!$AR$406</f>
        <v>0</v>
      </c>
      <c r="E425" s="1650">
        <f t="shared" si="27"/>
        <v>0</v>
      </c>
      <c r="F425" s="1650" t="str">
        <f t="shared" si="28"/>
        <v>0</v>
      </c>
      <c r="G425" s="1650" t="str">
        <f t="shared" si="29"/>
        <v>0</v>
      </c>
      <c r="H425" s="1468"/>
      <c r="I425" s="1462"/>
      <c r="J425" s="1531"/>
      <c r="K425" s="1462"/>
      <c r="L425" s="1462"/>
      <c r="M425" s="1493"/>
      <c r="N425" s="1462"/>
      <c r="O425" s="1462"/>
      <c r="P425" s="1462"/>
      <c r="Q425" s="1462"/>
      <c r="R425" s="1462"/>
      <c r="S425" s="1462"/>
      <c r="T425" s="1462"/>
      <c r="U425" s="1469">
        <v>23</v>
      </c>
      <c r="V425" s="1486" t="s">
        <v>33</v>
      </c>
      <c r="W425" s="1471" t="s">
        <v>1306</v>
      </c>
      <c r="X425" s="1472" t="s">
        <v>1440</v>
      </c>
      <c r="Y425" s="1473" t="s">
        <v>1306</v>
      </c>
      <c r="Z425" s="1504" t="s">
        <v>1465</v>
      </c>
      <c r="AA425" s="1473" t="s">
        <v>1306</v>
      </c>
      <c r="AB425" s="1486" t="s">
        <v>30</v>
      </c>
      <c r="AC425" s="1499"/>
      <c r="AD425" s="1500"/>
      <c r="AE425" s="1501"/>
      <c r="AF425" s="1501"/>
      <c r="AG425" s="1457" t="str">
        <f t="shared" si="26"/>
        <v>23調査結果-建築物の内部-4（25）-調査者番号</v>
      </c>
      <c r="AI425" s="1459"/>
      <c r="AJ425" s="1459"/>
      <c r="AK425" s="1459"/>
    </row>
    <row r="426" spans="1:37" s="1457" customFormat="1" ht="18.75" customHeight="1" x14ac:dyDescent="0.15">
      <c r="A426" s="1578"/>
      <c r="B426" s="1462"/>
      <c r="C426" s="1462"/>
      <c r="D426" s="1460">
        <f>'1_入力シート【基本情報】'!$AT$406</f>
        <v>0</v>
      </c>
      <c r="E426" s="1650">
        <f t="shared" si="27"/>
        <v>0</v>
      </c>
      <c r="F426" s="1650" t="str">
        <f t="shared" si="28"/>
        <v>0</v>
      </c>
      <c r="G426" s="1650" t="str">
        <f t="shared" si="29"/>
        <v>0</v>
      </c>
      <c r="H426" s="1468"/>
      <c r="I426" s="1462"/>
      <c r="J426" s="1531"/>
      <c r="K426" s="1462"/>
      <c r="L426" s="1462"/>
      <c r="M426" s="1493"/>
      <c r="N426" s="1462"/>
      <c r="O426" s="1462"/>
      <c r="P426" s="1462"/>
      <c r="Q426" s="1462"/>
      <c r="R426" s="1462"/>
      <c r="S426" s="1462"/>
      <c r="T426" s="1462"/>
      <c r="U426" s="1469">
        <v>23</v>
      </c>
      <c r="V426" s="1486" t="s">
        <v>33</v>
      </c>
      <c r="W426" s="1471" t="s">
        <v>1306</v>
      </c>
      <c r="X426" s="1472" t="s">
        <v>1440</v>
      </c>
      <c r="Y426" s="1473" t="s">
        <v>1306</v>
      </c>
      <c r="Z426" s="1504" t="s">
        <v>1465</v>
      </c>
      <c r="AA426" s="1473" t="s">
        <v>1306</v>
      </c>
      <c r="AB426" s="1486" t="s">
        <v>1402</v>
      </c>
      <c r="AC426" s="1499"/>
      <c r="AD426" s="1500"/>
      <c r="AE426" s="1501"/>
      <c r="AF426" s="1501"/>
      <c r="AG426" s="1457" t="str">
        <f t="shared" si="26"/>
        <v>23調査結果-建築物の内部-4（25）-指摘の具体的内容等</v>
      </c>
      <c r="AI426" s="1459"/>
      <c r="AJ426" s="1459"/>
      <c r="AK426" s="1459"/>
    </row>
    <row r="427" spans="1:37" s="1457" customFormat="1" ht="18.75" customHeight="1" x14ac:dyDescent="0.15">
      <c r="A427" s="1578"/>
      <c r="B427" s="1462"/>
      <c r="C427" s="1462"/>
      <c r="D427" s="1460">
        <f>'1_入力シート【基本情報】'!$BD$406</f>
        <v>0</v>
      </c>
      <c r="E427" s="1650">
        <f t="shared" si="27"/>
        <v>0</v>
      </c>
      <c r="F427" s="1650" t="str">
        <f t="shared" si="28"/>
        <v>0</v>
      </c>
      <c r="G427" s="1650" t="str">
        <f t="shared" si="29"/>
        <v>0</v>
      </c>
      <c r="H427" s="1468"/>
      <c r="I427" s="1462"/>
      <c r="J427" s="1531"/>
      <c r="K427" s="1462"/>
      <c r="L427" s="1462"/>
      <c r="M427" s="1493"/>
      <c r="N427" s="1462"/>
      <c r="O427" s="1462"/>
      <c r="P427" s="1462"/>
      <c r="Q427" s="1462"/>
      <c r="R427" s="1462"/>
      <c r="S427" s="1462"/>
      <c r="T427" s="1462"/>
      <c r="U427" s="1469">
        <v>23</v>
      </c>
      <c r="V427" s="1486" t="s">
        <v>33</v>
      </c>
      <c r="W427" s="1471" t="s">
        <v>1306</v>
      </c>
      <c r="X427" s="1472" t="s">
        <v>1440</v>
      </c>
      <c r="Y427" s="1473" t="s">
        <v>1306</v>
      </c>
      <c r="Z427" s="1504" t="s">
        <v>1465</v>
      </c>
      <c r="AA427" s="1473" t="s">
        <v>1306</v>
      </c>
      <c r="AB427" s="1470" t="s">
        <v>1403</v>
      </c>
      <c r="AC427" s="1475"/>
      <c r="AD427" s="1476"/>
      <c r="AE427" s="1501"/>
      <c r="AF427" s="1501"/>
      <c r="AG427" s="1457" t="str">
        <f t="shared" si="26"/>
        <v>23調査結果-建築物の内部-4（25）-改善策の具体的内容等</v>
      </c>
      <c r="AI427" s="1459"/>
      <c r="AJ427" s="1459"/>
      <c r="AK427" s="1459"/>
    </row>
    <row r="428" spans="1:37" s="1457" customFormat="1" ht="18.75" customHeight="1" x14ac:dyDescent="0.15">
      <c r="A428" s="1578"/>
      <c r="B428" s="1462"/>
      <c r="C428" s="1462"/>
      <c r="D428" s="1460">
        <f>'1_入力シート【基本情報】'!$BS$406</f>
        <v>0</v>
      </c>
      <c r="E428" s="1650">
        <f t="shared" si="27"/>
        <v>0</v>
      </c>
      <c r="F428" s="1650" t="str">
        <f t="shared" si="28"/>
        <v>0</v>
      </c>
      <c r="G428" s="1650" t="str">
        <f t="shared" si="29"/>
        <v>0</v>
      </c>
      <c r="H428" s="1468"/>
      <c r="I428" s="1462"/>
      <c r="J428" s="1531"/>
      <c r="K428" s="1462"/>
      <c r="L428" s="1462"/>
      <c r="M428" s="1493"/>
      <c r="N428" s="1462"/>
      <c r="O428" s="1462"/>
      <c r="P428" s="1462"/>
      <c r="Q428" s="1462"/>
      <c r="R428" s="1462"/>
      <c r="S428" s="1462"/>
      <c r="T428" s="1462"/>
      <c r="U428" s="1469">
        <v>23</v>
      </c>
      <c r="V428" s="1486" t="s">
        <v>33</v>
      </c>
      <c r="W428" s="1471" t="s">
        <v>1306</v>
      </c>
      <c r="X428" s="1472" t="s">
        <v>1440</v>
      </c>
      <c r="Y428" s="1473"/>
      <c r="Z428" s="1504" t="s">
        <v>1465</v>
      </c>
      <c r="AA428" s="1473" t="s">
        <v>1306</v>
      </c>
      <c r="AB428" s="1470" t="s">
        <v>352</v>
      </c>
      <c r="AC428" s="1499" t="s">
        <v>1366</v>
      </c>
      <c r="AD428" s="1500" t="s">
        <v>1387</v>
      </c>
      <c r="AE428" s="1501"/>
      <c r="AF428" s="1501"/>
      <c r="AG428" s="1457" t="str">
        <f t="shared" si="26"/>
        <v>23調査結果-建築物の内部4（25）-改善（予定）年月-年（令和）</v>
      </c>
      <c r="AI428" s="1459"/>
      <c r="AJ428" s="1459"/>
      <c r="AK428" s="1459"/>
    </row>
    <row r="429" spans="1:37" s="1457" customFormat="1" ht="18.75" customHeight="1" x14ac:dyDescent="0.15">
      <c r="A429" s="1578"/>
      <c r="B429" s="1462"/>
      <c r="C429" s="1462"/>
      <c r="D429" s="1460">
        <f>'1_入力シート【基本情報】'!$BV$406</f>
        <v>0</v>
      </c>
      <c r="E429" s="1650">
        <f t="shared" si="27"/>
        <v>0</v>
      </c>
      <c r="F429" s="1650" t="str">
        <f t="shared" si="28"/>
        <v>0</v>
      </c>
      <c r="G429" s="1650" t="str">
        <f t="shared" si="29"/>
        <v>0</v>
      </c>
      <c r="H429" s="1468"/>
      <c r="I429" s="1462"/>
      <c r="J429" s="1531"/>
      <c r="K429" s="1462"/>
      <c r="L429" s="1462"/>
      <c r="M429" s="1493"/>
      <c r="N429" s="1462"/>
      <c r="O429" s="1462"/>
      <c r="P429" s="1462"/>
      <c r="Q429" s="1462"/>
      <c r="R429" s="1462"/>
      <c r="S429" s="1462"/>
      <c r="T429" s="1462"/>
      <c r="U429" s="1469">
        <v>23</v>
      </c>
      <c r="V429" s="1486" t="s">
        <v>33</v>
      </c>
      <c r="W429" s="1471" t="s">
        <v>1306</v>
      </c>
      <c r="X429" s="1472" t="s">
        <v>1440</v>
      </c>
      <c r="Y429" s="1473" t="s">
        <v>1306</v>
      </c>
      <c r="Z429" s="1504" t="s">
        <v>1465</v>
      </c>
      <c r="AA429" s="1473" t="s">
        <v>1306</v>
      </c>
      <c r="AB429" s="1470" t="s">
        <v>352</v>
      </c>
      <c r="AC429" s="1499" t="s">
        <v>1366</v>
      </c>
      <c r="AD429" s="1500" t="s">
        <v>348</v>
      </c>
      <c r="AE429" s="1501"/>
      <c r="AF429" s="1501"/>
      <c r="AG429" s="1457" t="str">
        <f t="shared" si="26"/>
        <v>23調査結果-建築物の内部-4（25）-改善（予定）年月-月</v>
      </c>
      <c r="AI429" s="1459"/>
      <c r="AJ429" s="1459"/>
      <c r="AK429" s="1459"/>
    </row>
    <row r="430" spans="1:37" s="1457" customFormat="1" ht="18.75" customHeight="1" x14ac:dyDescent="0.15">
      <c r="A430" s="1578"/>
      <c r="B430" s="1462"/>
      <c r="C430" s="1462"/>
      <c r="D430" s="1460">
        <f>'1_入力シート【基本情報】'!$BY$406</f>
        <v>0</v>
      </c>
      <c r="E430" s="1650">
        <f t="shared" si="27"/>
        <v>0</v>
      </c>
      <c r="F430" s="1650" t="str">
        <f t="shared" si="28"/>
        <v>0</v>
      </c>
      <c r="G430" s="1650" t="str">
        <f t="shared" si="29"/>
        <v>0</v>
      </c>
      <c r="H430" s="1468"/>
      <c r="I430" s="1462"/>
      <c r="J430" s="1531"/>
      <c r="K430" s="1462"/>
      <c r="L430" s="1462"/>
      <c r="M430" s="1493"/>
      <c r="N430" s="1462"/>
      <c r="O430" s="1462"/>
      <c r="P430" s="1462"/>
      <c r="Q430" s="1462"/>
      <c r="R430" s="1462"/>
      <c r="S430" s="1462"/>
      <c r="T430" s="1462"/>
      <c r="U430" s="1469">
        <v>23</v>
      </c>
      <c r="V430" s="1486" t="s">
        <v>33</v>
      </c>
      <c r="W430" s="1471" t="s">
        <v>1306</v>
      </c>
      <c r="X430" s="1472" t="s">
        <v>1440</v>
      </c>
      <c r="Y430" s="1473" t="s">
        <v>1306</v>
      </c>
      <c r="Z430" s="1504" t="s">
        <v>1465</v>
      </c>
      <c r="AA430" s="1473" t="s">
        <v>1306</v>
      </c>
      <c r="AB430" s="1470" t="s">
        <v>352</v>
      </c>
      <c r="AC430" s="1499" t="s">
        <v>1366</v>
      </c>
      <c r="AD430" s="1500" t="s">
        <v>640</v>
      </c>
      <c r="AE430" s="1477"/>
      <c r="AF430" s="1477"/>
      <c r="AG430" s="1457" t="str">
        <f t="shared" si="26"/>
        <v>23調査結果-建築物の内部-4（25）-改善（予定）年月-未定</v>
      </c>
      <c r="AI430" s="1459"/>
      <c r="AJ430" s="1459"/>
      <c r="AK430" s="1459"/>
    </row>
    <row r="431" spans="1:37" s="1457" customFormat="1" ht="18.75" customHeight="1" x14ac:dyDescent="0.15">
      <c r="A431" s="1578"/>
      <c r="B431" s="1462"/>
      <c r="C431" s="1462"/>
      <c r="D431" s="1460">
        <f>'1_入力シート【基本情報】'!$AF$407</f>
        <v>0</v>
      </c>
      <c r="E431" s="1650">
        <f t="shared" si="27"/>
        <v>0</v>
      </c>
      <c r="F431" s="1650" t="str">
        <f t="shared" si="28"/>
        <v>0</v>
      </c>
      <c r="G431" s="1650" t="str">
        <f t="shared" si="29"/>
        <v>0</v>
      </c>
      <c r="H431" s="1468"/>
      <c r="I431" s="1462"/>
      <c r="J431" s="1531"/>
      <c r="K431" s="1462"/>
      <c r="L431" s="1462"/>
      <c r="M431" s="1493"/>
      <c r="N431" s="1462"/>
      <c r="O431" s="1462"/>
      <c r="P431" s="1462"/>
      <c r="Q431" s="1462"/>
      <c r="R431" s="1462"/>
      <c r="S431" s="1462"/>
      <c r="T431" s="1462"/>
      <c r="U431" s="1469">
        <v>23</v>
      </c>
      <c r="V431" s="1486" t="s">
        <v>33</v>
      </c>
      <c r="W431" s="1471" t="s">
        <v>1306</v>
      </c>
      <c r="X431" s="1472" t="s">
        <v>1440</v>
      </c>
      <c r="Y431" s="1473" t="s">
        <v>1306</v>
      </c>
      <c r="Z431" s="1504" t="s">
        <v>1466</v>
      </c>
      <c r="AA431" s="1473" t="s">
        <v>1306</v>
      </c>
      <c r="AB431" s="1470" t="s">
        <v>33</v>
      </c>
      <c r="AC431" s="1499"/>
      <c r="AD431" s="1500"/>
      <c r="AE431" s="1501"/>
      <c r="AF431" s="1501"/>
      <c r="AG431" s="1457" t="str">
        <f t="shared" si="26"/>
        <v>23調査結果-建築物の内部-4（26）-調査結果</v>
      </c>
      <c r="AI431" s="1459"/>
      <c r="AJ431" s="1459"/>
      <c r="AK431" s="1459"/>
    </row>
    <row r="432" spans="1:37" s="1457" customFormat="1" ht="18.75" customHeight="1" x14ac:dyDescent="0.15">
      <c r="A432" s="1578"/>
      <c r="B432" s="1462"/>
      <c r="C432" s="1462"/>
      <c r="D432" s="1460">
        <f>'1_入力シート【基本情報】'!$AR$407</f>
        <v>0</v>
      </c>
      <c r="E432" s="1650">
        <f t="shared" si="27"/>
        <v>0</v>
      </c>
      <c r="F432" s="1650" t="str">
        <f t="shared" si="28"/>
        <v>0</v>
      </c>
      <c r="G432" s="1650" t="str">
        <f t="shared" si="29"/>
        <v>0</v>
      </c>
      <c r="H432" s="1468"/>
      <c r="I432" s="1462"/>
      <c r="J432" s="1531"/>
      <c r="K432" s="1462"/>
      <c r="L432" s="1462"/>
      <c r="M432" s="1493"/>
      <c r="N432" s="1462"/>
      <c r="O432" s="1462"/>
      <c r="P432" s="1462"/>
      <c r="Q432" s="1462"/>
      <c r="R432" s="1462"/>
      <c r="S432" s="1462"/>
      <c r="T432" s="1462"/>
      <c r="U432" s="1469">
        <v>23</v>
      </c>
      <c r="V432" s="1486" t="s">
        <v>33</v>
      </c>
      <c r="W432" s="1471" t="s">
        <v>1306</v>
      </c>
      <c r="X432" s="1472" t="s">
        <v>1440</v>
      </c>
      <c r="Y432" s="1473" t="s">
        <v>1306</v>
      </c>
      <c r="Z432" s="1504" t="s">
        <v>1466</v>
      </c>
      <c r="AA432" s="1473" t="s">
        <v>1306</v>
      </c>
      <c r="AB432" s="1486" t="s">
        <v>30</v>
      </c>
      <c r="AC432" s="1499"/>
      <c r="AD432" s="1500"/>
      <c r="AE432" s="1501"/>
      <c r="AF432" s="1501"/>
      <c r="AG432" s="1457" t="str">
        <f t="shared" si="26"/>
        <v>23調査結果-建築物の内部-4（26）-調査者番号</v>
      </c>
      <c r="AI432" s="1459"/>
      <c r="AJ432" s="1459"/>
      <c r="AK432" s="1459"/>
    </row>
    <row r="433" spans="1:37" s="1457" customFormat="1" ht="18.75" customHeight="1" x14ac:dyDescent="0.15">
      <c r="A433" s="1578"/>
      <c r="B433" s="1462"/>
      <c r="C433" s="1462"/>
      <c r="D433" s="1460">
        <f>'1_入力シート【基本情報】'!$AT$407</f>
        <v>0</v>
      </c>
      <c r="E433" s="1650">
        <f t="shared" si="27"/>
        <v>0</v>
      </c>
      <c r="F433" s="1650" t="str">
        <f t="shared" si="28"/>
        <v>0</v>
      </c>
      <c r="G433" s="1650" t="str">
        <f t="shared" si="29"/>
        <v>0</v>
      </c>
      <c r="H433" s="1468"/>
      <c r="I433" s="1462"/>
      <c r="J433" s="1531"/>
      <c r="K433" s="1462"/>
      <c r="L433" s="1462"/>
      <c r="M433" s="1493"/>
      <c r="N433" s="1462"/>
      <c r="O433" s="1462"/>
      <c r="P433" s="1462"/>
      <c r="Q433" s="1462"/>
      <c r="R433" s="1462"/>
      <c r="S433" s="1462"/>
      <c r="T433" s="1462"/>
      <c r="U433" s="1469">
        <v>23</v>
      </c>
      <c r="V433" s="1486" t="s">
        <v>33</v>
      </c>
      <c r="W433" s="1471" t="s">
        <v>1306</v>
      </c>
      <c r="X433" s="1472" t="s">
        <v>1440</v>
      </c>
      <c r="Y433" s="1473" t="s">
        <v>1306</v>
      </c>
      <c r="Z433" s="1504" t="s">
        <v>1466</v>
      </c>
      <c r="AA433" s="1473" t="s">
        <v>1306</v>
      </c>
      <c r="AB433" s="1486" t="s">
        <v>1402</v>
      </c>
      <c r="AC433" s="1499"/>
      <c r="AD433" s="1500"/>
      <c r="AE433" s="1501"/>
      <c r="AF433" s="1501"/>
      <c r="AG433" s="1457" t="str">
        <f t="shared" si="26"/>
        <v>23調査結果-建築物の内部-4（26）-指摘の具体的内容等</v>
      </c>
      <c r="AI433" s="1459"/>
      <c r="AJ433" s="1459"/>
      <c r="AK433" s="1459"/>
    </row>
    <row r="434" spans="1:37" s="1457" customFormat="1" ht="18.75" customHeight="1" x14ac:dyDescent="0.15">
      <c r="A434" s="1578"/>
      <c r="B434" s="1462"/>
      <c r="C434" s="1462"/>
      <c r="D434" s="1460">
        <f>'1_入力シート【基本情報】'!$BD$407</f>
        <v>0</v>
      </c>
      <c r="E434" s="1650">
        <f t="shared" si="27"/>
        <v>0</v>
      </c>
      <c r="F434" s="1650" t="str">
        <f t="shared" si="28"/>
        <v>0</v>
      </c>
      <c r="G434" s="1650" t="str">
        <f t="shared" si="29"/>
        <v>0</v>
      </c>
      <c r="H434" s="1468"/>
      <c r="I434" s="1462"/>
      <c r="J434" s="1531"/>
      <c r="K434" s="1462"/>
      <c r="L434" s="1462"/>
      <c r="M434" s="1493"/>
      <c r="N434" s="1462"/>
      <c r="O434" s="1462"/>
      <c r="P434" s="1462"/>
      <c r="Q434" s="1462"/>
      <c r="R434" s="1462"/>
      <c r="S434" s="1462"/>
      <c r="T434" s="1462"/>
      <c r="U434" s="1469">
        <v>23</v>
      </c>
      <c r="V434" s="1486" t="s">
        <v>33</v>
      </c>
      <c r="W434" s="1471" t="s">
        <v>1306</v>
      </c>
      <c r="X434" s="1472" t="s">
        <v>1440</v>
      </c>
      <c r="Y434" s="1473" t="s">
        <v>1306</v>
      </c>
      <c r="Z434" s="1504" t="s">
        <v>1466</v>
      </c>
      <c r="AA434" s="1473" t="s">
        <v>1306</v>
      </c>
      <c r="AB434" s="1486" t="s">
        <v>1403</v>
      </c>
      <c r="AC434" s="1499"/>
      <c r="AD434" s="1500"/>
      <c r="AE434" s="1501"/>
      <c r="AF434" s="1501"/>
      <c r="AG434" s="1457" t="str">
        <f t="shared" si="26"/>
        <v>23調査結果-建築物の内部-4（26）-改善策の具体的内容等</v>
      </c>
      <c r="AI434" s="1459"/>
      <c r="AJ434" s="1459"/>
      <c r="AK434" s="1459"/>
    </row>
    <row r="435" spans="1:37" s="1457" customFormat="1" ht="18.75" customHeight="1" x14ac:dyDescent="0.15">
      <c r="A435" s="1578"/>
      <c r="B435" s="1462"/>
      <c r="C435" s="1462"/>
      <c r="D435" s="1460">
        <f>'1_入力シート【基本情報】'!$BS$407</f>
        <v>0</v>
      </c>
      <c r="E435" s="1650">
        <f t="shared" si="27"/>
        <v>0</v>
      </c>
      <c r="F435" s="1650" t="str">
        <f t="shared" si="28"/>
        <v>0</v>
      </c>
      <c r="G435" s="1650" t="str">
        <f t="shared" si="29"/>
        <v>0</v>
      </c>
      <c r="H435" s="1468"/>
      <c r="I435" s="1462"/>
      <c r="J435" s="1531"/>
      <c r="K435" s="1462"/>
      <c r="L435" s="1462"/>
      <c r="M435" s="1493"/>
      <c r="N435" s="1462"/>
      <c r="O435" s="1462"/>
      <c r="P435" s="1462"/>
      <c r="Q435" s="1462"/>
      <c r="R435" s="1462"/>
      <c r="S435" s="1462"/>
      <c r="T435" s="1462"/>
      <c r="U435" s="1469">
        <v>23</v>
      </c>
      <c r="V435" s="1486" t="s">
        <v>33</v>
      </c>
      <c r="W435" s="1471" t="s">
        <v>1306</v>
      </c>
      <c r="X435" s="1472" t="s">
        <v>1440</v>
      </c>
      <c r="Y435" s="1473" t="s">
        <v>1306</v>
      </c>
      <c r="Z435" s="1504" t="s">
        <v>1466</v>
      </c>
      <c r="AA435" s="1473" t="s">
        <v>1306</v>
      </c>
      <c r="AB435" s="1470" t="s">
        <v>352</v>
      </c>
      <c r="AC435" s="1475" t="s">
        <v>1366</v>
      </c>
      <c r="AD435" s="1476" t="s">
        <v>1387</v>
      </c>
      <c r="AE435" s="1501"/>
      <c r="AF435" s="1501"/>
      <c r="AG435" s="1457" t="str">
        <f t="shared" si="26"/>
        <v>23調査結果-建築物の内部-4（26）-改善（予定）年月-年（令和）</v>
      </c>
      <c r="AI435" s="1459"/>
      <c r="AJ435" s="1459"/>
      <c r="AK435" s="1459"/>
    </row>
    <row r="436" spans="1:37" s="1457" customFormat="1" ht="18.75" customHeight="1" x14ac:dyDescent="0.15">
      <c r="A436" s="1578"/>
      <c r="B436" s="1462"/>
      <c r="C436" s="1462"/>
      <c r="D436" s="1460">
        <f>'1_入力シート【基本情報】'!$BV$407</f>
        <v>0</v>
      </c>
      <c r="E436" s="1650">
        <f t="shared" si="27"/>
        <v>0</v>
      </c>
      <c r="F436" s="1650" t="str">
        <f t="shared" si="28"/>
        <v>0</v>
      </c>
      <c r="G436" s="1650" t="str">
        <f t="shared" si="29"/>
        <v>0</v>
      </c>
      <c r="H436" s="1468"/>
      <c r="I436" s="1462"/>
      <c r="J436" s="1531"/>
      <c r="K436" s="1462"/>
      <c r="L436" s="1462"/>
      <c r="M436" s="1493"/>
      <c r="N436" s="1462"/>
      <c r="O436" s="1462"/>
      <c r="P436" s="1462"/>
      <c r="Q436" s="1462"/>
      <c r="R436" s="1462"/>
      <c r="S436" s="1462"/>
      <c r="T436" s="1462"/>
      <c r="U436" s="1469">
        <v>23</v>
      </c>
      <c r="V436" s="1486" t="s">
        <v>33</v>
      </c>
      <c r="W436" s="1471" t="s">
        <v>1306</v>
      </c>
      <c r="X436" s="1472" t="s">
        <v>1440</v>
      </c>
      <c r="Y436" s="1473"/>
      <c r="Z436" s="1504" t="s">
        <v>1466</v>
      </c>
      <c r="AA436" s="1473" t="s">
        <v>1306</v>
      </c>
      <c r="AB436" s="1470" t="s">
        <v>352</v>
      </c>
      <c r="AC436" s="1499" t="s">
        <v>1366</v>
      </c>
      <c r="AD436" s="1500" t="s">
        <v>348</v>
      </c>
      <c r="AE436" s="1501"/>
      <c r="AF436" s="1501"/>
      <c r="AG436" s="1457" t="str">
        <f t="shared" si="26"/>
        <v>23調査結果-建築物の内部4（26）-改善（予定）年月-月</v>
      </c>
      <c r="AI436" s="1459"/>
      <c r="AJ436" s="1459"/>
      <c r="AK436" s="1459"/>
    </row>
    <row r="437" spans="1:37" s="1457" customFormat="1" ht="18.75" customHeight="1" x14ac:dyDescent="0.15">
      <c r="A437" s="1578"/>
      <c r="B437" s="1462"/>
      <c r="C437" s="1462"/>
      <c r="D437" s="1460">
        <f>'1_入力シート【基本情報】'!$BY$407</f>
        <v>0</v>
      </c>
      <c r="E437" s="1650">
        <f t="shared" si="27"/>
        <v>0</v>
      </c>
      <c r="F437" s="1650" t="str">
        <f t="shared" si="28"/>
        <v>0</v>
      </c>
      <c r="G437" s="1650" t="str">
        <f t="shared" si="29"/>
        <v>0</v>
      </c>
      <c r="H437" s="1468"/>
      <c r="I437" s="1462"/>
      <c r="J437" s="1531"/>
      <c r="K437" s="1462"/>
      <c r="L437" s="1462"/>
      <c r="M437" s="1493"/>
      <c r="N437" s="1462"/>
      <c r="O437" s="1462"/>
      <c r="P437" s="1462"/>
      <c r="Q437" s="1462"/>
      <c r="R437" s="1462"/>
      <c r="S437" s="1462"/>
      <c r="T437" s="1462"/>
      <c r="U437" s="1469">
        <v>23</v>
      </c>
      <c r="V437" s="1486" t="s">
        <v>33</v>
      </c>
      <c r="W437" s="1471" t="s">
        <v>1306</v>
      </c>
      <c r="X437" s="1472" t="s">
        <v>1440</v>
      </c>
      <c r="Y437" s="1473" t="s">
        <v>1306</v>
      </c>
      <c r="Z437" s="1504" t="s">
        <v>1466</v>
      </c>
      <c r="AA437" s="1473" t="s">
        <v>1306</v>
      </c>
      <c r="AB437" s="1470" t="s">
        <v>352</v>
      </c>
      <c r="AC437" s="1499" t="s">
        <v>1366</v>
      </c>
      <c r="AD437" s="1500" t="s">
        <v>640</v>
      </c>
      <c r="AE437" s="1501"/>
      <c r="AF437" s="1501"/>
      <c r="AG437" s="1457" t="str">
        <f t="shared" si="26"/>
        <v>23調査結果-建築物の内部-4（26）-改善（予定）年月-未定</v>
      </c>
      <c r="AI437" s="1459"/>
      <c r="AJ437" s="1459"/>
      <c r="AK437" s="1459"/>
    </row>
    <row r="438" spans="1:37" s="1457" customFormat="1" ht="18.75" customHeight="1" x14ac:dyDescent="0.15">
      <c r="A438" s="1578"/>
      <c r="B438" s="1462"/>
      <c r="C438" s="1462"/>
      <c r="D438" s="1460">
        <f>'1_入力シート【基本情報】'!$AF$408</f>
        <v>0</v>
      </c>
      <c r="E438" s="1650">
        <f t="shared" si="27"/>
        <v>0</v>
      </c>
      <c r="F438" s="1650" t="str">
        <f t="shared" si="28"/>
        <v>0</v>
      </c>
      <c r="G438" s="1650" t="str">
        <f t="shared" si="29"/>
        <v>0</v>
      </c>
      <c r="H438" s="1468"/>
      <c r="I438" s="1462"/>
      <c r="J438" s="1531"/>
      <c r="K438" s="1462"/>
      <c r="L438" s="1462"/>
      <c r="M438" s="1493"/>
      <c r="N438" s="1462"/>
      <c r="O438" s="1462"/>
      <c r="P438" s="1462"/>
      <c r="Q438" s="1462"/>
      <c r="R438" s="1462"/>
      <c r="S438" s="1462"/>
      <c r="T438" s="1462"/>
      <c r="U438" s="1469">
        <v>23</v>
      </c>
      <c r="V438" s="1486" t="s">
        <v>33</v>
      </c>
      <c r="W438" s="1471" t="s">
        <v>1306</v>
      </c>
      <c r="X438" s="1472" t="s">
        <v>1440</v>
      </c>
      <c r="Y438" s="1473" t="s">
        <v>1306</v>
      </c>
      <c r="Z438" s="1504" t="s">
        <v>1467</v>
      </c>
      <c r="AA438" s="1473" t="s">
        <v>1306</v>
      </c>
      <c r="AB438" s="1470" t="s">
        <v>33</v>
      </c>
      <c r="AC438" s="1499"/>
      <c r="AD438" s="1500"/>
      <c r="AE438" s="1477"/>
      <c r="AF438" s="1477"/>
      <c r="AG438" s="1457" t="str">
        <f t="shared" si="26"/>
        <v>23調査結果-建築物の内部-4（27）-調査結果</v>
      </c>
      <c r="AI438" s="1459"/>
      <c r="AJ438" s="1459"/>
      <c r="AK438" s="1459"/>
    </row>
    <row r="439" spans="1:37" s="1457" customFormat="1" ht="18.75" customHeight="1" x14ac:dyDescent="0.15">
      <c r="A439" s="1578"/>
      <c r="B439" s="1462"/>
      <c r="C439" s="1462"/>
      <c r="D439" s="1460">
        <f>'1_入力シート【基本情報】'!$AR$408</f>
        <v>0</v>
      </c>
      <c r="E439" s="1650">
        <f t="shared" si="27"/>
        <v>0</v>
      </c>
      <c r="F439" s="1650" t="str">
        <f t="shared" si="28"/>
        <v>0</v>
      </c>
      <c r="G439" s="1650" t="str">
        <f t="shared" si="29"/>
        <v>0</v>
      </c>
      <c r="H439" s="1468"/>
      <c r="I439" s="1462"/>
      <c r="J439" s="1531"/>
      <c r="K439" s="1462"/>
      <c r="L439" s="1462"/>
      <c r="M439" s="1493"/>
      <c r="N439" s="1462"/>
      <c r="O439" s="1462"/>
      <c r="P439" s="1462"/>
      <c r="Q439" s="1462"/>
      <c r="R439" s="1462"/>
      <c r="S439" s="1462"/>
      <c r="T439" s="1462"/>
      <c r="U439" s="1469">
        <v>23</v>
      </c>
      <c r="V439" s="1486" t="s">
        <v>33</v>
      </c>
      <c r="W439" s="1471" t="s">
        <v>1306</v>
      </c>
      <c r="X439" s="1472" t="s">
        <v>1440</v>
      </c>
      <c r="Y439" s="1473" t="s">
        <v>1306</v>
      </c>
      <c r="Z439" s="1504" t="s">
        <v>1467</v>
      </c>
      <c r="AA439" s="1473" t="s">
        <v>1306</v>
      </c>
      <c r="AB439" s="1470" t="s">
        <v>30</v>
      </c>
      <c r="AC439" s="1499"/>
      <c r="AD439" s="1500"/>
      <c r="AE439" s="1501"/>
      <c r="AF439" s="1501"/>
      <c r="AG439" s="1457" t="str">
        <f t="shared" si="26"/>
        <v>23調査結果-建築物の内部-4（27）-調査者番号</v>
      </c>
      <c r="AI439" s="1459"/>
      <c r="AJ439" s="1459"/>
      <c r="AK439" s="1459"/>
    </row>
    <row r="440" spans="1:37" s="1457" customFormat="1" ht="18.75" customHeight="1" x14ac:dyDescent="0.15">
      <c r="A440" s="1578"/>
      <c r="B440" s="1462"/>
      <c r="C440" s="1462"/>
      <c r="D440" s="1460">
        <f>'1_入力シート【基本情報】'!$AT$408</f>
        <v>0</v>
      </c>
      <c r="E440" s="1650">
        <f t="shared" si="27"/>
        <v>0</v>
      </c>
      <c r="F440" s="1650" t="str">
        <f t="shared" si="28"/>
        <v>0</v>
      </c>
      <c r="G440" s="1650" t="str">
        <f t="shared" si="29"/>
        <v>0</v>
      </c>
      <c r="H440" s="1468"/>
      <c r="I440" s="1462"/>
      <c r="J440" s="1531"/>
      <c r="K440" s="1462"/>
      <c r="L440" s="1462"/>
      <c r="M440" s="1493"/>
      <c r="N440" s="1462"/>
      <c r="O440" s="1462"/>
      <c r="P440" s="1462"/>
      <c r="Q440" s="1462"/>
      <c r="R440" s="1462"/>
      <c r="S440" s="1462"/>
      <c r="T440" s="1462"/>
      <c r="U440" s="1469">
        <v>23</v>
      </c>
      <c r="V440" s="1486" t="s">
        <v>33</v>
      </c>
      <c r="W440" s="1471" t="s">
        <v>1306</v>
      </c>
      <c r="X440" s="1472" t="s">
        <v>1440</v>
      </c>
      <c r="Y440" s="1473" t="s">
        <v>1306</v>
      </c>
      <c r="Z440" s="1504" t="s">
        <v>1467</v>
      </c>
      <c r="AA440" s="1473" t="s">
        <v>1306</v>
      </c>
      <c r="AB440" s="1486" t="s">
        <v>1402</v>
      </c>
      <c r="AC440" s="1499"/>
      <c r="AD440" s="1500"/>
      <c r="AE440" s="1501"/>
      <c r="AF440" s="1501"/>
      <c r="AG440" s="1457" t="str">
        <f t="shared" si="26"/>
        <v>23調査結果-建築物の内部-4（27）-指摘の具体的内容等</v>
      </c>
      <c r="AI440" s="1459"/>
      <c r="AJ440" s="1459"/>
      <c r="AK440" s="1459"/>
    </row>
    <row r="441" spans="1:37" s="1457" customFormat="1" ht="18.75" customHeight="1" x14ac:dyDescent="0.15">
      <c r="A441" s="1578"/>
      <c r="B441" s="1462"/>
      <c r="C441" s="1462"/>
      <c r="D441" s="1460">
        <f>'1_入力シート【基本情報】'!$BD$408</f>
        <v>0</v>
      </c>
      <c r="E441" s="1650">
        <f t="shared" si="27"/>
        <v>0</v>
      </c>
      <c r="F441" s="1650" t="str">
        <f t="shared" si="28"/>
        <v>0</v>
      </c>
      <c r="G441" s="1650" t="str">
        <f t="shared" si="29"/>
        <v>0</v>
      </c>
      <c r="H441" s="1468"/>
      <c r="I441" s="1462"/>
      <c r="J441" s="1531"/>
      <c r="K441" s="1462"/>
      <c r="L441" s="1462"/>
      <c r="M441" s="1493"/>
      <c r="N441" s="1462"/>
      <c r="O441" s="1462"/>
      <c r="P441" s="1462"/>
      <c r="Q441" s="1462"/>
      <c r="R441" s="1462"/>
      <c r="S441" s="1462"/>
      <c r="T441" s="1462"/>
      <c r="U441" s="1469">
        <v>23</v>
      </c>
      <c r="V441" s="1486" t="s">
        <v>33</v>
      </c>
      <c r="W441" s="1471" t="s">
        <v>1306</v>
      </c>
      <c r="X441" s="1472" t="s">
        <v>1440</v>
      </c>
      <c r="Y441" s="1473" t="s">
        <v>1306</v>
      </c>
      <c r="Z441" s="1504" t="s">
        <v>1467</v>
      </c>
      <c r="AA441" s="1473" t="s">
        <v>1306</v>
      </c>
      <c r="AB441" s="1486" t="s">
        <v>1403</v>
      </c>
      <c r="AC441" s="1499"/>
      <c r="AD441" s="1500"/>
      <c r="AE441" s="1501"/>
      <c r="AF441" s="1501"/>
      <c r="AG441" s="1457" t="str">
        <f t="shared" si="26"/>
        <v>23調査結果-建築物の内部-4（27）-改善策の具体的内容等</v>
      </c>
      <c r="AI441" s="1459"/>
      <c r="AJ441" s="1459"/>
      <c r="AK441" s="1459"/>
    </row>
    <row r="442" spans="1:37" s="1457" customFormat="1" ht="18.75" customHeight="1" x14ac:dyDescent="0.15">
      <c r="A442" s="1578"/>
      <c r="B442" s="1462"/>
      <c r="C442" s="1462"/>
      <c r="D442" s="1460">
        <f>'1_入力シート【基本情報】'!$BS$408</f>
        <v>0</v>
      </c>
      <c r="E442" s="1650">
        <f t="shared" si="27"/>
        <v>0</v>
      </c>
      <c r="F442" s="1650" t="str">
        <f t="shared" si="28"/>
        <v>0</v>
      </c>
      <c r="G442" s="1650" t="str">
        <f t="shared" si="29"/>
        <v>0</v>
      </c>
      <c r="H442" s="1468"/>
      <c r="I442" s="1462"/>
      <c r="J442" s="1531"/>
      <c r="K442" s="1462"/>
      <c r="L442" s="1462"/>
      <c r="M442" s="1493"/>
      <c r="N442" s="1462"/>
      <c r="O442" s="1462"/>
      <c r="P442" s="1462"/>
      <c r="Q442" s="1462"/>
      <c r="R442" s="1462"/>
      <c r="S442" s="1462"/>
      <c r="T442" s="1462"/>
      <c r="U442" s="1469">
        <v>23</v>
      </c>
      <c r="V442" s="1486" t="s">
        <v>33</v>
      </c>
      <c r="W442" s="1471" t="s">
        <v>1306</v>
      </c>
      <c r="X442" s="1472" t="s">
        <v>1440</v>
      </c>
      <c r="Y442" s="1473" t="s">
        <v>1306</v>
      </c>
      <c r="Z442" s="1504" t="s">
        <v>1467</v>
      </c>
      <c r="AA442" s="1473" t="s">
        <v>1306</v>
      </c>
      <c r="AB442" s="1486" t="s">
        <v>352</v>
      </c>
      <c r="AC442" s="1499" t="s">
        <v>1366</v>
      </c>
      <c r="AD442" s="1500" t="s">
        <v>1387</v>
      </c>
      <c r="AE442" s="1501"/>
      <c r="AF442" s="1501"/>
      <c r="AG442" s="1457" t="str">
        <f t="shared" si="26"/>
        <v>23調査結果-建築物の内部-4（27）-改善（予定）年月-年（令和）</v>
      </c>
      <c r="AI442" s="1459"/>
      <c r="AJ442" s="1459"/>
      <c r="AK442" s="1459"/>
    </row>
    <row r="443" spans="1:37" s="1457" customFormat="1" ht="18.75" customHeight="1" x14ac:dyDescent="0.15">
      <c r="A443" s="1578"/>
      <c r="B443" s="1462"/>
      <c r="C443" s="1462"/>
      <c r="D443" s="1460">
        <f>'1_入力シート【基本情報】'!$BV$408</f>
        <v>0</v>
      </c>
      <c r="E443" s="1650">
        <f t="shared" si="27"/>
        <v>0</v>
      </c>
      <c r="F443" s="1650" t="str">
        <f t="shared" si="28"/>
        <v>0</v>
      </c>
      <c r="G443" s="1650" t="str">
        <f t="shared" si="29"/>
        <v>0</v>
      </c>
      <c r="H443" s="1468"/>
      <c r="I443" s="1462"/>
      <c r="J443" s="1531"/>
      <c r="K443" s="1462"/>
      <c r="L443" s="1462"/>
      <c r="M443" s="1493"/>
      <c r="N443" s="1462"/>
      <c r="O443" s="1462"/>
      <c r="P443" s="1462"/>
      <c r="Q443" s="1462"/>
      <c r="R443" s="1462"/>
      <c r="S443" s="1462"/>
      <c r="T443" s="1462"/>
      <c r="U443" s="1469">
        <v>23</v>
      </c>
      <c r="V443" s="1486" t="s">
        <v>33</v>
      </c>
      <c r="W443" s="1471" t="s">
        <v>1306</v>
      </c>
      <c r="X443" s="1472" t="s">
        <v>1440</v>
      </c>
      <c r="Y443" s="1473" t="s">
        <v>1306</v>
      </c>
      <c r="Z443" s="1504" t="s">
        <v>1467</v>
      </c>
      <c r="AA443" s="1473" t="s">
        <v>1306</v>
      </c>
      <c r="AB443" s="1470" t="s">
        <v>352</v>
      </c>
      <c r="AC443" s="1475" t="s">
        <v>1366</v>
      </c>
      <c r="AD443" s="1476" t="s">
        <v>348</v>
      </c>
      <c r="AE443" s="1501"/>
      <c r="AF443" s="1501"/>
      <c r="AG443" s="1457" t="str">
        <f t="shared" si="26"/>
        <v>23調査結果-建築物の内部-4（27）-改善（予定）年月-月</v>
      </c>
      <c r="AI443" s="1459"/>
      <c r="AJ443" s="1459"/>
      <c r="AK443" s="1459"/>
    </row>
    <row r="444" spans="1:37" s="1457" customFormat="1" ht="18.75" customHeight="1" x14ac:dyDescent="0.15">
      <c r="A444" s="1578"/>
      <c r="B444" s="1462"/>
      <c r="C444" s="1462"/>
      <c r="D444" s="1460">
        <f>'1_入力シート【基本情報】'!$BY$408</f>
        <v>0</v>
      </c>
      <c r="E444" s="1650">
        <f t="shared" si="27"/>
        <v>0</v>
      </c>
      <c r="F444" s="1650" t="str">
        <f t="shared" si="28"/>
        <v>0</v>
      </c>
      <c r="G444" s="1650" t="str">
        <f t="shared" si="29"/>
        <v>0</v>
      </c>
      <c r="H444" s="1468"/>
      <c r="I444" s="1462"/>
      <c r="J444" s="1531"/>
      <c r="K444" s="1462"/>
      <c r="L444" s="1462"/>
      <c r="M444" s="1493"/>
      <c r="N444" s="1462"/>
      <c r="O444" s="1462"/>
      <c r="P444" s="1462"/>
      <c r="Q444" s="1462"/>
      <c r="R444" s="1462"/>
      <c r="S444" s="1462"/>
      <c r="T444" s="1462"/>
      <c r="U444" s="1469">
        <v>23</v>
      </c>
      <c r="V444" s="1486" t="s">
        <v>33</v>
      </c>
      <c r="W444" s="1471" t="s">
        <v>1306</v>
      </c>
      <c r="X444" s="1472" t="s">
        <v>1440</v>
      </c>
      <c r="Y444" s="1473"/>
      <c r="Z444" s="1504" t="s">
        <v>1467</v>
      </c>
      <c r="AA444" s="1473" t="s">
        <v>1306</v>
      </c>
      <c r="AB444" s="1470" t="s">
        <v>352</v>
      </c>
      <c r="AC444" s="1499" t="s">
        <v>1366</v>
      </c>
      <c r="AD444" s="1500" t="s">
        <v>640</v>
      </c>
      <c r="AE444" s="1501"/>
      <c r="AF444" s="1501"/>
      <c r="AG444" s="1457" t="str">
        <f t="shared" si="26"/>
        <v>23調査結果-建築物の内部4（27）-改善（予定）年月-未定</v>
      </c>
      <c r="AI444" s="1459"/>
      <c r="AJ444" s="1459"/>
      <c r="AK444" s="1459"/>
    </row>
    <row r="445" spans="1:37" s="1457" customFormat="1" ht="18.75" customHeight="1" x14ac:dyDescent="0.15">
      <c r="A445" s="1578"/>
      <c r="B445" s="1462"/>
      <c r="C445" s="1462"/>
      <c r="D445" s="1460">
        <f>'1_入力シート【基本情報】'!$AF$409</f>
        <v>0</v>
      </c>
      <c r="E445" s="1650">
        <f t="shared" si="27"/>
        <v>0</v>
      </c>
      <c r="F445" s="1650" t="str">
        <f t="shared" si="28"/>
        <v>0</v>
      </c>
      <c r="G445" s="1650" t="str">
        <f t="shared" si="29"/>
        <v>0</v>
      </c>
      <c r="H445" s="1468"/>
      <c r="I445" s="1462"/>
      <c r="J445" s="1531"/>
      <c r="K445" s="1462"/>
      <c r="L445" s="1462"/>
      <c r="M445" s="1493"/>
      <c r="N445" s="1462"/>
      <c r="O445" s="1462"/>
      <c r="P445" s="1462"/>
      <c r="Q445" s="1462"/>
      <c r="R445" s="1462"/>
      <c r="S445" s="1462"/>
      <c r="T445" s="1462"/>
      <c r="U445" s="1469">
        <v>23</v>
      </c>
      <c r="V445" s="1486" t="s">
        <v>33</v>
      </c>
      <c r="W445" s="1471" t="s">
        <v>1306</v>
      </c>
      <c r="X445" s="1472" t="s">
        <v>1440</v>
      </c>
      <c r="Y445" s="1473" t="s">
        <v>1306</v>
      </c>
      <c r="Z445" s="1504" t="s">
        <v>1468</v>
      </c>
      <c r="AA445" s="1473" t="s">
        <v>1306</v>
      </c>
      <c r="AB445" s="1470" t="s">
        <v>33</v>
      </c>
      <c r="AC445" s="1499"/>
      <c r="AD445" s="1500"/>
      <c r="AE445" s="1501"/>
      <c r="AF445" s="1501"/>
      <c r="AG445" s="1457" t="str">
        <f t="shared" si="26"/>
        <v>23調査結果-建築物の内部-4（28）-調査結果</v>
      </c>
      <c r="AI445" s="1459"/>
      <c r="AJ445" s="1459"/>
      <c r="AK445" s="1459"/>
    </row>
    <row r="446" spans="1:37" s="1457" customFormat="1" ht="18.75" customHeight="1" x14ac:dyDescent="0.15">
      <c r="A446" s="1578"/>
      <c r="B446" s="1462"/>
      <c r="C446" s="1462"/>
      <c r="D446" s="1460">
        <f>'1_入力シート【基本情報】'!$AR$409</f>
        <v>0</v>
      </c>
      <c r="E446" s="1650">
        <f t="shared" si="27"/>
        <v>0</v>
      </c>
      <c r="F446" s="1650" t="str">
        <f t="shared" si="28"/>
        <v>0</v>
      </c>
      <c r="G446" s="1650" t="str">
        <f t="shared" si="29"/>
        <v>0</v>
      </c>
      <c r="H446" s="1468"/>
      <c r="I446" s="1462"/>
      <c r="J446" s="1531"/>
      <c r="K446" s="1462"/>
      <c r="L446" s="1462"/>
      <c r="M446" s="1493"/>
      <c r="N446" s="1462"/>
      <c r="O446" s="1462"/>
      <c r="P446" s="1462"/>
      <c r="Q446" s="1462"/>
      <c r="R446" s="1462"/>
      <c r="S446" s="1462"/>
      <c r="T446" s="1462"/>
      <c r="U446" s="1469">
        <v>23</v>
      </c>
      <c r="V446" s="1486" t="s">
        <v>33</v>
      </c>
      <c r="W446" s="1471" t="s">
        <v>1306</v>
      </c>
      <c r="X446" s="1472" t="s">
        <v>1440</v>
      </c>
      <c r="Y446" s="1473" t="s">
        <v>1306</v>
      </c>
      <c r="Z446" s="1504" t="s">
        <v>1468</v>
      </c>
      <c r="AA446" s="1473" t="s">
        <v>1306</v>
      </c>
      <c r="AB446" s="1470" t="s">
        <v>30</v>
      </c>
      <c r="AC446" s="1499"/>
      <c r="AD446" s="1500"/>
      <c r="AE446" s="1477"/>
      <c r="AF446" s="1477"/>
      <c r="AG446" s="1457" t="str">
        <f t="shared" ref="AG446:AG509" si="30">CONCATENATE(U446,V446,W446,X446,Y446,Z446,AA446,AB446,AC446,AD446)</f>
        <v>23調査結果-建築物の内部-4（28）-調査者番号</v>
      </c>
      <c r="AI446" s="1459"/>
      <c r="AJ446" s="1459"/>
      <c r="AK446" s="1459"/>
    </row>
    <row r="447" spans="1:37" s="1457" customFormat="1" ht="18.75" customHeight="1" x14ac:dyDescent="0.15">
      <c r="A447" s="1578"/>
      <c r="B447" s="1462"/>
      <c r="C447" s="1462"/>
      <c r="D447" s="1460">
        <f>'1_入力シート【基本情報】'!$AT$409</f>
        <v>0</v>
      </c>
      <c r="E447" s="1650">
        <f t="shared" si="27"/>
        <v>0</v>
      </c>
      <c r="F447" s="1650" t="str">
        <f t="shared" si="28"/>
        <v>0</v>
      </c>
      <c r="G447" s="1650" t="str">
        <f t="shared" si="29"/>
        <v>0</v>
      </c>
      <c r="H447" s="1468"/>
      <c r="I447" s="1462"/>
      <c r="J447" s="1531"/>
      <c r="K447" s="1462"/>
      <c r="L447" s="1462"/>
      <c r="M447" s="1493"/>
      <c r="N447" s="1462"/>
      <c r="O447" s="1462"/>
      <c r="P447" s="1462"/>
      <c r="Q447" s="1462"/>
      <c r="R447" s="1462"/>
      <c r="S447" s="1462"/>
      <c r="T447" s="1462"/>
      <c r="U447" s="1469">
        <v>23</v>
      </c>
      <c r="V447" s="1486" t="s">
        <v>33</v>
      </c>
      <c r="W447" s="1471" t="s">
        <v>1306</v>
      </c>
      <c r="X447" s="1472" t="s">
        <v>1440</v>
      </c>
      <c r="Y447" s="1473" t="s">
        <v>1306</v>
      </c>
      <c r="Z447" s="1504" t="s">
        <v>1468</v>
      </c>
      <c r="AA447" s="1473" t="s">
        <v>1306</v>
      </c>
      <c r="AB447" s="1470" t="s">
        <v>1402</v>
      </c>
      <c r="AC447" s="1499"/>
      <c r="AD447" s="1500"/>
      <c r="AE447" s="1501"/>
      <c r="AF447" s="1501"/>
      <c r="AG447" s="1457" t="str">
        <f t="shared" si="30"/>
        <v>23調査結果-建築物の内部-4（28）-指摘の具体的内容等</v>
      </c>
      <c r="AI447" s="1459"/>
      <c r="AJ447" s="1459"/>
      <c r="AK447" s="1459"/>
    </row>
    <row r="448" spans="1:37" s="1457" customFormat="1" ht="18.75" customHeight="1" x14ac:dyDescent="0.15">
      <c r="A448" s="1578"/>
      <c r="B448" s="1462"/>
      <c r="C448" s="1462"/>
      <c r="D448" s="1460">
        <f>'1_入力シート【基本情報】'!$BD$409</f>
        <v>0</v>
      </c>
      <c r="E448" s="1650">
        <f t="shared" si="27"/>
        <v>0</v>
      </c>
      <c r="F448" s="1650" t="str">
        <f t="shared" si="28"/>
        <v>0</v>
      </c>
      <c r="G448" s="1650" t="str">
        <f t="shared" si="29"/>
        <v>0</v>
      </c>
      <c r="H448" s="1468"/>
      <c r="I448" s="1462"/>
      <c r="J448" s="1531"/>
      <c r="K448" s="1462"/>
      <c r="L448" s="1462"/>
      <c r="M448" s="1493"/>
      <c r="N448" s="1462"/>
      <c r="O448" s="1462"/>
      <c r="P448" s="1462"/>
      <c r="Q448" s="1462"/>
      <c r="R448" s="1462"/>
      <c r="S448" s="1462"/>
      <c r="T448" s="1462"/>
      <c r="U448" s="1469">
        <v>23</v>
      </c>
      <c r="V448" s="1486" t="s">
        <v>33</v>
      </c>
      <c r="W448" s="1471" t="s">
        <v>1306</v>
      </c>
      <c r="X448" s="1472" t="s">
        <v>1440</v>
      </c>
      <c r="Y448" s="1473" t="s">
        <v>1306</v>
      </c>
      <c r="Z448" s="1504" t="s">
        <v>1468</v>
      </c>
      <c r="AA448" s="1473" t="s">
        <v>1306</v>
      </c>
      <c r="AB448" s="1486" t="s">
        <v>1403</v>
      </c>
      <c r="AC448" s="1499"/>
      <c r="AD448" s="1500"/>
      <c r="AE448" s="1501"/>
      <c r="AF448" s="1501"/>
      <c r="AG448" s="1457" t="str">
        <f t="shared" si="30"/>
        <v>23調査結果-建築物の内部-4（28）-改善策の具体的内容等</v>
      </c>
      <c r="AI448" s="1459"/>
      <c r="AJ448" s="1459"/>
      <c r="AK448" s="1459"/>
    </row>
    <row r="449" spans="1:37" s="1457" customFormat="1" ht="18.75" customHeight="1" x14ac:dyDescent="0.15">
      <c r="A449" s="1578"/>
      <c r="B449" s="1462"/>
      <c r="C449" s="1462"/>
      <c r="D449" s="1460">
        <f>'1_入力シート【基本情報】'!$BS$409</f>
        <v>0</v>
      </c>
      <c r="E449" s="1650">
        <f t="shared" si="27"/>
        <v>0</v>
      </c>
      <c r="F449" s="1650" t="str">
        <f t="shared" si="28"/>
        <v>0</v>
      </c>
      <c r="G449" s="1650" t="str">
        <f t="shared" si="29"/>
        <v>0</v>
      </c>
      <c r="H449" s="1468"/>
      <c r="I449" s="1462"/>
      <c r="J449" s="1531"/>
      <c r="K449" s="1462"/>
      <c r="L449" s="1462"/>
      <c r="M449" s="1493"/>
      <c r="N449" s="1462"/>
      <c r="O449" s="1462"/>
      <c r="P449" s="1462"/>
      <c r="Q449" s="1462"/>
      <c r="R449" s="1462"/>
      <c r="S449" s="1462"/>
      <c r="T449" s="1462"/>
      <c r="U449" s="1469">
        <v>23</v>
      </c>
      <c r="V449" s="1486" t="s">
        <v>33</v>
      </c>
      <c r="W449" s="1471" t="s">
        <v>1306</v>
      </c>
      <c r="X449" s="1472" t="s">
        <v>1440</v>
      </c>
      <c r="Y449" s="1473" t="s">
        <v>1306</v>
      </c>
      <c r="Z449" s="1504" t="s">
        <v>1468</v>
      </c>
      <c r="AA449" s="1473" t="s">
        <v>1306</v>
      </c>
      <c r="AB449" s="1486" t="s">
        <v>352</v>
      </c>
      <c r="AC449" s="1499" t="s">
        <v>1366</v>
      </c>
      <c r="AD449" s="1500" t="s">
        <v>1387</v>
      </c>
      <c r="AE449" s="1501"/>
      <c r="AF449" s="1501"/>
      <c r="AG449" s="1457" t="str">
        <f t="shared" si="30"/>
        <v>23調査結果-建築物の内部-4（28）-改善（予定）年月-年（令和）</v>
      </c>
      <c r="AI449" s="1459"/>
      <c r="AJ449" s="1459"/>
      <c r="AK449" s="1459"/>
    </row>
    <row r="450" spans="1:37" s="1457" customFormat="1" ht="18.75" customHeight="1" x14ac:dyDescent="0.15">
      <c r="A450" s="1578"/>
      <c r="B450" s="1462"/>
      <c r="C450" s="1462"/>
      <c r="D450" s="1460">
        <f>'1_入力シート【基本情報】'!$BV$409</f>
        <v>0</v>
      </c>
      <c r="E450" s="1650">
        <f t="shared" si="27"/>
        <v>0</v>
      </c>
      <c r="F450" s="1650" t="str">
        <f t="shared" si="28"/>
        <v>0</v>
      </c>
      <c r="G450" s="1650" t="str">
        <f t="shared" si="29"/>
        <v>0</v>
      </c>
      <c r="H450" s="1468"/>
      <c r="I450" s="1462"/>
      <c r="J450" s="1531"/>
      <c r="K450" s="1462"/>
      <c r="L450" s="1462"/>
      <c r="M450" s="1493"/>
      <c r="N450" s="1462"/>
      <c r="O450" s="1462"/>
      <c r="P450" s="1462"/>
      <c r="Q450" s="1462"/>
      <c r="R450" s="1462"/>
      <c r="S450" s="1462"/>
      <c r="T450" s="1462"/>
      <c r="U450" s="1469">
        <v>23</v>
      </c>
      <c r="V450" s="1486" t="s">
        <v>33</v>
      </c>
      <c r="W450" s="1471" t="s">
        <v>1306</v>
      </c>
      <c r="X450" s="1472" t="s">
        <v>1440</v>
      </c>
      <c r="Y450" s="1473" t="s">
        <v>1306</v>
      </c>
      <c r="Z450" s="1504" t="s">
        <v>1468</v>
      </c>
      <c r="AA450" s="1473" t="s">
        <v>1306</v>
      </c>
      <c r="AB450" s="1486" t="s">
        <v>352</v>
      </c>
      <c r="AC450" s="1499" t="s">
        <v>1366</v>
      </c>
      <c r="AD450" s="1500" t="s">
        <v>348</v>
      </c>
      <c r="AE450" s="1501"/>
      <c r="AF450" s="1501"/>
      <c r="AG450" s="1457" t="str">
        <f t="shared" si="30"/>
        <v>23調査結果-建築物の内部-4（28）-改善（予定）年月-月</v>
      </c>
      <c r="AI450" s="1459"/>
      <c r="AJ450" s="1459"/>
      <c r="AK450" s="1459"/>
    </row>
    <row r="451" spans="1:37" s="1457" customFormat="1" ht="18.75" customHeight="1" x14ac:dyDescent="0.15">
      <c r="A451" s="1578"/>
      <c r="B451" s="1462"/>
      <c r="C451" s="1462"/>
      <c r="D451" s="1460">
        <f>'1_入力シート【基本情報】'!$BY$409</f>
        <v>0</v>
      </c>
      <c r="E451" s="1650">
        <f t="shared" si="27"/>
        <v>0</v>
      </c>
      <c r="F451" s="1650" t="str">
        <f t="shared" si="28"/>
        <v>0</v>
      </c>
      <c r="G451" s="1650" t="str">
        <f t="shared" si="29"/>
        <v>0</v>
      </c>
      <c r="H451" s="1468"/>
      <c r="I451" s="1462"/>
      <c r="J451" s="1531"/>
      <c r="K451" s="1462"/>
      <c r="L451" s="1462"/>
      <c r="M451" s="1493"/>
      <c r="N451" s="1462"/>
      <c r="O451" s="1462"/>
      <c r="P451" s="1462"/>
      <c r="Q451" s="1462"/>
      <c r="R451" s="1462"/>
      <c r="S451" s="1462"/>
      <c r="T451" s="1462"/>
      <c r="U451" s="1469">
        <v>23</v>
      </c>
      <c r="V451" s="1486" t="s">
        <v>33</v>
      </c>
      <c r="W451" s="1471" t="s">
        <v>1306</v>
      </c>
      <c r="X451" s="1472" t="s">
        <v>1440</v>
      </c>
      <c r="Y451" s="1473" t="s">
        <v>1306</v>
      </c>
      <c r="Z451" s="1504" t="s">
        <v>1468</v>
      </c>
      <c r="AA451" s="1473" t="s">
        <v>1306</v>
      </c>
      <c r="AB451" s="1470" t="s">
        <v>352</v>
      </c>
      <c r="AC451" s="1475" t="s">
        <v>1366</v>
      </c>
      <c r="AD451" s="1476" t="s">
        <v>640</v>
      </c>
      <c r="AE451" s="1501"/>
      <c r="AF451" s="1501"/>
      <c r="AG451" s="1457" t="str">
        <f t="shared" si="30"/>
        <v>23調査結果-建築物の内部-4（28）-改善（予定）年月-未定</v>
      </c>
      <c r="AI451" s="1459"/>
      <c r="AJ451" s="1459"/>
      <c r="AK451" s="1459"/>
    </row>
    <row r="452" spans="1:37" s="1457" customFormat="1" ht="18.75" customHeight="1" x14ac:dyDescent="0.15">
      <c r="A452" s="1578"/>
      <c r="B452" s="1462"/>
      <c r="C452" s="1462"/>
      <c r="D452" s="1460">
        <f>'1_入力シート【基本情報】'!$AF$410</f>
        <v>0</v>
      </c>
      <c r="E452" s="1650">
        <f t="shared" si="27"/>
        <v>0</v>
      </c>
      <c r="F452" s="1650" t="str">
        <f t="shared" si="28"/>
        <v>0</v>
      </c>
      <c r="G452" s="1650" t="str">
        <f t="shared" si="29"/>
        <v>0</v>
      </c>
      <c r="H452" s="1468"/>
      <c r="I452" s="1462"/>
      <c r="J452" s="1531"/>
      <c r="K452" s="1462"/>
      <c r="L452" s="1462"/>
      <c r="M452" s="1493"/>
      <c r="N452" s="1462"/>
      <c r="O452" s="1462"/>
      <c r="P452" s="1462"/>
      <c r="Q452" s="1462"/>
      <c r="R452" s="1462"/>
      <c r="S452" s="1462"/>
      <c r="T452" s="1462"/>
      <c r="U452" s="1469">
        <v>23</v>
      </c>
      <c r="V452" s="1486" t="s">
        <v>33</v>
      </c>
      <c r="W452" s="1471" t="s">
        <v>1306</v>
      </c>
      <c r="X452" s="1472" t="s">
        <v>1440</v>
      </c>
      <c r="Y452" s="1473"/>
      <c r="Z452" s="1504" t="s">
        <v>1469</v>
      </c>
      <c r="AA452" s="1473" t="s">
        <v>1306</v>
      </c>
      <c r="AB452" s="1470" t="s">
        <v>33</v>
      </c>
      <c r="AC452" s="1499"/>
      <c r="AD452" s="1500"/>
      <c r="AE452" s="1501"/>
      <c r="AF452" s="1501"/>
      <c r="AG452" s="1457" t="str">
        <f t="shared" si="30"/>
        <v>23調査結果-建築物の内部4（29）-調査結果</v>
      </c>
      <c r="AI452" s="1459"/>
      <c r="AJ452" s="1459"/>
      <c r="AK452" s="1459"/>
    </row>
    <row r="453" spans="1:37" s="1457" customFormat="1" ht="18.75" customHeight="1" x14ac:dyDescent="0.15">
      <c r="A453" s="1578"/>
      <c r="B453" s="1462"/>
      <c r="C453" s="1462"/>
      <c r="D453" s="1460">
        <f>'1_入力シート【基本情報】'!$AR$410</f>
        <v>0</v>
      </c>
      <c r="E453" s="1650">
        <f t="shared" si="27"/>
        <v>0</v>
      </c>
      <c r="F453" s="1650" t="str">
        <f t="shared" si="28"/>
        <v>0</v>
      </c>
      <c r="G453" s="1650" t="str">
        <f t="shared" si="29"/>
        <v>0</v>
      </c>
      <c r="H453" s="1468"/>
      <c r="I453" s="1462"/>
      <c r="J453" s="1531"/>
      <c r="K453" s="1462"/>
      <c r="L453" s="1462"/>
      <c r="M453" s="1493"/>
      <c r="N453" s="1462"/>
      <c r="O453" s="1462"/>
      <c r="P453" s="1462"/>
      <c r="Q453" s="1462"/>
      <c r="R453" s="1462"/>
      <c r="S453" s="1462"/>
      <c r="T453" s="1462"/>
      <c r="U453" s="1469">
        <v>23</v>
      </c>
      <c r="V453" s="1486" t="s">
        <v>33</v>
      </c>
      <c r="W453" s="1471" t="s">
        <v>1306</v>
      </c>
      <c r="X453" s="1472" t="s">
        <v>1440</v>
      </c>
      <c r="Y453" s="1473" t="s">
        <v>1306</v>
      </c>
      <c r="Z453" s="1504" t="s">
        <v>1469</v>
      </c>
      <c r="AA453" s="1473" t="s">
        <v>1306</v>
      </c>
      <c r="AB453" s="1470" t="s">
        <v>30</v>
      </c>
      <c r="AC453" s="1499"/>
      <c r="AD453" s="1500"/>
      <c r="AE453" s="1501"/>
      <c r="AF453" s="1501"/>
      <c r="AG453" s="1457" t="str">
        <f t="shared" si="30"/>
        <v>23調査結果-建築物の内部-4（29）-調査者番号</v>
      </c>
      <c r="AI453" s="1459"/>
      <c r="AJ453" s="1459"/>
      <c r="AK453" s="1459"/>
    </row>
    <row r="454" spans="1:37" s="1457" customFormat="1" ht="18.75" customHeight="1" x14ac:dyDescent="0.15">
      <c r="A454" s="1578"/>
      <c r="B454" s="1462"/>
      <c r="C454" s="1462"/>
      <c r="D454" s="1460">
        <f>'1_入力シート【基本情報】'!$AT$410</f>
        <v>0</v>
      </c>
      <c r="E454" s="1650">
        <f t="shared" si="27"/>
        <v>0</v>
      </c>
      <c r="F454" s="1650" t="str">
        <f t="shared" si="28"/>
        <v>0</v>
      </c>
      <c r="G454" s="1650" t="str">
        <f t="shared" si="29"/>
        <v>0</v>
      </c>
      <c r="H454" s="1468"/>
      <c r="I454" s="1462"/>
      <c r="J454" s="1531"/>
      <c r="K454" s="1462"/>
      <c r="L454" s="1462"/>
      <c r="M454" s="1493"/>
      <c r="N454" s="1462"/>
      <c r="O454" s="1462"/>
      <c r="P454" s="1462"/>
      <c r="Q454" s="1462"/>
      <c r="R454" s="1462"/>
      <c r="S454" s="1462"/>
      <c r="T454" s="1462"/>
      <c r="U454" s="1469">
        <v>23</v>
      </c>
      <c r="V454" s="1486" t="s">
        <v>33</v>
      </c>
      <c r="W454" s="1471" t="s">
        <v>1306</v>
      </c>
      <c r="X454" s="1472" t="s">
        <v>1440</v>
      </c>
      <c r="Y454" s="1473" t="s">
        <v>1306</v>
      </c>
      <c r="Z454" s="1504" t="s">
        <v>1469</v>
      </c>
      <c r="AA454" s="1473" t="s">
        <v>1306</v>
      </c>
      <c r="AB454" s="1470" t="s">
        <v>1402</v>
      </c>
      <c r="AC454" s="1499"/>
      <c r="AD454" s="1500"/>
      <c r="AE454" s="1477"/>
      <c r="AF454" s="1477"/>
      <c r="AG454" s="1457" t="str">
        <f t="shared" si="30"/>
        <v>23調査結果-建築物の内部-4（29）-指摘の具体的内容等</v>
      </c>
      <c r="AI454" s="1459"/>
      <c r="AJ454" s="1459"/>
      <c r="AK454" s="1459"/>
    </row>
    <row r="455" spans="1:37" s="1457" customFormat="1" ht="18.75" customHeight="1" x14ac:dyDescent="0.15">
      <c r="A455" s="1578"/>
      <c r="B455" s="1462"/>
      <c r="C455" s="1462"/>
      <c r="D455" s="1460">
        <f>'1_入力シート【基本情報】'!$BD$410</f>
        <v>0</v>
      </c>
      <c r="E455" s="1650">
        <f t="shared" si="27"/>
        <v>0</v>
      </c>
      <c r="F455" s="1650" t="str">
        <f t="shared" si="28"/>
        <v>0</v>
      </c>
      <c r="G455" s="1650" t="str">
        <f t="shared" si="29"/>
        <v>0</v>
      </c>
      <c r="H455" s="1468"/>
      <c r="I455" s="1462"/>
      <c r="J455" s="1531"/>
      <c r="K455" s="1462"/>
      <c r="L455" s="1462"/>
      <c r="M455" s="1493"/>
      <c r="N455" s="1462"/>
      <c r="O455" s="1462"/>
      <c r="P455" s="1462"/>
      <c r="Q455" s="1462"/>
      <c r="R455" s="1462"/>
      <c r="S455" s="1462"/>
      <c r="T455" s="1462"/>
      <c r="U455" s="1469">
        <v>23</v>
      </c>
      <c r="V455" s="1486" t="s">
        <v>33</v>
      </c>
      <c r="W455" s="1471" t="s">
        <v>1306</v>
      </c>
      <c r="X455" s="1472" t="s">
        <v>1440</v>
      </c>
      <c r="Y455" s="1473" t="s">
        <v>1306</v>
      </c>
      <c r="Z455" s="1504" t="s">
        <v>1469</v>
      </c>
      <c r="AA455" s="1473" t="s">
        <v>1306</v>
      </c>
      <c r="AB455" s="1470" t="s">
        <v>1403</v>
      </c>
      <c r="AC455" s="1499"/>
      <c r="AD455" s="1500"/>
      <c r="AE455" s="1501"/>
      <c r="AF455" s="1501"/>
      <c r="AG455" s="1457" t="str">
        <f t="shared" si="30"/>
        <v>23調査結果-建築物の内部-4（29）-改善策の具体的内容等</v>
      </c>
      <c r="AI455" s="1459"/>
      <c r="AJ455" s="1459"/>
      <c r="AK455" s="1459"/>
    </row>
    <row r="456" spans="1:37" s="1457" customFormat="1" ht="18.75" customHeight="1" x14ac:dyDescent="0.15">
      <c r="A456" s="1578"/>
      <c r="B456" s="1462"/>
      <c r="C456" s="1462"/>
      <c r="D456" s="1460">
        <f>'1_入力シート【基本情報】'!$BS$410</f>
        <v>0</v>
      </c>
      <c r="E456" s="1650">
        <f t="shared" si="27"/>
        <v>0</v>
      </c>
      <c r="F456" s="1650" t="str">
        <f t="shared" si="28"/>
        <v>0</v>
      </c>
      <c r="G456" s="1650" t="str">
        <f t="shared" si="29"/>
        <v>0</v>
      </c>
      <c r="H456" s="1468"/>
      <c r="I456" s="1462"/>
      <c r="J456" s="1531"/>
      <c r="K456" s="1462"/>
      <c r="L456" s="1462"/>
      <c r="M456" s="1493"/>
      <c r="N456" s="1462"/>
      <c r="O456" s="1462"/>
      <c r="P456" s="1462"/>
      <c r="Q456" s="1462"/>
      <c r="R456" s="1462"/>
      <c r="S456" s="1462"/>
      <c r="T456" s="1462"/>
      <c r="U456" s="1469">
        <v>23</v>
      </c>
      <c r="V456" s="1486" t="s">
        <v>33</v>
      </c>
      <c r="W456" s="1471" t="s">
        <v>1306</v>
      </c>
      <c r="X456" s="1472" t="s">
        <v>1440</v>
      </c>
      <c r="Y456" s="1473" t="s">
        <v>1306</v>
      </c>
      <c r="Z456" s="1504" t="s">
        <v>1469</v>
      </c>
      <c r="AA456" s="1473" t="s">
        <v>1306</v>
      </c>
      <c r="AB456" s="1486" t="s">
        <v>352</v>
      </c>
      <c r="AC456" s="1499" t="s">
        <v>1366</v>
      </c>
      <c r="AD456" s="1500" t="s">
        <v>1387</v>
      </c>
      <c r="AE456" s="1501"/>
      <c r="AF456" s="1501"/>
      <c r="AG456" s="1457" t="str">
        <f t="shared" si="30"/>
        <v>23調査結果-建築物の内部-4（29）-改善（予定）年月-年（令和）</v>
      </c>
      <c r="AI456" s="1459"/>
      <c r="AJ456" s="1459"/>
      <c r="AK456" s="1459"/>
    </row>
    <row r="457" spans="1:37" s="1457" customFormat="1" ht="18.75" customHeight="1" x14ac:dyDescent="0.15">
      <c r="A457" s="1578"/>
      <c r="B457" s="1462"/>
      <c r="C457" s="1462"/>
      <c r="D457" s="1460">
        <f>'1_入力シート【基本情報】'!$BV$410</f>
        <v>0</v>
      </c>
      <c r="E457" s="1650">
        <f t="shared" si="27"/>
        <v>0</v>
      </c>
      <c r="F457" s="1650" t="str">
        <f t="shared" si="28"/>
        <v>0</v>
      </c>
      <c r="G457" s="1650" t="str">
        <f t="shared" si="29"/>
        <v>0</v>
      </c>
      <c r="H457" s="1468"/>
      <c r="I457" s="1462"/>
      <c r="J457" s="1531"/>
      <c r="K457" s="1462"/>
      <c r="L457" s="1462"/>
      <c r="M457" s="1493"/>
      <c r="N457" s="1462"/>
      <c r="O457" s="1462"/>
      <c r="P457" s="1462"/>
      <c r="Q457" s="1462"/>
      <c r="R457" s="1462"/>
      <c r="S457" s="1462"/>
      <c r="T457" s="1462"/>
      <c r="U457" s="1469">
        <v>23</v>
      </c>
      <c r="V457" s="1486" t="s">
        <v>33</v>
      </c>
      <c r="W457" s="1471" t="s">
        <v>1306</v>
      </c>
      <c r="X457" s="1472" t="s">
        <v>1440</v>
      </c>
      <c r="Y457" s="1473" t="s">
        <v>1306</v>
      </c>
      <c r="Z457" s="1504" t="s">
        <v>1469</v>
      </c>
      <c r="AA457" s="1473" t="s">
        <v>1306</v>
      </c>
      <c r="AB457" s="1486" t="s">
        <v>352</v>
      </c>
      <c r="AC457" s="1499" t="s">
        <v>1366</v>
      </c>
      <c r="AD457" s="1500" t="s">
        <v>348</v>
      </c>
      <c r="AE457" s="1501"/>
      <c r="AF457" s="1501"/>
      <c r="AG457" s="1457" t="str">
        <f t="shared" si="30"/>
        <v>23調査結果-建築物の内部-4（29）-改善（予定）年月-月</v>
      </c>
      <c r="AI457" s="1459"/>
      <c r="AJ457" s="1459"/>
      <c r="AK457" s="1459"/>
    </row>
    <row r="458" spans="1:37" s="1457" customFormat="1" ht="18.75" customHeight="1" x14ac:dyDescent="0.15">
      <c r="A458" s="1578"/>
      <c r="B458" s="1462"/>
      <c r="C458" s="1462"/>
      <c r="D458" s="1460">
        <f>'1_入力シート【基本情報】'!$BY$410</f>
        <v>0</v>
      </c>
      <c r="E458" s="1650">
        <f t="shared" si="27"/>
        <v>0</v>
      </c>
      <c r="F458" s="1650" t="str">
        <f t="shared" si="28"/>
        <v>0</v>
      </c>
      <c r="G458" s="1650" t="str">
        <f t="shared" si="29"/>
        <v>0</v>
      </c>
      <c r="H458" s="1468"/>
      <c r="I458" s="1462"/>
      <c r="J458" s="1531"/>
      <c r="K458" s="1462"/>
      <c r="L458" s="1462"/>
      <c r="M458" s="1493"/>
      <c r="N458" s="1462"/>
      <c r="O458" s="1462"/>
      <c r="P458" s="1462"/>
      <c r="Q458" s="1462"/>
      <c r="R458" s="1462"/>
      <c r="S458" s="1462"/>
      <c r="T458" s="1462"/>
      <c r="U458" s="1469">
        <v>23</v>
      </c>
      <c r="V458" s="1486" t="s">
        <v>33</v>
      </c>
      <c r="W458" s="1471" t="s">
        <v>1306</v>
      </c>
      <c r="X458" s="1472" t="s">
        <v>1440</v>
      </c>
      <c r="Y458" s="1473" t="s">
        <v>1306</v>
      </c>
      <c r="Z458" s="1504" t="s">
        <v>1469</v>
      </c>
      <c r="AA458" s="1473" t="s">
        <v>1306</v>
      </c>
      <c r="AB458" s="1486" t="s">
        <v>352</v>
      </c>
      <c r="AC458" s="1499" t="s">
        <v>1366</v>
      </c>
      <c r="AD458" s="1500" t="s">
        <v>640</v>
      </c>
      <c r="AE458" s="1501"/>
      <c r="AF458" s="1501"/>
      <c r="AG458" s="1457" t="str">
        <f t="shared" si="30"/>
        <v>23調査結果-建築物の内部-4（29）-改善（予定）年月-未定</v>
      </c>
      <c r="AI458" s="1459"/>
      <c r="AJ458" s="1459"/>
      <c r="AK458" s="1459"/>
    </row>
    <row r="459" spans="1:37" s="1457" customFormat="1" ht="18.75" customHeight="1" x14ac:dyDescent="0.15">
      <c r="A459" s="1578"/>
      <c r="B459" s="1462"/>
      <c r="C459" s="1462"/>
      <c r="D459" s="1460">
        <f>'1_入力シート【基本情報】'!$AF$411</f>
        <v>0</v>
      </c>
      <c r="E459" s="1650">
        <f t="shared" si="27"/>
        <v>0</v>
      </c>
      <c r="F459" s="1650" t="str">
        <f t="shared" si="28"/>
        <v>0</v>
      </c>
      <c r="G459" s="1650" t="str">
        <f t="shared" si="29"/>
        <v>0</v>
      </c>
      <c r="H459" s="1468"/>
      <c r="I459" s="1462"/>
      <c r="J459" s="1531"/>
      <c r="K459" s="1462"/>
      <c r="L459" s="1462"/>
      <c r="M459" s="1493"/>
      <c r="N459" s="1462"/>
      <c r="O459" s="1462"/>
      <c r="P459" s="1462"/>
      <c r="Q459" s="1462"/>
      <c r="R459" s="1462"/>
      <c r="S459" s="1462"/>
      <c r="T459" s="1462"/>
      <c r="U459" s="1469">
        <v>23</v>
      </c>
      <c r="V459" s="1486" t="s">
        <v>33</v>
      </c>
      <c r="W459" s="1471" t="s">
        <v>1306</v>
      </c>
      <c r="X459" s="1472" t="s">
        <v>1440</v>
      </c>
      <c r="Y459" s="1473" t="s">
        <v>1306</v>
      </c>
      <c r="Z459" s="1504" t="s">
        <v>1470</v>
      </c>
      <c r="AA459" s="1473" t="s">
        <v>1306</v>
      </c>
      <c r="AB459" s="1470" t="s">
        <v>33</v>
      </c>
      <c r="AC459" s="1475"/>
      <c r="AD459" s="1476"/>
      <c r="AE459" s="1501"/>
      <c r="AF459" s="1501"/>
      <c r="AG459" s="1457" t="str">
        <f t="shared" si="30"/>
        <v>23調査結果-建築物の内部-4（30）-調査結果</v>
      </c>
      <c r="AI459" s="1459"/>
      <c r="AJ459" s="1459"/>
      <c r="AK459" s="1459"/>
    </row>
    <row r="460" spans="1:37" s="1457" customFormat="1" ht="18.75" customHeight="1" x14ac:dyDescent="0.15">
      <c r="A460" s="1578"/>
      <c r="B460" s="1462"/>
      <c r="C460" s="1462"/>
      <c r="D460" s="1460">
        <f>'1_入力シート【基本情報】'!$AR$411</f>
        <v>0</v>
      </c>
      <c r="E460" s="1650">
        <f t="shared" si="27"/>
        <v>0</v>
      </c>
      <c r="F460" s="1650" t="str">
        <f t="shared" si="28"/>
        <v>0</v>
      </c>
      <c r="G460" s="1650" t="str">
        <f t="shared" si="29"/>
        <v>0</v>
      </c>
      <c r="H460" s="1468"/>
      <c r="I460" s="1462"/>
      <c r="J460" s="1531"/>
      <c r="K460" s="1462"/>
      <c r="L460" s="1462"/>
      <c r="M460" s="1493"/>
      <c r="N460" s="1462"/>
      <c r="O460" s="1462"/>
      <c r="P460" s="1462"/>
      <c r="Q460" s="1462"/>
      <c r="R460" s="1462"/>
      <c r="S460" s="1462"/>
      <c r="T460" s="1462"/>
      <c r="U460" s="1469">
        <v>23</v>
      </c>
      <c r="V460" s="1486" t="s">
        <v>33</v>
      </c>
      <c r="W460" s="1471" t="s">
        <v>1306</v>
      </c>
      <c r="X460" s="1472" t="s">
        <v>1440</v>
      </c>
      <c r="Y460" s="1473"/>
      <c r="Z460" s="1504" t="s">
        <v>1470</v>
      </c>
      <c r="AA460" s="1473" t="s">
        <v>1306</v>
      </c>
      <c r="AB460" s="1470" t="s">
        <v>30</v>
      </c>
      <c r="AC460" s="1499"/>
      <c r="AD460" s="1500"/>
      <c r="AE460" s="1501"/>
      <c r="AF460" s="1501"/>
      <c r="AG460" s="1457" t="str">
        <f t="shared" si="30"/>
        <v>23調査結果-建築物の内部4（30）-調査者番号</v>
      </c>
      <c r="AI460" s="1459"/>
      <c r="AJ460" s="1459"/>
      <c r="AK460" s="1459"/>
    </row>
    <row r="461" spans="1:37" s="1457" customFormat="1" ht="18.75" customHeight="1" x14ac:dyDescent="0.15">
      <c r="A461" s="1578"/>
      <c r="B461" s="1462"/>
      <c r="C461" s="1462"/>
      <c r="D461" s="1460">
        <f>'1_入力シート【基本情報】'!$AT$411</f>
        <v>0</v>
      </c>
      <c r="E461" s="1650">
        <f t="shared" si="27"/>
        <v>0</v>
      </c>
      <c r="F461" s="1650" t="str">
        <f t="shared" si="28"/>
        <v>0</v>
      </c>
      <c r="G461" s="1650" t="str">
        <f t="shared" si="29"/>
        <v>0</v>
      </c>
      <c r="H461" s="1468"/>
      <c r="I461" s="1462"/>
      <c r="J461" s="1531"/>
      <c r="K461" s="1462"/>
      <c r="L461" s="1462"/>
      <c r="M461" s="1493"/>
      <c r="N461" s="1462"/>
      <c r="O461" s="1462"/>
      <c r="P461" s="1462"/>
      <c r="Q461" s="1462"/>
      <c r="R461" s="1462"/>
      <c r="S461" s="1462"/>
      <c r="T461" s="1462"/>
      <c r="U461" s="1469">
        <v>23</v>
      </c>
      <c r="V461" s="1486" t="s">
        <v>33</v>
      </c>
      <c r="W461" s="1471" t="s">
        <v>1306</v>
      </c>
      <c r="X461" s="1472" t="s">
        <v>1440</v>
      </c>
      <c r="Y461" s="1473" t="s">
        <v>1306</v>
      </c>
      <c r="Z461" s="1504" t="s">
        <v>1470</v>
      </c>
      <c r="AA461" s="1473" t="s">
        <v>1306</v>
      </c>
      <c r="AB461" s="1470" t="s">
        <v>1402</v>
      </c>
      <c r="AC461" s="1499"/>
      <c r="AD461" s="1500"/>
      <c r="AE461" s="1501"/>
      <c r="AF461" s="1501"/>
      <c r="AG461" s="1457" t="str">
        <f t="shared" si="30"/>
        <v>23調査結果-建築物の内部-4（30）-指摘の具体的内容等</v>
      </c>
      <c r="AI461" s="1459"/>
      <c r="AJ461" s="1459"/>
      <c r="AK461" s="1459"/>
    </row>
    <row r="462" spans="1:37" s="1457" customFormat="1" ht="18.75" customHeight="1" x14ac:dyDescent="0.15">
      <c r="A462" s="1578"/>
      <c r="B462" s="1462"/>
      <c r="C462" s="1462"/>
      <c r="D462" s="1460">
        <f>'1_入力シート【基本情報】'!$BD$411</f>
        <v>0</v>
      </c>
      <c r="E462" s="1650">
        <f t="shared" si="27"/>
        <v>0</v>
      </c>
      <c r="F462" s="1650" t="str">
        <f t="shared" si="28"/>
        <v>0</v>
      </c>
      <c r="G462" s="1650" t="str">
        <f t="shared" si="29"/>
        <v>0</v>
      </c>
      <c r="H462" s="1468"/>
      <c r="I462" s="1462"/>
      <c r="J462" s="1531"/>
      <c r="K462" s="1462"/>
      <c r="L462" s="1462"/>
      <c r="M462" s="1493"/>
      <c r="N462" s="1462"/>
      <c r="O462" s="1462"/>
      <c r="P462" s="1462"/>
      <c r="Q462" s="1462"/>
      <c r="R462" s="1462"/>
      <c r="S462" s="1462"/>
      <c r="T462" s="1462"/>
      <c r="U462" s="1469">
        <v>23</v>
      </c>
      <c r="V462" s="1486" t="s">
        <v>33</v>
      </c>
      <c r="W462" s="1471" t="s">
        <v>1306</v>
      </c>
      <c r="X462" s="1472" t="s">
        <v>1440</v>
      </c>
      <c r="Y462" s="1473" t="s">
        <v>1306</v>
      </c>
      <c r="Z462" s="1504" t="s">
        <v>1470</v>
      </c>
      <c r="AA462" s="1473" t="s">
        <v>1306</v>
      </c>
      <c r="AB462" s="1470" t="s">
        <v>1403</v>
      </c>
      <c r="AC462" s="1499"/>
      <c r="AD462" s="1500"/>
      <c r="AE462" s="1477"/>
      <c r="AF462" s="1477"/>
      <c r="AG462" s="1457" t="str">
        <f t="shared" si="30"/>
        <v>23調査結果-建築物の内部-4（30）-改善策の具体的内容等</v>
      </c>
      <c r="AI462" s="1459"/>
      <c r="AJ462" s="1459"/>
      <c r="AK462" s="1459"/>
    </row>
    <row r="463" spans="1:37" s="1457" customFormat="1" ht="18.75" customHeight="1" x14ac:dyDescent="0.15">
      <c r="A463" s="1578"/>
      <c r="B463" s="1462"/>
      <c r="C463" s="1462"/>
      <c r="D463" s="1460">
        <f>'1_入力シート【基本情報】'!$BS$411</f>
        <v>0</v>
      </c>
      <c r="E463" s="1650">
        <f t="shared" si="27"/>
        <v>0</v>
      </c>
      <c r="F463" s="1650" t="str">
        <f t="shared" si="28"/>
        <v>0</v>
      </c>
      <c r="G463" s="1650" t="str">
        <f t="shared" si="29"/>
        <v>0</v>
      </c>
      <c r="H463" s="1468"/>
      <c r="I463" s="1462"/>
      <c r="J463" s="1531"/>
      <c r="K463" s="1462"/>
      <c r="L463" s="1462"/>
      <c r="M463" s="1493"/>
      <c r="N463" s="1462"/>
      <c r="O463" s="1462"/>
      <c r="P463" s="1462"/>
      <c r="Q463" s="1462"/>
      <c r="R463" s="1462"/>
      <c r="S463" s="1462"/>
      <c r="T463" s="1462"/>
      <c r="U463" s="1469">
        <v>23</v>
      </c>
      <c r="V463" s="1486" t="s">
        <v>33</v>
      </c>
      <c r="W463" s="1471" t="s">
        <v>1306</v>
      </c>
      <c r="X463" s="1472" t="s">
        <v>1440</v>
      </c>
      <c r="Y463" s="1473" t="s">
        <v>1306</v>
      </c>
      <c r="Z463" s="1504" t="s">
        <v>1470</v>
      </c>
      <c r="AA463" s="1473" t="s">
        <v>1306</v>
      </c>
      <c r="AB463" s="1470" t="s">
        <v>352</v>
      </c>
      <c r="AC463" s="1499" t="s">
        <v>1366</v>
      </c>
      <c r="AD463" s="1500" t="s">
        <v>1387</v>
      </c>
      <c r="AE463" s="1501"/>
      <c r="AF463" s="1501"/>
      <c r="AG463" s="1457" t="str">
        <f t="shared" si="30"/>
        <v>23調査結果-建築物の内部-4（30）-改善（予定）年月-年（令和）</v>
      </c>
      <c r="AI463" s="1459"/>
      <c r="AJ463" s="1459"/>
      <c r="AK463" s="1459"/>
    </row>
    <row r="464" spans="1:37" s="1457" customFormat="1" ht="18.75" customHeight="1" x14ac:dyDescent="0.15">
      <c r="A464" s="1578"/>
      <c r="B464" s="1462"/>
      <c r="C464" s="1462"/>
      <c r="D464" s="1460">
        <f>'1_入力シート【基本情報】'!$BV$411</f>
        <v>0</v>
      </c>
      <c r="E464" s="1650">
        <f t="shared" si="27"/>
        <v>0</v>
      </c>
      <c r="F464" s="1650" t="str">
        <f t="shared" si="28"/>
        <v>0</v>
      </c>
      <c r="G464" s="1650" t="str">
        <f t="shared" si="29"/>
        <v>0</v>
      </c>
      <c r="H464" s="1468"/>
      <c r="I464" s="1462"/>
      <c r="J464" s="1531"/>
      <c r="K464" s="1462"/>
      <c r="L464" s="1462"/>
      <c r="M464" s="1493"/>
      <c r="N464" s="1462"/>
      <c r="O464" s="1462"/>
      <c r="P464" s="1462"/>
      <c r="Q464" s="1462"/>
      <c r="R464" s="1462"/>
      <c r="S464" s="1462"/>
      <c r="T464" s="1462"/>
      <c r="U464" s="1469">
        <v>23</v>
      </c>
      <c r="V464" s="1486" t="s">
        <v>33</v>
      </c>
      <c r="W464" s="1471" t="s">
        <v>1306</v>
      </c>
      <c r="X464" s="1472" t="s">
        <v>1440</v>
      </c>
      <c r="Y464" s="1473" t="s">
        <v>1306</v>
      </c>
      <c r="Z464" s="1504" t="s">
        <v>1470</v>
      </c>
      <c r="AA464" s="1473" t="s">
        <v>1306</v>
      </c>
      <c r="AB464" s="1486" t="s">
        <v>352</v>
      </c>
      <c r="AC464" s="1499" t="s">
        <v>1366</v>
      </c>
      <c r="AD464" s="1500" t="s">
        <v>348</v>
      </c>
      <c r="AE464" s="1501"/>
      <c r="AF464" s="1501"/>
      <c r="AG464" s="1457" t="str">
        <f t="shared" si="30"/>
        <v>23調査結果-建築物の内部-4（30）-改善（予定）年月-月</v>
      </c>
      <c r="AI464" s="1459"/>
      <c r="AJ464" s="1459"/>
      <c r="AK464" s="1459"/>
    </row>
    <row r="465" spans="1:37" s="1457" customFormat="1" ht="18.75" customHeight="1" x14ac:dyDescent="0.15">
      <c r="A465" s="1578"/>
      <c r="B465" s="1462"/>
      <c r="C465" s="1462"/>
      <c r="D465" s="1460">
        <f>'1_入力シート【基本情報】'!$BY$411</f>
        <v>0</v>
      </c>
      <c r="E465" s="1650">
        <f t="shared" si="27"/>
        <v>0</v>
      </c>
      <c r="F465" s="1650" t="str">
        <f t="shared" si="28"/>
        <v>0</v>
      </c>
      <c r="G465" s="1650" t="str">
        <f t="shared" si="29"/>
        <v>0</v>
      </c>
      <c r="H465" s="1468"/>
      <c r="I465" s="1462"/>
      <c r="J465" s="1531"/>
      <c r="K465" s="1462"/>
      <c r="L465" s="1462"/>
      <c r="M465" s="1493"/>
      <c r="N465" s="1462"/>
      <c r="O465" s="1462"/>
      <c r="P465" s="1462"/>
      <c r="Q465" s="1462"/>
      <c r="R465" s="1462"/>
      <c r="S465" s="1462"/>
      <c r="T465" s="1462"/>
      <c r="U465" s="1469">
        <v>23</v>
      </c>
      <c r="V465" s="1486" t="s">
        <v>33</v>
      </c>
      <c r="W465" s="1471" t="s">
        <v>1306</v>
      </c>
      <c r="X465" s="1472" t="s">
        <v>1440</v>
      </c>
      <c r="Y465" s="1473" t="s">
        <v>1306</v>
      </c>
      <c r="Z465" s="1504" t="s">
        <v>1470</v>
      </c>
      <c r="AA465" s="1473" t="s">
        <v>1306</v>
      </c>
      <c r="AB465" s="1486" t="s">
        <v>352</v>
      </c>
      <c r="AC465" s="1499" t="s">
        <v>1366</v>
      </c>
      <c r="AD465" s="1500" t="s">
        <v>640</v>
      </c>
      <c r="AE465" s="1501"/>
      <c r="AF465" s="1501"/>
      <c r="AG465" s="1457" t="str">
        <f t="shared" si="30"/>
        <v>23調査結果-建築物の内部-4（30）-改善（予定）年月-未定</v>
      </c>
      <c r="AI465" s="1459"/>
      <c r="AJ465" s="1459"/>
      <c r="AK465" s="1459"/>
    </row>
    <row r="466" spans="1:37" s="1457" customFormat="1" ht="18.75" customHeight="1" x14ac:dyDescent="0.15">
      <c r="A466" s="1578"/>
      <c r="B466" s="1462"/>
      <c r="C466" s="1462"/>
      <c r="D466" s="1460">
        <f>'1_入力シート【基本情報】'!$AF$412</f>
        <v>0</v>
      </c>
      <c r="E466" s="1650">
        <f t="shared" si="27"/>
        <v>0</v>
      </c>
      <c r="F466" s="1650" t="str">
        <f t="shared" si="28"/>
        <v>0</v>
      </c>
      <c r="G466" s="1650" t="str">
        <f t="shared" si="29"/>
        <v>0</v>
      </c>
      <c r="H466" s="1468"/>
      <c r="I466" s="1462"/>
      <c r="J466" s="1531"/>
      <c r="K466" s="1462"/>
      <c r="L466" s="1462"/>
      <c r="M466" s="1493"/>
      <c r="N466" s="1462"/>
      <c r="O466" s="1462"/>
      <c r="P466" s="1462"/>
      <c r="Q466" s="1462"/>
      <c r="R466" s="1462"/>
      <c r="S466" s="1462"/>
      <c r="T466" s="1462"/>
      <c r="U466" s="1469">
        <v>23</v>
      </c>
      <c r="V466" s="1486" t="s">
        <v>33</v>
      </c>
      <c r="W466" s="1471" t="s">
        <v>1306</v>
      </c>
      <c r="X466" s="1472" t="s">
        <v>1440</v>
      </c>
      <c r="Y466" s="1473" t="s">
        <v>1306</v>
      </c>
      <c r="Z466" s="1504" t="s">
        <v>1471</v>
      </c>
      <c r="AA466" s="1473" t="s">
        <v>1306</v>
      </c>
      <c r="AB466" s="1486" t="s">
        <v>33</v>
      </c>
      <c r="AC466" s="1499"/>
      <c r="AD466" s="1500"/>
      <c r="AE466" s="1501"/>
      <c r="AF466" s="1501"/>
      <c r="AG466" s="1457" t="str">
        <f t="shared" si="30"/>
        <v>23調査結果-建築物の内部-4（31）-調査結果</v>
      </c>
      <c r="AI466" s="1459"/>
      <c r="AJ466" s="1459"/>
      <c r="AK466" s="1459"/>
    </row>
    <row r="467" spans="1:37" s="1457" customFormat="1" ht="18.75" customHeight="1" x14ac:dyDescent="0.15">
      <c r="A467" s="1578"/>
      <c r="B467" s="1462"/>
      <c r="C467" s="1462"/>
      <c r="D467" s="1460">
        <f>'1_入力シート【基本情報】'!$AR$412</f>
        <v>0</v>
      </c>
      <c r="E467" s="1650">
        <f t="shared" si="27"/>
        <v>0</v>
      </c>
      <c r="F467" s="1650" t="str">
        <f t="shared" si="28"/>
        <v>0</v>
      </c>
      <c r="G467" s="1650" t="str">
        <f t="shared" si="29"/>
        <v>0</v>
      </c>
      <c r="H467" s="1468"/>
      <c r="I467" s="1462"/>
      <c r="J467" s="1531"/>
      <c r="K467" s="1462"/>
      <c r="L467" s="1462"/>
      <c r="M467" s="1493"/>
      <c r="N467" s="1462"/>
      <c r="O467" s="1462"/>
      <c r="P467" s="1462"/>
      <c r="Q467" s="1462"/>
      <c r="R467" s="1462"/>
      <c r="S467" s="1462"/>
      <c r="T467" s="1462"/>
      <c r="U467" s="1469">
        <v>23</v>
      </c>
      <c r="V467" s="1486" t="s">
        <v>33</v>
      </c>
      <c r="W467" s="1471" t="s">
        <v>1306</v>
      </c>
      <c r="X467" s="1472" t="s">
        <v>1440</v>
      </c>
      <c r="Y467" s="1473" t="s">
        <v>1306</v>
      </c>
      <c r="Z467" s="1504" t="s">
        <v>1471</v>
      </c>
      <c r="AA467" s="1473" t="s">
        <v>1306</v>
      </c>
      <c r="AB467" s="1470" t="s">
        <v>30</v>
      </c>
      <c r="AC467" s="1475"/>
      <c r="AD467" s="1476"/>
      <c r="AE467" s="1501"/>
      <c r="AF467" s="1501"/>
      <c r="AG467" s="1457" t="str">
        <f t="shared" si="30"/>
        <v>23調査結果-建築物の内部-4（31）-調査者番号</v>
      </c>
      <c r="AI467" s="1459"/>
      <c r="AJ467" s="1459"/>
      <c r="AK467" s="1459"/>
    </row>
    <row r="468" spans="1:37" s="1457" customFormat="1" ht="18.75" customHeight="1" x14ac:dyDescent="0.15">
      <c r="A468" s="1578"/>
      <c r="B468" s="1462"/>
      <c r="C468" s="1462"/>
      <c r="D468" s="1460">
        <f>'1_入力シート【基本情報】'!$AT$412</f>
        <v>0</v>
      </c>
      <c r="E468" s="1650">
        <f t="shared" si="27"/>
        <v>0</v>
      </c>
      <c r="F468" s="1650" t="str">
        <f t="shared" si="28"/>
        <v>0</v>
      </c>
      <c r="G468" s="1650" t="str">
        <f t="shared" si="29"/>
        <v>0</v>
      </c>
      <c r="H468" s="1468"/>
      <c r="I468" s="1462"/>
      <c r="J468" s="1531"/>
      <c r="K468" s="1462"/>
      <c r="L468" s="1462"/>
      <c r="M468" s="1493"/>
      <c r="N468" s="1462"/>
      <c r="O468" s="1462"/>
      <c r="P468" s="1462"/>
      <c r="Q468" s="1462"/>
      <c r="R468" s="1462"/>
      <c r="S468" s="1462"/>
      <c r="T468" s="1462"/>
      <c r="U468" s="1469">
        <v>23</v>
      </c>
      <c r="V468" s="1486" t="s">
        <v>33</v>
      </c>
      <c r="W468" s="1471" t="s">
        <v>1306</v>
      </c>
      <c r="X468" s="1472" t="s">
        <v>1440</v>
      </c>
      <c r="Y468" s="1473"/>
      <c r="Z468" s="1504" t="s">
        <v>1471</v>
      </c>
      <c r="AA468" s="1473" t="s">
        <v>1306</v>
      </c>
      <c r="AB468" s="1470" t="s">
        <v>1402</v>
      </c>
      <c r="AC468" s="1499"/>
      <c r="AD468" s="1500"/>
      <c r="AE468" s="1501"/>
      <c r="AF468" s="1501"/>
      <c r="AG468" s="1457" t="str">
        <f t="shared" si="30"/>
        <v>23調査結果-建築物の内部4（31）-指摘の具体的内容等</v>
      </c>
      <c r="AI468" s="1459"/>
      <c r="AJ468" s="1459"/>
      <c r="AK468" s="1459"/>
    </row>
    <row r="469" spans="1:37" s="1457" customFormat="1" ht="18.75" customHeight="1" x14ac:dyDescent="0.15">
      <c r="A469" s="1578"/>
      <c r="B469" s="1462"/>
      <c r="C469" s="1462"/>
      <c r="D469" s="1460">
        <f>'1_入力シート【基本情報】'!$BD$412</f>
        <v>0</v>
      </c>
      <c r="E469" s="1650">
        <f t="shared" si="27"/>
        <v>0</v>
      </c>
      <c r="F469" s="1650" t="str">
        <f t="shared" si="28"/>
        <v>0</v>
      </c>
      <c r="G469" s="1650" t="str">
        <f t="shared" si="29"/>
        <v>0</v>
      </c>
      <c r="H469" s="1468"/>
      <c r="I469" s="1462"/>
      <c r="J469" s="1531"/>
      <c r="K469" s="1462"/>
      <c r="L469" s="1462"/>
      <c r="M469" s="1493"/>
      <c r="N469" s="1462"/>
      <c r="O469" s="1462"/>
      <c r="P469" s="1462"/>
      <c r="Q469" s="1462"/>
      <c r="R469" s="1462"/>
      <c r="S469" s="1462"/>
      <c r="T469" s="1462"/>
      <c r="U469" s="1469">
        <v>23</v>
      </c>
      <c r="V469" s="1486" t="s">
        <v>33</v>
      </c>
      <c r="W469" s="1471" t="s">
        <v>1306</v>
      </c>
      <c r="X469" s="1472" t="s">
        <v>1440</v>
      </c>
      <c r="Y469" s="1473" t="s">
        <v>1306</v>
      </c>
      <c r="Z469" s="1504" t="s">
        <v>1471</v>
      </c>
      <c r="AA469" s="1473" t="s">
        <v>1306</v>
      </c>
      <c r="AB469" s="1470" t="s">
        <v>1403</v>
      </c>
      <c r="AC469" s="1499"/>
      <c r="AD469" s="1500"/>
      <c r="AE469" s="1501"/>
      <c r="AF469" s="1501"/>
      <c r="AG469" s="1457" t="str">
        <f t="shared" si="30"/>
        <v>23調査結果-建築物の内部-4（31）-改善策の具体的内容等</v>
      </c>
      <c r="AI469" s="1459"/>
      <c r="AJ469" s="1459"/>
      <c r="AK469" s="1459"/>
    </row>
    <row r="470" spans="1:37" s="1457" customFormat="1" ht="18.75" customHeight="1" x14ac:dyDescent="0.15">
      <c r="A470" s="1578"/>
      <c r="B470" s="1462"/>
      <c r="C470" s="1462"/>
      <c r="D470" s="1460">
        <f>'1_入力シート【基本情報】'!$BS$412</f>
        <v>0</v>
      </c>
      <c r="E470" s="1650">
        <f t="shared" si="27"/>
        <v>0</v>
      </c>
      <c r="F470" s="1650" t="str">
        <f t="shared" si="28"/>
        <v>0</v>
      </c>
      <c r="G470" s="1650" t="str">
        <f t="shared" si="29"/>
        <v>0</v>
      </c>
      <c r="H470" s="1468"/>
      <c r="I470" s="1462"/>
      <c r="J470" s="1531"/>
      <c r="K470" s="1462"/>
      <c r="L470" s="1462"/>
      <c r="M470" s="1493"/>
      <c r="N470" s="1462"/>
      <c r="O470" s="1462"/>
      <c r="P470" s="1462"/>
      <c r="Q470" s="1462"/>
      <c r="R470" s="1462"/>
      <c r="S470" s="1462"/>
      <c r="T470" s="1462"/>
      <c r="U470" s="1469">
        <v>23</v>
      </c>
      <c r="V470" s="1486" t="s">
        <v>33</v>
      </c>
      <c r="W470" s="1471" t="s">
        <v>1306</v>
      </c>
      <c r="X470" s="1472" t="s">
        <v>1440</v>
      </c>
      <c r="Y470" s="1473" t="s">
        <v>1306</v>
      </c>
      <c r="Z470" s="1504" t="s">
        <v>1471</v>
      </c>
      <c r="AA470" s="1473" t="s">
        <v>1306</v>
      </c>
      <c r="AB470" s="1470" t="s">
        <v>352</v>
      </c>
      <c r="AC470" s="1499" t="s">
        <v>1366</v>
      </c>
      <c r="AD470" s="1500" t="s">
        <v>1387</v>
      </c>
      <c r="AE470" s="1477"/>
      <c r="AF470" s="1477"/>
      <c r="AG470" s="1457" t="str">
        <f t="shared" si="30"/>
        <v>23調査結果-建築物の内部-4（31）-改善（予定）年月-年（令和）</v>
      </c>
      <c r="AI470" s="1459"/>
      <c r="AJ470" s="1459"/>
      <c r="AK470" s="1459"/>
    </row>
    <row r="471" spans="1:37" s="1457" customFormat="1" ht="18.75" customHeight="1" x14ac:dyDescent="0.15">
      <c r="A471" s="1578"/>
      <c r="B471" s="1462"/>
      <c r="C471" s="1462"/>
      <c r="D471" s="1460">
        <f>'1_入力シート【基本情報】'!$BV$412</f>
        <v>0</v>
      </c>
      <c r="E471" s="1650">
        <f t="shared" si="27"/>
        <v>0</v>
      </c>
      <c r="F471" s="1650" t="str">
        <f t="shared" si="28"/>
        <v>0</v>
      </c>
      <c r="G471" s="1650" t="str">
        <f t="shared" si="29"/>
        <v>0</v>
      </c>
      <c r="H471" s="1468"/>
      <c r="I471" s="1462"/>
      <c r="J471" s="1531"/>
      <c r="K471" s="1462"/>
      <c r="L471" s="1462"/>
      <c r="M471" s="1493"/>
      <c r="N471" s="1462"/>
      <c r="O471" s="1462"/>
      <c r="P471" s="1462"/>
      <c r="Q471" s="1462"/>
      <c r="R471" s="1462"/>
      <c r="S471" s="1462"/>
      <c r="T471" s="1462"/>
      <c r="U471" s="1469">
        <v>23</v>
      </c>
      <c r="V471" s="1486" t="s">
        <v>33</v>
      </c>
      <c r="W471" s="1471" t="s">
        <v>1306</v>
      </c>
      <c r="X471" s="1472" t="s">
        <v>1440</v>
      </c>
      <c r="Y471" s="1473" t="s">
        <v>1306</v>
      </c>
      <c r="Z471" s="1504" t="s">
        <v>1471</v>
      </c>
      <c r="AA471" s="1473" t="s">
        <v>1306</v>
      </c>
      <c r="AB471" s="1470" t="s">
        <v>352</v>
      </c>
      <c r="AC471" s="1499" t="s">
        <v>1366</v>
      </c>
      <c r="AD471" s="1500" t="s">
        <v>348</v>
      </c>
      <c r="AE471" s="1501"/>
      <c r="AF471" s="1501"/>
      <c r="AG471" s="1457" t="str">
        <f t="shared" si="30"/>
        <v>23調査結果-建築物の内部-4（31）-改善（予定）年月-月</v>
      </c>
      <c r="AI471" s="1459"/>
      <c r="AJ471" s="1459"/>
      <c r="AK471" s="1459"/>
    </row>
    <row r="472" spans="1:37" s="1457" customFormat="1" ht="18.75" customHeight="1" x14ac:dyDescent="0.15">
      <c r="A472" s="1578"/>
      <c r="B472" s="1462"/>
      <c r="C472" s="1462"/>
      <c r="D472" s="1460">
        <f>'1_入力シート【基本情報】'!$BY$412</f>
        <v>0</v>
      </c>
      <c r="E472" s="1650">
        <f t="shared" si="27"/>
        <v>0</v>
      </c>
      <c r="F472" s="1650" t="str">
        <f t="shared" si="28"/>
        <v>0</v>
      </c>
      <c r="G472" s="1650" t="str">
        <f t="shared" si="29"/>
        <v>0</v>
      </c>
      <c r="H472" s="1468"/>
      <c r="I472" s="1462"/>
      <c r="J472" s="1531"/>
      <c r="K472" s="1462"/>
      <c r="L472" s="1462"/>
      <c r="M472" s="1493"/>
      <c r="N472" s="1462"/>
      <c r="O472" s="1462"/>
      <c r="P472" s="1462"/>
      <c r="Q472" s="1462"/>
      <c r="R472" s="1462"/>
      <c r="S472" s="1462"/>
      <c r="T472" s="1462"/>
      <c r="U472" s="1469">
        <v>23</v>
      </c>
      <c r="V472" s="1486" t="s">
        <v>33</v>
      </c>
      <c r="W472" s="1471" t="s">
        <v>1306</v>
      </c>
      <c r="X472" s="1472" t="s">
        <v>1440</v>
      </c>
      <c r="Y472" s="1473" t="s">
        <v>1306</v>
      </c>
      <c r="Z472" s="1504" t="s">
        <v>1471</v>
      </c>
      <c r="AA472" s="1473" t="s">
        <v>1306</v>
      </c>
      <c r="AB472" s="1486" t="s">
        <v>352</v>
      </c>
      <c r="AC472" s="1499" t="s">
        <v>1366</v>
      </c>
      <c r="AD472" s="1500" t="s">
        <v>640</v>
      </c>
      <c r="AE472" s="1501"/>
      <c r="AF472" s="1501"/>
      <c r="AG472" s="1457" t="str">
        <f t="shared" si="30"/>
        <v>23調査結果-建築物の内部-4（31）-改善（予定）年月-未定</v>
      </c>
      <c r="AI472" s="1459"/>
      <c r="AJ472" s="1459"/>
      <c r="AK472" s="1459"/>
    </row>
    <row r="473" spans="1:37" s="1457" customFormat="1" ht="18.75" customHeight="1" x14ac:dyDescent="0.15">
      <c r="A473" s="1578"/>
      <c r="B473" s="1462"/>
      <c r="C473" s="1462"/>
      <c r="D473" s="1460">
        <f>'1_入力シート【基本情報】'!$AF$413</f>
        <v>0</v>
      </c>
      <c r="E473" s="1650">
        <f t="shared" si="27"/>
        <v>0</v>
      </c>
      <c r="F473" s="1650" t="str">
        <f t="shared" si="28"/>
        <v>0</v>
      </c>
      <c r="G473" s="1650" t="str">
        <f t="shared" si="29"/>
        <v>0</v>
      </c>
      <c r="H473" s="1468"/>
      <c r="I473" s="1462"/>
      <c r="J473" s="1531"/>
      <c r="K473" s="1462"/>
      <c r="L473" s="1462"/>
      <c r="M473" s="1493"/>
      <c r="N473" s="1462"/>
      <c r="O473" s="1462"/>
      <c r="P473" s="1462"/>
      <c r="Q473" s="1462"/>
      <c r="R473" s="1462"/>
      <c r="S473" s="1462"/>
      <c r="T473" s="1462"/>
      <c r="U473" s="1469">
        <v>23</v>
      </c>
      <c r="V473" s="1486" t="s">
        <v>33</v>
      </c>
      <c r="W473" s="1471" t="s">
        <v>1306</v>
      </c>
      <c r="X473" s="1472" t="s">
        <v>1440</v>
      </c>
      <c r="Y473" s="1473" t="s">
        <v>1306</v>
      </c>
      <c r="Z473" s="1504" t="s">
        <v>1472</v>
      </c>
      <c r="AA473" s="1473" t="s">
        <v>1306</v>
      </c>
      <c r="AB473" s="1486" t="s">
        <v>33</v>
      </c>
      <c r="AC473" s="1499"/>
      <c r="AD473" s="1500"/>
      <c r="AE473" s="1501"/>
      <c r="AF473" s="1501"/>
      <c r="AG473" s="1457" t="str">
        <f t="shared" si="30"/>
        <v>23調査結果-建築物の内部-4（32）-調査結果</v>
      </c>
      <c r="AI473" s="1459"/>
      <c r="AJ473" s="1459"/>
      <c r="AK473" s="1459"/>
    </row>
    <row r="474" spans="1:37" s="1457" customFormat="1" ht="18.75" customHeight="1" x14ac:dyDescent="0.15">
      <c r="A474" s="1578"/>
      <c r="B474" s="1462"/>
      <c r="C474" s="1462"/>
      <c r="D474" s="1460">
        <f>'1_入力シート【基本情報】'!$AR$413</f>
        <v>0</v>
      </c>
      <c r="E474" s="1650">
        <f t="shared" si="27"/>
        <v>0</v>
      </c>
      <c r="F474" s="1650" t="str">
        <f t="shared" si="28"/>
        <v>0</v>
      </c>
      <c r="G474" s="1650" t="str">
        <f t="shared" si="29"/>
        <v>0</v>
      </c>
      <c r="H474" s="1468"/>
      <c r="I474" s="1462"/>
      <c r="J474" s="1531"/>
      <c r="K474" s="1462"/>
      <c r="L474" s="1462"/>
      <c r="M474" s="1493"/>
      <c r="N474" s="1462"/>
      <c r="O474" s="1462"/>
      <c r="P474" s="1462"/>
      <c r="Q474" s="1462"/>
      <c r="R474" s="1462"/>
      <c r="S474" s="1462"/>
      <c r="T474" s="1462"/>
      <c r="U474" s="1469">
        <v>23</v>
      </c>
      <c r="V474" s="1486" t="s">
        <v>33</v>
      </c>
      <c r="W474" s="1471" t="s">
        <v>1306</v>
      </c>
      <c r="X474" s="1472" t="s">
        <v>1440</v>
      </c>
      <c r="Y474" s="1473" t="s">
        <v>1306</v>
      </c>
      <c r="Z474" s="1504" t="s">
        <v>1472</v>
      </c>
      <c r="AA474" s="1473" t="s">
        <v>1306</v>
      </c>
      <c r="AB474" s="1486" t="s">
        <v>30</v>
      </c>
      <c r="AC474" s="1499"/>
      <c r="AD474" s="1500"/>
      <c r="AE474" s="1501"/>
      <c r="AF474" s="1501"/>
      <c r="AG474" s="1457" t="str">
        <f t="shared" si="30"/>
        <v>23調査結果-建築物の内部-4（32）-調査者番号</v>
      </c>
      <c r="AI474" s="1459"/>
      <c r="AJ474" s="1459"/>
      <c r="AK474" s="1459"/>
    </row>
    <row r="475" spans="1:37" s="1457" customFormat="1" ht="18.75" customHeight="1" x14ac:dyDescent="0.15">
      <c r="A475" s="1578"/>
      <c r="B475" s="1462"/>
      <c r="C475" s="1462"/>
      <c r="D475" s="1460">
        <f>'1_入力シート【基本情報】'!$AT$413</f>
        <v>0</v>
      </c>
      <c r="E475" s="1650">
        <f t="shared" ref="E475:E538" si="31">D475</f>
        <v>0</v>
      </c>
      <c r="F475" s="1650" t="str">
        <f t="shared" ref="F475:F538" si="32">SUBSTITUTE(E475,CHAR(10),"")</f>
        <v>0</v>
      </c>
      <c r="G475" s="1650" t="str">
        <f t="shared" ref="G475:G538" si="33">TRIM(F475)</f>
        <v>0</v>
      </c>
      <c r="H475" s="1468"/>
      <c r="I475" s="1462"/>
      <c r="J475" s="1531"/>
      <c r="K475" s="1462"/>
      <c r="L475" s="1462"/>
      <c r="M475" s="1493"/>
      <c r="N475" s="1462"/>
      <c r="O475" s="1462"/>
      <c r="P475" s="1462"/>
      <c r="Q475" s="1462"/>
      <c r="R475" s="1462"/>
      <c r="S475" s="1462"/>
      <c r="T475" s="1462"/>
      <c r="U475" s="1469">
        <v>23</v>
      </c>
      <c r="V475" s="1486" t="s">
        <v>33</v>
      </c>
      <c r="W475" s="1471" t="s">
        <v>1306</v>
      </c>
      <c r="X475" s="1472" t="s">
        <v>1440</v>
      </c>
      <c r="Y475" s="1473" t="s">
        <v>1306</v>
      </c>
      <c r="Z475" s="1504" t="s">
        <v>1472</v>
      </c>
      <c r="AA475" s="1473" t="s">
        <v>1306</v>
      </c>
      <c r="AB475" s="1470" t="s">
        <v>1402</v>
      </c>
      <c r="AC475" s="1475"/>
      <c r="AD475" s="1476"/>
      <c r="AE475" s="1501"/>
      <c r="AF475" s="1501"/>
      <c r="AG475" s="1457" t="str">
        <f t="shared" si="30"/>
        <v>23調査結果-建築物の内部-4（32）-指摘の具体的内容等</v>
      </c>
      <c r="AI475" s="1459"/>
      <c r="AJ475" s="1459"/>
      <c r="AK475" s="1459"/>
    </row>
    <row r="476" spans="1:37" s="1457" customFormat="1" ht="18.75" customHeight="1" x14ac:dyDescent="0.15">
      <c r="A476" s="1578"/>
      <c r="B476" s="1462"/>
      <c r="C476" s="1462"/>
      <c r="D476" s="1460">
        <f>'1_入力シート【基本情報】'!$BD$413</f>
        <v>0</v>
      </c>
      <c r="E476" s="1650">
        <f t="shared" si="31"/>
        <v>0</v>
      </c>
      <c r="F476" s="1650" t="str">
        <f t="shared" si="32"/>
        <v>0</v>
      </c>
      <c r="G476" s="1650" t="str">
        <f t="shared" si="33"/>
        <v>0</v>
      </c>
      <c r="H476" s="1468"/>
      <c r="I476" s="1462"/>
      <c r="J476" s="1531"/>
      <c r="K476" s="1462"/>
      <c r="L476" s="1462"/>
      <c r="M476" s="1493"/>
      <c r="N476" s="1462"/>
      <c r="O476" s="1462"/>
      <c r="P476" s="1462"/>
      <c r="Q476" s="1462"/>
      <c r="R476" s="1462"/>
      <c r="S476" s="1462"/>
      <c r="T476" s="1462"/>
      <c r="U476" s="1469">
        <v>23</v>
      </c>
      <c r="V476" s="1486" t="s">
        <v>33</v>
      </c>
      <c r="W476" s="1471" t="s">
        <v>1306</v>
      </c>
      <c r="X476" s="1472" t="s">
        <v>1440</v>
      </c>
      <c r="Y476" s="1473"/>
      <c r="Z476" s="1504" t="s">
        <v>1472</v>
      </c>
      <c r="AA476" s="1473" t="s">
        <v>1306</v>
      </c>
      <c r="AB476" s="1470" t="s">
        <v>1403</v>
      </c>
      <c r="AC476" s="1499"/>
      <c r="AD476" s="1500"/>
      <c r="AE476" s="1501"/>
      <c r="AF476" s="1501"/>
      <c r="AG476" s="1457" t="str">
        <f t="shared" si="30"/>
        <v>23調査結果-建築物の内部4（32）-改善策の具体的内容等</v>
      </c>
      <c r="AI476" s="1459"/>
      <c r="AJ476" s="1459"/>
      <c r="AK476" s="1459"/>
    </row>
    <row r="477" spans="1:37" s="1457" customFormat="1" ht="18.75" customHeight="1" x14ac:dyDescent="0.15">
      <c r="A477" s="1578"/>
      <c r="B477" s="1462"/>
      <c r="C477" s="1462"/>
      <c r="D477" s="1460">
        <f>'1_入力シート【基本情報】'!$BS$413</f>
        <v>0</v>
      </c>
      <c r="E477" s="1650">
        <f t="shared" si="31"/>
        <v>0</v>
      </c>
      <c r="F477" s="1650" t="str">
        <f t="shared" si="32"/>
        <v>0</v>
      </c>
      <c r="G477" s="1650" t="str">
        <f t="shared" si="33"/>
        <v>0</v>
      </c>
      <c r="H477" s="1468"/>
      <c r="I477" s="1462"/>
      <c r="J477" s="1531"/>
      <c r="K477" s="1462"/>
      <c r="L477" s="1462"/>
      <c r="M477" s="1493"/>
      <c r="N477" s="1462"/>
      <c r="O477" s="1462"/>
      <c r="P477" s="1462"/>
      <c r="Q477" s="1462"/>
      <c r="R477" s="1462"/>
      <c r="S477" s="1462"/>
      <c r="T477" s="1462"/>
      <c r="U477" s="1469">
        <v>23</v>
      </c>
      <c r="V477" s="1486" t="s">
        <v>33</v>
      </c>
      <c r="W477" s="1471" t="s">
        <v>1306</v>
      </c>
      <c r="X477" s="1472" t="s">
        <v>1440</v>
      </c>
      <c r="Y477" s="1473" t="s">
        <v>1306</v>
      </c>
      <c r="Z477" s="1504" t="s">
        <v>1472</v>
      </c>
      <c r="AA477" s="1473" t="s">
        <v>1306</v>
      </c>
      <c r="AB477" s="1470" t="s">
        <v>352</v>
      </c>
      <c r="AC477" s="1499" t="s">
        <v>1366</v>
      </c>
      <c r="AD477" s="1500" t="s">
        <v>1387</v>
      </c>
      <c r="AE477" s="1501"/>
      <c r="AF477" s="1501"/>
      <c r="AG477" s="1457" t="str">
        <f t="shared" si="30"/>
        <v>23調査結果-建築物の内部-4（32）-改善（予定）年月-年（令和）</v>
      </c>
      <c r="AI477" s="1459"/>
      <c r="AJ477" s="1459"/>
      <c r="AK477" s="1459"/>
    </row>
    <row r="478" spans="1:37" s="1457" customFormat="1" ht="18.75" customHeight="1" x14ac:dyDescent="0.15">
      <c r="A478" s="1578"/>
      <c r="B478" s="1462"/>
      <c r="C478" s="1462"/>
      <c r="D478" s="1460">
        <f>'1_入力シート【基本情報】'!$BV$413</f>
        <v>0</v>
      </c>
      <c r="E478" s="1650">
        <f t="shared" si="31"/>
        <v>0</v>
      </c>
      <c r="F478" s="1650" t="str">
        <f t="shared" si="32"/>
        <v>0</v>
      </c>
      <c r="G478" s="1650" t="str">
        <f t="shared" si="33"/>
        <v>0</v>
      </c>
      <c r="H478" s="1468"/>
      <c r="I478" s="1462"/>
      <c r="J478" s="1531"/>
      <c r="K478" s="1462"/>
      <c r="L478" s="1462"/>
      <c r="M478" s="1493"/>
      <c r="N478" s="1462"/>
      <c r="O478" s="1462"/>
      <c r="P478" s="1462"/>
      <c r="Q478" s="1462"/>
      <c r="R478" s="1462"/>
      <c r="S478" s="1462"/>
      <c r="T478" s="1462"/>
      <c r="U478" s="1469">
        <v>23</v>
      </c>
      <c r="V478" s="1486" t="s">
        <v>33</v>
      </c>
      <c r="W478" s="1471" t="s">
        <v>1306</v>
      </c>
      <c r="X478" s="1472" t="s">
        <v>1440</v>
      </c>
      <c r="Y478" s="1473" t="s">
        <v>1306</v>
      </c>
      <c r="Z478" s="1504" t="s">
        <v>1472</v>
      </c>
      <c r="AA478" s="1473" t="s">
        <v>1306</v>
      </c>
      <c r="AB478" s="1470" t="s">
        <v>352</v>
      </c>
      <c r="AC478" s="1499" t="s">
        <v>1366</v>
      </c>
      <c r="AD478" s="1500" t="s">
        <v>348</v>
      </c>
      <c r="AE478" s="1477"/>
      <c r="AF478" s="1477"/>
      <c r="AG478" s="1457" t="str">
        <f t="shared" si="30"/>
        <v>23調査結果-建築物の内部-4（32）-改善（予定）年月-月</v>
      </c>
      <c r="AI478" s="1459"/>
      <c r="AJ478" s="1459"/>
      <c r="AK478" s="1459"/>
    </row>
    <row r="479" spans="1:37" s="1457" customFormat="1" ht="18.75" customHeight="1" x14ac:dyDescent="0.15">
      <c r="A479" s="1578"/>
      <c r="B479" s="1462"/>
      <c r="C479" s="1462"/>
      <c r="D479" s="1460">
        <f>'1_入力シート【基本情報】'!$BY$413</f>
        <v>0</v>
      </c>
      <c r="E479" s="1650">
        <f t="shared" si="31"/>
        <v>0</v>
      </c>
      <c r="F479" s="1650" t="str">
        <f t="shared" si="32"/>
        <v>0</v>
      </c>
      <c r="G479" s="1650" t="str">
        <f t="shared" si="33"/>
        <v>0</v>
      </c>
      <c r="H479" s="1468"/>
      <c r="I479" s="1462"/>
      <c r="J479" s="1531"/>
      <c r="K479" s="1462"/>
      <c r="L479" s="1462"/>
      <c r="M479" s="1493"/>
      <c r="N479" s="1462"/>
      <c r="O479" s="1462"/>
      <c r="P479" s="1462"/>
      <c r="Q479" s="1462"/>
      <c r="R479" s="1462"/>
      <c r="S479" s="1462"/>
      <c r="T479" s="1462"/>
      <c r="U479" s="1469">
        <v>23</v>
      </c>
      <c r="V479" s="1486" t="s">
        <v>33</v>
      </c>
      <c r="W479" s="1471" t="s">
        <v>1306</v>
      </c>
      <c r="X479" s="1472" t="s">
        <v>1440</v>
      </c>
      <c r="Y479" s="1473" t="s">
        <v>1306</v>
      </c>
      <c r="Z479" s="1504" t="s">
        <v>1472</v>
      </c>
      <c r="AA479" s="1473" t="s">
        <v>1306</v>
      </c>
      <c r="AB479" s="1470" t="s">
        <v>352</v>
      </c>
      <c r="AC479" s="1499" t="s">
        <v>1366</v>
      </c>
      <c r="AD479" s="1500" t="s">
        <v>640</v>
      </c>
      <c r="AE479" s="1501"/>
      <c r="AF479" s="1501"/>
      <c r="AG479" s="1457" t="str">
        <f t="shared" si="30"/>
        <v>23調査結果-建築物の内部-4（32）-改善（予定）年月-未定</v>
      </c>
      <c r="AI479" s="1459"/>
      <c r="AJ479" s="1459"/>
      <c r="AK479" s="1459"/>
    </row>
    <row r="480" spans="1:37" s="1457" customFormat="1" ht="18.75" customHeight="1" x14ac:dyDescent="0.15">
      <c r="A480" s="1578"/>
      <c r="B480" s="1462"/>
      <c r="C480" s="1462"/>
      <c r="D480" s="1460">
        <f>'1_入力シート【基本情報】'!$AF$414</f>
        <v>0</v>
      </c>
      <c r="E480" s="1650">
        <f t="shared" si="31"/>
        <v>0</v>
      </c>
      <c r="F480" s="1650" t="str">
        <f t="shared" si="32"/>
        <v>0</v>
      </c>
      <c r="G480" s="1650" t="str">
        <f t="shared" si="33"/>
        <v>0</v>
      </c>
      <c r="H480" s="1468"/>
      <c r="I480" s="1462"/>
      <c r="J480" s="1531"/>
      <c r="K480" s="1462"/>
      <c r="L480" s="1462"/>
      <c r="M480" s="1493"/>
      <c r="N480" s="1462"/>
      <c r="O480" s="1462"/>
      <c r="P480" s="1462"/>
      <c r="Q480" s="1462"/>
      <c r="R480" s="1462"/>
      <c r="S480" s="1462"/>
      <c r="T480" s="1462"/>
      <c r="U480" s="1469">
        <v>23</v>
      </c>
      <c r="V480" s="1486" t="s">
        <v>33</v>
      </c>
      <c r="W480" s="1471" t="s">
        <v>1306</v>
      </c>
      <c r="X480" s="1472" t="s">
        <v>1440</v>
      </c>
      <c r="Y480" s="1473" t="s">
        <v>1306</v>
      </c>
      <c r="Z480" s="1504" t="s">
        <v>1473</v>
      </c>
      <c r="AA480" s="1473" t="s">
        <v>1306</v>
      </c>
      <c r="AB480" s="1486" t="s">
        <v>33</v>
      </c>
      <c r="AC480" s="1499"/>
      <c r="AD480" s="1500"/>
      <c r="AE480" s="1501"/>
      <c r="AF480" s="1501"/>
      <c r="AG480" s="1457" t="str">
        <f t="shared" si="30"/>
        <v>23調査結果-建築物の内部-4（33）-調査結果</v>
      </c>
      <c r="AI480" s="1459"/>
      <c r="AJ480" s="1459"/>
      <c r="AK480" s="1459"/>
    </row>
    <row r="481" spans="1:37" s="1457" customFormat="1" ht="18.75" customHeight="1" x14ac:dyDescent="0.15">
      <c r="A481" s="1578"/>
      <c r="B481" s="1462"/>
      <c r="C481" s="1462"/>
      <c r="D481" s="1460">
        <f>'1_入力シート【基本情報】'!$AR$414</f>
        <v>0</v>
      </c>
      <c r="E481" s="1650">
        <f t="shared" si="31"/>
        <v>0</v>
      </c>
      <c r="F481" s="1650" t="str">
        <f t="shared" si="32"/>
        <v>0</v>
      </c>
      <c r="G481" s="1650" t="str">
        <f t="shared" si="33"/>
        <v>0</v>
      </c>
      <c r="H481" s="1468"/>
      <c r="I481" s="1462"/>
      <c r="J481" s="1531"/>
      <c r="K481" s="1462"/>
      <c r="L481" s="1462"/>
      <c r="M481" s="1493"/>
      <c r="N481" s="1462"/>
      <c r="O481" s="1462"/>
      <c r="P481" s="1462"/>
      <c r="Q481" s="1462"/>
      <c r="R481" s="1462"/>
      <c r="S481" s="1462"/>
      <c r="T481" s="1462"/>
      <c r="U481" s="1469">
        <v>23</v>
      </c>
      <c r="V481" s="1486" t="s">
        <v>33</v>
      </c>
      <c r="W481" s="1471" t="s">
        <v>1306</v>
      </c>
      <c r="X481" s="1472" t="s">
        <v>1440</v>
      </c>
      <c r="Y481" s="1473" t="s">
        <v>1306</v>
      </c>
      <c r="Z481" s="1504" t="s">
        <v>1473</v>
      </c>
      <c r="AA481" s="1473" t="s">
        <v>1306</v>
      </c>
      <c r="AB481" s="1486" t="s">
        <v>30</v>
      </c>
      <c r="AC481" s="1499"/>
      <c r="AD481" s="1500"/>
      <c r="AE481" s="1501"/>
      <c r="AF481" s="1501"/>
      <c r="AG481" s="1457" t="str">
        <f t="shared" si="30"/>
        <v>23調査結果-建築物の内部-4（33）-調査者番号</v>
      </c>
      <c r="AI481" s="1459"/>
      <c r="AJ481" s="1459"/>
      <c r="AK481" s="1459"/>
    </row>
    <row r="482" spans="1:37" s="1457" customFormat="1" ht="18.75" customHeight="1" x14ac:dyDescent="0.15">
      <c r="A482" s="1578"/>
      <c r="B482" s="1462"/>
      <c r="C482" s="1462"/>
      <c r="D482" s="1460">
        <f>'1_入力シート【基本情報】'!$AT$414</f>
        <v>0</v>
      </c>
      <c r="E482" s="1650">
        <f t="shared" si="31"/>
        <v>0</v>
      </c>
      <c r="F482" s="1650" t="str">
        <f t="shared" si="32"/>
        <v>0</v>
      </c>
      <c r="G482" s="1650" t="str">
        <f t="shared" si="33"/>
        <v>0</v>
      </c>
      <c r="H482" s="1468"/>
      <c r="I482" s="1462"/>
      <c r="J482" s="1531"/>
      <c r="K482" s="1462"/>
      <c r="L482" s="1462"/>
      <c r="M482" s="1493"/>
      <c r="N482" s="1462"/>
      <c r="O482" s="1462"/>
      <c r="P482" s="1462"/>
      <c r="Q482" s="1462"/>
      <c r="R482" s="1462"/>
      <c r="S482" s="1462"/>
      <c r="T482" s="1462"/>
      <c r="U482" s="1469">
        <v>23</v>
      </c>
      <c r="V482" s="1486" t="s">
        <v>33</v>
      </c>
      <c r="W482" s="1471" t="s">
        <v>1306</v>
      </c>
      <c r="X482" s="1472" t="s">
        <v>1440</v>
      </c>
      <c r="Y482" s="1473" t="s">
        <v>1306</v>
      </c>
      <c r="Z482" s="1504" t="s">
        <v>1473</v>
      </c>
      <c r="AA482" s="1473" t="s">
        <v>1306</v>
      </c>
      <c r="AB482" s="1486" t="s">
        <v>1402</v>
      </c>
      <c r="AC482" s="1499"/>
      <c r="AD482" s="1500"/>
      <c r="AE482" s="1501"/>
      <c r="AF482" s="1501"/>
      <c r="AG482" s="1457" t="str">
        <f t="shared" si="30"/>
        <v>23調査結果-建築物の内部-4（33）-指摘の具体的内容等</v>
      </c>
      <c r="AI482" s="1459"/>
      <c r="AJ482" s="1459"/>
      <c r="AK482" s="1459"/>
    </row>
    <row r="483" spans="1:37" s="1457" customFormat="1" ht="18.75" customHeight="1" x14ac:dyDescent="0.15">
      <c r="A483" s="1578"/>
      <c r="B483" s="1462"/>
      <c r="C483" s="1462"/>
      <c r="D483" s="1460">
        <f>'1_入力シート【基本情報】'!$BD$414</f>
        <v>0</v>
      </c>
      <c r="E483" s="1650">
        <f t="shared" si="31"/>
        <v>0</v>
      </c>
      <c r="F483" s="1650" t="str">
        <f t="shared" si="32"/>
        <v>0</v>
      </c>
      <c r="G483" s="1650" t="str">
        <f t="shared" si="33"/>
        <v>0</v>
      </c>
      <c r="H483" s="1468"/>
      <c r="I483" s="1462"/>
      <c r="J483" s="1531"/>
      <c r="K483" s="1462"/>
      <c r="L483" s="1462"/>
      <c r="M483" s="1493"/>
      <c r="N483" s="1462"/>
      <c r="O483" s="1462"/>
      <c r="P483" s="1462"/>
      <c r="Q483" s="1462"/>
      <c r="R483" s="1462"/>
      <c r="S483" s="1462"/>
      <c r="T483" s="1462"/>
      <c r="U483" s="1469">
        <v>23</v>
      </c>
      <c r="V483" s="1486" t="s">
        <v>33</v>
      </c>
      <c r="W483" s="1471" t="s">
        <v>1306</v>
      </c>
      <c r="X483" s="1472" t="s">
        <v>1440</v>
      </c>
      <c r="Y483" s="1473" t="s">
        <v>1306</v>
      </c>
      <c r="Z483" s="1504" t="s">
        <v>1473</v>
      </c>
      <c r="AA483" s="1473" t="s">
        <v>1306</v>
      </c>
      <c r="AB483" s="1470" t="s">
        <v>1403</v>
      </c>
      <c r="AC483" s="1475"/>
      <c r="AD483" s="1476"/>
      <c r="AE483" s="1501"/>
      <c r="AF483" s="1501"/>
      <c r="AG483" s="1457" t="str">
        <f t="shared" si="30"/>
        <v>23調査結果-建築物の内部-4（33）-改善策の具体的内容等</v>
      </c>
      <c r="AI483" s="1459"/>
      <c r="AJ483" s="1459"/>
      <c r="AK483" s="1459"/>
    </row>
    <row r="484" spans="1:37" s="1457" customFormat="1" ht="18.75" customHeight="1" x14ac:dyDescent="0.15">
      <c r="A484" s="1578"/>
      <c r="B484" s="1462"/>
      <c r="C484" s="1462"/>
      <c r="D484" s="1460">
        <f>'1_入力シート【基本情報】'!$BS$414</f>
        <v>0</v>
      </c>
      <c r="E484" s="1650">
        <f t="shared" si="31"/>
        <v>0</v>
      </c>
      <c r="F484" s="1650" t="str">
        <f t="shared" si="32"/>
        <v>0</v>
      </c>
      <c r="G484" s="1650" t="str">
        <f t="shared" si="33"/>
        <v>0</v>
      </c>
      <c r="H484" s="1468"/>
      <c r="I484" s="1462"/>
      <c r="J484" s="1531"/>
      <c r="K484" s="1462"/>
      <c r="L484" s="1462"/>
      <c r="M484" s="1493"/>
      <c r="N484" s="1462"/>
      <c r="O484" s="1462"/>
      <c r="P484" s="1462"/>
      <c r="Q484" s="1462"/>
      <c r="R484" s="1462"/>
      <c r="S484" s="1462"/>
      <c r="T484" s="1462"/>
      <c r="U484" s="1469">
        <v>23</v>
      </c>
      <c r="V484" s="1486" t="s">
        <v>33</v>
      </c>
      <c r="W484" s="1471" t="s">
        <v>1306</v>
      </c>
      <c r="X484" s="1472" t="s">
        <v>1440</v>
      </c>
      <c r="Y484" s="1473"/>
      <c r="Z484" s="1504" t="s">
        <v>1473</v>
      </c>
      <c r="AA484" s="1473" t="s">
        <v>1306</v>
      </c>
      <c r="AB484" s="1470" t="s">
        <v>352</v>
      </c>
      <c r="AC484" s="1499" t="s">
        <v>1366</v>
      </c>
      <c r="AD484" s="1500" t="s">
        <v>1387</v>
      </c>
      <c r="AE484" s="1501"/>
      <c r="AF484" s="1501"/>
      <c r="AG484" s="1457" t="str">
        <f t="shared" si="30"/>
        <v>23調査結果-建築物の内部4（33）-改善（予定）年月-年（令和）</v>
      </c>
      <c r="AI484" s="1459"/>
      <c r="AJ484" s="1459"/>
      <c r="AK484" s="1459"/>
    </row>
    <row r="485" spans="1:37" s="1457" customFormat="1" ht="18.75" customHeight="1" x14ac:dyDescent="0.15">
      <c r="A485" s="1578"/>
      <c r="B485" s="1462"/>
      <c r="C485" s="1462"/>
      <c r="D485" s="1460">
        <f>'1_入力シート【基本情報】'!$BV$414</f>
        <v>0</v>
      </c>
      <c r="E485" s="1650">
        <f t="shared" si="31"/>
        <v>0</v>
      </c>
      <c r="F485" s="1650" t="str">
        <f t="shared" si="32"/>
        <v>0</v>
      </c>
      <c r="G485" s="1650" t="str">
        <f t="shared" si="33"/>
        <v>0</v>
      </c>
      <c r="H485" s="1468"/>
      <c r="I485" s="1462"/>
      <c r="J485" s="1531"/>
      <c r="K485" s="1462"/>
      <c r="L485" s="1462"/>
      <c r="M485" s="1493"/>
      <c r="N485" s="1462"/>
      <c r="O485" s="1462"/>
      <c r="P485" s="1462"/>
      <c r="Q485" s="1462"/>
      <c r="R485" s="1462"/>
      <c r="S485" s="1462"/>
      <c r="T485" s="1462"/>
      <c r="U485" s="1469">
        <v>23</v>
      </c>
      <c r="V485" s="1486" t="s">
        <v>33</v>
      </c>
      <c r="W485" s="1471" t="s">
        <v>1306</v>
      </c>
      <c r="X485" s="1472" t="s">
        <v>1440</v>
      </c>
      <c r="Y485" s="1473" t="s">
        <v>1306</v>
      </c>
      <c r="Z485" s="1504" t="s">
        <v>1473</v>
      </c>
      <c r="AA485" s="1473" t="s">
        <v>1306</v>
      </c>
      <c r="AB485" s="1470" t="s">
        <v>352</v>
      </c>
      <c r="AC485" s="1499" t="s">
        <v>1366</v>
      </c>
      <c r="AD485" s="1500" t="s">
        <v>348</v>
      </c>
      <c r="AE485" s="1501"/>
      <c r="AF485" s="1501"/>
      <c r="AG485" s="1457" t="str">
        <f t="shared" si="30"/>
        <v>23調査結果-建築物の内部-4（33）-改善（予定）年月-月</v>
      </c>
      <c r="AI485" s="1459"/>
      <c r="AJ485" s="1459"/>
      <c r="AK485" s="1459"/>
    </row>
    <row r="486" spans="1:37" s="1457" customFormat="1" ht="18.75" customHeight="1" x14ac:dyDescent="0.15">
      <c r="A486" s="1578"/>
      <c r="B486" s="1462"/>
      <c r="C486" s="1462"/>
      <c r="D486" s="1460">
        <f>'1_入力シート【基本情報】'!$BY$414</f>
        <v>0</v>
      </c>
      <c r="E486" s="1650">
        <f t="shared" si="31"/>
        <v>0</v>
      </c>
      <c r="F486" s="1650" t="str">
        <f t="shared" si="32"/>
        <v>0</v>
      </c>
      <c r="G486" s="1650" t="str">
        <f t="shared" si="33"/>
        <v>0</v>
      </c>
      <c r="H486" s="1468"/>
      <c r="I486" s="1462"/>
      <c r="J486" s="1531"/>
      <c r="K486" s="1462"/>
      <c r="L486" s="1462"/>
      <c r="M486" s="1493"/>
      <c r="N486" s="1462"/>
      <c r="O486" s="1462"/>
      <c r="P486" s="1462"/>
      <c r="Q486" s="1462"/>
      <c r="R486" s="1462"/>
      <c r="S486" s="1462"/>
      <c r="T486" s="1462"/>
      <c r="U486" s="1469">
        <v>23</v>
      </c>
      <c r="V486" s="1486" t="s">
        <v>33</v>
      </c>
      <c r="W486" s="1471" t="s">
        <v>1306</v>
      </c>
      <c r="X486" s="1472" t="s">
        <v>1440</v>
      </c>
      <c r="Y486" s="1473" t="s">
        <v>1306</v>
      </c>
      <c r="Z486" s="1504" t="s">
        <v>1473</v>
      </c>
      <c r="AA486" s="1473" t="s">
        <v>1306</v>
      </c>
      <c r="AB486" s="1470" t="s">
        <v>352</v>
      </c>
      <c r="AC486" s="1499" t="s">
        <v>1366</v>
      </c>
      <c r="AD486" s="1500" t="s">
        <v>640</v>
      </c>
      <c r="AE486" s="1477"/>
      <c r="AF486" s="1477"/>
      <c r="AG486" s="1457" t="str">
        <f t="shared" si="30"/>
        <v>23調査結果-建築物の内部-4（33）-改善（予定）年月-未定</v>
      </c>
      <c r="AI486" s="1459"/>
      <c r="AJ486" s="1459"/>
      <c r="AK486" s="1459"/>
    </row>
    <row r="487" spans="1:37" s="1457" customFormat="1" ht="18.75" customHeight="1" x14ac:dyDescent="0.15">
      <c r="A487" s="1578"/>
      <c r="B487" s="1462"/>
      <c r="C487" s="1462"/>
      <c r="D487" s="1460">
        <f>'1_入力シート【基本情報】'!$AF$415</f>
        <v>0</v>
      </c>
      <c r="E487" s="1650">
        <f t="shared" si="31"/>
        <v>0</v>
      </c>
      <c r="F487" s="1650" t="str">
        <f t="shared" si="32"/>
        <v>0</v>
      </c>
      <c r="G487" s="1650" t="str">
        <f t="shared" si="33"/>
        <v>0</v>
      </c>
      <c r="H487" s="1468"/>
      <c r="I487" s="1462"/>
      <c r="J487" s="1531"/>
      <c r="K487" s="1462"/>
      <c r="L487" s="1462"/>
      <c r="M487" s="1493"/>
      <c r="N487" s="1462"/>
      <c r="O487" s="1462"/>
      <c r="P487" s="1462"/>
      <c r="Q487" s="1462"/>
      <c r="R487" s="1462"/>
      <c r="S487" s="1462"/>
      <c r="T487" s="1462"/>
      <c r="U487" s="1469">
        <v>23</v>
      </c>
      <c r="V487" s="1486" t="s">
        <v>33</v>
      </c>
      <c r="W487" s="1471" t="s">
        <v>1306</v>
      </c>
      <c r="X487" s="1472" t="s">
        <v>1440</v>
      </c>
      <c r="Y487" s="1473" t="s">
        <v>1306</v>
      </c>
      <c r="Z487" s="1504" t="s">
        <v>1474</v>
      </c>
      <c r="AA487" s="1473" t="s">
        <v>1306</v>
      </c>
      <c r="AB487" s="1470" t="s">
        <v>33</v>
      </c>
      <c r="AC487" s="1499"/>
      <c r="AD487" s="1500"/>
      <c r="AE487" s="1501"/>
      <c r="AF487" s="1501"/>
      <c r="AG487" s="1457" t="str">
        <f t="shared" si="30"/>
        <v>23調査結果-建築物の内部-4（34）-調査結果</v>
      </c>
      <c r="AI487" s="1459"/>
      <c r="AJ487" s="1459"/>
      <c r="AK487" s="1459"/>
    </row>
    <row r="488" spans="1:37" s="1457" customFormat="1" ht="18.75" customHeight="1" x14ac:dyDescent="0.15">
      <c r="A488" s="1578"/>
      <c r="B488" s="1462"/>
      <c r="C488" s="1462"/>
      <c r="D488" s="1460">
        <f>'1_入力シート【基本情報】'!$AR$415</f>
        <v>0</v>
      </c>
      <c r="E488" s="1650">
        <f t="shared" si="31"/>
        <v>0</v>
      </c>
      <c r="F488" s="1650" t="str">
        <f t="shared" si="32"/>
        <v>0</v>
      </c>
      <c r="G488" s="1650" t="str">
        <f t="shared" si="33"/>
        <v>0</v>
      </c>
      <c r="H488" s="1468"/>
      <c r="I488" s="1462"/>
      <c r="J488" s="1531"/>
      <c r="K488" s="1462"/>
      <c r="L488" s="1462"/>
      <c r="M488" s="1493"/>
      <c r="N488" s="1462"/>
      <c r="O488" s="1462"/>
      <c r="P488" s="1462"/>
      <c r="Q488" s="1462"/>
      <c r="R488" s="1462"/>
      <c r="S488" s="1462"/>
      <c r="T488" s="1462"/>
      <c r="U488" s="1469">
        <v>23</v>
      </c>
      <c r="V488" s="1486" t="s">
        <v>33</v>
      </c>
      <c r="W488" s="1471" t="s">
        <v>1306</v>
      </c>
      <c r="X488" s="1472" t="s">
        <v>1440</v>
      </c>
      <c r="Y488" s="1473" t="s">
        <v>1306</v>
      </c>
      <c r="Z488" s="1504" t="s">
        <v>1474</v>
      </c>
      <c r="AA488" s="1473" t="s">
        <v>1306</v>
      </c>
      <c r="AB488" s="1486" t="s">
        <v>30</v>
      </c>
      <c r="AC488" s="1499"/>
      <c r="AD488" s="1500"/>
      <c r="AE488" s="1501"/>
      <c r="AF488" s="1501"/>
      <c r="AG488" s="1457" t="str">
        <f t="shared" si="30"/>
        <v>23調査結果-建築物の内部-4（34）-調査者番号</v>
      </c>
      <c r="AI488" s="1459"/>
      <c r="AJ488" s="1459"/>
      <c r="AK488" s="1459"/>
    </row>
    <row r="489" spans="1:37" s="1457" customFormat="1" ht="18.75" customHeight="1" x14ac:dyDescent="0.15">
      <c r="A489" s="1578"/>
      <c r="B489" s="1462"/>
      <c r="C489" s="1462"/>
      <c r="D489" s="1460">
        <f>'1_入力シート【基本情報】'!$AT$415</f>
        <v>0</v>
      </c>
      <c r="E489" s="1650">
        <f t="shared" si="31"/>
        <v>0</v>
      </c>
      <c r="F489" s="1650" t="str">
        <f t="shared" si="32"/>
        <v>0</v>
      </c>
      <c r="G489" s="1650" t="str">
        <f t="shared" si="33"/>
        <v>0</v>
      </c>
      <c r="H489" s="1468"/>
      <c r="I489" s="1462"/>
      <c r="J489" s="1531"/>
      <c r="K489" s="1462"/>
      <c r="L489" s="1462"/>
      <c r="M489" s="1493"/>
      <c r="N489" s="1462"/>
      <c r="O489" s="1462"/>
      <c r="P489" s="1462"/>
      <c r="Q489" s="1462"/>
      <c r="R489" s="1462"/>
      <c r="S489" s="1462"/>
      <c r="T489" s="1462"/>
      <c r="U489" s="1469">
        <v>23</v>
      </c>
      <c r="V489" s="1486" t="s">
        <v>33</v>
      </c>
      <c r="W489" s="1471" t="s">
        <v>1306</v>
      </c>
      <c r="X489" s="1472" t="s">
        <v>1440</v>
      </c>
      <c r="Y489" s="1473" t="s">
        <v>1306</v>
      </c>
      <c r="Z489" s="1504" t="s">
        <v>1474</v>
      </c>
      <c r="AA489" s="1473" t="s">
        <v>1306</v>
      </c>
      <c r="AB489" s="1486" t="s">
        <v>1402</v>
      </c>
      <c r="AC489" s="1499"/>
      <c r="AD489" s="1500"/>
      <c r="AE489" s="1501"/>
      <c r="AF489" s="1501"/>
      <c r="AG489" s="1457" t="str">
        <f t="shared" si="30"/>
        <v>23調査結果-建築物の内部-4（34）-指摘の具体的内容等</v>
      </c>
      <c r="AI489" s="1459"/>
      <c r="AJ489" s="1459"/>
      <c r="AK489" s="1459"/>
    </row>
    <row r="490" spans="1:37" s="1457" customFormat="1" ht="18.75" customHeight="1" x14ac:dyDescent="0.15">
      <c r="A490" s="1578"/>
      <c r="B490" s="1462"/>
      <c r="C490" s="1462"/>
      <c r="D490" s="1460">
        <f>'1_入力シート【基本情報】'!$BD$415</f>
        <v>0</v>
      </c>
      <c r="E490" s="1650">
        <f t="shared" si="31"/>
        <v>0</v>
      </c>
      <c r="F490" s="1650" t="str">
        <f t="shared" si="32"/>
        <v>0</v>
      </c>
      <c r="G490" s="1650" t="str">
        <f t="shared" si="33"/>
        <v>0</v>
      </c>
      <c r="H490" s="1468"/>
      <c r="I490" s="1462"/>
      <c r="J490" s="1531"/>
      <c r="K490" s="1462"/>
      <c r="L490" s="1462"/>
      <c r="M490" s="1493"/>
      <c r="N490" s="1462"/>
      <c r="O490" s="1462"/>
      <c r="P490" s="1462"/>
      <c r="Q490" s="1462"/>
      <c r="R490" s="1462"/>
      <c r="S490" s="1462"/>
      <c r="T490" s="1462"/>
      <c r="U490" s="1469">
        <v>23</v>
      </c>
      <c r="V490" s="1486" t="s">
        <v>33</v>
      </c>
      <c r="W490" s="1471" t="s">
        <v>1306</v>
      </c>
      <c r="X490" s="1472" t="s">
        <v>1440</v>
      </c>
      <c r="Y490" s="1473" t="s">
        <v>1306</v>
      </c>
      <c r="Z490" s="1504" t="s">
        <v>1474</v>
      </c>
      <c r="AA490" s="1473" t="s">
        <v>1306</v>
      </c>
      <c r="AB490" s="1486" t="s">
        <v>1403</v>
      </c>
      <c r="AC490" s="1499"/>
      <c r="AD490" s="1500"/>
      <c r="AE490" s="1501"/>
      <c r="AF490" s="1501"/>
      <c r="AG490" s="1457" t="str">
        <f t="shared" si="30"/>
        <v>23調査結果-建築物の内部-4（34）-改善策の具体的内容等</v>
      </c>
      <c r="AI490" s="1459"/>
      <c r="AJ490" s="1459"/>
      <c r="AK490" s="1459"/>
    </row>
    <row r="491" spans="1:37" s="1457" customFormat="1" ht="18.75" customHeight="1" x14ac:dyDescent="0.15">
      <c r="A491" s="1578"/>
      <c r="B491" s="1462"/>
      <c r="C491" s="1462"/>
      <c r="D491" s="1460">
        <f>'1_入力シート【基本情報】'!$BS$415</f>
        <v>0</v>
      </c>
      <c r="E491" s="1650">
        <f t="shared" si="31"/>
        <v>0</v>
      </c>
      <c r="F491" s="1650" t="str">
        <f t="shared" si="32"/>
        <v>0</v>
      </c>
      <c r="G491" s="1650" t="str">
        <f t="shared" si="33"/>
        <v>0</v>
      </c>
      <c r="H491" s="1468"/>
      <c r="I491" s="1462"/>
      <c r="J491" s="1531"/>
      <c r="K491" s="1462"/>
      <c r="L491" s="1462"/>
      <c r="M491" s="1493"/>
      <c r="N491" s="1462"/>
      <c r="O491" s="1462"/>
      <c r="P491" s="1462"/>
      <c r="Q491" s="1462"/>
      <c r="R491" s="1462"/>
      <c r="S491" s="1462"/>
      <c r="T491" s="1462"/>
      <c r="U491" s="1469">
        <v>23</v>
      </c>
      <c r="V491" s="1486" t="s">
        <v>33</v>
      </c>
      <c r="W491" s="1471" t="s">
        <v>1306</v>
      </c>
      <c r="X491" s="1472" t="s">
        <v>1440</v>
      </c>
      <c r="Y491" s="1473" t="s">
        <v>1306</v>
      </c>
      <c r="Z491" s="1504" t="s">
        <v>1474</v>
      </c>
      <c r="AA491" s="1473" t="s">
        <v>1306</v>
      </c>
      <c r="AB491" s="1470" t="s">
        <v>352</v>
      </c>
      <c r="AC491" s="1475" t="s">
        <v>1366</v>
      </c>
      <c r="AD491" s="1476" t="s">
        <v>1387</v>
      </c>
      <c r="AE491" s="1501"/>
      <c r="AF491" s="1501"/>
      <c r="AG491" s="1457" t="str">
        <f t="shared" si="30"/>
        <v>23調査結果-建築物の内部-4（34）-改善（予定）年月-年（令和）</v>
      </c>
      <c r="AI491" s="1459"/>
      <c r="AJ491" s="1459"/>
      <c r="AK491" s="1459"/>
    </row>
    <row r="492" spans="1:37" s="1457" customFormat="1" ht="18.75" customHeight="1" x14ac:dyDescent="0.15">
      <c r="A492" s="1578"/>
      <c r="B492" s="1462"/>
      <c r="C492" s="1462"/>
      <c r="D492" s="1460">
        <f>'1_入力シート【基本情報】'!$BV$415</f>
        <v>0</v>
      </c>
      <c r="E492" s="1650">
        <f t="shared" si="31"/>
        <v>0</v>
      </c>
      <c r="F492" s="1650" t="str">
        <f t="shared" si="32"/>
        <v>0</v>
      </c>
      <c r="G492" s="1650" t="str">
        <f t="shared" si="33"/>
        <v>0</v>
      </c>
      <c r="H492" s="1468"/>
      <c r="I492" s="1462"/>
      <c r="J492" s="1531"/>
      <c r="K492" s="1462"/>
      <c r="L492" s="1462"/>
      <c r="M492" s="1493"/>
      <c r="N492" s="1462"/>
      <c r="O492" s="1462"/>
      <c r="P492" s="1462"/>
      <c r="Q492" s="1462"/>
      <c r="R492" s="1462"/>
      <c r="S492" s="1462"/>
      <c r="T492" s="1462"/>
      <c r="U492" s="1469">
        <v>23</v>
      </c>
      <c r="V492" s="1486" t="s">
        <v>33</v>
      </c>
      <c r="W492" s="1471" t="s">
        <v>1306</v>
      </c>
      <c r="X492" s="1472" t="s">
        <v>1440</v>
      </c>
      <c r="Y492" s="1473"/>
      <c r="Z492" s="1504" t="s">
        <v>1474</v>
      </c>
      <c r="AA492" s="1473" t="s">
        <v>1306</v>
      </c>
      <c r="AB492" s="1470" t="s">
        <v>352</v>
      </c>
      <c r="AC492" s="1499" t="s">
        <v>1366</v>
      </c>
      <c r="AD492" s="1500" t="s">
        <v>348</v>
      </c>
      <c r="AE492" s="1501"/>
      <c r="AF492" s="1501"/>
      <c r="AG492" s="1457" t="str">
        <f t="shared" si="30"/>
        <v>23調査結果-建築物の内部4（34）-改善（予定）年月-月</v>
      </c>
      <c r="AI492" s="1459"/>
      <c r="AJ492" s="1459"/>
      <c r="AK492" s="1459"/>
    </row>
    <row r="493" spans="1:37" s="1457" customFormat="1" ht="18.75" customHeight="1" x14ac:dyDescent="0.15">
      <c r="A493" s="1578"/>
      <c r="B493" s="1462"/>
      <c r="C493" s="1462"/>
      <c r="D493" s="1460">
        <f>'1_入力シート【基本情報】'!$BY$415</f>
        <v>0</v>
      </c>
      <c r="E493" s="1650">
        <f t="shared" si="31"/>
        <v>0</v>
      </c>
      <c r="F493" s="1650" t="str">
        <f t="shared" si="32"/>
        <v>0</v>
      </c>
      <c r="G493" s="1650" t="str">
        <f t="shared" si="33"/>
        <v>0</v>
      </c>
      <c r="H493" s="1468"/>
      <c r="I493" s="1462"/>
      <c r="J493" s="1531"/>
      <c r="K493" s="1462"/>
      <c r="L493" s="1462"/>
      <c r="M493" s="1493"/>
      <c r="N493" s="1462"/>
      <c r="O493" s="1462"/>
      <c r="P493" s="1462"/>
      <c r="Q493" s="1462"/>
      <c r="R493" s="1462"/>
      <c r="S493" s="1462"/>
      <c r="T493" s="1462"/>
      <c r="U493" s="1469">
        <v>23</v>
      </c>
      <c r="V493" s="1486" t="s">
        <v>33</v>
      </c>
      <c r="W493" s="1471" t="s">
        <v>1306</v>
      </c>
      <c r="X493" s="1472" t="s">
        <v>1440</v>
      </c>
      <c r="Y493" s="1473" t="s">
        <v>1306</v>
      </c>
      <c r="Z493" s="1504" t="s">
        <v>1474</v>
      </c>
      <c r="AA493" s="1473" t="s">
        <v>1306</v>
      </c>
      <c r="AB493" s="1470" t="s">
        <v>352</v>
      </c>
      <c r="AC493" s="1499" t="s">
        <v>1366</v>
      </c>
      <c r="AD493" s="1500" t="s">
        <v>640</v>
      </c>
      <c r="AE493" s="1501"/>
      <c r="AF493" s="1501"/>
      <c r="AG493" s="1457" t="str">
        <f t="shared" si="30"/>
        <v>23調査結果-建築物の内部-4（34）-改善（予定）年月-未定</v>
      </c>
      <c r="AI493" s="1459"/>
      <c r="AJ493" s="1459"/>
      <c r="AK493" s="1459"/>
    </row>
    <row r="494" spans="1:37" s="1457" customFormat="1" ht="18.75" customHeight="1" x14ac:dyDescent="0.15">
      <c r="A494" s="1578"/>
      <c r="B494" s="1462"/>
      <c r="C494" s="1462"/>
      <c r="D494" s="1460">
        <f>'1_入力シート【基本情報】'!$AF$416</f>
        <v>0</v>
      </c>
      <c r="E494" s="1650">
        <f t="shared" si="31"/>
        <v>0</v>
      </c>
      <c r="F494" s="1650" t="str">
        <f t="shared" si="32"/>
        <v>0</v>
      </c>
      <c r="G494" s="1650" t="str">
        <f t="shared" si="33"/>
        <v>0</v>
      </c>
      <c r="H494" s="1468"/>
      <c r="I494" s="1462"/>
      <c r="J494" s="1531"/>
      <c r="K494" s="1462"/>
      <c r="L494" s="1462"/>
      <c r="M494" s="1493"/>
      <c r="N494" s="1462"/>
      <c r="O494" s="1462"/>
      <c r="P494" s="1462"/>
      <c r="Q494" s="1462"/>
      <c r="R494" s="1462"/>
      <c r="S494" s="1462"/>
      <c r="T494" s="1462"/>
      <c r="U494" s="1469">
        <v>23</v>
      </c>
      <c r="V494" s="1486" t="s">
        <v>33</v>
      </c>
      <c r="W494" s="1471" t="s">
        <v>1306</v>
      </c>
      <c r="X494" s="1472" t="s">
        <v>1440</v>
      </c>
      <c r="Y494" s="1473" t="s">
        <v>1306</v>
      </c>
      <c r="Z494" s="1504" t="s">
        <v>1475</v>
      </c>
      <c r="AA494" s="1473" t="s">
        <v>1306</v>
      </c>
      <c r="AB494" s="1470" t="s">
        <v>33</v>
      </c>
      <c r="AC494" s="1499"/>
      <c r="AD494" s="1500"/>
      <c r="AE494" s="1477"/>
      <c r="AF494" s="1477"/>
      <c r="AG494" s="1457" t="str">
        <f t="shared" si="30"/>
        <v>23調査結果-建築物の内部-4（35）-調査結果</v>
      </c>
      <c r="AI494" s="1459"/>
      <c r="AJ494" s="1459"/>
      <c r="AK494" s="1459"/>
    </row>
    <row r="495" spans="1:37" s="1457" customFormat="1" ht="18.75" customHeight="1" x14ac:dyDescent="0.15">
      <c r="A495" s="1578"/>
      <c r="B495" s="1462"/>
      <c r="C495" s="1462"/>
      <c r="D495" s="1460">
        <f>'1_入力シート【基本情報】'!$AR$416</f>
        <v>0</v>
      </c>
      <c r="E495" s="1650">
        <f t="shared" si="31"/>
        <v>0</v>
      </c>
      <c r="F495" s="1650" t="str">
        <f t="shared" si="32"/>
        <v>0</v>
      </c>
      <c r="G495" s="1650" t="str">
        <f t="shared" si="33"/>
        <v>0</v>
      </c>
      <c r="H495" s="1468"/>
      <c r="I495" s="1462"/>
      <c r="J495" s="1531"/>
      <c r="K495" s="1462"/>
      <c r="L495" s="1462"/>
      <c r="M495" s="1493"/>
      <c r="N495" s="1462"/>
      <c r="O495" s="1462"/>
      <c r="P495" s="1462"/>
      <c r="Q495" s="1462"/>
      <c r="R495" s="1462"/>
      <c r="S495" s="1462"/>
      <c r="T495" s="1462"/>
      <c r="U495" s="1469">
        <v>23</v>
      </c>
      <c r="V495" s="1486" t="s">
        <v>33</v>
      </c>
      <c r="W495" s="1471" t="s">
        <v>1306</v>
      </c>
      <c r="X495" s="1472" t="s">
        <v>1440</v>
      </c>
      <c r="Y495" s="1473" t="s">
        <v>1306</v>
      </c>
      <c r="Z495" s="1504" t="s">
        <v>1475</v>
      </c>
      <c r="AA495" s="1473" t="s">
        <v>1306</v>
      </c>
      <c r="AB495" s="1470" t="s">
        <v>30</v>
      </c>
      <c r="AC495" s="1499"/>
      <c r="AD495" s="1500"/>
      <c r="AE495" s="1501"/>
      <c r="AF495" s="1501"/>
      <c r="AG495" s="1457" t="str">
        <f t="shared" si="30"/>
        <v>23調査結果-建築物の内部-4（35）-調査者番号</v>
      </c>
      <c r="AI495" s="1459"/>
      <c r="AJ495" s="1459"/>
      <c r="AK495" s="1459"/>
    </row>
    <row r="496" spans="1:37" s="1457" customFormat="1" ht="18.75" customHeight="1" x14ac:dyDescent="0.15">
      <c r="A496" s="1578"/>
      <c r="B496" s="1462"/>
      <c r="C496" s="1462"/>
      <c r="D496" s="1550">
        <f>'1_入力シート【基本情報】'!$AT$416</f>
        <v>0</v>
      </c>
      <c r="E496" s="1650">
        <f t="shared" si="31"/>
        <v>0</v>
      </c>
      <c r="F496" s="1650" t="str">
        <f t="shared" si="32"/>
        <v>0</v>
      </c>
      <c r="G496" s="1650" t="str">
        <f t="shared" si="33"/>
        <v>0</v>
      </c>
      <c r="H496" s="1468"/>
      <c r="I496" s="1462"/>
      <c r="J496" s="1531"/>
      <c r="K496" s="1462"/>
      <c r="L496" s="1462"/>
      <c r="M496" s="1493"/>
      <c r="N496" s="1462"/>
      <c r="O496" s="1462"/>
      <c r="P496" s="1462"/>
      <c r="Q496" s="1462"/>
      <c r="R496" s="1462"/>
      <c r="S496" s="1462"/>
      <c r="T496" s="1462"/>
      <c r="U496" s="1469">
        <v>23</v>
      </c>
      <c r="V496" s="1486" t="s">
        <v>33</v>
      </c>
      <c r="W496" s="1471" t="s">
        <v>1306</v>
      </c>
      <c r="X496" s="1472" t="s">
        <v>1440</v>
      </c>
      <c r="Y496" s="1473" t="s">
        <v>1306</v>
      </c>
      <c r="Z496" s="1504" t="s">
        <v>1475</v>
      </c>
      <c r="AA496" s="1473" t="s">
        <v>1306</v>
      </c>
      <c r="AB496" s="1486" t="s">
        <v>1402</v>
      </c>
      <c r="AC496" s="1499"/>
      <c r="AD496" s="1500"/>
      <c r="AE496" s="1501"/>
      <c r="AF496" s="1501"/>
      <c r="AG496" s="1457" t="str">
        <f t="shared" si="30"/>
        <v>23調査結果-建築物の内部-4（35）-指摘の具体的内容等</v>
      </c>
      <c r="AI496" s="1459"/>
      <c r="AJ496" s="1459"/>
      <c r="AK496" s="1459"/>
    </row>
    <row r="497" spans="1:37" s="1457" customFormat="1" ht="18.75" customHeight="1" x14ac:dyDescent="0.15">
      <c r="A497" s="1578"/>
      <c r="B497" s="1462"/>
      <c r="C497" s="1462"/>
      <c r="D497" s="1550">
        <f>'1_入力シート【基本情報】'!$BD$416</f>
        <v>0</v>
      </c>
      <c r="E497" s="1650">
        <f t="shared" si="31"/>
        <v>0</v>
      </c>
      <c r="F497" s="1650" t="str">
        <f t="shared" si="32"/>
        <v>0</v>
      </c>
      <c r="G497" s="1650" t="str">
        <f t="shared" si="33"/>
        <v>0</v>
      </c>
      <c r="H497" s="1468"/>
      <c r="I497" s="1462"/>
      <c r="J497" s="1531"/>
      <c r="K497" s="1462"/>
      <c r="L497" s="1462"/>
      <c r="M497" s="1493"/>
      <c r="N497" s="1462"/>
      <c r="O497" s="1462"/>
      <c r="P497" s="1462"/>
      <c r="Q497" s="1462"/>
      <c r="R497" s="1462"/>
      <c r="S497" s="1462"/>
      <c r="T497" s="1462"/>
      <c r="U497" s="1469">
        <v>23</v>
      </c>
      <c r="V497" s="1486" t="s">
        <v>33</v>
      </c>
      <c r="W497" s="1471" t="s">
        <v>1306</v>
      </c>
      <c r="X497" s="1472" t="s">
        <v>1440</v>
      </c>
      <c r="Y497" s="1473" t="s">
        <v>1306</v>
      </c>
      <c r="Z497" s="1504" t="s">
        <v>1475</v>
      </c>
      <c r="AA497" s="1473" t="s">
        <v>1306</v>
      </c>
      <c r="AB497" s="1486" t="s">
        <v>1403</v>
      </c>
      <c r="AC497" s="1499"/>
      <c r="AD497" s="1500"/>
      <c r="AE497" s="1501"/>
      <c r="AF497" s="1501"/>
      <c r="AG497" s="1457" t="str">
        <f t="shared" si="30"/>
        <v>23調査結果-建築物の内部-4（35）-改善策の具体的内容等</v>
      </c>
      <c r="AI497" s="1459"/>
      <c r="AJ497" s="1459"/>
      <c r="AK497" s="1459"/>
    </row>
    <row r="498" spans="1:37" s="1457" customFormat="1" ht="18.75" customHeight="1" x14ac:dyDescent="0.15">
      <c r="A498" s="1578"/>
      <c r="B498" s="1462"/>
      <c r="C498" s="1462"/>
      <c r="D498" s="1460">
        <f>'1_入力シート【基本情報】'!$BS$416</f>
        <v>0</v>
      </c>
      <c r="E498" s="1650">
        <f t="shared" si="31"/>
        <v>0</v>
      </c>
      <c r="F498" s="1650" t="str">
        <f t="shared" si="32"/>
        <v>0</v>
      </c>
      <c r="G498" s="1650" t="str">
        <f t="shared" si="33"/>
        <v>0</v>
      </c>
      <c r="H498" s="1468"/>
      <c r="I498" s="1462"/>
      <c r="J498" s="1531"/>
      <c r="K498" s="1462"/>
      <c r="L498" s="1462"/>
      <c r="M498" s="1493"/>
      <c r="N498" s="1462"/>
      <c r="O498" s="1462"/>
      <c r="P498" s="1462"/>
      <c r="Q498" s="1462"/>
      <c r="R498" s="1462"/>
      <c r="S498" s="1462"/>
      <c r="T498" s="1462"/>
      <c r="U498" s="1469">
        <v>23</v>
      </c>
      <c r="V498" s="1486" t="s">
        <v>33</v>
      </c>
      <c r="W498" s="1471" t="s">
        <v>1306</v>
      </c>
      <c r="X498" s="1472" t="s">
        <v>1440</v>
      </c>
      <c r="Y498" s="1473" t="s">
        <v>1306</v>
      </c>
      <c r="Z498" s="1504" t="s">
        <v>1475</v>
      </c>
      <c r="AA498" s="1473" t="s">
        <v>1306</v>
      </c>
      <c r="AB498" s="1486" t="s">
        <v>352</v>
      </c>
      <c r="AC498" s="1499" t="s">
        <v>1366</v>
      </c>
      <c r="AD498" s="1500" t="s">
        <v>1387</v>
      </c>
      <c r="AE498" s="1501"/>
      <c r="AF498" s="1501"/>
      <c r="AG498" s="1457" t="str">
        <f t="shared" si="30"/>
        <v>23調査結果-建築物の内部-4（35）-改善（予定）年月-年（令和）</v>
      </c>
      <c r="AI498" s="1459"/>
      <c r="AJ498" s="1459"/>
      <c r="AK498" s="1459"/>
    </row>
    <row r="499" spans="1:37" s="1457" customFormat="1" ht="18.75" customHeight="1" x14ac:dyDescent="0.15">
      <c r="A499" s="1578"/>
      <c r="B499" s="1462"/>
      <c r="C499" s="1462"/>
      <c r="D499" s="1460">
        <f>'1_入力シート【基本情報】'!$BV$416</f>
        <v>0</v>
      </c>
      <c r="E499" s="1650">
        <f t="shared" si="31"/>
        <v>0</v>
      </c>
      <c r="F499" s="1650" t="str">
        <f t="shared" si="32"/>
        <v>0</v>
      </c>
      <c r="G499" s="1650" t="str">
        <f t="shared" si="33"/>
        <v>0</v>
      </c>
      <c r="H499" s="1468"/>
      <c r="I499" s="1462"/>
      <c r="J499" s="1531"/>
      <c r="K499" s="1462"/>
      <c r="L499" s="1462"/>
      <c r="M499" s="1493"/>
      <c r="N499" s="1462"/>
      <c r="O499" s="1462"/>
      <c r="P499" s="1462"/>
      <c r="Q499" s="1462"/>
      <c r="R499" s="1462"/>
      <c r="S499" s="1462"/>
      <c r="T499" s="1462"/>
      <c r="U499" s="1469">
        <v>23</v>
      </c>
      <c r="V499" s="1486" t="s">
        <v>33</v>
      </c>
      <c r="W499" s="1471" t="s">
        <v>1306</v>
      </c>
      <c r="X499" s="1472" t="s">
        <v>1440</v>
      </c>
      <c r="Y499" s="1473" t="s">
        <v>1306</v>
      </c>
      <c r="Z499" s="1504" t="s">
        <v>1475</v>
      </c>
      <c r="AA499" s="1473" t="s">
        <v>1306</v>
      </c>
      <c r="AB499" s="1470" t="s">
        <v>352</v>
      </c>
      <c r="AC499" s="1475" t="s">
        <v>1366</v>
      </c>
      <c r="AD499" s="1476" t="s">
        <v>348</v>
      </c>
      <c r="AE499" s="1501"/>
      <c r="AF499" s="1501"/>
      <c r="AG499" s="1457" t="str">
        <f t="shared" si="30"/>
        <v>23調査結果-建築物の内部-4（35）-改善（予定）年月-月</v>
      </c>
      <c r="AI499" s="1459"/>
      <c r="AJ499" s="1459"/>
      <c r="AK499" s="1459"/>
    </row>
    <row r="500" spans="1:37" s="1457" customFormat="1" ht="18.75" customHeight="1" x14ac:dyDescent="0.15">
      <c r="A500" s="1578"/>
      <c r="B500" s="1462"/>
      <c r="C500" s="1462"/>
      <c r="D500" s="1460">
        <f>'1_入力シート【基本情報】'!$BY$416</f>
        <v>0</v>
      </c>
      <c r="E500" s="1650">
        <f t="shared" si="31"/>
        <v>0</v>
      </c>
      <c r="F500" s="1650" t="str">
        <f t="shared" si="32"/>
        <v>0</v>
      </c>
      <c r="G500" s="1650" t="str">
        <f t="shared" si="33"/>
        <v>0</v>
      </c>
      <c r="H500" s="1468"/>
      <c r="I500" s="1462"/>
      <c r="J500" s="1531"/>
      <c r="K500" s="1462"/>
      <c r="L500" s="1462"/>
      <c r="M500" s="1493"/>
      <c r="N500" s="1462"/>
      <c r="O500" s="1462"/>
      <c r="P500" s="1462"/>
      <c r="Q500" s="1462"/>
      <c r="R500" s="1462"/>
      <c r="S500" s="1462"/>
      <c r="T500" s="1462"/>
      <c r="U500" s="1469">
        <v>23</v>
      </c>
      <c r="V500" s="1486" t="s">
        <v>33</v>
      </c>
      <c r="W500" s="1471" t="s">
        <v>1306</v>
      </c>
      <c r="X500" s="1472" t="s">
        <v>1440</v>
      </c>
      <c r="Y500" s="1473"/>
      <c r="Z500" s="1504" t="s">
        <v>1475</v>
      </c>
      <c r="AA500" s="1473" t="s">
        <v>1306</v>
      </c>
      <c r="AB500" s="1470" t="s">
        <v>352</v>
      </c>
      <c r="AC500" s="1499" t="s">
        <v>1366</v>
      </c>
      <c r="AD500" s="1500" t="s">
        <v>640</v>
      </c>
      <c r="AE500" s="1501"/>
      <c r="AF500" s="1501"/>
      <c r="AG500" s="1457" t="str">
        <f t="shared" si="30"/>
        <v>23調査結果-建築物の内部4（35）-改善（予定）年月-未定</v>
      </c>
      <c r="AI500" s="1459"/>
      <c r="AJ500" s="1459"/>
      <c r="AK500" s="1459"/>
    </row>
    <row r="501" spans="1:37" s="1457" customFormat="1" ht="18.75" customHeight="1" x14ac:dyDescent="0.15">
      <c r="A501" s="1578"/>
      <c r="B501" s="1462"/>
      <c r="C501" s="1462"/>
      <c r="D501" s="1460">
        <f>'1_入力シート【基本情報】'!$AF$417</f>
        <v>0</v>
      </c>
      <c r="E501" s="1650">
        <f t="shared" si="31"/>
        <v>0</v>
      </c>
      <c r="F501" s="1650" t="str">
        <f t="shared" si="32"/>
        <v>0</v>
      </c>
      <c r="G501" s="1650" t="str">
        <f t="shared" si="33"/>
        <v>0</v>
      </c>
      <c r="H501" s="1468"/>
      <c r="I501" s="1462"/>
      <c r="J501" s="1531"/>
      <c r="K501" s="1462"/>
      <c r="L501" s="1462"/>
      <c r="M501" s="1493"/>
      <c r="N501" s="1462"/>
      <c r="O501" s="1462"/>
      <c r="P501" s="1462"/>
      <c r="Q501" s="1462"/>
      <c r="R501" s="1462"/>
      <c r="S501" s="1462"/>
      <c r="T501" s="1462"/>
      <c r="U501" s="1469">
        <v>23</v>
      </c>
      <c r="V501" s="1486" t="s">
        <v>33</v>
      </c>
      <c r="W501" s="1471" t="s">
        <v>1306</v>
      </c>
      <c r="X501" s="1472" t="s">
        <v>1440</v>
      </c>
      <c r="Y501" s="1473" t="s">
        <v>1306</v>
      </c>
      <c r="Z501" s="1504" t="s">
        <v>1476</v>
      </c>
      <c r="AA501" s="1473" t="s">
        <v>1306</v>
      </c>
      <c r="AB501" s="1470" t="s">
        <v>33</v>
      </c>
      <c r="AC501" s="1499"/>
      <c r="AD501" s="1500"/>
      <c r="AE501" s="1501"/>
      <c r="AF501" s="1501"/>
      <c r="AG501" s="1457" t="str">
        <f t="shared" si="30"/>
        <v>23調査結果-建築物の内部-4（36）-調査結果</v>
      </c>
      <c r="AI501" s="1459"/>
      <c r="AJ501" s="1459"/>
      <c r="AK501" s="1459"/>
    </row>
    <row r="502" spans="1:37" s="1457" customFormat="1" ht="18.75" customHeight="1" x14ac:dyDescent="0.15">
      <c r="A502" s="1578"/>
      <c r="B502" s="1462"/>
      <c r="C502" s="1462"/>
      <c r="D502" s="1460">
        <f>'1_入力シート【基本情報】'!$AR$417</f>
        <v>0</v>
      </c>
      <c r="E502" s="1650">
        <f t="shared" si="31"/>
        <v>0</v>
      </c>
      <c r="F502" s="1650" t="str">
        <f t="shared" si="32"/>
        <v>0</v>
      </c>
      <c r="G502" s="1650" t="str">
        <f t="shared" si="33"/>
        <v>0</v>
      </c>
      <c r="H502" s="1468"/>
      <c r="I502" s="1462"/>
      <c r="J502" s="1531"/>
      <c r="K502" s="1462"/>
      <c r="L502" s="1462"/>
      <c r="M502" s="1493"/>
      <c r="N502" s="1462"/>
      <c r="O502" s="1462"/>
      <c r="P502" s="1462"/>
      <c r="Q502" s="1462"/>
      <c r="R502" s="1462"/>
      <c r="S502" s="1462"/>
      <c r="T502" s="1462"/>
      <c r="U502" s="1469">
        <v>23</v>
      </c>
      <c r="V502" s="1486" t="s">
        <v>33</v>
      </c>
      <c r="W502" s="1471" t="s">
        <v>1306</v>
      </c>
      <c r="X502" s="1472" t="s">
        <v>1440</v>
      </c>
      <c r="Y502" s="1473" t="s">
        <v>1306</v>
      </c>
      <c r="Z502" s="1504" t="s">
        <v>1476</v>
      </c>
      <c r="AA502" s="1473" t="s">
        <v>1306</v>
      </c>
      <c r="AB502" s="1470" t="s">
        <v>30</v>
      </c>
      <c r="AC502" s="1499"/>
      <c r="AD502" s="1500"/>
      <c r="AE502" s="1477"/>
      <c r="AF502" s="1477"/>
      <c r="AG502" s="1457" t="str">
        <f t="shared" si="30"/>
        <v>23調査結果-建築物の内部-4（36）-調査者番号</v>
      </c>
      <c r="AI502" s="1459"/>
      <c r="AJ502" s="1459"/>
      <c r="AK502" s="1459"/>
    </row>
    <row r="503" spans="1:37" s="1457" customFormat="1" ht="18.75" customHeight="1" x14ac:dyDescent="0.15">
      <c r="A503" s="1578"/>
      <c r="B503" s="1462"/>
      <c r="C503" s="1462"/>
      <c r="D503" s="1460">
        <f>'1_入力シート【基本情報】'!$AT$417</f>
        <v>0</v>
      </c>
      <c r="E503" s="1650">
        <f t="shared" si="31"/>
        <v>0</v>
      </c>
      <c r="F503" s="1650" t="str">
        <f t="shared" si="32"/>
        <v>0</v>
      </c>
      <c r="G503" s="1650" t="str">
        <f t="shared" si="33"/>
        <v>0</v>
      </c>
      <c r="H503" s="1468"/>
      <c r="I503" s="1462"/>
      <c r="J503" s="1531"/>
      <c r="K503" s="1462"/>
      <c r="L503" s="1462"/>
      <c r="M503" s="1493"/>
      <c r="N503" s="1462"/>
      <c r="O503" s="1462"/>
      <c r="P503" s="1462"/>
      <c r="Q503" s="1462"/>
      <c r="R503" s="1462"/>
      <c r="S503" s="1462"/>
      <c r="T503" s="1462"/>
      <c r="U503" s="1469">
        <v>23</v>
      </c>
      <c r="V503" s="1486" t="s">
        <v>33</v>
      </c>
      <c r="W503" s="1471" t="s">
        <v>1306</v>
      </c>
      <c r="X503" s="1472" t="s">
        <v>1440</v>
      </c>
      <c r="Y503" s="1473" t="s">
        <v>1306</v>
      </c>
      <c r="Z503" s="1504" t="s">
        <v>1476</v>
      </c>
      <c r="AA503" s="1473" t="s">
        <v>1306</v>
      </c>
      <c r="AB503" s="1470" t="s">
        <v>1402</v>
      </c>
      <c r="AC503" s="1499"/>
      <c r="AD503" s="1500"/>
      <c r="AE503" s="1501"/>
      <c r="AF503" s="1501"/>
      <c r="AG503" s="1457" t="str">
        <f t="shared" si="30"/>
        <v>23調査結果-建築物の内部-4（36）-指摘の具体的内容等</v>
      </c>
      <c r="AI503" s="1459"/>
      <c r="AJ503" s="1459"/>
      <c r="AK503" s="1459"/>
    </row>
    <row r="504" spans="1:37" s="1457" customFormat="1" ht="18.75" customHeight="1" x14ac:dyDescent="0.15">
      <c r="A504" s="1578"/>
      <c r="B504" s="1462"/>
      <c r="C504" s="1462"/>
      <c r="D504" s="1460">
        <f>'1_入力シート【基本情報】'!$BD$417</f>
        <v>0</v>
      </c>
      <c r="E504" s="1650">
        <f t="shared" si="31"/>
        <v>0</v>
      </c>
      <c r="F504" s="1650" t="str">
        <f t="shared" si="32"/>
        <v>0</v>
      </c>
      <c r="G504" s="1650" t="str">
        <f t="shared" si="33"/>
        <v>0</v>
      </c>
      <c r="H504" s="1468"/>
      <c r="I504" s="1462"/>
      <c r="J504" s="1531"/>
      <c r="K504" s="1462"/>
      <c r="L504" s="1462"/>
      <c r="M504" s="1493"/>
      <c r="N504" s="1462"/>
      <c r="O504" s="1462"/>
      <c r="P504" s="1462"/>
      <c r="Q504" s="1462"/>
      <c r="R504" s="1462"/>
      <c r="S504" s="1462"/>
      <c r="T504" s="1462"/>
      <c r="U504" s="1469">
        <v>23</v>
      </c>
      <c r="V504" s="1486" t="s">
        <v>33</v>
      </c>
      <c r="W504" s="1471" t="s">
        <v>1306</v>
      </c>
      <c r="X504" s="1472" t="s">
        <v>1440</v>
      </c>
      <c r="Y504" s="1473" t="s">
        <v>1306</v>
      </c>
      <c r="Z504" s="1504" t="s">
        <v>1476</v>
      </c>
      <c r="AA504" s="1473" t="s">
        <v>1306</v>
      </c>
      <c r="AB504" s="1486" t="s">
        <v>1403</v>
      </c>
      <c r="AC504" s="1499"/>
      <c r="AD504" s="1500"/>
      <c r="AE504" s="1501"/>
      <c r="AF504" s="1501"/>
      <c r="AG504" s="1457" t="str">
        <f t="shared" si="30"/>
        <v>23調査結果-建築物の内部-4（36）-改善策の具体的内容等</v>
      </c>
      <c r="AI504" s="1459"/>
      <c r="AJ504" s="1459"/>
      <c r="AK504" s="1459"/>
    </row>
    <row r="505" spans="1:37" s="1457" customFormat="1" ht="18.75" customHeight="1" x14ac:dyDescent="0.15">
      <c r="A505" s="1578"/>
      <c r="B505" s="1462"/>
      <c r="C505" s="1462"/>
      <c r="D505" s="1460">
        <f>'1_入力シート【基本情報】'!$BS$417</f>
        <v>0</v>
      </c>
      <c r="E505" s="1650">
        <f t="shared" si="31"/>
        <v>0</v>
      </c>
      <c r="F505" s="1650" t="str">
        <f t="shared" si="32"/>
        <v>0</v>
      </c>
      <c r="G505" s="1650" t="str">
        <f t="shared" si="33"/>
        <v>0</v>
      </c>
      <c r="H505" s="1468"/>
      <c r="I505" s="1462"/>
      <c r="J505" s="1531"/>
      <c r="K505" s="1462"/>
      <c r="L505" s="1462"/>
      <c r="M505" s="1493"/>
      <c r="N505" s="1462"/>
      <c r="O505" s="1462"/>
      <c r="P505" s="1462"/>
      <c r="Q505" s="1462"/>
      <c r="R505" s="1462"/>
      <c r="S505" s="1462"/>
      <c r="T505" s="1462"/>
      <c r="U505" s="1469">
        <v>23</v>
      </c>
      <c r="V505" s="1486" t="s">
        <v>33</v>
      </c>
      <c r="W505" s="1471" t="s">
        <v>1306</v>
      </c>
      <c r="X505" s="1472" t="s">
        <v>1440</v>
      </c>
      <c r="Y505" s="1473" t="s">
        <v>1306</v>
      </c>
      <c r="Z505" s="1504" t="s">
        <v>1476</v>
      </c>
      <c r="AA505" s="1473" t="s">
        <v>1306</v>
      </c>
      <c r="AB505" s="1486" t="s">
        <v>352</v>
      </c>
      <c r="AC505" s="1499" t="s">
        <v>1366</v>
      </c>
      <c r="AD505" s="1500" t="s">
        <v>1387</v>
      </c>
      <c r="AE505" s="1501"/>
      <c r="AF505" s="1501"/>
      <c r="AG505" s="1457" t="str">
        <f t="shared" si="30"/>
        <v>23調査結果-建築物の内部-4（36）-改善（予定）年月-年（令和）</v>
      </c>
      <c r="AI505" s="1459"/>
      <c r="AJ505" s="1459"/>
      <c r="AK505" s="1459"/>
    </row>
    <row r="506" spans="1:37" s="1457" customFormat="1" ht="18.75" customHeight="1" x14ac:dyDescent="0.15">
      <c r="A506" s="1578"/>
      <c r="B506" s="1462"/>
      <c r="C506" s="1462"/>
      <c r="D506" s="1460">
        <f>'1_入力シート【基本情報】'!$BV$417</f>
        <v>0</v>
      </c>
      <c r="E506" s="1650">
        <f t="shared" si="31"/>
        <v>0</v>
      </c>
      <c r="F506" s="1650" t="str">
        <f t="shared" si="32"/>
        <v>0</v>
      </c>
      <c r="G506" s="1650" t="str">
        <f t="shared" si="33"/>
        <v>0</v>
      </c>
      <c r="H506" s="1468"/>
      <c r="I506" s="1462"/>
      <c r="J506" s="1531"/>
      <c r="K506" s="1462"/>
      <c r="L506" s="1462"/>
      <c r="M506" s="1493"/>
      <c r="N506" s="1462"/>
      <c r="O506" s="1462"/>
      <c r="P506" s="1462"/>
      <c r="Q506" s="1462"/>
      <c r="R506" s="1462"/>
      <c r="S506" s="1462"/>
      <c r="T506" s="1462"/>
      <c r="U506" s="1469">
        <v>23</v>
      </c>
      <c r="V506" s="1486" t="s">
        <v>33</v>
      </c>
      <c r="W506" s="1471" t="s">
        <v>1306</v>
      </c>
      <c r="X506" s="1472" t="s">
        <v>1440</v>
      </c>
      <c r="Y506" s="1473" t="s">
        <v>1306</v>
      </c>
      <c r="Z506" s="1504" t="s">
        <v>1476</v>
      </c>
      <c r="AA506" s="1473" t="s">
        <v>1306</v>
      </c>
      <c r="AB506" s="1486" t="s">
        <v>352</v>
      </c>
      <c r="AC506" s="1499" t="s">
        <v>1366</v>
      </c>
      <c r="AD506" s="1500" t="s">
        <v>348</v>
      </c>
      <c r="AE506" s="1501"/>
      <c r="AF506" s="1501"/>
      <c r="AG506" s="1457" t="str">
        <f t="shared" si="30"/>
        <v>23調査結果-建築物の内部-4（36）-改善（予定）年月-月</v>
      </c>
      <c r="AI506" s="1459"/>
      <c r="AJ506" s="1459"/>
      <c r="AK506" s="1459"/>
    </row>
    <row r="507" spans="1:37" s="1457" customFormat="1" ht="18.75" customHeight="1" x14ac:dyDescent="0.15">
      <c r="A507" s="1578"/>
      <c r="B507" s="1462"/>
      <c r="C507" s="1462"/>
      <c r="D507" s="1460">
        <f>'1_入力シート【基本情報】'!$BY$417</f>
        <v>0</v>
      </c>
      <c r="E507" s="1650">
        <f t="shared" si="31"/>
        <v>0</v>
      </c>
      <c r="F507" s="1650" t="str">
        <f t="shared" si="32"/>
        <v>0</v>
      </c>
      <c r="G507" s="1650" t="str">
        <f t="shared" si="33"/>
        <v>0</v>
      </c>
      <c r="H507" s="1468"/>
      <c r="I507" s="1462"/>
      <c r="J507" s="1531"/>
      <c r="K507" s="1462"/>
      <c r="L507" s="1462"/>
      <c r="M507" s="1493"/>
      <c r="N507" s="1462"/>
      <c r="O507" s="1462"/>
      <c r="P507" s="1462"/>
      <c r="Q507" s="1462"/>
      <c r="R507" s="1462"/>
      <c r="S507" s="1462"/>
      <c r="T507" s="1462"/>
      <c r="U507" s="1469">
        <v>23</v>
      </c>
      <c r="V507" s="1486" t="s">
        <v>33</v>
      </c>
      <c r="W507" s="1471" t="s">
        <v>1306</v>
      </c>
      <c r="X507" s="1472" t="s">
        <v>1440</v>
      </c>
      <c r="Y507" s="1473" t="s">
        <v>1306</v>
      </c>
      <c r="Z507" s="1504" t="s">
        <v>1476</v>
      </c>
      <c r="AA507" s="1473" t="s">
        <v>1306</v>
      </c>
      <c r="AB507" s="1470" t="s">
        <v>352</v>
      </c>
      <c r="AC507" s="1475" t="s">
        <v>1366</v>
      </c>
      <c r="AD507" s="1476" t="s">
        <v>640</v>
      </c>
      <c r="AE507" s="1501"/>
      <c r="AF507" s="1501"/>
      <c r="AG507" s="1457" t="str">
        <f t="shared" si="30"/>
        <v>23調査結果-建築物の内部-4（36）-改善（予定）年月-未定</v>
      </c>
      <c r="AI507" s="1459"/>
      <c r="AJ507" s="1459"/>
      <c r="AK507" s="1459"/>
    </row>
    <row r="508" spans="1:37" s="1457" customFormat="1" ht="18.75" customHeight="1" x14ac:dyDescent="0.15">
      <c r="A508" s="1578"/>
      <c r="B508" s="1462"/>
      <c r="C508" s="1462"/>
      <c r="D508" s="1460">
        <f>'1_入力シート【基本情報】'!$AF$418</f>
        <v>0</v>
      </c>
      <c r="E508" s="1650">
        <f t="shared" si="31"/>
        <v>0</v>
      </c>
      <c r="F508" s="1650" t="str">
        <f t="shared" si="32"/>
        <v>0</v>
      </c>
      <c r="G508" s="1650" t="str">
        <f t="shared" si="33"/>
        <v>0</v>
      </c>
      <c r="H508" s="1468"/>
      <c r="I508" s="1462"/>
      <c r="J508" s="1531"/>
      <c r="K508" s="1462"/>
      <c r="L508" s="1462"/>
      <c r="M508" s="1493"/>
      <c r="N508" s="1462"/>
      <c r="O508" s="1462"/>
      <c r="P508" s="1462"/>
      <c r="Q508" s="1462"/>
      <c r="R508" s="1462"/>
      <c r="S508" s="1462"/>
      <c r="T508" s="1462"/>
      <c r="U508" s="1469">
        <v>23</v>
      </c>
      <c r="V508" s="1486" t="s">
        <v>33</v>
      </c>
      <c r="W508" s="1471" t="s">
        <v>1306</v>
      </c>
      <c r="X508" s="1472" t="s">
        <v>1440</v>
      </c>
      <c r="Y508" s="1473" t="s">
        <v>1306</v>
      </c>
      <c r="Z508" s="1504" t="s">
        <v>1477</v>
      </c>
      <c r="AA508" s="1473" t="s">
        <v>1306</v>
      </c>
      <c r="AB508" s="1470" t="s">
        <v>33</v>
      </c>
      <c r="AC508" s="1475"/>
      <c r="AD508" s="1476"/>
      <c r="AE508" s="1501"/>
      <c r="AF508" s="1501"/>
      <c r="AG508" s="1457" t="str">
        <f t="shared" si="30"/>
        <v>23調査結果-建築物の内部-4（37）-調査結果</v>
      </c>
      <c r="AI508" s="1459"/>
      <c r="AJ508" s="1459"/>
      <c r="AK508" s="1459"/>
    </row>
    <row r="509" spans="1:37" s="1457" customFormat="1" ht="18.75" customHeight="1" x14ac:dyDescent="0.15">
      <c r="A509" s="1578"/>
      <c r="B509" s="1462"/>
      <c r="C509" s="1462"/>
      <c r="D509" s="1460">
        <f>'1_入力シート【基本情報】'!$AR$418</f>
        <v>0</v>
      </c>
      <c r="E509" s="1650">
        <f t="shared" si="31"/>
        <v>0</v>
      </c>
      <c r="F509" s="1650" t="str">
        <f t="shared" si="32"/>
        <v>0</v>
      </c>
      <c r="G509" s="1650" t="str">
        <f t="shared" si="33"/>
        <v>0</v>
      </c>
      <c r="H509" s="1468"/>
      <c r="I509" s="1462"/>
      <c r="J509" s="1531"/>
      <c r="K509" s="1462"/>
      <c r="L509" s="1462"/>
      <c r="M509" s="1493"/>
      <c r="N509" s="1462"/>
      <c r="O509" s="1462"/>
      <c r="P509" s="1462"/>
      <c r="Q509" s="1462"/>
      <c r="R509" s="1462"/>
      <c r="S509" s="1462"/>
      <c r="T509" s="1462"/>
      <c r="U509" s="1469">
        <v>23</v>
      </c>
      <c r="V509" s="1486" t="s">
        <v>33</v>
      </c>
      <c r="W509" s="1471" t="s">
        <v>1306</v>
      </c>
      <c r="X509" s="1472" t="s">
        <v>1440</v>
      </c>
      <c r="Y509" s="1473" t="s">
        <v>1306</v>
      </c>
      <c r="Z509" s="1504" t="s">
        <v>1477</v>
      </c>
      <c r="AA509" s="1473" t="s">
        <v>1306</v>
      </c>
      <c r="AB509" s="1470" t="s">
        <v>30</v>
      </c>
      <c r="AC509" s="1475"/>
      <c r="AD509" s="1476"/>
      <c r="AE509" s="1501"/>
      <c r="AF509" s="1501"/>
      <c r="AG509" s="1457" t="str">
        <f t="shared" si="30"/>
        <v>23調査結果-建築物の内部-4（37）-調査者番号</v>
      </c>
      <c r="AI509" s="1459"/>
      <c r="AJ509" s="1459"/>
      <c r="AK509" s="1459"/>
    </row>
    <row r="510" spans="1:37" s="1457" customFormat="1" ht="18.75" customHeight="1" x14ac:dyDescent="0.15">
      <c r="A510" s="1578"/>
      <c r="B510" s="1462"/>
      <c r="C510" s="1462"/>
      <c r="D510" s="1460">
        <f>'1_入力シート【基本情報】'!$AT$418</f>
        <v>0</v>
      </c>
      <c r="E510" s="1650">
        <f t="shared" si="31"/>
        <v>0</v>
      </c>
      <c r="F510" s="1650" t="str">
        <f t="shared" si="32"/>
        <v>0</v>
      </c>
      <c r="G510" s="1650" t="str">
        <f t="shared" si="33"/>
        <v>0</v>
      </c>
      <c r="H510" s="1468"/>
      <c r="I510" s="1462"/>
      <c r="J510" s="1531"/>
      <c r="K510" s="1462"/>
      <c r="L510" s="1462"/>
      <c r="M510" s="1493"/>
      <c r="N510" s="1462"/>
      <c r="O510" s="1462"/>
      <c r="P510" s="1462"/>
      <c r="Q510" s="1462"/>
      <c r="R510" s="1462"/>
      <c r="S510" s="1462"/>
      <c r="T510" s="1462"/>
      <c r="U510" s="1469">
        <v>23</v>
      </c>
      <c r="V510" s="1486" t="s">
        <v>33</v>
      </c>
      <c r="W510" s="1471" t="s">
        <v>1306</v>
      </c>
      <c r="X510" s="1472" t="s">
        <v>1440</v>
      </c>
      <c r="Y510" s="1473" t="s">
        <v>1306</v>
      </c>
      <c r="Z510" s="1504" t="s">
        <v>1477</v>
      </c>
      <c r="AA510" s="1473" t="s">
        <v>1306</v>
      </c>
      <c r="AB510" s="1470" t="s">
        <v>1402</v>
      </c>
      <c r="AC510" s="1475"/>
      <c r="AD510" s="1476"/>
      <c r="AE510" s="1501"/>
      <c r="AF510" s="1501"/>
      <c r="AG510" s="1457" t="str">
        <f t="shared" ref="AG510:AG570" si="34">CONCATENATE(U510,V510,W510,X510,Y510,Z510,AA510,AB510,AC510,AD510)</f>
        <v>23調査結果-建築物の内部-4（37）-指摘の具体的内容等</v>
      </c>
      <c r="AI510" s="1459"/>
      <c r="AJ510" s="1459"/>
      <c r="AK510" s="1459"/>
    </row>
    <row r="511" spans="1:37" s="1457" customFormat="1" ht="18.75" customHeight="1" x14ac:dyDescent="0.15">
      <c r="A511" s="1578"/>
      <c r="B511" s="1462"/>
      <c r="C511" s="1462"/>
      <c r="D511" s="1460">
        <f>'1_入力シート【基本情報】'!$BD$418</f>
        <v>0</v>
      </c>
      <c r="E511" s="1650">
        <f t="shared" si="31"/>
        <v>0</v>
      </c>
      <c r="F511" s="1650" t="str">
        <f t="shared" si="32"/>
        <v>0</v>
      </c>
      <c r="G511" s="1650" t="str">
        <f t="shared" si="33"/>
        <v>0</v>
      </c>
      <c r="H511" s="1468"/>
      <c r="I511" s="1462"/>
      <c r="J511" s="1531"/>
      <c r="K511" s="1462"/>
      <c r="L511" s="1462"/>
      <c r="M511" s="1493"/>
      <c r="N511" s="1462"/>
      <c r="O511" s="1462"/>
      <c r="P511" s="1462"/>
      <c r="Q511" s="1462"/>
      <c r="R511" s="1462"/>
      <c r="S511" s="1462"/>
      <c r="T511" s="1462"/>
      <c r="U511" s="1469">
        <v>23</v>
      </c>
      <c r="V511" s="1486" t="s">
        <v>33</v>
      </c>
      <c r="W511" s="1471" t="s">
        <v>1306</v>
      </c>
      <c r="X511" s="1472" t="s">
        <v>1440</v>
      </c>
      <c r="Y511" s="1473" t="s">
        <v>1306</v>
      </c>
      <c r="Z511" s="1504" t="s">
        <v>1477</v>
      </c>
      <c r="AA511" s="1473" t="s">
        <v>1306</v>
      </c>
      <c r="AB511" s="1470" t="s">
        <v>1403</v>
      </c>
      <c r="AC511" s="1475"/>
      <c r="AD511" s="1476"/>
      <c r="AE511" s="1501"/>
      <c r="AF511" s="1501"/>
      <c r="AG511" s="1457" t="str">
        <f t="shared" si="34"/>
        <v>23調査結果-建築物の内部-4（37）-改善策の具体的内容等</v>
      </c>
      <c r="AI511" s="1459"/>
      <c r="AJ511" s="1459"/>
      <c r="AK511" s="1459"/>
    </row>
    <row r="512" spans="1:37" s="1457" customFormat="1" ht="18.75" customHeight="1" x14ac:dyDescent="0.15">
      <c r="A512" s="1578"/>
      <c r="B512" s="1462"/>
      <c r="C512" s="1462"/>
      <c r="D512" s="1460">
        <f>'1_入力シート【基本情報】'!$BS$418</f>
        <v>0</v>
      </c>
      <c r="E512" s="1650">
        <f t="shared" si="31"/>
        <v>0</v>
      </c>
      <c r="F512" s="1650" t="str">
        <f t="shared" si="32"/>
        <v>0</v>
      </c>
      <c r="G512" s="1650" t="str">
        <f t="shared" si="33"/>
        <v>0</v>
      </c>
      <c r="H512" s="1468"/>
      <c r="I512" s="1462"/>
      <c r="J512" s="1531"/>
      <c r="K512" s="1462"/>
      <c r="L512" s="1462"/>
      <c r="M512" s="1493"/>
      <c r="N512" s="1462"/>
      <c r="O512" s="1462"/>
      <c r="P512" s="1462"/>
      <c r="Q512" s="1462"/>
      <c r="R512" s="1462"/>
      <c r="S512" s="1462"/>
      <c r="T512" s="1462"/>
      <c r="U512" s="1469">
        <v>23</v>
      </c>
      <c r="V512" s="1486" t="s">
        <v>33</v>
      </c>
      <c r="W512" s="1471" t="s">
        <v>1306</v>
      </c>
      <c r="X512" s="1472" t="s">
        <v>1440</v>
      </c>
      <c r="Y512" s="1473" t="s">
        <v>1306</v>
      </c>
      <c r="Z512" s="1504" t="s">
        <v>1477</v>
      </c>
      <c r="AA512" s="1473" t="s">
        <v>1306</v>
      </c>
      <c r="AB512" s="1470" t="s">
        <v>352</v>
      </c>
      <c r="AC512" s="1475" t="s">
        <v>1366</v>
      </c>
      <c r="AD512" s="1476" t="s">
        <v>1387</v>
      </c>
      <c r="AE512" s="1501"/>
      <c r="AF512" s="1501"/>
      <c r="AG512" s="1457" t="str">
        <f t="shared" si="34"/>
        <v>23調査結果-建築物の内部-4（37）-改善（予定）年月-年（令和）</v>
      </c>
      <c r="AI512" s="1459"/>
      <c r="AJ512" s="1459"/>
      <c r="AK512" s="1459"/>
    </row>
    <row r="513" spans="1:37" s="1457" customFormat="1" ht="18.75" customHeight="1" x14ac:dyDescent="0.15">
      <c r="A513" s="1578"/>
      <c r="B513" s="1462"/>
      <c r="C513" s="1462"/>
      <c r="D513" s="1460">
        <f>'1_入力シート【基本情報】'!$BV$418</f>
        <v>0</v>
      </c>
      <c r="E513" s="1650">
        <f t="shared" si="31"/>
        <v>0</v>
      </c>
      <c r="F513" s="1650" t="str">
        <f t="shared" si="32"/>
        <v>0</v>
      </c>
      <c r="G513" s="1650" t="str">
        <f t="shared" si="33"/>
        <v>0</v>
      </c>
      <c r="H513" s="1468"/>
      <c r="I513" s="1462"/>
      <c r="J513" s="1531"/>
      <c r="K513" s="1462"/>
      <c r="L513" s="1462"/>
      <c r="M513" s="1493"/>
      <c r="N513" s="1462"/>
      <c r="O513" s="1462"/>
      <c r="P513" s="1462"/>
      <c r="Q513" s="1462"/>
      <c r="R513" s="1462"/>
      <c r="S513" s="1462"/>
      <c r="T513" s="1462"/>
      <c r="U513" s="1469">
        <v>23</v>
      </c>
      <c r="V513" s="1486" t="s">
        <v>33</v>
      </c>
      <c r="W513" s="1471" t="s">
        <v>1306</v>
      </c>
      <c r="X513" s="1472" t="s">
        <v>1440</v>
      </c>
      <c r="Y513" s="1473" t="s">
        <v>1306</v>
      </c>
      <c r="Z513" s="1504" t="s">
        <v>1477</v>
      </c>
      <c r="AA513" s="1473" t="s">
        <v>1306</v>
      </c>
      <c r="AB513" s="1470" t="s">
        <v>352</v>
      </c>
      <c r="AC513" s="1475" t="s">
        <v>1366</v>
      </c>
      <c r="AD513" s="1476" t="s">
        <v>348</v>
      </c>
      <c r="AE513" s="1501"/>
      <c r="AF513" s="1501"/>
      <c r="AG513" s="1457" t="str">
        <f t="shared" si="34"/>
        <v>23調査結果-建築物の内部-4（37）-改善（予定）年月-月</v>
      </c>
      <c r="AI513" s="1459"/>
      <c r="AJ513" s="1459"/>
      <c r="AK513" s="1459"/>
    </row>
    <row r="514" spans="1:37" s="1457" customFormat="1" ht="18.75" customHeight="1" x14ac:dyDescent="0.15">
      <c r="A514" s="1578"/>
      <c r="B514" s="1462"/>
      <c r="C514" s="1462"/>
      <c r="D514" s="1460">
        <f>'1_入力シート【基本情報】'!$BY$418</f>
        <v>0</v>
      </c>
      <c r="E514" s="1650">
        <f t="shared" si="31"/>
        <v>0</v>
      </c>
      <c r="F514" s="1650" t="str">
        <f t="shared" si="32"/>
        <v>0</v>
      </c>
      <c r="G514" s="1650" t="str">
        <f t="shared" si="33"/>
        <v>0</v>
      </c>
      <c r="H514" s="1468"/>
      <c r="I514" s="1462"/>
      <c r="J514" s="1531"/>
      <c r="K514" s="1462"/>
      <c r="L514" s="1462"/>
      <c r="M514" s="1493"/>
      <c r="N514" s="1462"/>
      <c r="O514" s="1462"/>
      <c r="P514" s="1462"/>
      <c r="Q514" s="1462"/>
      <c r="R514" s="1462"/>
      <c r="S514" s="1462"/>
      <c r="T514" s="1462"/>
      <c r="U514" s="1469">
        <v>23</v>
      </c>
      <c r="V514" s="1486" t="s">
        <v>33</v>
      </c>
      <c r="W514" s="1471" t="s">
        <v>1306</v>
      </c>
      <c r="X514" s="1472" t="s">
        <v>1440</v>
      </c>
      <c r="Y514" s="1473" t="s">
        <v>1306</v>
      </c>
      <c r="Z514" s="1504" t="s">
        <v>1477</v>
      </c>
      <c r="AA514" s="1473" t="s">
        <v>1306</v>
      </c>
      <c r="AB514" s="1470" t="s">
        <v>352</v>
      </c>
      <c r="AC514" s="1475" t="s">
        <v>1366</v>
      </c>
      <c r="AD514" s="1476" t="s">
        <v>640</v>
      </c>
      <c r="AE514" s="1501"/>
      <c r="AF514" s="1501"/>
      <c r="AG514" s="1457" t="str">
        <f t="shared" si="34"/>
        <v>23調査結果-建築物の内部-4（37）-改善（予定）年月-未定</v>
      </c>
      <c r="AI514" s="1459"/>
      <c r="AJ514" s="1459"/>
      <c r="AK514" s="1459"/>
    </row>
    <row r="515" spans="1:37" s="1457" customFormat="1" ht="18.75" customHeight="1" x14ac:dyDescent="0.15">
      <c r="A515" s="1578"/>
      <c r="B515" s="1462"/>
      <c r="C515" s="1462"/>
      <c r="D515" s="1460">
        <f>'1_入力シート【基本情報】'!$AF$419</f>
        <v>0</v>
      </c>
      <c r="E515" s="1650">
        <f t="shared" si="31"/>
        <v>0</v>
      </c>
      <c r="F515" s="1650" t="str">
        <f t="shared" si="32"/>
        <v>0</v>
      </c>
      <c r="G515" s="1650" t="str">
        <f t="shared" si="33"/>
        <v>0</v>
      </c>
      <c r="H515" s="1468"/>
      <c r="I515" s="1462"/>
      <c r="J515" s="1531"/>
      <c r="K515" s="1462"/>
      <c r="L515" s="1462"/>
      <c r="M515" s="1493"/>
      <c r="N515" s="1462"/>
      <c r="O515" s="1462"/>
      <c r="P515" s="1462"/>
      <c r="Q515" s="1462"/>
      <c r="R515" s="1462"/>
      <c r="S515" s="1462"/>
      <c r="T515" s="1462"/>
      <c r="U515" s="1469">
        <v>23</v>
      </c>
      <c r="V515" s="1486" t="s">
        <v>33</v>
      </c>
      <c r="W515" s="1471" t="s">
        <v>1306</v>
      </c>
      <c r="X515" s="1472" t="s">
        <v>1440</v>
      </c>
      <c r="Y515" s="1473" t="s">
        <v>1306</v>
      </c>
      <c r="Z515" s="1504" t="s">
        <v>1478</v>
      </c>
      <c r="AA515" s="1473" t="s">
        <v>1306</v>
      </c>
      <c r="AB515" s="1470" t="s">
        <v>33</v>
      </c>
      <c r="AC515" s="1475"/>
      <c r="AD515" s="1476"/>
      <c r="AE515" s="1501"/>
      <c r="AF515" s="1501"/>
      <c r="AG515" s="1457" t="str">
        <f t="shared" si="34"/>
        <v>23調査結果-建築物の内部-4（38）-調査結果</v>
      </c>
      <c r="AI515" s="1459"/>
      <c r="AJ515" s="1459"/>
      <c r="AK515" s="1459"/>
    </row>
    <row r="516" spans="1:37" s="1457" customFormat="1" ht="18.75" customHeight="1" x14ac:dyDescent="0.15">
      <c r="A516" s="1578"/>
      <c r="B516" s="1462"/>
      <c r="C516" s="1462"/>
      <c r="D516" s="1460">
        <f>'1_入力シート【基本情報】'!$AR$419</f>
        <v>0</v>
      </c>
      <c r="E516" s="1650">
        <f t="shared" si="31"/>
        <v>0</v>
      </c>
      <c r="F516" s="1650" t="str">
        <f t="shared" si="32"/>
        <v>0</v>
      </c>
      <c r="G516" s="1650" t="str">
        <f t="shared" si="33"/>
        <v>0</v>
      </c>
      <c r="H516" s="1468"/>
      <c r="I516" s="1462"/>
      <c r="J516" s="1531"/>
      <c r="K516" s="1462"/>
      <c r="L516" s="1462"/>
      <c r="M516" s="1493"/>
      <c r="N516" s="1462"/>
      <c r="O516" s="1462"/>
      <c r="P516" s="1462"/>
      <c r="Q516" s="1462"/>
      <c r="R516" s="1462"/>
      <c r="S516" s="1462"/>
      <c r="T516" s="1462"/>
      <c r="U516" s="1469">
        <v>23</v>
      </c>
      <c r="V516" s="1486" t="s">
        <v>33</v>
      </c>
      <c r="W516" s="1471" t="s">
        <v>1306</v>
      </c>
      <c r="X516" s="1472" t="s">
        <v>1440</v>
      </c>
      <c r="Y516" s="1473" t="s">
        <v>1306</v>
      </c>
      <c r="Z516" s="1504" t="s">
        <v>1478</v>
      </c>
      <c r="AA516" s="1473" t="s">
        <v>1306</v>
      </c>
      <c r="AB516" s="1470" t="s">
        <v>30</v>
      </c>
      <c r="AC516" s="1475"/>
      <c r="AD516" s="1476"/>
      <c r="AE516" s="1501"/>
      <c r="AF516" s="1501"/>
      <c r="AG516" s="1457" t="str">
        <f t="shared" si="34"/>
        <v>23調査結果-建築物の内部-4（38）-調査者番号</v>
      </c>
      <c r="AI516" s="1459"/>
      <c r="AJ516" s="1459"/>
      <c r="AK516" s="1459"/>
    </row>
    <row r="517" spans="1:37" s="1457" customFormat="1" ht="18.75" customHeight="1" x14ac:dyDescent="0.15">
      <c r="A517" s="1578"/>
      <c r="B517" s="1462"/>
      <c r="C517" s="1462"/>
      <c r="D517" s="1460">
        <f>'1_入力シート【基本情報】'!$AT$419</f>
        <v>0</v>
      </c>
      <c r="E517" s="1650">
        <f t="shared" si="31"/>
        <v>0</v>
      </c>
      <c r="F517" s="1650" t="str">
        <f t="shared" si="32"/>
        <v>0</v>
      </c>
      <c r="G517" s="1650" t="str">
        <f t="shared" si="33"/>
        <v>0</v>
      </c>
      <c r="H517" s="1468"/>
      <c r="I517" s="1462"/>
      <c r="J517" s="1531"/>
      <c r="K517" s="1462"/>
      <c r="L517" s="1462"/>
      <c r="M517" s="1493"/>
      <c r="N517" s="1462"/>
      <c r="O517" s="1462"/>
      <c r="P517" s="1462"/>
      <c r="Q517" s="1462"/>
      <c r="R517" s="1462"/>
      <c r="S517" s="1462"/>
      <c r="T517" s="1462"/>
      <c r="U517" s="1469">
        <v>23</v>
      </c>
      <c r="V517" s="1486" t="s">
        <v>33</v>
      </c>
      <c r="W517" s="1471" t="s">
        <v>1306</v>
      </c>
      <c r="X517" s="1472" t="s">
        <v>1440</v>
      </c>
      <c r="Y517" s="1473" t="s">
        <v>1306</v>
      </c>
      <c r="Z517" s="1504" t="s">
        <v>1478</v>
      </c>
      <c r="AA517" s="1473" t="s">
        <v>1306</v>
      </c>
      <c r="AB517" s="1470" t="s">
        <v>1402</v>
      </c>
      <c r="AC517" s="1475"/>
      <c r="AD517" s="1476"/>
      <c r="AE517" s="1501"/>
      <c r="AF517" s="1501"/>
      <c r="AG517" s="1457" t="str">
        <f t="shared" si="34"/>
        <v>23調査結果-建築物の内部-4（38）-指摘の具体的内容等</v>
      </c>
      <c r="AI517" s="1459"/>
      <c r="AJ517" s="1459"/>
      <c r="AK517" s="1459"/>
    </row>
    <row r="518" spans="1:37" s="1457" customFormat="1" ht="18.75" customHeight="1" x14ac:dyDescent="0.15">
      <c r="A518" s="1578"/>
      <c r="B518" s="1462"/>
      <c r="C518" s="1462"/>
      <c r="D518" s="1460">
        <f>'1_入力シート【基本情報】'!$BD$419</f>
        <v>0</v>
      </c>
      <c r="E518" s="1650">
        <f t="shared" si="31"/>
        <v>0</v>
      </c>
      <c r="F518" s="1650" t="str">
        <f t="shared" si="32"/>
        <v>0</v>
      </c>
      <c r="G518" s="1650" t="str">
        <f t="shared" si="33"/>
        <v>0</v>
      </c>
      <c r="H518" s="1468"/>
      <c r="I518" s="1462"/>
      <c r="J518" s="1531"/>
      <c r="K518" s="1462"/>
      <c r="L518" s="1462"/>
      <c r="M518" s="1493"/>
      <c r="N518" s="1462"/>
      <c r="O518" s="1462"/>
      <c r="P518" s="1462"/>
      <c r="Q518" s="1462"/>
      <c r="R518" s="1462"/>
      <c r="S518" s="1462"/>
      <c r="T518" s="1462"/>
      <c r="U518" s="1469">
        <v>23</v>
      </c>
      <c r="V518" s="1486" t="s">
        <v>33</v>
      </c>
      <c r="W518" s="1471" t="s">
        <v>1306</v>
      </c>
      <c r="X518" s="1472" t="s">
        <v>1440</v>
      </c>
      <c r="Y518" s="1473" t="s">
        <v>1306</v>
      </c>
      <c r="Z518" s="1504" t="s">
        <v>1478</v>
      </c>
      <c r="AA518" s="1473" t="s">
        <v>1306</v>
      </c>
      <c r="AB518" s="1470" t="s">
        <v>1403</v>
      </c>
      <c r="AC518" s="1475"/>
      <c r="AD518" s="1476"/>
      <c r="AE518" s="1501"/>
      <c r="AF518" s="1501"/>
      <c r="AG518" s="1457" t="str">
        <f t="shared" si="34"/>
        <v>23調査結果-建築物の内部-4（38）-改善策の具体的内容等</v>
      </c>
      <c r="AI518" s="1459"/>
      <c r="AJ518" s="1459"/>
      <c r="AK518" s="1459"/>
    </row>
    <row r="519" spans="1:37" s="1457" customFormat="1" ht="18.75" customHeight="1" x14ac:dyDescent="0.15">
      <c r="A519" s="1578"/>
      <c r="B519" s="1462"/>
      <c r="C519" s="1462"/>
      <c r="D519" s="1460">
        <f>'1_入力シート【基本情報】'!$BS$419</f>
        <v>0</v>
      </c>
      <c r="E519" s="1650">
        <f t="shared" si="31"/>
        <v>0</v>
      </c>
      <c r="F519" s="1650" t="str">
        <f t="shared" si="32"/>
        <v>0</v>
      </c>
      <c r="G519" s="1650" t="str">
        <f t="shared" si="33"/>
        <v>0</v>
      </c>
      <c r="H519" s="1468"/>
      <c r="I519" s="1462"/>
      <c r="J519" s="1531"/>
      <c r="K519" s="1462"/>
      <c r="L519" s="1462"/>
      <c r="M519" s="1493"/>
      <c r="N519" s="1462"/>
      <c r="O519" s="1462"/>
      <c r="P519" s="1462"/>
      <c r="Q519" s="1462"/>
      <c r="R519" s="1462"/>
      <c r="S519" s="1462"/>
      <c r="T519" s="1462"/>
      <c r="U519" s="1469">
        <v>23</v>
      </c>
      <c r="V519" s="1486" t="s">
        <v>33</v>
      </c>
      <c r="W519" s="1471" t="s">
        <v>1306</v>
      </c>
      <c r="X519" s="1472" t="s">
        <v>1440</v>
      </c>
      <c r="Y519" s="1473" t="s">
        <v>1306</v>
      </c>
      <c r="Z519" s="1504" t="s">
        <v>1478</v>
      </c>
      <c r="AA519" s="1473" t="s">
        <v>1306</v>
      </c>
      <c r="AB519" s="1470" t="s">
        <v>352</v>
      </c>
      <c r="AC519" s="1475" t="s">
        <v>1366</v>
      </c>
      <c r="AD519" s="1476" t="s">
        <v>1387</v>
      </c>
      <c r="AE519" s="1501"/>
      <c r="AF519" s="1501"/>
      <c r="AG519" s="1457" t="str">
        <f t="shared" si="34"/>
        <v>23調査結果-建築物の内部-4（38）-改善（予定）年月-年（令和）</v>
      </c>
      <c r="AI519" s="1459"/>
      <c r="AJ519" s="1459"/>
      <c r="AK519" s="1459"/>
    </row>
    <row r="520" spans="1:37" s="1457" customFormat="1" ht="18.75" customHeight="1" x14ac:dyDescent="0.15">
      <c r="A520" s="1578"/>
      <c r="B520" s="1462"/>
      <c r="C520" s="1462"/>
      <c r="D520" s="1460">
        <f>'1_入力シート【基本情報】'!$BV$419</f>
        <v>0</v>
      </c>
      <c r="E520" s="1650">
        <f t="shared" si="31"/>
        <v>0</v>
      </c>
      <c r="F520" s="1650" t="str">
        <f t="shared" si="32"/>
        <v>0</v>
      </c>
      <c r="G520" s="1650" t="str">
        <f t="shared" si="33"/>
        <v>0</v>
      </c>
      <c r="H520" s="1468"/>
      <c r="I520" s="1462"/>
      <c r="J520" s="1531"/>
      <c r="K520" s="1462"/>
      <c r="L520" s="1462"/>
      <c r="M520" s="1493"/>
      <c r="N520" s="1462"/>
      <c r="O520" s="1462"/>
      <c r="P520" s="1462"/>
      <c r="Q520" s="1462"/>
      <c r="R520" s="1462"/>
      <c r="S520" s="1462"/>
      <c r="T520" s="1462"/>
      <c r="U520" s="1469">
        <v>23</v>
      </c>
      <c r="V520" s="1486" t="s">
        <v>33</v>
      </c>
      <c r="W520" s="1471" t="s">
        <v>1306</v>
      </c>
      <c r="X520" s="1472" t="s">
        <v>1440</v>
      </c>
      <c r="Y520" s="1473" t="s">
        <v>1306</v>
      </c>
      <c r="Z520" s="1504" t="s">
        <v>1478</v>
      </c>
      <c r="AA520" s="1473" t="s">
        <v>1306</v>
      </c>
      <c r="AB520" s="1470" t="s">
        <v>352</v>
      </c>
      <c r="AC520" s="1475" t="s">
        <v>1366</v>
      </c>
      <c r="AD520" s="1476" t="s">
        <v>348</v>
      </c>
      <c r="AE520" s="1501"/>
      <c r="AF520" s="1501"/>
      <c r="AG520" s="1457" t="str">
        <f t="shared" si="34"/>
        <v>23調査結果-建築物の内部-4（38）-改善（予定）年月-月</v>
      </c>
      <c r="AI520" s="1459"/>
      <c r="AJ520" s="1459"/>
      <c r="AK520" s="1459"/>
    </row>
    <row r="521" spans="1:37" s="1457" customFormat="1" ht="18.75" customHeight="1" x14ac:dyDescent="0.15">
      <c r="A521" s="1578"/>
      <c r="B521" s="1462"/>
      <c r="C521" s="1462"/>
      <c r="D521" s="1460">
        <f>'1_入力シート【基本情報】'!$BY$419</f>
        <v>0</v>
      </c>
      <c r="E521" s="1650">
        <f t="shared" si="31"/>
        <v>0</v>
      </c>
      <c r="F521" s="1650" t="str">
        <f t="shared" si="32"/>
        <v>0</v>
      </c>
      <c r="G521" s="1650" t="str">
        <f t="shared" si="33"/>
        <v>0</v>
      </c>
      <c r="H521" s="1468"/>
      <c r="I521" s="1462"/>
      <c r="J521" s="1531"/>
      <c r="K521" s="1462"/>
      <c r="L521" s="1462"/>
      <c r="M521" s="1493"/>
      <c r="N521" s="1462"/>
      <c r="O521" s="1462"/>
      <c r="P521" s="1462"/>
      <c r="Q521" s="1462"/>
      <c r="R521" s="1462"/>
      <c r="S521" s="1462"/>
      <c r="T521" s="1462"/>
      <c r="U521" s="1469">
        <v>23</v>
      </c>
      <c r="V521" s="1486" t="s">
        <v>33</v>
      </c>
      <c r="W521" s="1471" t="s">
        <v>1306</v>
      </c>
      <c r="X521" s="1472" t="s">
        <v>1440</v>
      </c>
      <c r="Y521" s="1473" t="s">
        <v>1306</v>
      </c>
      <c r="Z521" s="1504" t="s">
        <v>1478</v>
      </c>
      <c r="AA521" s="1473" t="s">
        <v>1306</v>
      </c>
      <c r="AB521" s="1470" t="s">
        <v>352</v>
      </c>
      <c r="AC521" s="1475" t="s">
        <v>1366</v>
      </c>
      <c r="AD521" s="1476" t="s">
        <v>640</v>
      </c>
      <c r="AE521" s="1501"/>
      <c r="AF521" s="1501"/>
      <c r="AG521" s="1457" t="str">
        <f t="shared" si="34"/>
        <v>23調査結果-建築物の内部-4（38）-改善（予定）年月-未定</v>
      </c>
      <c r="AI521" s="1459"/>
      <c r="AJ521" s="1459"/>
      <c r="AK521" s="1459"/>
    </row>
    <row r="522" spans="1:37" s="1457" customFormat="1" ht="18.75" customHeight="1" x14ac:dyDescent="0.15">
      <c r="A522" s="1578"/>
      <c r="B522" s="1462"/>
      <c r="C522" s="1462"/>
      <c r="D522" s="1460">
        <f>'1_入力シート【基本情報】'!$AF$420</f>
        <v>0</v>
      </c>
      <c r="E522" s="1650">
        <f t="shared" si="31"/>
        <v>0</v>
      </c>
      <c r="F522" s="1650" t="str">
        <f t="shared" si="32"/>
        <v>0</v>
      </c>
      <c r="G522" s="1650" t="str">
        <f t="shared" si="33"/>
        <v>0</v>
      </c>
      <c r="H522" s="1468"/>
      <c r="I522" s="1462"/>
      <c r="J522" s="1531"/>
      <c r="K522" s="1462"/>
      <c r="L522" s="1462"/>
      <c r="M522" s="1493"/>
      <c r="N522" s="1462"/>
      <c r="O522" s="1462"/>
      <c r="P522" s="1462"/>
      <c r="Q522" s="1462"/>
      <c r="R522" s="1462"/>
      <c r="S522" s="1462"/>
      <c r="T522" s="1462"/>
      <c r="U522" s="1469">
        <v>23</v>
      </c>
      <c r="V522" s="1486" t="s">
        <v>33</v>
      </c>
      <c r="W522" s="1471" t="s">
        <v>1306</v>
      </c>
      <c r="X522" s="1472" t="s">
        <v>1440</v>
      </c>
      <c r="Y522" s="1473" t="s">
        <v>1306</v>
      </c>
      <c r="Z522" s="1504" t="s">
        <v>1479</v>
      </c>
      <c r="AA522" s="1473" t="s">
        <v>1306</v>
      </c>
      <c r="AB522" s="1470" t="s">
        <v>33</v>
      </c>
      <c r="AC522" s="1475"/>
      <c r="AD522" s="1476"/>
      <c r="AE522" s="1501"/>
      <c r="AF522" s="1501"/>
      <c r="AG522" s="1457" t="str">
        <f t="shared" si="34"/>
        <v>23調査結果-建築物の内部-4（39）-調査結果</v>
      </c>
      <c r="AI522" s="1459"/>
      <c r="AJ522" s="1459"/>
      <c r="AK522" s="1459"/>
    </row>
    <row r="523" spans="1:37" s="1457" customFormat="1" ht="18.75" customHeight="1" x14ac:dyDescent="0.15">
      <c r="A523" s="1578"/>
      <c r="B523" s="1462"/>
      <c r="C523" s="1462"/>
      <c r="D523" s="1460">
        <f>'1_入力シート【基本情報】'!$AR$420</f>
        <v>0</v>
      </c>
      <c r="E523" s="1650">
        <f t="shared" si="31"/>
        <v>0</v>
      </c>
      <c r="F523" s="1650" t="str">
        <f t="shared" si="32"/>
        <v>0</v>
      </c>
      <c r="G523" s="1650" t="str">
        <f t="shared" si="33"/>
        <v>0</v>
      </c>
      <c r="H523" s="1468"/>
      <c r="I523" s="1462"/>
      <c r="J523" s="1531"/>
      <c r="K523" s="1462"/>
      <c r="L523" s="1462"/>
      <c r="M523" s="1493"/>
      <c r="N523" s="1462"/>
      <c r="O523" s="1462"/>
      <c r="P523" s="1462"/>
      <c r="Q523" s="1462"/>
      <c r="R523" s="1462"/>
      <c r="S523" s="1462"/>
      <c r="T523" s="1462"/>
      <c r="U523" s="1469">
        <v>23</v>
      </c>
      <c r="V523" s="1486" t="s">
        <v>33</v>
      </c>
      <c r="W523" s="1471" t="s">
        <v>1306</v>
      </c>
      <c r="X523" s="1472" t="s">
        <v>1440</v>
      </c>
      <c r="Y523" s="1473" t="s">
        <v>1306</v>
      </c>
      <c r="Z523" s="1504" t="s">
        <v>1479</v>
      </c>
      <c r="AA523" s="1473" t="s">
        <v>1306</v>
      </c>
      <c r="AB523" s="1470" t="s">
        <v>30</v>
      </c>
      <c r="AC523" s="1475"/>
      <c r="AD523" s="1476"/>
      <c r="AE523" s="1501"/>
      <c r="AF523" s="1501"/>
      <c r="AG523" s="1457" t="str">
        <f t="shared" si="34"/>
        <v>23調査結果-建築物の内部-4（39）-調査者番号</v>
      </c>
      <c r="AI523" s="1459"/>
      <c r="AJ523" s="1459"/>
      <c r="AK523" s="1459"/>
    </row>
    <row r="524" spans="1:37" s="1457" customFormat="1" ht="18.75" customHeight="1" x14ac:dyDescent="0.15">
      <c r="A524" s="1578"/>
      <c r="B524" s="1462"/>
      <c r="C524" s="1462"/>
      <c r="D524" s="1460">
        <f>'1_入力シート【基本情報】'!$AT$420</f>
        <v>0</v>
      </c>
      <c r="E524" s="1650">
        <f t="shared" si="31"/>
        <v>0</v>
      </c>
      <c r="F524" s="1650" t="str">
        <f t="shared" si="32"/>
        <v>0</v>
      </c>
      <c r="G524" s="1650" t="str">
        <f t="shared" si="33"/>
        <v>0</v>
      </c>
      <c r="H524" s="1468"/>
      <c r="I524" s="1462"/>
      <c r="J524" s="1531"/>
      <c r="K524" s="1462"/>
      <c r="L524" s="1462"/>
      <c r="M524" s="1493"/>
      <c r="N524" s="1462"/>
      <c r="O524" s="1462"/>
      <c r="P524" s="1462"/>
      <c r="Q524" s="1462"/>
      <c r="R524" s="1462"/>
      <c r="S524" s="1462"/>
      <c r="T524" s="1462"/>
      <c r="U524" s="1469">
        <v>23</v>
      </c>
      <c r="V524" s="1486" t="s">
        <v>33</v>
      </c>
      <c r="W524" s="1471" t="s">
        <v>1306</v>
      </c>
      <c r="X524" s="1472" t="s">
        <v>1440</v>
      </c>
      <c r="Y524" s="1473" t="s">
        <v>1306</v>
      </c>
      <c r="Z524" s="1504" t="s">
        <v>1479</v>
      </c>
      <c r="AA524" s="1473" t="s">
        <v>1306</v>
      </c>
      <c r="AB524" s="1470" t="s">
        <v>1402</v>
      </c>
      <c r="AC524" s="1475"/>
      <c r="AD524" s="1476"/>
      <c r="AE524" s="1501"/>
      <c r="AF524" s="1501"/>
      <c r="AG524" s="1457" t="str">
        <f t="shared" si="34"/>
        <v>23調査結果-建築物の内部-4（39）-指摘の具体的内容等</v>
      </c>
      <c r="AI524" s="1459"/>
      <c r="AJ524" s="1459"/>
      <c r="AK524" s="1459"/>
    </row>
    <row r="525" spans="1:37" s="1457" customFormat="1" ht="18.75" customHeight="1" x14ac:dyDescent="0.15">
      <c r="A525" s="1578"/>
      <c r="B525" s="1462"/>
      <c r="C525" s="1462"/>
      <c r="D525" s="1460">
        <f>'1_入力シート【基本情報】'!$BD$420</f>
        <v>0</v>
      </c>
      <c r="E525" s="1650">
        <f t="shared" si="31"/>
        <v>0</v>
      </c>
      <c r="F525" s="1650" t="str">
        <f t="shared" si="32"/>
        <v>0</v>
      </c>
      <c r="G525" s="1650" t="str">
        <f t="shared" si="33"/>
        <v>0</v>
      </c>
      <c r="H525" s="1468"/>
      <c r="I525" s="1462"/>
      <c r="J525" s="1531"/>
      <c r="K525" s="1462"/>
      <c r="L525" s="1462"/>
      <c r="M525" s="1493"/>
      <c r="N525" s="1462"/>
      <c r="O525" s="1462"/>
      <c r="P525" s="1462"/>
      <c r="Q525" s="1462"/>
      <c r="R525" s="1462"/>
      <c r="S525" s="1462"/>
      <c r="T525" s="1462"/>
      <c r="U525" s="1469">
        <v>23</v>
      </c>
      <c r="V525" s="1486" t="s">
        <v>33</v>
      </c>
      <c r="W525" s="1471" t="s">
        <v>1306</v>
      </c>
      <c r="X525" s="1472" t="s">
        <v>1440</v>
      </c>
      <c r="Y525" s="1473" t="s">
        <v>1306</v>
      </c>
      <c r="Z525" s="1504" t="s">
        <v>1479</v>
      </c>
      <c r="AA525" s="1473" t="s">
        <v>1306</v>
      </c>
      <c r="AB525" s="1470" t="s">
        <v>1403</v>
      </c>
      <c r="AC525" s="1475"/>
      <c r="AD525" s="1476"/>
      <c r="AE525" s="1501"/>
      <c r="AF525" s="1501"/>
      <c r="AG525" s="1457" t="str">
        <f t="shared" si="34"/>
        <v>23調査結果-建築物の内部-4（39）-改善策の具体的内容等</v>
      </c>
      <c r="AI525" s="1459"/>
      <c r="AJ525" s="1459"/>
      <c r="AK525" s="1459"/>
    </row>
    <row r="526" spans="1:37" s="1457" customFormat="1" ht="18.75" customHeight="1" x14ac:dyDescent="0.15">
      <c r="A526" s="1578"/>
      <c r="B526" s="1462"/>
      <c r="C526" s="1462"/>
      <c r="D526" s="1460">
        <f>'1_入力シート【基本情報】'!$BS$420</f>
        <v>0</v>
      </c>
      <c r="E526" s="1650">
        <f t="shared" si="31"/>
        <v>0</v>
      </c>
      <c r="F526" s="1650" t="str">
        <f t="shared" si="32"/>
        <v>0</v>
      </c>
      <c r="G526" s="1650" t="str">
        <f t="shared" si="33"/>
        <v>0</v>
      </c>
      <c r="H526" s="1468"/>
      <c r="I526" s="1462"/>
      <c r="J526" s="1531"/>
      <c r="K526" s="1462"/>
      <c r="L526" s="1462"/>
      <c r="M526" s="1493"/>
      <c r="N526" s="1462"/>
      <c r="O526" s="1462"/>
      <c r="P526" s="1462"/>
      <c r="Q526" s="1462"/>
      <c r="R526" s="1462"/>
      <c r="S526" s="1462"/>
      <c r="T526" s="1462"/>
      <c r="U526" s="1469">
        <v>23</v>
      </c>
      <c r="V526" s="1486" t="s">
        <v>33</v>
      </c>
      <c r="W526" s="1471" t="s">
        <v>1306</v>
      </c>
      <c r="X526" s="1472" t="s">
        <v>1440</v>
      </c>
      <c r="Y526" s="1473" t="s">
        <v>1306</v>
      </c>
      <c r="Z526" s="1504" t="s">
        <v>1479</v>
      </c>
      <c r="AA526" s="1473" t="s">
        <v>1306</v>
      </c>
      <c r="AB526" s="1470" t="s">
        <v>352</v>
      </c>
      <c r="AC526" s="1475" t="s">
        <v>1366</v>
      </c>
      <c r="AD526" s="1476" t="s">
        <v>1387</v>
      </c>
      <c r="AE526" s="1501"/>
      <c r="AF526" s="1501"/>
      <c r="AG526" s="1457" t="str">
        <f t="shared" si="34"/>
        <v>23調査結果-建築物の内部-4（39）-改善（予定）年月-年（令和）</v>
      </c>
      <c r="AI526" s="1459"/>
      <c r="AJ526" s="1459"/>
      <c r="AK526" s="1459"/>
    </row>
    <row r="527" spans="1:37" s="1457" customFormat="1" ht="18.75" customHeight="1" x14ac:dyDescent="0.15">
      <c r="A527" s="1578"/>
      <c r="B527" s="1462"/>
      <c r="C527" s="1462"/>
      <c r="D527" s="1460">
        <f>'1_入力シート【基本情報】'!$BV$420</f>
        <v>0</v>
      </c>
      <c r="E527" s="1650">
        <f t="shared" si="31"/>
        <v>0</v>
      </c>
      <c r="F527" s="1650" t="str">
        <f t="shared" si="32"/>
        <v>0</v>
      </c>
      <c r="G527" s="1650" t="str">
        <f t="shared" si="33"/>
        <v>0</v>
      </c>
      <c r="H527" s="1468"/>
      <c r="I527" s="1462"/>
      <c r="J527" s="1531"/>
      <c r="K527" s="1462"/>
      <c r="L527" s="1462"/>
      <c r="M527" s="1493"/>
      <c r="N527" s="1462"/>
      <c r="O527" s="1462"/>
      <c r="P527" s="1462"/>
      <c r="Q527" s="1462"/>
      <c r="R527" s="1462"/>
      <c r="S527" s="1462"/>
      <c r="T527" s="1462"/>
      <c r="U527" s="1469">
        <v>23</v>
      </c>
      <c r="V527" s="1486" t="s">
        <v>33</v>
      </c>
      <c r="W527" s="1471" t="s">
        <v>1306</v>
      </c>
      <c r="X527" s="1472" t="s">
        <v>1440</v>
      </c>
      <c r="Y527" s="1473" t="s">
        <v>1306</v>
      </c>
      <c r="Z527" s="1504" t="s">
        <v>1479</v>
      </c>
      <c r="AA527" s="1473" t="s">
        <v>1306</v>
      </c>
      <c r="AB527" s="1470" t="s">
        <v>352</v>
      </c>
      <c r="AC527" s="1475" t="s">
        <v>1366</v>
      </c>
      <c r="AD527" s="1476" t="s">
        <v>348</v>
      </c>
      <c r="AE527" s="1501"/>
      <c r="AF527" s="1501"/>
      <c r="AG527" s="1457" t="str">
        <f t="shared" si="34"/>
        <v>23調査結果-建築物の内部-4（39）-改善（予定）年月-月</v>
      </c>
      <c r="AI527" s="1459"/>
      <c r="AJ527" s="1459"/>
      <c r="AK527" s="1459"/>
    </row>
    <row r="528" spans="1:37" s="1457" customFormat="1" ht="18.75" customHeight="1" x14ac:dyDescent="0.15">
      <c r="A528" s="1578"/>
      <c r="B528" s="1462"/>
      <c r="C528" s="1462"/>
      <c r="D528" s="1460">
        <f>'1_入力シート【基本情報】'!$BY$420</f>
        <v>0</v>
      </c>
      <c r="E528" s="1650">
        <f t="shared" si="31"/>
        <v>0</v>
      </c>
      <c r="F528" s="1650" t="str">
        <f t="shared" si="32"/>
        <v>0</v>
      </c>
      <c r="G528" s="1650" t="str">
        <f t="shared" si="33"/>
        <v>0</v>
      </c>
      <c r="H528" s="1468"/>
      <c r="I528" s="1462"/>
      <c r="J528" s="1531"/>
      <c r="K528" s="1462"/>
      <c r="L528" s="1462"/>
      <c r="M528" s="1493"/>
      <c r="N528" s="1462"/>
      <c r="O528" s="1462"/>
      <c r="P528" s="1462"/>
      <c r="Q528" s="1462"/>
      <c r="R528" s="1462"/>
      <c r="S528" s="1462"/>
      <c r="T528" s="1462"/>
      <c r="U528" s="1469">
        <v>23</v>
      </c>
      <c r="V528" s="1486" t="s">
        <v>33</v>
      </c>
      <c r="W528" s="1471" t="s">
        <v>1306</v>
      </c>
      <c r="X528" s="1472" t="s">
        <v>1440</v>
      </c>
      <c r="Y528" s="1473" t="s">
        <v>1306</v>
      </c>
      <c r="Z528" s="1504" t="s">
        <v>1479</v>
      </c>
      <c r="AA528" s="1473" t="s">
        <v>1306</v>
      </c>
      <c r="AB528" s="1470" t="s">
        <v>352</v>
      </c>
      <c r="AC528" s="1475" t="s">
        <v>1366</v>
      </c>
      <c r="AD528" s="1476" t="s">
        <v>640</v>
      </c>
      <c r="AE528" s="1501"/>
      <c r="AF528" s="1501"/>
      <c r="AG528" s="1457" t="str">
        <f t="shared" si="34"/>
        <v>23調査結果-建築物の内部-4（39）-改善（予定）年月-未定</v>
      </c>
      <c r="AI528" s="1459"/>
      <c r="AJ528" s="1459"/>
      <c r="AK528" s="1459"/>
    </row>
    <row r="529" spans="1:37" s="1457" customFormat="1" ht="18.75" customHeight="1" x14ac:dyDescent="0.15">
      <c r="A529" s="1578"/>
      <c r="B529" s="1462"/>
      <c r="C529" s="1462"/>
      <c r="D529" s="1460">
        <f>'1_入力シート【基本情報】'!$AF$421</f>
        <v>0</v>
      </c>
      <c r="E529" s="1650">
        <f t="shared" si="31"/>
        <v>0</v>
      </c>
      <c r="F529" s="1650" t="str">
        <f t="shared" si="32"/>
        <v>0</v>
      </c>
      <c r="G529" s="1650" t="str">
        <f t="shared" si="33"/>
        <v>0</v>
      </c>
      <c r="H529" s="1468"/>
      <c r="I529" s="1462"/>
      <c r="J529" s="1531"/>
      <c r="K529" s="1462"/>
      <c r="L529" s="1462"/>
      <c r="M529" s="1493"/>
      <c r="N529" s="1462"/>
      <c r="O529" s="1462"/>
      <c r="P529" s="1462"/>
      <c r="Q529" s="1462"/>
      <c r="R529" s="1462"/>
      <c r="S529" s="1462"/>
      <c r="T529" s="1462"/>
      <c r="U529" s="1469">
        <v>23</v>
      </c>
      <c r="V529" s="1486" t="s">
        <v>33</v>
      </c>
      <c r="W529" s="1471" t="s">
        <v>1306</v>
      </c>
      <c r="X529" s="1472" t="s">
        <v>1440</v>
      </c>
      <c r="Y529" s="1473" t="s">
        <v>1306</v>
      </c>
      <c r="Z529" s="1504" t="s">
        <v>1480</v>
      </c>
      <c r="AA529" s="1473" t="s">
        <v>1306</v>
      </c>
      <c r="AB529" s="1470" t="s">
        <v>33</v>
      </c>
      <c r="AC529" s="1475"/>
      <c r="AD529" s="1476"/>
      <c r="AE529" s="1501"/>
      <c r="AF529" s="1501"/>
      <c r="AG529" s="1457" t="str">
        <f t="shared" si="34"/>
        <v>23調査結果-建築物の内部-4（40）-調査結果</v>
      </c>
      <c r="AI529" s="1459"/>
      <c r="AJ529" s="1459"/>
      <c r="AK529" s="1459"/>
    </row>
    <row r="530" spans="1:37" s="1457" customFormat="1" ht="18.75" customHeight="1" x14ac:dyDescent="0.15">
      <c r="A530" s="1578"/>
      <c r="B530" s="1462"/>
      <c r="C530" s="1462"/>
      <c r="D530" s="1460">
        <f>'1_入力シート【基本情報】'!$AR$421</f>
        <v>0</v>
      </c>
      <c r="E530" s="1650">
        <f t="shared" si="31"/>
        <v>0</v>
      </c>
      <c r="F530" s="1650" t="str">
        <f t="shared" si="32"/>
        <v>0</v>
      </c>
      <c r="G530" s="1650" t="str">
        <f t="shared" si="33"/>
        <v>0</v>
      </c>
      <c r="H530" s="1468"/>
      <c r="I530" s="1462"/>
      <c r="J530" s="1531"/>
      <c r="K530" s="1462"/>
      <c r="L530" s="1462"/>
      <c r="M530" s="1493"/>
      <c r="N530" s="1462"/>
      <c r="O530" s="1462"/>
      <c r="P530" s="1462"/>
      <c r="Q530" s="1462"/>
      <c r="R530" s="1462"/>
      <c r="S530" s="1462"/>
      <c r="T530" s="1462"/>
      <c r="U530" s="1469">
        <v>23</v>
      </c>
      <c r="V530" s="1486" t="s">
        <v>33</v>
      </c>
      <c r="W530" s="1471" t="s">
        <v>1306</v>
      </c>
      <c r="X530" s="1472" t="s">
        <v>1440</v>
      </c>
      <c r="Y530" s="1473" t="s">
        <v>1306</v>
      </c>
      <c r="Z530" s="1504" t="s">
        <v>1480</v>
      </c>
      <c r="AA530" s="1473" t="s">
        <v>1306</v>
      </c>
      <c r="AB530" s="1470" t="s">
        <v>30</v>
      </c>
      <c r="AC530" s="1475"/>
      <c r="AD530" s="1476"/>
      <c r="AE530" s="1501"/>
      <c r="AF530" s="1501"/>
      <c r="AG530" s="1457" t="str">
        <f t="shared" si="34"/>
        <v>23調査結果-建築物の内部-4（40）-調査者番号</v>
      </c>
      <c r="AI530" s="1459"/>
      <c r="AJ530" s="1459"/>
      <c r="AK530" s="1459"/>
    </row>
    <row r="531" spans="1:37" s="1457" customFormat="1" ht="18.75" customHeight="1" x14ac:dyDescent="0.15">
      <c r="A531" s="1578"/>
      <c r="B531" s="1462"/>
      <c r="C531" s="1462"/>
      <c r="D531" s="1460">
        <f>'1_入力シート【基本情報】'!$AT$421</f>
        <v>0</v>
      </c>
      <c r="E531" s="1650">
        <f t="shared" si="31"/>
        <v>0</v>
      </c>
      <c r="F531" s="1650" t="str">
        <f t="shared" si="32"/>
        <v>0</v>
      </c>
      <c r="G531" s="1650" t="str">
        <f t="shared" si="33"/>
        <v>0</v>
      </c>
      <c r="H531" s="1468"/>
      <c r="I531" s="1462"/>
      <c r="J531" s="1531"/>
      <c r="K531" s="1462"/>
      <c r="L531" s="1462"/>
      <c r="M531" s="1493"/>
      <c r="N531" s="1462"/>
      <c r="O531" s="1462"/>
      <c r="P531" s="1462"/>
      <c r="Q531" s="1462"/>
      <c r="R531" s="1462"/>
      <c r="S531" s="1462"/>
      <c r="T531" s="1462"/>
      <c r="U531" s="1469">
        <v>23</v>
      </c>
      <c r="V531" s="1486" t="s">
        <v>33</v>
      </c>
      <c r="W531" s="1471" t="s">
        <v>1306</v>
      </c>
      <c r="X531" s="1472" t="s">
        <v>1440</v>
      </c>
      <c r="Y531" s="1473" t="s">
        <v>1306</v>
      </c>
      <c r="Z531" s="1504" t="s">
        <v>1480</v>
      </c>
      <c r="AA531" s="1473" t="s">
        <v>1306</v>
      </c>
      <c r="AB531" s="1470" t="s">
        <v>1402</v>
      </c>
      <c r="AC531" s="1475"/>
      <c r="AD531" s="1476"/>
      <c r="AE531" s="1501"/>
      <c r="AF531" s="1501"/>
      <c r="AG531" s="1457" t="str">
        <f t="shared" si="34"/>
        <v>23調査結果-建築物の内部-4（40）-指摘の具体的内容等</v>
      </c>
      <c r="AI531" s="1459"/>
      <c r="AJ531" s="1459"/>
      <c r="AK531" s="1459"/>
    </row>
    <row r="532" spans="1:37" s="1457" customFormat="1" ht="18.75" customHeight="1" x14ac:dyDescent="0.15">
      <c r="A532" s="1578"/>
      <c r="B532" s="1462"/>
      <c r="C532" s="1462"/>
      <c r="D532" s="1460">
        <f>'1_入力シート【基本情報】'!$BD$421</f>
        <v>0</v>
      </c>
      <c r="E532" s="1650">
        <f t="shared" si="31"/>
        <v>0</v>
      </c>
      <c r="F532" s="1650" t="str">
        <f t="shared" si="32"/>
        <v>0</v>
      </c>
      <c r="G532" s="1650" t="str">
        <f t="shared" si="33"/>
        <v>0</v>
      </c>
      <c r="H532" s="1468"/>
      <c r="I532" s="1462"/>
      <c r="J532" s="1531"/>
      <c r="K532" s="1462"/>
      <c r="L532" s="1462"/>
      <c r="M532" s="1493"/>
      <c r="N532" s="1462"/>
      <c r="O532" s="1462"/>
      <c r="P532" s="1462"/>
      <c r="Q532" s="1462"/>
      <c r="R532" s="1462"/>
      <c r="S532" s="1462"/>
      <c r="T532" s="1462"/>
      <c r="U532" s="1469">
        <v>23</v>
      </c>
      <c r="V532" s="1486" t="s">
        <v>33</v>
      </c>
      <c r="W532" s="1471" t="s">
        <v>1306</v>
      </c>
      <c r="X532" s="1472" t="s">
        <v>1440</v>
      </c>
      <c r="Y532" s="1473" t="s">
        <v>1306</v>
      </c>
      <c r="Z532" s="1504" t="s">
        <v>1480</v>
      </c>
      <c r="AA532" s="1473" t="s">
        <v>1306</v>
      </c>
      <c r="AB532" s="1470" t="s">
        <v>1403</v>
      </c>
      <c r="AC532" s="1475"/>
      <c r="AD532" s="1476"/>
      <c r="AE532" s="1501"/>
      <c r="AF532" s="1501"/>
      <c r="AG532" s="1457" t="str">
        <f t="shared" si="34"/>
        <v>23調査結果-建築物の内部-4（40）-改善策の具体的内容等</v>
      </c>
      <c r="AI532" s="1459"/>
      <c r="AJ532" s="1459"/>
      <c r="AK532" s="1459"/>
    </row>
    <row r="533" spans="1:37" s="1457" customFormat="1" ht="18.75" customHeight="1" x14ac:dyDescent="0.15">
      <c r="A533" s="1578"/>
      <c r="B533" s="1462"/>
      <c r="C533" s="1462"/>
      <c r="D533" s="1460">
        <f>'1_入力シート【基本情報】'!$BS$421</f>
        <v>0</v>
      </c>
      <c r="E533" s="1650">
        <f t="shared" si="31"/>
        <v>0</v>
      </c>
      <c r="F533" s="1650" t="str">
        <f t="shared" si="32"/>
        <v>0</v>
      </c>
      <c r="G533" s="1650" t="str">
        <f t="shared" si="33"/>
        <v>0</v>
      </c>
      <c r="H533" s="1468"/>
      <c r="I533" s="1462"/>
      <c r="J533" s="1531"/>
      <c r="K533" s="1462"/>
      <c r="L533" s="1462"/>
      <c r="M533" s="1493"/>
      <c r="N533" s="1462"/>
      <c r="O533" s="1462"/>
      <c r="P533" s="1462"/>
      <c r="Q533" s="1462"/>
      <c r="R533" s="1462"/>
      <c r="S533" s="1462"/>
      <c r="T533" s="1462"/>
      <c r="U533" s="1469">
        <v>23</v>
      </c>
      <c r="V533" s="1486" t="s">
        <v>33</v>
      </c>
      <c r="W533" s="1471" t="s">
        <v>1306</v>
      </c>
      <c r="X533" s="1472" t="s">
        <v>1440</v>
      </c>
      <c r="Y533" s="1473" t="s">
        <v>1306</v>
      </c>
      <c r="Z533" s="1504" t="s">
        <v>1480</v>
      </c>
      <c r="AA533" s="1473" t="s">
        <v>1306</v>
      </c>
      <c r="AB533" s="1470" t="s">
        <v>352</v>
      </c>
      <c r="AC533" s="1475" t="s">
        <v>1366</v>
      </c>
      <c r="AD533" s="1476" t="s">
        <v>1387</v>
      </c>
      <c r="AE533" s="1501"/>
      <c r="AF533" s="1501"/>
      <c r="AG533" s="1457" t="str">
        <f t="shared" si="34"/>
        <v>23調査結果-建築物の内部-4（40）-改善（予定）年月-年（令和）</v>
      </c>
      <c r="AI533" s="1459"/>
      <c r="AJ533" s="1459"/>
      <c r="AK533" s="1459"/>
    </row>
    <row r="534" spans="1:37" s="1457" customFormat="1" ht="18.75" customHeight="1" x14ac:dyDescent="0.15">
      <c r="A534" s="1578"/>
      <c r="B534" s="1462"/>
      <c r="C534" s="1462"/>
      <c r="D534" s="1460">
        <f>'1_入力シート【基本情報】'!$BV$421</f>
        <v>0</v>
      </c>
      <c r="E534" s="1650">
        <f t="shared" si="31"/>
        <v>0</v>
      </c>
      <c r="F534" s="1650" t="str">
        <f t="shared" si="32"/>
        <v>0</v>
      </c>
      <c r="G534" s="1650" t="str">
        <f t="shared" si="33"/>
        <v>0</v>
      </c>
      <c r="H534" s="1468"/>
      <c r="I534" s="1462"/>
      <c r="J534" s="1531"/>
      <c r="K534" s="1462"/>
      <c r="L534" s="1462"/>
      <c r="M534" s="1493"/>
      <c r="N534" s="1462"/>
      <c r="O534" s="1462"/>
      <c r="P534" s="1462"/>
      <c r="Q534" s="1462"/>
      <c r="R534" s="1462"/>
      <c r="S534" s="1462"/>
      <c r="T534" s="1462"/>
      <c r="U534" s="1469">
        <v>23</v>
      </c>
      <c r="V534" s="1486" t="s">
        <v>33</v>
      </c>
      <c r="W534" s="1471" t="s">
        <v>1306</v>
      </c>
      <c r="X534" s="1472" t="s">
        <v>1440</v>
      </c>
      <c r="Y534" s="1473" t="s">
        <v>1306</v>
      </c>
      <c r="Z534" s="1504" t="s">
        <v>1480</v>
      </c>
      <c r="AA534" s="1473" t="s">
        <v>1306</v>
      </c>
      <c r="AB534" s="1470" t="s">
        <v>352</v>
      </c>
      <c r="AC534" s="1475" t="s">
        <v>1366</v>
      </c>
      <c r="AD534" s="1476" t="s">
        <v>348</v>
      </c>
      <c r="AE534" s="1501"/>
      <c r="AF534" s="1501"/>
      <c r="AG534" s="1457" t="str">
        <f t="shared" si="34"/>
        <v>23調査結果-建築物の内部-4（40）-改善（予定）年月-月</v>
      </c>
      <c r="AI534" s="1459"/>
      <c r="AJ534" s="1459"/>
      <c r="AK534" s="1459"/>
    </row>
    <row r="535" spans="1:37" s="1457" customFormat="1" ht="18.75" customHeight="1" x14ac:dyDescent="0.15">
      <c r="A535" s="1578"/>
      <c r="B535" s="1462"/>
      <c r="C535" s="1462"/>
      <c r="D535" s="1460">
        <f>'1_入力シート【基本情報】'!$BY$421</f>
        <v>0</v>
      </c>
      <c r="E535" s="1650">
        <f t="shared" si="31"/>
        <v>0</v>
      </c>
      <c r="F535" s="1650" t="str">
        <f t="shared" si="32"/>
        <v>0</v>
      </c>
      <c r="G535" s="1650" t="str">
        <f t="shared" si="33"/>
        <v>0</v>
      </c>
      <c r="H535" s="1468"/>
      <c r="I535" s="1462"/>
      <c r="J535" s="1531"/>
      <c r="K535" s="1462"/>
      <c r="L535" s="1462"/>
      <c r="M535" s="1493"/>
      <c r="N535" s="1462"/>
      <c r="O535" s="1462"/>
      <c r="P535" s="1462"/>
      <c r="Q535" s="1462"/>
      <c r="R535" s="1462"/>
      <c r="S535" s="1462"/>
      <c r="T535" s="1462"/>
      <c r="U535" s="1469">
        <v>23</v>
      </c>
      <c r="V535" s="1486" t="s">
        <v>33</v>
      </c>
      <c r="W535" s="1471" t="s">
        <v>1306</v>
      </c>
      <c r="X535" s="1472" t="s">
        <v>1440</v>
      </c>
      <c r="Y535" s="1473" t="s">
        <v>1306</v>
      </c>
      <c r="Z535" s="1504" t="s">
        <v>1480</v>
      </c>
      <c r="AA535" s="1473" t="s">
        <v>1306</v>
      </c>
      <c r="AB535" s="1470" t="s">
        <v>352</v>
      </c>
      <c r="AC535" s="1475" t="s">
        <v>1366</v>
      </c>
      <c r="AD535" s="1476" t="s">
        <v>640</v>
      </c>
      <c r="AE535" s="1501"/>
      <c r="AF535" s="1501"/>
      <c r="AG535" s="1457" t="str">
        <f t="shared" si="34"/>
        <v>23調査結果-建築物の内部-4（40）-改善（予定）年月-未定</v>
      </c>
      <c r="AI535" s="1459"/>
      <c r="AJ535" s="1459"/>
      <c r="AK535" s="1459"/>
    </row>
    <row r="536" spans="1:37" s="1457" customFormat="1" ht="18.75" customHeight="1" x14ac:dyDescent="0.15">
      <c r="A536" s="1578"/>
      <c r="B536" s="1462"/>
      <c r="C536" s="1462"/>
      <c r="D536" s="1460">
        <f>'1_入力シート【基本情報】'!$AF$422</f>
        <v>0</v>
      </c>
      <c r="E536" s="1650">
        <f t="shared" si="31"/>
        <v>0</v>
      </c>
      <c r="F536" s="1650" t="str">
        <f t="shared" si="32"/>
        <v>0</v>
      </c>
      <c r="G536" s="1650" t="str">
        <f t="shared" si="33"/>
        <v>0</v>
      </c>
      <c r="H536" s="1468"/>
      <c r="I536" s="1462"/>
      <c r="J536" s="1531"/>
      <c r="K536" s="1462"/>
      <c r="L536" s="1462"/>
      <c r="M536" s="1493"/>
      <c r="N536" s="1462"/>
      <c r="O536" s="1462"/>
      <c r="P536" s="1462"/>
      <c r="Q536" s="1462"/>
      <c r="R536" s="1462"/>
      <c r="S536" s="1462"/>
      <c r="T536" s="1462"/>
      <c r="U536" s="1469">
        <v>23</v>
      </c>
      <c r="V536" s="1486" t="s">
        <v>33</v>
      </c>
      <c r="W536" s="1471" t="s">
        <v>1306</v>
      </c>
      <c r="X536" s="1472" t="s">
        <v>1440</v>
      </c>
      <c r="Y536" s="1473" t="s">
        <v>1306</v>
      </c>
      <c r="Z536" s="1504" t="s">
        <v>1481</v>
      </c>
      <c r="AA536" s="1473" t="s">
        <v>1306</v>
      </c>
      <c r="AB536" s="1470" t="s">
        <v>33</v>
      </c>
      <c r="AC536" s="1475"/>
      <c r="AD536" s="1476"/>
      <c r="AE536" s="1501"/>
      <c r="AF536" s="1501"/>
      <c r="AG536" s="1457" t="str">
        <f t="shared" si="34"/>
        <v>23調査結果-建築物の内部-4（41）-調査結果</v>
      </c>
      <c r="AI536" s="1459"/>
      <c r="AJ536" s="1459"/>
      <c r="AK536" s="1459"/>
    </row>
    <row r="537" spans="1:37" s="1457" customFormat="1" ht="18.75" customHeight="1" x14ac:dyDescent="0.15">
      <c r="A537" s="1578"/>
      <c r="B537" s="1462"/>
      <c r="C537" s="1462"/>
      <c r="D537" s="1460">
        <f>'1_入力シート【基本情報】'!$AR$422</f>
        <v>0</v>
      </c>
      <c r="E537" s="1650">
        <f t="shared" si="31"/>
        <v>0</v>
      </c>
      <c r="F537" s="1650" t="str">
        <f t="shared" si="32"/>
        <v>0</v>
      </c>
      <c r="G537" s="1650" t="str">
        <f t="shared" si="33"/>
        <v>0</v>
      </c>
      <c r="H537" s="1468"/>
      <c r="I537" s="1462"/>
      <c r="J537" s="1531"/>
      <c r="K537" s="1462"/>
      <c r="L537" s="1462"/>
      <c r="M537" s="1493"/>
      <c r="N537" s="1462"/>
      <c r="O537" s="1462"/>
      <c r="P537" s="1462"/>
      <c r="Q537" s="1462"/>
      <c r="R537" s="1462"/>
      <c r="S537" s="1462"/>
      <c r="T537" s="1462"/>
      <c r="U537" s="1469">
        <v>23</v>
      </c>
      <c r="V537" s="1486" t="s">
        <v>33</v>
      </c>
      <c r="W537" s="1471" t="s">
        <v>1306</v>
      </c>
      <c r="X537" s="1472" t="s">
        <v>1440</v>
      </c>
      <c r="Y537" s="1473" t="s">
        <v>1306</v>
      </c>
      <c r="Z537" s="1504" t="s">
        <v>1481</v>
      </c>
      <c r="AA537" s="1473" t="s">
        <v>1306</v>
      </c>
      <c r="AB537" s="1470" t="s">
        <v>30</v>
      </c>
      <c r="AC537" s="1475"/>
      <c r="AD537" s="1476"/>
      <c r="AE537" s="1501"/>
      <c r="AF537" s="1501"/>
      <c r="AG537" s="1457" t="str">
        <f t="shared" si="34"/>
        <v>23調査結果-建築物の内部-4（41）-調査者番号</v>
      </c>
      <c r="AI537" s="1459"/>
      <c r="AJ537" s="1459"/>
      <c r="AK537" s="1459"/>
    </row>
    <row r="538" spans="1:37" s="1457" customFormat="1" ht="18.75" customHeight="1" x14ac:dyDescent="0.15">
      <c r="A538" s="1578"/>
      <c r="B538" s="1462"/>
      <c r="C538" s="1462"/>
      <c r="D538" s="1460">
        <f>'1_入力シート【基本情報】'!$AT$422</f>
        <v>0</v>
      </c>
      <c r="E538" s="1650">
        <f t="shared" si="31"/>
        <v>0</v>
      </c>
      <c r="F538" s="1650" t="str">
        <f t="shared" si="32"/>
        <v>0</v>
      </c>
      <c r="G538" s="1650" t="str">
        <f t="shared" si="33"/>
        <v>0</v>
      </c>
      <c r="H538" s="1468"/>
      <c r="I538" s="1462"/>
      <c r="J538" s="1531"/>
      <c r="K538" s="1462"/>
      <c r="L538" s="1462"/>
      <c r="M538" s="1493"/>
      <c r="N538" s="1462"/>
      <c r="O538" s="1462"/>
      <c r="P538" s="1462"/>
      <c r="Q538" s="1462"/>
      <c r="R538" s="1462"/>
      <c r="S538" s="1462"/>
      <c r="T538" s="1462"/>
      <c r="U538" s="1469">
        <v>23</v>
      </c>
      <c r="V538" s="1486" t="s">
        <v>33</v>
      </c>
      <c r="W538" s="1471" t="s">
        <v>1306</v>
      </c>
      <c r="X538" s="1472" t="s">
        <v>1440</v>
      </c>
      <c r="Y538" s="1473" t="s">
        <v>1306</v>
      </c>
      <c r="Z538" s="1504" t="s">
        <v>1481</v>
      </c>
      <c r="AA538" s="1473" t="s">
        <v>1306</v>
      </c>
      <c r="AB538" s="1470" t="s">
        <v>1402</v>
      </c>
      <c r="AC538" s="1475"/>
      <c r="AD538" s="1476"/>
      <c r="AE538" s="1501"/>
      <c r="AF538" s="1501"/>
      <c r="AG538" s="1457" t="str">
        <f t="shared" si="34"/>
        <v>23調査結果-建築物の内部-4（41）-指摘の具体的内容等</v>
      </c>
      <c r="AI538" s="1459"/>
      <c r="AJ538" s="1459"/>
      <c r="AK538" s="1459"/>
    </row>
    <row r="539" spans="1:37" s="1457" customFormat="1" ht="18.75" customHeight="1" x14ac:dyDescent="0.15">
      <c r="A539" s="1578"/>
      <c r="B539" s="1462"/>
      <c r="C539" s="1462"/>
      <c r="D539" s="1460">
        <f>'1_入力シート【基本情報】'!$BD$422</f>
        <v>0</v>
      </c>
      <c r="E539" s="1650">
        <f t="shared" ref="E539:E588" si="35">D539</f>
        <v>0</v>
      </c>
      <c r="F539" s="1650" t="str">
        <f t="shared" ref="F539:F588" si="36">SUBSTITUTE(E539,CHAR(10),"")</f>
        <v>0</v>
      </c>
      <c r="G539" s="1650" t="str">
        <f t="shared" ref="G539:G588" si="37">TRIM(F539)</f>
        <v>0</v>
      </c>
      <c r="H539" s="1468"/>
      <c r="I539" s="1462"/>
      <c r="J539" s="1531"/>
      <c r="K539" s="1462"/>
      <c r="L539" s="1462"/>
      <c r="M539" s="1493"/>
      <c r="N539" s="1462"/>
      <c r="O539" s="1462"/>
      <c r="P539" s="1462"/>
      <c r="Q539" s="1462"/>
      <c r="R539" s="1462"/>
      <c r="S539" s="1462"/>
      <c r="T539" s="1462"/>
      <c r="U539" s="1469">
        <v>23</v>
      </c>
      <c r="V539" s="1486" t="s">
        <v>33</v>
      </c>
      <c r="W539" s="1471" t="s">
        <v>1306</v>
      </c>
      <c r="X539" s="1472" t="s">
        <v>1440</v>
      </c>
      <c r="Y539" s="1473" t="s">
        <v>1306</v>
      </c>
      <c r="Z539" s="1504" t="s">
        <v>1481</v>
      </c>
      <c r="AA539" s="1473" t="s">
        <v>1306</v>
      </c>
      <c r="AB539" s="1470" t="s">
        <v>1403</v>
      </c>
      <c r="AC539" s="1475"/>
      <c r="AD539" s="1476"/>
      <c r="AE539" s="1501"/>
      <c r="AF539" s="1501"/>
      <c r="AG539" s="1457" t="str">
        <f t="shared" si="34"/>
        <v>23調査結果-建築物の内部-4（41）-改善策の具体的内容等</v>
      </c>
      <c r="AI539" s="1459"/>
      <c r="AJ539" s="1459"/>
      <c r="AK539" s="1459"/>
    </row>
    <row r="540" spans="1:37" s="1457" customFormat="1" ht="18.75" customHeight="1" x14ac:dyDescent="0.15">
      <c r="A540" s="1578"/>
      <c r="B540" s="1462"/>
      <c r="C540" s="1462"/>
      <c r="D540" s="1460">
        <f>'1_入力シート【基本情報】'!$BS$422</f>
        <v>0</v>
      </c>
      <c r="E540" s="1650">
        <f t="shared" si="35"/>
        <v>0</v>
      </c>
      <c r="F540" s="1650" t="str">
        <f t="shared" si="36"/>
        <v>0</v>
      </c>
      <c r="G540" s="1650" t="str">
        <f t="shared" si="37"/>
        <v>0</v>
      </c>
      <c r="H540" s="1468"/>
      <c r="I540" s="1462"/>
      <c r="J540" s="1531"/>
      <c r="K540" s="1462"/>
      <c r="L540" s="1462"/>
      <c r="M540" s="1493"/>
      <c r="N540" s="1462"/>
      <c r="O540" s="1462"/>
      <c r="P540" s="1462"/>
      <c r="Q540" s="1462"/>
      <c r="R540" s="1462"/>
      <c r="S540" s="1462"/>
      <c r="T540" s="1462"/>
      <c r="U540" s="1469">
        <v>23</v>
      </c>
      <c r="V540" s="1486" t="s">
        <v>33</v>
      </c>
      <c r="W540" s="1471" t="s">
        <v>1306</v>
      </c>
      <c r="X540" s="1472" t="s">
        <v>1440</v>
      </c>
      <c r="Y540" s="1473" t="s">
        <v>1306</v>
      </c>
      <c r="Z540" s="1504" t="s">
        <v>1481</v>
      </c>
      <c r="AA540" s="1473" t="s">
        <v>1306</v>
      </c>
      <c r="AB540" s="1470" t="s">
        <v>352</v>
      </c>
      <c r="AC540" s="1475" t="s">
        <v>1366</v>
      </c>
      <c r="AD540" s="1476" t="s">
        <v>1387</v>
      </c>
      <c r="AE540" s="1501"/>
      <c r="AF540" s="1501"/>
      <c r="AG540" s="1457" t="str">
        <f t="shared" si="34"/>
        <v>23調査結果-建築物の内部-4（41）-改善（予定）年月-年（令和）</v>
      </c>
      <c r="AI540" s="1459"/>
      <c r="AJ540" s="1459"/>
      <c r="AK540" s="1459"/>
    </row>
    <row r="541" spans="1:37" s="1457" customFormat="1" ht="18.75" customHeight="1" x14ac:dyDescent="0.15">
      <c r="A541" s="1578"/>
      <c r="B541" s="1462"/>
      <c r="C541" s="1462"/>
      <c r="D541" s="1460">
        <f>'1_入力シート【基本情報】'!$BV$422</f>
        <v>0</v>
      </c>
      <c r="E541" s="1650">
        <f t="shared" si="35"/>
        <v>0</v>
      </c>
      <c r="F541" s="1650" t="str">
        <f t="shared" si="36"/>
        <v>0</v>
      </c>
      <c r="G541" s="1650" t="str">
        <f t="shared" si="37"/>
        <v>0</v>
      </c>
      <c r="H541" s="1468"/>
      <c r="I541" s="1462"/>
      <c r="J541" s="1531"/>
      <c r="K541" s="1462"/>
      <c r="L541" s="1462"/>
      <c r="M541" s="1493"/>
      <c r="N541" s="1462"/>
      <c r="O541" s="1462"/>
      <c r="P541" s="1462"/>
      <c r="Q541" s="1462"/>
      <c r="R541" s="1462"/>
      <c r="S541" s="1462"/>
      <c r="T541" s="1462"/>
      <c r="U541" s="1469">
        <v>23</v>
      </c>
      <c r="V541" s="1486" t="s">
        <v>33</v>
      </c>
      <c r="W541" s="1471" t="s">
        <v>1306</v>
      </c>
      <c r="X541" s="1472" t="s">
        <v>1440</v>
      </c>
      <c r="Y541" s="1473" t="s">
        <v>1306</v>
      </c>
      <c r="Z541" s="1504" t="s">
        <v>1481</v>
      </c>
      <c r="AA541" s="1473" t="s">
        <v>1306</v>
      </c>
      <c r="AB541" s="1470" t="s">
        <v>352</v>
      </c>
      <c r="AC541" s="1475" t="s">
        <v>1366</v>
      </c>
      <c r="AD541" s="1476" t="s">
        <v>348</v>
      </c>
      <c r="AE541" s="1501"/>
      <c r="AF541" s="1501"/>
      <c r="AG541" s="1457" t="str">
        <f t="shared" si="34"/>
        <v>23調査結果-建築物の内部-4（41）-改善（予定）年月-月</v>
      </c>
      <c r="AI541" s="1459"/>
      <c r="AJ541" s="1459"/>
      <c r="AK541" s="1459"/>
    </row>
    <row r="542" spans="1:37" s="1457" customFormat="1" ht="18.75" customHeight="1" x14ac:dyDescent="0.15">
      <c r="A542" s="1578"/>
      <c r="B542" s="1462"/>
      <c r="C542" s="1462"/>
      <c r="D542" s="1460">
        <f>'1_入力シート【基本情報】'!$BY$422</f>
        <v>0</v>
      </c>
      <c r="E542" s="1650">
        <f t="shared" si="35"/>
        <v>0</v>
      </c>
      <c r="F542" s="1650" t="str">
        <f t="shared" si="36"/>
        <v>0</v>
      </c>
      <c r="G542" s="1650" t="str">
        <f t="shared" si="37"/>
        <v>0</v>
      </c>
      <c r="H542" s="1468"/>
      <c r="I542" s="1462"/>
      <c r="J542" s="1531"/>
      <c r="K542" s="1462"/>
      <c r="L542" s="1462"/>
      <c r="M542" s="1493"/>
      <c r="N542" s="1462"/>
      <c r="O542" s="1462"/>
      <c r="P542" s="1462"/>
      <c r="Q542" s="1462"/>
      <c r="R542" s="1462"/>
      <c r="S542" s="1462"/>
      <c r="T542" s="1462"/>
      <c r="U542" s="1469">
        <v>23</v>
      </c>
      <c r="V542" s="1486" t="s">
        <v>33</v>
      </c>
      <c r="W542" s="1471" t="s">
        <v>1306</v>
      </c>
      <c r="X542" s="1472" t="s">
        <v>1440</v>
      </c>
      <c r="Y542" s="1473" t="s">
        <v>1306</v>
      </c>
      <c r="Z542" s="1504" t="s">
        <v>1481</v>
      </c>
      <c r="AA542" s="1473" t="s">
        <v>1306</v>
      </c>
      <c r="AB542" s="1470" t="s">
        <v>352</v>
      </c>
      <c r="AC542" s="1475" t="s">
        <v>1366</v>
      </c>
      <c r="AD542" s="1476" t="s">
        <v>640</v>
      </c>
      <c r="AE542" s="1501"/>
      <c r="AF542" s="1501"/>
      <c r="AG542" s="1457" t="str">
        <f t="shared" si="34"/>
        <v>23調査結果-建築物の内部-4（41）-改善（予定）年月-未定</v>
      </c>
      <c r="AI542" s="1459"/>
      <c r="AJ542" s="1459"/>
      <c r="AK542" s="1459"/>
    </row>
    <row r="543" spans="1:37" s="1457" customFormat="1" ht="18.75" customHeight="1" x14ac:dyDescent="0.15">
      <c r="A543" s="1578"/>
      <c r="B543" s="1462"/>
      <c r="C543" s="1462"/>
      <c r="D543" s="1460">
        <f>'1_入力シート【基本情報】'!$AF$423</f>
        <v>0</v>
      </c>
      <c r="E543" s="1650">
        <f t="shared" si="35"/>
        <v>0</v>
      </c>
      <c r="F543" s="1650" t="str">
        <f t="shared" si="36"/>
        <v>0</v>
      </c>
      <c r="G543" s="1650" t="str">
        <f t="shared" si="37"/>
        <v>0</v>
      </c>
      <c r="H543" s="1468"/>
      <c r="I543" s="1462"/>
      <c r="J543" s="1531"/>
      <c r="K543" s="1462"/>
      <c r="L543" s="1462"/>
      <c r="M543" s="1493"/>
      <c r="N543" s="1462"/>
      <c r="O543" s="1462"/>
      <c r="P543" s="1462"/>
      <c r="Q543" s="1462"/>
      <c r="R543" s="1462"/>
      <c r="S543" s="1462"/>
      <c r="T543" s="1462"/>
      <c r="U543" s="1469">
        <v>23</v>
      </c>
      <c r="V543" s="1486" t="s">
        <v>33</v>
      </c>
      <c r="W543" s="1471" t="s">
        <v>1306</v>
      </c>
      <c r="X543" s="1472" t="s">
        <v>1440</v>
      </c>
      <c r="Y543" s="1473" t="s">
        <v>1306</v>
      </c>
      <c r="Z543" s="1504" t="s">
        <v>1482</v>
      </c>
      <c r="AA543" s="1473" t="s">
        <v>1306</v>
      </c>
      <c r="AB543" s="1470" t="s">
        <v>33</v>
      </c>
      <c r="AC543" s="1475"/>
      <c r="AD543" s="1476"/>
      <c r="AE543" s="1501"/>
      <c r="AF543" s="1501"/>
      <c r="AG543" s="1457" t="str">
        <f t="shared" si="34"/>
        <v>23調査結果-建築物の内部-4（42）-調査結果</v>
      </c>
      <c r="AI543" s="1459"/>
      <c r="AJ543" s="1459"/>
      <c r="AK543" s="1459"/>
    </row>
    <row r="544" spans="1:37" s="1457" customFormat="1" ht="18.75" customHeight="1" x14ac:dyDescent="0.15">
      <c r="A544" s="1578"/>
      <c r="B544" s="1462"/>
      <c r="C544" s="1462"/>
      <c r="D544" s="1460">
        <f>'1_入力シート【基本情報】'!$AR$423</f>
        <v>0</v>
      </c>
      <c r="E544" s="1650">
        <f t="shared" si="35"/>
        <v>0</v>
      </c>
      <c r="F544" s="1650" t="str">
        <f t="shared" si="36"/>
        <v>0</v>
      </c>
      <c r="G544" s="1650" t="str">
        <f t="shared" si="37"/>
        <v>0</v>
      </c>
      <c r="H544" s="1468"/>
      <c r="I544" s="1462"/>
      <c r="J544" s="1531"/>
      <c r="K544" s="1462"/>
      <c r="L544" s="1462"/>
      <c r="M544" s="1493"/>
      <c r="N544" s="1462"/>
      <c r="O544" s="1462"/>
      <c r="P544" s="1462"/>
      <c r="Q544" s="1462"/>
      <c r="R544" s="1462"/>
      <c r="S544" s="1462"/>
      <c r="T544" s="1462"/>
      <c r="U544" s="1469">
        <v>23</v>
      </c>
      <c r="V544" s="1486" t="s">
        <v>33</v>
      </c>
      <c r="W544" s="1471" t="s">
        <v>1306</v>
      </c>
      <c r="X544" s="1472" t="s">
        <v>1440</v>
      </c>
      <c r="Y544" s="1473" t="s">
        <v>1306</v>
      </c>
      <c r="Z544" s="1504" t="s">
        <v>1482</v>
      </c>
      <c r="AA544" s="1473" t="s">
        <v>1306</v>
      </c>
      <c r="AB544" s="1470" t="s">
        <v>30</v>
      </c>
      <c r="AC544" s="1475"/>
      <c r="AD544" s="1476"/>
      <c r="AE544" s="1501"/>
      <c r="AF544" s="1501"/>
      <c r="AG544" s="1457" t="str">
        <f t="shared" si="34"/>
        <v>23調査結果-建築物の内部-4（42）-調査者番号</v>
      </c>
      <c r="AI544" s="1459"/>
      <c r="AJ544" s="1459"/>
      <c r="AK544" s="1459"/>
    </row>
    <row r="545" spans="1:37" s="1457" customFormat="1" ht="18.75" customHeight="1" x14ac:dyDescent="0.15">
      <c r="A545" s="1578"/>
      <c r="B545" s="1462"/>
      <c r="C545" s="1462"/>
      <c r="D545" s="1460">
        <f>'1_入力シート【基本情報】'!$AT$423</f>
        <v>0</v>
      </c>
      <c r="E545" s="1650">
        <f t="shared" si="35"/>
        <v>0</v>
      </c>
      <c r="F545" s="1650" t="str">
        <f t="shared" si="36"/>
        <v>0</v>
      </c>
      <c r="G545" s="1650" t="str">
        <f t="shared" si="37"/>
        <v>0</v>
      </c>
      <c r="H545" s="1468"/>
      <c r="I545" s="1462"/>
      <c r="J545" s="1531"/>
      <c r="K545" s="1462"/>
      <c r="L545" s="1462"/>
      <c r="M545" s="1493"/>
      <c r="N545" s="1462"/>
      <c r="O545" s="1462"/>
      <c r="P545" s="1462"/>
      <c r="Q545" s="1462"/>
      <c r="R545" s="1462"/>
      <c r="S545" s="1462"/>
      <c r="T545" s="1462"/>
      <c r="U545" s="1469">
        <v>23</v>
      </c>
      <c r="V545" s="1486" t="s">
        <v>33</v>
      </c>
      <c r="W545" s="1471" t="s">
        <v>1306</v>
      </c>
      <c r="X545" s="1472" t="s">
        <v>1440</v>
      </c>
      <c r="Y545" s="1473" t="s">
        <v>1306</v>
      </c>
      <c r="Z545" s="1504" t="s">
        <v>1482</v>
      </c>
      <c r="AA545" s="1473" t="s">
        <v>1306</v>
      </c>
      <c r="AB545" s="1470" t="s">
        <v>1402</v>
      </c>
      <c r="AC545" s="1475"/>
      <c r="AD545" s="1476"/>
      <c r="AE545" s="1501"/>
      <c r="AF545" s="1501"/>
      <c r="AG545" s="1457" t="str">
        <f t="shared" si="34"/>
        <v>23調査結果-建築物の内部-4（42）-指摘の具体的内容等</v>
      </c>
      <c r="AI545" s="1459"/>
      <c r="AJ545" s="1459"/>
      <c r="AK545" s="1459"/>
    </row>
    <row r="546" spans="1:37" s="1457" customFormat="1" ht="18.75" customHeight="1" x14ac:dyDescent="0.15">
      <c r="A546" s="1578"/>
      <c r="B546" s="1462"/>
      <c r="C546" s="1462"/>
      <c r="D546" s="1460">
        <f>'1_入力シート【基本情報】'!$BD$423</f>
        <v>0</v>
      </c>
      <c r="E546" s="1650">
        <f t="shared" si="35"/>
        <v>0</v>
      </c>
      <c r="F546" s="1650" t="str">
        <f t="shared" si="36"/>
        <v>0</v>
      </c>
      <c r="G546" s="1650" t="str">
        <f t="shared" si="37"/>
        <v>0</v>
      </c>
      <c r="H546" s="1468"/>
      <c r="I546" s="1462"/>
      <c r="J546" s="1531"/>
      <c r="K546" s="1462"/>
      <c r="L546" s="1462"/>
      <c r="M546" s="1493"/>
      <c r="N546" s="1462"/>
      <c r="O546" s="1462"/>
      <c r="P546" s="1462"/>
      <c r="Q546" s="1462"/>
      <c r="R546" s="1462"/>
      <c r="S546" s="1462"/>
      <c r="T546" s="1462"/>
      <c r="U546" s="1469">
        <v>23</v>
      </c>
      <c r="V546" s="1486" t="s">
        <v>33</v>
      </c>
      <c r="W546" s="1471" t="s">
        <v>1306</v>
      </c>
      <c r="X546" s="1472" t="s">
        <v>1440</v>
      </c>
      <c r="Y546" s="1473" t="s">
        <v>1306</v>
      </c>
      <c r="Z546" s="1504" t="s">
        <v>1482</v>
      </c>
      <c r="AA546" s="1473" t="s">
        <v>1306</v>
      </c>
      <c r="AB546" s="1470" t="s">
        <v>1403</v>
      </c>
      <c r="AC546" s="1475"/>
      <c r="AD546" s="1476"/>
      <c r="AE546" s="1501"/>
      <c r="AF546" s="1501"/>
      <c r="AG546" s="1457" t="str">
        <f t="shared" si="34"/>
        <v>23調査結果-建築物の内部-4（42）-改善策の具体的内容等</v>
      </c>
      <c r="AI546" s="1459"/>
      <c r="AJ546" s="1459"/>
      <c r="AK546" s="1459"/>
    </row>
    <row r="547" spans="1:37" s="1457" customFormat="1" ht="18.75" customHeight="1" x14ac:dyDescent="0.15">
      <c r="A547" s="1578"/>
      <c r="B547" s="1462"/>
      <c r="C547" s="1462"/>
      <c r="D547" s="1460">
        <f>'1_入力シート【基本情報】'!$BS$423</f>
        <v>0</v>
      </c>
      <c r="E547" s="1650">
        <f t="shared" si="35"/>
        <v>0</v>
      </c>
      <c r="F547" s="1650" t="str">
        <f t="shared" si="36"/>
        <v>0</v>
      </c>
      <c r="G547" s="1650" t="str">
        <f t="shared" si="37"/>
        <v>0</v>
      </c>
      <c r="H547" s="1468"/>
      <c r="I547" s="1462"/>
      <c r="J547" s="1531"/>
      <c r="K547" s="1462"/>
      <c r="L547" s="1462"/>
      <c r="M547" s="1493"/>
      <c r="N547" s="1462"/>
      <c r="O547" s="1462"/>
      <c r="P547" s="1462"/>
      <c r="Q547" s="1462"/>
      <c r="R547" s="1462"/>
      <c r="S547" s="1462"/>
      <c r="T547" s="1462"/>
      <c r="U547" s="1469">
        <v>23</v>
      </c>
      <c r="V547" s="1486" t="s">
        <v>33</v>
      </c>
      <c r="W547" s="1471" t="s">
        <v>1306</v>
      </c>
      <c r="X547" s="1472" t="s">
        <v>1440</v>
      </c>
      <c r="Y547" s="1473" t="s">
        <v>1306</v>
      </c>
      <c r="Z547" s="1504" t="s">
        <v>1482</v>
      </c>
      <c r="AA547" s="1473" t="s">
        <v>1306</v>
      </c>
      <c r="AB547" s="1470" t="s">
        <v>352</v>
      </c>
      <c r="AC547" s="1475" t="s">
        <v>1366</v>
      </c>
      <c r="AD547" s="1476" t="s">
        <v>1387</v>
      </c>
      <c r="AE547" s="1501"/>
      <c r="AF547" s="1501"/>
      <c r="AG547" s="1457" t="str">
        <f t="shared" si="34"/>
        <v>23調査結果-建築物の内部-4（42）-改善（予定）年月-年（令和）</v>
      </c>
      <c r="AI547" s="1459"/>
      <c r="AJ547" s="1459"/>
      <c r="AK547" s="1459"/>
    </row>
    <row r="548" spans="1:37" s="1457" customFormat="1" ht="18.75" customHeight="1" x14ac:dyDescent="0.15">
      <c r="A548" s="1578"/>
      <c r="B548" s="1462"/>
      <c r="C548" s="1462"/>
      <c r="D548" s="1460">
        <f>'1_入力シート【基本情報】'!$BV$423</f>
        <v>0</v>
      </c>
      <c r="E548" s="1650">
        <f t="shared" si="35"/>
        <v>0</v>
      </c>
      <c r="F548" s="1650" t="str">
        <f t="shared" si="36"/>
        <v>0</v>
      </c>
      <c r="G548" s="1650" t="str">
        <f t="shared" si="37"/>
        <v>0</v>
      </c>
      <c r="H548" s="1468"/>
      <c r="I548" s="1462"/>
      <c r="J548" s="1531"/>
      <c r="K548" s="1462"/>
      <c r="L548" s="1462"/>
      <c r="M548" s="1493"/>
      <c r="N548" s="1462"/>
      <c r="O548" s="1462"/>
      <c r="P548" s="1462"/>
      <c r="Q548" s="1462"/>
      <c r="R548" s="1462"/>
      <c r="S548" s="1462"/>
      <c r="T548" s="1462"/>
      <c r="U548" s="1469">
        <v>23</v>
      </c>
      <c r="V548" s="1486" t="s">
        <v>33</v>
      </c>
      <c r="W548" s="1471" t="s">
        <v>1306</v>
      </c>
      <c r="X548" s="1472" t="s">
        <v>1440</v>
      </c>
      <c r="Y548" s="1473" t="s">
        <v>1306</v>
      </c>
      <c r="Z548" s="1504" t="s">
        <v>1482</v>
      </c>
      <c r="AA548" s="1473" t="s">
        <v>1306</v>
      </c>
      <c r="AB548" s="1470" t="s">
        <v>352</v>
      </c>
      <c r="AC548" s="1475" t="s">
        <v>1366</v>
      </c>
      <c r="AD548" s="1476" t="s">
        <v>348</v>
      </c>
      <c r="AE548" s="1501"/>
      <c r="AF548" s="1501"/>
      <c r="AG548" s="1457" t="str">
        <f t="shared" si="34"/>
        <v>23調査結果-建築物の内部-4（42）-改善（予定）年月-月</v>
      </c>
      <c r="AI548" s="1459"/>
      <c r="AJ548" s="1459"/>
      <c r="AK548" s="1459"/>
    </row>
    <row r="549" spans="1:37" s="1457" customFormat="1" ht="18.75" customHeight="1" x14ac:dyDescent="0.15">
      <c r="A549" s="1578"/>
      <c r="B549" s="1462"/>
      <c r="C549" s="1462"/>
      <c r="D549" s="1460">
        <f>'1_入力シート【基本情報】'!$BY$423</f>
        <v>0</v>
      </c>
      <c r="E549" s="1650">
        <f t="shared" si="35"/>
        <v>0</v>
      </c>
      <c r="F549" s="1650" t="str">
        <f t="shared" si="36"/>
        <v>0</v>
      </c>
      <c r="G549" s="1650" t="str">
        <f t="shared" si="37"/>
        <v>0</v>
      </c>
      <c r="H549" s="1468"/>
      <c r="I549" s="1462"/>
      <c r="J549" s="1531"/>
      <c r="K549" s="1462"/>
      <c r="L549" s="1462"/>
      <c r="M549" s="1493"/>
      <c r="N549" s="1462"/>
      <c r="O549" s="1462"/>
      <c r="P549" s="1462"/>
      <c r="Q549" s="1462"/>
      <c r="R549" s="1462"/>
      <c r="S549" s="1462"/>
      <c r="T549" s="1462"/>
      <c r="U549" s="1469">
        <v>23</v>
      </c>
      <c r="V549" s="1486" t="s">
        <v>33</v>
      </c>
      <c r="W549" s="1471" t="s">
        <v>1306</v>
      </c>
      <c r="X549" s="1472" t="s">
        <v>1440</v>
      </c>
      <c r="Y549" s="1473" t="s">
        <v>1306</v>
      </c>
      <c r="Z549" s="1504" t="s">
        <v>1482</v>
      </c>
      <c r="AA549" s="1473" t="s">
        <v>1306</v>
      </c>
      <c r="AB549" s="1470" t="s">
        <v>352</v>
      </c>
      <c r="AC549" s="1475" t="s">
        <v>1366</v>
      </c>
      <c r="AD549" s="1476" t="s">
        <v>640</v>
      </c>
      <c r="AE549" s="1501"/>
      <c r="AF549" s="1501"/>
      <c r="AG549" s="1457" t="str">
        <f t="shared" si="34"/>
        <v>23調査結果-建築物の内部-4（42）-改善（予定）年月-未定</v>
      </c>
      <c r="AI549" s="1459"/>
      <c r="AJ549" s="1459"/>
      <c r="AK549" s="1459"/>
    </row>
    <row r="550" spans="1:37" s="1457" customFormat="1" ht="18.75" customHeight="1" x14ac:dyDescent="0.15">
      <c r="A550" s="1578"/>
      <c r="B550" s="1462"/>
      <c r="C550" s="1462"/>
      <c r="D550" s="1460">
        <f>'1_入力シート【基本情報】'!$AF$424</f>
        <v>0</v>
      </c>
      <c r="E550" s="1650">
        <f t="shared" si="35"/>
        <v>0</v>
      </c>
      <c r="F550" s="1650" t="str">
        <f t="shared" si="36"/>
        <v>0</v>
      </c>
      <c r="G550" s="1650" t="str">
        <f t="shared" si="37"/>
        <v>0</v>
      </c>
      <c r="H550" s="1468"/>
      <c r="I550" s="1462"/>
      <c r="J550" s="1531"/>
      <c r="K550" s="1462"/>
      <c r="L550" s="1462"/>
      <c r="M550" s="1493"/>
      <c r="N550" s="1462"/>
      <c r="O550" s="1462"/>
      <c r="P550" s="1462"/>
      <c r="Q550" s="1462"/>
      <c r="R550" s="1462"/>
      <c r="S550" s="1462"/>
      <c r="T550" s="1462"/>
      <c r="U550" s="1469">
        <v>23</v>
      </c>
      <c r="V550" s="1486" t="s">
        <v>33</v>
      </c>
      <c r="W550" s="1471" t="s">
        <v>1306</v>
      </c>
      <c r="X550" s="1472" t="s">
        <v>1440</v>
      </c>
      <c r="Y550" s="1473" t="s">
        <v>1306</v>
      </c>
      <c r="Z550" s="1504" t="s">
        <v>1483</v>
      </c>
      <c r="AA550" s="1473" t="s">
        <v>1306</v>
      </c>
      <c r="AB550" s="1470" t="s">
        <v>33</v>
      </c>
      <c r="AC550" s="1475"/>
      <c r="AD550" s="1476"/>
      <c r="AE550" s="1501"/>
      <c r="AF550" s="1501"/>
      <c r="AG550" s="1457" t="str">
        <f t="shared" si="34"/>
        <v>23調査結果-建築物の内部-4（43）-調査結果</v>
      </c>
      <c r="AI550" s="1459"/>
      <c r="AJ550" s="1459"/>
      <c r="AK550" s="1459"/>
    </row>
    <row r="551" spans="1:37" s="1457" customFormat="1" ht="18.75" customHeight="1" x14ac:dyDescent="0.15">
      <c r="A551" s="1578"/>
      <c r="B551" s="1462"/>
      <c r="C551" s="1462"/>
      <c r="D551" s="1460">
        <f>'1_入力シート【基本情報】'!$AR$424</f>
        <v>0</v>
      </c>
      <c r="E551" s="1650">
        <f t="shared" si="35"/>
        <v>0</v>
      </c>
      <c r="F551" s="1650" t="str">
        <f t="shared" si="36"/>
        <v>0</v>
      </c>
      <c r="G551" s="1650" t="str">
        <f t="shared" si="37"/>
        <v>0</v>
      </c>
      <c r="H551" s="1468"/>
      <c r="I551" s="1462"/>
      <c r="J551" s="1531"/>
      <c r="K551" s="1462"/>
      <c r="L551" s="1462"/>
      <c r="M551" s="1493"/>
      <c r="N551" s="1462"/>
      <c r="O551" s="1462"/>
      <c r="P551" s="1462"/>
      <c r="Q551" s="1462"/>
      <c r="R551" s="1462"/>
      <c r="S551" s="1462"/>
      <c r="T551" s="1462"/>
      <c r="U551" s="1469">
        <v>23</v>
      </c>
      <c r="V551" s="1486" t="s">
        <v>33</v>
      </c>
      <c r="W551" s="1471" t="s">
        <v>1306</v>
      </c>
      <c r="X551" s="1472" t="s">
        <v>1440</v>
      </c>
      <c r="Y551" s="1473" t="s">
        <v>1306</v>
      </c>
      <c r="Z551" s="1504" t="s">
        <v>1483</v>
      </c>
      <c r="AA551" s="1473" t="s">
        <v>1306</v>
      </c>
      <c r="AB551" s="1470" t="s">
        <v>30</v>
      </c>
      <c r="AC551" s="1475"/>
      <c r="AD551" s="1476"/>
      <c r="AE551" s="1501"/>
      <c r="AF551" s="1501"/>
      <c r="AG551" s="1457" t="str">
        <f t="shared" si="34"/>
        <v>23調査結果-建築物の内部-4（43）-調査者番号</v>
      </c>
      <c r="AI551" s="1459"/>
      <c r="AJ551" s="1459"/>
      <c r="AK551" s="1459"/>
    </row>
    <row r="552" spans="1:37" s="1457" customFormat="1" ht="18.75" customHeight="1" x14ac:dyDescent="0.15">
      <c r="A552" s="1578"/>
      <c r="B552" s="1462"/>
      <c r="C552" s="1462"/>
      <c r="D552" s="1460">
        <f>'1_入力シート【基本情報】'!$AT$424</f>
        <v>0</v>
      </c>
      <c r="E552" s="1650">
        <f t="shared" si="35"/>
        <v>0</v>
      </c>
      <c r="F552" s="1650" t="str">
        <f t="shared" si="36"/>
        <v>0</v>
      </c>
      <c r="G552" s="1650" t="str">
        <f t="shared" si="37"/>
        <v>0</v>
      </c>
      <c r="H552" s="1468"/>
      <c r="I552" s="1462"/>
      <c r="J552" s="1531"/>
      <c r="K552" s="1462"/>
      <c r="L552" s="1462"/>
      <c r="M552" s="1493"/>
      <c r="N552" s="1462"/>
      <c r="O552" s="1462"/>
      <c r="P552" s="1462"/>
      <c r="Q552" s="1462"/>
      <c r="R552" s="1462"/>
      <c r="S552" s="1462"/>
      <c r="T552" s="1462"/>
      <c r="U552" s="1469">
        <v>23</v>
      </c>
      <c r="V552" s="1486" t="s">
        <v>33</v>
      </c>
      <c r="W552" s="1471" t="s">
        <v>1306</v>
      </c>
      <c r="X552" s="1472" t="s">
        <v>1440</v>
      </c>
      <c r="Y552" s="1473" t="s">
        <v>1306</v>
      </c>
      <c r="Z552" s="1504" t="s">
        <v>1483</v>
      </c>
      <c r="AA552" s="1473" t="s">
        <v>1306</v>
      </c>
      <c r="AB552" s="1470" t="s">
        <v>1402</v>
      </c>
      <c r="AC552" s="1475"/>
      <c r="AD552" s="1476"/>
      <c r="AE552" s="1501"/>
      <c r="AF552" s="1501"/>
      <c r="AG552" s="1457" t="str">
        <f t="shared" si="34"/>
        <v>23調査結果-建築物の内部-4（43）-指摘の具体的内容等</v>
      </c>
      <c r="AI552" s="1459"/>
      <c r="AJ552" s="1459"/>
      <c r="AK552" s="1459"/>
    </row>
    <row r="553" spans="1:37" s="1457" customFormat="1" ht="18.75" customHeight="1" x14ac:dyDescent="0.15">
      <c r="A553" s="1578"/>
      <c r="B553" s="1462"/>
      <c r="C553" s="1462"/>
      <c r="D553" s="1460">
        <f>'1_入力シート【基本情報】'!$BD$424</f>
        <v>0</v>
      </c>
      <c r="E553" s="1650">
        <f t="shared" si="35"/>
        <v>0</v>
      </c>
      <c r="F553" s="1650" t="str">
        <f t="shared" si="36"/>
        <v>0</v>
      </c>
      <c r="G553" s="1650" t="str">
        <f t="shared" si="37"/>
        <v>0</v>
      </c>
      <c r="H553" s="1468"/>
      <c r="I553" s="1462"/>
      <c r="J553" s="1531"/>
      <c r="K553" s="1462"/>
      <c r="L553" s="1462"/>
      <c r="M553" s="1493"/>
      <c r="N553" s="1462"/>
      <c r="O553" s="1462"/>
      <c r="P553" s="1462"/>
      <c r="Q553" s="1462"/>
      <c r="R553" s="1462"/>
      <c r="S553" s="1462"/>
      <c r="T553" s="1462"/>
      <c r="U553" s="1469">
        <v>23</v>
      </c>
      <c r="V553" s="1486" t="s">
        <v>33</v>
      </c>
      <c r="W553" s="1471" t="s">
        <v>1306</v>
      </c>
      <c r="X553" s="1472" t="s">
        <v>1440</v>
      </c>
      <c r="Y553" s="1473" t="s">
        <v>1306</v>
      </c>
      <c r="Z553" s="1504" t="s">
        <v>1483</v>
      </c>
      <c r="AA553" s="1473" t="s">
        <v>1306</v>
      </c>
      <c r="AB553" s="1470" t="s">
        <v>1403</v>
      </c>
      <c r="AC553" s="1475"/>
      <c r="AD553" s="1476"/>
      <c r="AE553" s="1501"/>
      <c r="AF553" s="1501"/>
      <c r="AG553" s="1457" t="str">
        <f t="shared" si="34"/>
        <v>23調査結果-建築物の内部-4（43）-改善策の具体的内容等</v>
      </c>
      <c r="AI553" s="1459"/>
      <c r="AJ553" s="1459"/>
      <c r="AK553" s="1459"/>
    </row>
    <row r="554" spans="1:37" s="1457" customFormat="1" ht="18.75" customHeight="1" x14ac:dyDescent="0.15">
      <c r="A554" s="1578"/>
      <c r="B554" s="1462"/>
      <c r="C554" s="1462"/>
      <c r="D554" s="1460">
        <f>'1_入力シート【基本情報】'!$BS$424</f>
        <v>0</v>
      </c>
      <c r="E554" s="1650">
        <f t="shared" si="35"/>
        <v>0</v>
      </c>
      <c r="F554" s="1650" t="str">
        <f t="shared" si="36"/>
        <v>0</v>
      </c>
      <c r="G554" s="1650" t="str">
        <f t="shared" si="37"/>
        <v>0</v>
      </c>
      <c r="H554" s="1468"/>
      <c r="I554" s="1462"/>
      <c r="J554" s="1531"/>
      <c r="K554" s="1462"/>
      <c r="L554" s="1462"/>
      <c r="M554" s="1493"/>
      <c r="N554" s="1462"/>
      <c r="O554" s="1462"/>
      <c r="P554" s="1462"/>
      <c r="Q554" s="1462"/>
      <c r="R554" s="1462"/>
      <c r="S554" s="1462"/>
      <c r="T554" s="1462"/>
      <c r="U554" s="1469">
        <v>23</v>
      </c>
      <c r="V554" s="1486" t="s">
        <v>33</v>
      </c>
      <c r="W554" s="1471" t="s">
        <v>1306</v>
      </c>
      <c r="X554" s="1472" t="s">
        <v>1440</v>
      </c>
      <c r="Y554" s="1473" t="s">
        <v>1306</v>
      </c>
      <c r="Z554" s="1504" t="s">
        <v>1483</v>
      </c>
      <c r="AA554" s="1473" t="s">
        <v>1306</v>
      </c>
      <c r="AB554" s="1470" t="s">
        <v>352</v>
      </c>
      <c r="AC554" s="1475" t="s">
        <v>1366</v>
      </c>
      <c r="AD554" s="1476" t="s">
        <v>1387</v>
      </c>
      <c r="AE554" s="1501"/>
      <c r="AF554" s="1501"/>
      <c r="AG554" s="1457" t="str">
        <f t="shared" si="34"/>
        <v>23調査結果-建築物の内部-4（43）-改善（予定）年月-年（令和）</v>
      </c>
      <c r="AI554" s="1459"/>
      <c r="AJ554" s="1459"/>
      <c r="AK554" s="1459"/>
    </row>
    <row r="555" spans="1:37" s="1457" customFormat="1" ht="18.75" customHeight="1" x14ac:dyDescent="0.15">
      <c r="A555" s="1578"/>
      <c r="B555" s="1462"/>
      <c r="C555" s="1462"/>
      <c r="D555" s="1460">
        <f>'1_入力シート【基本情報】'!$BV$424</f>
        <v>0</v>
      </c>
      <c r="E555" s="1650">
        <f t="shared" si="35"/>
        <v>0</v>
      </c>
      <c r="F555" s="1650" t="str">
        <f t="shared" si="36"/>
        <v>0</v>
      </c>
      <c r="G555" s="1650" t="str">
        <f t="shared" si="37"/>
        <v>0</v>
      </c>
      <c r="H555" s="1468"/>
      <c r="I555" s="1462"/>
      <c r="J555" s="1531"/>
      <c r="K555" s="1462"/>
      <c r="L555" s="1462"/>
      <c r="M555" s="1493"/>
      <c r="N555" s="1462"/>
      <c r="O555" s="1462"/>
      <c r="P555" s="1462"/>
      <c r="Q555" s="1462"/>
      <c r="R555" s="1462"/>
      <c r="S555" s="1462"/>
      <c r="T555" s="1462"/>
      <c r="U555" s="1469">
        <v>23</v>
      </c>
      <c r="V555" s="1486" t="s">
        <v>33</v>
      </c>
      <c r="W555" s="1471" t="s">
        <v>1306</v>
      </c>
      <c r="X555" s="1472" t="s">
        <v>1440</v>
      </c>
      <c r="Y555" s="1473" t="s">
        <v>1306</v>
      </c>
      <c r="Z555" s="1504" t="s">
        <v>1483</v>
      </c>
      <c r="AA555" s="1473" t="s">
        <v>1306</v>
      </c>
      <c r="AB555" s="1470" t="s">
        <v>352</v>
      </c>
      <c r="AC555" s="1475" t="s">
        <v>1366</v>
      </c>
      <c r="AD555" s="1476" t="s">
        <v>348</v>
      </c>
      <c r="AE555" s="1501"/>
      <c r="AF555" s="1501"/>
      <c r="AG555" s="1457" t="str">
        <f t="shared" si="34"/>
        <v>23調査結果-建築物の内部-4（43）-改善（予定）年月-月</v>
      </c>
      <c r="AI555" s="1459"/>
      <c r="AJ555" s="1459"/>
      <c r="AK555" s="1459"/>
    </row>
    <row r="556" spans="1:37" s="1457" customFormat="1" ht="18.75" customHeight="1" x14ac:dyDescent="0.15">
      <c r="A556" s="1578"/>
      <c r="B556" s="1462"/>
      <c r="C556" s="1462"/>
      <c r="D556" s="1460">
        <f>'1_入力シート【基本情報】'!$BY$424</f>
        <v>0</v>
      </c>
      <c r="E556" s="1650">
        <f t="shared" si="35"/>
        <v>0</v>
      </c>
      <c r="F556" s="1650" t="str">
        <f t="shared" si="36"/>
        <v>0</v>
      </c>
      <c r="G556" s="1650" t="str">
        <f t="shared" si="37"/>
        <v>0</v>
      </c>
      <c r="H556" s="1468"/>
      <c r="I556" s="1462"/>
      <c r="J556" s="1531"/>
      <c r="K556" s="1462"/>
      <c r="L556" s="1462"/>
      <c r="M556" s="1493"/>
      <c r="N556" s="1462"/>
      <c r="O556" s="1462"/>
      <c r="P556" s="1462"/>
      <c r="Q556" s="1462"/>
      <c r="R556" s="1462"/>
      <c r="S556" s="1462"/>
      <c r="T556" s="1462"/>
      <c r="U556" s="1469">
        <v>23</v>
      </c>
      <c r="V556" s="1486" t="s">
        <v>33</v>
      </c>
      <c r="W556" s="1471" t="s">
        <v>1306</v>
      </c>
      <c r="X556" s="1472" t="s">
        <v>1440</v>
      </c>
      <c r="Y556" s="1473" t="s">
        <v>1306</v>
      </c>
      <c r="Z556" s="1504" t="s">
        <v>1483</v>
      </c>
      <c r="AA556" s="1473" t="s">
        <v>1306</v>
      </c>
      <c r="AB556" s="1470" t="s">
        <v>352</v>
      </c>
      <c r="AC556" s="1475" t="s">
        <v>1366</v>
      </c>
      <c r="AD556" s="1476" t="s">
        <v>640</v>
      </c>
      <c r="AE556" s="1501"/>
      <c r="AF556" s="1501"/>
      <c r="AG556" s="1457" t="str">
        <f t="shared" si="34"/>
        <v>23調査結果-建築物の内部-4（43）-改善（予定）年月-未定</v>
      </c>
      <c r="AI556" s="1459"/>
      <c r="AJ556" s="1459"/>
      <c r="AK556" s="1459"/>
    </row>
    <row r="557" spans="1:37" s="1457" customFormat="1" ht="18.75" customHeight="1" x14ac:dyDescent="0.15">
      <c r="A557" s="1578"/>
      <c r="B557" s="1462"/>
      <c r="C557" s="1462"/>
      <c r="D557" s="1460">
        <f>'1_入力シート【基本情報】'!$AF$425</f>
        <v>0</v>
      </c>
      <c r="E557" s="1650">
        <f t="shared" si="35"/>
        <v>0</v>
      </c>
      <c r="F557" s="1650" t="str">
        <f t="shared" si="36"/>
        <v>0</v>
      </c>
      <c r="G557" s="1650" t="str">
        <f t="shared" si="37"/>
        <v>0</v>
      </c>
      <c r="H557" s="1468"/>
      <c r="I557" s="1462"/>
      <c r="J557" s="1531"/>
      <c r="K557" s="1462"/>
      <c r="L557" s="1462"/>
      <c r="M557" s="1493"/>
      <c r="N557" s="1462"/>
      <c r="O557" s="1462"/>
      <c r="P557" s="1462"/>
      <c r="Q557" s="1462"/>
      <c r="R557" s="1462"/>
      <c r="S557" s="1462"/>
      <c r="T557" s="1462"/>
      <c r="U557" s="1469">
        <v>23</v>
      </c>
      <c r="V557" s="1486" t="s">
        <v>33</v>
      </c>
      <c r="W557" s="1471" t="s">
        <v>1306</v>
      </c>
      <c r="X557" s="1472" t="s">
        <v>1440</v>
      </c>
      <c r="Y557" s="1473" t="s">
        <v>1306</v>
      </c>
      <c r="Z557" s="1504" t="s">
        <v>1484</v>
      </c>
      <c r="AA557" s="1473" t="s">
        <v>1306</v>
      </c>
      <c r="AB557" s="1470" t="s">
        <v>33</v>
      </c>
      <c r="AC557" s="1475"/>
      <c r="AD557" s="1476"/>
      <c r="AE557" s="1501"/>
      <c r="AF557" s="1501"/>
      <c r="AG557" s="1457" t="str">
        <f t="shared" si="34"/>
        <v>23調査結果-建築物の内部-4（44）-調査結果</v>
      </c>
      <c r="AI557" s="1459"/>
      <c r="AJ557" s="1459"/>
      <c r="AK557" s="1459"/>
    </row>
    <row r="558" spans="1:37" s="1457" customFormat="1" ht="18.75" customHeight="1" x14ac:dyDescent="0.15">
      <c r="A558" s="1578"/>
      <c r="B558" s="1462"/>
      <c r="C558" s="1462"/>
      <c r="D558" s="1460">
        <f>'1_入力シート【基本情報】'!$AR$425</f>
        <v>0</v>
      </c>
      <c r="E558" s="1650">
        <f t="shared" si="35"/>
        <v>0</v>
      </c>
      <c r="F558" s="1650" t="str">
        <f t="shared" si="36"/>
        <v>0</v>
      </c>
      <c r="G558" s="1650" t="str">
        <f t="shared" si="37"/>
        <v>0</v>
      </c>
      <c r="H558" s="1468"/>
      <c r="I558" s="1462"/>
      <c r="J558" s="1531"/>
      <c r="K558" s="1462"/>
      <c r="L558" s="1462"/>
      <c r="M558" s="1493"/>
      <c r="N558" s="1462"/>
      <c r="O558" s="1462"/>
      <c r="P558" s="1462"/>
      <c r="Q558" s="1462"/>
      <c r="R558" s="1462"/>
      <c r="S558" s="1462"/>
      <c r="T558" s="1462"/>
      <c r="U558" s="1469">
        <v>23</v>
      </c>
      <c r="V558" s="1486" t="s">
        <v>33</v>
      </c>
      <c r="W558" s="1471" t="s">
        <v>1306</v>
      </c>
      <c r="X558" s="1472" t="s">
        <v>1440</v>
      </c>
      <c r="Y558" s="1473" t="s">
        <v>1306</v>
      </c>
      <c r="Z558" s="1504" t="s">
        <v>1484</v>
      </c>
      <c r="AA558" s="1473" t="s">
        <v>1306</v>
      </c>
      <c r="AB558" s="1470" t="s">
        <v>30</v>
      </c>
      <c r="AC558" s="1475"/>
      <c r="AD558" s="1476"/>
      <c r="AE558" s="1501"/>
      <c r="AF558" s="1501"/>
      <c r="AG558" s="1457" t="str">
        <f t="shared" si="34"/>
        <v>23調査結果-建築物の内部-4（44）-調査者番号</v>
      </c>
      <c r="AI558" s="1459"/>
      <c r="AJ558" s="1459"/>
      <c r="AK558" s="1459"/>
    </row>
    <row r="559" spans="1:37" s="1457" customFormat="1" ht="18.75" customHeight="1" x14ac:dyDescent="0.15">
      <c r="A559" s="1578"/>
      <c r="B559" s="1462"/>
      <c r="C559" s="1462"/>
      <c r="D559" s="1460">
        <f>'1_入力シート【基本情報】'!$AT$425</f>
        <v>0</v>
      </c>
      <c r="E559" s="1650">
        <f t="shared" si="35"/>
        <v>0</v>
      </c>
      <c r="F559" s="1650" t="str">
        <f t="shared" si="36"/>
        <v>0</v>
      </c>
      <c r="G559" s="1650" t="str">
        <f t="shared" si="37"/>
        <v>0</v>
      </c>
      <c r="H559" s="1468"/>
      <c r="I559" s="1462"/>
      <c r="J559" s="1531"/>
      <c r="K559" s="1462"/>
      <c r="L559" s="1462"/>
      <c r="M559" s="1493"/>
      <c r="N559" s="1462"/>
      <c r="O559" s="1462"/>
      <c r="P559" s="1462"/>
      <c r="Q559" s="1462"/>
      <c r="R559" s="1462"/>
      <c r="S559" s="1462"/>
      <c r="T559" s="1462"/>
      <c r="U559" s="1469">
        <v>23</v>
      </c>
      <c r="V559" s="1486" t="s">
        <v>33</v>
      </c>
      <c r="W559" s="1471" t="s">
        <v>1306</v>
      </c>
      <c r="X559" s="1472" t="s">
        <v>1440</v>
      </c>
      <c r="Y559" s="1473" t="s">
        <v>1306</v>
      </c>
      <c r="Z559" s="1504" t="s">
        <v>1484</v>
      </c>
      <c r="AA559" s="1473" t="s">
        <v>1306</v>
      </c>
      <c r="AB559" s="1470" t="s">
        <v>1402</v>
      </c>
      <c r="AC559" s="1475"/>
      <c r="AD559" s="1476"/>
      <c r="AE559" s="1501"/>
      <c r="AF559" s="1501"/>
      <c r="AG559" s="1457" t="str">
        <f t="shared" si="34"/>
        <v>23調査結果-建築物の内部-4（44）-指摘の具体的内容等</v>
      </c>
      <c r="AI559" s="1459"/>
      <c r="AJ559" s="1459"/>
      <c r="AK559" s="1459"/>
    </row>
    <row r="560" spans="1:37" s="1457" customFormat="1" ht="18.75" customHeight="1" x14ac:dyDescent="0.15">
      <c r="A560" s="1578"/>
      <c r="B560" s="1462"/>
      <c r="C560" s="1462"/>
      <c r="D560" s="1460">
        <f>'1_入力シート【基本情報】'!$BD$425</f>
        <v>0</v>
      </c>
      <c r="E560" s="1650">
        <f t="shared" si="35"/>
        <v>0</v>
      </c>
      <c r="F560" s="1650" t="str">
        <f t="shared" si="36"/>
        <v>0</v>
      </c>
      <c r="G560" s="1650" t="str">
        <f t="shared" si="37"/>
        <v>0</v>
      </c>
      <c r="H560" s="1468"/>
      <c r="I560" s="1462"/>
      <c r="J560" s="1531"/>
      <c r="K560" s="1462"/>
      <c r="L560" s="1462"/>
      <c r="M560" s="1493"/>
      <c r="N560" s="1462"/>
      <c r="O560" s="1462"/>
      <c r="P560" s="1462"/>
      <c r="Q560" s="1462"/>
      <c r="R560" s="1462"/>
      <c r="S560" s="1462"/>
      <c r="T560" s="1462"/>
      <c r="U560" s="1469">
        <v>23</v>
      </c>
      <c r="V560" s="1486" t="s">
        <v>33</v>
      </c>
      <c r="W560" s="1471" t="s">
        <v>1306</v>
      </c>
      <c r="X560" s="1472" t="s">
        <v>1440</v>
      </c>
      <c r="Y560" s="1473" t="s">
        <v>1306</v>
      </c>
      <c r="Z560" s="1504" t="s">
        <v>1484</v>
      </c>
      <c r="AA560" s="1473" t="s">
        <v>1306</v>
      </c>
      <c r="AB560" s="1470" t="s">
        <v>1403</v>
      </c>
      <c r="AC560" s="1475"/>
      <c r="AD560" s="1476"/>
      <c r="AE560" s="1501"/>
      <c r="AF560" s="1501"/>
      <c r="AG560" s="1457" t="str">
        <f t="shared" si="34"/>
        <v>23調査結果-建築物の内部-4（44）-改善策の具体的内容等</v>
      </c>
      <c r="AI560" s="1459"/>
      <c r="AJ560" s="1459"/>
      <c r="AK560" s="1459"/>
    </row>
    <row r="561" spans="1:37" s="1457" customFormat="1" ht="18.75" customHeight="1" x14ac:dyDescent="0.15">
      <c r="A561" s="1578"/>
      <c r="B561" s="1462"/>
      <c r="C561" s="1462"/>
      <c r="D561" s="1460">
        <f>'1_入力シート【基本情報】'!$BS$425</f>
        <v>0</v>
      </c>
      <c r="E561" s="1650">
        <f t="shared" si="35"/>
        <v>0</v>
      </c>
      <c r="F561" s="1650" t="str">
        <f t="shared" si="36"/>
        <v>0</v>
      </c>
      <c r="G561" s="1650" t="str">
        <f t="shared" si="37"/>
        <v>0</v>
      </c>
      <c r="H561" s="1468"/>
      <c r="I561" s="1462"/>
      <c r="J561" s="1531"/>
      <c r="K561" s="1462"/>
      <c r="L561" s="1462"/>
      <c r="M561" s="1493"/>
      <c r="N561" s="1462"/>
      <c r="O561" s="1462"/>
      <c r="P561" s="1462"/>
      <c r="Q561" s="1462"/>
      <c r="R561" s="1462"/>
      <c r="S561" s="1462"/>
      <c r="T561" s="1462"/>
      <c r="U561" s="1469">
        <v>23</v>
      </c>
      <c r="V561" s="1486" t="s">
        <v>33</v>
      </c>
      <c r="W561" s="1471" t="s">
        <v>1306</v>
      </c>
      <c r="X561" s="1472" t="s">
        <v>1440</v>
      </c>
      <c r="Y561" s="1473" t="s">
        <v>1306</v>
      </c>
      <c r="Z561" s="1504" t="s">
        <v>1484</v>
      </c>
      <c r="AA561" s="1473" t="s">
        <v>1306</v>
      </c>
      <c r="AB561" s="1470" t="s">
        <v>352</v>
      </c>
      <c r="AC561" s="1475" t="s">
        <v>1366</v>
      </c>
      <c r="AD561" s="1476" t="s">
        <v>1387</v>
      </c>
      <c r="AE561" s="1501"/>
      <c r="AF561" s="1501"/>
      <c r="AG561" s="1457" t="str">
        <f t="shared" si="34"/>
        <v>23調査結果-建築物の内部-4（44）-改善（予定）年月-年（令和）</v>
      </c>
      <c r="AI561" s="1459"/>
      <c r="AJ561" s="1459"/>
      <c r="AK561" s="1459"/>
    </row>
    <row r="562" spans="1:37" s="1457" customFormat="1" ht="18.75" customHeight="1" x14ac:dyDescent="0.15">
      <c r="A562" s="1578"/>
      <c r="B562" s="1462"/>
      <c r="C562" s="1462"/>
      <c r="D562" s="1460">
        <f>'1_入力シート【基本情報】'!$BV$425</f>
        <v>0</v>
      </c>
      <c r="E562" s="1650">
        <f t="shared" si="35"/>
        <v>0</v>
      </c>
      <c r="F562" s="1650" t="str">
        <f t="shared" si="36"/>
        <v>0</v>
      </c>
      <c r="G562" s="1650" t="str">
        <f t="shared" si="37"/>
        <v>0</v>
      </c>
      <c r="H562" s="1468"/>
      <c r="I562" s="1462"/>
      <c r="J562" s="1531"/>
      <c r="K562" s="1462"/>
      <c r="L562" s="1462"/>
      <c r="M562" s="1493"/>
      <c r="N562" s="1462"/>
      <c r="O562" s="1462"/>
      <c r="P562" s="1462"/>
      <c r="Q562" s="1462"/>
      <c r="R562" s="1462"/>
      <c r="S562" s="1462"/>
      <c r="T562" s="1462"/>
      <c r="U562" s="1469">
        <v>23</v>
      </c>
      <c r="V562" s="1486" t="s">
        <v>33</v>
      </c>
      <c r="W562" s="1471" t="s">
        <v>1306</v>
      </c>
      <c r="X562" s="1472" t="s">
        <v>1440</v>
      </c>
      <c r="Y562" s="1473" t="s">
        <v>1306</v>
      </c>
      <c r="Z562" s="1504" t="s">
        <v>1484</v>
      </c>
      <c r="AA562" s="1473" t="s">
        <v>1306</v>
      </c>
      <c r="AB562" s="1470" t="s">
        <v>352</v>
      </c>
      <c r="AC562" s="1475" t="s">
        <v>1366</v>
      </c>
      <c r="AD562" s="1476" t="s">
        <v>348</v>
      </c>
      <c r="AE562" s="1501"/>
      <c r="AF562" s="1501"/>
      <c r="AG562" s="1457" t="str">
        <f t="shared" si="34"/>
        <v>23調査結果-建築物の内部-4（44）-改善（予定）年月-月</v>
      </c>
      <c r="AI562" s="1459"/>
      <c r="AJ562" s="1459"/>
      <c r="AK562" s="1459"/>
    </row>
    <row r="563" spans="1:37" s="1457" customFormat="1" ht="18.75" customHeight="1" x14ac:dyDescent="0.15">
      <c r="A563" s="1578"/>
      <c r="B563" s="1462"/>
      <c r="C563" s="1462"/>
      <c r="D563" s="1460">
        <f>'1_入力シート【基本情報】'!$BY$425</f>
        <v>0</v>
      </c>
      <c r="E563" s="1650">
        <f t="shared" si="35"/>
        <v>0</v>
      </c>
      <c r="F563" s="1650" t="str">
        <f t="shared" si="36"/>
        <v>0</v>
      </c>
      <c r="G563" s="1650" t="str">
        <f t="shared" si="37"/>
        <v>0</v>
      </c>
      <c r="H563" s="1468"/>
      <c r="I563" s="1462"/>
      <c r="J563" s="1531"/>
      <c r="K563" s="1462"/>
      <c r="L563" s="1462"/>
      <c r="M563" s="1493"/>
      <c r="N563" s="1462"/>
      <c r="O563" s="1462"/>
      <c r="P563" s="1462"/>
      <c r="Q563" s="1462"/>
      <c r="R563" s="1462"/>
      <c r="S563" s="1462"/>
      <c r="T563" s="1462"/>
      <c r="U563" s="1469">
        <v>23</v>
      </c>
      <c r="V563" s="1486" t="s">
        <v>33</v>
      </c>
      <c r="W563" s="1471" t="s">
        <v>1306</v>
      </c>
      <c r="X563" s="1472" t="s">
        <v>1440</v>
      </c>
      <c r="Y563" s="1473" t="s">
        <v>1306</v>
      </c>
      <c r="Z563" s="1504" t="s">
        <v>1484</v>
      </c>
      <c r="AA563" s="1473" t="s">
        <v>1306</v>
      </c>
      <c r="AB563" s="1470" t="s">
        <v>352</v>
      </c>
      <c r="AC563" s="1475" t="s">
        <v>1366</v>
      </c>
      <c r="AD563" s="1476" t="s">
        <v>640</v>
      </c>
      <c r="AE563" s="1501"/>
      <c r="AF563" s="1501"/>
      <c r="AG563" s="1457" t="str">
        <f t="shared" si="34"/>
        <v>23調査結果-建築物の内部-4（44）-改善（予定）年月-未定</v>
      </c>
      <c r="AI563" s="1459"/>
      <c r="AJ563" s="1459"/>
      <c r="AK563" s="1459"/>
    </row>
    <row r="564" spans="1:37" s="1457" customFormat="1" ht="18.75" customHeight="1" x14ac:dyDescent="0.15">
      <c r="A564" s="1578"/>
      <c r="B564" s="1462"/>
      <c r="C564" s="1462"/>
      <c r="D564" s="1460">
        <f>'1_入力シート【基本情報】'!$AF$426</f>
        <v>0</v>
      </c>
      <c r="E564" s="1650">
        <f t="shared" si="35"/>
        <v>0</v>
      </c>
      <c r="F564" s="1650" t="str">
        <f t="shared" si="36"/>
        <v>0</v>
      </c>
      <c r="G564" s="1650" t="str">
        <f t="shared" si="37"/>
        <v>0</v>
      </c>
      <c r="H564" s="1468"/>
      <c r="I564" s="1462"/>
      <c r="J564" s="1531"/>
      <c r="K564" s="1462"/>
      <c r="L564" s="1462"/>
      <c r="M564" s="1493"/>
      <c r="N564" s="1462"/>
      <c r="O564" s="1462"/>
      <c r="P564" s="1462"/>
      <c r="Q564" s="1462"/>
      <c r="R564" s="1462"/>
      <c r="S564" s="1462"/>
      <c r="T564" s="1462"/>
      <c r="U564" s="1469">
        <v>23</v>
      </c>
      <c r="V564" s="1486" t="s">
        <v>33</v>
      </c>
      <c r="W564" s="1471" t="s">
        <v>1306</v>
      </c>
      <c r="X564" s="1472" t="s">
        <v>1440</v>
      </c>
      <c r="Y564" s="1473" t="s">
        <v>1306</v>
      </c>
      <c r="Z564" s="1504" t="s">
        <v>1485</v>
      </c>
      <c r="AA564" s="1473" t="s">
        <v>1306</v>
      </c>
      <c r="AB564" s="1470" t="s">
        <v>33</v>
      </c>
      <c r="AC564" s="1475"/>
      <c r="AD564" s="1476"/>
      <c r="AE564" s="1501"/>
      <c r="AF564" s="1501"/>
      <c r="AG564" s="1457" t="str">
        <f t="shared" si="34"/>
        <v>23調査結果-建築物の内部-4（45）-調査結果</v>
      </c>
      <c r="AI564" s="1459"/>
      <c r="AJ564" s="1459"/>
      <c r="AK564" s="1459"/>
    </row>
    <row r="565" spans="1:37" s="1457" customFormat="1" ht="18.75" customHeight="1" x14ac:dyDescent="0.15">
      <c r="A565" s="1578"/>
      <c r="B565" s="1462"/>
      <c r="C565" s="1462"/>
      <c r="D565" s="1460">
        <f>'1_入力シート【基本情報】'!$AR$426</f>
        <v>0</v>
      </c>
      <c r="E565" s="1650">
        <f t="shared" si="35"/>
        <v>0</v>
      </c>
      <c r="F565" s="1650" t="str">
        <f t="shared" si="36"/>
        <v>0</v>
      </c>
      <c r="G565" s="1650" t="str">
        <f t="shared" si="37"/>
        <v>0</v>
      </c>
      <c r="H565" s="1468"/>
      <c r="I565" s="1462"/>
      <c r="J565" s="1531"/>
      <c r="K565" s="1462"/>
      <c r="L565" s="1462"/>
      <c r="M565" s="1493"/>
      <c r="N565" s="1462"/>
      <c r="O565" s="1462"/>
      <c r="P565" s="1462"/>
      <c r="Q565" s="1462"/>
      <c r="R565" s="1462"/>
      <c r="S565" s="1462"/>
      <c r="T565" s="1462"/>
      <c r="U565" s="1469">
        <v>23</v>
      </c>
      <c r="V565" s="1486" t="s">
        <v>33</v>
      </c>
      <c r="W565" s="1471" t="s">
        <v>1306</v>
      </c>
      <c r="X565" s="1472" t="s">
        <v>1440</v>
      </c>
      <c r="Y565" s="1473" t="s">
        <v>1306</v>
      </c>
      <c r="Z565" s="1504" t="s">
        <v>1485</v>
      </c>
      <c r="AA565" s="1473" t="s">
        <v>1306</v>
      </c>
      <c r="AB565" s="1470" t="s">
        <v>30</v>
      </c>
      <c r="AC565" s="1475"/>
      <c r="AD565" s="1476"/>
      <c r="AE565" s="1501"/>
      <c r="AF565" s="1501"/>
      <c r="AG565" s="1457" t="str">
        <f t="shared" si="34"/>
        <v>23調査結果-建築物の内部-4（45）-調査者番号</v>
      </c>
      <c r="AI565" s="1459"/>
      <c r="AJ565" s="1459"/>
      <c r="AK565" s="1459"/>
    </row>
    <row r="566" spans="1:37" s="1457" customFormat="1" ht="18.75" customHeight="1" x14ac:dyDescent="0.15">
      <c r="A566" s="1578"/>
      <c r="B566" s="1462"/>
      <c r="C566" s="1462"/>
      <c r="D566" s="1460">
        <f>'1_入力シート【基本情報】'!$AT$426</f>
        <v>0</v>
      </c>
      <c r="E566" s="1650">
        <f t="shared" si="35"/>
        <v>0</v>
      </c>
      <c r="F566" s="1650" t="str">
        <f t="shared" si="36"/>
        <v>0</v>
      </c>
      <c r="G566" s="1650" t="str">
        <f t="shared" si="37"/>
        <v>0</v>
      </c>
      <c r="H566" s="1468"/>
      <c r="I566" s="1462"/>
      <c r="J566" s="1531"/>
      <c r="K566" s="1462"/>
      <c r="L566" s="1462"/>
      <c r="M566" s="1493"/>
      <c r="N566" s="1462"/>
      <c r="O566" s="1462"/>
      <c r="P566" s="1462"/>
      <c r="Q566" s="1462"/>
      <c r="R566" s="1462"/>
      <c r="S566" s="1462"/>
      <c r="T566" s="1462"/>
      <c r="U566" s="1469">
        <v>23</v>
      </c>
      <c r="V566" s="1486" t="s">
        <v>33</v>
      </c>
      <c r="W566" s="1471" t="s">
        <v>1306</v>
      </c>
      <c r="X566" s="1472" t="s">
        <v>1440</v>
      </c>
      <c r="Y566" s="1473" t="s">
        <v>1306</v>
      </c>
      <c r="Z566" s="1504" t="s">
        <v>1485</v>
      </c>
      <c r="AA566" s="1473" t="s">
        <v>1306</v>
      </c>
      <c r="AB566" s="1470" t="s">
        <v>1402</v>
      </c>
      <c r="AC566" s="1475"/>
      <c r="AD566" s="1476"/>
      <c r="AE566" s="1501"/>
      <c r="AF566" s="1501"/>
      <c r="AG566" s="1457" t="str">
        <f t="shared" si="34"/>
        <v>23調査結果-建築物の内部-4（45）-指摘の具体的内容等</v>
      </c>
      <c r="AI566" s="1459"/>
      <c r="AJ566" s="1459"/>
      <c r="AK566" s="1459"/>
    </row>
    <row r="567" spans="1:37" s="1457" customFormat="1" ht="18.75" customHeight="1" x14ac:dyDescent="0.15">
      <c r="A567" s="1578"/>
      <c r="B567" s="1462"/>
      <c r="C567" s="1462"/>
      <c r="D567" s="1460">
        <f>'1_入力シート【基本情報】'!$BD$426</f>
        <v>0</v>
      </c>
      <c r="E567" s="1650">
        <f t="shared" si="35"/>
        <v>0</v>
      </c>
      <c r="F567" s="1650" t="str">
        <f t="shared" si="36"/>
        <v>0</v>
      </c>
      <c r="G567" s="1650" t="str">
        <f t="shared" si="37"/>
        <v>0</v>
      </c>
      <c r="H567" s="1468"/>
      <c r="I567" s="1462"/>
      <c r="J567" s="1531"/>
      <c r="K567" s="1462"/>
      <c r="L567" s="1462"/>
      <c r="M567" s="1493"/>
      <c r="N567" s="1462"/>
      <c r="O567" s="1462"/>
      <c r="P567" s="1462"/>
      <c r="Q567" s="1462"/>
      <c r="R567" s="1462"/>
      <c r="S567" s="1462"/>
      <c r="T567" s="1462"/>
      <c r="U567" s="1469">
        <v>23</v>
      </c>
      <c r="V567" s="1486" t="s">
        <v>33</v>
      </c>
      <c r="W567" s="1471" t="s">
        <v>1306</v>
      </c>
      <c r="X567" s="1472" t="s">
        <v>1440</v>
      </c>
      <c r="Y567" s="1473" t="s">
        <v>1306</v>
      </c>
      <c r="Z567" s="1504" t="s">
        <v>1485</v>
      </c>
      <c r="AA567" s="1473" t="s">
        <v>1306</v>
      </c>
      <c r="AB567" s="1470" t="s">
        <v>1403</v>
      </c>
      <c r="AC567" s="1475"/>
      <c r="AD567" s="1476"/>
      <c r="AE567" s="1501"/>
      <c r="AF567" s="1501"/>
      <c r="AG567" s="1457" t="str">
        <f t="shared" si="34"/>
        <v>23調査結果-建築物の内部-4（45）-改善策の具体的内容等</v>
      </c>
      <c r="AI567" s="1459"/>
      <c r="AJ567" s="1459"/>
      <c r="AK567" s="1459"/>
    </row>
    <row r="568" spans="1:37" s="1457" customFormat="1" ht="18.75" customHeight="1" x14ac:dyDescent="0.15">
      <c r="A568" s="1578"/>
      <c r="B568" s="1462"/>
      <c r="C568" s="1462"/>
      <c r="D568" s="1460">
        <f>'1_入力シート【基本情報】'!$BS$426</f>
        <v>0</v>
      </c>
      <c r="E568" s="1650">
        <f t="shared" si="35"/>
        <v>0</v>
      </c>
      <c r="F568" s="1650" t="str">
        <f t="shared" si="36"/>
        <v>0</v>
      </c>
      <c r="G568" s="1650" t="str">
        <f t="shared" si="37"/>
        <v>0</v>
      </c>
      <c r="H568" s="1468"/>
      <c r="I568" s="1462"/>
      <c r="J568" s="1531"/>
      <c r="K568" s="1462"/>
      <c r="L568" s="1462"/>
      <c r="M568" s="1493"/>
      <c r="N568" s="1462"/>
      <c r="O568" s="1462"/>
      <c r="P568" s="1462"/>
      <c r="Q568" s="1462"/>
      <c r="R568" s="1462"/>
      <c r="S568" s="1462"/>
      <c r="T568" s="1462"/>
      <c r="U568" s="1469">
        <v>23</v>
      </c>
      <c r="V568" s="1486" t="s">
        <v>33</v>
      </c>
      <c r="W568" s="1471" t="s">
        <v>1306</v>
      </c>
      <c r="X568" s="1472" t="s">
        <v>1440</v>
      </c>
      <c r="Y568" s="1473" t="s">
        <v>1306</v>
      </c>
      <c r="Z568" s="1504" t="s">
        <v>1485</v>
      </c>
      <c r="AA568" s="1473" t="s">
        <v>1306</v>
      </c>
      <c r="AB568" s="1470" t="s">
        <v>352</v>
      </c>
      <c r="AC568" s="1475" t="s">
        <v>1366</v>
      </c>
      <c r="AD568" s="1476" t="s">
        <v>1387</v>
      </c>
      <c r="AE568" s="1501"/>
      <c r="AF568" s="1501"/>
      <c r="AG568" s="1457" t="str">
        <f t="shared" si="34"/>
        <v>23調査結果-建築物の内部-4（45）-改善（予定）年月-年（令和）</v>
      </c>
      <c r="AI568" s="1459"/>
      <c r="AJ568" s="1459"/>
      <c r="AK568" s="1459"/>
    </row>
    <row r="569" spans="1:37" s="1457" customFormat="1" ht="18.75" customHeight="1" x14ac:dyDescent="0.15">
      <c r="A569" s="1578"/>
      <c r="B569" s="1462"/>
      <c r="C569" s="1462"/>
      <c r="D569" s="1460">
        <f>'1_入力シート【基本情報】'!$BV$426</f>
        <v>0</v>
      </c>
      <c r="E569" s="1650">
        <f t="shared" si="35"/>
        <v>0</v>
      </c>
      <c r="F569" s="1650" t="str">
        <f t="shared" si="36"/>
        <v>0</v>
      </c>
      <c r="G569" s="1650" t="str">
        <f t="shared" si="37"/>
        <v>0</v>
      </c>
      <c r="H569" s="1468"/>
      <c r="I569" s="1462"/>
      <c r="J569" s="1531"/>
      <c r="K569" s="1462"/>
      <c r="L569" s="1462"/>
      <c r="M569" s="1493"/>
      <c r="N569" s="1462"/>
      <c r="O569" s="1462"/>
      <c r="P569" s="1462"/>
      <c r="Q569" s="1462"/>
      <c r="R569" s="1462"/>
      <c r="S569" s="1462"/>
      <c r="T569" s="1462"/>
      <c r="U569" s="1469">
        <v>23</v>
      </c>
      <c r="V569" s="1486" t="s">
        <v>33</v>
      </c>
      <c r="W569" s="1471" t="s">
        <v>1306</v>
      </c>
      <c r="X569" s="1472" t="s">
        <v>1440</v>
      </c>
      <c r="Y569" s="1473" t="s">
        <v>1306</v>
      </c>
      <c r="Z569" s="1504" t="s">
        <v>1485</v>
      </c>
      <c r="AA569" s="1473" t="s">
        <v>1306</v>
      </c>
      <c r="AB569" s="1470" t="s">
        <v>352</v>
      </c>
      <c r="AC569" s="1475" t="s">
        <v>1366</v>
      </c>
      <c r="AD569" s="1476" t="s">
        <v>348</v>
      </c>
      <c r="AE569" s="1501"/>
      <c r="AF569" s="1501"/>
      <c r="AG569" s="1457" t="str">
        <f t="shared" si="34"/>
        <v>23調査結果-建築物の内部-4（45）-改善（予定）年月-月</v>
      </c>
      <c r="AI569" s="1459"/>
      <c r="AJ569" s="1459"/>
      <c r="AK569" s="1459"/>
    </row>
    <row r="570" spans="1:37" s="1457" customFormat="1" ht="18.75" customHeight="1" x14ac:dyDescent="0.15">
      <c r="A570" s="1578"/>
      <c r="B570" s="1462"/>
      <c r="C570" s="1462"/>
      <c r="D570" s="1460">
        <f>'1_入力シート【基本情報】'!$BY$426</f>
        <v>0</v>
      </c>
      <c r="E570" s="1650">
        <f t="shared" si="35"/>
        <v>0</v>
      </c>
      <c r="F570" s="1650" t="str">
        <f t="shared" si="36"/>
        <v>0</v>
      </c>
      <c r="G570" s="1650" t="str">
        <f t="shared" si="37"/>
        <v>0</v>
      </c>
      <c r="H570" s="1468"/>
      <c r="I570" s="1462"/>
      <c r="J570" s="1531"/>
      <c r="K570" s="1462"/>
      <c r="L570" s="1462"/>
      <c r="M570" s="1493"/>
      <c r="N570" s="1462"/>
      <c r="O570" s="1462"/>
      <c r="P570" s="1462"/>
      <c r="Q570" s="1462"/>
      <c r="R570" s="1462"/>
      <c r="S570" s="1462"/>
      <c r="T570" s="1462"/>
      <c r="U570" s="1469">
        <v>23</v>
      </c>
      <c r="V570" s="1486" t="s">
        <v>33</v>
      </c>
      <c r="W570" s="1471" t="s">
        <v>1306</v>
      </c>
      <c r="X570" s="1472" t="s">
        <v>1440</v>
      </c>
      <c r="Y570" s="1473" t="s">
        <v>1306</v>
      </c>
      <c r="Z570" s="1504" t="s">
        <v>1485</v>
      </c>
      <c r="AA570" s="1473" t="s">
        <v>1306</v>
      </c>
      <c r="AB570" s="1470" t="s">
        <v>352</v>
      </c>
      <c r="AC570" s="1475" t="s">
        <v>1366</v>
      </c>
      <c r="AD570" s="1476" t="s">
        <v>640</v>
      </c>
      <c r="AE570" s="1501"/>
      <c r="AF570" s="1501"/>
      <c r="AG570" s="1457" t="str">
        <f t="shared" si="34"/>
        <v>23調査結果-建築物の内部-4（45）-改善（予定）年月-未定</v>
      </c>
      <c r="AI570" s="1459"/>
      <c r="AJ570" s="1459"/>
      <c r="AK570" s="1459"/>
    </row>
    <row r="571" spans="1:37" s="1457" customFormat="1" ht="18.75" customHeight="1" x14ac:dyDescent="0.15">
      <c r="A571" s="1578"/>
      <c r="B571" s="1462"/>
      <c r="C571" s="1462"/>
      <c r="D571" s="1460">
        <f>'1_入力シート【基本情報】'!$AF$436</f>
        <v>0</v>
      </c>
      <c r="E571" s="1650">
        <f t="shared" si="35"/>
        <v>0</v>
      </c>
      <c r="F571" s="1650" t="str">
        <f t="shared" si="36"/>
        <v>0</v>
      </c>
      <c r="G571" s="1650" t="str">
        <f t="shared" si="37"/>
        <v>0</v>
      </c>
      <c r="H571" s="1468"/>
      <c r="I571" s="1462"/>
      <c r="J571" s="1531"/>
      <c r="K571" s="1462"/>
      <c r="L571" s="1462"/>
      <c r="M571" s="1493"/>
      <c r="N571" s="1462"/>
      <c r="O571" s="1462"/>
      <c r="P571" s="1462"/>
      <c r="Q571" s="1462"/>
      <c r="R571" s="1462"/>
      <c r="S571" s="1462"/>
      <c r="T571" s="1462"/>
      <c r="U571" s="1469">
        <v>23</v>
      </c>
      <c r="V571" s="1486" t="s">
        <v>33</v>
      </c>
      <c r="W571" s="1471" t="s">
        <v>1306</v>
      </c>
      <c r="X571" s="1472" t="s">
        <v>110</v>
      </c>
      <c r="Y571" s="1473" t="s">
        <v>1306</v>
      </c>
      <c r="Z571" s="1504" t="s">
        <v>1486</v>
      </c>
      <c r="AA571" s="1473" t="s">
        <v>1306</v>
      </c>
      <c r="AB571" s="1470" t="s">
        <v>33</v>
      </c>
      <c r="AC571" s="1499"/>
      <c r="AD571" s="1500"/>
      <c r="AE571" s="1501"/>
      <c r="AF571" s="1501"/>
      <c r="AG571" s="1457" t="str">
        <f t="shared" ref="AG571:AG700" si="38">CONCATENATE(U571,V571,W571,X571,Y571,Z571,AA571,AB571,AC571,AD571)</f>
        <v>23調査結果-避難施設等-5（1）-調査結果</v>
      </c>
      <c r="AI571" s="1459"/>
      <c r="AJ571" s="1459"/>
      <c r="AK571" s="1459"/>
    </row>
    <row r="572" spans="1:37" s="1457" customFormat="1" ht="18.75" customHeight="1" x14ac:dyDescent="0.15">
      <c r="A572" s="1578"/>
      <c r="B572" s="1462"/>
      <c r="C572" s="1462"/>
      <c r="D572" s="1460">
        <f>'1_入力シート【基本情報】'!$AR$436</f>
        <v>0</v>
      </c>
      <c r="E572" s="1650">
        <f t="shared" si="35"/>
        <v>0</v>
      </c>
      <c r="F572" s="1650" t="str">
        <f t="shared" si="36"/>
        <v>0</v>
      </c>
      <c r="G572" s="1650" t="str">
        <f t="shared" si="37"/>
        <v>0</v>
      </c>
      <c r="H572" s="1468"/>
      <c r="I572" s="1462"/>
      <c r="J572" s="1531"/>
      <c r="K572" s="1462"/>
      <c r="L572" s="1462"/>
      <c r="M572" s="1493"/>
      <c r="N572" s="1462"/>
      <c r="O572" s="1462"/>
      <c r="P572" s="1462"/>
      <c r="Q572" s="1462"/>
      <c r="R572" s="1462"/>
      <c r="S572" s="1462"/>
      <c r="T572" s="1462"/>
      <c r="U572" s="1469">
        <v>23</v>
      </c>
      <c r="V572" s="1486" t="s">
        <v>33</v>
      </c>
      <c r="W572" s="1471" t="s">
        <v>1306</v>
      </c>
      <c r="X572" s="1472" t="s">
        <v>110</v>
      </c>
      <c r="Y572" s="1473" t="s">
        <v>1306</v>
      </c>
      <c r="Z572" s="1504" t="s">
        <v>1486</v>
      </c>
      <c r="AA572" s="1473" t="s">
        <v>1306</v>
      </c>
      <c r="AB572" s="1470" t="s">
        <v>30</v>
      </c>
      <c r="AC572" s="1499"/>
      <c r="AD572" s="1500"/>
      <c r="AE572" s="1501"/>
      <c r="AF572" s="1501"/>
      <c r="AG572" s="1457" t="str">
        <f t="shared" si="38"/>
        <v>23調査結果-避難施設等-5（1）-調査者番号</v>
      </c>
      <c r="AI572" s="1459"/>
      <c r="AJ572" s="1459"/>
      <c r="AK572" s="1459"/>
    </row>
    <row r="573" spans="1:37" s="1457" customFormat="1" ht="18.75" customHeight="1" x14ac:dyDescent="0.15">
      <c r="A573" s="1578"/>
      <c r="B573" s="1462"/>
      <c r="C573" s="1462"/>
      <c r="D573" s="1460">
        <f>'1_入力シート【基本情報】'!$AT$436</f>
        <v>0</v>
      </c>
      <c r="E573" s="1650">
        <f t="shared" si="35"/>
        <v>0</v>
      </c>
      <c r="F573" s="1650" t="str">
        <f t="shared" si="36"/>
        <v>0</v>
      </c>
      <c r="G573" s="1650" t="str">
        <f t="shared" si="37"/>
        <v>0</v>
      </c>
      <c r="H573" s="1468"/>
      <c r="I573" s="1462"/>
      <c r="J573" s="1531"/>
      <c r="K573" s="1462"/>
      <c r="L573" s="1462"/>
      <c r="M573" s="1493"/>
      <c r="N573" s="1462"/>
      <c r="O573" s="1462"/>
      <c r="P573" s="1462"/>
      <c r="Q573" s="1462"/>
      <c r="R573" s="1462"/>
      <c r="S573" s="1462"/>
      <c r="T573" s="1462"/>
      <c r="U573" s="1469">
        <v>23</v>
      </c>
      <c r="V573" s="1486" t="s">
        <v>33</v>
      </c>
      <c r="W573" s="1471" t="s">
        <v>1306</v>
      </c>
      <c r="X573" s="1472" t="s">
        <v>110</v>
      </c>
      <c r="Y573" s="1473" t="s">
        <v>1306</v>
      </c>
      <c r="Z573" s="1504" t="s">
        <v>1486</v>
      </c>
      <c r="AA573" s="1473" t="s">
        <v>1306</v>
      </c>
      <c r="AB573" s="1470" t="s">
        <v>1402</v>
      </c>
      <c r="AC573" s="1499"/>
      <c r="AD573" s="1500"/>
      <c r="AE573" s="1477"/>
      <c r="AF573" s="1477"/>
      <c r="AG573" s="1457" t="str">
        <f t="shared" si="38"/>
        <v>23調査結果-避難施設等-5（1）-指摘の具体的内容等</v>
      </c>
      <c r="AI573" s="1459"/>
      <c r="AJ573" s="1459"/>
      <c r="AK573" s="1459"/>
    </row>
    <row r="574" spans="1:37" s="1457" customFormat="1" ht="18.75" customHeight="1" x14ac:dyDescent="0.15">
      <c r="A574" s="1578"/>
      <c r="B574" s="1462"/>
      <c r="C574" s="1462"/>
      <c r="D574" s="1460">
        <f>'1_入力シート【基本情報】'!$BD$436</f>
        <v>0</v>
      </c>
      <c r="E574" s="1650">
        <f t="shared" si="35"/>
        <v>0</v>
      </c>
      <c r="F574" s="1650" t="str">
        <f t="shared" si="36"/>
        <v>0</v>
      </c>
      <c r="G574" s="1650" t="str">
        <f t="shared" si="37"/>
        <v>0</v>
      </c>
      <c r="H574" s="1468"/>
      <c r="I574" s="1462"/>
      <c r="J574" s="1531"/>
      <c r="K574" s="1462"/>
      <c r="L574" s="1462"/>
      <c r="M574" s="1493"/>
      <c r="N574" s="1462"/>
      <c r="O574" s="1462"/>
      <c r="P574" s="1462"/>
      <c r="Q574" s="1462"/>
      <c r="R574" s="1462"/>
      <c r="S574" s="1462"/>
      <c r="T574" s="1462"/>
      <c r="U574" s="1469">
        <v>23</v>
      </c>
      <c r="V574" s="1486" t="s">
        <v>33</v>
      </c>
      <c r="W574" s="1471" t="s">
        <v>1306</v>
      </c>
      <c r="X574" s="1472" t="s">
        <v>110</v>
      </c>
      <c r="Y574" s="1473" t="s">
        <v>1306</v>
      </c>
      <c r="Z574" s="1504" t="s">
        <v>1486</v>
      </c>
      <c r="AA574" s="1473" t="s">
        <v>1306</v>
      </c>
      <c r="AB574" s="1470" t="s">
        <v>1403</v>
      </c>
      <c r="AC574" s="1499"/>
      <c r="AD574" s="1500"/>
      <c r="AE574" s="1501"/>
      <c r="AF574" s="1501"/>
      <c r="AG574" s="1457" t="str">
        <f t="shared" si="38"/>
        <v>23調査結果-避難施設等-5（1）-改善策の具体的内容等</v>
      </c>
      <c r="AI574" s="1459"/>
      <c r="AJ574" s="1459"/>
      <c r="AK574" s="1459"/>
    </row>
    <row r="575" spans="1:37" s="1457" customFormat="1" ht="18.75" customHeight="1" x14ac:dyDescent="0.15">
      <c r="A575" s="1578"/>
      <c r="B575" s="1462"/>
      <c r="C575" s="1462"/>
      <c r="D575" s="1460">
        <f>'1_入力シート【基本情報】'!$BS$436</f>
        <v>0</v>
      </c>
      <c r="E575" s="1650">
        <f t="shared" si="35"/>
        <v>0</v>
      </c>
      <c r="F575" s="1650" t="str">
        <f t="shared" si="36"/>
        <v>0</v>
      </c>
      <c r="G575" s="1650" t="str">
        <f t="shared" si="37"/>
        <v>0</v>
      </c>
      <c r="H575" s="1468"/>
      <c r="I575" s="1462"/>
      <c r="J575" s="1531"/>
      <c r="K575" s="1462"/>
      <c r="L575" s="1462"/>
      <c r="M575" s="1493"/>
      <c r="N575" s="1462"/>
      <c r="O575" s="1462"/>
      <c r="P575" s="1462"/>
      <c r="Q575" s="1462"/>
      <c r="R575" s="1462"/>
      <c r="S575" s="1462"/>
      <c r="T575" s="1462"/>
      <c r="U575" s="1469">
        <v>23</v>
      </c>
      <c r="V575" s="1486" t="s">
        <v>33</v>
      </c>
      <c r="W575" s="1471" t="s">
        <v>1306</v>
      </c>
      <c r="X575" s="1472" t="s">
        <v>110</v>
      </c>
      <c r="Y575" s="1473" t="s">
        <v>1306</v>
      </c>
      <c r="Z575" s="1504" t="s">
        <v>1486</v>
      </c>
      <c r="AA575" s="1473" t="s">
        <v>1306</v>
      </c>
      <c r="AB575" s="1486" t="s">
        <v>352</v>
      </c>
      <c r="AC575" s="1499" t="s">
        <v>1366</v>
      </c>
      <c r="AD575" s="1500" t="s">
        <v>1387</v>
      </c>
      <c r="AE575" s="1501"/>
      <c r="AF575" s="1501"/>
      <c r="AG575" s="1457" t="str">
        <f t="shared" si="38"/>
        <v>23調査結果-避難施設等-5（1）-改善（予定）年月-年（令和）</v>
      </c>
      <c r="AI575" s="1459"/>
      <c r="AJ575" s="1459"/>
      <c r="AK575" s="1459"/>
    </row>
    <row r="576" spans="1:37" s="1457" customFormat="1" ht="18.75" customHeight="1" x14ac:dyDescent="0.15">
      <c r="A576" s="1578"/>
      <c r="B576" s="1462"/>
      <c r="C576" s="1462"/>
      <c r="D576" s="1460">
        <f>'1_入力シート【基本情報】'!$BV$436</f>
        <v>0</v>
      </c>
      <c r="E576" s="1650">
        <f t="shared" si="35"/>
        <v>0</v>
      </c>
      <c r="F576" s="1650" t="str">
        <f t="shared" si="36"/>
        <v>0</v>
      </c>
      <c r="G576" s="1650" t="str">
        <f t="shared" si="37"/>
        <v>0</v>
      </c>
      <c r="H576" s="1468"/>
      <c r="I576" s="1462"/>
      <c r="J576" s="1531"/>
      <c r="K576" s="1462"/>
      <c r="L576" s="1462"/>
      <c r="M576" s="1493"/>
      <c r="N576" s="1462"/>
      <c r="O576" s="1462"/>
      <c r="P576" s="1462"/>
      <c r="Q576" s="1462"/>
      <c r="R576" s="1462"/>
      <c r="S576" s="1462"/>
      <c r="T576" s="1462"/>
      <c r="U576" s="1469">
        <v>23</v>
      </c>
      <c r="V576" s="1486" t="s">
        <v>33</v>
      </c>
      <c r="W576" s="1471" t="s">
        <v>1306</v>
      </c>
      <c r="X576" s="1472" t="s">
        <v>110</v>
      </c>
      <c r="Y576" s="1473" t="s">
        <v>1306</v>
      </c>
      <c r="Z576" s="1504" t="s">
        <v>1486</v>
      </c>
      <c r="AA576" s="1473" t="s">
        <v>1306</v>
      </c>
      <c r="AB576" s="1486" t="s">
        <v>352</v>
      </c>
      <c r="AC576" s="1499" t="s">
        <v>1366</v>
      </c>
      <c r="AD576" s="1500" t="s">
        <v>348</v>
      </c>
      <c r="AE576" s="1501"/>
      <c r="AF576" s="1501"/>
      <c r="AG576" s="1457" t="str">
        <f t="shared" si="38"/>
        <v>23調査結果-避難施設等-5（1）-改善（予定）年月-月</v>
      </c>
      <c r="AI576" s="1459"/>
      <c r="AJ576" s="1459"/>
      <c r="AK576" s="1459"/>
    </row>
    <row r="577" spans="1:37" s="1457" customFormat="1" ht="18.75" customHeight="1" x14ac:dyDescent="0.15">
      <c r="A577" s="1578"/>
      <c r="B577" s="1462"/>
      <c r="C577" s="1462"/>
      <c r="D577" s="1460">
        <f>'1_入力シート【基本情報】'!$BY$436</f>
        <v>0</v>
      </c>
      <c r="E577" s="1650">
        <f t="shared" si="35"/>
        <v>0</v>
      </c>
      <c r="F577" s="1650" t="str">
        <f t="shared" si="36"/>
        <v>0</v>
      </c>
      <c r="G577" s="1650" t="str">
        <f t="shared" si="37"/>
        <v>0</v>
      </c>
      <c r="H577" s="1468"/>
      <c r="I577" s="1462"/>
      <c r="J577" s="1531"/>
      <c r="K577" s="1462"/>
      <c r="L577" s="1462"/>
      <c r="M577" s="1493"/>
      <c r="N577" s="1462"/>
      <c r="O577" s="1462"/>
      <c r="P577" s="1462"/>
      <c r="Q577" s="1462"/>
      <c r="R577" s="1462"/>
      <c r="S577" s="1462"/>
      <c r="T577" s="1462"/>
      <c r="U577" s="1469">
        <v>23</v>
      </c>
      <c r="V577" s="1486" t="s">
        <v>33</v>
      </c>
      <c r="W577" s="1471" t="s">
        <v>1306</v>
      </c>
      <c r="X577" s="1472" t="s">
        <v>110</v>
      </c>
      <c r="Y577" s="1473" t="s">
        <v>1306</v>
      </c>
      <c r="Z577" s="1504" t="s">
        <v>1486</v>
      </c>
      <c r="AA577" s="1473" t="s">
        <v>1306</v>
      </c>
      <c r="AB577" s="1486" t="s">
        <v>352</v>
      </c>
      <c r="AC577" s="1499" t="s">
        <v>1366</v>
      </c>
      <c r="AD577" s="1500" t="s">
        <v>640</v>
      </c>
      <c r="AE577" s="1501"/>
      <c r="AF577" s="1501"/>
      <c r="AG577" s="1457" t="str">
        <f t="shared" si="38"/>
        <v>23調査結果-避難施設等-5（1）-改善（予定）年月-未定</v>
      </c>
      <c r="AI577" s="1459"/>
      <c r="AJ577" s="1459"/>
      <c r="AK577" s="1459"/>
    </row>
    <row r="578" spans="1:37" s="1457" customFormat="1" ht="18.75" customHeight="1" x14ac:dyDescent="0.15">
      <c r="A578" s="1578"/>
      <c r="B578" s="1462"/>
      <c r="C578" s="1462"/>
      <c r="D578" s="1460">
        <f>'1_入力シート【基本情報】'!$AF$437</f>
        <v>0</v>
      </c>
      <c r="E578" s="1650">
        <f t="shared" si="35"/>
        <v>0</v>
      </c>
      <c r="F578" s="1650" t="str">
        <f t="shared" si="36"/>
        <v>0</v>
      </c>
      <c r="G578" s="1650" t="str">
        <f t="shared" si="37"/>
        <v>0</v>
      </c>
      <c r="H578" s="1468"/>
      <c r="I578" s="1462"/>
      <c r="J578" s="1531"/>
      <c r="K578" s="1462"/>
      <c r="L578" s="1462"/>
      <c r="M578" s="1493"/>
      <c r="N578" s="1462"/>
      <c r="O578" s="1462"/>
      <c r="P578" s="1462"/>
      <c r="Q578" s="1462"/>
      <c r="R578" s="1462"/>
      <c r="S578" s="1462"/>
      <c r="T578" s="1462"/>
      <c r="U578" s="1469">
        <v>23</v>
      </c>
      <c r="V578" s="1486" t="s">
        <v>33</v>
      </c>
      <c r="W578" s="1471" t="s">
        <v>1306</v>
      </c>
      <c r="X578" s="1472" t="s">
        <v>110</v>
      </c>
      <c r="Y578" s="1473" t="s">
        <v>1306</v>
      </c>
      <c r="Z578" s="1504" t="s">
        <v>1487</v>
      </c>
      <c r="AA578" s="1473" t="s">
        <v>1306</v>
      </c>
      <c r="AB578" s="1470" t="s">
        <v>33</v>
      </c>
      <c r="AC578" s="1475"/>
      <c r="AD578" s="1476"/>
      <c r="AE578" s="1501"/>
      <c r="AF578" s="1501"/>
      <c r="AG578" s="1457" t="str">
        <f t="shared" si="38"/>
        <v>23調査結果-避難施設等-5（2）-調査結果</v>
      </c>
      <c r="AI578" s="1459"/>
      <c r="AJ578" s="1459"/>
      <c r="AK578" s="1459"/>
    </row>
    <row r="579" spans="1:37" s="1457" customFormat="1" ht="18.75" customHeight="1" x14ac:dyDescent="0.15">
      <c r="A579" s="1578"/>
      <c r="B579" s="1462"/>
      <c r="C579" s="1462"/>
      <c r="D579" s="1460">
        <f>'1_入力シート【基本情報】'!$AR$437</f>
        <v>0</v>
      </c>
      <c r="E579" s="1650">
        <f t="shared" si="35"/>
        <v>0</v>
      </c>
      <c r="F579" s="1650" t="str">
        <f t="shared" si="36"/>
        <v>0</v>
      </c>
      <c r="G579" s="1650" t="str">
        <f t="shared" si="37"/>
        <v>0</v>
      </c>
      <c r="H579" s="1468"/>
      <c r="I579" s="1462"/>
      <c r="J579" s="1531"/>
      <c r="K579" s="1462"/>
      <c r="L579" s="1462"/>
      <c r="M579" s="1493"/>
      <c r="N579" s="1462"/>
      <c r="O579" s="1462"/>
      <c r="P579" s="1462"/>
      <c r="Q579" s="1462"/>
      <c r="R579" s="1462"/>
      <c r="S579" s="1462"/>
      <c r="T579" s="1462"/>
      <c r="U579" s="1469">
        <v>23</v>
      </c>
      <c r="V579" s="1486" t="s">
        <v>33</v>
      </c>
      <c r="W579" s="1471" t="s">
        <v>1306</v>
      </c>
      <c r="X579" s="1472" t="s">
        <v>110</v>
      </c>
      <c r="Y579" s="1473" t="s">
        <v>1306</v>
      </c>
      <c r="Z579" s="1504" t="s">
        <v>1487</v>
      </c>
      <c r="AA579" s="1473" t="s">
        <v>1306</v>
      </c>
      <c r="AB579" s="1470" t="s">
        <v>30</v>
      </c>
      <c r="AC579" s="1499"/>
      <c r="AD579" s="1500"/>
      <c r="AE579" s="1501"/>
      <c r="AF579" s="1501"/>
      <c r="AG579" s="1457" t="str">
        <f t="shared" si="38"/>
        <v>23調査結果-避難施設等-5（2）-調査者番号</v>
      </c>
      <c r="AI579" s="1459"/>
      <c r="AJ579" s="1459"/>
      <c r="AK579" s="1459"/>
    </row>
    <row r="580" spans="1:37" s="1457" customFormat="1" ht="18.75" customHeight="1" x14ac:dyDescent="0.15">
      <c r="A580" s="1578"/>
      <c r="B580" s="1462"/>
      <c r="C580" s="1462"/>
      <c r="D580" s="1460">
        <f>'1_入力シート【基本情報】'!$AT$437</f>
        <v>0</v>
      </c>
      <c r="E580" s="1650">
        <f t="shared" si="35"/>
        <v>0</v>
      </c>
      <c r="F580" s="1650" t="str">
        <f t="shared" si="36"/>
        <v>0</v>
      </c>
      <c r="G580" s="1650" t="str">
        <f t="shared" si="37"/>
        <v>0</v>
      </c>
      <c r="H580" s="1468"/>
      <c r="I580" s="1462"/>
      <c r="J580" s="1531"/>
      <c r="K580" s="1462"/>
      <c r="L580" s="1462"/>
      <c r="M580" s="1493"/>
      <c r="N580" s="1462"/>
      <c r="O580" s="1462"/>
      <c r="P580" s="1462"/>
      <c r="Q580" s="1462"/>
      <c r="R580" s="1462"/>
      <c r="S580" s="1462"/>
      <c r="T580" s="1462"/>
      <c r="U580" s="1469">
        <v>23</v>
      </c>
      <c r="V580" s="1486" t="s">
        <v>33</v>
      </c>
      <c r="W580" s="1471" t="s">
        <v>1306</v>
      </c>
      <c r="X580" s="1472" t="s">
        <v>110</v>
      </c>
      <c r="Y580" s="1473" t="s">
        <v>1306</v>
      </c>
      <c r="Z580" s="1504" t="s">
        <v>1487</v>
      </c>
      <c r="AA580" s="1473" t="s">
        <v>1306</v>
      </c>
      <c r="AB580" s="1470" t="s">
        <v>1402</v>
      </c>
      <c r="AC580" s="1499"/>
      <c r="AD580" s="1500"/>
      <c r="AE580" s="1501"/>
      <c r="AF580" s="1501"/>
      <c r="AG580" s="1457" t="str">
        <f t="shared" si="38"/>
        <v>23調査結果-避難施設等-5（2）-指摘の具体的内容等</v>
      </c>
      <c r="AI580" s="1459"/>
      <c r="AJ580" s="1459"/>
      <c r="AK580" s="1459"/>
    </row>
    <row r="581" spans="1:37" s="1457" customFormat="1" ht="18.75" customHeight="1" x14ac:dyDescent="0.15">
      <c r="A581" s="1578"/>
      <c r="B581" s="1462"/>
      <c r="C581" s="1462"/>
      <c r="D581" s="1460">
        <f>'1_入力シート【基本情報】'!$BD$437</f>
        <v>0</v>
      </c>
      <c r="E581" s="1650">
        <f t="shared" si="35"/>
        <v>0</v>
      </c>
      <c r="F581" s="1650" t="str">
        <f t="shared" si="36"/>
        <v>0</v>
      </c>
      <c r="G581" s="1650" t="str">
        <f t="shared" si="37"/>
        <v>0</v>
      </c>
      <c r="H581" s="1468"/>
      <c r="I581" s="1462"/>
      <c r="J581" s="1531"/>
      <c r="K581" s="1462"/>
      <c r="L581" s="1462"/>
      <c r="M581" s="1493"/>
      <c r="N581" s="1462"/>
      <c r="O581" s="1462"/>
      <c r="P581" s="1462"/>
      <c r="Q581" s="1462"/>
      <c r="R581" s="1462"/>
      <c r="S581" s="1462"/>
      <c r="T581" s="1462"/>
      <c r="U581" s="1469">
        <v>23</v>
      </c>
      <c r="V581" s="1486" t="s">
        <v>33</v>
      </c>
      <c r="W581" s="1471" t="s">
        <v>1306</v>
      </c>
      <c r="X581" s="1472" t="s">
        <v>110</v>
      </c>
      <c r="Y581" s="1473" t="s">
        <v>1306</v>
      </c>
      <c r="Z581" s="1504" t="s">
        <v>1487</v>
      </c>
      <c r="AA581" s="1473" t="s">
        <v>1306</v>
      </c>
      <c r="AB581" s="1470" t="s">
        <v>1403</v>
      </c>
      <c r="AC581" s="1499"/>
      <c r="AD581" s="1500"/>
      <c r="AE581" s="1477"/>
      <c r="AF581" s="1477"/>
      <c r="AG581" s="1457" t="str">
        <f t="shared" si="38"/>
        <v>23調査結果-避難施設等-5（2）-改善策の具体的内容等</v>
      </c>
      <c r="AI581" s="1459"/>
      <c r="AJ581" s="1459"/>
      <c r="AK581" s="1459"/>
    </row>
    <row r="582" spans="1:37" s="1457" customFormat="1" ht="18.75" customHeight="1" x14ac:dyDescent="0.15">
      <c r="A582" s="1578"/>
      <c r="B582" s="1462"/>
      <c r="C582" s="1462"/>
      <c r="D582" s="1460">
        <f>'1_入力シート【基本情報】'!$BS$437</f>
        <v>0</v>
      </c>
      <c r="E582" s="1650">
        <f t="shared" si="35"/>
        <v>0</v>
      </c>
      <c r="F582" s="1650" t="str">
        <f t="shared" si="36"/>
        <v>0</v>
      </c>
      <c r="G582" s="1650" t="str">
        <f t="shared" si="37"/>
        <v>0</v>
      </c>
      <c r="H582" s="1468"/>
      <c r="I582" s="1462"/>
      <c r="J582" s="1531"/>
      <c r="K582" s="1462"/>
      <c r="L582" s="1462"/>
      <c r="M582" s="1493"/>
      <c r="N582" s="1462"/>
      <c r="O582" s="1462"/>
      <c r="P582" s="1462"/>
      <c r="Q582" s="1462"/>
      <c r="R582" s="1462"/>
      <c r="S582" s="1462"/>
      <c r="T582" s="1462"/>
      <c r="U582" s="1469">
        <v>23</v>
      </c>
      <c r="V582" s="1486" t="s">
        <v>33</v>
      </c>
      <c r="W582" s="1471" t="s">
        <v>1306</v>
      </c>
      <c r="X582" s="1472" t="s">
        <v>110</v>
      </c>
      <c r="Y582" s="1473" t="s">
        <v>1306</v>
      </c>
      <c r="Z582" s="1504" t="s">
        <v>1487</v>
      </c>
      <c r="AA582" s="1473" t="s">
        <v>1306</v>
      </c>
      <c r="AB582" s="1470" t="s">
        <v>352</v>
      </c>
      <c r="AC582" s="1499" t="s">
        <v>1366</v>
      </c>
      <c r="AD582" s="1500" t="s">
        <v>1387</v>
      </c>
      <c r="AE582" s="1501"/>
      <c r="AF582" s="1501"/>
      <c r="AG582" s="1457" t="str">
        <f t="shared" si="38"/>
        <v>23調査結果-避難施設等-5（2）-改善（予定）年月-年（令和）</v>
      </c>
      <c r="AI582" s="1459"/>
      <c r="AJ582" s="1459"/>
      <c r="AK582" s="1459"/>
    </row>
    <row r="583" spans="1:37" s="1457" customFormat="1" ht="18.75" customHeight="1" x14ac:dyDescent="0.15">
      <c r="A583" s="1578"/>
      <c r="B583" s="1462"/>
      <c r="C583" s="1462"/>
      <c r="D583" s="1460">
        <f>'1_入力シート【基本情報】'!$BV$437</f>
        <v>0</v>
      </c>
      <c r="E583" s="1650">
        <f t="shared" si="35"/>
        <v>0</v>
      </c>
      <c r="F583" s="1650" t="str">
        <f t="shared" si="36"/>
        <v>0</v>
      </c>
      <c r="G583" s="1650" t="str">
        <f t="shared" si="37"/>
        <v>0</v>
      </c>
      <c r="H583" s="1468"/>
      <c r="I583" s="1462"/>
      <c r="J583" s="1531"/>
      <c r="K583" s="1462"/>
      <c r="L583" s="1462"/>
      <c r="M583" s="1493"/>
      <c r="N583" s="1462"/>
      <c r="O583" s="1462"/>
      <c r="P583" s="1462"/>
      <c r="Q583" s="1462"/>
      <c r="R583" s="1462"/>
      <c r="S583" s="1462"/>
      <c r="T583" s="1462"/>
      <c r="U583" s="1469">
        <v>23</v>
      </c>
      <c r="V583" s="1486" t="s">
        <v>33</v>
      </c>
      <c r="W583" s="1471" t="s">
        <v>1306</v>
      </c>
      <c r="X583" s="1472" t="s">
        <v>110</v>
      </c>
      <c r="Y583" s="1473" t="s">
        <v>1306</v>
      </c>
      <c r="Z583" s="1504" t="s">
        <v>1487</v>
      </c>
      <c r="AA583" s="1473" t="s">
        <v>1306</v>
      </c>
      <c r="AB583" s="1486" t="s">
        <v>352</v>
      </c>
      <c r="AC583" s="1499" t="s">
        <v>1366</v>
      </c>
      <c r="AD583" s="1500" t="s">
        <v>348</v>
      </c>
      <c r="AE583" s="1501"/>
      <c r="AF583" s="1501"/>
      <c r="AG583" s="1457" t="str">
        <f t="shared" si="38"/>
        <v>23調査結果-避難施設等-5（2）-改善（予定）年月-月</v>
      </c>
      <c r="AI583" s="1459"/>
      <c r="AJ583" s="1459"/>
      <c r="AK583" s="1459"/>
    </row>
    <row r="584" spans="1:37" s="1457" customFormat="1" ht="18.75" customHeight="1" x14ac:dyDescent="0.15">
      <c r="A584" s="1578"/>
      <c r="B584" s="1462"/>
      <c r="C584" s="1462"/>
      <c r="D584" s="1460">
        <f>'1_入力シート【基本情報】'!$BY$437</f>
        <v>0</v>
      </c>
      <c r="E584" s="1650">
        <f t="shared" si="35"/>
        <v>0</v>
      </c>
      <c r="F584" s="1650" t="str">
        <f t="shared" si="36"/>
        <v>0</v>
      </c>
      <c r="G584" s="1650" t="str">
        <f t="shared" si="37"/>
        <v>0</v>
      </c>
      <c r="H584" s="1468"/>
      <c r="I584" s="1462"/>
      <c r="J584" s="1531"/>
      <c r="K584" s="1462"/>
      <c r="L584" s="1462"/>
      <c r="M584" s="1493"/>
      <c r="N584" s="1462"/>
      <c r="O584" s="1462"/>
      <c r="P584" s="1462"/>
      <c r="Q584" s="1462"/>
      <c r="R584" s="1462"/>
      <c r="S584" s="1462"/>
      <c r="T584" s="1462"/>
      <c r="U584" s="1469">
        <v>23</v>
      </c>
      <c r="V584" s="1486" t="s">
        <v>33</v>
      </c>
      <c r="W584" s="1471" t="s">
        <v>1306</v>
      </c>
      <c r="X584" s="1472" t="s">
        <v>110</v>
      </c>
      <c r="Y584" s="1473" t="s">
        <v>1306</v>
      </c>
      <c r="Z584" s="1504" t="s">
        <v>1487</v>
      </c>
      <c r="AA584" s="1473" t="s">
        <v>1306</v>
      </c>
      <c r="AB584" s="1486" t="s">
        <v>352</v>
      </c>
      <c r="AC584" s="1499" t="s">
        <v>1366</v>
      </c>
      <c r="AD584" s="1500" t="s">
        <v>640</v>
      </c>
      <c r="AE584" s="1501"/>
      <c r="AF584" s="1501"/>
      <c r="AG584" s="1457" t="str">
        <f t="shared" si="38"/>
        <v>23調査結果-避難施設等-5（2）-改善（予定）年月-未定</v>
      </c>
      <c r="AI584" s="1459"/>
      <c r="AJ584" s="1459"/>
      <c r="AK584" s="1459"/>
    </row>
    <row r="585" spans="1:37" s="1457" customFormat="1" ht="18.75" customHeight="1" x14ac:dyDescent="0.15">
      <c r="A585" s="1578"/>
      <c r="B585" s="1462"/>
      <c r="C585" s="1462"/>
      <c r="D585" s="1460">
        <f>'1_入力シート【基本情報】'!$AF$438</f>
        <v>0</v>
      </c>
      <c r="E585" s="1650">
        <f t="shared" si="35"/>
        <v>0</v>
      </c>
      <c r="F585" s="1650" t="str">
        <f t="shared" si="36"/>
        <v>0</v>
      </c>
      <c r="G585" s="1650" t="str">
        <f t="shared" si="37"/>
        <v>0</v>
      </c>
      <c r="H585" s="1468"/>
      <c r="I585" s="1462"/>
      <c r="J585" s="1531"/>
      <c r="K585" s="1462"/>
      <c r="L585" s="1462"/>
      <c r="M585" s="1493"/>
      <c r="N585" s="1462"/>
      <c r="O585" s="1462"/>
      <c r="P585" s="1462"/>
      <c r="Q585" s="1462"/>
      <c r="R585" s="1462"/>
      <c r="S585" s="1462"/>
      <c r="T585" s="1462"/>
      <c r="U585" s="1469">
        <v>23</v>
      </c>
      <c r="V585" s="1486" t="s">
        <v>33</v>
      </c>
      <c r="W585" s="1471" t="s">
        <v>1306</v>
      </c>
      <c r="X585" s="1472" t="s">
        <v>110</v>
      </c>
      <c r="Y585" s="1473" t="s">
        <v>1306</v>
      </c>
      <c r="Z585" s="1504" t="s">
        <v>1488</v>
      </c>
      <c r="AA585" s="1473" t="s">
        <v>1306</v>
      </c>
      <c r="AB585" s="1486" t="s">
        <v>33</v>
      </c>
      <c r="AC585" s="1499"/>
      <c r="AD585" s="1500"/>
      <c r="AE585" s="1501"/>
      <c r="AF585" s="1501"/>
      <c r="AG585" s="1457" t="str">
        <f t="shared" si="38"/>
        <v>23調査結果-避難施設等-5（3）-調査結果</v>
      </c>
      <c r="AI585" s="1459"/>
      <c r="AJ585" s="1459"/>
      <c r="AK585" s="1459"/>
    </row>
    <row r="586" spans="1:37" s="1457" customFormat="1" ht="18.75" customHeight="1" x14ac:dyDescent="0.15">
      <c r="A586" s="1578"/>
      <c r="B586" s="1462"/>
      <c r="C586" s="1462"/>
      <c r="D586" s="1460">
        <f>'1_入力シート【基本情報】'!$AR$438</f>
        <v>0</v>
      </c>
      <c r="E586" s="1650">
        <f t="shared" si="35"/>
        <v>0</v>
      </c>
      <c r="F586" s="1650" t="str">
        <f t="shared" si="36"/>
        <v>0</v>
      </c>
      <c r="G586" s="1650" t="str">
        <f t="shared" si="37"/>
        <v>0</v>
      </c>
      <c r="H586" s="1468"/>
      <c r="I586" s="1462"/>
      <c r="J586" s="1531"/>
      <c r="K586" s="1462"/>
      <c r="L586" s="1462"/>
      <c r="M586" s="1493"/>
      <c r="N586" s="1462"/>
      <c r="O586" s="1462"/>
      <c r="P586" s="1462"/>
      <c r="Q586" s="1462"/>
      <c r="R586" s="1462"/>
      <c r="S586" s="1462"/>
      <c r="T586" s="1462"/>
      <c r="U586" s="1469">
        <v>23</v>
      </c>
      <c r="V586" s="1486" t="s">
        <v>33</v>
      </c>
      <c r="W586" s="1471" t="s">
        <v>1306</v>
      </c>
      <c r="X586" s="1472" t="s">
        <v>110</v>
      </c>
      <c r="Y586" s="1473" t="s">
        <v>1306</v>
      </c>
      <c r="Z586" s="1504" t="s">
        <v>1488</v>
      </c>
      <c r="AA586" s="1473" t="s">
        <v>1306</v>
      </c>
      <c r="AB586" s="1470" t="s">
        <v>30</v>
      </c>
      <c r="AC586" s="1475"/>
      <c r="AD586" s="1476"/>
      <c r="AE586" s="1501"/>
      <c r="AF586" s="1501"/>
      <c r="AG586" s="1457" t="str">
        <f t="shared" si="38"/>
        <v>23調査結果-避難施設等-5（3）-調査者番号</v>
      </c>
      <c r="AI586" s="1459"/>
      <c r="AJ586" s="1459"/>
      <c r="AK586" s="1459"/>
    </row>
    <row r="587" spans="1:37" s="1457" customFormat="1" ht="18.75" customHeight="1" x14ac:dyDescent="0.15">
      <c r="A587" s="1578"/>
      <c r="B587" s="1462"/>
      <c r="C587" s="1462"/>
      <c r="D587" s="1460">
        <f>'1_入力シート【基本情報】'!$AT$438</f>
        <v>0</v>
      </c>
      <c r="E587" s="1650">
        <f t="shared" si="35"/>
        <v>0</v>
      </c>
      <c r="F587" s="1650" t="str">
        <f t="shared" si="36"/>
        <v>0</v>
      </c>
      <c r="G587" s="1650" t="str">
        <f t="shared" si="37"/>
        <v>0</v>
      </c>
      <c r="H587" s="1468"/>
      <c r="I587" s="1462"/>
      <c r="J587" s="1531"/>
      <c r="K587" s="1462"/>
      <c r="L587" s="1462"/>
      <c r="M587" s="1493"/>
      <c r="N587" s="1462"/>
      <c r="O587" s="1462"/>
      <c r="P587" s="1462"/>
      <c r="Q587" s="1462"/>
      <c r="R587" s="1462"/>
      <c r="S587" s="1462"/>
      <c r="T587" s="1462"/>
      <c r="U587" s="1469">
        <v>23</v>
      </c>
      <c r="V587" s="1486" t="s">
        <v>33</v>
      </c>
      <c r="W587" s="1471" t="s">
        <v>1306</v>
      </c>
      <c r="X587" s="1472" t="s">
        <v>110</v>
      </c>
      <c r="Y587" s="1473" t="s">
        <v>1306</v>
      </c>
      <c r="Z587" s="1504" t="s">
        <v>1488</v>
      </c>
      <c r="AA587" s="1473" t="s">
        <v>1306</v>
      </c>
      <c r="AB587" s="1470" t="s">
        <v>1402</v>
      </c>
      <c r="AC587" s="1499"/>
      <c r="AD587" s="1500"/>
      <c r="AE587" s="1501"/>
      <c r="AF587" s="1501"/>
      <c r="AG587" s="1457" t="str">
        <f t="shared" si="38"/>
        <v>23調査結果-避難施設等-5（3）-指摘の具体的内容等</v>
      </c>
      <c r="AI587" s="1459"/>
      <c r="AJ587" s="1459"/>
      <c r="AK587" s="1459"/>
    </row>
    <row r="588" spans="1:37" s="1457" customFormat="1" ht="18.75" customHeight="1" x14ac:dyDescent="0.15">
      <c r="A588" s="1578"/>
      <c r="B588" s="1462"/>
      <c r="C588" s="1462"/>
      <c r="D588" s="1460">
        <f>'1_入力シート【基本情報】'!$BD$438</f>
        <v>0</v>
      </c>
      <c r="E588" s="1650">
        <f t="shared" si="35"/>
        <v>0</v>
      </c>
      <c r="F588" s="1650" t="str">
        <f t="shared" si="36"/>
        <v>0</v>
      </c>
      <c r="G588" s="1650" t="str">
        <f t="shared" si="37"/>
        <v>0</v>
      </c>
      <c r="H588" s="1468"/>
      <c r="I588" s="1462"/>
      <c r="J588" s="1531"/>
      <c r="K588" s="1462"/>
      <c r="L588" s="1462"/>
      <c r="M588" s="1493"/>
      <c r="N588" s="1462"/>
      <c r="O588" s="1462"/>
      <c r="P588" s="1462"/>
      <c r="Q588" s="1462"/>
      <c r="R588" s="1462"/>
      <c r="S588" s="1462"/>
      <c r="T588" s="1462"/>
      <c r="U588" s="1469">
        <v>23</v>
      </c>
      <c r="V588" s="1486" t="s">
        <v>33</v>
      </c>
      <c r="W588" s="1471" t="s">
        <v>1306</v>
      </c>
      <c r="X588" s="1472" t="s">
        <v>110</v>
      </c>
      <c r="Y588" s="1473" t="s">
        <v>1306</v>
      </c>
      <c r="Z588" s="1504" t="s">
        <v>1488</v>
      </c>
      <c r="AA588" s="1473" t="s">
        <v>1306</v>
      </c>
      <c r="AB588" s="1470" t="s">
        <v>1403</v>
      </c>
      <c r="AC588" s="1499"/>
      <c r="AD588" s="1500"/>
      <c r="AE588" s="1501"/>
      <c r="AF588" s="1501"/>
      <c r="AG588" s="1457" t="str">
        <f t="shared" si="38"/>
        <v>23調査結果-避難施設等-5（3）-改善策の具体的内容等</v>
      </c>
      <c r="AI588" s="1459"/>
      <c r="AJ588" s="1459"/>
      <c r="AK588" s="1459"/>
    </row>
    <row r="589" spans="1:37" s="1457" customFormat="1" ht="18.75" customHeight="1" x14ac:dyDescent="0.15">
      <c r="A589" s="1578"/>
      <c r="B589" s="1462"/>
      <c r="C589" s="1462"/>
      <c r="D589" s="1460">
        <f>'1_入力シート【基本情報】'!$BS$438</f>
        <v>0</v>
      </c>
      <c r="E589" s="1650">
        <f t="shared" ref="E589:E652" si="39">D589</f>
        <v>0</v>
      </c>
      <c r="F589" s="1650" t="str">
        <f t="shared" ref="F589:F652" si="40">SUBSTITUTE(E589,CHAR(10),"")</f>
        <v>0</v>
      </c>
      <c r="G589" s="1650" t="str">
        <f t="shared" ref="G589:G652" si="41">TRIM(F589)</f>
        <v>0</v>
      </c>
      <c r="H589" s="1468"/>
      <c r="I589" s="1462"/>
      <c r="J589" s="1531"/>
      <c r="K589" s="1462"/>
      <c r="L589" s="1462"/>
      <c r="M589" s="1493"/>
      <c r="N589" s="1462"/>
      <c r="O589" s="1462"/>
      <c r="P589" s="1462"/>
      <c r="Q589" s="1462"/>
      <c r="R589" s="1462"/>
      <c r="S589" s="1462"/>
      <c r="T589" s="1462"/>
      <c r="U589" s="1469">
        <v>23</v>
      </c>
      <c r="V589" s="1486" t="s">
        <v>33</v>
      </c>
      <c r="W589" s="1471" t="s">
        <v>1306</v>
      </c>
      <c r="X589" s="1472" t="s">
        <v>110</v>
      </c>
      <c r="Y589" s="1473" t="s">
        <v>1306</v>
      </c>
      <c r="Z589" s="1504" t="s">
        <v>1488</v>
      </c>
      <c r="AA589" s="1473" t="s">
        <v>1306</v>
      </c>
      <c r="AB589" s="1470" t="s">
        <v>352</v>
      </c>
      <c r="AC589" s="1499" t="s">
        <v>1366</v>
      </c>
      <c r="AD589" s="1500" t="s">
        <v>1387</v>
      </c>
      <c r="AE589" s="1477"/>
      <c r="AF589" s="1477"/>
      <c r="AG589" s="1457" t="str">
        <f t="shared" si="38"/>
        <v>23調査結果-避難施設等-5（3）-改善（予定）年月-年（令和）</v>
      </c>
      <c r="AI589" s="1459"/>
      <c r="AJ589" s="1459"/>
      <c r="AK589" s="1459"/>
    </row>
    <row r="590" spans="1:37" s="1457" customFormat="1" ht="18.75" customHeight="1" x14ac:dyDescent="0.15">
      <c r="A590" s="1578"/>
      <c r="B590" s="1462"/>
      <c r="C590" s="1462"/>
      <c r="D590" s="1460">
        <f>'1_入力シート【基本情報】'!$BV$438</f>
        <v>0</v>
      </c>
      <c r="E590" s="1650">
        <f t="shared" si="39"/>
        <v>0</v>
      </c>
      <c r="F590" s="1650" t="str">
        <f t="shared" si="40"/>
        <v>0</v>
      </c>
      <c r="G590" s="1650" t="str">
        <f t="shared" si="41"/>
        <v>0</v>
      </c>
      <c r="H590" s="1468"/>
      <c r="I590" s="1462"/>
      <c r="J590" s="1531"/>
      <c r="K590" s="1462"/>
      <c r="L590" s="1462"/>
      <c r="M590" s="1493"/>
      <c r="N590" s="1462"/>
      <c r="O590" s="1462"/>
      <c r="P590" s="1462"/>
      <c r="Q590" s="1462"/>
      <c r="R590" s="1462"/>
      <c r="S590" s="1462"/>
      <c r="T590" s="1462"/>
      <c r="U590" s="1469">
        <v>23</v>
      </c>
      <c r="V590" s="1486" t="s">
        <v>33</v>
      </c>
      <c r="W590" s="1471" t="s">
        <v>1306</v>
      </c>
      <c r="X590" s="1472" t="s">
        <v>110</v>
      </c>
      <c r="Y590" s="1473" t="s">
        <v>1306</v>
      </c>
      <c r="Z590" s="1504" t="s">
        <v>1488</v>
      </c>
      <c r="AA590" s="1473" t="s">
        <v>1306</v>
      </c>
      <c r="AB590" s="1470" t="s">
        <v>352</v>
      </c>
      <c r="AC590" s="1499" t="s">
        <v>1366</v>
      </c>
      <c r="AD590" s="1500" t="s">
        <v>348</v>
      </c>
      <c r="AE590" s="1501"/>
      <c r="AF590" s="1501"/>
      <c r="AG590" s="1457" t="str">
        <f t="shared" si="38"/>
        <v>23調査結果-避難施設等-5（3）-改善（予定）年月-月</v>
      </c>
      <c r="AI590" s="1459"/>
      <c r="AJ590" s="1459"/>
      <c r="AK590" s="1459"/>
    </row>
    <row r="591" spans="1:37" s="1457" customFormat="1" ht="18.75" customHeight="1" x14ac:dyDescent="0.15">
      <c r="A591" s="1578"/>
      <c r="B591" s="1462"/>
      <c r="C591" s="1462"/>
      <c r="D591" s="1460">
        <f>'1_入力シート【基本情報】'!$BY$438</f>
        <v>0</v>
      </c>
      <c r="E591" s="1650">
        <f t="shared" si="39"/>
        <v>0</v>
      </c>
      <c r="F591" s="1650" t="str">
        <f t="shared" si="40"/>
        <v>0</v>
      </c>
      <c r="G591" s="1650" t="str">
        <f t="shared" si="41"/>
        <v>0</v>
      </c>
      <c r="H591" s="1468"/>
      <c r="I591" s="1462"/>
      <c r="J591" s="1531"/>
      <c r="K591" s="1462"/>
      <c r="L591" s="1462"/>
      <c r="M591" s="1493"/>
      <c r="N591" s="1462"/>
      <c r="O591" s="1462"/>
      <c r="P591" s="1462"/>
      <c r="Q591" s="1462"/>
      <c r="R591" s="1462"/>
      <c r="S591" s="1462"/>
      <c r="T591" s="1462"/>
      <c r="U591" s="1469">
        <v>23</v>
      </c>
      <c r="V591" s="1486" t="s">
        <v>33</v>
      </c>
      <c r="W591" s="1471" t="s">
        <v>1306</v>
      </c>
      <c r="X591" s="1472" t="s">
        <v>110</v>
      </c>
      <c r="Y591" s="1473" t="s">
        <v>1306</v>
      </c>
      <c r="Z591" s="1504" t="s">
        <v>1488</v>
      </c>
      <c r="AA591" s="1473" t="s">
        <v>1306</v>
      </c>
      <c r="AB591" s="1486" t="s">
        <v>352</v>
      </c>
      <c r="AC591" s="1499" t="s">
        <v>1366</v>
      </c>
      <c r="AD591" s="1500" t="s">
        <v>640</v>
      </c>
      <c r="AE591" s="1501"/>
      <c r="AF591" s="1501"/>
      <c r="AG591" s="1457" t="str">
        <f t="shared" si="38"/>
        <v>23調査結果-避難施設等-5（3）-改善（予定）年月-未定</v>
      </c>
      <c r="AI591" s="1459"/>
      <c r="AJ591" s="1459"/>
      <c r="AK591" s="1459"/>
    </row>
    <row r="592" spans="1:37" s="1457" customFormat="1" ht="18.75" customHeight="1" x14ac:dyDescent="0.15">
      <c r="A592" s="1578"/>
      <c r="B592" s="1462"/>
      <c r="C592" s="1462"/>
      <c r="D592" s="1460">
        <f>'1_入力シート【基本情報】'!$AF$439</f>
        <v>0</v>
      </c>
      <c r="E592" s="1650">
        <f t="shared" si="39"/>
        <v>0</v>
      </c>
      <c r="F592" s="1650" t="str">
        <f t="shared" si="40"/>
        <v>0</v>
      </c>
      <c r="G592" s="1650" t="str">
        <f t="shared" si="41"/>
        <v>0</v>
      </c>
      <c r="H592" s="1468"/>
      <c r="I592" s="1462"/>
      <c r="J592" s="1531"/>
      <c r="K592" s="1462"/>
      <c r="L592" s="1462"/>
      <c r="M592" s="1493"/>
      <c r="N592" s="1462"/>
      <c r="O592" s="1462"/>
      <c r="P592" s="1462"/>
      <c r="Q592" s="1462"/>
      <c r="R592" s="1462"/>
      <c r="S592" s="1462"/>
      <c r="T592" s="1462"/>
      <c r="U592" s="1469">
        <v>23</v>
      </c>
      <c r="V592" s="1486" t="s">
        <v>33</v>
      </c>
      <c r="W592" s="1471" t="s">
        <v>1306</v>
      </c>
      <c r="X592" s="1472" t="s">
        <v>110</v>
      </c>
      <c r="Y592" s="1473" t="s">
        <v>1306</v>
      </c>
      <c r="Z592" s="1504" t="s">
        <v>1489</v>
      </c>
      <c r="AA592" s="1473" t="s">
        <v>1306</v>
      </c>
      <c r="AB592" s="1486" t="s">
        <v>33</v>
      </c>
      <c r="AC592" s="1499"/>
      <c r="AD592" s="1500"/>
      <c r="AE592" s="1501"/>
      <c r="AF592" s="1501"/>
      <c r="AG592" s="1457" t="str">
        <f t="shared" si="38"/>
        <v>23調査結果-避難施設等-5（4）-調査結果</v>
      </c>
      <c r="AI592" s="1459"/>
      <c r="AJ592" s="1459"/>
      <c r="AK592" s="1459"/>
    </row>
    <row r="593" spans="1:37" s="1457" customFormat="1" ht="18.75" customHeight="1" x14ac:dyDescent="0.15">
      <c r="A593" s="1578"/>
      <c r="B593" s="1462"/>
      <c r="C593" s="1462"/>
      <c r="D593" s="1460">
        <f>'1_入力シート【基本情報】'!$AR$439</f>
        <v>0</v>
      </c>
      <c r="E593" s="1650">
        <f t="shared" si="39"/>
        <v>0</v>
      </c>
      <c r="F593" s="1650" t="str">
        <f t="shared" si="40"/>
        <v>0</v>
      </c>
      <c r="G593" s="1650" t="str">
        <f t="shared" si="41"/>
        <v>0</v>
      </c>
      <c r="H593" s="1468"/>
      <c r="I593" s="1462"/>
      <c r="J593" s="1531"/>
      <c r="K593" s="1462"/>
      <c r="L593" s="1462"/>
      <c r="M593" s="1493"/>
      <c r="N593" s="1462"/>
      <c r="O593" s="1462"/>
      <c r="P593" s="1462"/>
      <c r="Q593" s="1462"/>
      <c r="R593" s="1462"/>
      <c r="S593" s="1462"/>
      <c r="T593" s="1462"/>
      <c r="U593" s="1469">
        <v>23</v>
      </c>
      <c r="V593" s="1486" t="s">
        <v>33</v>
      </c>
      <c r="W593" s="1471" t="s">
        <v>1306</v>
      </c>
      <c r="X593" s="1472" t="s">
        <v>110</v>
      </c>
      <c r="Y593" s="1473" t="s">
        <v>1306</v>
      </c>
      <c r="Z593" s="1504" t="s">
        <v>1489</v>
      </c>
      <c r="AA593" s="1473" t="s">
        <v>1306</v>
      </c>
      <c r="AB593" s="1486" t="s">
        <v>30</v>
      </c>
      <c r="AC593" s="1499"/>
      <c r="AD593" s="1500"/>
      <c r="AE593" s="1501"/>
      <c r="AF593" s="1501"/>
      <c r="AG593" s="1457" t="str">
        <f t="shared" si="38"/>
        <v>23調査結果-避難施設等-5（4）-調査者番号</v>
      </c>
      <c r="AI593" s="1459"/>
      <c r="AJ593" s="1459"/>
      <c r="AK593" s="1459"/>
    </row>
    <row r="594" spans="1:37" s="1457" customFormat="1" ht="18.75" customHeight="1" x14ac:dyDescent="0.15">
      <c r="A594" s="1578"/>
      <c r="B594" s="1462"/>
      <c r="C594" s="1462"/>
      <c r="D594" s="1460">
        <f>'1_入力シート【基本情報】'!$AT$439</f>
        <v>0</v>
      </c>
      <c r="E594" s="1650">
        <f t="shared" si="39"/>
        <v>0</v>
      </c>
      <c r="F594" s="1650" t="str">
        <f t="shared" si="40"/>
        <v>0</v>
      </c>
      <c r="G594" s="1650" t="str">
        <f t="shared" si="41"/>
        <v>0</v>
      </c>
      <c r="H594" s="1468"/>
      <c r="I594" s="1462"/>
      <c r="J594" s="1531"/>
      <c r="K594" s="1462"/>
      <c r="L594" s="1462"/>
      <c r="M594" s="1493"/>
      <c r="N594" s="1462"/>
      <c r="O594" s="1462"/>
      <c r="P594" s="1462"/>
      <c r="Q594" s="1462"/>
      <c r="R594" s="1462"/>
      <c r="S594" s="1462"/>
      <c r="T594" s="1462"/>
      <c r="U594" s="1469">
        <v>23</v>
      </c>
      <c r="V594" s="1486" t="s">
        <v>33</v>
      </c>
      <c r="W594" s="1471" t="s">
        <v>1306</v>
      </c>
      <c r="X594" s="1472" t="s">
        <v>110</v>
      </c>
      <c r="Y594" s="1473" t="s">
        <v>1306</v>
      </c>
      <c r="Z594" s="1504" t="s">
        <v>1489</v>
      </c>
      <c r="AA594" s="1473" t="s">
        <v>1306</v>
      </c>
      <c r="AB594" s="1470" t="s">
        <v>1402</v>
      </c>
      <c r="AC594" s="1475"/>
      <c r="AD594" s="1476"/>
      <c r="AE594" s="1501"/>
      <c r="AF594" s="1501"/>
      <c r="AG594" s="1457" t="str">
        <f t="shared" si="38"/>
        <v>23調査結果-避難施設等-5（4）-指摘の具体的内容等</v>
      </c>
      <c r="AI594" s="1459"/>
      <c r="AJ594" s="1459"/>
      <c r="AK594" s="1459"/>
    </row>
    <row r="595" spans="1:37" s="1457" customFormat="1" ht="18.75" customHeight="1" x14ac:dyDescent="0.15">
      <c r="A595" s="1578"/>
      <c r="B595" s="1462"/>
      <c r="C595" s="1462"/>
      <c r="D595" s="1460">
        <f>'1_入力シート【基本情報】'!$BD$439</f>
        <v>0</v>
      </c>
      <c r="E595" s="1650">
        <f t="shared" si="39"/>
        <v>0</v>
      </c>
      <c r="F595" s="1650" t="str">
        <f t="shared" si="40"/>
        <v>0</v>
      </c>
      <c r="G595" s="1650" t="str">
        <f t="shared" si="41"/>
        <v>0</v>
      </c>
      <c r="H595" s="1468"/>
      <c r="I595" s="1462"/>
      <c r="J595" s="1531"/>
      <c r="K595" s="1462"/>
      <c r="L595" s="1462"/>
      <c r="M595" s="1493"/>
      <c r="N595" s="1462"/>
      <c r="O595" s="1462"/>
      <c r="P595" s="1462"/>
      <c r="Q595" s="1462"/>
      <c r="R595" s="1462"/>
      <c r="S595" s="1462"/>
      <c r="T595" s="1462"/>
      <c r="U595" s="1469">
        <v>23</v>
      </c>
      <c r="V595" s="1486" t="s">
        <v>33</v>
      </c>
      <c r="W595" s="1471" t="s">
        <v>1306</v>
      </c>
      <c r="X595" s="1472" t="s">
        <v>110</v>
      </c>
      <c r="Y595" s="1473" t="s">
        <v>1306</v>
      </c>
      <c r="Z595" s="1504" t="s">
        <v>1489</v>
      </c>
      <c r="AA595" s="1473" t="s">
        <v>1306</v>
      </c>
      <c r="AB595" s="1470" t="s">
        <v>1403</v>
      </c>
      <c r="AC595" s="1499"/>
      <c r="AD595" s="1500"/>
      <c r="AE595" s="1501"/>
      <c r="AF595" s="1501"/>
      <c r="AG595" s="1457" t="str">
        <f t="shared" si="38"/>
        <v>23調査結果-避難施設等-5（4）-改善策の具体的内容等</v>
      </c>
      <c r="AI595" s="1459"/>
      <c r="AJ595" s="1459"/>
      <c r="AK595" s="1459"/>
    </row>
    <row r="596" spans="1:37" s="1457" customFormat="1" ht="18.75" customHeight="1" x14ac:dyDescent="0.15">
      <c r="A596" s="1578"/>
      <c r="B596" s="1462"/>
      <c r="C596" s="1462"/>
      <c r="D596" s="1460">
        <f>'1_入力シート【基本情報】'!$BS$439</f>
        <v>0</v>
      </c>
      <c r="E596" s="1650">
        <f t="shared" si="39"/>
        <v>0</v>
      </c>
      <c r="F596" s="1650" t="str">
        <f t="shared" si="40"/>
        <v>0</v>
      </c>
      <c r="G596" s="1650" t="str">
        <f t="shared" si="41"/>
        <v>0</v>
      </c>
      <c r="H596" s="1468"/>
      <c r="I596" s="1462"/>
      <c r="J596" s="1531"/>
      <c r="K596" s="1462"/>
      <c r="L596" s="1462"/>
      <c r="M596" s="1493"/>
      <c r="N596" s="1462"/>
      <c r="O596" s="1462"/>
      <c r="P596" s="1462"/>
      <c r="Q596" s="1462"/>
      <c r="R596" s="1462"/>
      <c r="S596" s="1462"/>
      <c r="T596" s="1462"/>
      <c r="U596" s="1469">
        <v>23</v>
      </c>
      <c r="V596" s="1486" t="s">
        <v>33</v>
      </c>
      <c r="W596" s="1471" t="s">
        <v>1306</v>
      </c>
      <c r="X596" s="1472" t="s">
        <v>110</v>
      </c>
      <c r="Y596" s="1473" t="s">
        <v>1306</v>
      </c>
      <c r="Z596" s="1504" t="s">
        <v>1489</v>
      </c>
      <c r="AA596" s="1473" t="s">
        <v>1306</v>
      </c>
      <c r="AB596" s="1470" t="s">
        <v>352</v>
      </c>
      <c r="AC596" s="1499" t="s">
        <v>1366</v>
      </c>
      <c r="AD596" s="1500" t="s">
        <v>1387</v>
      </c>
      <c r="AE596" s="1501"/>
      <c r="AF596" s="1501"/>
      <c r="AG596" s="1457" t="str">
        <f t="shared" si="38"/>
        <v>23調査結果-避難施設等-5（4）-改善（予定）年月-年（令和）</v>
      </c>
      <c r="AI596" s="1459"/>
      <c r="AJ596" s="1459"/>
      <c r="AK596" s="1459"/>
    </row>
    <row r="597" spans="1:37" s="1457" customFormat="1" ht="18.75" customHeight="1" x14ac:dyDescent="0.15">
      <c r="A597" s="1578"/>
      <c r="B597" s="1462"/>
      <c r="C597" s="1462"/>
      <c r="D597" s="1460">
        <f>'1_入力シート【基本情報】'!$BV$439</f>
        <v>0</v>
      </c>
      <c r="E597" s="1650">
        <f t="shared" si="39"/>
        <v>0</v>
      </c>
      <c r="F597" s="1650" t="str">
        <f t="shared" si="40"/>
        <v>0</v>
      </c>
      <c r="G597" s="1650" t="str">
        <f t="shared" si="41"/>
        <v>0</v>
      </c>
      <c r="H597" s="1468"/>
      <c r="I597" s="1462"/>
      <c r="J597" s="1531"/>
      <c r="K597" s="1462"/>
      <c r="L597" s="1462"/>
      <c r="M597" s="1493"/>
      <c r="N597" s="1462"/>
      <c r="O597" s="1462"/>
      <c r="P597" s="1462"/>
      <c r="Q597" s="1462"/>
      <c r="R597" s="1462"/>
      <c r="S597" s="1462"/>
      <c r="T597" s="1462"/>
      <c r="U597" s="1469">
        <v>23</v>
      </c>
      <c r="V597" s="1486" t="s">
        <v>33</v>
      </c>
      <c r="W597" s="1471" t="s">
        <v>1306</v>
      </c>
      <c r="X597" s="1472" t="s">
        <v>110</v>
      </c>
      <c r="Y597" s="1473" t="s">
        <v>1306</v>
      </c>
      <c r="Z597" s="1504" t="s">
        <v>1489</v>
      </c>
      <c r="AA597" s="1473" t="s">
        <v>1306</v>
      </c>
      <c r="AB597" s="1470" t="s">
        <v>352</v>
      </c>
      <c r="AC597" s="1499" t="s">
        <v>1366</v>
      </c>
      <c r="AD597" s="1500" t="s">
        <v>348</v>
      </c>
      <c r="AE597" s="1477"/>
      <c r="AF597" s="1477"/>
      <c r="AG597" s="1457" t="str">
        <f t="shared" si="38"/>
        <v>23調査結果-避難施設等-5（4）-改善（予定）年月-月</v>
      </c>
      <c r="AI597" s="1459"/>
      <c r="AJ597" s="1459"/>
      <c r="AK597" s="1459"/>
    </row>
    <row r="598" spans="1:37" s="1457" customFormat="1" ht="18.75" customHeight="1" x14ac:dyDescent="0.15">
      <c r="A598" s="1578"/>
      <c r="B598" s="1462"/>
      <c r="C598" s="1462"/>
      <c r="D598" s="1460">
        <f>'1_入力シート【基本情報】'!$BY$439</f>
        <v>0</v>
      </c>
      <c r="E598" s="1650">
        <f t="shared" si="39"/>
        <v>0</v>
      </c>
      <c r="F598" s="1650" t="str">
        <f t="shared" si="40"/>
        <v>0</v>
      </c>
      <c r="G598" s="1650" t="str">
        <f t="shared" si="41"/>
        <v>0</v>
      </c>
      <c r="H598" s="1468"/>
      <c r="I598" s="1462"/>
      <c r="J598" s="1531"/>
      <c r="K598" s="1462"/>
      <c r="L598" s="1462"/>
      <c r="M598" s="1493"/>
      <c r="N598" s="1462"/>
      <c r="O598" s="1462"/>
      <c r="P598" s="1462"/>
      <c r="Q598" s="1462"/>
      <c r="R598" s="1462"/>
      <c r="S598" s="1462"/>
      <c r="T598" s="1462"/>
      <c r="U598" s="1469">
        <v>23</v>
      </c>
      <c r="V598" s="1486" t="s">
        <v>33</v>
      </c>
      <c r="W598" s="1471" t="s">
        <v>1306</v>
      </c>
      <c r="X598" s="1472" t="s">
        <v>110</v>
      </c>
      <c r="Y598" s="1473" t="s">
        <v>1306</v>
      </c>
      <c r="Z598" s="1504" t="s">
        <v>1489</v>
      </c>
      <c r="AA598" s="1473" t="s">
        <v>1306</v>
      </c>
      <c r="AB598" s="1470" t="s">
        <v>352</v>
      </c>
      <c r="AC598" s="1499" t="s">
        <v>1366</v>
      </c>
      <c r="AD598" s="1500" t="s">
        <v>640</v>
      </c>
      <c r="AE598" s="1501"/>
      <c r="AF598" s="1501"/>
      <c r="AG598" s="1457" t="str">
        <f t="shared" si="38"/>
        <v>23調査結果-避難施設等-5（4）-改善（予定）年月-未定</v>
      </c>
      <c r="AI598" s="1459"/>
      <c r="AJ598" s="1459"/>
      <c r="AK598" s="1459"/>
    </row>
    <row r="599" spans="1:37" s="1457" customFormat="1" ht="18.75" customHeight="1" x14ac:dyDescent="0.15">
      <c r="A599" s="1578"/>
      <c r="B599" s="1462"/>
      <c r="C599" s="1462"/>
      <c r="D599" s="1460">
        <f>'1_入力シート【基本情報】'!$AF$440</f>
        <v>0</v>
      </c>
      <c r="E599" s="1650">
        <f t="shared" si="39"/>
        <v>0</v>
      </c>
      <c r="F599" s="1650" t="str">
        <f t="shared" si="40"/>
        <v>0</v>
      </c>
      <c r="G599" s="1650" t="str">
        <f t="shared" si="41"/>
        <v>0</v>
      </c>
      <c r="H599" s="1468"/>
      <c r="I599" s="1462"/>
      <c r="J599" s="1531"/>
      <c r="K599" s="1462"/>
      <c r="L599" s="1462"/>
      <c r="M599" s="1493"/>
      <c r="N599" s="1462"/>
      <c r="O599" s="1462"/>
      <c r="P599" s="1462"/>
      <c r="Q599" s="1462"/>
      <c r="R599" s="1462"/>
      <c r="S599" s="1462"/>
      <c r="T599" s="1462"/>
      <c r="U599" s="1469">
        <v>23</v>
      </c>
      <c r="V599" s="1486" t="s">
        <v>33</v>
      </c>
      <c r="W599" s="1471" t="s">
        <v>1306</v>
      </c>
      <c r="X599" s="1472" t="s">
        <v>110</v>
      </c>
      <c r="Y599" s="1473" t="s">
        <v>1306</v>
      </c>
      <c r="Z599" s="1504" t="s">
        <v>1490</v>
      </c>
      <c r="AA599" s="1473" t="s">
        <v>1306</v>
      </c>
      <c r="AB599" s="1486" t="s">
        <v>33</v>
      </c>
      <c r="AC599" s="1499"/>
      <c r="AD599" s="1500"/>
      <c r="AE599" s="1501"/>
      <c r="AF599" s="1501"/>
      <c r="AG599" s="1457" t="str">
        <f t="shared" si="38"/>
        <v>23調査結果-避難施設等-5（5）-調査結果</v>
      </c>
      <c r="AI599" s="1459"/>
      <c r="AJ599" s="1459"/>
      <c r="AK599" s="1459"/>
    </row>
    <row r="600" spans="1:37" s="1457" customFormat="1" ht="18.75" customHeight="1" x14ac:dyDescent="0.15">
      <c r="A600" s="1578"/>
      <c r="B600" s="1462"/>
      <c r="C600" s="1462"/>
      <c r="D600" s="1460">
        <f>'1_入力シート【基本情報】'!$AR$440</f>
        <v>0</v>
      </c>
      <c r="E600" s="1650">
        <f t="shared" si="39"/>
        <v>0</v>
      </c>
      <c r="F600" s="1650" t="str">
        <f t="shared" si="40"/>
        <v>0</v>
      </c>
      <c r="G600" s="1650" t="str">
        <f t="shared" si="41"/>
        <v>0</v>
      </c>
      <c r="H600" s="1468"/>
      <c r="I600" s="1462"/>
      <c r="J600" s="1531"/>
      <c r="K600" s="1462"/>
      <c r="L600" s="1462"/>
      <c r="M600" s="1493"/>
      <c r="N600" s="1462"/>
      <c r="O600" s="1462"/>
      <c r="P600" s="1462"/>
      <c r="Q600" s="1462"/>
      <c r="R600" s="1462"/>
      <c r="S600" s="1462"/>
      <c r="T600" s="1462"/>
      <c r="U600" s="1469">
        <v>23</v>
      </c>
      <c r="V600" s="1486" t="s">
        <v>33</v>
      </c>
      <c r="W600" s="1471" t="s">
        <v>1306</v>
      </c>
      <c r="X600" s="1472" t="s">
        <v>110</v>
      </c>
      <c r="Y600" s="1473" t="s">
        <v>1306</v>
      </c>
      <c r="Z600" s="1504" t="s">
        <v>1490</v>
      </c>
      <c r="AA600" s="1473" t="s">
        <v>1306</v>
      </c>
      <c r="AB600" s="1486" t="s">
        <v>30</v>
      </c>
      <c r="AC600" s="1499"/>
      <c r="AD600" s="1500"/>
      <c r="AE600" s="1501"/>
      <c r="AF600" s="1501"/>
      <c r="AG600" s="1457" t="str">
        <f t="shared" si="38"/>
        <v>23調査結果-避難施設等-5（5）-調査者番号</v>
      </c>
      <c r="AI600" s="1459"/>
      <c r="AJ600" s="1459"/>
      <c r="AK600" s="1459"/>
    </row>
    <row r="601" spans="1:37" s="1457" customFormat="1" ht="18.75" customHeight="1" x14ac:dyDescent="0.15">
      <c r="A601" s="1578"/>
      <c r="B601" s="1462"/>
      <c r="C601" s="1462"/>
      <c r="D601" s="1460">
        <f>'1_入力シート【基本情報】'!$AT$440</f>
        <v>0</v>
      </c>
      <c r="E601" s="1650">
        <f t="shared" si="39"/>
        <v>0</v>
      </c>
      <c r="F601" s="1650" t="str">
        <f t="shared" si="40"/>
        <v>0</v>
      </c>
      <c r="G601" s="1650" t="str">
        <f t="shared" si="41"/>
        <v>0</v>
      </c>
      <c r="H601" s="1468"/>
      <c r="I601" s="1462"/>
      <c r="J601" s="1531"/>
      <c r="K601" s="1462"/>
      <c r="L601" s="1462"/>
      <c r="M601" s="1493"/>
      <c r="N601" s="1462"/>
      <c r="O601" s="1462"/>
      <c r="P601" s="1462"/>
      <c r="Q601" s="1462"/>
      <c r="R601" s="1462"/>
      <c r="S601" s="1462"/>
      <c r="T601" s="1462"/>
      <c r="U601" s="1469">
        <v>23</v>
      </c>
      <c r="V601" s="1486" t="s">
        <v>33</v>
      </c>
      <c r="W601" s="1471" t="s">
        <v>1306</v>
      </c>
      <c r="X601" s="1472" t="s">
        <v>110</v>
      </c>
      <c r="Y601" s="1473" t="s">
        <v>1306</v>
      </c>
      <c r="Z601" s="1504" t="s">
        <v>1490</v>
      </c>
      <c r="AA601" s="1473" t="s">
        <v>1306</v>
      </c>
      <c r="AB601" s="1486" t="s">
        <v>1402</v>
      </c>
      <c r="AC601" s="1499"/>
      <c r="AD601" s="1500"/>
      <c r="AE601" s="1501"/>
      <c r="AF601" s="1501"/>
      <c r="AG601" s="1457" t="str">
        <f t="shared" si="38"/>
        <v>23調査結果-避難施設等-5（5）-指摘の具体的内容等</v>
      </c>
      <c r="AI601" s="1459"/>
      <c r="AJ601" s="1459"/>
      <c r="AK601" s="1459"/>
    </row>
    <row r="602" spans="1:37" s="1457" customFormat="1" ht="18.75" customHeight="1" x14ac:dyDescent="0.15">
      <c r="A602" s="1578"/>
      <c r="B602" s="1462"/>
      <c r="C602" s="1462"/>
      <c r="D602" s="1460">
        <f>'1_入力シート【基本情報】'!$BD$440</f>
        <v>0</v>
      </c>
      <c r="E602" s="1650">
        <f t="shared" si="39"/>
        <v>0</v>
      </c>
      <c r="F602" s="1650" t="str">
        <f t="shared" si="40"/>
        <v>0</v>
      </c>
      <c r="G602" s="1650" t="str">
        <f t="shared" si="41"/>
        <v>0</v>
      </c>
      <c r="H602" s="1468"/>
      <c r="I602" s="1462"/>
      <c r="J602" s="1531"/>
      <c r="K602" s="1462"/>
      <c r="L602" s="1462"/>
      <c r="M602" s="1493"/>
      <c r="N602" s="1462"/>
      <c r="O602" s="1462"/>
      <c r="P602" s="1462"/>
      <c r="Q602" s="1462"/>
      <c r="R602" s="1462"/>
      <c r="S602" s="1462"/>
      <c r="T602" s="1462"/>
      <c r="U602" s="1469">
        <v>23</v>
      </c>
      <c r="V602" s="1486" t="s">
        <v>33</v>
      </c>
      <c r="W602" s="1471" t="s">
        <v>1306</v>
      </c>
      <c r="X602" s="1472" t="s">
        <v>110</v>
      </c>
      <c r="Y602" s="1473" t="s">
        <v>1306</v>
      </c>
      <c r="Z602" s="1504" t="s">
        <v>1490</v>
      </c>
      <c r="AA602" s="1473" t="s">
        <v>1306</v>
      </c>
      <c r="AB602" s="1470" t="s">
        <v>1403</v>
      </c>
      <c r="AC602" s="1475"/>
      <c r="AD602" s="1476"/>
      <c r="AE602" s="1501"/>
      <c r="AF602" s="1501"/>
      <c r="AG602" s="1457" t="str">
        <f t="shared" si="38"/>
        <v>23調査結果-避難施設等-5（5）-改善策の具体的内容等</v>
      </c>
      <c r="AI602" s="1459"/>
      <c r="AJ602" s="1459"/>
      <c r="AK602" s="1459"/>
    </row>
    <row r="603" spans="1:37" s="1457" customFormat="1" ht="18.75" customHeight="1" x14ac:dyDescent="0.15">
      <c r="A603" s="1578"/>
      <c r="B603" s="1462"/>
      <c r="C603" s="1462"/>
      <c r="D603" s="1460">
        <f>'1_入力シート【基本情報】'!$BS$440</f>
        <v>0</v>
      </c>
      <c r="E603" s="1650">
        <f t="shared" si="39"/>
        <v>0</v>
      </c>
      <c r="F603" s="1650" t="str">
        <f t="shared" si="40"/>
        <v>0</v>
      </c>
      <c r="G603" s="1650" t="str">
        <f t="shared" si="41"/>
        <v>0</v>
      </c>
      <c r="H603" s="1468"/>
      <c r="I603" s="1462"/>
      <c r="J603" s="1531"/>
      <c r="K603" s="1462"/>
      <c r="L603" s="1462"/>
      <c r="M603" s="1493"/>
      <c r="N603" s="1462"/>
      <c r="O603" s="1462"/>
      <c r="P603" s="1462"/>
      <c r="Q603" s="1462"/>
      <c r="R603" s="1462"/>
      <c r="S603" s="1462"/>
      <c r="T603" s="1462"/>
      <c r="U603" s="1469">
        <v>23</v>
      </c>
      <c r="V603" s="1486" t="s">
        <v>33</v>
      </c>
      <c r="W603" s="1471" t="s">
        <v>1306</v>
      </c>
      <c r="X603" s="1472" t="s">
        <v>110</v>
      </c>
      <c r="Y603" s="1473" t="s">
        <v>1306</v>
      </c>
      <c r="Z603" s="1504" t="s">
        <v>1490</v>
      </c>
      <c r="AA603" s="1473" t="s">
        <v>1306</v>
      </c>
      <c r="AB603" s="1470" t="s">
        <v>352</v>
      </c>
      <c r="AC603" s="1499" t="s">
        <v>1366</v>
      </c>
      <c r="AD603" s="1500" t="s">
        <v>1387</v>
      </c>
      <c r="AE603" s="1501"/>
      <c r="AF603" s="1501"/>
      <c r="AG603" s="1457" t="str">
        <f t="shared" si="38"/>
        <v>23調査結果-避難施設等-5（5）-改善（予定）年月-年（令和）</v>
      </c>
      <c r="AI603" s="1459"/>
      <c r="AJ603" s="1459"/>
      <c r="AK603" s="1459"/>
    </row>
    <row r="604" spans="1:37" s="1457" customFormat="1" ht="18.75" customHeight="1" x14ac:dyDescent="0.15">
      <c r="A604" s="1578"/>
      <c r="B604" s="1462"/>
      <c r="C604" s="1462"/>
      <c r="D604" s="1460">
        <f>'1_入力シート【基本情報】'!$BV$440</f>
        <v>0</v>
      </c>
      <c r="E604" s="1650">
        <f t="shared" si="39"/>
        <v>0</v>
      </c>
      <c r="F604" s="1650" t="str">
        <f t="shared" si="40"/>
        <v>0</v>
      </c>
      <c r="G604" s="1650" t="str">
        <f t="shared" si="41"/>
        <v>0</v>
      </c>
      <c r="H604" s="1468"/>
      <c r="I604" s="1462"/>
      <c r="J604" s="1531"/>
      <c r="K604" s="1462"/>
      <c r="L604" s="1462"/>
      <c r="M604" s="1493"/>
      <c r="N604" s="1462"/>
      <c r="O604" s="1462"/>
      <c r="P604" s="1462"/>
      <c r="Q604" s="1462"/>
      <c r="R604" s="1462"/>
      <c r="S604" s="1462"/>
      <c r="T604" s="1462"/>
      <c r="U604" s="1469">
        <v>23</v>
      </c>
      <c r="V604" s="1486" t="s">
        <v>33</v>
      </c>
      <c r="W604" s="1471" t="s">
        <v>1306</v>
      </c>
      <c r="X604" s="1472" t="s">
        <v>110</v>
      </c>
      <c r="Y604" s="1473" t="s">
        <v>1306</v>
      </c>
      <c r="Z604" s="1504" t="s">
        <v>1490</v>
      </c>
      <c r="AA604" s="1473" t="s">
        <v>1306</v>
      </c>
      <c r="AB604" s="1470" t="s">
        <v>352</v>
      </c>
      <c r="AC604" s="1499" t="s">
        <v>1366</v>
      </c>
      <c r="AD604" s="1500" t="s">
        <v>348</v>
      </c>
      <c r="AE604" s="1501"/>
      <c r="AF604" s="1501"/>
      <c r="AG604" s="1457" t="str">
        <f t="shared" si="38"/>
        <v>23調査結果-避難施設等-5（5）-改善（予定）年月-月</v>
      </c>
      <c r="AI604" s="1459"/>
      <c r="AJ604" s="1459"/>
      <c r="AK604" s="1459"/>
    </row>
    <row r="605" spans="1:37" s="1457" customFormat="1" ht="18.75" customHeight="1" x14ac:dyDescent="0.15">
      <c r="A605" s="1578"/>
      <c r="B605" s="1462"/>
      <c r="C605" s="1462"/>
      <c r="D605" s="1460">
        <f>'1_入力シート【基本情報】'!$BY$440</f>
        <v>0</v>
      </c>
      <c r="E605" s="1650">
        <f t="shared" si="39"/>
        <v>0</v>
      </c>
      <c r="F605" s="1650" t="str">
        <f t="shared" si="40"/>
        <v>0</v>
      </c>
      <c r="G605" s="1650" t="str">
        <f t="shared" si="41"/>
        <v>0</v>
      </c>
      <c r="H605" s="1468"/>
      <c r="I605" s="1462"/>
      <c r="J605" s="1531"/>
      <c r="K605" s="1462"/>
      <c r="L605" s="1462"/>
      <c r="M605" s="1493"/>
      <c r="N605" s="1462"/>
      <c r="O605" s="1462"/>
      <c r="P605" s="1462"/>
      <c r="Q605" s="1462"/>
      <c r="R605" s="1462"/>
      <c r="S605" s="1462"/>
      <c r="T605" s="1462"/>
      <c r="U605" s="1469">
        <v>23</v>
      </c>
      <c r="V605" s="1486" t="s">
        <v>33</v>
      </c>
      <c r="W605" s="1471" t="s">
        <v>1306</v>
      </c>
      <c r="X605" s="1472" t="s">
        <v>110</v>
      </c>
      <c r="Y605" s="1473" t="s">
        <v>1306</v>
      </c>
      <c r="Z605" s="1504" t="s">
        <v>1490</v>
      </c>
      <c r="AA605" s="1473" t="s">
        <v>1306</v>
      </c>
      <c r="AB605" s="1470" t="s">
        <v>352</v>
      </c>
      <c r="AC605" s="1499" t="s">
        <v>1366</v>
      </c>
      <c r="AD605" s="1500" t="s">
        <v>640</v>
      </c>
      <c r="AE605" s="1477"/>
      <c r="AF605" s="1477"/>
      <c r="AG605" s="1457" t="str">
        <f t="shared" si="38"/>
        <v>23調査結果-避難施設等-5（5）-改善（予定）年月-未定</v>
      </c>
      <c r="AI605" s="1459"/>
      <c r="AJ605" s="1459"/>
      <c r="AK605" s="1459"/>
    </row>
    <row r="606" spans="1:37" s="1457" customFormat="1" ht="18.75" customHeight="1" x14ac:dyDescent="0.15">
      <c r="A606" s="1578"/>
      <c r="B606" s="1462"/>
      <c r="C606" s="1462"/>
      <c r="D606" s="1460">
        <f>'1_入力シート【基本情報】'!$AF$441</f>
        <v>0</v>
      </c>
      <c r="E606" s="1650">
        <f t="shared" si="39"/>
        <v>0</v>
      </c>
      <c r="F606" s="1650" t="str">
        <f t="shared" si="40"/>
        <v>0</v>
      </c>
      <c r="G606" s="1650" t="str">
        <f t="shared" si="41"/>
        <v>0</v>
      </c>
      <c r="H606" s="1468"/>
      <c r="I606" s="1462"/>
      <c r="J606" s="1531"/>
      <c r="K606" s="1462"/>
      <c r="L606" s="1462"/>
      <c r="M606" s="1493"/>
      <c r="N606" s="1462"/>
      <c r="O606" s="1462"/>
      <c r="P606" s="1462"/>
      <c r="Q606" s="1462"/>
      <c r="R606" s="1462"/>
      <c r="S606" s="1462"/>
      <c r="T606" s="1462"/>
      <c r="U606" s="1469">
        <v>23</v>
      </c>
      <c r="V606" s="1486" t="s">
        <v>33</v>
      </c>
      <c r="W606" s="1471" t="s">
        <v>1306</v>
      </c>
      <c r="X606" s="1472" t="s">
        <v>110</v>
      </c>
      <c r="Y606" s="1473" t="s">
        <v>1306</v>
      </c>
      <c r="Z606" s="1504" t="s">
        <v>1491</v>
      </c>
      <c r="AA606" s="1473" t="s">
        <v>1306</v>
      </c>
      <c r="AB606" s="1470" t="s">
        <v>33</v>
      </c>
      <c r="AC606" s="1499"/>
      <c r="AD606" s="1500"/>
      <c r="AE606" s="1501"/>
      <c r="AF606" s="1501"/>
      <c r="AG606" s="1457" t="str">
        <f t="shared" si="38"/>
        <v>23調査結果-避難施設等-5（6）-調査結果</v>
      </c>
      <c r="AI606" s="1459"/>
      <c r="AJ606" s="1459"/>
      <c r="AK606" s="1459"/>
    </row>
    <row r="607" spans="1:37" s="1457" customFormat="1" ht="18.75" customHeight="1" x14ac:dyDescent="0.15">
      <c r="A607" s="1578"/>
      <c r="B607" s="1462"/>
      <c r="C607" s="1462"/>
      <c r="D607" s="1460">
        <f>'1_入力シート【基本情報】'!$AR$441</f>
        <v>0</v>
      </c>
      <c r="E607" s="1650">
        <f t="shared" si="39"/>
        <v>0</v>
      </c>
      <c r="F607" s="1650" t="str">
        <f t="shared" si="40"/>
        <v>0</v>
      </c>
      <c r="G607" s="1650" t="str">
        <f t="shared" si="41"/>
        <v>0</v>
      </c>
      <c r="H607" s="1468"/>
      <c r="I607" s="1462"/>
      <c r="J607" s="1531"/>
      <c r="K607" s="1462"/>
      <c r="L607" s="1462"/>
      <c r="M607" s="1493"/>
      <c r="N607" s="1462"/>
      <c r="O607" s="1462"/>
      <c r="P607" s="1462"/>
      <c r="Q607" s="1462"/>
      <c r="R607" s="1462"/>
      <c r="S607" s="1462"/>
      <c r="T607" s="1462"/>
      <c r="U607" s="1469">
        <v>23</v>
      </c>
      <c r="V607" s="1486" t="s">
        <v>33</v>
      </c>
      <c r="W607" s="1471" t="s">
        <v>1306</v>
      </c>
      <c r="X607" s="1472" t="s">
        <v>110</v>
      </c>
      <c r="Y607" s="1473" t="s">
        <v>1306</v>
      </c>
      <c r="Z607" s="1504" t="s">
        <v>1491</v>
      </c>
      <c r="AA607" s="1473" t="s">
        <v>1306</v>
      </c>
      <c r="AB607" s="1486" t="s">
        <v>30</v>
      </c>
      <c r="AC607" s="1499"/>
      <c r="AD607" s="1500"/>
      <c r="AE607" s="1501"/>
      <c r="AF607" s="1501"/>
      <c r="AG607" s="1457" t="str">
        <f t="shared" si="38"/>
        <v>23調査結果-避難施設等-5（6）-調査者番号</v>
      </c>
      <c r="AI607" s="1459"/>
      <c r="AJ607" s="1459"/>
      <c r="AK607" s="1459"/>
    </row>
    <row r="608" spans="1:37" s="1457" customFormat="1" ht="18.75" customHeight="1" x14ac:dyDescent="0.15">
      <c r="A608" s="1578"/>
      <c r="B608" s="1462"/>
      <c r="C608" s="1462"/>
      <c r="D608" s="1460">
        <f>'1_入力シート【基本情報】'!$AT$441</f>
        <v>0</v>
      </c>
      <c r="E608" s="1650">
        <f t="shared" si="39"/>
        <v>0</v>
      </c>
      <c r="F608" s="1650" t="str">
        <f t="shared" si="40"/>
        <v>0</v>
      </c>
      <c r="G608" s="1650" t="str">
        <f t="shared" si="41"/>
        <v>0</v>
      </c>
      <c r="H608" s="1468"/>
      <c r="I608" s="1462"/>
      <c r="J608" s="1531"/>
      <c r="K608" s="1462"/>
      <c r="L608" s="1462"/>
      <c r="M608" s="1493"/>
      <c r="N608" s="1462"/>
      <c r="O608" s="1462"/>
      <c r="P608" s="1462"/>
      <c r="Q608" s="1462"/>
      <c r="R608" s="1462"/>
      <c r="S608" s="1462"/>
      <c r="T608" s="1462"/>
      <c r="U608" s="1469">
        <v>23</v>
      </c>
      <c r="V608" s="1486" t="s">
        <v>33</v>
      </c>
      <c r="W608" s="1471" t="s">
        <v>1306</v>
      </c>
      <c r="X608" s="1472" t="s">
        <v>110</v>
      </c>
      <c r="Y608" s="1473" t="s">
        <v>1306</v>
      </c>
      <c r="Z608" s="1504" t="s">
        <v>1491</v>
      </c>
      <c r="AA608" s="1473" t="s">
        <v>1306</v>
      </c>
      <c r="AB608" s="1486" t="s">
        <v>1402</v>
      </c>
      <c r="AC608" s="1499"/>
      <c r="AD608" s="1500"/>
      <c r="AE608" s="1501"/>
      <c r="AF608" s="1501"/>
      <c r="AG608" s="1457" t="str">
        <f t="shared" si="38"/>
        <v>23調査結果-避難施設等-5（6）-指摘の具体的内容等</v>
      </c>
      <c r="AI608" s="1459"/>
      <c r="AJ608" s="1459"/>
      <c r="AK608" s="1459"/>
    </row>
    <row r="609" spans="1:37" s="1457" customFormat="1" ht="18.75" customHeight="1" x14ac:dyDescent="0.15">
      <c r="A609" s="1578"/>
      <c r="B609" s="1462"/>
      <c r="C609" s="1462"/>
      <c r="D609" s="1460">
        <f>'1_入力シート【基本情報】'!$BD$441</f>
        <v>0</v>
      </c>
      <c r="E609" s="1650">
        <f t="shared" si="39"/>
        <v>0</v>
      </c>
      <c r="F609" s="1650" t="str">
        <f t="shared" si="40"/>
        <v>0</v>
      </c>
      <c r="G609" s="1650" t="str">
        <f t="shared" si="41"/>
        <v>0</v>
      </c>
      <c r="H609" s="1468"/>
      <c r="I609" s="1462"/>
      <c r="J609" s="1531"/>
      <c r="K609" s="1462"/>
      <c r="L609" s="1462"/>
      <c r="M609" s="1493"/>
      <c r="N609" s="1462"/>
      <c r="O609" s="1462"/>
      <c r="P609" s="1462"/>
      <c r="Q609" s="1462"/>
      <c r="R609" s="1462"/>
      <c r="S609" s="1462"/>
      <c r="T609" s="1462"/>
      <c r="U609" s="1469">
        <v>23</v>
      </c>
      <c r="V609" s="1486" t="s">
        <v>33</v>
      </c>
      <c r="W609" s="1471" t="s">
        <v>1306</v>
      </c>
      <c r="X609" s="1472" t="s">
        <v>110</v>
      </c>
      <c r="Y609" s="1473" t="s">
        <v>1306</v>
      </c>
      <c r="Z609" s="1504" t="s">
        <v>1491</v>
      </c>
      <c r="AA609" s="1473" t="s">
        <v>1306</v>
      </c>
      <c r="AB609" s="1486" t="s">
        <v>1403</v>
      </c>
      <c r="AC609" s="1499"/>
      <c r="AD609" s="1500"/>
      <c r="AE609" s="1501"/>
      <c r="AF609" s="1501"/>
      <c r="AG609" s="1457" t="str">
        <f t="shared" si="38"/>
        <v>23調査結果-避難施設等-5（6）-改善策の具体的内容等</v>
      </c>
      <c r="AI609" s="1459"/>
      <c r="AJ609" s="1459"/>
      <c r="AK609" s="1459"/>
    </row>
    <row r="610" spans="1:37" s="1457" customFormat="1" ht="18.75" customHeight="1" x14ac:dyDescent="0.15">
      <c r="A610" s="1578"/>
      <c r="B610" s="1462"/>
      <c r="C610" s="1462"/>
      <c r="D610" s="1460">
        <f>'1_入力シート【基本情報】'!$BS$441</f>
        <v>0</v>
      </c>
      <c r="E610" s="1650">
        <f t="shared" si="39"/>
        <v>0</v>
      </c>
      <c r="F610" s="1650" t="str">
        <f t="shared" si="40"/>
        <v>0</v>
      </c>
      <c r="G610" s="1650" t="str">
        <f t="shared" si="41"/>
        <v>0</v>
      </c>
      <c r="H610" s="1468"/>
      <c r="I610" s="1462"/>
      <c r="J610" s="1531"/>
      <c r="K610" s="1462"/>
      <c r="L610" s="1462"/>
      <c r="M610" s="1493"/>
      <c r="N610" s="1462"/>
      <c r="O610" s="1462"/>
      <c r="P610" s="1462"/>
      <c r="Q610" s="1462"/>
      <c r="R610" s="1462"/>
      <c r="S610" s="1462"/>
      <c r="T610" s="1462"/>
      <c r="U610" s="1469">
        <v>23</v>
      </c>
      <c r="V610" s="1486" t="s">
        <v>33</v>
      </c>
      <c r="W610" s="1471" t="s">
        <v>1306</v>
      </c>
      <c r="X610" s="1472" t="s">
        <v>110</v>
      </c>
      <c r="Y610" s="1473" t="s">
        <v>1306</v>
      </c>
      <c r="Z610" s="1504" t="s">
        <v>1491</v>
      </c>
      <c r="AA610" s="1473" t="s">
        <v>1306</v>
      </c>
      <c r="AB610" s="1470" t="s">
        <v>352</v>
      </c>
      <c r="AC610" s="1475" t="s">
        <v>1366</v>
      </c>
      <c r="AD610" s="1476" t="s">
        <v>1387</v>
      </c>
      <c r="AE610" s="1501"/>
      <c r="AF610" s="1501"/>
      <c r="AG610" s="1457" t="str">
        <f t="shared" si="38"/>
        <v>23調査結果-避難施設等-5（6）-改善（予定）年月-年（令和）</v>
      </c>
      <c r="AI610" s="1459"/>
      <c r="AJ610" s="1459"/>
      <c r="AK610" s="1459"/>
    </row>
    <row r="611" spans="1:37" s="1457" customFormat="1" ht="18.75" customHeight="1" x14ac:dyDescent="0.15">
      <c r="A611" s="1578"/>
      <c r="B611" s="1462"/>
      <c r="C611" s="1462"/>
      <c r="D611" s="1460">
        <f>'1_入力シート【基本情報】'!$BV$441</f>
        <v>0</v>
      </c>
      <c r="E611" s="1650">
        <f t="shared" si="39"/>
        <v>0</v>
      </c>
      <c r="F611" s="1650" t="str">
        <f t="shared" si="40"/>
        <v>0</v>
      </c>
      <c r="G611" s="1650" t="str">
        <f t="shared" si="41"/>
        <v>0</v>
      </c>
      <c r="H611" s="1468"/>
      <c r="I611" s="1462"/>
      <c r="J611" s="1531"/>
      <c r="K611" s="1462"/>
      <c r="L611" s="1462"/>
      <c r="M611" s="1493"/>
      <c r="N611" s="1462"/>
      <c r="O611" s="1462"/>
      <c r="P611" s="1462"/>
      <c r="Q611" s="1462"/>
      <c r="R611" s="1462"/>
      <c r="S611" s="1462"/>
      <c r="T611" s="1462"/>
      <c r="U611" s="1469">
        <v>23</v>
      </c>
      <c r="V611" s="1486" t="s">
        <v>33</v>
      </c>
      <c r="W611" s="1471" t="s">
        <v>1306</v>
      </c>
      <c r="X611" s="1472" t="s">
        <v>110</v>
      </c>
      <c r="Y611" s="1473" t="s">
        <v>1306</v>
      </c>
      <c r="Z611" s="1504" t="s">
        <v>1491</v>
      </c>
      <c r="AA611" s="1473" t="s">
        <v>1306</v>
      </c>
      <c r="AB611" s="1470" t="s">
        <v>352</v>
      </c>
      <c r="AC611" s="1499" t="s">
        <v>1366</v>
      </c>
      <c r="AD611" s="1500" t="s">
        <v>348</v>
      </c>
      <c r="AE611" s="1501"/>
      <c r="AF611" s="1501"/>
      <c r="AG611" s="1457" t="str">
        <f t="shared" si="38"/>
        <v>23調査結果-避難施設等-5（6）-改善（予定）年月-月</v>
      </c>
      <c r="AI611" s="1459"/>
      <c r="AJ611" s="1459"/>
      <c r="AK611" s="1459"/>
    </row>
    <row r="612" spans="1:37" s="1457" customFormat="1" ht="18.75" customHeight="1" x14ac:dyDescent="0.15">
      <c r="A612" s="1578"/>
      <c r="B612" s="1462"/>
      <c r="C612" s="1462"/>
      <c r="D612" s="1460">
        <f>'1_入力シート【基本情報】'!$BY$441</f>
        <v>0</v>
      </c>
      <c r="E612" s="1650">
        <f t="shared" si="39"/>
        <v>0</v>
      </c>
      <c r="F612" s="1650" t="str">
        <f t="shared" si="40"/>
        <v>0</v>
      </c>
      <c r="G612" s="1650" t="str">
        <f t="shared" si="41"/>
        <v>0</v>
      </c>
      <c r="H612" s="1468"/>
      <c r="I612" s="1462"/>
      <c r="J612" s="1531"/>
      <c r="K612" s="1462"/>
      <c r="L612" s="1462"/>
      <c r="M612" s="1493"/>
      <c r="N612" s="1462"/>
      <c r="O612" s="1462"/>
      <c r="P612" s="1462"/>
      <c r="Q612" s="1462"/>
      <c r="R612" s="1462"/>
      <c r="S612" s="1462"/>
      <c r="T612" s="1462"/>
      <c r="U612" s="1469">
        <v>23</v>
      </c>
      <c r="V612" s="1486" t="s">
        <v>33</v>
      </c>
      <c r="W612" s="1471" t="s">
        <v>1306</v>
      </c>
      <c r="X612" s="1472" t="s">
        <v>110</v>
      </c>
      <c r="Y612" s="1473" t="s">
        <v>1306</v>
      </c>
      <c r="Z612" s="1504" t="s">
        <v>1491</v>
      </c>
      <c r="AA612" s="1473" t="s">
        <v>1306</v>
      </c>
      <c r="AB612" s="1470" t="s">
        <v>352</v>
      </c>
      <c r="AC612" s="1499" t="s">
        <v>1366</v>
      </c>
      <c r="AD612" s="1500" t="s">
        <v>640</v>
      </c>
      <c r="AE612" s="1501"/>
      <c r="AF612" s="1501"/>
      <c r="AG612" s="1457" t="str">
        <f t="shared" si="38"/>
        <v>23調査結果-避難施設等-5（6）-改善（予定）年月-未定</v>
      </c>
      <c r="AI612" s="1459"/>
      <c r="AJ612" s="1459"/>
      <c r="AK612" s="1459"/>
    </row>
    <row r="613" spans="1:37" s="1457" customFormat="1" ht="18.75" customHeight="1" x14ac:dyDescent="0.15">
      <c r="A613" s="1578"/>
      <c r="B613" s="1462"/>
      <c r="C613" s="1462"/>
      <c r="D613" s="1460">
        <f>'1_入力シート【基本情報】'!$AF$442</f>
        <v>0</v>
      </c>
      <c r="E613" s="1650">
        <f t="shared" si="39"/>
        <v>0</v>
      </c>
      <c r="F613" s="1650" t="str">
        <f t="shared" si="40"/>
        <v>0</v>
      </c>
      <c r="G613" s="1650" t="str">
        <f t="shared" si="41"/>
        <v>0</v>
      </c>
      <c r="H613" s="1468"/>
      <c r="I613" s="1462"/>
      <c r="J613" s="1531"/>
      <c r="K613" s="1462"/>
      <c r="L613" s="1462"/>
      <c r="M613" s="1493"/>
      <c r="N613" s="1462"/>
      <c r="O613" s="1462"/>
      <c r="P613" s="1462"/>
      <c r="Q613" s="1462"/>
      <c r="R613" s="1462"/>
      <c r="S613" s="1462"/>
      <c r="T613" s="1462"/>
      <c r="U613" s="1469">
        <v>23</v>
      </c>
      <c r="V613" s="1486" t="s">
        <v>33</v>
      </c>
      <c r="W613" s="1471" t="s">
        <v>1306</v>
      </c>
      <c r="X613" s="1472" t="s">
        <v>110</v>
      </c>
      <c r="Y613" s="1473" t="s">
        <v>1306</v>
      </c>
      <c r="Z613" s="1504" t="s">
        <v>1492</v>
      </c>
      <c r="AA613" s="1473" t="s">
        <v>1306</v>
      </c>
      <c r="AB613" s="1470" t="s">
        <v>33</v>
      </c>
      <c r="AC613" s="1499"/>
      <c r="AD613" s="1500"/>
      <c r="AE613" s="1477"/>
      <c r="AF613" s="1477"/>
      <c r="AG613" s="1457" t="str">
        <f t="shared" si="38"/>
        <v>23調査結果-避難施設等-5（7）-調査結果</v>
      </c>
      <c r="AI613" s="1459"/>
      <c r="AJ613" s="1459"/>
      <c r="AK613" s="1459"/>
    </row>
    <row r="614" spans="1:37" s="1457" customFormat="1" ht="18.75" customHeight="1" x14ac:dyDescent="0.15">
      <c r="A614" s="1578"/>
      <c r="B614" s="1462"/>
      <c r="C614" s="1462"/>
      <c r="D614" s="1460">
        <f>'1_入力シート【基本情報】'!$AR$442</f>
        <v>0</v>
      </c>
      <c r="E614" s="1650">
        <f t="shared" si="39"/>
        <v>0</v>
      </c>
      <c r="F614" s="1650" t="str">
        <f t="shared" si="40"/>
        <v>0</v>
      </c>
      <c r="G614" s="1650" t="str">
        <f t="shared" si="41"/>
        <v>0</v>
      </c>
      <c r="H614" s="1468"/>
      <c r="I614" s="1462"/>
      <c r="J614" s="1531"/>
      <c r="K614" s="1462"/>
      <c r="L614" s="1462"/>
      <c r="M614" s="1493"/>
      <c r="N614" s="1462"/>
      <c r="O614" s="1462"/>
      <c r="P614" s="1462"/>
      <c r="Q614" s="1462"/>
      <c r="R614" s="1462"/>
      <c r="S614" s="1462"/>
      <c r="T614" s="1462"/>
      <c r="U614" s="1469">
        <v>23</v>
      </c>
      <c r="V614" s="1486" t="s">
        <v>33</v>
      </c>
      <c r="W614" s="1471" t="s">
        <v>1306</v>
      </c>
      <c r="X614" s="1472" t="s">
        <v>110</v>
      </c>
      <c r="Y614" s="1473" t="s">
        <v>1306</v>
      </c>
      <c r="Z614" s="1504" t="s">
        <v>1492</v>
      </c>
      <c r="AA614" s="1473" t="s">
        <v>1306</v>
      </c>
      <c r="AB614" s="1470" t="s">
        <v>30</v>
      </c>
      <c r="AC614" s="1499"/>
      <c r="AD614" s="1500"/>
      <c r="AE614" s="1501"/>
      <c r="AF614" s="1501"/>
      <c r="AG614" s="1457" t="str">
        <f t="shared" si="38"/>
        <v>23調査結果-避難施設等-5（7）-調査者番号</v>
      </c>
      <c r="AI614" s="1459"/>
      <c r="AJ614" s="1459"/>
      <c r="AK614" s="1459"/>
    </row>
    <row r="615" spans="1:37" s="1457" customFormat="1" ht="18.75" customHeight="1" x14ac:dyDescent="0.15">
      <c r="A615" s="1578"/>
      <c r="B615" s="1462"/>
      <c r="C615" s="1462"/>
      <c r="D615" s="1460">
        <f>'1_入力シート【基本情報】'!$AT$442</f>
        <v>0</v>
      </c>
      <c r="E615" s="1650">
        <f t="shared" si="39"/>
        <v>0</v>
      </c>
      <c r="F615" s="1650" t="str">
        <f t="shared" si="40"/>
        <v>0</v>
      </c>
      <c r="G615" s="1650" t="str">
        <f t="shared" si="41"/>
        <v>0</v>
      </c>
      <c r="H615" s="1468"/>
      <c r="I615" s="1462"/>
      <c r="J615" s="1531"/>
      <c r="K615" s="1462"/>
      <c r="L615" s="1462"/>
      <c r="M615" s="1493"/>
      <c r="N615" s="1462"/>
      <c r="O615" s="1462"/>
      <c r="P615" s="1462"/>
      <c r="Q615" s="1462"/>
      <c r="R615" s="1462"/>
      <c r="S615" s="1462"/>
      <c r="T615" s="1462"/>
      <c r="U615" s="1469">
        <v>23</v>
      </c>
      <c r="V615" s="1486" t="s">
        <v>33</v>
      </c>
      <c r="W615" s="1471" t="s">
        <v>1306</v>
      </c>
      <c r="X615" s="1472" t="s">
        <v>110</v>
      </c>
      <c r="Y615" s="1473" t="s">
        <v>1306</v>
      </c>
      <c r="Z615" s="1504" t="s">
        <v>1492</v>
      </c>
      <c r="AA615" s="1473" t="s">
        <v>1306</v>
      </c>
      <c r="AB615" s="1486" t="s">
        <v>1402</v>
      </c>
      <c r="AC615" s="1499"/>
      <c r="AD615" s="1500"/>
      <c r="AE615" s="1501"/>
      <c r="AF615" s="1501"/>
      <c r="AG615" s="1457" t="str">
        <f t="shared" si="38"/>
        <v>23調査結果-避難施設等-5（7）-指摘の具体的内容等</v>
      </c>
      <c r="AI615" s="1459"/>
      <c r="AJ615" s="1459"/>
      <c r="AK615" s="1459"/>
    </row>
    <row r="616" spans="1:37" s="1457" customFormat="1" ht="18.75" customHeight="1" x14ac:dyDescent="0.15">
      <c r="A616" s="1578"/>
      <c r="B616" s="1462"/>
      <c r="C616" s="1462"/>
      <c r="D616" s="1460">
        <f>'1_入力シート【基本情報】'!$BD$442</f>
        <v>0</v>
      </c>
      <c r="E616" s="1650">
        <f t="shared" si="39"/>
        <v>0</v>
      </c>
      <c r="F616" s="1650" t="str">
        <f t="shared" si="40"/>
        <v>0</v>
      </c>
      <c r="G616" s="1650" t="str">
        <f t="shared" si="41"/>
        <v>0</v>
      </c>
      <c r="H616" s="1468"/>
      <c r="I616" s="1462"/>
      <c r="J616" s="1531"/>
      <c r="K616" s="1462"/>
      <c r="L616" s="1462"/>
      <c r="M616" s="1493"/>
      <c r="N616" s="1462"/>
      <c r="O616" s="1462"/>
      <c r="P616" s="1462"/>
      <c r="Q616" s="1462"/>
      <c r="R616" s="1462"/>
      <c r="S616" s="1462"/>
      <c r="T616" s="1462"/>
      <c r="U616" s="1469">
        <v>23</v>
      </c>
      <c r="V616" s="1486" t="s">
        <v>33</v>
      </c>
      <c r="W616" s="1471" t="s">
        <v>1306</v>
      </c>
      <c r="X616" s="1472" t="s">
        <v>110</v>
      </c>
      <c r="Y616" s="1473" t="s">
        <v>1306</v>
      </c>
      <c r="Z616" s="1504" t="s">
        <v>1492</v>
      </c>
      <c r="AA616" s="1473" t="s">
        <v>1306</v>
      </c>
      <c r="AB616" s="1486" t="s">
        <v>1403</v>
      </c>
      <c r="AC616" s="1499"/>
      <c r="AD616" s="1500"/>
      <c r="AE616" s="1501"/>
      <c r="AF616" s="1501"/>
      <c r="AG616" s="1457" t="str">
        <f t="shared" si="38"/>
        <v>23調査結果-避難施設等-5（7）-改善策の具体的内容等</v>
      </c>
      <c r="AI616" s="1459"/>
      <c r="AJ616" s="1459"/>
      <c r="AK616" s="1459"/>
    </row>
    <row r="617" spans="1:37" s="1457" customFormat="1" ht="18.75" customHeight="1" x14ac:dyDescent="0.15">
      <c r="A617" s="1578"/>
      <c r="B617" s="1462"/>
      <c r="C617" s="1462"/>
      <c r="D617" s="1460">
        <f>'1_入力シート【基本情報】'!$BS$442</f>
        <v>0</v>
      </c>
      <c r="E617" s="1650">
        <f t="shared" si="39"/>
        <v>0</v>
      </c>
      <c r="F617" s="1650" t="str">
        <f t="shared" si="40"/>
        <v>0</v>
      </c>
      <c r="G617" s="1650" t="str">
        <f t="shared" si="41"/>
        <v>0</v>
      </c>
      <c r="H617" s="1468"/>
      <c r="I617" s="1462"/>
      <c r="J617" s="1531"/>
      <c r="K617" s="1462"/>
      <c r="L617" s="1462"/>
      <c r="M617" s="1493"/>
      <c r="N617" s="1462"/>
      <c r="O617" s="1462"/>
      <c r="P617" s="1462"/>
      <c r="Q617" s="1462"/>
      <c r="R617" s="1462"/>
      <c r="S617" s="1462"/>
      <c r="T617" s="1462"/>
      <c r="U617" s="1469">
        <v>23</v>
      </c>
      <c r="V617" s="1486" t="s">
        <v>33</v>
      </c>
      <c r="W617" s="1471" t="s">
        <v>1306</v>
      </c>
      <c r="X617" s="1472" t="s">
        <v>110</v>
      </c>
      <c r="Y617" s="1473" t="s">
        <v>1306</v>
      </c>
      <c r="Z617" s="1504" t="s">
        <v>1492</v>
      </c>
      <c r="AA617" s="1473" t="s">
        <v>1306</v>
      </c>
      <c r="AB617" s="1486" t="s">
        <v>352</v>
      </c>
      <c r="AC617" s="1499" t="s">
        <v>1366</v>
      </c>
      <c r="AD617" s="1500" t="s">
        <v>1387</v>
      </c>
      <c r="AE617" s="1501"/>
      <c r="AF617" s="1501"/>
      <c r="AG617" s="1457" t="str">
        <f t="shared" si="38"/>
        <v>23調査結果-避難施設等-5（7）-改善（予定）年月-年（令和）</v>
      </c>
      <c r="AI617" s="1459"/>
      <c r="AJ617" s="1459"/>
      <c r="AK617" s="1459"/>
    </row>
    <row r="618" spans="1:37" s="1457" customFormat="1" ht="18.75" customHeight="1" x14ac:dyDescent="0.15">
      <c r="A618" s="1578"/>
      <c r="B618" s="1462"/>
      <c r="C618" s="1462"/>
      <c r="D618" s="1460">
        <f>'1_入力シート【基本情報】'!$BV$442</f>
        <v>0</v>
      </c>
      <c r="E618" s="1650">
        <f t="shared" si="39"/>
        <v>0</v>
      </c>
      <c r="F618" s="1650" t="str">
        <f t="shared" si="40"/>
        <v>0</v>
      </c>
      <c r="G618" s="1650" t="str">
        <f t="shared" si="41"/>
        <v>0</v>
      </c>
      <c r="H618" s="1468"/>
      <c r="I618" s="1462"/>
      <c r="J618" s="1531"/>
      <c r="K618" s="1462"/>
      <c r="L618" s="1462"/>
      <c r="M618" s="1493"/>
      <c r="N618" s="1462"/>
      <c r="O618" s="1462"/>
      <c r="P618" s="1462"/>
      <c r="Q618" s="1462"/>
      <c r="R618" s="1462"/>
      <c r="S618" s="1462"/>
      <c r="T618" s="1462"/>
      <c r="U618" s="1469">
        <v>23</v>
      </c>
      <c r="V618" s="1486" t="s">
        <v>33</v>
      </c>
      <c r="W618" s="1471" t="s">
        <v>1306</v>
      </c>
      <c r="X618" s="1472" t="s">
        <v>110</v>
      </c>
      <c r="Y618" s="1473" t="s">
        <v>1306</v>
      </c>
      <c r="Z618" s="1504" t="s">
        <v>1492</v>
      </c>
      <c r="AA618" s="1473" t="s">
        <v>1306</v>
      </c>
      <c r="AB618" s="1470" t="s">
        <v>352</v>
      </c>
      <c r="AC618" s="1475" t="s">
        <v>1366</v>
      </c>
      <c r="AD618" s="1476" t="s">
        <v>348</v>
      </c>
      <c r="AE618" s="1501"/>
      <c r="AF618" s="1501"/>
      <c r="AG618" s="1457" t="str">
        <f t="shared" si="38"/>
        <v>23調査結果-避難施設等-5（7）-改善（予定）年月-月</v>
      </c>
      <c r="AI618" s="1459"/>
      <c r="AJ618" s="1459"/>
      <c r="AK618" s="1459"/>
    </row>
    <row r="619" spans="1:37" s="1457" customFormat="1" ht="18.75" customHeight="1" x14ac:dyDescent="0.15">
      <c r="A619" s="1578"/>
      <c r="B619" s="1462"/>
      <c r="C619" s="1462"/>
      <c r="D619" s="1460">
        <f>'1_入力シート【基本情報】'!$BY$442</f>
        <v>0</v>
      </c>
      <c r="E619" s="1650">
        <f t="shared" si="39"/>
        <v>0</v>
      </c>
      <c r="F619" s="1650" t="str">
        <f t="shared" si="40"/>
        <v>0</v>
      </c>
      <c r="G619" s="1650" t="str">
        <f t="shared" si="41"/>
        <v>0</v>
      </c>
      <c r="H619" s="1468"/>
      <c r="I619" s="1462"/>
      <c r="J619" s="1531"/>
      <c r="K619" s="1462"/>
      <c r="L619" s="1462"/>
      <c r="M619" s="1493"/>
      <c r="N619" s="1462"/>
      <c r="O619" s="1462"/>
      <c r="P619" s="1462"/>
      <c r="Q619" s="1462"/>
      <c r="R619" s="1462"/>
      <c r="S619" s="1462"/>
      <c r="T619" s="1462"/>
      <c r="U619" s="1469">
        <v>23</v>
      </c>
      <c r="V619" s="1486" t="s">
        <v>33</v>
      </c>
      <c r="W619" s="1471" t="s">
        <v>1306</v>
      </c>
      <c r="X619" s="1472" t="s">
        <v>110</v>
      </c>
      <c r="Y619" s="1473" t="s">
        <v>1306</v>
      </c>
      <c r="Z619" s="1504" t="s">
        <v>1492</v>
      </c>
      <c r="AA619" s="1473" t="s">
        <v>1306</v>
      </c>
      <c r="AB619" s="1470" t="s">
        <v>352</v>
      </c>
      <c r="AC619" s="1499" t="s">
        <v>1366</v>
      </c>
      <c r="AD619" s="1500" t="s">
        <v>640</v>
      </c>
      <c r="AE619" s="1501"/>
      <c r="AF619" s="1501"/>
      <c r="AG619" s="1457" t="str">
        <f t="shared" si="38"/>
        <v>23調査結果-避難施設等-5（7）-改善（予定）年月-未定</v>
      </c>
      <c r="AI619" s="1459"/>
      <c r="AJ619" s="1459"/>
      <c r="AK619" s="1459"/>
    </row>
    <row r="620" spans="1:37" s="1457" customFormat="1" ht="18.75" customHeight="1" x14ac:dyDescent="0.15">
      <c r="A620" s="1578"/>
      <c r="B620" s="1462"/>
      <c r="C620" s="1462"/>
      <c r="D620" s="1460">
        <f>'1_入力シート【基本情報】'!$AF$443</f>
        <v>0</v>
      </c>
      <c r="E620" s="1650">
        <f t="shared" si="39"/>
        <v>0</v>
      </c>
      <c r="F620" s="1650" t="str">
        <f t="shared" si="40"/>
        <v>0</v>
      </c>
      <c r="G620" s="1650" t="str">
        <f t="shared" si="41"/>
        <v>0</v>
      </c>
      <c r="H620" s="1468"/>
      <c r="I620" s="1462"/>
      <c r="J620" s="1531"/>
      <c r="K620" s="1462"/>
      <c r="L620" s="1462"/>
      <c r="M620" s="1493"/>
      <c r="N620" s="1462"/>
      <c r="O620" s="1462"/>
      <c r="P620" s="1462"/>
      <c r="Q620" s="1462"/>
      <c r="R620" s="1462"/>
      <c r="S620" s="1462"/>
      <c r="T620" s="1462"/>
      <c r="U620" s="1469">
        <v>23</v>
      </c>
      <c r="V620" s="1486" t="s">
        <v>33</v>
      </c>
      <c r="W620" s="1471" t="s">
        <v>1306</v>
      </c>
      <c r="X620" s="1472" t="s">
        <v>110</v>
      </c>
      <c r="Y620" s="1473" t="s">
        <v>1306</v>
      </c>
      <c r="Z620" s="1504" t="s">
        <v>1493</v>
      </c>
      <c r="AA620" s="1473" t="s">
        <v>1306</v>
      </c>
      <c r="AB620" s="1470" t="s">
        <v>33</v>
      </c>
      <c r="AC620" s="1499"/>
      <c r="AD620" s="1500"/>
      <c r="AE620" s="1501"/>
      <c r="AF620" s="1501"/>
      <c r="AG620" s="1457" t="str">
        <f t="shared" si="38"/>
        <v>23調査結果-避難施設等-5（8）-調査結果</v>
      </c>
      <c r="AI620" s="1459"/>
      <c r="AJ620" s="1459"/>
      <c r="AK620" s="1459"/>
    </row>
    <row r="621" spans="1:37" s="1457" customFormat="1" ht="18.75" customHeight="1" x14ac:dyDescent="0.15">
      <c r="A621" s="1578"/>
      <c r="B621" s="1462"/>
      <c r="C621" s="1462"/>
      <c r="D621" s="1460">
        <f>'1_入力シート【基本情報】'!$AR$443</f>
        <v>0</v>
      </c>
      <c r="E621" s="1650">
        <f t="shared" si="39"/>
        <v>0</v>
      </c>
      <c r="F621" s="1650" t="str">
        <f t="shared" si="40"/>
        <v>0</v>
      </c>
      <c r="G621" s="1650" t="str">
        <f t="shared" si="41"/>
        <v>0</v>
      </c>
      <c r="H621" s="1468"/>
      <c r="I621" s="1462"/>
      <c r="J621" s="1531"/>
      <c r="K621" s="1462"/>
      <c r="L621" s="1462"/>
      <c r="M621" s="1493"/>
      <c r="N621" s="1462"/>
      <c r="O621" s="1462"/>
      <c r="P621" s="1462"/>
      <c r="Q621" s="1462"/>
      <c r="R621" s="1462"/>
      <c r="S621" s="1462"/>
      <c r="T621" s="1462"/>
      <c r="U621" s="1469">
        <v>23</v>
      </c>
      <c r="V621" s="1486" t="s">
        <v>33</v>
      </c>
      <c r="W621" s="1471" t="s">
        <v>1306</v>
      </c>
      <c r="X621" s="1472" t="s">
        <v>110</v>
      </c>
      <c r="Y621" s="1473" t="s">
        <v>1306</v>
      </c>
      <c r="Z621" s="1504" t="s">
        <v>1493</v>
      </c>
      <c r="AA621" s="1473" t="s">
        <v>1306</v>
      </c>
      <c r="AB621" s="1470" t="s">
        <v>30</v>
      </c>
      <c r="AC621" s="1499"/>
      <c r="AD621" s="1500"/>
      <c r="AE621" s="1477"/>
      <c r="AF621" s="1477"/>
      <c r="AG621" s="1457" t="str">
        <f t="shared" si="38"/>
        <v>23調査結果-避難施設等-5（8）-調査者番号</v>
      </c>
      <c r="AI621" s="1459"/>
      <c r="AJ621" s="1459"/>
      <c r="AK621" s="1459"/>
    </row>
    <row r="622" spans="1:37" s="1457" customFormat="1" ht="18.75" customHeight="1" x14ac:dyDescent="0.15">
      <c r="A622" s="1578"/>
      <c r="B622" s="1462"/>
      <c r="C622" s="1462"/>
      <c r="D622" s="1460">
        <f>'1_入力シート【基本情報】'!$AT$443</f>
        <v>0</v>
      </c>
      <c r="E622" s="1650">
        <f t="shared" si="39"/>
        <v>0</v>
      </c>
      <c r="F622" s="1650" t="str">
        <f t="shared" si="40"/>
        <v>0</v>
      </c>
      <c r="G622" s="1650" t="str">
        <f t="shared" si="41"/>
        <v>0</v>
      </c>
      <c r="H622" s="1468"/>
      <c r="I622" s="1462"/>
      <c r="J622" s="1531"/>
      <c r="K622" s="1462"/>
      <c r="L622" s="1462"/>
      <c r="M622" s="1493"/>
      <c r="N622" s="1462"/>
      <c r="O622" s="1462"/>
      <c r="P622" s="1462"/>
      <c r="Q622" s="1462"/>
      <c r="R622" s="1462"/>
      <c r="S622" s="1462"/>
      <c r="T622" s="1462"/>
      <c r="U622" s="1469">
        <v>23</v>
      </c>
      <c r="V622" s="1486" t="s">
        <v>33</v>
      </c>
      <c r="W622" s="1471" t="s">
        <v>1306</v>
      </c>
      <c r="X622" s="1472" t="s">
        <v>110</v>
      </c>
      <c r="Y622" s="1473" t="s">
        <v>1306</v>
      </c>
      <c r="Z622" s="1504" t="s">
        <v>1493</v>
      </c>
      <c r="AA622" s="1473" t="s">
        <v>1306</v>
      </c>
      <c r="AB622" s="1470" t="s">
        <v>1402</v>
      </c>
      <c r="AC622" s="1499"/>
      <c r="AD622" s="1500"/>
      <c r="AE622" s="1501"/>
      <c r="AF622" s="1501"/>
      <c r="AG622" s="1457" t="str">
        <f t="shared" si="38"/>
        <v>23調査結果-避難施設等-5（8）-指摘の具体的内容等</v>
      </c>
      <c r="AI622" s="1459"/>
      <c r="AJ622" s="1459"/>
      <c r="AK622" s="1459"/>
    </row>
    <row r="623" spans="1:37" s="1457" customFormat="1" ht="18.75" customHeight="1" x14ac:dyDescent="0.15">
      <c r="A623" s="1578"/>
      <c r="B623" s="1462"/>
      <c r="C623" s="1462"/>
      <c r="D623" s="1460">
        <f>'1_入力シート【基本情報】'!$BD$443</f>
        <v>0</v>
      </c>
      <c r="E623" s="1650">
        <f t="shared" si="39"/>
        <v>0</v>
      </c>
      <c r="F623" s="1650" t="str">
        <f t="shared" si="40"/>
        <v>0</v>
      </c>
      <c r="G623" s="1650" t="str">
        <f t="shared" si="41"/>
        <v>0</v>
      </c>
      <c r="H623" s="1468"/>
      <c r="I623" s="1462"/>
      <c r="J623" s="1531"/>
      <c r="K623" s="1462"/>
      <c r="L623" s="1462"/>
      <c r="M623" s="1493"/>
      <c r="N623" s="1462"/>
      <c r="O623" s="1462"/>
      <c r="P623" s="1462"/>
      <c r="Q623" s="1462"/>
      <c r="R623" s="1462"/>
      <c r="S623" s="1462"/>
      <c r="T623" s="1462"/>
      <c r="U623" s="1469">
        <v>23</v>
      </c>
      <c r="V623" s="1486" t="s">
        <v>33</v>
      </c>
      <c r="W623" s="1471" t="s">
        <v>1306</v>
      </c>
      <c r="X623" s="1472" t="s">
        <v>110</v>
      </c>
      <c r="Y623" s="1473" t="s">
        <v>1306</v>
      </c>
      <c r="Z623" s="1504" t="s">
        <v>1493</v>
      </c>
      <c r="AA623" s="1473" t="s">
        <v>1306</v>
      </c>
      <c r="AB623" s="1486" t="s">
        <v>1403</v>
      </c>
      <c r="AC623" s="1499"/>
      <c r="AD623" s="1500"/>
      <c r="AE623" s="1501"/>
      <c r="AF623" s="1501"/>
      <c r="AG623" s="1457" t="str">
        <f t="shared" si="38"/>
        <v>23調査結果-避難施設等-5（8）-改善策の具体的内容等</v>
      </c>
      <c r="AI623" s="1459"/>
      <c r="AJ623" s="1459"/>
      <c r="AK623" s="1459"/>
    </row>
    <row r="624" spans="1:37" s="1457" customFormat="1" ht="18.75" customHeight="1" x14ac:dyDescent="0.15">
      <c r="A624" s="1578"/>
      <c r="B624" s="1462"/>
      <c r="C624" s="1462"/>
      <c r="D624" s="1460">
        <f>'1_入力シート【基本情報】'!$BS$443</f>
        <v>0</v>
      </c>
      <c r="E624" s="1650">
        <f t="shared" si="39"/>
        <v>0</v>
      </c>
      <c r="F624" s="1650" t="str">
        <f t="shared" si="40"/>
        <v>0</v>
      </c>
      <c r="G624" s="1650" t="str">
        <f t="shared" si="41"/>
        <v>0</v>
      </c>
      <c r="H624" s="1468"/>
      <c r="I624" s="1462"/>
      <c r="J624" s="1531"/>
      <c r="K624" s="1462"/>
      <c r="L624" s="1462"/>
      <c r="M624" s="1493"/>
      <c r="N624" s="1462"/>
      <c r="O624" s="1462"/>
      <c r="P624" s="1462"/>
      <c r="Q624" s="1462"/>
      <c r="R624" s="1462"/>
      <c r="S624" s="1462"/>
      <c r="T624" s="1462"/>
      <c r="U624" s="1469">
        <v>23</v>
      </c>
      <c r="V624" s="1486" t="s">
        <v>33</v>
      </c>
      <c r="W624" s="1471" t="s">
        <v>1306</v>
      </c>
      <c r="X624" s="1472" t="s">
        <v>110</v>
      </c>
      <c r="Y624" s="1473" t="s">
        <v>1306</v>
      </c>
      <c r="Z624" s="1504" t="s">
        <v>1493</v>
      </c>
      <c r="AA624" s="1473" t="s">
        <v>1306</v>
      </c>
      <c r="AB624" s="1486" t="s">
        <v>352</v>
      </c>
      <c r="AC624" s="1499" t="s">
        <v>1366</v>
      </c>
      <c r="AD624" s="1500" t="s">
        <v>1387</v>
      </c>
      <c r="AE624" s="1501"/>
      <c r="AF624" s="1501"/>
      <c r="AG624" s="1457" t="str">
        <f t="shared" si="38"/>
        <v>23調査結果-避難施設等-5（8）-改善（予定）年月-年（令和）</v>
      </c>
      <c r="AI624" s="1459"/>
      <c r="AJ624" s="1459"/>
      <c r="AK624" s="1459"/>
    </row>
    <row r="625" spans="1:37" s="1457" customFormat="1" ht="18.75" customHeight="1" x14ac:dyDescent="0.15">
      <c r="A625" s="1578"/>
      <c r="B625" s="1462"/>
      <c r="C625" s="1462"/>
      <c r="D625" s="1460">
        <f>'1_入力シート【基本情報】'!$BV$443</f>
        <v>0</v>
      </c>
      <c r="E625" s="1650">
        <f t="shared" si="39"/>
        <v>0</v>
      </c>
      <c r="F625" s="1650" t="str">
        <f t="shared" si="40"/>
        <v>0</v>
      </c>
      <c r="G625" s="1650" t="str">
        <f t="shared" si="41"/>
        <v>0</v>
      </c>
      <c r="H625" s="1468"/>
      <c r="I625" s="1462"/>
      <c r="J625" s="1531"/>
      <c r="K625" s="1462"/>
      <c r="L625" s="1462"/>
      <c r="M625" s="1493"/>
      <c r="N625" s="1462"/>
      <c r="O625" s="1462"/>
      <c r="P625" s="1462"/>
      <c r="Q625" s="1462"/>
      <c r="R625" s="1462"/>
      <c r="S625" s="1462"/>
      <c r="T625" s="1462"/>
      <c r="U625" s="1469">
        <v>23</v>
      </c>
      <c r="V625" s="1486" t="s">
        <v>33</v>
      </c>
      <c r="W625" s="1471" t="s">
        <v>1306</v>
      </c>
      <c r="X625" s="1472" t="s">
        <v>110</v>
      </c>
      <c r="Y625" s="1473" t="s">
        <v>1306</v>
      </c>
      <c r="Z625" s="1504" t="s">
        <v>1493</v>
      </c>
      <c r="AA625" s="1473" t="s">
        <v>1306</v>
      </c>
      <c r="AB625" s="1486" t="s">
        <v>352</v>
      </c>
      <c r="AC625" s="1499" t="s">
        <v>1366</v>
      </c>
      <c r="AD625" s="1500" t="s">
        <v>348</v>
      </c>
      <c r="AE625" s="1501"/>
      <c r="AF625" s="1501"/>
      <c r="AG625" s="1457" t="str">
        <f t="shared" si="38"/>
        <v>23調査結果-避難施設等-5（8）-改善（予定）年月-月</v>
      </c>
      <c r="AI625" s="1459"/>
      <c r="AJ625" s="1459"/>
      <c r="AK625" s="1459"/>
    </row>
    <row r="626" spans="1:37" s="1457" customFormat="1" ht="18.75" customHeight="1" x14ac:dyDescent="0.15">
      <c r="A626" s="1578"/>
      <c r="B626" s="1462"/>
      <c r="C626" s="1462"/>
      <c r="D626" s="1460">
        <f>'1_入力シート【基本情報】'!$BY$443</f>
        <v>0</v>
      </c>
      <c r="E626" s="1650">
        <f t="shared" si="39"/>
        <v>0</v>
      </c>
      <c r="F626" s="1650" t="str">
        <f t="shared" si="40"/>
        <v>0</v>
      </c>
      <c r="G626" s="1650" t="str">
        <f t="shared" si="41"/>
        <v>0</v>
      </c>
      <c r="H626" s="1468"/>
      <c r="I626" s="1462"/>
      <c r="J626" s="1531"/>
      <c r="K626" s="1462"/>
      <c r="L626" s="1462"/>
      <c r="M626" s="1493"/>
      <c r="N626" s="1462"/>
      <c r="O626" s="1462"/>
      <c r="P626" s="1462"/>
      <c r="Q626" s="1462"/>
      <c r="R626" s="1462"/>
      <c r="S626" s="1462"/>
      <c r="T626" s="1462"/>
      <c r="U626" s="1469">
        <v>23</v>
      </c>
      <c r="V626" s="1486" t="s">
        <v>33</v>
      </c>
      <c r="W626" s="1471" t="s">
        <v>1306</v>
      </c>
      <c r="X626" s="1472" t="s">
        <v>110</v>
      </c>
      <c r="Y626" s="1473" t="s">
        <v>1306</v>
      </c>
      <c r="Z626" s="1504" t="s">
        <v>1493</v>
      </c>
      <c r="AA626" s="1473" t="s">
        <v>1306</v>
      </c>
      <c r="AB626" s="1470" t="s">
        <v>352</v>
      </c>
      <c r="AC626" s="1475" t="s">
        <v>1366</v>
      </c>
      <c r="AD626" s="1476" t="s">
        <v>640</v>
      </c>
      <c r="AE626" s="1501"/>
      <c r="AF626" s="1501"/>
      <c r="AG626" s="1457" t="str">
        <f t="shared" si="38"/>
        <v>23調査結果-避難施設等-5（8）-改善（予定）年月-未定</v>
      </c>
      <c r="AI626" s="1459"/>
      <c r="AJ626" s="1459"/>
      <c r="AK626" s="1459"/>
    </row>
    <row r="627" spans="1:37" s="1457" customFormat="1" ht="18.75" customHeight="1" x14ac:dyDescent="0.15">
      <c r="A627" s="1578"/>
      <c r="B627" s="1462"/>
      <c r="C627" s="1462"/>
      <c r="D627" s="1460">
        <f>'1_入力シート【基本情報】'!$AF$444</f>
        <v>0</v>
      </c>
      <c r="E627" s="1650">
        <f t="shared" si="39"/>
        <v>0</v>
      </c>
      <c r="F627" s="1650" t="str">
        <f t="shared" si="40"/>
        <v>0</v>
      </c>
      <c r="G627" s="1650" t="str">
        <f t="shared" si="41"/>
        <v>0</v>
      </c>
      <c r="H627" s="1468"/>
      <c r="I627" s="1462"/>
      <c r="J627" s="1531"/>
      <c r="K627" s="1462"/>
      <c r="L627" s="1462"/>
      <c r="M627" s="1493"/>
      <c r="N627" s="1462"/>
      <c r="O627" s="1462"/>
      <c r="P627" s="1462"/>
      <c r="Q627" s="1462"/>
      <c r="R627" s="1462"/>
      <c r="S627" s="1462"/>
      <c r="T627" s="1462"/>
      <c r="U627" s="1469">
        <v>23</v>
      </c>
      <c r="V627" s="1486" t="s">
        <v>33</v>
      </c>
      <c r="W627" s="1471" t="s">
        <v>1306</v>
      </c>
      <c r="X627" s="1472" t="s">
        <v>110</v>
      </c>
      <c r="Y627" s="1473" t="s">
        <v>1306</v>
      </c>
      <c r="Z627" s="1504" t="s">
        <v>1494</v>
      </c>
      <c r="AA627" s="1473" t="s">
        <v>1306</v>
      </c>
      <c r="AB627" s="1470" t="s">
        <v>33</v>
      </c>
      <c r="AC627" s="1499"/>
      <c r="AD627" s="1500"/>
      <c r="AE627" s="1501"/>
      <c r="AF627" s="1501"/>
      <c r="AG627" s="1457" t="str">
        <f t="shared" si="38"/>
        <v>23調査結果-避難施設等-5（9）-調査結果</v>
      </c>
      <c r="AI627" s="1459"/>
      <c r="AJ627" s="1459"/>
      <c r="AK627" s="1459"/>
    </row>
    <row r="628" spans="1:37" s="1457" customFormat="1" ht="18.75" customHeight="1" x14ac:dyDescent="0.15">
      <c r="A628" s="1578"/>
      <c r="B628" s="1462"/>
      <c r="C628" s="1462"/>
      <c r="D628" s="1460">
        <f>'1_入力シート【基本情報】'!$AR$444</f>
        <v>0</v>
      </c>
      <c r="E628" s="1650">
        <f t="shared" si="39"/>
        <v>0</v>
      </c>
      <c r="F628" s="1650" t="str">
        <f t="shared" si="40"/>
        <v>0</v>
      </c>
      <c r="G628" s="1650" t="str">
        <f t="shared" si="41"/>
        <v>0</v>
      </c>
      <c r="H628" s="1468"/>
      <c r="I628" s="1462"/>
      <c r="J628" s="1531"/>
      <c r="K628" s="1462"/>
      <c r="L628" s="1462"/>
      <c r="M628" s="1493"/>
      <c r="N628" s="1462"/>
      <c r="O628" s="1462"/>
      <c r="P628" s="1462"/>
      <c r="Q628" s="1462"/>
      <c r="R628" s="1462"/>
      <c r="S628" s="1462"/>
      <c r="T628" s="1462"/>
      <c r="U628" s="1469">
        <v>23</v>
      </c>
      <c r="V628" s="1486" t="s">
        <v>33</v>
      </c>
      <c r="W628" s="1471" t="s">
        <v>1306</v>
      </c>
      <c r="X628" s="1472" t="s">
        <v>110</v>
      </c>
      <c r="Y628" s="1473" t="s">
        <v>1306</v>
      </c>
      <c r="Z628" s="1504" t="s">
        <v>1494</v>
      </c>
      <c r="AA628" s="1473" t="s">
        <v>1306</v>
      </c>
      <c r="AB628" s="1470" t="s">
        <v>30</v>
      </c>
      <c r="AC628" s="1499"/>
      <c r="AD628" s="1500"/>
      <c r="AE628" s="1501"/>
      <c r="AF628" s="1501"/>
      <c r="AG628" s="1457" t="str">
        <f t="shared" si="38"/>
        <v>23調査結果-避難施設等-5（9）-調査者番号</v>
      </c>
      <c r="AI628" s="1459"/>
      <c r="AJ628" s="1459"/>
      <c r="AK628" s="1459"/>
    </row>
    <row r="629" spans="1:37" s="1457" customFormat="1" ht="18.75" customHeight="1" x14ac:dyDescent="0.15">
      <c r="A629" s="1578"/>
      <c r="B629" s="1462"/>
      <c r="C629" s="1462"/>
      <c r="D629" s="1460">
        <f>'1_入力シート【基本情報】'!$AT$444</f>
        <v>0</v>
      </c>
      <c r="E629" s="1650">
        <f t="shared" si="39"/>
        <v>0</v>
      </c>
      <c r="F629" s="1650" t="str">
        <f t="shared" si="40"/>
        <v>0</v>
      </c>
      <c r="G629" s="1650" t="str">
        <f t="shared" si="41"/>
        <v>0</v>
      </c>
      <c r="H629" s="1468"/>
      <c r="I629" s="1462"/>
      <c r="J629" s="1531"/>
      <c r="K629" s="1462"/>
      <c r="L629" s="1462"/>
      <c r="M629" s="1493"/>
      <c r="N629" s="1462"/>
      <c r="O629" s="1462"/>
      <c r="P629" s="1462"/>
      <c r="Q629" s="1462"/>
      <c r="R629" s="1462"/>
      <c r="S629" s="1462"/>
      <c r="T629" s="1462"/>
      <c r="U629" s="1469">
        <v>23</v>
      </c>
      <c r="V629" s="1486" t="s">
        <v>33</v>
      </c>
      <c r="W629" s="1471" t="s">
        <v>1306</v>
      </c>
      <c r="X629" s="1472" t="s">
        <v>110</v>
      </c>
      <c r="Y629" s="1473" t="s">
        <v>1306</v>
      </c>
      <c r="Z629" s="1504" t="s">
        <v>1494</v>
      </c>
      <c r="AA629" s="1473" t="s">
        <v>1306</v>
      </c>
      <c r="AB629" s="1470" t="s">
        <v>1402</v>
      </c>
      <c r="AC629" s="1499"/>
      <c r="AD629" s="1500"/>
      <c r="AE629" s="1477"/>
      <c r="AF629" s="1477"/>
      <c r="AG629" s="1457" t="str">
        <f t="shared" si="38"/>
        <v>23調査結果-避難施設等-5（9）-指摘の具体的内容等</v>
      </c>
      <c r="AI629" s="1459"/>
      <c r="AJ629" s="1459"/>
      <c r="AK629" s="1459"/>
    </row>
    <row r="630" spans="1:37" s="1457" customFormat="1" ht="18.75" customHeight="1" x14ac:dyDescent="0.15">
      <c r="A630" s="1578"/>
      <c r="B630" s="1462"/>
      <c r="C630" s="1462"/>
      <c r="D630" s="1460">
        <f>'1_入力シート【基本情報】'!$BD$444</f>
        <v>0</v>
      </c>
      <c r="E630" s="1650">
        <f t="shared" si="39"/>
        <v>0</v>
      </c>
      <c r="F630" s="1650" t="str">
        <f t="shared" si="40"/>
        <v>0</v>
      </c>
      <c r="G630" s="1650" t="str">
        <f t="shared" si="41"/>
        <v>0</v>
      </c>
      <c r="H630" s="1468"/>
      <c r="I630" s="1462"/>
      <c r="J630" s="1531"/>
      <c r="K630" s="1462"/>
      <c r="L630" s="1462"/>
      <c r="M630" s="1493"/>
      <c r="N630" s="1462"/>
      <c r="O630" s="1462"/>
      <c r="P630" s="1462"/>
      <c r="Q630" s="1462"/>
      <c r="R630" s="1462"/>
      <c r="S630" s="1462"/>
      <c r="T630" s="1462"/>
      <c r="U630" s="1469">
        <v>23</v>
      </c>
      <c r="V630" s="1486" t="s">
        <v>33</v>
      </c>
      <c r="W630" s="1471" t="s">
        <v>1306</v>
      </c>
      <c r="X630" s="1472" t="s">
        <v>110</v>
      </c>
      <c r="Y630" s="1473" t="s">
        <v>1306</v>
      </c>
      <c r="Z630" s="1504" t="s">
        <v>1494</v>
      </c>
      <c r="AA630" s="1473" t="s">
        <v>1306</v>
      </c>
      <c r="AB630" s="1470" t="s">
        <v>1403</v>
      </c>
      <c r="AC630" s="1499"/>
      <c r="AD630" s="1500"/>
      <c r="AE630" s="1501"/>
      <c r="AF630" s="1501"/>
      <c r="AG630" s="1457" t="str">
        <f t="shared" si="38"/>
        <v>23調査結果-避難施設等-5（9）-改善策の具体的内容等</v>
      </c>
      <c r="AI630" s="1459"/>
      <c r="AJ630" s="1459"/>
      <c r="AK630" s="1459"/>
    </row>
    <row r="631" spans="1:37" s="1457" customFormat="1" ht="18.75" customHeight="1" x14ac:dyDescent="0.15">
      <c r="A631" s="1578"/>
      <c r="B631" s="1462"/>
      <c r="C631" s="1462"/>
      <c r="D631" s="1460">
        <f>'1_入力シート【基本情報】'!$BS$444</f>
        <v>0</v>
      </c>
      <c r="E631" s="1650">
        <f t="shared" si="39"/>
        <v>0</v>
      </c>
      <c r="F631" s="1650" t="str">
        <f t="shared" si="40"/>
        <v>0</v>
      </c>
      <c r="G631" s="1650" t="str">
        <f t="shared" si="41"/>
        <v>0</v>
      </c>
      <c r="H631" s="1468"/>
      <c r="I631" s="1462"/>
      <c r="J631" s="1531"/>
      <c r="K631" s="1462"/>
      <c r="L631" s="1462"/>
      <c r="M631" s="1493"/>
      <c r="N631" s="1462"/>
      <c r="O631" s="1462"/>
      <c r="P631" s="1462"/>
      <c r="Q631" s="1462"/>
      <c r="R631" s="1462"/>
      <c r="S631" s="1462"/>
      <c r="T631" s="1462"/>
      <c r="U631" s="1469">
        <v>23</v>
      </c>
      <c r="V631" s="1486" t="s">
        <v>33</v>
      </c>
      <c r="W631" s="1471" t="s">
        <v>1306</v>
      </c>
      <c r="X631" s="1472" t="s">
        <v>110</v>
      </c>
      <c r="Y631" s="1473" t="s">
        <v>1306</v>
      </c>
      <c r="Z631" s="1504" t="s">
        <v>1494</v>
      </c>
      <c r="AA631" s="1473" t="s">
        <v>1306</v>
      </c>
      <c r="AB631" s="1486" t="s">
        <v>352</v>
      </c>
      <c r="AC631" s="1499" t="s">
        <v>1366</v>
      </c>
      <c r="AD631" s="1500" t="s">
        <v>1387</v>
      </c>
      <c r="AE631" s="1501"/>
      <c r="AF631" s="1501"/>
      <c r="AG631" s="1457" t="str">
        <f t="shared" si="38"/>
        <v>23調査結果-避難施設等-5（9）-改善（予定）年月-年（令和）</v>
      </c>
      <c r="AI631" s="1459"/>
      <c r="AJ631" s="1459"/>
      <c r="AK631" s="1459"/>
    </row>
    <row r="632" spans="1:37" s="1457" customFormat="1" ht="18.75" customHeight="1" x14ac:dyDescent="0.15">
      <c r="A632" s="1578"/>
      <c r="B632" s="1462"/>
      <c r="C632" s="1462"/>
      <c r="D632" s="1460">
        <f>'1_入力シート【基本情報】'!$BV$444</f>
        <v>0</v>
      </c>
      <c r="E632" s="1650">
        <f t="shared" si="39"/>
        <v>0</v>
      </c>
      <c r="F632" s="1650" t="str">
        <f t="shared" si="40"/>
        <v>0</v>
      </c>
      <c r="G632" s="1650" t="str">
        <f t="shared" si="41"/>
        <v>0</v>
      </c>
      <c r="H632" s="1468"/>
      <c r="I632" s="1462"/>
      <c r="J632" s="1531"/>
      <c r="K632" s="1462"/>
      <c r="L632" s="1462"/>
      <c r="M632" s="1493"/>
      <c r="N632" s="1462"/>
      <c r="O632" s="1462"/>
      <c r="P632" s="1462"/>
      <c r="Q632" s="1462"/>
      <c r="R632" s="1462"/>
      <c r="S632" s="1462"/>
      <c r="T632" s="1462"/>
      <c r="U632" s="1469">
        <v>23</v>
      </c>
      <c r="V632" s="1486" t="s">
        <v>33</v>
      </c>
      <c r="W632" s="1471" t="s">
        <v>1306</v>
      </c>
      <c r="X632" s="1472" t="s">
        <v>110</v>
      </c>
      <c r="Y632" s="1473" t="s">
        <v>1306</v>
      </c>
      <c r="Z632" s="1504" t="s">
        <v>1494</v>
      </c>
      <c r="AA632" s="1473" t="s">
        <v>1306</v>
      </c>
      <c r="AB632" s="1486" t="s">
        <v>352</v>
      </c>
      <c r="AC632" s="1499" t="s">
        <v>1366</v>
      </c>
      <c r="AD632" s="1500" t="s">
        <v>348</v>
      </c>
      <c r="AE632" s="1501"/>
      <c r="AF632" s="1501"/>
      <c r="AG632" s="1457" t="str">
        <f t="shared" si="38"/>
        <v>23調査結果-避難施設等-5（9）-改善（予定）年月-月</v>
      </c>
      <c r="AI632" s="1459"/>
      <c r="AJ632" s="1459"/>
      <c r="AK632" s="1459"/>
    </row>
    <row r="633" spans="1:37" s="1457" customFormat="1" ht="18.75" customHeight="1" x14ac:dyDescent="0.15">
      <c r="A633" s="1578"/>
      <c r="B633" s="1462"/>
      <c r="C633" s="1462"/>
      <c r="D633" s="1460">
        <f>'1_入力シート【基本情報】'!$BY$444</f>
        <v>0</v>
      </c>
      <c r="E633" s="1650">
        <f t="shared" si="39"/>
        <v>0</v>
      </c>
      <c r="F633" s="1650" t="str">
        <f t="shared" si="40"/>
        <v>0</v>
      </c>
      <c r="G633" s="1650" t="str">
        <f t="shared" si="41"/>
        <v>0</v>
      </c>
      <c r="H633" s="1468"/>
      <c r="I633" s="1462"/>
      <c r="J633" s="1531"/>
      <c r="K633" s="1462"/>
      <c r="L633" s="1462"/>
      <c r="M633" s="1493"/>
      <c r="N633" s="1462"/>
      <c r="O633" s="1462"/>
      <c r="P633" s="1462"/>
      <c r="Q633" s="1462"/>
      <c r="R633" s="1462"/>
      <c r="S633" s="1462"/>
      <c r="T633" s="1462"/>
      <c r="U633" s="1469">
        <v>23</v>
      </c>
      <c r="V633" s="1486" t="s">
        <v>33</v>
      </c>
      <c r="W633" s="1471" t="s">
        <v>1306</v>
      </c>
      <c r="X633" s="1472" t="s">
        <v>110</v>
      </c>
      <c r="Y633" s="1473" t="s">
        <v>1306</v>
      </c>
      <c r="Z633" s="1504" t="s">
        <v>1494</v>
      </c>
      <c r="AA633" s="1473" t="s">
        <v>1306</v>
      </c>
      <c r="AB633" s="1486" t="s">
        <v>352</v>
      </c>
      <c r="AC633" s="1499" t="s">
        <v>1366</v>
      </c>
      <c r="AD633" s="1500" t="s">
        <v>640</v>
      </c>
      <c r="AE633" s="1501"/>
      <c r="AF633" s="1501"/>
      <c r="AG633" s="1457" t="str">
        <f t="shared" si="38"/>
        <v>23調査結果-避難施設等-5（9）-改善（予定）年月-未定</v>
      </c>
      <c r="AI633" s="1459"/>
      <c r="AJ633" s="1459"/>
      <c r="AK633" s="1459"/>
    </row>
    <row r="634" spans="1:37" s="1457" customFormat="1" ht="18.75" customHeight="1" x14ac:dyDescent="0.15">
      <c r="A634" s="1578"/>
      <c r="B634" s="1462"/>
      <c r="C634" s="1462"/>
      <c r="D634" s="1460">
        <f>'1_入力シート【基本情報】'!$AF$445</f>
        <v>0</v>
      </c>
      <c r="E634" s="1650">
        <f t="shared" si="39"/>
        <v>0</v>
      </c>
      <c r="F634" s="1650" t="str">
        <f t="shared" si="40"/>
        <v>0</v>
      </c>
      <c r="G634" s="1650" t="str">
        <f t="shared" si="41"/>
        <v>0</v>
      </c>
      <c r="H634" s="1468"/>
      <c r="I634" s="1462"/>
      <c r="J634" s="1531"/>
      <c r="K634" s="1462"/>
      <c r="L634" s="1462"/>
      <c r="M634" s="1493"/>
      <c r="N634" s="1462"/>
      <c r="O634" s="1462"/>
      <c r="P634" s="1462"/>
      <c r="Q634" s="1462"/>
      <c r="R634" s="1462"/>
      <c r="S634" s="1462"/>
      <c r="T634" s="1462"/>
      <c r="U634" s="1469">
        <v>23</v>
      </c>
      <c r="V634" s="1486" t="s">
        <v>33</v>
      </c>
      <c r="W634" s="1471" t="s">
        <v>1306</v>
      </c>
      <c r="X634" s="1472" t="s">
        <v>110</v>
      </c>
      <c r="Y634" s="1473" t="s">
        <v>1306</v>
      </c>
      <c r="Z634" s="1504" t="s">
        <v>1495</v>
      </c>
      <c r="AA634" s="1473" t="s">
        <v>1306</v>
      </c>
      <c r="AB634" s="1470" t="s">
        <v>33</v>
      </c>
      <c r="AC634" s="1475"/>
      <c r="AD634" s="1476"/>
      <c r="AE634" s="1501"/>
      <c r="AF634" s="1501"/>
      <c r="AG634" s="1457" t="str">
        <f t="shared" si="38"/>
        <v>23調査結果-避難施設等-5（10）-調査結果</v>
      </c>
      <c r="AI634" s="1459"/>
      <c r="AJ634" s="1459"/>
      <c r="AK634" s="1459"/>
    </row>
    <row r="635" spans="1:37" s="1457" customFormat="1" ht="18.75" customHeight="1" x14ac:dyDescent="0.15">
      <c r="A635" s="1578"/>
      <c r="B635" s="1462"/>
      <c r="C635" s="1462"/>
      <c r="D635" s="1460">
        <f>'1_入力シート【基本情報】'!$AR$445</f>
        <v>0</v>
      </c>
      <c r="E635" s="1650">
        <f t="shared" si="39"/>
        <v>0</v>
      </c>
      <c r="F635" s="1650" t="str">
        <f t="shared" si="40"/>
        <v>0</v>
      </c>
      <c r="G635" s="1650" t="str">
        <f t="shared" si="41"/>
        <v>0</v>
      </c>
      <c r="H635" s="1468"/>
      <c r="I635" s="1462"/>
      <c r="J635" s="1531"/>
      <c r="K635" s="1462"/>
      <c r="L635" s="1462"/>
      <c r="M635" s="1493"/>
      <c r="N635" s="1462"/>
      <c r="O635" s="1462"/>
      <c r="P635" s="1462"/>
      <c r="Q635" s="1462"/>
      <c r="R635" s="1462"/>
      <c r="S635" s="1462"/>
      <c r="T635" s="1462"/>
      <c r="U635" s="1469">
        <v>23</v>
      </c>
      <c r="V635" s="1486" t="s">
        <v>33</v>
      </c>
      <c r="W635" s="1471" t="s">
        <v>1306</v>
      </c>
      <c r="X635" s="1472" t="s">
        <v>110</v>
      </c>
      <c r="Y635" s="1473" t="s">
        <v>1306</v>
      </c>
      <c r="Z635" s="1504" t="s">
        <v>1495</v>
      </c>
      <c r="AA635" s="1473" t="s">
        <v>1306</v>
      </c>
      <c r="AB635" s="1470" t="s">
        <v>30</v>
      </c>
      <c r="AC635" s="1499"/>
      <c r="AD635" s="1500"/>
      <c r="AE635" s="1501"/>
      <c r="AF635" s="1501"/>
      <c r="AG635" s="1457" t="str">
        <f t="shared" si="38"/>
        <v>23調査結果-避難施設等-5（10）-調査者番号</v>
      </c>
      <c r="AI635" s="1459"/>
      <c r="AJ635" s="1459"/>
      <c r="AK635" s="1459"/>
    </row>
    <row r="636" spans="1:37" s="1457" customFormat="1" ht="18.75" customHeight="1" x14ac:dyDescent="0.15">
      <c r="A636" s="1578"/>
      <c r="B636" s="1462"/>
      <c r="C636" s="1462"/>
      <c r="D636" s="1460">
        <f>'1_入力シート【基本情報】'!$AT$445</f>
        <v>0</v>
      </c>
      <c r="E636" s="1650">
        <f t="shared" si="39"/>
        <v>0</v>
      </c>
      <c r="F636" s="1650" t="str">
        <f t="shared" si="40"/>
        <v>0</v>
      </c>
      <c r="G636" s="1650" t="str">
        <f t="shared" si="41"/>
        <v>0</v>
      </c>
      <c r="H636" s="1468"/>
      <c r="I636" s="1462"/>
      <c r="J636" s="1531"/>
      <c r="K636" s="1462"/>
      <c r="L636" s="1462"/>
      <c r="M636" s="1493"/>
      <c r="N636" s="1462"/>
      <c r="O636" s="1462"/>
      <c r="P636" s="1462"/>
      <c r="Q636" s="1462"/>
      <c r="R636" s="1462"/>
      <c r="S636" s="1462"/>
      <c r="T636" s="1462"/>
      <c r="U636" s="1469">
        <v>23</v>
      </c>
      <c r="V636" s="1486" t="s">
        <v>33</v>
      </c>
      <c r="W636" s="1471" t="s">
        <v>1306</v>
      </c>
      <c r="X636" s="1472" t="s">
        <v>110</v>
      </c>
      <c r="Y636" s="1473" t="s">
        <v>1306</v>
      </c>
      <c r="Z636" s="1504" t="s">
        <v>1495</v>
      </c>
      <c r="AA636" s="1473" t="s">
        <v>1306</v>
      </c>
      <c r="AB636" s="1470" t="s">
        <v>1402</v>
      </c>
      <c r="AC636" s="1499"/>
      <c r="AD636" s="1500"/>
      <c r="AE636" s="1501"/>
      <c r="AF636" s="1501"/>
      <c r="AG636" s="1457" t="str">
        <f t="shared" si="38"/>
        <v>23調査結果-避難施設等-5（10）-指摘の具体的内容等</v>
      </c>
      <c r="AI636" s="1459"/>
      <c r="AJ636" s="1459"/>
      <c r="AK636" s="1459"/>
    </row>
    <row r="637" spans="1:37" s="1457" customFormat="1" ht="18.75" customHeight="1" x14ac:dyDescent="0.15">
      <c r="A637" s="1578"/>
      <c r="B637" s="1462"/>
      <c r="C637" s="1462"/>
      <c r="D637" s="1460">
        <f>'1_入力シート【基本情報】'!$BD$445</f>
        <v>0</v>
      </c>
      <c r="E637" s="1650">
        <f t="shared" si="39"/>
        <v>0</v>
      </c>
      <c r="F637" s="1650" t="str">
        <f t="shared" si="40"/>
        <v>0</v>
      </c>
      <c r="G637" s="1650" t="str">
        <f t="shared" si="41"/>
        <v>0</v>
      </c>
      <c r="H637" s="1468"/>
      <c r="I637" s="1462"/>
      <c r="J637" s="1531"/>
      <c r="K637" s="1462"/>
      <c r="L637" s="1462"/>
      <c r="M637" s="1493"/>
      <c r="N637" s="1462"/>
      <c r="O637" s="1462"/>
      <c r="P637" s="1462"/>
      <c r="Q637" s="1462"/>
      <c r="R637" s="1462"/>
      <c r="S637" s="1462"/>
      <c r="T637" s="1462"/>
      <c r="U637" s="1469">
        <v>23</v>
      </c>
      <c r="V637" s="1486" t="s">
        <v>33</v>
      </c>
      <c r="W637" s="1471" t="s">
        <v>1306</v>
      </c>
      <c r="X637" s="1472" t="s">
        <v>110</v>
      </c>
      <c r="Y637" s="1473" t="s">
        <v>1306</v>
      </c>
      <c r="Z637" s="1504" t="s">
        <v>1495</v>
      </c>
      <c r="AA637" s="1473" t="s">
        <v>1306</v>
      </c>
      <c r="AB637" s="1470" t="s">
        <v>1403</v>
      </c>
      <c r="AC637" s="1499"/>
      <c r="AD637" s="1500"/>
      <c r="AE637" s="1477"/>
      <c r="AF637" s="1477"/>
      <c r="AG637" s="1457" t="str">
        <f t="shared" si="38"/>
        <v>23調査結果-避難施設等-5（10）-改善策の具体的内容等</v>
      </c>
      <c r="AI637" s="1459"/>
      <c r="AJ637" s="1459"/>
      <c r="AK637" s="1459"/>
    </row>
    <row r="638" spans="1:37" s="1457" customFormat="1" ht="18.75" customHeight="1" x14ac:dyDescent="0.15">
      <c r="A638" s="1578"/>
      <c r="B638" s="1462"/>
      <c r="C638" s="1462"/>
      <c r="D638" s="1460">
        <f>'1_入力シート【基本情報】'!$BS$445</f>
        <v>0</v>
      </c>
      <c r="E638" s="1650">
        <f t="shared" si="39"/>
        <v>0</v>
      </c>
      <c r="F638" s="1650" t="str">
        <f t="shared" si="40"/>
        <v>0</v>
      </c>
      <c r="G638" s="1650" t="str">
        <f t="shared" si="41"/>
        <v>0</v>
      </c>
      <c r="H638" s="1468"/>
      <c r="I638" s="1462"/>
      <c r="J638" s="1531"/>
      <c r="K638" s="1462"/>
      <c r="L638" s="1462"/>
      <c r="M638" s="1493"/>
      <c r="N638" s="1462"/>
      <c r="O638" s="1462"/>
      <c r="P638" s="1462"/>
      <c r="Q638" s="1462"/>
      <c r="R638" s="1462"/>
      <c r="S638" s="1462"/>
      <c r="T638" s="1462"/>
      <c r="U638" s="1469">
        <v>23</v>
      </c>
      <c r="V638" s="1486" t="s">
        <v>33</v>
      </c>
      <c r="W638" s="1471" t="s">
        <v>1306</v>
      </c>
      <c r="X638" s="1472" t="s">
        <v>110</v>
      </c>
      <c r="Y638" s="1473" t="s">
        <v>1306</v>
      </c>
      <c r="Z638" s="1504" t="s">
        <v>1495</v>
      </c>
      <c r="AA638" s="1473" t="s">
        <v>1306</v>
      </c>
      <c r="AB638" s="1470" t="s">
        <v>352</v>
      </c>
      <c r="AC638" s="1499" t="s">
        <v>1366</v>
      </c>
      <c r="AD638" s="1500" t="s">
        <v>1387</v>
      </c>
      <c r="AE638" s="1501"/>
      <c r="AF638" s="1501"/>
      <c r="AG638" s="1457" t="str">
        <f t="shared" si="38"/>
        <v>23調査結果-避難施設等-5（10）-改善（予定）年月-年（令和）</v>
      </c>
      <c r="AI638" s="1459"/>
      <c r="AJ638" s="1459"/>
      <c r="AK638" s="1459"/>
    </row>
    <row r="639" spans="1:37" s="1457" customFormat="1" ht="18.75" customHeight="1" x14ac:dyDescent="0.15">
      <c r="A639" s="1578"/>
      <c r="B639" s="1462"/>
      <c r="C639" s="1462"/>
      <c r="D639" s="1460">
        <f>'1_入力シート【基本情報】'!$BV$445</f>
        <v>0</v>
      </c>
      <c r="E639" s="1650">
        <f t="shared" si="39"/>
        <v>0</v>
      </c>
      <c r="F639" s="1650" t="str">
        <f t="shared" si="40"/>
        <v>0</v>
      </c>
      <c r="G639" s="1650" t="str">
        <f t="shared" si="41"/>
        <v>0</v>
      </c>
      <c r="H639" s="1468"/>
      <c r="I639" s="1462"/>
      <c r="J639" s="1531"/>
      <c r="K639" s="1462"/>
      <c r="L639" s="1462"/>
      <c r="M639" s="1493"/>
      <c r="N639" s="1462"/>
      <c r="O639" s="1462"/>
      <c r="P639" s="1462"/>
      <c r="Q639" s="1462"/>
      <c r="R639" s="1462"/>
      <c r="S639" s="1462"/>
      <c r="T639" s="1462"/>
      <c r="U639" s="1469">
        <v>23</v>
      </c>
      <c r="V639" s="1486" t="s">
        <v>33</v>
      </c>
      <c r="W639" s="1471" t="s">
        <v>1306</v>
      </c>
      <c r="X639" s="1472" t="s">
        <v>110</v>
      </c>
      <c r="Y639" s="1473" t="s">
        <v>1306</v>
      </c>
      <c r="Z639" s="1504" t="s">
        <v>1495</v>
      </c>
      <c r="AA639" s="1473" t="s">
        <v>1306</v>
      </c>
      <c r="AB639" s="1486" t="s">
        <v>352</v>
      </c>
      <c r="AC639" s="1499" t="s">
        <v>1366</v>
      </c>
      <c r="AD639" s="1500" t="s">
        <v>348</v>
      </c>
      <c r="AE639" s="1501"/>
      <c r="AF639" s="1501"/>
      <c r="AG639" s="1457" t="str">
        <f t="shared" si="38"/>
        <v>23調査結果-避難施設等-5（10）-改善（予定）年月-月</v>
      </c>
      <c r="AI639" s="1459"/>
      <c r="AJ639" s="1459"/>
      <c r="AK639" s="1459"/>
    </row>
    <row r="640" spans="1:37" s="1457" customFormat="1" ht="18.75" customHeight="1" x14ac:dyDescent="0.15">
      <c r="A640" s="1578"/>
      <c r="B640" s="1462"/>
      <c r="C640" s="1462"/>
      <c r="D640" s="1460">
        <f>'1_入力シート【基本情報】'!$BY$445</f>
        <v>0</v>
      </c>
      <c r="E640" s="1650">
        <f t="shared" si="39"/>
        <v>0</v>
      </c>
      <c r="F640" s="1650" t="str">
        <f t="shared" si="40"/>
        <v>0</v>
      </c>
      <c r="G640" s="1650" t="str">
        <f t="shared" si="41"/>
        <v>0</v>
      </c>
      <c r="H640" s="1468"/>
      <c r="I640" s="1462"/>
      <c r="J640" s="1531"/>
      <c r="K640" s="1462"/>
      <c r="L640" s="1462"/>
      <c r="M640" s="1493"/>
      <c r="N640" s="1462"/>
      <c r="O640" s="1462"/>
      <c r="P640" s="1462"/>
      <c r="Q640" s="1462"/>
      <c r="R640" s="1462"/>
      <c r="S640" s="1462"/>
      <c r="T640" s="1462"/>
      <c r="U640" s="1469">
        <v>23</v>
      </c>
      <c r="V640" s="1486" t="s">
        <v>33</v>
      </c>
      <c r="W640" s="1471" t="s">
        <v>1306</v>
      </c>
      <c r="X640" s="1472" t="s">
        <v>110</v>
      </c>
      <c r="Y640" s="1473" t="s">
        <v>1306</v>
      </c>
      <c r="Z640" s="1504" t="s">
        <v>1495</v>
      </c>
      <c r="AA640" s="1473" t="s">
        <v>1306</v>
      </c>
      <c r="AB640" s="1486" t="s">
        <v>352</v>
      </c>
      <c r="AC640" s="1499" t="s">
        <v>1366</v>
      </c>
      <c r="AD640" s="1500" t="s">
        <v>640</v>
      </c>
      <c r="AE640" s="1501"/>
      <c r="AF640" s="1501"/>
      <c r="AG640" s="1457" t="str">
        <f t="shared" si="38"/>
        <v>23調査結果-避難施設等-5（10）-改善（予定）年月-未定</v>
      </c>
      <c r="AI640" s="1459"/>
      <c r="AJ640" s="1459"/>
      <c r="AK640" s="1459"/>
    </row>
    <row r="641" spans="1:37" s="1457" customFormat="1" ht="18.75" customHeight="1" x14ac:dyDescent="0.15">
      <c r="A641" s="1578"/>
      <c r="B641" s="1462"/>
      <c r="C641" s="1462"/>
      <c r="D641" s="1460">
        <f>'1_入力シート【基本情報】'!$AF$446</f>
        <v>0</v>
      </c>
      <c r="E641" s="1650">
        <f t="shared" si="39"/>
        <v>0</v>
      </c>
      <c r="F641" s="1650" t="str">
        <f t="shared" si="40"/>
        <v>0</v>
      </c>
      <c r="G641" s="1650" t="str">
        <f t="shared" si="41"/>
        <v>0</v>
      </c>
      <c r="H641" s="1468"/>
      <c r="I641" s="1462"/>
      <c r="J641" s="1531"/>
      <c r="K641" s="1462"/>
      <c r="L641" s="1462"/>
      <c r="M641" s="1493"/>
      <c r="N641" s="1462"/>
      <c r="O641" s="1462"/>
      <c r="P641" s="1462"/>
      <c r="Q641" s="1462"/>
      <c r="R641" s="1462"/>
      <c r="S641" s="1462"/>
      <c r="T641" s="1462"/>
      <c r="U641" s="1469">
        <v>23</v>
      </c>
      <c r="V641" s="1486" t="s">
        <v>33</v>
      </c>
      <c r="W641" s="1471" t="s">
        <v>1306</v>
      </c>
      <c r="X641" s="1472" t="s">
        <v>110</v>
      </c>
      <c r="Y641" s="1473" t="s">
        <v>1306</v>
      </c>
      <c r="Z641" s="1504" t="s">
        <v>1496</v>
      </c>
      <c r="AA641" s="1473" t="s">
        <v>1306</v>
      </c>
      <c r="AB641" s="1486" t="s">
        <v>33</v>
      </c>
      <c r="AC641" s="1499"/>
      <c r="AD641" s="1500"/>
      <c r="AE641" s="1501"/>
      <c r="AF641" s="1501"/>
      <c r="AG641" s="1457" t="str">
        <f t="shared" si="38"/>
        <v>23調査結果-避難施設等-5（11）-調査結果</v>
      </c>
      <c r="AI641" s="1459"/>
      <c r="AJ641" s="1459"/>
      <c r="AK641" s="1459"/>
    </row>
    <row r="642" spans="1:37" s="1457" customFormat="1" ht="18.75" customHeight="1" x14ac:dyDescent="0.15">
      <c r="A642" s="1578"/>
      <c r="B642" s="1462"/>
      <c r="C642" s="1462"/>
      <c r="D642" s="1460">
        <f>'1_入力シート【基本情報】'!$AR$446</f>
        <v>0</v>
      </c>
      <c r="E642" s="1650">
        <f t="shared" si="39"/>
        <v>0</v>
      </c>
      <c r="F642" s="1650" t="str">
        <f t="shared" si="40"/>
        <v>0</v>
      </c>
      <c r="G642" s="1650" t="str">
        <f t="shared" si="41"/>
        <v>0</v>
      </c>
      <c r="H642" s="1468"/>
      <c r="I642" s="1462"/>
      <c r="J642" s="1531"/>
      <c r="K642" s="1462"/>
      <c r="L642" s="1462"/>
      <c r="M642" s="1493"/>
      <c r="N642" s="1462"/>
      <c r="O642" s="1462"/>
      <c r="P642" s="1462"/>
      <c r="Q642" s="1462"/>
      <c r="R642" s="1462"/>
      <c r="S642" s="1462"/>
      <c r="T642" s="1462"/>
      <c r="U642" s="1469">
        <v>23</v>
      </c>
      <c r="V642" s="1486" t="s">
        <v>33</v>
      </c>
      <c r="W642" s="1471" t="s">
        <v>1306</v>
      </c>
      <c r="X642" s="1472" t="s">
        <v>110</v>
      </c>
      <c r="Y642" s="1473" t="s">
        <v>1306</v>
      </c>
      <c r="Z642" s="1474" t="s">
        <v>1496</v>
      </c>
      <c r="AA642" s="1473" t="s">
        <v>1306</v>
      </c>
      <c r="AB642" s="1470" t="s">
        <v>30</v>
      </c>
      <c r="AC642" s="1475"/>
      <c r="AD642" s="1476"/>
      <c r="AE642" s="1501"/>
      <c r="AF642" s="1501"/>
      <c r="AG642" s="1457" t="str">
        <f t="shared" si="38"/>
        <v>23調査結果-避難施設等-5（11）-調査者番号</v>
      </c>
      <c r="AI642" s="1459"/>
      <c r="AJ642" s="1459"/>
      <c r="AK642" s="1459"/>
    </row>
    <row r="643" spans="1:37" s="1457" customFormat="1" ht="18.75" customHeight="1" x14ac:dyDescent="0.15">
      <c r="A643" s="1578"/>
      <c r="B643" s="1462"/>
      <c r="C643" s="1462"/>
      <c r="D643" s="1460">
        <f>'1_入力シート【基本情報】'!$AT$446</f>
        <v>0</v>
      </c>
      <c r="E643" s="1650">
        <f t="shared" si="39"/>
        <v>0</v>
      </c>
      <c r="F643" s="1650" t="str">
        <f t="shared" si="40"/>
        <v>0</v>
      </c>
      <c r="G643" s="1650" t="str">
        <f t="shared" si="41"/>
        <v>0</v>
      </c>
      <c r="H643" s="1468"/>
      <c r="I643" s="1462"/>
      <c r="J643" s="1531"/>
      <c r="K643" s="1462"/>
      <c r="L643" s="1462"/>
      <c r="M643" s="1493"/>
      <c r="N643" s="1462"/>
      <c r="O643" s="1462"/>
      <c r="P643" s="1462"/>
      <c r="Q643" s="1462"/>
      <c r="R643" s="1462"/>
      <c r="S643" s="1462"/>
      <c r="T643" s="1462"/>
      <c r="U643" s="1469">
        <v>23</v>
      </c>
      <c r="V643" s="1486" t="s">
        <v>33</v>
      </c>
      <c r="W643" s="1471" t="s">
        <v>1306</v>
      </c>
      <c r="X643" s="1472" t="s">
        <v>110</v>
      </c>
      <c r="Y643" s="1473" t="s">
        <v>1306</v>
      </c>
      <c r="Z643" s="1474" t="s">
        <v>1496</v>
      </c>
      <c r="AA643" s="1473" t="s">
        <v>1306</v>
      </c>
      <c r="AB643" s="1470" t="s">
        <v>1402</v>
      </c>
      <c r="AC643" s="1499"/>
      <c r="AD643" s="1500"/>
      <c r="AE643" s="1501"/>
      <c r="AF643" s="1501"/>
      <c r="AG643" s="1457" t="str">
        <f t="shared" si="38"/>
        <v>23調査結果-避難施設等-5（11）-指摘の具体的内容等</v>
      </c>
      <c r="AI643" s="1459"/>
      <c r="AJ643" s="1459"/>
      <c r="AK643" s="1459"/>
    </row>
    <row r="644" spans="1:37" s="1457" customFormat="1" ht="18.75" customHeight="1" x14ac:dyDescent="0.15">
      <c r="A644" s="1578"/>
      <c r="B644" s="1462"/>
      <c r="C644" s="1462"/>
      <c r="D644" s="1460">
        <f>'1_入力シート【基本情報】'!$BD$446</f>
        <v>0</v>
      </c>
      <c r="E644" s="1650">
        <f t="shared" si="39"/>
        <v>0</v>
      </c>
      <c r="F644" s="1650" t="str">
        <f t="shared" si="40"/>
        <v>0</v>
      </c>
      <c r="G644" s="1650" t="str">
        <f t="shared" si="41"/>
        <v>0</v>
      </c>
      <c r="H644" s="1468"/>
      <c r="I644" s="1462"/>
      <c r="J644" s="1531"/>
      <c r="K644" s="1462"/>
      <c r="L644" s="1462"/>
      <c r="M644" s="1493"/>
      <c r="N644" s="1462"/>
      <c r="O644" s="1462"/>
      <c r="P644" s="1462"/>
      <c r="Q644" s="1462"/>
      <c r="R644" s="1462"/>
      <c r="S644" s="1462"/>
      <c r="T644" s="1462"/>
      <c r="U644" s="1469">
        <v>23</v>
      </c>
      <c r="V644" s="1486" t="s">
        <v>33</v>
      </c>
      <c r="W644" s="1471" t="s">
        <v>1306</v>
      </c>
      <c r="X644" s="1472" t="s">
        <v>110</v>
      </c>
      <c r="Y644" s="1473" t="s">
        <v>1306</v>
      </c>
      <c r="Z644" s="1474" t="s">
        <v>1496</v>
      </c>
      <c r="AA644" s="1473" t="s">
        <v>1306</v>
      </c>
      <c r="AB644" s="1470" t="s">
        <v>1403</v>
      </c>
      <c r="AC644" s="1499"/>
      <c r="AD644" s="1500"/>
      <c r="AE644" s="1501"/>
      <c r="AF644" s="1501"/>
      <c r="AG644" s="1457" t="str">
        <f t="shared" si="38"/>
        <v>23調査結果-避難施設等-5（11）-改善策の具体的内容等</v>
      </c>
      <c r="AI644" s="1459"/>
      <c r="AJ644" s="1459"/>
      <c r="AK644" s="1459"/>
    </row>
    <row r="645" spans="1:37" s="1457" customFormat="1" ht="18.75" customHeight="1" x14ac:dyDescent="0.15">
      <c r="A645" s="1578"/>
      <c r="B645" s="1462"/>
      <c r="C645" s="1462"/>
      <c r="D645" s="1460">
        <f>'1_入力シート【基本情報】'!$BS$446</f>
        <v>0</v>
      </c>
      <c r="E645" s="1650">
        <f t="shared" si="39"/>
        <v>0</v>
      </c>
      <c r="F645" s="1650" t="str">
        <f t="shared" si="40"/>
        <v>0</v>
      </c>
      <c r="G645" s="1650" t="str">
        <f t="shared" si="41"/>
        <v>0</v>
      </c>
      <c r="H645" s="1468"/>
      <c r="I645" s="1462"/>
      <c r="J645" s="1531"/>
      <c r="K645" s="1462"/>
      <c r="L645" s="1462"/>
      <c r="M645" s="1493"/>
      <c r="N645" s="1462"/>
      <c r="O645" s="1462"/>
      <c r="P645" s="1462"/>
      <c r="Q645" s="1462"/>
      <c r="R645" s="1462"/>
      <c r="S645" s="1462"/>
      <c r="T645" s="1462"/>
      <c r="U645" s="1469">
        <v>23</v>
      </c>
      <c r="V645" s="1486" t="s">
        <v>33</v>
      </c>
      <c r="W645" s="1471" t="s">
        <v>1306</v>
      </c>
      <c r="X645" s="1472" t="s">
        <v>110</v>
      </c>
      <c r="Y645" s="1473" t="s">
        <v>1306</v>
      </c>
      <c r="Z645" s="1474" t="s">
        <v>1496</v>
      </c>
      <c r="AA645" s="1473" t="s">
        <v>1306</v>
      </c>
      <c r="AB645" s="1470" t="s">
        <v>352</v>
      </c>
      <c r="AC645" s="1499" t="s">
        <v>1366</v>
      </c>
      <c r="AD645" s="1500" t="s">
        <v>1387</v>
      </c>
      <c r="AE645" s="1477"/>
      <c r="AF645" s="1477"/>
      <c r="AG645" s="1457" t="str">
        <f t="shared" si="38"/>
        <v>23調査結果-避難施設等-5（11）-改善（予定）年月-年（令和）</v>
      </c>
      <c r="AI645" s="1459"/>
      <c r="AJ645" s="1459"/>
      <c r="AK645" s="1459"/>
    </row>
    <row r="646" spans="1:37" s="1457" customFormat="1" ht="18.75" customHeight="1" x14ac:dyDescent="0.15">
      <c r="A646" s="1578"/>
      <c r="B646" s="1462"/>
      <c r="C646" s="1462"/>
      <c r="D646" s="1460">
        <f>'1_入力シート【基本情報】'!$BV$446</f>
        <v>0</v>
      </c>
      <c r="E646" s="1650">
        <f t="shared" si="39"/>
        <v>0</v>
      </c>
      <c r="F646" s="1650" t="str">
        <f t="shared" si="40"/>
        <v>0</v>
      </c>
      <c r="G646" s="1650" t="str">
        <f t="shared" si="41"/>
        <v>0</v>
      </c>
      <c r="H646" s="1468"/>
      <c r="I646" s="1462"/>
      <c r="J646" s="1531"/>
      <c r="K646" s="1462"/>
      <c r="L646" s="1462"/>
      <c r="M646" s="1493"/>
      <c r="N646" s="1462"/>
      <c r="O646" s="1462"/>
      <c r="P646" s="1462"/>
      <c r="Q646" s="1462"/>
      <c r="R646" s="1462"/>
      <c r="S646" s="1462"/>
      <c r="T646" s="1462"/>
      <c r="U646" s="1469">
        <v>23</v>
      </c>
      <c r="V646" s="1486" t="s">
        <v>33</v>
      </c>
      <c r="W646" s="1471" t="s">
        <v>1306</v>
      </c>
      <c r="X646" s="1472" t="s">
        <v>110</v>
      </c>
      <c r="Y646" s="1473" t="s">
        <v>1306</v>
      </c>
      <c r="Z646" s="1474" t="s">
        <v>1496</v>
      </c>
      <c r="AA646" s="1473" t="s">
        <v>1306</v>
      </c>
      <c r="AB646" s="1470" t="s">
        <v>352</v>
      </c>
      <c r="AC646" s="1499" t="s">
        <v>1366</v>
      </c>
      <c r="AD646" s="1500" t="s">
        <v>348</v>
      </c>
      <c r="AE646" s="1501"/>
      <c r="AF646" s="1501"/>
      <c r="AG646" s="1457" t="str">
        <f t="shared" si="38"/>
        <v>23調査結果-避難施設等-5（11）-改善（予定）年月-月</v>
      </c>
      <c r="AI646" s="1459"/>
      <c r="AJ646" s="1459"/>
      <c r="AK646" s="1459"/>
    </row>
    <row r="647" spans="1:37" s="1457" customFormat="1" ht="18.75" customHeight="1" x14ac:dyDescent="0.15">
      <c r="A647" s="1578"/>
      <c r="B647" s="1462"/>
      <c r="C647" s="1462"/>
      <c r="D647" s="1460">
        <f>'1_入力シート【基本情報】'!$BY$446</f>
        <v>0</v>
      </c>
      <c r="E647" s="1650">
        <f t="shared" si="39"/>
        <v>0</v>
      </c>
      <c r="F647" s="1650" t="str">
        <f t="shared" si="40"/>
        <v>0</v>
      </c>
      <c r="G647" s="1650" t="str">
        <f t="shared" si="41"/>
        <v>0</v>
      </c>
      <c r="H647" s="1468"/>
      <c r="I647" s="1462"/>
      <c r="J647" s="1531"/>
      <c r="K647" s="1462"/>
      <c r="L647" s="1462"/>
      <c r="M647" s="1493"/>
      <c r="N647" s="1462"/>
      <c r="O647" s="1462"/>
      <c r="P647" s="1462"/>
      <c r="Q647" s="1462"/>
      <c r="R647" s="1462"/>
      <c r="S647" s="1462"/>
      <c r="T647" s="1462"/>
      <c r="U647" s="1469">
        <v>23</v>
      </c>
      <c r="V647" s="1486" t="s">
        <v>33</v>
      </c>
      <c r="W647" s="1471" t="s">
        <v>1306</v>
      </c>
      <c r="X647" s="1472" t="s">
        <v>110</v>
      </c>
      <c r="Y647" s="1473" t="s">
        <v>1306</v>
      </c>
      <c r="Z647" s="1474" t="s">
        <v>1496</v>
      </c>
      <c r="AA647" s="1473" t="s">
        <v>1306</v>
      </c>
      <c r="AB647" s="1486" t="s">
        <v>352</v>
      </c>
      <c r="AC647" s="1499" t="s">
        <v>1366</v>
      </c>
      <c r="AD647" s="1500" t="s">
        <v>640</v>
      </c>
      <c r="AE647" s="1501"/>
      <c r="AF647" s="1501"/>
      <c r="AG647" s="1457" t="str">
        <f t="shared" si="38"/>
        <v>23調査結果-避難施設等-5（11）-改善（予定）年月-未定</v>
      </c>
      <c r="AI647" s="1459"/>
      <c r="AJ647" s="1459"/>
      <c r="AK647" s="1459"/>
    </row>
    <row r="648" spans="1:37" s="1457" customFormat="1" ht="18.75" customHeight="1" x14ac:dyDescent="0.15">
      <c r="A648" s="1578"/>
      <c r="B648" s="1462"/>
      <c r="C648" s="1462"/>
      <c r="D648" s="1460">
        <f>'1_入力シート【基本情報】'!$AF$447</f>
        <v>0</v>
      </c>
      <c r="E648" s="1650">
        <f t="shared" si="39"/>
        <v>0</v>
      </c>
      <c r="F648" s="1650" t="str">
        <f t="shared" si="40"/>
        <v>0</v>
      </c>
      <c r="G648" s="1650" t="str">
        <f t="shared" si="41"/>
        <v>0</v>
      </c>
      <c r="H648" s="1468"/>
      <c r="I648" s="1462"/>
      <c r="J648" s="1531"/>
      <c r="K648" s="1462"/>
      <c r="L648" s="1462"/>
      <c r="M648" s="1493"/>
      <c r="N648" s="1462"/>
      <c r="O648" s="1462"/>
      <c r="P648" s="1462"/>
      <c r="Q648" s="1462"/>
      <c r="R648" s="1462"/>
      <c r="S648" s="1462"/>
      <c r="T648" s="1462"/>
      <c r="U648" s="1469">
        <v>23</v>
      </c>
      <c r="V648" s="1486" t="s">
        <v>33</v>
      </c>
      <c r="W648" s="1471" t="s">
        <v>1306</v>
      </c>
      <c r="X648" s="1472" t="s">
        <v>110</v>
      </c>
      <c r="Y648" s="1473" t="s">
        <v>1306</v>
      </c>
      <c r="Z648" s="1474" t="s">
        <v>1497</v>
      </c>
      <c r="AA648" s="1473" t="s">
        <v>1306</v>
      </c>
      <c r="AB648" s="1486" t="s">
        <v>33</v>
      </c>
      <c r="AC648" s="1499"/>
      <c r="AD648" s="1500"/>
      <c r="AE648" s="1501"/>
      <c r="AF648" s="1501"/>
      <c r="AG648" s="1457" t="str">
        <f t="shared" si="38"/>
        <v>23調査結果-避難施設等-5（12）-調査結果</v>
      </c>
      <c r="AI648" s="1459"/>
      <c r="AJ648" s="1459"/>
      <c r="AK648" s="1459"/>
    </row>
    <row r="649" spans="1:37" s="1457" customFormat="1" ht="18.75" customHeight="1" x14ac:dyDescent="0.15">
      <c r="A649" s="1578"/>
      <c r="B649" s="1462"/>
      <c r="C649" s="1462"/>
      <c r="D649" s="1460">
        <f>'1_入力シート【基本情報】'!$AR$447</f>
        <v>0</v>
      </c>
      <c r="E649" s="1650">
        <f t="shared" si="39"/>
        <v>0</v>
      </c>
      <c r="F649" s="1650" t="str">
        <f t="shared" si="40"/>
        <v>0</v>
      </c>
      <c r="G649" s="1650" t="str">
        <f t="shared" si="41"/>
        <v>0</v>
      </c>
      <c r="H649" s="1468"/>
      <c r="I649" s="1462"/>
      <c r="J649" s="1531"/>
      <c r="K649" s="1462"/>
      <c r="L649" s="1462"/>
      <c r="M649" s="1493"/>
      <c r="N649" s="1462"/>
      <c r="O649" s="1462"/>
      <c r="P649" s="1462"/>
      <c r="Q649" s="1462"/>
      <c r="R649" s="1462"/>
      <c r="S649" s="1462"/>
      <c r="T649" s="1462"/>
      <c r="U649" s="1469">
        <v>23</v>
      </c>
      <c r="V649" s="1486" t="s">
        <v>33</v>
      </c>
      <c r="W649" s="1471" t="s">
        <v>1306</v>
      </c>
      <c r="X649" s="1472" t="s">
        <v>110</v>
      </c>
      <c r="Y649" s="1473" t="s">
        <v>1306</v>
      </c>
      <c r="Z649" s="1474" t="s">
        <v>1497</v>
      </c>
      <c r="AA649" s="1473" t="s">
        <v>1306</v>
      </c>
      <c r="AB649" s="1486" t="s">
        <v>30</v>
      </c>
      <c r="AC649" s="1499"/>
      <c r="AD649" s="1500"/>
      <c r="AE649" s="1501"/>
      <c r="AF649" s="1501"/>
      <c r="AG649" s="1457" t="str">
        <f t="shared" si="38"/>
        <v>23調査結果-避難施設等-5（12）-調査者番号</v>
      </c>
      <c r="AI649" s="1459"/>
      <c r="AJ649" s="1459"/>
      <c r="AK649" s="1459"/>
    </row>
    <row r="650" spans="1:37" s="1457" customFormat="1" ht="18.75" customHeight="1" x14ac:dyDescent="0.15">
      <c r="A650" s="1578"/>
      <c r="B650" s="1462"/>
      <c r="C650" s="1462"/>
      <c r="D650" s="1460">
        <f>'1_入力シート【基本情報】'!$AT$447</f>
        <v>0</v>
      </c>
      <c r="E650" s="1650">
        <f t="shared" si="39"/>
        <v>0</v>
      </c>
      <c r="F650" s="1650" t="str">
        <f t="shared" si="40"/>
        <v>0</v>
      </c>
      <c r="G650" s="1650" t="str">
        <f t="shared" si="41"/>
        <v>0</v>
      </c>
      <c r="H650" s="1468"/>
      <c r="I650" s="1462"/>
      <c r="J650" s="1531"/>
      <c r="K650" s="1462"/>
      <c r="L650" s="1462"/>
      <c r="M650" s="1493"/>
      <c r="N650" s="1462"/>
      <c r="O650" s="1462"/>
      <c r="P650" s="1462"/>
      <c r="Q650" s="1462"/>
      <c r="R650" s="1462"/>
      <c r="S650" s="1462"/>
      <c r="T650" s="1462"/>
      <c r="U650" s="1469">
        <v>23</v>
      </c>
      <c r="V650" s="1486" t="s">
        <v>33</v>
      </c>
      <c r="W650" s="1471" t="s">
        <v>1306</v>
      </c>
      <c r="X650" s="1472" t="s">
        <v>110</v>
      </c>
      <c r="Y650" s="1473" t="s">
        <v>1306</v>
      </c>
      <c r="Z650" s="1474" t="s">
        <v>1497</v>
      </c>
      <c r="AA650" s="1473" t="s">
        <v>1306</v>
      </c>
      <c r="AB650" s="1470" t="s">
        <v>1402</v>
      </c>
      <c r="AC650" s="1475"/>
      <c r="AD650" s="1476"/>
      <c r="AE650" s="1501"/>
      <c r="AF650" s="1501"/>
      <c r="AG650" s="1457" t="str">
        <f t="shared" si="38"/>
        <v>23調査結果-避難施設等-5（12）-指摘の具体的内容等</v>
      </c>
      <c r="AI650" s="1459"/>
      <c r="AJ650" s="1459"/>
      <c r="AK650" s="1459"/>
    </row>
    <row r="651" spans="1:37" s="1457" customFormat="1" ht="18.75" customHeight="1" x14ac:dyDescent="0.15">
      <c r="A651" s="1578"/>
      <c r="B651" s="1462"/>
      <c r="C651" s="1462"/>
      <c r="D651" s="1460">
        <f>'1_入力シート【基本情報】'!$BD$447</f>
        <v>0</v>
      </c>
      <c r="E651" s="1650">
        <f t="shared" si="39"/>
        <v>0</v>
      </c>
      <c r="F651" s="1650" t="str">
        <f t="shared" si="40"/>
        <v>0</v>
      </c>
      <c r="G651" s="1650" t="str">
        <f t="shared" si="41"/>
        <v>0</v>
      </c>
      <c r="H651" s="1468"/>
      <c r="I651" s="1462"/>
      <c r="J651" s="1531"/>
      <c r="K651" s="1462"/>
      <c r="L651" s="1462"/>
      <c r="M651" s="1493"/>
      <c r="N651" s="1462"/>
      <c r="O651" s="1462"/>
      <c r="P651" s="1462"/>
      <c r="Q651" s="1462"/>
      <c r="R651" s="1462"/>
      <c r="S651" s="1462"/>
      <c r="T651" s="1462"/>
      <c r="U651" s="1469">
        <v>23</v>
      </c>
      <c r="V651" s="1486" t="s">
        <v>33</v>
      </c>
      <c r="W651" s="1471" t="s">
        <v>1306</v>
      </c>
      <c r="X651" s="1472" t="s">
        <v>110</v>
      </c>
      <c r="Y651" s="1473" t="s">
        <v>1306</v>
      </c>
      <c r="Z651" s="1474" t="s">
        <v>1497</v>
      </c>
      <c r="AA651" s="1473" t="s">
        <v>1306</v>
      </c>
      <c r="AB651" s="1470" t="s">
        <v>1403</v>
      </c>
      <c r="AC651" s="1499"/>
      <c r="AD651" s="1500"/>
      <c r="AE651" s="1501"/>
      <c r="AF651" s="1501"/>
      <c r="AG651" s="1457" t="str">
        <f t="shared" si="38"/>
        <v>23調査結果-避難施設等-5（12）-改善策の具体的内容等</v>
      </c>
      <c r="AI651" s="1459"/>
      <c r="AJ651" s="1459"/>
      <c r="AK651" s="1459"/>
    </row>
    <row r="652" spans="1:37" s="1457" customFormat="1" ht="18.75" customHeight="1" x14ac:dyDescent="0.15">
      <c r="A652" s="1578"/>
      <c r="B652" s="1462"/>
      <c r="C652" s="1462"/>
      <c r="D652" s="1460">
        <f>'1_入力シート【基本情報】'!$BS$447</f>
        <v>0</v>
      </c>
      <c r="E652" s="1650">
        <f t="shared" si="39"/>
        <v>0</v>
      </c>
      <c r="F652" s="1650" t="str">
        <f t="shared" si="40"/>
        <v>0</v>
      </c>
      <c r="G652" s="1650" t="str">
        <f t="shared" si="41"/>
        <v>0</v>
      </c>
      <c r="H652" s="1468"/>
      <c r="I652" s="1462"/>
      <c r="J652" s="1531"/>
      <c r="K652" s="1462"/>
      <c r="L652" s="1462"/>
      <c r="M652" s="1493"/>
      <c r="N652" s="1462"/>
      <c r="O652" s="1462"/>
      <c r="P652" s="1462"/>
      <c r="Q652" s="1462"/>
      <c r="R652" s="1462"/>
      <c r="S652" s="1462"/>
      <c r="T652" s="1462"/>
      <c r="U652" s="1469">
        <v>23</v>
      </c>
      <c r="V652" s="1486" t="s">
        <v>33</v>
      </c>
      <c r="W652" s="1471" t="s">
        <v>1306</v>
      </c>
      <c r="X652" s="1472" t="s">
        <v>110</v>
      </c>
      <c r="Y652" s="1473" t="s">
        <v>1306</v>
      </c>
      <c r="Z652" s="1474" t="s">
        <v>1497</v>
      </c>
      <c r="AA652" s="1473" t="s">
        <v>1306</v>
      </c>
      <c r="AB652" s="1470" t="s">
        <v>352</v>
      </c>
      <c r="AC652" s="1499" t="s">
        <v>1366</v>
      </c>
      <c r="AD652" s="1500" t="s">
        <v>1387</v>
      </c>
      <c r="AE652" s="1501"/>
      <c r="AF652" s="1501"/>
      <c r="AG652" s="1457" t="str">
        <f t="shared" si="38"/>
        <v>23調査結果-避難施設等-5（12）-改善（予定）年月-年（令和）</v>
      </c>
      <c r="AI652" s="1459"/>
      <c r="AJ652" s="1459"/>
      <c r="AK652" s="1459"/>
    </row>
    <row r="653" spans="1:37" s="1457" customFormat="1" ht="18.75" customHeight="1" x14ac:dyDescent="0.15">
      <c r="A653" s="1578"/>
      <c r="B653" s="1462"/>
      <c r="C653" s="1462"/>
      <c r="D653" s="1460">
        <f>'1_入力シート【基本情報】'!$BV$447</f>
        <v>0</v>
      </c>
      <c r="E653" s="1650">
        <f t="shared" ref="E653:E716" si="42">D653</f>
        <v>0</v>
      </c>
      <c r="F653" s="1650" t="str">
        <f t="shared" ref="F653:F716" si="43">SUBSTITUTE(E653,CHAR(10),"")</f>
        <v>0</v>
      </c>
      <c r="G653" s="1650" t="str">
        <f t="shared" ref="G653:G716" si="44">TRIM(F653)</f>
        <v>0</v>
      </c>
      <c r="H653" s="1468"/>
      <c r="I653" s="1462"/>
      <c r="J653" s="1531"/>
      <c r="K653" s="1462"/>
      <c r="L653" s="1462"/>
      <c r="M653" s="1493"/>
      <c r="N653" s="1462"/>
      <c r="O653" s="1462"/>
      <c r="P653" s="1462"/>
      <c r="Q653" s="1462"/>
      <c r="R653" s="1462"/>
      <c r="S653" s="1462"/>
      <c r="T653" s="1462"/>
      <c r="U653" s="1469">
        <v>23</v>
      </c>
      <c r="V653" s="1486" t="s">
        <v>33</v>
      </c>
      <c r="W653" s="1471" t="s">
        <v>1306</v>
      </c>
      <c r="X653" s="1472" t="s">
        <v>110</v>
      </c>
      <c r="Y653" s="1473" t="s">
        <v>1306</v>
      </c>
      <c r="Z653" s="1474" t="s">
        <v>1497</v>
      </c>
      <c r="AA653" s="1473" t="s">
        <v>1306</v>
      </c>
      <c r="AB653" s="1470" t="s">
        <v>352</v>
      </c>
      <c r="AC653" s="1499" t="s">
        <v>1366</v>
      </c>
      <c r="AD653" s="1500" t="s">
        <v>348</v>
      </c>
      <c r="AE653" s="1477"/>
      <c r="AF653" s="1477"/>
      <c r="AG653" s="1457" t="str">
        <f t="shared" si="38"/>
        <v>23調査結果-避難施設等-5（12）-改善（予定）年月-月</v>
      </c>
      <c r="AI653" s="1459"/>
      <c r="AJ653" s="1459"/>
      <c r="AK653" s="1459"/>
    </row>
    <row r="654" spans="1:37" s="1457" customFormat="1" ht="18.75" customHeight="1" x14ac:dyDescent="0.15">
      <c r="A654" s="1578"/>
      <c r="B654" s="1462"/>
      <c r="C654" s="1462"/>
      <c r="D654" s="1460">
        <f>'1_入力シート【基本情報】'!$BY$447</f>
        <v>0</v>
      </c>
      <c r="E654" s="1650">
        <f t="shared" si="42"/>
        <v>0</v>
      </c>
      <c r="F654" s="1650" t="str">
        <f t="shared" si="43"/>
        <v>0</v>
      </c>
      <c r="G654" s="1650" t="str">
        <f t="shared" si="44"/>
        <v>0</v>
      </c>
      <c r="H654" s="1468"/>
      <c r="I654" s="1462"/>
      <c r="J654" s="1531"/>
      <c r="K654" s="1462"/>
      <c r="L654" s="1462"/>
      <c r="M654" s="1493"/>
      <c r="N654" s="1462"/>
      <c r="O654" s="1462"/>
      <c r="P654" s="1462"/>
      <c r="Q654" s="1462"/>
      <c r="R654" s="1462"/>
      <c r="S654" s="1462"/>
      <c r="T654" s="1462"/>
      <c r="U654" s="1469">
        <v>23</v>
      </c>
      <c r="V654" s="1486" t="s">
        <v>33</v>
      </c>
      <c r="W654" s="1471" t="s">
        <v>1306</v>
      </c>
      <c r="X654" s="1472" t="s">
        <v>110</v>
      </c>
      <c r="Y654" s="1473" t="s">
        <v>1306</v>
      </c>
      <c r="Z654" s="1474" t="s">
        <v>1497</v>
      </c>
      <c r="AA654" s="1473" t="s">
        <v>1306</v>
      </c>
      <c r="AB654" s="1470" t="s">
        <v>352</v>
      </c>
      <c r="AC654" s="1499" t="s">
        <v>1366</v>
      </c>
      <c r="AD654" s="1500" t="s">
        <v>640</v>
      </c>
      <c r="AE654" s="1501"/>
      <c r="AF654" s="1501"/>
      <c r="AG654" s="1457" t="str">
        <f t="shared" si="38"/>
        <v>23調査結果-避難施設等-5（12）-改善（予定）年月-未定</v>
      </c>
      <c r="AI654" s="1459"/>
      <c r="AJ654" s="1459"/>
      <c r="AK654" s="1459"/>
    </row>
    <row r="655" spans="1:37" s="1457" customFormat="1" ht="18.75" customHeight="1" x14ac:dyDescent="0.15">
      <c r="A655" s="1578"/>
      <c r="B655" s="1462"/>
      <c r="C655" s="1462"/>
      <c r="D655" s="1460">
        <f>'1_入力シート【基本情報】'!$AF$448</f>
        <v>0</v>
      </c>
      <c r="E655" s="1650">
        <f t="shared" si="42"/>
        <v>0</v>
      </c>
      <c r="F655" s="1650" t="str">
        <f t="shared" si="43"/>
        <v>0</v>
      </c>
      <c r="G655" s="1650" t="str">
        <f t="shared" si="44"/>
        <v>0</v>
      </c>
      <c r="H655" s="1468"/>
      <c r="I655" s="1462"/>
      <c r="J655" s="1531"/>
      <c r="K655" s="1462"/>
      <c r="L655" s="1462"/>
      <c r="M655" s="1493"/>
      <c r="N655" s="1462"/>
      <c r="O655" s="1462"/>
      <c r="P655" s="1462"/>
      <c r="Q655" s="1462"/>
      <c r="R655" s="1462"/>
      <c r="S655" s="1462"/>
      <c r="T655" s="1462"/>
      <c r="U655" s="1469">
        <v>23</v>
      </c>
      <c r="V655" s="1486" t="s">
        <v>33</v>
      </c>
      <c r="W655" s="1471" t="s">
        <v>1306</v>
      </c>
      <c r="X655" s="1472" t="s">
        <v>110</v>
      </c>
      <c r="Y655" s="1473" t="s">
        <v>1306</v>
      </c>
      <c r="Z655" s="1474" t="s">
        <v>1498</v>
      </c>
      <c r="AA655" s="1473" t="s">
        <v>1306</v>
      </c>
      <c r="AB655" s="1486" t="s">
        <v>33</v>
      </c>
      <c r="AC655" s="1499"/>
      <c r="AD655" s="1500"/>
      <c r="AE655" s="1501"/>
      <c r="AF655" s="1501"/>
      <c r="AG655" s="1457" t="str">
        <f t="shared" si="38"/>
        <v>23調査結果-避難施設等-5（13）-調査結果</v>
      </c>
      <c r="AI655" s="1459"/>
      <c r="AJ655" s="1459"/>
      <c r="AK655" s="1459"/>
    </row>
    <row r="656" spans="1:37" s="1457" customFormat="1" ht="18.75" customHeight="1" x14ac:dyDescent="0.15">
      <c r="A656" s="1578"/>
      <c r="B656" s="1462"/>
      <c r="C656" s="1462"/>
      <c r="D656" s="1460">
        <f>'1_入力シート【基本情報】'!$AR$448</f>
        <v>0</v>
      </c>
      <c r="E656" s="1650">
        <f t="shared" si="42"/>
        <v>0</v>
      </c>
      <c r="F656" s="1650" t="str">
        <f t="shared" si="43"/>
        <v>0</v>
      </c>
      <c r="G656" s="1650" t="str">
        <f t="shared" si="44"/>
        <v>0</v>
      </c>
      <c r="H656" s="1468"/>
      <c r="I656" s="1462"/>
      <c r="J656" s="1531"/>
      <c r="K656" s="1462"/>
      <c r="L656" s="1462"/>
      <c r="M656" s="1493"/>
      <c r="N656" s="1462"/>
      <c r="O656" s="1462"/>
      <c r="P656" s="1462"/>
      <c r="Q656" s="1462"/>
      <c r="R656" s="1462"/>
      <c r="S656" s="1462"/>
      <c r="T656" s="1462"/>
      <c r="U656" s="1469">
        <v>23</v>
      </c>
      <c r="V656" s="1486" t="s">
        <v>33</v>
      </c>
      <c r="W656" s="1471" t="s">
        <v>1306</v>
      </c>
      <c r="X656" s="1472" t="s">
        <v>110</v>
      </c>
      <c r="Y656" s="1473" t="s">
        <v>1306</v>
      </c>
      <c r="Z656" s="1474" t="s">
        <v>1498</v>
      </c>
      <c r="AA656" s="1473" t="s">
        <v>1306</v>
      </c>
      <c r="AB656" s="1486" t="s">
        <v>30</v>
      </c>
      <c r="AC656" s="1499"/>
      <c r="AD656" s="1500"/>
      <c r="AE656" s="1501"/>
      <c r="AF656" s="1501"/>
      <c r="AG656" s="1457" t="str">
        <f t="shared" si="38"/>
        <v>23調査結果-避難施設等-5（13）-調査者番号</v>
      </c>
      <c r="AI656" s="1459"/>
      <c r="AJ656" s="1459"/>
      <c r="AK656" s="1459"/>
    </row>
    <row r="657" spans="1:37" s="1457" customFormat="1" ht="18.75" customHeight="1" x14ac:dyDescent="0.15">
      <c r="A657" s="1578"/>
      <c r="B657" s="1462"/>
      <c r="C657" s="1462"/>
      <c r="D657" s="1460">
        <f>'1_入力シート【基本情報】'!$AT$448</f>
        <v>0</v>
      </c>
      <c r="E657" s="1650">
        <f t="shared" si="42"/>
        <v>0</v>
      </c>
      <c r="F657" s="1650" t="str">
        <f t="shared" si="43"/>
        <v>0</v>
      </c>
      <c r="G657" s="1650" t="str">
        <f t="shared" si="44"/>
        <v>0</v>
      </c>
      <c r="H657" s="1468"/>
      <c r="I657" s="1462"/>
      <c r="J657" s="1531"/>
      <c r="K657" s="1462"/>
      <c r="L657" s="1462"/>
      <c r="M657" s="1493"/>
      <c r="N657" s="1462"/>
      <c r="O657" s="1462"/>
      <c r="P657" s="1462"/>
      <c r="Q657" s="1462"/>
      <c r="R657" s="1462"/>
      <c r="S657" s="1462"/>
      <c r="T657" s="1462"/>
      <c r="U657" s="1469">
        <v>23</v>
      </c>
      <c r="V657" s="1486" t="s">
        <v>33</v>
      </c>
      <c r="W657" s="1471" t="s">
        <v>1306</v>
      </c>
      <c r="X657" s="1472" t="s">
        <v>110</v>
      </c>
      <c r="Y657" s="1473" t="s">
        <v>1306</v>
      </c>
      <c r="Z657" s="1474" t="s">
        <v>1498</v>
      </c>
      <c r="AA657" s="1473" t="s">
        <v>1306</v>
      </c>
      <c r="AB657" s="1486" t="s">
        <v>1402</v>
      </c>
      <c r="AC657" s="1499"/>
      <c r="AD657" s="1500"/>
      <c r="AE657" s="1501"/>
      <c r="AF657" s="1501"/>
      <c r="AG657" s="1457" t="str">
        <f t="shared" si="38"/>
        <v>23調査結果-避難施設等-5（13）-指摘の具体的内容等</v>
      </c>
      <c r="AI657" s="1459"/>
      <c r="AJ657" s="1459"/>
      <c r="AK657" s="1459"/>
    </row>
    <row r="658" spans="1:37" s="1457" customFormat="1" ht="18.75" customHeight="1" x14ac:dyDescent="0.15">
      <c r="A658" s="1578"/>
      <c r="B658" s="1462"/>
      <c r="C658" s="1462"/>
      <c r="D658" s="1460">
        <f>'1_入力シート【基本情報】'!$BD$448</f>
        <v>0</v>
      </c>
      <c r="E658" s="1650">
        <f t="shared" si="42"/>
        <v>0</v>
      </c>
      <c r="F658" s="1650" t="str">
        <f t="shared" si="43"/>
        <v>0</v>
      </c>
      <c r="G658" s="1650" t="str">
        <f t="shared" si="44"/>
        <v>0</v>
      </c>
      <c r="H658" s="1468"/>
      <c r="I658" s="1462"/>
      <c r="J658" s="1531"/>
      <c r="K658" s="1462"/>
      <c r="L658" s="1462"/>
      <c r="M658" s="1493"/>
      <c r="N658" s="1462"/>
      <c r="O658" s="1462"/>
      <c r="P658" s="1462"/>
      <c r="Q658" s="1462"/>
      <c r="R658" s="1462"/>
      <c r="S658" s="1462"/>
      <c r="T658" s="1462"/>
      <c r="U658" s="1469">
        <v>23</v>
      </c>
      <c r="V658" s="1486" t="s">
        <v>33</v>
      </c>
      <c r="W658" s="1471" t="s">
        <v>1306</v>
      </c>
      <c r="X658" s="1472" t="s">
        <v>110</v>
      </c>
      <c r="Y658" s="1473" t="s">
        <v>1306</v>
      </c>
      <c r="Z658" s="1474" t="s">
        <v>1498</v>
      </c>
      <c r="AA658" s="1473" t="s">
        <v>1306</v>
      </c>
      <c r="AB658" s="1470" t="s">
        <v>1403</v>
      </c>
      <c r="AC658" s="1475"/>
      <c r="AD658" s="1476"/>
      <c r="AE658" s="1501"/>
      <c r="AF658" s="1501"/>
      <c r="AG658" s="1457" t="str">
        <f t="shared" si="38"/>
        <v>23調査結果-避難施設等-5（13）-改善策の具体的内容等</v>
      </c>
      <c r="AI658" s="1459"/>
      <c r="AJ658" s="1459"/>
      <c r="AK658" s="1459"/>
    </row>
    <row r="659" spans="1:37" s="1457" customFormat="1" ht="18.75" customHeight="1" x14ac:dyDescent="0.15">
      <c r="A659" s="1578"/>
      <c r="B659" s="1462"/>
      <c r="C659" s="1462"/>
      <c r="D659" s="1460">
        <f>'1_入力シート【基本情報】'!$BS$448</f>
        <v>0</v>
      </c>
      <c r="E659" s="1650">
        <f t="shared" si="42"/>
        <v>0</v>
      </c>
      <c r="F659" s="1650" t="str">
        <f t="shared" si="43"/>
        <v>0</v>
      </c>
      <c r="G659" s="1650" t="str">
        <f t="shared" si="44"/>
        <v>0</v>
      </c>
      <c r="H659" s="1468"/>
      <c r="I659" s="1462"/>
      <c r="J659" s="1531"/>
      <c r="K659" s="1462"/>
      <c r="L659" s="1462"/>
      <c r="M659" s="1493"/>
      <c r="N659" s="1462"/>
      <c r="O659" s="1462"/>
      <c r="P659" s="1462"/>
      <c r="Q659" s="1462"/>
      <c r="R659" s="1462"/>
      <c r="S659" s="1462"/>
      <c r="T659" s="1462"/>
      <c r="U659" s="1469">
        <v>23</v>
      </c>
      <c r="V659" s="1486" t="s">
        <v>33</v>
      </c>
      <c r="W659" s="1471" t="s">
        <v>1306</v>
      </c>
      <c r="X659" s="1472" t="s">
        <v>110</v>
      </c>
      <c r="Y659" s="1473" t="s">
        <v>1306</v>
      </c>
      <c r="Z659" s="1474" t="s">
        <v>1498</v>
      </c>
      <c r="AA659" s="1473" t="s">
        <v>1306</v>
      </c>
      <c r="AB659" s="1470" t="s">
        <v>352</v>
      </c>
      <c r="AC659" s="1499" t="s">
        <v>1366</v>
      </c>
      <c r="AD659" s="1500" t="s">
        <v>1387</v>
      </c>
      <c r="AE659" s="1501"/>
      <c r="AF659" s="1501"/>
      <c r="AG659" s="1457" t="str">
        <f t="shared" si="38"/>
        <v>23調査結果-避難施設等-5（13）-改善（予定）年月-年（令和）</v>
      </c>
      <c r="AI659" s="1459"/>
      <c r="AJ659" s="1459"/>
      <c r="AK659" s="1459"/>
    </row>
    <row r="660" spans="1:37" s="1457" customFormat="1" ht="18.75" customHeight="1" x14ac:dyDescent="0.15">
      <c r="A660" s="1578"/>
      <c r="B660" s="1462"/>
      <c r="C660" s="1462"/>
      <c r="D660" s="1460">
        <f>'1_入力シート【基本情報】'!$BV$448</f>
        <v>0</v>
      </c>
      <c r="E660" s="1650">
        <f t="shared" si="42"/>
        <v>0</v>
      </c>
      <c r="F660" s="1650" t="str">
        <f t="shared" si="43"/>
        <v>0</v>
      </c>
      <c r="G660" s="1650" t="str">
        <f t="shared" si="44"/>
        <v>0</v>
      </c>
      <c r="H660" s="1468"/>
      <c r="I660" s="1462"/>
      <c r="J660" s="1531"/>
      <c r="K660" s="1462"/>
      <c r="L660" s="1462"/>
      <c r="M660" s="1493"/>
      <c r="N660" s="1462"/>
      <c r="O660" s="1462"/>
      <c r="P660" s="1462"/>
      <c r="Q660" s="1462"/>
      <c r="R660" s="1462"/>
      <c r="S660" s="1462"/>
      <c r="T660" s="1462"/>
      <c r="U660" s="1469">
        <v>23</v>
      </c>
      <c r="V660" s="1486" t="s">
        <v>33</v>
      </c>
      <c r="W660" s="1471" t="s">
        <v>1306</v>
      </c>
      <c r="X660" s="1472" t="s">
        <v>110</v>
      </c>
      <c r="Y660" s="1473" t="s">
        <v>1306</v>
      </c>
      <c r="Z660" s="1474" t="s">
        <v>1498</v>
      </c>
      <c r="AA660" s="1473" t="s">
        <v>1306</v>
      </c>
      <c r="AB660" s="1470" t="s">
        <v>352</v>
      </c>
      <c r="AC660" s="1499" t="s">
        <v>1366</v>
      </c>
      <c r="AD660" s="1500" t="s">
        <v>348</v>
      </c>
      <c r="AE660" s="1501"/>
      <c r="AF660" s="1501"/>
      <c r="AG660" s="1457" t="str">
        <f t="shared" si="38"/>
        <v>23調査結果-避難施設等-5（13）-改善（予定）年月-月</v>
      </c>
      <c r="AI660" s="1459"/>
      <c r="AJ660" s="1459"/>
      <c r="AK660" s="1459"/>
    </row>
    <row r="661" spans="1:37" s="1457" customFormat="1" ht="18.75" customHeight="1" x14ac:dyDescent="0.15">
      <c r="A661" s="1578"/>
      <c r="B661" s="1462"/>
      <c r="C661" s="1462"/>
      <c r="D661" s="1460">
        <f>'1_入力シート【基本情報】'!$BY$448</f>
        <v>0</v>
      </c>
      <c r="E661" s="1650">
        <f t="shared" si="42"/>
        <v>0</v>
      </c>
      <c r="F661" s="1650" t="str">
        <f t="shared" si="43"/>
        <v>0</v>
      </c>
      <c r="G661" s="1650" t="str">
        <f t="shared" si="44"/>
        <v>0</v>
      </c>
      <c r="H661" s="1468"/>
      <c r="I661" s="1462"/>
      <c r="J661" s="1531"/>
      <c r="K661" s="1462"/>
      <c r="L661" s="1462"/>
      <c r="M661" s="1493"/>
      <c r="N661" s="1462"/>
      <c r="O661" s="1462"/>
      <c r="P661" s="1462"/>
      <c r="Q661" s="1462"/>
      <c r="R661" s="1462"/>
      <c r="S661" s="1462"/>
      <c r="T661" s="1462"/>
      <c r="U661" s="1469">
        <v>23</v>
      </c>
      <c r="V661" s="1486" t="s">
        <v>33</v>
      </c>
      <c r="W661" s="1471" t="s">
        <v>1306</v>
      </c>
      <c r="X661" s="1472" t="s">
        <v>110</v>
      </c>
      <c r="Y661" s="1473" t="s">
        <v>1306</v>
      </c>
      <c r="Z661" s="1474" t="s">
        <v>1498</v>
      </c>
      <c r="AA661" s="1473" t="s">
        <v>1306</v>
      </c>
      <c r="AB661" s="1470" t="s">
        <v>352</v>
      </c>
      <c r="AC661" s="1499" t="s">
        <v>1366</v>
      </c>
      <c r="AD661" s="1500" t="s">
        <v>640</v>
      </c>
      <c r="AE661" s="1477"/>
      <c r="AF661" s="1477"/>
      <c r="AG661" s="1457" t="str">
        <f t="shared" si="38"/>
        <v>23調査結果-避難施設等-5（13）-改善（予定）年月-未定</v>
      </c>
      <c r="AI661" s="1459"/>
      <c r="AJ661" s="1459"/>
      <c r="AK661" s="1459"/>
    </row>
    <row r="662" spans="1:37" s="1457" customFormat="1" ht="18.75" customHeight="1" x14ac:dyDescent="0.15">
      <c r="A662" s="1578"/>
      <c r="B662" s="1462"/>
      <c r="C662" s="1462"/>
      <c r="D662" s="1460">
        <f>'1_入力シート【基本情報】'!$AF$449</f>
        <v>0</v>
      </c>
      <c r="E662" s="1650">
        <f t="shared" si="42"/>
        <v>0</v>
      </c>
      <c r="F662" s="1650" t="str">
        <f t="shared" si="43"/>
        <v>0</v>
      </c>
      <c r="G662" s="1650" t="str">
        <f t="shared" si="44"/>
        <v>0</v>
      </c>
      <c r="H662" s="1468"/>
      <c r="I662" s="1462"/>
      <c r="J662" s="1531"/>
      <c r="K662" s="1462"/>
      <c r="L662" s="1462"/>
      <c r="M662" s="1493"/>
      <c r="N662" s="1462"/>
      <c r="O662" s="1462"/>
      <c r="P662" s="1462"/>
      <c r="Q662" s="1462"/>
      <c r="R662" s="1462"/>
      <c r="S662" s="1462"/>
      <c r="T662" s="1462"/>
      <c r="U662" s="1469">
        <v>23</v>
      </c>
      <c r="V662" s="1486" t="s">
        <v>33</v>
      </c>
      <c r="W662" s="1471" t="s">
        <v>1306</v>
      </c>
      <c r="X662" s="1472" t="s">
        <v>110</v>
      </c>
      <c r="Y662" s="1473" t="s">
        <v>1306</v>
      </c>
      <c r="Z662" s="1474" t="s">
        <v>1499</v>
      </c>
      <c r="AA662" s="1473" t="s">
        <v>1306</v>
      </c>
      <c r="AB662" s="1470" t="s">
        <v>33</v>
      </c>
      <c r="AC662" s="1499"/>
      <c r="AD662" s="1500"/>
      <c r="AE662" s="1501"/>
      <c r="AF662" s="1501"/>
      <c r="AG662" s="1457" t="str">
        <f t="shared" si="38"/>
        <v>23調査結果-避難施設等-5（14）-調査結果</v>
      </c>
      <c r="AI662" s="1459"/>
      <c r="AJ662" s="1459"/>
      <c r="AK662" s="1459"/>
    </row>
    <row r="663" spans="1:37" s="1457" customFormat="1" ht="18.75" customHeight="1" x14ac:dyDescent="0.15">
      <c r="A663" s="1578"/>
      <c r="B663" s="1462"/>
      <c r="C663" s="1462"/>
      <c r="D663" s="1460">
        <f>'1_入力シート【基本情報】'!$AR$449</f>
        <v>0</v>
      </c>
      <c r="E663" s="1650">
        <f t="shared" si="42"/>
        <v>0</v>
      </c>
      <c r="F663" s="1650" t="str">
        <f t="shared" si="43"/>
        <v>0</v>
      </c>
      <c r="G663" s="1650" t="str">
        <f t="shared" si="44"/>
        <v>0</v>
      </c>
      <c r="H663" s="1468"/>
      <c r="I663" s="1462"/>
      <c r="J663" s="1531"/>
      <c r="K663" s="1462"/>
      <c r="L663" s="1462"/>
      <c r="M663" s="1493"/>
      <c r="N663" s="1462"/>
      <c r="O663" s="1462"/>
      <c r="P663" s="1462"/>
      <c r="Q663" s="1462"/>
      <c r="R663" s="1462"/>
      <c r="S663" s="1462"/>
      <c r="T663" s="1462"/>
      <c r="U663" s="1469">
        <v>23</v>
      </c>
      <c r="V663" s="1486" t="s">
        <v>33</v>
      </c>
      <c r="W663" s="1471" t="s">
        <v>1306</v>
      </c>
      <c r="X663" s="1472" t="s">
        <v>110</v>
      </c>
      <c r="Y663" s="1473" t="s">
        <v>1306</v>
      </c>
      <c r="Z663" s="1474" t="s">
        <v>1499</v>
      </c>
      <c r="AA663" s="1473" t="s">
        <v>1306</v>
      </c>
      <c r="AB663" s="1486" t="s">
        <v>30</v>
      </c>
      <c r="AC663" s="1499"/>
      <c r="AD663" s="1500"/>
      <c r="AE663" s="1501"/>
      <c r="AF663" s="1501"/>
      <c r="AG663" s="1457" t="str">
        <f t="shared" si="38"/>
        <v>23調査結果-避難施設等-5（14）-調査者番号</v>
      </c>
      <c r="AI663" s="1459"/>
      <c r="AJ663" s="1459"/>
      <c r="AK663" s="1459"/>
    </row>
    <row r="664" spans="1:37" s="1457" customFormat="1" ht="18.75" customHeight="1" x14ac:dyDescent="0.15">
      <c r="A664" s="1578"/>
      <c r="B664" s="1462"/>
      <c r="C664" s="1462"/>
      <c r="D664" s="1460">
        <f>'1_入力シート【基本情報】'!$AT$449</f>
        <v>0</v>
      </c>
      <c r="E664" s="1650">
        <f t="shared" si="42"/>
        <v>0</v>
      </c>
      <c r="F664" s="1650" t="str">
        <f t="shared" si="43"/>
        <v>0</v>
      </c>
      <c r="G664" s="1650" t="str">
        <f t="shared" si="44"/>
        <v>0</v>
      </c>
      <c r="H664" s="1468"/>
      <c r="I664" s="1462"/>
      <c r="J664" s="1531"/>
      <c r="K664" s="1462"/>
      <c r="L664" s="1462"/>
      <c r="M664" s="1493"/>
      <c r="N664" s="1462"/>
      <c r="O664" s="1462"/>
      <c r="P664" s="1462"/>
      <c r="Q664" s="1462"/>
      <c r="R664" s="1462"/>
      <c r="S664" s="1462"/>
      <c r="T664" s="1462"/>
      <c r="U664" s="1469">
        <v>23</v>
      </c>
      <c r="V664" s="1486" t="s">
        <v>33</v>
      </c>
      <c r="W664" s="1471" t="s">
        <v>1306</v>
      </c>
      <c r="X664" s="1472" t="s">
        <v>110</v>
      </c>
      <c r="Y664" s="1473" t="s">
        <v>1306</v>
      </c>
      <c r="Z664" s="1474" t="s">
        <v>1499</v>
      </c>
      <c r="AA664" s="1473" t="s">
        <v>1306</v>
      </c>
      <c r="AB664" s="1486" t="s">
        <v>1402</v>
      </c>
      <c r="AC664" s="1499"/>
      <c r="AD664" s="1500"/>
      <c r="AE664" s="1501"/>
      <c r="AF664" s="1501"/>
      <c r="AG664" s="1457" t="str">
        <f t="shared" si="38"/>
        <v>23調査結果-避難施設等-5（14）-指摘の具体的内容等</v>
      </c>
      <c r="AI664" s="1459"/>
      <c r="AJ664" s="1459"/>
      <c r="AK664" s="1459"/>
    </row>
    <row r="665" spans="1:37" s="1457" customFormat="1" ht="18.75" customHeight="1" x14ac:dyDescent="0.15">
      <c r="A665" s="1578"/>
      <c r="B665" s="1462"/>
      <c r="C665" s="1462"/>
      <c r="D665" s="1460">
        <f>'1_入力シート【基本情報】'!$BD$449</f>
        <v>0</v>
      </c>
      <c r="E665" s="1650">
        <f t="shared" si="42"/>
        <v>0</v>
      </c>
      <c r="F665" s="1650" t="str">
        <f t="shared" si="43"/>
        <v>0</v>
      </c>
      <c r="G665" s="1650" t="str">
        <f t="shared" si="44"/>
        <v>0</v>
      </c>
      <c r="H665" s="1468"/>
      <c r="I665" s="1462"/>
      <c r="J665" s="1531"/>
      <c r="K665" s="1462"/>
      <c r="L665" s="1462"/>
      <c r="M665" s="1493"/>
      <c r="N665" s="1462"/>
      <c r="O665" s="1462"/>
      <c r="P665" s="1462"/>
      <c r="Q665" s="1462"/>
      <c r="R665" s="1462"/>
      <c r="S665" s="1462"/>
      <c r="T665" s="1462"/>
      <c r="U665" s="1469">
        <v>23</v>
      </c>
      <c r="V665" s="1486" t="s">
        <v>33</v>
      </c>
      <c r="W665" s="1471" t="s">
        <v>1306</v>
      </c>
      <c r="X665" s="1472" t="s">
        <v>110</v>
      </c>
      <c r="Y665" s="1473" t="s">
        <v>1306</v>
      </c>
      <c r="Z665" s="1474" t="s">
        <v>1499</v>
      </c>
      <c r="AA665" s="1473" t="s">
        <v>1306</v>
      </c>
      <c r="AB665" s="1486" t="s">
        <v>1403</v>
      </c>
      <c r="AC665" s="1499"/>
      <c r="AD665" s="1500"/>
      <c r="AE665" s="1501"/>
      <c r="AF665" s="1501"/>
      <c r="AG665" s="1457" t="str">
        <f t="shared" si="38"/>
        <v>23調査結果-避難施設等-5（14）-改善策の具体的内容等</v>
      </c>
      <c r="AI665" s="1459"/>
      <c r="AJ665" s="1459"/>
      <c r="AK665" s="1459"/>
    </row>
    <row r="666" spans="1:37" s="1457" customFormat="1" ht="18.75" customHeight="1" x14ac:dyDescent="0.15">
      <c r="A666" s="1578"/>
      <c r="B666" s="1462"/>
      <c r="C666" s="1462"/>
      <c r="D666" s="1460">
        <f>'1_入力シート【基本情報】'!$BS$449</f>
        <v>0</v>
      </c>
      <c r="E666" s="1650">
        <f t="shared" si="42"/>
        <v>0</v>
      </c>
      <c r="F666" s="1650" t="str">
        <f t="shared" si="43"/>
        <v>0</v>
      </c>
      <c r="G666" s="1650" t="str">
        <f t="shared" si="44"/>
        <v>0</v>
      </c>
      <c r="H666" s="1468"/>
      <c r="I666" s="1462"/>
      <c r="J666" s="1531"/>
      <c r="K666" s="1462"/>
      <c r="L666" s="1462"/>
      <c r="M666" s="1493"/>
      <c r="N666" s="1462"/>
      <c r="O666" s="1462"/>
      <c r="P666" s="1462"/>
      <c r="Q666" s="1462"/>
      <c r="R666" s="1462"/>
      <c r="S666" s="1462"/>
      <c r="T666" s="1462"/>
      <c r="U666" s="1469">
        <v>23</v>
      </c>
      <c r="V666" s="1486" t="s">
        <v>33</v>
      </c>
      <c r="W666" s="1471" t="s">
        <v>1306</v>
      </c>
      <c r="X666" s="1472" t="s">
        <v>110</v>
      </c>
      <c r="Y666" s="1473" t="s">
        <v>1306</v>
      </c>
      <c r="Z666" s="1474" t="s">
        <v>1499</v>
      </c>
      <c r="AA666" s="1473" t="s">
        <v>1306</v>
      </c>
      <c r="AB666" s="1470" t="s">
        <v>352</v>
      </c>
      <c r="AC666" s="1475" t="s">
        <v>1366</v>
      </c>
      <c r="AD666" s="1476" t="s">
        <v>1387</v>
      </c>
      <c r="AE666" s="1501"/>
      <c r="AF666" s="1501"/>
      <c r="AG666" s="1457" t="str">
        <f t="shared" si="38"/>
        <v>23調査結果-避難施設等-5（14）-改善（予定）年月-年（令和）</v>
      </c>
      <c r="AI666" s="1459"/>
      <c r="AJ666" s="1459"/>
      <c r="AK666" s="1459"/>
    </row>
    <row r="667" spans="1:37" s="1457" customFormat="1" ht="18.75" customHeight="1" x14ac:dyDescent="0.15">
      <c r="A667" s="1578"/>
      <c r="B667" s="1462"/>
      <c r="C667" s="1462"/>
      <c r="D667" s="1460">
        <f>'1_入力シート【基本情報】'!$BV$449</f>
        <v>0</v>
      </c>
      <c r="E667" s="1650">
        <f t="shared" si="42"/>
        <v>0</v>
      </c>
      <c r="F667" s="1650" t="str">
        <f t="shared" si="43"/>
        <v>0</v>
      </c>
      <c r="G667" s="1650" t="str">
        <f t="shared" si="44"/>
        <v>0</v>
      </c>
      <c r="H667" s="1468"/>
      <c r="I667" s="1462"/>
      <c r="J667" s="1531"/>
      <c r="K667" s="1462"/>
      <c r="L667" s="1462"/>
      <c r="M667" s="1493"/>
      <c r="N667" s="1462"/>
      <c r="O667" s="1462"/>
      <c r="P667" s="1462"/>
      <c r="Q667" s="1462"/>
      <c r="R667" s="1462"/>
      <c r="S667" s="1462"/>
      <c r="T667" s="1462"/>
      <c r="U667" s="1469">
        <v>23</v>
      </c>
      <c r="V667" s="1486" t="s">
        <v>33</v>
      </c>
      <c r="W667" s="1471" t="s">
        <v>1306</v>
      </c>
      <c r="X667" s="1472" t="s">
        <v>110</v>
      </c>
      <c r="Y667" s="1473" t="s">
        <v>1306</v>
      </c>
      <c r="Z667" s="1474" t="s">
        <v>1499</v>
      </c>
      <c r="AA667" s="1473" t="s">
        <v>1306</v>
      </c>
      <c r="AB667" s="1470" t="s">
        <v>352</v>
      </c>
      <c r="AC667" s="1499" t="s">
        <v>1366</v>
      </c>
      <c r="AD667" s="1500" t="s">
        <v>348</v>
      </c>
      <c r="AE667" s="1501"/>
      <c r="AF667" s="1501"/>
      <c r="AG667" s="1457" t="str">
        <f t="shared" si="38"/>
        <v>23調査結果-避難施設等-5（14）-改善（予定）年月-月</v>
      </c>
      <c r="AI667" s="1459"/>
      <c r="AJ667" s="1459"/>
      <c r="AK667" s="1459"/>
    </row>
    <row r="668" spans="1:37" s="1457" customFormat="1" ht="18.75" customHeight="1" x14ac:dyDescent="0.15">
      <c r="A668" s="1578"/>
      <c r="B668" s="1462"/>
      <c r="C668" s="1462"/>
      <c r="D668" s="1460">
        <f>'1_入力シート【基本情報】'!$BY$449</f>
        <v>0</v>
      </c>
      <c r="E668" s="1650">
        <f t="shared" si="42"/>
        <v>0</v>
      </c>
      <c r="F668" s="1650" t="str">
        <f t="shared" si="43"/>
        <v>0</v>
      </c>
      <c r="G668" s="1650" t="str">
        <f t="shared" si="44"/>
        <v>0</v>
      </c>
      <c r="H668" s="1468"/>
      <c r="I668" s="1462"/>
      <c r="J668" s="1531"/>
      <c r="K668" s="1462"/>
      <c r="L668" s="1462"/>
      <c r="M668" s="1493"/>
      <c r="N668" s="1462"/>
      <c r="O668" s="1462"/>
      <c r="P668" s="1462"/>
      <c r="Q668" s="1462"/>
      <c r="R668" s="1462"/>
      <c r="S668" s="1462"/>
      <c r="T668" s="1462"/>
      <c r="U668" s="1469">
        <v>23</v>
      </c>
      <c r="V668" s="1486" t="s">
        <v>33</v>
      </c>
      <c r="W668" s="1471" t="s">
        <v>1306</v>
      </c>
      <c r="X668" s="1472" t="s">
        <v>110</v>
      </c>
      <c r="Y668" s="1473" t="s">
        <v>1306</v>
      </c>
      <c r="Z668" s="1474" t="s">
        <v>1499</v>
      </c>
      <c r="AA668" s="1473" t="s">
        <v>1306</v>
      </c>
      <c r="AB668" s="1470" t="s">
        <v>352</v>
      </c>
      <c r="AC668" s="1499" t="s">
        <v>1366</v>
      </c>
      <c r="AD668" s="1500" t="s">
        <v>640</v>
      </c>
      <c r="AE668" s="1501"/>
      <c r="AF668" s="1501"/>
      <c r="AG668" s="1457" t="str">
        <f t="shared" si="38"/>
        <v>23調査結果-避難施設等-5（14）-改善（予定）年月-未定</v>
      </c>
      <c r="AI668" s="1459"/>
      <c r="AJ668" s="1459"/>
      <c r="AK668" s="1459"/>
    </row>
    <row r="669" spans="1:37" s="1457" customFormat="1" ht="18.75" customHeight="1" x14ac:dyDescent="0.15">
      <c r="A669" s="1578"/>
      <c r="B669" s="1462"/>
      <c r="C669" s="1462"/>
      <c r="D669" s="1460">
        <f>'1_入力シート【基本情報】'!$AF$450</f>
        <v>0</v>
      </c>
      <c r="E669" s="1650">
        <f t="shared" si="42"/>
        <v>0</v>
      </c>
      <c r="F669" s="1650" t="str">
        <f t="shared" si="43"/>
        <v>0</v>
      </c>
      <c r="G669" s="1650" t="str">
        <f t="shared" si="44"/>
        <v>0</v>
      </c>
      <c r="H669" s="1468"/>
      <c r="I669" s="1462"/>
      <c r="J669" s="1531"/>
      <c r="K669" s="1462"/>
      <c r="L669" s="1462"/>
      <c r="M669" s="1493"/>
      <c r="N669" s="1462"/>
      <c r="O669" s="1462"/>
      <c r="P669" s="1462"/>
      <c r="Q669" s="1462"/>
      <c r="R669" s="1462"/>
      <c r="S669" s="1462"/>
      <c r="T669" s="1462"/>
      <c r="U669" s="1469">
        <v>23</v>
      </c>
      <c r="V669" s="1486" t="s">
        <v>33</v>
      </c>
      <c r="W669" s="1471" t="s">
        <v>1306</v>
      </c>
      <c r="X669" s="1472" t="s">
        <v>110</v>
      </c>
      <c r="Y669" s="1473" t="s">
        <v>1306</v>
      </c>
      <c r="Z669" s="1474" t="s">
        <v>1500</v>
      </c>
      <c r="AA669" s="1473" t="s">
        <v>1306</v>
      </c>
      <c r="AB669" s="1470" t="s">
        <v>33</v>
      </c>
      <c r="AC669" s="1499"/>
      <c r="AD669" s="1500"/>
      <c r="AE669" s="1477"/>
      <c r="AF669" s="1477"/>
      <c r="AG669" s="1457" t="str">
        <f t="shared" si="38"/>
        <v>23調査結果-避難施設等-5（15）-調査結果</v>
      </c>
      <c r="AI669" s="1459"/>
      <c r="AJ669" s="1459"/>
      <c r="AK669" s="1459"/>
    </row>
    <row r="670" spans="1:37" s="1457" customFormat="1" ht="18.75" customHeight="1" x14ac:dyDescent="0.15">
      <c r="A670" s="1578"/>
      <c r="B670" s="1462"/>
      <c r="C670" s="1462"/>
      <c r="D670" s="1460">
        <f>'1_入力シート【基本情報】'!$AR$450</f>
        <v>0</v>
      </c>
      <c r="E670" s="1650">
        <f t="shared" si="42"/>
        <v>0</v>
      </c>
      <c r="F670" s="1650" t="str">
        <f t="shared" si="43"/>
        <v>0</v>
      </c>
      <c r="G670" s="1650" t="str">
        <f t="shared" si="44"/>
        <v>0</v>
      </c>
      <c r="H670" s="1468"/>
      <c r="I670" s="1462"/>
      <c r="J670" s="1531"/>
      <c r="K670" s="1462"/>
      <c r="L670" s="1462"/>
      <c r="M670" s="1493"/>
      <c r="N670" s="1462"/>
      <c r="O670" s="1462"/>
      <c r="P670" s="1462"/>
      <c r="Q670" s="1462"/>
      <c r="R670" s="1462"/>
      <c r="S670" s="1462"/>
      <c r="T670" s="1462"/>
      <c r="U670" s="1469">
        <v>23</v>
      </c>
      <c r="V670" s="1486" t="s">
        <v>33</v>
      </c>
      <c r="W670" s="1471" t="s">
        <v>1306</v>
      </c>
      <c r="X670" s="1472" t="s">
        <v>110</v>
      </c>
      <c r="Y670" s="1473" t="s">
        <v>1306</v>
      </c>
      <c r="Z670" s="1474" t="s">
        <v>1500</v>
      </c>
      <c r="AA670" s="1473" t="s">
        <v>1306</v>
      </c>
      <c r="AB670" s="1470" t="s">
        <v>30</v>
      </c>
      <c r="AC670" s="1499"/>
      <c r="AD670" s="1500"/>
      <c r="AE670" s="1501"/>
      <c r="AF670" s="1501"/>
      <c r="AG670" s="1457" t="str">
        <f t="shared" si="38"/>
        <v>23調査結果-避難施設等-5（15）-調査者番号</v>
      </c>
      <c r="AI670" s="1459"/>
      <c r="AJ670" s="1459"/>
      <c r="AK670" s="1459"/>
    </row>
    <row r="671" spans="1:37" s="1457" customFormat="1" ht="18.75" customHeight="1" x14ac:dyDescent="0.15">
      <c r="A671" s="1578"/>
      <c r="B671" s="1462"/>
      <c r="C671" s="1462"/>
      <c r="D671" s="1460">
        <f>'1_入力シート【基本情報】'!$AT$450</f>
        <v>0</v>
      </c>
      <c r="E671" s="1650">
        <f t="shared" si="42"/>
        <v>0</v>
      </c>
      <c r="F671" s="1650" t="str">
        <f t="shared" si="43"/>
        <v>0</v>
      </c>
      <c r="G671" s="1650" t="str">
        <f t="shared" si="44"/>
        <v>0</v>
      </c>
      <c r="H671" s="1468"/>
      <c r="I671" s="1462"/>
      <c r="J671" s="1531"/>
      <c r="K671" s="1462"/>
      <c r="L671" s="1462"/>
      <c r="M671" s="1493"/>
      <c r="N671" s="1462"/>
      <c r="O671" s="1462"/>
      <c r="P671" s="1462"/>
      <c r="Q671" s="1462"/>
      <c r="R671" s="1462"/>
      <c r="S671" s="1462"/>
      <c r="T671" s="1462"/>
      <c r="U671" s="1469">
        <v>23</v>
      </c>
      <c r="V671" s="1486" t="s">
        <v>33</v>
      </c>
      <c r="W671" s="1471" t="s">
        <v>1306</v>
      </c>
      <c r="X671" s="1472" t="s">
        <v>110</v>
      </c>
      <c r="Y671" s="1473" t="s">
        <v>1306</v>
      </c>
      <c r="Z671" s="1474" t="s">
        <v>1500</v>
      </c>
      <c r="AA671" s="1473" t="s">
        <v>1306</v>
      </c>
      <c r="AB671" s="1486" t="s">
        <v>1402</v>
      </c>
      <c r="AC671" s="1499"/>
      <c r="AD671" s="1500"/>
      <c r="AE671" s="1501"/>
      <c r="AF671" s="1501"/>
      <c r="AG671" s="1457" t="str">
        <f t="shared" si="38"/>
        <v>23調査結果-避難施設等-5（15）-指摘の具体的内容等</v>
      </c>
      <c r="AI671" s="1459"/>
      <c r="AJ671" s="1459"/>
      <c r="AK671" s="1459"/>
    </row>
    <row r="672" spans="1:37" s="1457" customFormat="1" ht="18.75" customHeight="1" x14ac:dyDescent="0.15">
      <c r="A672" s="1578"/>
      <c r="B672" s="1462"/>
      <c r="C672" s="1462"/>
      <c r="D672" s="1460">
        <f>'1_入力シート【基本情報】'!$BD$450</f>
        <v>0</v>
      </c>
      <c r="E672" s="1650">
        <f t="shared" si="42"/>
        <v>0</v>
      </c>
      <c r="F672" s="1650" t="str">
        <f t="shared" si="43"/>
        <v>0</v>
      </c>
      <c r="G672" s="1650" t="str">
        <f t="shared" si="44"/>
        <v>0</v>
      </c>
      <c r="H672" s="1468"/>
      <c r="I672" s="1462"/>
      <c r="J672" s="1531"/>
      <c r="K672" s="1462"/>
      <c r="L672" s="1462"/>
      <c r="M672" s="1493"/>
      <c r="N672" s="1462"/>
      <c r="O672" s="1462"/>
      <c r="P672" s="1462"/>
      <c r="Q672" s="1462"/>
      <c r="R672" s="1462"/>
      <c r="S672" s="1462"/>
      <c r="T672" s="1462"/>
      <c r="U672" s="1469">
        <v>23</v>
      </c>
      <c r="V672" s="1486" t="s">
        <v>33</v>
      </c>
      <c r="W672" s="1471" t="s">
        <v>1306</v>
      </c>
      <c r="X672" s="1472" t="s">
        <v>110</v>
      </c>
      <c r="Y672" s="1473" t="s">
        <v>1306</v>
      </c>
      <c r="Z672" s="1474" t="s">
        <v>1500</v>
      </c>
      <c r="AA672" s="1473" t="s">
        <v>1306</v>
      </c>
      <c r="AB672" s="1486" t="s">
        <v>1403</v>
      </c>
      <c r="AC672" s="1499"/>
      <c r="AD672" s="1500"/>
      <c r="AE672" s="1501"/>
      <c r="AF672" s="1501"/>
      <c r="AG672" s="1457" t="str">
        <f t="shared" si="38"/>
        <v>23調査結果-避難施設等-5（15）-改善策の具体的内容等</v>
      </c>
      <c r="AI672" s="1459"/>
      <c r="AJ672" s="1459"/>
      <c r="AK672" s="1459"/>
    </row>
    <row r="673" spans="1:37" s="1457" customFormat="1" ht="18.75" customHeight="1" x14ac:dyDescent="0.15">
      <c r="A673" s="1578"/>
      <c r="B673" s="1462"/>
      <c r="C673" s="1462"/>
      <c r="D673" s="1460">
        <f>'1_入力シート【基本情報】'!$BS$450</f>
        <v>0</v>
      </c>
      <c r="E673" s="1650">
        <f t="shared" si="42"/>
        <v>0</v>
      </c>
      <c r="F673" s="1650" t="str">
        <f t="shared" si="43"/>
        <v>0</v>
      </c>
      <c r="G673" s="1650" t="str">
        <f t="shared" si="44"/>
        <v>0</v>
      </c>
      <c r="H673" s="1468"/>
      <c r="I673" s="1462"/>
      <c r="J673" s="1531"/>
      <c r="K673" s="1462"/>
      <c r="L673" s="1462"/>
      <c r="M673" s="1493"/>
      <c r="N673" s="1462"/>
      <c r="O673" s="1462"/>
      <c r="P673" s="1462"/>
      <c r="Q673" s="1462"/>
      <c r="R673" s="1462"/>
      <c r="S673" s="1462"/>
      <c r="T673" s="1462"/>
      <c r="U673" s="1469">
        <v>23</v>
      </c>
      <c r="V673" s="1486" t="s">
        <v>33</v>
      </c>
      <c r="W673" s="1471" t="s">
        <v>1306</v>
      </c>
      <c r="X673" s="1472" t="s">
        <v>110</v>
      </c>
      <c r="Y673" s="1473" t="s">
        <v>1306</v>
      </c>
      <c r="Z673" s="1474" t="s">
        <v>1500</v>
      </c>
      <c r="AA673" s="1473" t="s">
        <v>1306</v>
      </c>
      <c r="AB673" s="1486" t="s">
        <v>352</v>
      </c>
      <c r="AC673" s="1499" t="s">
        <v>1366</v>
      </c>
      <c r="AD673" s="1500" t="s">
        <v>1387</v>
      </c>
      <c r="AE673" s="1501"/>
      <c r="AF673" s="1501"/>
      <c r="AG673" s="1457" t="str">
        <f t="shared" si="38"/>
        <v>23調査結果-避難施設等-5（15）-改善（予定）年月-年（令和）</v>
      </c>
      <c r="AI673" s="1459"/>
      <c r="AJ673" s="1459"/>
      <c r="AK673" s="1459"/>
    </row>
    <row r="674" spans="1:37" s="1457" customFormat="1" ht="18.75" customHeight="1" x14ac:dyDescent="0.15">
      <c r="A674" s="1578"/>
      <c r="B674" s="1462"/>
      <c r="C674" s="1462"/>
      <c r="D674" s="1460">
        <f>'1_入力シート【基本情報】'!$BV$450</f>
        <v>0</v>
      </c>
      <c r="E674" s="1650">
        <f t="shared" si="42"/>
        <v>0</v>
      </c>
      <c r="F674" s="1650" t="str">
        <f t="shared" si="43"/>
        <v>0</v>
      </c>
      <c r="G674" s="1650" t="str">
        <f t="shared" si="44"/>
        <v>0</v>
      </c>
      <c r="H674" s="1468"/>
      <c r="I674" s="1462"/>
      <c r="J674" s="1531"/>
      <c r="K674" s="1462"/>
      <c r="L674" s="1462"/>
      <c r="M674" s="1493"/>
      <c r="N674" s="1462"/>
      <c r="O674" s="1462"/>
      <c r="P674" s="1462"/>
      <c r="Q674" s="1462"/>
      <c r="R674" s="1462"/>
      <c r="S674" s="1462"/>
      <c r="T674" s="1462"/>
      <c r="U674" s="1469">
        <v>23</v>
      </c>
      <c r="V674" s="1486" t="s">
        <v>33</v>
      </c>
      <c r="W674" s="1471" t="s">
        <v>1306</v>
      </c>
      <c r="X674" s="1472" t="s">
        <v>110</v>
      </c>
      <c r="Y674" s="1473" t="s">
        <v>1306</v>
      </c>
      <c r="Z674" s="1474" t="s">
        <v>1500</v>
      </c>
      <c r="AA674" s="1473" t="s">
        <v>1306</v>
      </c>
      <c r="AB674" s="1470" t="s">
        <v>352</v>
      </c>
      <c r="AC674" s="1475" t="s">
        <v>1366</v>
      </c>
      <c r="AD674" s="1476" t="s">
        <v>348</v>
      </c>
      <c r="AE674" s="1501"/>
      <c r="AF674" s="1501"/>
      <c r="AG674" s="1457" t="str">
        <f t="shared" si="38"/>
        <v>23調査結果-避難施設等-5（15）-改善（予定）年月-月</v>
      </c>
      <c r="AI674" s="1459"/>
      <c r="AJ674" s="1459"/>
      <c r="AK674" s="1459"/>
    </row>
    <row r="675" spans="1:37" s="1457" customFormat="1" ht="18.75" customHeight="1" x14ac:dyDescent="0.15">
      <c r="A675" s="1578"/>
      <c r="B675" s="1462"/>
      <c r="C675" s="1462"/>
      <c r="D675" s="1460">
        <f>'1_入力シート【基本情報】'!$BY$450</f>
        <v>0</v>
      </c>
      <c r="E675" s="1650">
        <f t="shared" si="42"/>
        <v>0</v>
      </c>
      <c r="F675" s="1650" t="str">
        <f t="shared" si="43"/>
        <v>0</v>
      </c>
      <c r="G675" s="1650" t="str">
        <f t="shared" si="44"/>
        <v>0</v>
      </c>
      <c r="H675" s="1468"/>
      <c r="I675" s="1462"/>
      <c r="J675" s="1531"/>
      <c r="K675" s="1462"/>
      <c r="L675" s="1462"/>
      <c r="M675" s="1493"/>
      <c r="N675" s="1462"/>
      <c r="O675" s="1462"/>
      <c r="P675" s="1462"/>
      <c r="Q675" s="1462"/>
      <c r="R675" s="1462"/>
      <c r="S675" s="1462"/>
      <c r="T675" s="1462"/>
      <c r="U675" s="1469">
        <v>23</v>
      </c>
      <c r="V675" s="1486" t="s">
        <v>33</v>
      </c>
      <c r="W675" s="1471" t="s">
        <v>1306</v>
      </c>
      <c r="X675" s="1472" t="s">
        <v>110</v>
      </c>
      <c r="Y675" s="1473" t="s">
        <v>1306</v>
      </c>
      <c r="Z675" s="1474" t="s">
        <v>1500</v>
      </c>
      <c r="AA675" s="1473" t="s">
        <v>1306</v>
      </c>
      <c r="AB675" s="1470" t="s">
        <v>352</v>
      </c>
      <c r="AC675" s="1499" t="s">
        <v>1366</v>
      </c>
      <c r="AD675" s="1500" t="s">
        <v>640</v>
      </c>
      <c r="AE675" s="1501"/>
      <c r="AF675" s="1501"/>
      <c r="AG675" s="1457" t="str">
        <f t="shared" si="38"/>
        <v>23調査結果-避難施設等-5（15）-改善（予定）年月-未定</v>
      </c>
      <c r="AI675" s="1459"/>
      <c r="AJ675" s="1459"/>
      <c r="AK675" s="1459"/>
    </row>
    <row r="676" spans="1:37" s="1457" customFormat="1" ht="18.75" customHeight="1" x14ac:dyDescent="0.15">
      <c r="A676" s="1578"/>
      <c r="B676" s="1462"/>
      <c r="C676" s="1462"/>
      <c r="D676" s="1460">
        <f>'1_入力シート【基本情報】'!$AF$451</f>
        <v>0</v>
      </c>
      <c r="E676" s="1650">
        <f t="shared" si="42"/>
        <v>0</v>
      </c>
      <c r="F676" s="1650" t="str">
        <f t="shared" si="43"/>
        <v>0</v>
      </c>
      <c r="G676" s="1650" t="str">
        <f t="shared" si="44"/>
        <v>0</v>
      </c>
      <c r="H676" s="1468"/>
      <c r="I676" s="1462"/>
      <c r="J676" s="1531"/>
      <c r="K676" s="1462"/>
      <c r="L676" s="1462"/>
      <c r="M676" s="1493"/>
      <c r="N676" s="1462"/>
      <c r="O676" s="1462"/>
      <c r="P676" s="1462"/>
      <c r="Q676" s="1462"/>
      <c r="R676" s="1462"/>
      <c r="S676" s="1462"/>
      <c r="T676" s="1462"/>
      <c r="U676" s="1469">
        <v>23</v>
      </c>
      <c r="V676" s="1486" t="s">
        <v>33</v>
      </c>
      <c r="W676" s="1471" t="s">
        <v>1306</v>
      </c>
      <c r="X676" s="1472" t="s">
        <v>110</v>
      </c>
      <c r="Y676" s="1473" t="s">
        <v>1306</v>
      </c>
      <c r="Z676" s="1474" t="s">
        <v>1501</v>
      </c>
      <c r="AA676" s="1473" t="s">
        <v>1306</v>
      </c>
      <c r="AB676" s="1470" t="s">
        <v>33</v>
      </c>
      <c r="AC676" s="1499"/>
      <c r="AD676" s="1500"/>
      <c r="AE676" s="1501"/>
      <c r="AF676" s="1501"/>
      <c r="AG676" s="1457" t="str">
        <f t="shared" si="38"/>
        <v>23調査結果-避難施設等-5（16）-調査結果</v>
      </c>
      <c r="AI676" s="1459"/>
      <c r="AJ676" s="1459"/>
      <c r="AK676" s="1459"/>
    </row>
    <row r="677" spans="1:37" s="1457" customFormat="1" ht="18.75" customHeight="1" x14ac:dyDescent="0.15">
      <c r="A677" s="1578"/>
      <c r="B677" s="1462"/>
      <c r="C677" s="1462"/>
      <c r="D677" s="1460">
        <f>'1_入力シート【基本情報】'!$AR$451</f>
        <v>0</v>
      </c>
      <c r="E677" s="1650">
        <f t="shared" si="42"/>
        <v>0</v>
      </c>
      <c r="F677" s="1650" t="str">
        <f t="shared" si="43"/>
        <v>0</v>
      </c>
      <c r="G677" s="1650" t="str">
        <f t="shared" si="44"/>
        <v>0</v>
      </c>
      <c r="H677" s="1468"/>
      <c r="I677" s="1462"/>
      <c r="J677" s="1531"/>
      <c r="K677" s="1462"/>
      <c r="L677" s="1462"/>
      <c r="M677" s="1493"/>
      <c r="N677" s="1462"/>
      <c r="O677" s="1462"/>
      <c r="P677" s="1462"/>
      <c r="Q677" s="1462"/>
      <c r="R677" s="1462"/>
      <c r="S677" s="1462"/>
      <c r="T677" s="1462"/>
      <c r="U677" s="1469">
        <v>23</v>
      </c>
      <c r="V677" s="1486" t="s">
        <v>33</v>
      </c>
      <c r="W677" s="1471" t="s">
        <v>1306</v>
      </c>
      <c r="X677" s="1472" t="s">
        <v>110</v>
      </c>
      <c r="Y677" s="1473" t="s">
        <v>1306</v>
      </c>
      <c r="Z677" s="1474" t="s">
        <v>1501</v>
      </c>
      <c r="AA677" s="1473" t="s">
        <v>1306</v>
      </c>
      <c r="AB677" s="1470" t="s">
        <v>30</v>
      </c>
      <c r="AC677" s="1499"/>
      <c r="AD677" s="1500"/>
      <c r="AE677" s="1477"/>
      <c r="AF677" s="1477"/>
      <c r="AG677" s="1457" t="str">
        <f t="shared" si="38"/>
        <v>23調査結果-避難施設等-5（16）-調査者番号</v>
      </c>
      <c r="AI677" s="1459"/>
      <c r="AJ677" s="1459"/>
      <c r="AK677" s="1459"/>
    </row>
    <row r="678" spans="1:37" s="1457" customFormat="1" ht="18.75" customHeight="1" x14ac:dyDescent="0.15">
      <c r="A678" s="1578"/>
      <c r="B678" s="1462"/>
      <c r="C678" s="1462"/>
      <c r="D678" s="1460">
        <f>'1_入力シート【基本情報】'!$AT$451</f>
        <v>0</v>
      </c>
      <c r="E678" s="1650">
        <f t="shared" si="42"/>
        <v>0</v>
      </c>
      <c r="F678" s="1650" t="str">
        <f t="shared" si="43"/>
        <v>0</v>
      </c>
      <c r="G678" s="1650" t="str">
        <f t="shared" si="44"/>
        <v>0</v>
      </c>
      <c r="H678" s="1468"/>
      <c r="I678" s="1462"/>
      <c r="J678" s="1531"/>
      <c r="K678" s="1462"/>
      <c r="L678" s="1462"/>
      <c r="M678" s="1493"/>
      <c r="N678" s="1462"/>
      <c r="O678" s="1462"/>
      <c r="P678" s="1462"/>
      <c r="Q678" s="1462"/>
      <c r="R678" s="1462"/>
      <c r="S678" s="1462"/>
      <c r="T678" s="1462"/>
      <c r="U678" s="1469">
        <v>23</v>
      </c>
      <c r="V678" s="1486" t="s">
        <v>33</v>
      </c>
      <c r="W678" s="1471" t="s">
        <v>1306</v>
      </c>
      <c r="X678" s="1472" t="s">
        <v>110</v>
      </c>
      <c r="Y678" s="1473" t="s">
        <v>1306</v>
      </c>
      <c r="Z678" s="1474" t="s">
        <v>1501</v>
      </c>
      <c r="AA678" s="1473" t="s">
        <v>1306</v>
      </c>
      <c r="AB678" s="1470" t="s">
        <v>1402</v>
      </c>
      <c r="AC678" s="1499"/>
      <c r="AD678" s="1500"/>
      <c r="AE678" s="1501"/>
      <c r="AF678" s="1501"/>
      <c r="AG678" s="1457" t="str">
        <f t="shared" si="38"/>
        <v>23調査結果-避難施設等-5（16）-指摘の具体的内容等</v>
      </c>
      <c r="AI678" s="1459"/>
      <c r="AJ678" s="1459"/>
      <c r="AK678" s="1459"/>
    </row>
    <row r="679" spans="1:37" s="1457" customFormat="1" ht="18.75" customHeight="1" x14ac:dyDescent="0.15">
      <c r="A679" s="1578"/>
      <c r="B679" s="1462"/>
      <c r="C679" s="1462"/>
      <c r="D679" s="1460">
        <f>'1_入力シート【基本情報】'!$BD$451</f>
        <v>0</v>
      </c>
      <c r="E679" s="1650">
        <f t="shared" si="42"/>
        <v>0</v>
      </c>
      <c r="F679" s="1650" t="str">
        <f t="shared" si="43"/>
        <v>0</v>
      </c>
      <c r="G679" s="1650" t="str">
        <f t="shared" si="44"/>
        <v>0</v>
      </c>
      <c r="H679" s="1468"/>
      <c r="I679" s="1462"/>
      <c r="J679" s="1531"/>
      <c r="K679" s="1462"/>
      <c r="L679" s="1462"/>
      <c r="M679" s="1493"/>
      <c r="N679" s="1462"/>
      <c r="O679" s="1462"/>
      <c r="P679" s="1462"/>
      <c r="Q679" s="1462"/>
      <c r="R679" s="1462"/>
      <c r="S679" s="1462"/>
      <c r="T679" s="1462"/>
      <c r="U679" s="1469">
        <v>23</v>
      </c>
      <c r="V679" s="1486" t="s">
        <v>33</v>
      </c>
      <c r="W679" s="1471" t="s">
        <v>1306</v>
      </c>
      <c r="X679" s="1472" t="s">
        <v>110</v>
      </c>
      <c r="Y679" s="1473" t="s">
        <v>1306</v>
      </c>
      <c r="Z679" s="1474" t="s">
        <v>1501</v>
      </c>
      <c r="AA679" s="1473" t="s">
        <v>1306</v>
      </c>
      <c r="AB679" s="1486" t="s">
        <v>1403</v>
      </c>
      <c r="AC679" s="1499"/>
      <c r="AD679" s="1500"/>
      <c r="AE679" s="1501"/>
      <c r="AF679" s="1501"/>
      <c r="AG679" s="1457" t="str">
        <f t="shared" si="38"/>
        <v>23調査結果-避難施設等-5（16）-改善策の具体的内容等</v>
      </c>
      <c r="AI679" s="1459"/>
      <c r="AJ679" s="1459"/>
      <c r="AK679" s="1459"/>
    </row>
    <row r="680" spans="1:37" s="1457" customFormat="1" ht="18.75" customHeight="1" x14ac:dyDescent="0.15">
      <c r="A680" s="1578"/>
      <c r="B680" s="1462"/>
      <c r="C680" s="1462"/>
      <c r="D680" s="1460">
        <f>'1_入力シート【基本情報】'!$BS$451</f>
        <v>0</v>
      </c>
      <c r="E680" s="1650">
        <f t="shared" si="42"/>
        <v>0</v>
      </c>
      <c r="F680" s="1650" t="str">
        <f t="shared" si="43"/>
        <v>0</v>
      </c>
      <c r="G680" s="1650" t="str">
        <f t="shared" si="44"/>
        <v>0</v>
      </c>
      <c r="H680" s="1468"/>
      <c r="I680" s="1462"/>
      <c r="J680" s="1531"/>
      <c r="K680" s="1462"/>
      <c r="L680" s="1462"/>
      <c r="M680" s="1493"/>
      <c r="N680" s="1462"/>
      <c r="O680" s="1462"/>
      <c r="P680" s="1462"/>
      <c r="Q680" s="1462"/>
      <c r="R680" s="1462"/>
      <c r="S680" s="1462"/>
      <c r="T680" s="1462"/>
      <c r="U680" s="1469">
        <v>23</v>
      </c>
      <c r="V680" s="1486" t="s">
        <v>33</v>
      </c>
      <c r="W680" s="1471" t="s">
        <v>1306</v>
      </c>
      <c r="X680" s="1472" t="s">
        <v>110</v>
      </c>
      <c r="Y680" s="1473" t="s">
        <v>1306</v>
      </c>
      <c r="Z680" s="1474" t="s">
        <v>1501</v>
      </c>
      <c r="AA680" s="1473" t="s">
        <v>1306</v>
      </c>
      <c r="AB680" s="1486" t="s">
        <v>352</v>
      </c>
      <c r="AC680" s="1499" t="s">
        <v>1366</v>
      </c>
      <c r="AD680" s="1500" t="s">
        <v>1387</v>
      </c>
      <c r="AE680" s="1501"/>
      <c r="AF680" s="1501"/>
      <c r="AG680" s="1457" t="str">
        <f t="shared" si="38"/>
        <v>23調査結果-避難施設等-5（16）-改善（予定）年月-年（令和）</v>
      </c>
      <c r="AI680" s="1459"/>
      <c r="AJ680" s="1459"/>
      <c r="AK680" s="1459"/>
    </row>
    <row r="681" spans="1:37" s="1457" customFormat="1" ht="18.75" customHeight="1" x14ac:dyDescent="0.15">
      <c r="A681" s="1578"/>
      <c r="B681" s="1462"/>
      <c r="C681" s="1462"/>
      <c r="D681" s="1460">
        <f>'1_入力シート【基本情報】'!$BV$451</f>
        <v>0</v>
      </c>
      <c r="E681" s="1650">
        <f t="shared" si="42"/>
        <v>0</v>
      </c>
      <c r="F681" s="1650" t="str">
        <f t="shared" si="43"/>
        <v>0</v>
      </c>
      <c r="G681" s="1650" t="str">
        <f t="shared" si="44"/>
        <v>0</v>
      </c>
      <c r="H681" s="1468"/>
      <c r="I681" s="1462"/>
      <c r="J681" s="1531"/>
      <c r="K681" s="1462"/>
      <c r="L681" s="1462"/>
      <c r="M681" s="1493"/>
      <c r="N681" s="1462"/>
      <c r="O681" s="1462"/>
      <c r="P681" s="1462"/>
      <c r="Q681" s="1462"/>
      <c r="R681" s="1462"/>
      <c r="S681" s="1462"/>
      <c r="T681" s="1462"/>
      <c r="U681" s="1469">
        <v>23</v>
      </c>
      <c r="V681" s="1486" t="s">
        <v>33</v>
      </c>
      <c r="W681" s="1471" t="s">
        <v>1306</v>
      </c>
      <c r="X681" s="1472" t="s">
        <v>110</v>
      </c>
      <c r="Y681" s="1473" t="s">
        <v>1306</v>
      </c>
      <c r="Z681" s="1474" t="s">
        <v>1501</v>
      </c>
      <c r="AA681" s="1473" t="s">
        <v>1306</v>
      </c>
      <c r="AB681" s="1486" t="s">
        <v>352</v>
      </c>
      <c r="AC681" s="1499" t="s">
        <v>1366</v>
      </c>
      <c r="AD681" s="1500" t="s">
        <v>348</v>
      </c>
      <c r="AE681" s="1501"/>
      <c r="AF681" s="1501"/>
      <c r="AG681" s="1457" t="str">
        <f t="shared" si="38"/>
        <v>23調査結果-避難施設等-5（16）-改善（予定）年月-月</v>
      </c>
      <c r="AI681" s="1459"/>
      <c r="AJ681" s="1459"/>
      <c r="AK681" s="1459"/>
    </row>
    <row r="682" spans="1:37" s="1457" customFormat="1" ht="18.75" customHeight="1" x14ac:dyDescent="0.15">
      <c r="A682" s="1578"/>
      <c r="B682" s="1462"/>
      <c r="C682" s="1462"/>
      <c r="D682" s="1460">
        <f>'1_入力シート【基本情報】'!$BY$451</f>
        <v>0</v>
      </c>
      <c r="E682" s="1650">
        <f t="shared" si="42"/>
        <v>0</v>
      </c>
      <c r="F682" s="1650" t="str">
        <f t="shared" si="43"/>
        <v>0</v>
      </c>
      <c r="G682" s="1650" t="str">
        <f t="shared" si="44"/>
        <v>0</v>
      </c>
      <c r="H682" s="1468"/>
      <c r="I682" s="1462"/>
      <c r="J682" s="1531"/>
      <c r="K682" s="1462"/>
      <c r="L682" s="1462"/>
      <c r="M682" s="1493"/>
      <c r="N682" s="1462"/>
      <c r="O682" s="1462"/>
      <c r="P682" s="1462"/>
      <c r="Q682" s="1462"/>
      <c r="R682" s="1462"/>
      <c r="S682" s="1462"/>
      <c r="T682" s="1462"/>
      <c r="U682" s="1469">
        <v>23</v>
      </c>
      <c r="V682" s="1486" t="s">
        <v>33</v>
      </c>
      <c r="W682" s="1471" t="s">
        <v>1306</v>
      </c>
      <c r="X682" s="1472" t="s">
        <v>110</v>
      </c>
      <c r="Y682" s="1473" t="s">
        <v>1306</v>
      </c>
      <c r="Z682" s="1474" t="s">
        <v>1501</v>
      </c>
      <c r="AA682" s="1473" t="s">
        <v>1306</v>
      </c>
      <c r="AB682" s="1470" t="s">
        <v>352</v>
      </c>
      <c r="AC682" s="1475" t="s">
        <v>1366</v>
      </c>
      <c r="AD682" s="1476" t="s">
        <v>640</v>
      </c>
      <c r="AE682" s="1501"/>
      <c r="AF682" s="1501"/>
      <c r="AG682" s="1457" t="str">
        <f t="shared" si="38"/>
        <v>23調査結果-避難施設等-5（16）-改善（予定）年月-未定</v>
      </c>
      <c r="AI682" s="1459"/>
      <c r="AJ682" s="1459"/>
      <c r="AK682" s="1459"/>
    </row>
    <row r="683" spans="1:37" s="1457" customFormat="1" ht="18.75" customHeight="1" x14ac:dyDescent="0.15">
      <c r="A683" s="1578"/>
      <c r="B683" s="1462"/>
      <c r="C683" s="1462"/>
      <c r="D683" s="1460">
        <f>'1_入力シート【基本情報】'!$AF$452</f>
        <v>0</v>
      </c>
      <c r="E683" s="1650">
        <f t="shared" si="42"/>
        <v>0</v>
      </c>
      <c r="F683" s="1650" t="str">
        <f t="shared" si="43"/>
        <v>0</v>
      </c>
      <c r="G683" s="1650" t="str">
        <f t="shared" si="44"/>
        <v>0</v>
      </c>
      <c r="H683" s="1468"/>
      <c r="I683" s="1462"/>
      <c r="J683" s="1531"/>
      <c r="K683" s="1462"/>
      <c r="L683" s="1462"/>
      <c r="M683" s="1493"/>
      <c r="N683" s="1462"/>
      <c r="O683" s="1462"/>
      <c r="P683" s="1462"/>
      <c r="Q683" s="1462"/>
      <c r="R683" s="1462"/>
      <c r="S683" s="1462"/>
      <c r="T683" s="1462"/>
      <c r="U683" s="1469">
        <v>23</v>
      </c>
      <c r="V683" s="1486" t="s">
        <v>33</v>
      </c>
      <c r="W683" s="1471" t="s">
        <v>1306</v>
      </c>
      <c r="X683" s="1472" t="s">
        <v>110</v>
      </c>
      <c r="Y683" s="1473" t="s">
        <v>1306</v>
      </c>
      <c r="Z683" s="1474" t="s">
        <v>1502</v>
      </c>
      <c r="AA683" s="1473" t="s">
        <v>1306</v>
      </c>
      <c r="AB683" s="1470" t="s">
        <v>33</v>
      </c>
      <c r="AC683" s="1499"/>
      <c r="AD683" s="1500"/>
      <c r="AE683" s="1501"/>
      <c r="AF683" s="1501"/>
      <c r="AG683" s="1457" t="str">
        <f t="shared" si="38"/>
        <v>23調査結果-避難施設等-5（17）-調査結果</v>
      </c>
      <c r="AI683" s="1459"/>
      <c r="AJ683" s="1459"/>
      <c r="AK683" s="1459"/>
    </row>
    <row r="684" spans="1:37" s="1457" customFormat="1" ht="18.75" customHeight="1" x14ac:dyDescent="0.15">
      <c r="A684" s="1578"/>
      <c r="B684" s="1462"/>
      <c r="C684" s="1462"/>
      <c r="D684" s="1460">
        <f>'1_入力シート【基本情報】'!$AR$452</f>
        <v>0</v>
      </c>
      <c r="E684" s="1650">
        <f t="shared" si="42"/>
        <v>0</v>
      </c>
      <c r="F684" s="1650" t="str">
        <f t="shared" si="43"/>
        <v>0</v>
      </c>
      <c r="G684" s="1650" t="str">
        <f t="shared" si="44"/>
        <v>0</v>
      </c>
      <c r="H684" s="1468"/>
      <c r="I684" s="1462"/>
      <c r="J684" s="1531"/>
      <c r="K684" s="1462"/>
      <c r="L684" s="1462"/>
      <c r="M684" s="1493"/>
      <c r="N684" s="1462"/>
      <c r="O684" s="1462"/>
      <c r="P684" s="1462"/>
      <c r="Q684" s="1462"/>
      <c r="R684" s="1462"/>
      <c r="S684" s="1462"/>
      <c r="T684" s="1462"/>
      <c r="U684" s="1469">
        <v>23</v>
      </c>
      <c r="V684" s="1486" t="s">
        <v>33</v>
      </c>
      <c r="W684" s="1471" t="s">
        <v>1306</v>
      </c>
      <c r="X684" s="1472" t="s">
        <v>110</v>
      </c>
      <c r="Y684" s="1473" t="s">
        <v>1306</v>
      </c>
      <c r="Z684" s="1474" t="s">
        <v>1502</v>
      </c>
      <c r="AA684" s="1473" t="s">
        <v>1306</v>
      </c>
      <c r="AB684" s="1470" t="s">
        <v>30</v>
      </c>
      <c r="AC684" s="1499"/>
      <c r="AD684" s="1500"/>
      <c r="AE684" s="1501"/>
      <c r="AF684" s="1501"/>
      <c r="AG684" s="1457" t="str">
        <f t="shared" si="38"/>
        <v>23調査結果-避難施設等-5（17）-調査者番号</v>
      </c>
      <c r="AI684" s="1459"/>
      <c r="AJ684" s="1459"/>
      <c r="AK684" s="1459"/>
    </row>
    <row r="685" spans="1:37" s="1457" customFormat="1" ht="18.75" customHeight="1" x14ac:dyDescent="0.15">
      <c r="A685" s="1578"/>
      <c r="B685" s="1462"/>
      <c r="C685" s="1462"/>
      <c r="D685" s="1460">
        <f>'1_入力シート【基本情報】'!$AT$452</f>
        <v>0</v>
      </c>
      <c r="E685" s="1650">
        <f t="shared" si="42"/>
        <v>0</v>
      </c>
      <c r="F685" s="1650" t="str">
        <f t="shared" si="43"/>
        <v>0</v>
      </c>
      <c r="G685" s="1650" t="str">
        <f t="shared" si="44"/>
        <v>0</v>
      </c>
      <c r="H685" s="1468"/>
      <c r="I685" s="1462"/>
      <c r="J685" s="1531"/>
      <c r="K685" s="1462"/>
      <c r="L685" s="1462"/>
      <c r="M685" s="1493"/>
      <c r="N685" s="1462"/>
      <c r="O685" s="1462"/>
      <c r="P685" s="1462"/>
      <c r="Q685" s="1462"/>
      <c r="R685" s="1462"/>
      <c r="S685" s="1462"/>
      <c r="T685" s="1462"/>
      <c r="U685" s="1469">
        <v>23</v>
      </c>
      <c r="V685" s="1486" t="s">
        <v>33</v>
      </c>
      <c r="W685" s="1471" t="s">
        <v>1306</v>
      </c>
      <c r="X685" s="1472" t="s">
        <v>110</v>
      </c>
      <c r="Y685" s="1473" t="s">
        <v>1306</v>
      </c>
      <c r="Z685" s="1474" t="s">
        <v>1502</v>
      </c>
      <c r="AA685" s="1473" t="s">
        <v>1306</v>
      </c>
      <c r="AB685" s="1470" t="s">
        <v>1402</v>
      </c>
      <c r="AC685" s="1499"/>
      <c r="AD685" s="1500"/>
      <c r="AE685" s="1477"/>
      <c r="AF685" s="1477"/>
      <c r="AG685" s="1457" t="str">
        <f t="shared" si="38"/>
        <v>23調査結果-避難施設等-5（17）-指摘の具体的内容等</v>
      </c>
      <c r="AI685" s="1459"/>
      <c r="AJ685" s="1459"/>
      <c r="AK685" s="1459"/>
    </row>
    <row r="686" spans="1:37" s="1457" customFormat="1" ht="18.75" customHeight="1" x14ac:dyDescent="0.15">
      <c r="A686" s="1578"/>
      <c r="B686" s="1462"/>
      <c r="C686" s="1462"/>
      <c r="D686" s="1460">
        <f>'1_入力シート【基本情報】'!$BD$452</f>
        <v>0</v>
      </c>
      <c r="E686" s="1650">
        <f t="shared" si="42"/>
        <v>0</v>
      </c>
      <c r="F686" s="1650" t="str">
        <f t="shared" si="43"/>
        <v>0</v>
      </c>
      <c r="G686" s="1650" t="str">
        <f t="shared" si="44"/>
        <v>0</v>
      </c>
      <c r="H686" s="1468"/>
      <c r="I686" s="1462"/>
      <c r="J686" s="1531"/>
      <c r="K686" s="1462"/>
      <c r="L686" s="1462"/>
      <c r="M686" s="1493"/>
      <c r="N686" s="1462"/>
      <c r="O686" s="1462"/>
      <c r="P686" s="1462"/>
      <c r="Q686" s="1462"/>
      <c r="R686" s="1462"/>
      <c r="S686" s="1462"/>
      <c r="T686" s="1462"/>
      <c r="U686" s="1469">
        <v>23</v>
      </c>
      <c r="V686" s="1486" t="s">
        <v>33</v>
      </c>
      <c r="W686" s="1471" t="s">
        <v>1306</v>
      </c>
      <c r="X686" s="1472" t="s">
        <v>110</v>
      </c>
      <c r="Y686" s="1473" t="s">
        <v>1306</v>
      </c>
      <c r="Z686" s="1474" t="s">
        <v>1502</v>
      </c>
      <c r="AA686" s="1473" t="s">
        <v>1306</v>
      </c>
      <c r="AB686" s="1470" t="s">
        <v>1403</v>
      </c>
      <c r="AC686" s="1499"/>
      <c r="AD686" s="1500"/>
      <c r="AE686" s="1501"/>
      <c r="AF686" s="1501"/>
      <c r="AG686" s="1457" t="str">
        <f t="shared" si="38"/>
        <v>23調査結果-避難施設等-5（17）-改善策の具体的内容等</v>
      </c>
      <c r="AI686" s="1459"/>
      <c r="AJ686" s="1459"/>
      <c r="AK686" s="1459"/>
    </row>
    <row r="687" spans="1:37" s="1457" customFormat="1" ht="18.75" customHeight="1" x14ac:dyDescent="0.15">
      <c r="A687" s="1578"/>
      <c r="B687" s="1462"/>
      <c r="C687" s="1462"/>
      <c r="D687" s="1460">
        <f>'1_入力シート【基本情報】'!$BS$452</f>
        <v>0</v>
      </c>
      <c r="E687" s="1650">
        <f t="shared" si="42"/>
        <v>0</v>
      </c>
      <c r="F687" s="1650" t="str">
        <f t="shared" si="43"/>
        <v>0</v>
      </c>
      <c r="G687" s="1650" t="str">
        <f t="shared" si="44"/>
        <v>0</v>
      </c>
      <c r="H687" s="1468"/>
      <c r="I687" s="1462"/>
      <c r="J687" s="1531"/>
      <c r="K687" s="1462"/>
      <c r="L687" s="1462"/>
      <c r="M687" s="1493"/>
      <c r="N687" s="1462"/>
      <c r="O687" s="1462"/>
      <c r="P687" s="1462"/>
      <c r="Q687" s="1462"/>
      <c r="R687" s="1462"/>
      <c r="S687" s="1462"/>
      <c r="T687" s="1462"/>
      <c r="U687" s="1469">
        <v>23</v>
      </c>
      <c r="V687" s="1486" t="s">
        <v>33</v>
      </c>
      <c r="W687" s="1471" t="s">
        <v>1306</v>
      </c>
      <c r="X687" s="1472" t="s">
        <v>110</v>
      </c>
      <c r="Y687" s="1473" t="s">
        <v>1306</v>
      </c>
      <c r="Z687" s="1474" t="s">
        <v>1502</v>
      </c>
      <c r="AA687" s="1473" t="s">
        <v>1306</v>
      </c>
      <c r="AB687" s="1486" t="s">
        <v>352</v>
      </c>
      <c r="AC687" s="1499" t="s">
        <v>1366</v>
      </c>
      <c r="AD687" s="1500" t="s">
        <v>1387</v>
      </c>
      <c r="AE687" s="1501"/>
      <c r="AF687" s="1501"/>
      <c r="AG687" s="1457" t="str">
        <f t="shared" si="38"/>
        <v>23調査結果-避難施設等-5（17）-改善（予定）年月-年（令和）</v>
      </c>
      <c r="AI687" s="1459"/>
      <c r="AJ687" s="1459"/>
      <c r="AK687" s="1459"/>
    </row>
    <row r="688" spans="1:37" s="1457" customFormat="1" ht="18.75" customHeight="1" x14ac:dyDescent="0.15">
      <c r="A688" s="1578"/>
      <c r="B688" s="1462"/>
      <c r="C688" s="1462"/>
      <c r="D688" s="1460">
        <f>'1_入力シート【基本情報】'!$BV$452</f>
        <v>0</v>
      </c>
      <c r="E688" s="1650">
        <f t="shared" si="42"/>
        <v>0</v>
      </c>
      <c r="F688" s="1650" t="str">
        <f t="shared" si="43"/>
        <v>0</v>
      </c>
      <c r="G688" s="1650" t="str">
        <f t="shared" si="44"/>
        <v>0</v>
      </c>
      <c r="H688" s="1468"/>
      <c r="I688" s="1462"/>
      <c r="J688" s="1531"/>
      <c r="K688" s="1462"/>
      <c r="L688" s="1462"/>
      <c r="M688" s="1493"/>
      <c r="N688" s="1462"/>
      <c r="O688" s="1462"/>
      <c r="P688" s="1462"/>
      <c r="Q688" s="1462"/>
      <c r="R688" s="1462"/>
      <c r="S688" s="1462"/>
      <c r="T688" s="1462"/>
      <c r="U688" s="1469">
        <v>23</v>
      </c>
      <c r="V688" s="1486" t="s">
        <v>33</v>
      </c>
      <c r="W688" s="1471" t="s">
        <v>1306</v>
      </c>
      <c r="X688" s="1472" t="s">
        <v>110</v>
      </c>
      <c r="Y688" s="1473" t="s">
        <v>1306</v>
      </c>
      <c r="Z688" s="1474" t="s">
        <v>1502</v>
      </c>
      <c r="AA688" s="1473" t="s">
        <v>1306</v>
      </c>
      <c r="AB688" s="1486" t="s">
        <v>352</v>
      </c>
      <c r="AC688" s="1499" t="s">
        <v>1366</v>
      </c>
      <c r="AD688" s="1500" t="s">
        <v>348</v>
      </c>
      <c r="AE688" s="1501"/>
      <c r="AF688" s="1501"/>
      <c r="AG688" s="1457" t="str">
        <f t="shared" si="38"/>
        <v>23調査結果-避難施設等-5（17）-改善（予定）年月-月</v>
      </c>
      <c r="AI688" s="1459"/>
      <c r="AJ688" s="1459"/>
      <c r="AK688" s="1459"/>
    </row>
    <row r="689" spans="1:37" s="1457" customFormat="1" ht="18.75" customHeight="1" x14ac:dyDescent="0.15">
      <c r="A689" s="1578"/>
      <c r="B689" s="1462"/>
      <c r="C689" s="1462"/>
      <c r="D689" s="1460">
        <f>'1_入力シート【基本情報】'!$BY$452</f>
        <v>0</v>
      </c>
      <c r="E689" s="1650">
        <f t="shared" si="42"/>
        <v>0</v>
      </c>
      <c r="F689" s="1650" t="str">
        <f t="shared" si="43"/>
        <v>0</v>
      </c>
      <c r="G689" s="1650" t="str">
        <f t="shared" si="44"/>
        <v>0</v>
      </c>
      <c r="H689" s="1468"/>
      <c r="I689" s="1462"/>
      <c r="J689" s="1531"/>
      <c r="K689" s="1462"/>
      <c r="L689" s="1462"/>
      <c r="M689" s="1493"/>
      <c r="N689" s="1462"/>
      <c r="O689" s="1462"/>
      <c r="P689" s="1462"/>
      <c r="Q689" s="1462"/>
      <c r="R689" s="1462"/>
      <c r="S689" s="1462"/>
      <c r="T689" s="1462"/>
      <c r="U689" s="1469">
        <v>23</v>
      </c>
      <c r="V689" s="1486" t="s">
        <v>33</v>
      </c>
      <c r="W689" s="1471" t="s">
        <v>1306</v>
      </c>
      <c r="X689" s="1472" t="s">
        <v>110</v>
      </c>
      <c r="Y689" s="1473" t="s">
        <v>1306</v>
      </c>
      <c r="Z689" s="1474" t="s">
        <v>1502</v>
      </c>
      <c r="AA689" s="1473" t="s">
        <v>1306</v>
      </c>
      <c r="AB689" s="1486" t="s">
        <v>352</v>
      </c>
      <c r="AC689" s="1499" t="s">
        <v>1366</v>
      </c>
      <c r="AD689" s="1500" t="s">
        <v>640</v>
      </c>
      <c r="AE689" s="1501"/>
      <c r="AF689" s="1501"/>
      <c r="AG689" s="1457" t="str">
        <f t="shared" si="38"/>
        <v>23調査結果-避難施設等-5（17）-改善（予定）年月-未定</v>
      </c>
      <c r="AI689" s="1459"/>
      <c r="AJ689" s="1459"/>
      <c r="AK689" s="1459"/>
    </row>
    <row r="690" spans="1:37" s="1457" customFormat="1" ht="18.75" customHeight="1" x14ac:dyDescent="0.15">
      <c r="A690" s="1578"/>
      <c r="B690" s="1462"/>
      <c r="C690" s="1462"/>
      <c r="D690" s="1460">
        <f>'1_入力シート【基本情報】'!$AF$453</f>
        <v>0</v>
      </c>
      <c r="E690" s="1650">
        <f t="shared" si="42"/>
        <v>0</v>
      </c>
      <c r="F690" s="1650" t="str">
        <f t="shared" si="43"/>
        <v>0</v>
      </c>
      <c r="G690" s="1650" t="str">
        <f t="shared" si="44"/>
        <v>0</v>
      </c>
      <c r="H690" s="1468"/>
      <c r="I690" s="1462"/>
      <c r="J690" s="1531"/>
      <c r="K690" s="1462"/>
      <c r="L690" s="1462"/>
      <c r="M690" s="1493"/>
      <c r="N690" s="1462"/>
      <c r="O690" s="1462"/>
      <c r="P690" s="1462"/>
      <c r="Q690" s="1462"/>
      <c r="R690" s="1462"/>
      <c r="S690" s="1462"/>
      <c r="T690" s="1462"/>
      <c r="U690" s="1469">
        <v>23</v>
      </c>
      <c r="V690" s="1486" t="s">
        <v>33</v>
      </c>
      <c r="W690" s="1471" t="s">
        <v>1306</v>
      </c>
      <c r="X690" s="1472" t="s">
        <v>110</v>
      </c>
      <c r="Y690" s="1473" t="s">
        <v>1306</v>
      </c>
      <c r="Z690" s="1474" t="s">
        <v>1503</v>
      </c>
      <c r="AA690" s="1473" t="s">
        <v>1306</v>
      </c>
      <c r="AB690" s="1470" t="s">
        <v>33</v>
      </c>
      <c r="AC690" s="1475"/>
      <c r="AD690" s="1476"/>
      <c r="AE690" s="1501"/>
      <c r="AF690" s="1501"/>
      <c r="AG690" s="1457" t="str">
        <f t="shared" si="38"/>
        <v>23調査結果-避難施設等-5（18）-調査結果</v>
      </c>
      <c r="AI690" s="1459"/>
      <c r="AJ690" s="1459"/>
      <c r="AK690" s="1459"/>
    </row>
    <row r="691" spans="1:37" s="1457" customFormat="1" ht="18.75" customHeight="1" x14ac:dyDescent="0.15">
      <c r="A691" s="1578"/>
      <c r="B691" s="1462"/>
      <c r="C691" s="1462"/>
      <c r="D691" s="1460">
        <f>'1_入力シート【基本情報】'!$AR$453</f>
        <v>0</v>
      </c>
      <c r="E691" s="1650">
        <f t="shared" si="42"/>
        <v>0</v>
      </c>
      <c r="F691" s="1650" t="str">
        <f t="shared" si="43"/>
        <v>0</v>
      </c>
      <c r="G691" s="1650" t="str">
        <f t="shared" si="44"/>
        <v>0</v>
      </c>
      <c r="H691" s="1468"/>
      <c r="I691" s="1462"/>
      <c r="J691" s="1531"/>
      <c r="K691" s="1462"/>
      <c r="L691" s="1462"/>
      <c r="M691" s="1493"/>
      <c r="N691" s="1462"/>
      <c r="O691" s="1462"/>
      <c r="P691" s="1462"/>
      <c r="Q691" s="1462"/>
      <c r="R691" s="1462"/>
      <c r="S691" s="1462"/>
      <c r="T691" s="1462"/>
      <c r="U691" s="1469">
        <v>23</v>
      </c>
      <c r="V691" s="1486" t="s">
        <v>33</v>
      </c>
      <c r="W691" s="1471" t="s">
        <v>1306</v>
      </c>
      <c r="X691" s="1472" t="s">
        <v>110</v>
      </c>
      <c r="Y691" s="1473" t="s">
        <v>1306</v>
      </c>
      <c r="Z691" s="1474" t="s">
        <v>1503</v>
      </c>
      <c r="AA691" s="1473" t="s">
        <v>1306</v>
      </c>
      <c r="AB691" s="1470" t="s">
        <v>30</v>
      </c>
      <c r="AC691" s="1499"/>
      <c r="AD691" s="1500"/>
      <c r="AE691" s="1501"/>
      <c r="AF691" s="1501"/>
      <c r="AG691" s="1457" t="str">
        <f t="shared" si="38"/>
        <v>23調査結果-避難施設等-5（18）-調査者番号</v>
      </c>
      <c r="AI691" s="1459"/>
      <c r="AJ691" s="1459"/>
      <c r="AK691" s="1459"/>
    </row>
    <row r="692" spans="1:37" s="1457" customFormat="1" ht="18.75" customHeight="1" x14ac:dyDescent="0.15">
      <c r="A692" s="1578"/>
      <c r="B692" s="1462"/>
      <c r="C692" s="1462"/>
      <c r="D692" s="1460">
        <f>'1_入力シート【基本情報】'!$AT$453</f>
        <v>0</v>
      </c>
      <c r="E692" s="1650">
        <f t="shared" si="42"/>
        <v>0</v>
      </c>
      <c r="F692" s="1650" t="str">
        <f t="shared" si="43"/>
        <v>0</v>
      </c>
      <c r="G692" s="1650" t="str">
        <f t="shared" si="44"/>
        <v>0</v>
      </c>
      <c r="H692" s="1468"/>
      <c r="I692" s="1462"/>
      <c r="J692" s="1531"/>
      <c r="K692" s="1462"/>
      <c r="L692" s="1462"/>
      <c r="M692" s="1493"/>
      <c r="N692" s="1462"/>
      <c r="O692" s="1462"/>
      <c r="P692" s="1462"/>
      <c r="Q692" s="1462"/>
      <c r="R692" s="1462"/>
      <c r="S692" s="1462"/>
      <c r="T692" s="1462"/>
      <c r="U692" s="1469">
        <v>23</v>
      </c>
      <c r="V692" s="1486" t="s">
        <v>33</v>
      </c>
      <c r="W692" s="1471" t="s">
        <v>1306</v>
      </c>
      <c r="X692" s="1472" t="s">
        <v>110</v>
      </c>
      <c r="Y692" s="1473" t="s">
        <v>1306</v>
      </c>
      <c r="Z692" s="1474" t="s">
        <v>1503</v>
      </c>
      <c r="AA692" s="1473" t="s">
        <v>1306</v>
      </c>
      <c r="AB692" s="1470" t="s">
        <v>1402</v>
      </c>
      <c r="AC692" s="1499"/>
      <c r="AD692" s="1500"/>
      <c r="AE692" s="1501"/>
      <c r="AF692" s="1501"/>
      <c r="AG692" s="1457" t="str">
        <f t="shared" si="38"/>
        <v>23調査結果-避難施設等-5（18）-指摘の具体的内容等</v>
      </c>
      <c r="AI692" s="1459"/>
      <c r="AJ692" s="1459"/>
      <c r="AK692" s="1459"/>
    </row>
    <row r="693" spans="1:37" s="1457" customFormat="1" ht="18.75" customHeight="1" x14ac:dyDescent="0.15">
      <c r="A693" s="1578"/>
      <c r="B693" s="1462"/>
      <c r="C693" s="1462"/>
      <c r="D693" s="1460">
        <f>'1_入力シート【基本情報】'!$BD$453</f>
        <v>0</v>
      </c>
      <c r="E693" s="1650">
        <f t="shared" si="42"/>
        <v>0</v>
      </c>
      <c r="F693" s="1650" t="str">
        <f t="shared" si="43"/>
        <v>0</v>
      </c>
      <c r="G693" s="1650" t="str">
        <f t="shared" si="44"/>
        <v>0</v>
      </c>
      <c r="H693" s="1468"/>
      <c r="I693" s="1462"/>
      <c r="J693" s="1531"/>
      <c r="K693" s="1462"/>
      <c r="L693" s="1462"/>
      <c r="M693" s="1493"/>
      <c r="N693" s="1462"/>
      <c r="O693" s="1462"/>
      <c r="P693" s="1462"/>
      <c r="Q693" s="1462"/>
      <c r="R693" s="1462"/>
      <c r="S693" s="1462"/>
      <c r="T693" s="1462"/>
      <c r="U693" s="1469">
        <v>23</v>
      </c>
      <c r="V693" s="1486" t="s">
        <v>33</v>
      </c>
      <c r="W693" s="1471" t="s">
        <v>1306</v>
      </c>
      <c r="X693" s="1472" t="s">
        <v>110</v>
      </c>
      <c r="Y693" s="1473" t="s">
        <v>1306</v>
      </c>
      <c r="Z693" s="1474" t="s">
        <v>1503</v>
      </c>
      <c r="AA693" s="1473" t="s">
        <v>1306</v>
      </c>
      <c r="AB693" s="1470" t="s">
        <v>1403</v>
      </c>
      <c r="AC693" s="1499"/>
      <c r="AD693" s="1500"/>
      <c r="AE693" s="1477"/>
      <c r="AF693" s="1477"/>
      <c r="AG693" s="1457" t="str">
        <f t="shared" si="38"/>
        <v>23調査結果-避難施設等-5（18）-改善策の具体的内容等</v>
      </c>
      <c r="AI693" s="1459"/>
      <c r="AJ693" s="1459"/>
      <c r="AK693" s="1459"/>
    </row>
    <row r="694" spans="1:37" s="1457" customFormat="1" ht="18.75" customHeight="1" x14ac:dyDescent="0.15">
      <c r="A694" s="1578"/>
      <c r="B694" s="1462"/>
      <c r="C694" s="1462"/>
      <c r="D694" s="1460">
        <f>'1_入力シート【基本情報】'!$BS$453</f>
        <v>0</v>
      </c>
      <c r="E694" s="1650">
        <f t="shared" si="42"/>
        <v>0</v>
      </c>
      <c r="F694" s="1650" t="str">
        <f t="shared" si="43"/>
        <v>0</v>
      </c>
      <c r="G694" s="1650" t="str">
        <f t="shared" si="44"/>
        <v>0</v>
      </c>
      <c r="H694" s="1468"/>
      <c r="I694" s="1462"/>
      <c r="J694" s="1531"/>
      <c r="K694" s="1462"/>
      <c r="L694" s="1462"/>
      <c r="M694" s="1493"/>
      <c r="N694" s="1462"/>
      <c r="O694" s="1462"/>
      <c r="P694" s="1462"/>
      <c r="Q694" s="1462"/>
      <c r="R694" s="1462"/>
      <c r="S694" s="1462"/>
      <c r="T694" s="1462"/>
      <c r="U694" s="1469">
        <v>23</v>
      </c>
      <c r="V694" s="1486" t="s">
        <v>33</v>
      </c>
      <c r="W694" s="1471" t="s">
        <v>1306</v>
      </c>
      <c r="X694" s="1472" t="s">
        <v>110</v>
      </c>
      <c r="Y694" s="1473" t="s">
        <v>1306</v>
      </c>
      <c r="Z694" s="1474" t="s">
        <v>1503</v>
      </c>
      <c r="AA694" s="1473" t="s">
        <v>1306</v>
      </c>
      <c r="AB694" s="1470" t="s">
        <v>352</v>
      </c>
      <c r="AC694" s="1499" t="s">
        <v>1366</v>
      </c>
      <c r="AD694" s="1500" t="s">
        <v>1387</v>
      </c>
      <c r="AE694" s="1501"/>
      <c r="AF694" s="1501"/>
      <c r="AG694" s="1457" t="str">
        <f t="shared" si="38"/>
        <v>23調査結果-避難施設等-5（18）-改善（予定）年月-年（令和）</v>
      </c>
      <c r="AI694" s="1459"/>
      <c r="AJ694" s="1459"/>
      <c r="AK694" s="1459"/>
    </row>
    <row r="695" spans="1:37" s="1457" customFormat="1" ht="18.75" customHeight="1" x14ac:dyDescent="0.15">
      <c r="A695" s="1578"/>
      <c r="B695" s="1462"/>
      <c r="C695" s="1462"/>
      <c r="D695" s="1460">
        <f>'1_入力シート【基本情報】'!$BV$453</f>
        <v>0</v>
      </c>
      <c r="E695" s="1650">
        <f t="shared" si="42"/>
        <v>0</v>
      </c>
      <c r="F695" s="1650" t="str">
        <f t="shared" si="43"/>
        <v>0</v>
      </c>
      <c r="G695" s="1650" t="str">
        <f t="shared" si="44"/>
        <v>0</v>
      </c>
      <c r="H695" s="1468"/>
      <c r="I695" s="1462"/>
      <c r="J695" s="1531"/>
      <c r="K695" s="1462"/>
      <c r="L695" s="1462"/>
      <c r="M695" s="1493"/>
      <c r="N695" s="1462"/>
      <c r="O695" s="1462"/>
      <c r="P695" s="1462"/>
      <c r="Q695" s="1462"/>
      <c r="R695" s="1462"/>
      <c r="S695" s="1462"/>
      <c r="T695" s="1462"/>
      <c r="U695" s="1469">
        <v>23</v>
      </c>
      <c r="V695" s="1486" t="s">
        <v>33</v>
      </c>
      <c r="W695" s="1471" t="s">
        <v>1306</v>
      </c>
      <c r="X695" s="1472" t="s">
        <v>110</v>
      </c>
      <c r="Y695" s="1473" t="s">
        <v>1306</v>
      </c>
      <c r="Z695" s="1474" t="s">
        <v>1503</v>
      </c>
      <c r="AA695" s="1473" t="s">
        <v>1306</v>
      </c>
      <c r="AB695" s="1486" t="s">
        <v>352</v>
      </c>
      <c r="AC695" s="1499" t="s">
        <v>1366</v>
      </c>
      <c r="AD695" s="1500" t="s">
        <v>348</v>
      </c>
      <c r="AE695" s="1501"/>
      <c r="AF695" s="1501"/>
      <c r="AG695" s="1457" t="str">
        <f t="shared" si="38"/>
        <v>23調査結果-避難施設等-5（18）-改善（予定）年月-月</v>
      </c>
      <c r="AI695" s="1459"/>
      <c r="AJ695" s="1459"/>
      <c r="AK695" s="1459"/>
    </row>
    <row r="696" spans="1:37" s="1457" customFormat="1" ht="18.75" customHeight="1" x14ac:dyDescent="0.15">
      <c r="A696" s="1578"/>
      <c r="B696" s="1462"/>
      <c r="C696" s="1462"/>
      <c r="D696" s="1460">
        <f>'1_入力シート【基本情報】'!$BY$453</f>
        <v>0</v>
      </c>
      <c r="E696" s="1650">
        <f t="shared" si="42"/>
        <v>0</v>
      </c>
      <c r="F696" s="1650" t="str">
        <f t="shared" si="43"/>
        <v>0</v>
      </c>
      <c r="G696" s="1650" t="str">
        <f t="shared" si="44"/>
        <v>0</v>
      </c>
      <c r="H696" s="1468"/>
      <c r="I696" s="1462"/>
      <c r="J696" s="1531"/>
      <c r="K696" s="1462"/>
      <c r="L696" s="1462"/>
      <c r="M696" s="1493"/>
      <c r="N696" s="1462"/>
      <c r="O696" s="1462"/>
      <c r="P696" s="1462"/>
      <c r="Q696" s="1462"/>
      <c r="R696" s="1462"/>
      <c r="S696" s="1462"/>
      <c r="T696" s="1462"/>
      <c r="U696" s="1469">
        <v>23</v>
      </c>
      <c r="V696" s="1486" t="s">
        <v>33</v>
      </c>
      <c r="W696" s="1471" t="s">
        <v>1306</v>
      </c>
      <c r="X696" s="1472" t="s">
        <v>110</v>
      </c>
      <c r="Y696" s="1473" t="s">
        <v>1306</v>
      </c>
      <c r="Z696" s="1474" t="s">
        <v>1503</v>
      </c>
      <c r="AA696" s="1473" t="s">
        <v>1306</v>
      </c>
      <c r="AB696" s="1486" t="s">
        <v>352</v>
      </c>
      <c r="AC696" s="1499" t="s">
        <v>1366</v>
      </c>
      <c r="AD696" s="1500" t="s">
        <v>640</v>
      </c>
      <c r="AE696" s="1501"/>
      <c r="AF696" s="1501"/>
      <c r="AG696" s="1457" t="str">
        <f t="shared" si="38"/>
        <v>23調査結果-避難施設等-5（18）-改善（予定）年月-未定</v>
      </c>
      <c r="AI696" s="1459"/>
      <c r="AJ696" s="1459"/>
      <c r="AK696" s="1459"/>
    </row>
    <row r="697" spans="1:37" s="1457" customFormat="1" ht="18.75" customHeight="1" x14ac:dyDescent="0.15">
      <c r="A697" s="1578"/>
      <c r="B697" s="1462"/>
      <c r="C697" s="1462"/>
      <c r="D697" s="1460">
        <f>'1_入力シート【基本情報】'!$AF$454</f>
        <v>0</v>
      </c>
      <c r="E697" s="1650">
        <f t="shared" si="42"/>
        <v>0</v>
      </c>
      <c r="F697" s="1650" t="str">
        <f t="shared" si="43"/>
        <v>0</v>
      </c>
      <c r="G697" s="1650" t="str">
        <f t="shared" si="44"/>
        <v>0</v>
      </c>
      <c r="H697" s="1468"/>
      <c r="I697" s="1462"/>
      <c r="J697" s="1531"/>
      <c r="K697" s="1462"/>
      <c r="L697" s="1462"/>
      <c r="M697" s="1493"/>
      <c r="N697" s="1462"/>
      <c r="O697" s="1462"/>
      <c r="P697" s="1462"/>
      <c r="Q697" s="1462"/>
      <c r="R697" s="1462"/>
      <c r="S697" s="1462"/>
      <c r="T697" s="1462"/>
      <c r="U697" s="1469">
        <v>23</v>
      </c>
      <c r="V697" s="1486" t="s">
        <v>33</v>
      </c>
      <c r="W697" s="1471" t="s">
        <v>1306</v>
      </c>
      <c r="X697" s="1472" t="s">
        <v>110</v>
      </c>
      <c r="Y697" s="1473" t="s">
        <v>1306</v>
      </c>
      <c r="Z697" s="1474" t="s">
        <v>1504</v>
      </c>
      <c r="AA697" s="1473" t="s">
        <v>1306</v>
      </c>
      <c r="AB697" s="1486" t="s">
        <v>33</v>
      </c>
      <c r="AC697" s="1499"/>
      <c r="AD697" s="1500"/>
      <c r="AE697" s="1501"/>
      <c r="AF697" s="1501"/>
      <c r="AG697" s="1457" t="str">
        <f t="shared" si="38"/>
        <v>23調査結果-避難施設等-5（19）-調査結果</v>
      </c>
      <c r="AI697" s="1459"/>
      <c r="AJ697" s="1459"/>
      <c r="AK697" s="1459"/>
    </row>
    <row r="698" spans="1:37" s="1457" customFormat="1" ht="18.75" customHeight="1" x14ac:dyDescent="0.15">
      <c r="A698" s="1578"/>
      <c r="B698" s="1462"/>
      <c r="C698" s="1462"/>
      <c r="D698" s="1460">
        <f>'1_入力シート【基本情報】'!$AR$454</f>
        <v>0</v>
      </c>
      <c r="E698" s="1650">
        <f t="shared" si="42"/>
        <v>0</v>
      </c>
      <c r="F698" s="1650" t="str">
        <f t="shared" si="43"/>
        <v>0</v>
      </c>
      <c r="G698" s="1650" t="str">
        <f t="shared" si="44"/>
        <v>0</v>
      </c>
      <c r="H698" s="1468"/>
      <c r="I698" s="1462"/>
      <c r="J698" s="1531"/>
      <c r="K698" s="1462"/>
      <c r="L698" s="1462"/>
      <c r="M698" s="1493"/>
      <c r="N698" s="1462"/>
      <c r="O698" s="1462"/>
      <c r="P698" s="1462"/>
      <c r="Q698" s="1462"/>
      <c r="R698" s="1462"/>
      <c r="S698" s="1462"/>
      <c r="T698" s="1462"/>
      <c r="U698" s="1469">
        <v>23</v>
      </c>
      <c r="V698" s="1486" t="s">
        <v>33</v>
      </c>
      <c r="W698" s="1471" t="s">
        <v>1306</v>
      </c>
      <c r="X698" s="1472" t="s">
        <v>110</v>
      </c>
      <c r="Y698" s="1473" t="s">
        <v>1306</v>
      </c>
      <c r="Z698" s="1474" t="s">
        <v>1504</v>
      </c>
      <c r="AA698" s="1473" t="s">
        <v>1306</v>
      </c>
      <c r="AB698" s="1470" t="s">
        <v>30</v>
      </c>
      <c r="AC698" s="1475"/>
      <c r="AD698" s="1476"/>
      <c r="AE698" s="1501"/>
      <c r="AF698" s="1501"/>
      <c r="AG698" s="1457" t="str">
        <f t="shared" si="38"/>
        <v>23調査結果-避難施設等-5（19）-調査者番号</v>
      </c>
      <c r="AI698" s="1459"/>
      <c r="AJ698" s="1459"/>
      <c r="AK698" s="1459"/>
    </row>
    <row r="699" spans="1:37" s="1457" customFormat="1" ht="18.75" customHeight="1" x14ac:dyDescent="0.15">
      <c r="A699" s="1578"/>
      <c r="B699" s="1462"/>
      <c r="C699" s="1462"/>
      <c r="D699" s="1460">
        <f>'1_入力シート【基本情報】'!$AT$454</f>
        <v>0</v>
      </c>
      <c r="E699" s="1650">
        <f t="shared" si="42"/>
        <v>0</v>
      </c>
      <c r="F699" s="1650" t="str">
        <f t="shared" si="43"/>
        <v>0</v>
      </c>
      <c r="G699" s="1650" t="str">
        <f t="shared" si="44"/>
        <v>0</v>
      </c>
      <c r="H699" s="1468"/>
      <c r="I699" s="1462"/>
      <c r="J699" s="1531"/>
      <c r="K699" s="1462"/>
      <c r="L699" s="1462"/>
      <c r="M699" s="1493"/>
      <c r="N699" s="1462"/>
      <c r="O699" s="1462"/>
      <c r="P699" s="1462"/>
      <c r="Q699" s="1462"/>
      <c r="R699" s="1462"/>
      <c r="S699" s="1462"/>
      <c r="T699" s="1462"/>
      <c r="U699" s="1469">
        <v>23</v>
      </c>
      <c r="V699" s="1486" t="s">
        <v>33</v>
      </c>
      <c r="W699" s="1471" t="s">
        <v>1306</v>
      </c>
      <c r="X699" s="1472" t="s">
        <v>110</v>
      </c>
      <c r="Y699" s="1473" t="s">
        <v>1306</v>
      </c>
      <c r="Z699" s="1474" t="s">
        <v>1504</v>
      </c>
      <c r="AA699" s="1473" t="s">
        <v>1306</v>
      </c>
      <c r="AB699" s="1470" t="s">
        <v>1402</v>
      </c>
      <c r="AC699" s="1499"/>
      <c r="AD699" s="1500"/>
      <c r="AE699" s="1501"/>
      <c r="AF699" s="1501"/>
      <c r="AG699" s="1457" t="str">
        <f t="shared" si="38"/>
        <v>23調査結果-避難施設等-5（19）-指摘の具体的内容等</v>
      </c>
      <c r="AI699" s="1459"/>
      <c r="AJ699" s="1459"/>
      <c r="AK699" s="1459"/>
    </row>
    <row r="700" spans="1:37" s="1457" customFormat="1" ht="18.75" customHeight="1" x14ac:dyDescent="0.15">
      <c r="A700" s="1578"/>
      <c r="B700" s="1462"/>
      <c r="C700" s="1462"/>
      <c r="D700" s="1460">
        <f>'1_入力シート【基本情報】'!$BD$454</f>
        <v>0</v>
      </c>
      <c r="E700" s="1650">
        <f t="shared" si="42"/>
        <v>0</v>
      </c>
      <c r="F700" s="1650" t="str">
        <f t="shared" si="43"/>
        <v>0</v>
      </c>
      <c r="G700" s="1650" t="str">
        <f t="shared" si="44"/>
        <v>0</v>
      </c>
      <c r="H700" s="1468"/>
      <c r="I700" s="1462"/>
      <c r="J700" s="1531"/>
      <c r="K700" s="1462"/>
      <c r="L700" s="1462"/>
      <c r="M700" s="1493"/>
      <c r="N700" s="1462"/>
      <c r="O700" s="1462"/>
      <c r="P700" s="1462"/>
      <c r="Q700" s="1462"/>
      <c r="R700" s="1462"/>
      <c r="S700" s="1462"/>
      <c r="T700" s="1462"/>
      <c r="U700" s="1469">
        <v>23</v>
      </c>
      <c r="V700" s="1486" t="s">
        <v>33</v>
      </c>
      <c r="W700" s="1471" t="s">
        <v>1306</v>
      </c>
      <c r="X700" s="1472" t="s">
        <v>110</v>
      </c>
      <c r="Y700" s="1473" t="s">
        <v>1306</v>
      </c>
      <c r="Z700" s="1474" t="s">
        <v>1504</v>
      </c>
      <c r="AA700" s="1473" t="s">
        <v>1306</v>
      </c>
      <c r="AB700" s="1470" t="s">
        <v>1403</v>
      </c>
      <c r="AC700" s="1499"/>
      <c r="AD700" s="1500"/>
      <c r="AE700" s="1501"/>
      <c r="AF700" s="1501"/>
      <c r="AG700" s="1457" t="str">
        <f t="shared" si="38"/>
        <v>23調査結果-避難施設等-5（19）-改善策の具体的内容等</v>
      </c>
      <c r="AI700" s="1459"/>
      <c r="AJ700" s="1459"/>
      <c r="AK700" s="1459"/>
    </row>
    <row r="701" spans="1:37" s="1457" customFormat="1" ht="18.75" customHeight="1" x14ac:dyDescent="0.15">
      <c r="A701" s="1578"/>
      <c r="B701" s="1462"/>
      <c r="C701" s="1462"/>
      <c r="D701" s="1460">
        <f>'1_入力シート【基本情報】'!$BS$454</f>
        <v>0</v>
      </c>
      <c r="E701" s="1650">
        <f t="shared" si="42"/>
        <v>0</v>
      </c>
      <c r="F701" s="1650" t="str">
        <f t="shared" si="43"/>
        <v>0</v>
      </c>
      <c r="G701" s="1650" t="str">
        <f t="shared" si="44"/>
        <v>0</v>
      </c>
      <c r="H701" s="1468"/>
      <c r="I701" s="1462"/>
      <c r="J701" s="1531"/>
      <c r="K701" s="1462"/>
      <c r="L701" s="1462"/>
      <c r="M701" s="1493"/>
      <c r="N701" s="1462"/>
      <c r="O701" s="1462"/>
      <c r="P701" s="1462"/>
      <c r="Q701" s="1462"/>
      <c r="R701" s="1462"/>
      <c r="S701" s="1462"/>
      <c r="T701" s="1462"/>
      <c r="U701" s="1469">
        <v>23</v>
      </c>
      <c r="V701" s="1486" t="s">
        <v>33</v>
      </c>
      <c r="W701" s="1471" t="s">
        <v>1306</v>
      </c>
      <c r="X701" s="1472" t="s">
        <v>110</v>
      </c>
      <c r="Y701" s="1473" t="s">
        <v>1306</v>
      </c>
      <c r="Z701" s="1474" t="s">
        <v>1504</v>
      </c>
      <c r="AA701" s="1473" t="s">
        <v>1306</v>
      </c>
      <c r="AB701" s="1470" t="s">
        <v>352</v>
      </c>
      <c r="AC701" s="1499" t="s">
        <v>1366</v>
      </c>
      <c r="AD701" s="1500" t="s">
        <v>1387</v>
      </c>
      <c r="AE701" s="1477"/>
      <c r="AF701" s="1477"/>
      <c r="AG701" s="1457" t="str">
        <f t="shared" ref="AG701:AG764" si="45">CONCATENATE(U701,V701,W701,X701,Y701,Z701,AA701,AB701,AC701,AD701)</f>
        <v>23調査結果-避難施設等-5（19）-改善（予定）年月-年（令和）</v>
      </c>
      <c r="AI701" s="1459"/>
      <c r="AJ701" s="1459"/>
      <c r="AK701" s="1459"/>
    </row>
    <row r="702" spans="1:37" s="1457" customFormat="1" ht="18.75" customHeight="1" x14ac:dyDescent="0.15">
      <c r="A702" s="1578"/>
      <c r="B702" s="1462"/>
      <c r="C702" s="1462"/>
      <c r="D702" s="1460">
        <f>'1_入力シート【基本情報】'!$BV$454</f>
        <v>0</v>
      </c>
      <c r="E702" s="1650">
        <f t="shared" si="42"/>
        <v>0</v>
      </c>
      <c r="F702" s="1650" t="str">
        <f t="shared" si="43"/>
        <v>0</v>
      </c>
      <c r="G702" s="1650" t="str">
        <f t="shared" si="44"/>
        <v>0</v>
      </c>
      <c r="H702" s="1468"/>
      <c r="I702" s="1462"/>
      <c r="J702" s="1531"/>
      <c r="K702" s="1462"/>
      <c r="L702" s="1462"/>
      <c r="M702" s="1493"/>
      <c r="N702" s="1462"/>
      <c r="O702" s="1462"/>
      <c r="P702" s="1462"/>
      <c r="Q702" s="1462"/>
      <c r="R702" s="1462"/>
      <c r="S702" s="1462"/>
      <c r="T702" s="1462"/>
      <c r="U702" s="1469">
        <v>23</v>
      </c>
      <c r="V702" s="1486" t="s">
        <v>33</v>
      </c>
      <c r="W702" s="1471" t="s">
        <v>1306</v>
      </c>
      <c r="X702" s="1472" t="s">
        <v>110</v>
      </c>
      <c r="Y702" s="1473" t="s">
        <v>1306</v>
      </c>
      <c r="Z702" s="1474" t="s">
        <v>1504</v>
      </c>
      <c r="AA702" s="1473" t="s">
        <v>1306</v>
      </c>
      <c r="AB702" s="1470" t="s">
        <v>352</v>
      </c>
      <c r="AC702" s="1499" t="s">
        <v>1366</v>
      </c>
      <c r="AD702" s="1500" t="s">
        <v>348</v>
      </c>
      <c r="AE702" s="1501"/>
      <c r="AF702" s="1501"/>
      <c r="AG702" s="1457" t="str">
        <f t="shared" si="45"/>
        <v>23調査結果-避難施設等-5（19）-改善（予定）年月-月</v>
      </c>
      <c r="AI702" s="1459"/>
      <c r="AJ702" s="1459"/>
      <c r="AK702" s="1459"/>
    </row>
    <row r="703" spans="1:37" s="1457" customFormat="1" ht="18.75" customHeight="1" x14ac:dyDescent="0.15">
      <c r="A703" s="1578"/>
      <c r="B703" s="1462"/>
      <c r="C703" s="1462"/>
      <c r="D703" s="1460">
        <f>'1_入力シート【基本情報】'!$BY$454</f>
        <v>0</v>
      </c>
      <c r="E703" s="1650">
        <f t="shared" si="42"/>
        <v>0</v>
      </c>
      <c r="F703" s="1650" t="str">
        <f t="shared" si="43"/>
        <v>0</v>
      </c>
      <c r="G703" s="1650" t="str">
        <f t="shared" si="44"/>
        <v>0</v>
      </c>
      <c r="H703" s="1468"/>
      <c r="I703" s="1462"/>
      <c r="J703" s="1531"/>
      <c r="K703" s="1462"/>
      <c r="L703" s="1462"/>
      <c r="M703" s="1493"/>
      <c r="N703" s="1462"/>
      <c r="O703" s="1462"/>
      <c r="P703" s="1462"/>
      <c r="Q703" s="1462"/>
      <c r="R703" s="1462"/>
      <c r="S703" s="1462"/>
      <c r="T703" s="1462"/>
      <c r="U703" s="1469">
        <v>23</v>
      </c>
      <c r="V703" s="1486" t="s">
        <v>33</v>
      </c>
      <c r="W703" s="1471" t="s">
        <v>1306</v>
      </c>
      <c r="X703" s="1472" t="s">
        <v>110</v>
      </c>
      <c r="Y703" s="1473" t="s">
        <v>1306</v>
      </c>
      <c r="Z703" s="1474" t="s">
        <v>1504</v>
      </c>
      <c r="AA703" s="1473" t="s">
        <v>1306</v>
      </c>
      <c r="AB703" s="1486" t="s">
        <v>352</v>
      </c>
      <c r="AC703" s="1499" t="s">
        <v>1366</v>
      </c>
      <c r="AD703" s="1500" t="s">
        <v>640</v>
      </c>
      <c r="AE703" s="1501"/>
      <c r="AF703" s="1501"/>
      <c r="AG703" s="1457" t="str">
        <f t="shared" si="45"/>
        <v>23調査結果-避難施設等-5（19）-改善（予定）年月-未定</v>
      </c>
      <c r="AI703" s="1459"/>
      <c r="AJ703" s="1459"/>
      <c r="AK703" s="1459"/>
    </row>
    <row r="704" spans="1:37" s="1457" customFormat="1" ht="18.75" customHeight="1" x14ac:dyDescent="0.15">
      <c r="A704" s="1578"/>
      <c r="B704" s="1462"/>
      <c r="C704" s="1462"/>
      <c r="D704" s="1460">
        <f>'1_入力シート【基本情報】'!$AF$455</f>
        <v>0</v>
      </c>
      <c r="E704" s="1650">
        <f t="shared" si="42"/>
        <v>0</v>
      </c>
      <c r="F704" s="1650" t="str">
        <f t="shared" si="43"/>
        <v>0</v>
      </c>
      <c r="G704" s="1650" t="str">
        <f t="shared" si="44"/>
        <v>0</v>
      </c>
      <c r="H704" s="1468"/>
      <c r="I704" s="1462"/>
      <c r="J704" s="1531"/>
      <c r="K704" s="1462"/>
      <c r="L704" s="1462"/>
      <c r="M704" s="1493"/>
      <c r="N704" s="1462"/>
      <c r="O704" s="1462"/>
      <c r="P704" s="1462"/>
      <c r="Q704" s="1462"/>
      <c r="R704" s="1462"/>
      <c r="S704" s="1462"/>
      <c r="T704" s="1462"/>
      <c r="U704" s="1469">
        <v>23</v>
      </c>
      <c r="V704" s="1486" t="s">
        <v>33</v>
      </c>
      <c r="W704" s="1471" t="s">
        <v>1306</v>
      </c>
      <c r="X704" s="1472" t="s">
        <v>110</v>
      </c>
      <c r="Y704" s="1473" t="s">
        <v>1306</v>
      </c>
      <c r="Z704" s="1474" t="s">
        <v>1505</v>
      </c>
      <c r="AA704" s="1473" t="s">
        <v>1306</v>
      </c>
      <c r="AB704" s="1486" t="s">
        <v>33</v>
      </c>
      <c r="AC704" s="1499"/>
      <c r="AD704" s="1500"/>
      <c r="AE704" s="1501"/>
      <c r="AF704" s="1501"/>
      <c r="AG704" s="1457" t="str">
        <f t="shared" si="45"/>
        <v>23調査結果-避難施設等-5（20）-調査結果</v>
      </c>
      <c r="AI704" s="1459"/>
      <c r="AJ704" s="1459"/>
      <c r="AK704" s="1459"/>
    </row>
    <row r="705" spans="1:37" s="1457" customFormat="1" ht="18.75" customHeight="1" x14ac:dyDescent="0.15">
      <c r="A705" s="1578"/>
      <c r="B705" s="1462"/>
      <c r="C705" s="1462"/>
      <c r="D705" s="1460">
        <f>'1_入力シート【基本情報】'!$AR$455</f>
        <v>0</v>
      </c>
      <c r="E705" s="1650">
        <f t="shared" si="42"/>
        <v>0</v>
      </c>
      <c r="F705" s="1650" t="str">
        <f t="shared" si="43"/>
        <v>0</v>
      </c>
      <c r="G705" s="1650" t="str">
        <f t="shared" si="44"/>
        <v>0</v>
      </c>
      <c r="H705" s="1468"/>
      <c r="I705" s="1462"/>
      <c r="J705" s="1531"/>
      <c r="K705" s="1462"/>
      <c r="L705" s="1462"/>
      <c r="M705" s="1493"/>
      <c r="N705" s="1462"/>
      <c r="O705" s="1462"/>
      <c r="P705" s="1462"/>
      <c r="Q705" s="1462"/>
      <c r="R705" s="1462"/>
      <c r="S705" s="1462"/>
      <c r="T705" s="1462"/>
      <c r="U705" s="1469">
        <v>23</v>
      </c>
      <c r="V705" s="1486" t="s">
        <v>33</v>
      </c>
      <c r="W705" s="1471" t="s">
        <v>1306</v>
      </c>
      <c r="X705" s="1472" t="s">
        <v>110</v>
      </c>
      <c r="Y705" s="1473" t="s">
        <v>1306</v>
      </c>
      <c r="Z705" s="1474" t="s">
        <v>1505</v>
      </c>
      <c r="AA705" s="1473" t="s">
        <v>1306</v>
      </c>
      <c r="AB705" s="1486" t="s">
        <v>30</v>
      </c>
      <c r="AC705" s="1499"/>
      <c r="AD705" s="1500"/>
      <c r="AE705" s="1501"/>
      <c r="AF705" s="1501"/>
      <c r="AG705" s="1457" t="str">
        <f t="shared" si="45"/>
        <v>23調査結果-避難施設等-5（20）-調査者番号</v>
      </c>
      <c r="AI705" s="1459"/>
      <c r="AJ705" s="1459"/>
      <c r="AK705" s="1459"/>
    </row>
    <row r="706" spans="1:37" s="1457" customFormat="1" ht="18.75" customHeight="1" x14ac:dyDescent="0.15">
      <c r="A706" s="1578"/>
      <c r="B706" s="1462"/>
      <c r="C706" s="1462"/>
      <c r="D706" s="1460">
        <f>'1_入力シート【基本情報】'!$AT$455</f>
        <v>0</v>
      </c>
      <c r="E706" s="1650">
        <f t="shared" si="42"/>
        <v>0</v>
      </c>
      <c r="F706" s="1650" t="str">
        <f t="shared" si="43"/>
        <v>0</v>
      </c>
      <c r="G706" s="1650" t="str">
        <f t="shared" si="44"/>
        <v>0</v>
      </c>
      <c r="H706" s="1468"/>
      <c r="I706" s="1462"/>
      <c r="J706" s="1531"/>
      <c r="K706" s="1462"/>
      <c r="L706" s="1462"/>
      <c r="M706" s="1493"/>
      <c r="N706" s="1462"/>
      <c r="O706" s="1462"/>
      <c r="P706" s="1462"/>
      <c r="Q706" s="1462"/>
      <c r="R706" s="1462"/>
      <c r="S706" s="1462"/>
      <c r="T706" s="1462"/>
      <c r="U706" s="1469">
        <v>23</v>
      </c>
      <c r="V706" s="1486" t="s">
        <v>33</v>
      </c>
      <c r="W706" s="1471" t="s">
        <v>1306</v>
      </c>
      <c r="X706" s="1472" t="s">
        <v>110</v>
      </c>
      <c r="Y706" s="1473" t="s">
        <v>1306</v>
      </c>
      <c r="Z706" s="1474" t="s">
        <v>1505</v>
      </c>
      <c r="AA706" s="1473" t="s">
        <v>1306</v>
      </c>
      <c r="AB706" s="1470" t="s">
        <v>1402</v>
      </c>
      <c r="AC706" s="1475"/>
      <c r="AD706" s="1476"/>
      <c r="AE706" s="1501"/>
      <c r="AF706" s="1501"/>
      <c r="AG706" s="1457" t="str">
        <f t="shared" si="45"/>
        <v>23調査結果-避難施設等-5（20）-指摘の具体的内容等</v>
      </c>
      <c r="AI706" s="1459"/>
      <c r="AJ706" s="1459"/>
      <c r="AK706" s="1459"/>
    </row>
    <row r="707" spans="1:37" s="1457" customFormat="1" ht="18.75" customHeight="1" x14ac:dyDescent="0.15">
      <c r="A707" s="1578"/>
      <c r="B707" s="1462"/>
      <c r="C707" s="1462"/>
      <c r="D707" s="1460">
        <f>'1_入力シート【基本情報】'!$BD$455</f>
        <v>0</v>
      </c>
      <c r="E707" s="1650">
        <f t="shared" si="42"/>
        <v>0</v>
      </c>
      <c r="F707" s="1650" t="str">
        <f t="shared" si="43"/>
        <v>0</v>
      </c>
      <c r="G707" s="1650" t="str">
        <f t="shared" si="44"/>
        <v>0</v>
      </c>
      <c r="H707" s="1468"/>
      <c r="I707" s="1462"/>
      <c r="J707" s="1531"/>
      <c r="K707" s="1462"/>
      <c r="L707" s="1462"/>
      <c r="M707" s="1493"/>
      <c r="N707" s="1462"/>
      <c r="O707" s="1462"/>
      <c r="P707" s="1462"/>
      <c r="Q707" s="1462"/>
      <c r="R707" s="1462"/>
      <c r="S707" s="1462"/>
      <c r="T707" s="1462"/>
      <c r="U707" s="1469">
        <v>23</v>
      </c>
      <c r="V707" s="1486" t="s">
        <v>33</v>
      </c>
      <c r="W707" s="1471" t="s">
        <v>1306</v>
      </c>
      <c r="X707" s="1472" t="s">
        <v>110</v>
      </c>
      <c r="Y707" s="1473" t="s">
        <v>1306</v>
      </c>
      <c r="Z707" s="1474" t="s">
        <v>1505</v>
      </c>
      <c r="AA707" s="1473" t="s">
        <v>1306</v>
      </c>
      <c r="AB707" s="1470" t="s">
        <v>1403</v>
      </c>
      <c r="AC707" s="1499"/>
      <c r="AD707" s="1500"/>
      <c r="AE707" s="1501"/>
      <c r="AF707" s="1501"/>
      <c r="AG707" s="1457" t="str">
        <f t="shared" si="45"/>
        <v>23調査結果-避難施設等-5（20）-改善策の具体的内容等</v>
      </c>
      <c r="AI707" s="1459"/>
      <c r="AJ707" s="1459"/>
      <c r="AK707" s="1459"/>
    </row>
    <row r="708" spans="1:37" s="1457" customFormat="1" ht="18.75" customHeight="1" x14ac:dyDescent="0.15">
      <c r="A708" s="1578"/>
      <c r="B708" s="1462"/>
      <c r="C708" s="1462"/>
      <c r="D708" s="1460">
        <f>'1_入力シート【基本情報】'!$BS$455</f>
        <v>0</v>
      </c>
      <c r="E708" s="1650">
        <f t="shared" si="42"/>
        <v>0</v>
      </c>
      <c r="F708" s="1650" t="str">
        <f t="shared" si="43"/>
        <v>0</v>
      </c>
      <c r="G708" s="1650" t="str">
        <f t="shared" si="44"/>
        <v>0</v>
      </c>
      <c r="H708" s="1468"/>
      <c r="I708" s="1462"/>
      <c r="J708" s="1531"/>
      <c r="K708" s="1462"/>
      <c r="L708" s="1462"/>
      <c r="M708" s="1493"/>
      <c r="N708" s="1462"/>
      <c r="O708" s="1462"/>
      <c r="P708" s="1462"/>
      <c r="Q708" s="1462"/>
      <c r="R708" s="1462"/>
      <c r="S708" s="1462"/>
      <c r="T708" s="1462"/>
      <c r="U708" s="1469">
        <v>23</v>
      </c>
      <c r="V708" s="1486" t="s">
        <v>33</v>
      </c>
      <c r="W708" s="1471" t="s">
        <v>1306</v>
      </c>
      <c r="X708" s="1472" t="s">
        <v>110</v>
      </c>
      <c r="Y708" s="1473" t="s">
        <v>1306</v>
      </c>
      <c r="Z708" s="1474" t="s">
        <v>1505</v>
      </c>
      <c r="AA708" s="1473" t="s">
        <v>1306</v>
      </c>
      <c r="AB708" s="1470" t="s">
        <v>352</v>
      </c>
      <c r="AC708" s="1499" t="s">
        <v>1366</v>
      </c>
      <c r="AD708" s="1500" t="s">
        <v>1387</v>
      </c>
      <c r="AE708" s="1501"/>
      <c r="AF708" s="1501"/>
      <c r="AG708" s="1457" t="str">
        <f t="shared" si="45"/>
        <v>23調査結果-避難施設等-5（20）-改善（予定）年月-年（令和）</v>
      </c>
      <c r="AI708" s="1459"/>
      <c r="AJ708" s="1459"/>
      <c r="AK708" s="1459"/>
    </row>
    <row r="709" spans="1:37" s="1457" customFormat="1" ht="18.75" customHeight="1" x14ac:dyDescent="0.15">
      <c r="A709" s="1578"/>
      <c r="B709" s="1462"/>
      <c r="C709" s="1462"/>
      <c r="D709" s="1460">
        <f>'1_入力シート【基本情報】'!$BV$455</f>
        <v>0</v>
      </c>
      <c r="E709" s="1650">
        <f t="shared" si="42"/>
        <v>0</v>
      </c>
      <c r="F709" s="1650" t="str">
        <f t="shared" si="43"/>
        <v>0</v>
      </c>
      <c r="G709" s="1650" t="str">
        <f t="shared" si="44"/>
        <v>0</v>
      </c>
      <c r="H709" s="1468"/>
      <c r="I709" s="1462"/>
      <c r="J709" s="1531"/>
      <c r="K709" s="1462"/>
      <c r="L709" s="1462"/>
      <c r="M709" s="1493"/>
      <c r="N709" s="1462"/>
      <c r="O709" s="1462"/>
      <c r="P709" s="1462"/>
      <c r="Q709" s="1462"/>
      <c r="R709" s="1462"/>
      <c r="S709" s="1462"/>
      <c r="T709" s="1462"/>
      <c r="U709" s="1469">
        <v>23</v>
      </c>
      <c r="V709" s="1486" t="s">
        <v>33</v>
      </c>
      <c r="W709" s="1471" t="s">
        <v>1306</v>
      </c>
      <c r="X709" s="1472" t="s">
        <v>110</v>
      </c>
      <c r="Y709" s="1473" t="s">
        <v>1306</v>
      </c>
      <c r="Z709" s="1474" t="s">
        <v>1505</v>
      </c>
      <c r="AA709" s="1473" t="s">
        <v>1306</v>
      </c>
      <c r="AB709" s="1470" t="s">
        <v>352</v>
      </c>
      <c r="AC709" s="1499" t="s">
        <v>1366</v>
      </c>
      <c r="AD709" s="1500" t="s">
        <v>348</v>
      </c>
      <c r="AE709" s="1477"/>
      <c r="AF709" s="1477"/>
      <c r="AG709" s="1457" t="str">
        <f t="shared" si="45"/>
        <v>23調査結果-避難施設等-5（20）-改善（予定）年月-月</v>
      </c>
      <c r="AI709" s="1459"/>
      <c r="AJ709" s="1459"/>
      <c r="AK709" s="1459"/>
    </row>
    <row r="710" spans="1:37" s="1457" customFormat="1" ht="18.75" customHeight="1" x14ac:dyDescent="0.15">
      <c r="A710" s="1578"/>
      <c r="B710" s="1462"/>
      <c r="C710" s="1462"/>
      <c r="D710" s="1460">
        <f>'1_入力シート【基本情報】'!$BY$455</f>
        <v>0</v>
      </c>
      <c r="E710" s="1650">
        <f t="shared" si="42"/>
        <v>0</v>
      </c>
      <c r="F710" s="1650" t="str">
        <f t="shared" si="43"/>
        <v>0</v>
      </c>
      <c r="G710" s="1650" t="str">
        <f t="shared" si="44"/>
        <v>0</v>
      </c>
      <c r="H710" s="1468"/>
      <c r="I710" s="1462"/>
      <c r="J710" s="1531"/>
      <c r="K710" s="1462"/>
      <c r="L710" s="1462"/>
      <c r="M710" s="1493"/>
      <c r="N710" s="1462"/>
      <c r="O710" s="1462"/>
      <c r="P710" s="1462"/>
      <c r="Q710" s="1462"/>
      <c r="R710" s="1462"/>
      <c r="S710" s="1462"/>
      <c r="T710" s="1462"/>
      <c r="U710" s="1469">
        <v>23</v>
      </c>
      <c r="V710" s="1486" t="s">
        <v>33</v>
      </c>
      <c r="W710" s="1471" t="s">
        <v>1306</v>
      </c>
      <c r="X710" s="1472" t="s">
        <v>110</v>
      </c>
      <c r="Y710" s="1473" t="s">
        <v>1306</v>
      </c>
      <c r="Z710" s="1474" t="s">
        <v>1505</v>
      </c>
      <c r="AA710" s="1473" t="s">
        <v>1306</v>
      </c>
      <c r="AB710" s="1470" t="s">
        <v>352</v>
      </c>
      <c r="AC710" s="1499" t="s">
        <v>1366</v>
      </c>
      <c r="AD710" s="1500" t="s">
        <v>640</v>
      </c>
      <c r="AE710" s="1501"/>
      <c r="AF710" s="1501"/>
      <c r="AG710" s="1457" t="str">
        <f t="shared" si="45"/>
        <v>23調査結果-避難施設等-5（20）-改善（予定）年月-未定</v>
      </c>
      <c r="AI710" s="1459"/>
      <c r="AJ710" s="1459"/>
      <c r="AK710" s="1459"/>
    </row>
    <row r="711" spans="1:37" s="1457" customFormat="1" ht="18.75" customHeight="1" x14ac:dyDescent="0.15">
      <c r="A711" s="1578"/>
      <c r="B711" s="1462"/>
      <c r="C711" s="1462"/>
      <c r="D711" s="1460">
        <f>'1_入力シート【基本情報】'!$AF$456</f>
        <v>0</v>
      </c>
      <c r="E711" s="1650">
        <f t="shared" si="42"/>
        <v>0</v>
      </c>
      <c r="F711" s="1650" t="str">
        <f t="shared" si="43"/>
        <v>0</v>
      </c>
      <c r="G711" s="1650" t="str">
        <f t="shared" si="44"/>
        <v>0</v>
      </c>
      <c r="H711" s="1468"/>
      <c r="I711" s="1462"/>
      <c r="J711" s="1531"/>
      <c r="K711" s="1462"/>
      <c r="L711" s="1462"/>
      <c r="M711" s="1493"/>
      <c r="N711" s="1462"/>
      <c r="O711" s="1462"/>
      <c r="P711" s="1462"/>
      <c r="Q711" s="1462"/>
      <c r="R711" s="1462"/>
      <c r="S711" s="1462"/>
      <c r="T711" s="1462"/>
      <c r="U711" s="1469">
        <v>23</v>
      </c>
      <c r="V711" s="1486" t="s">
        <v>33</v>
      </c>
      <c r="W711" s="1471" t="s">
        <v>1306</v>
      </c>
      <c r="X711" s="1472" t="s">
        <v>110</v>
      </c>
      <c r="Y711" s="1473" t="s">
        <v>1306</v>
      </c>
      <c r="Z711" s="1474" t="s">
        <v>1506</v>
      </c>
      <c r="AA711" s="1473" t="s">
        <v>1306</v>
      </c>
      <c r="AB711" s="1486" t="s">
        <v>33</v>
      </c>
      <c r="AC711" s="1499"/>
      <c r="AD711" s="1500"/>
      <c r="AE711" s="1501"/>
      <c r="AF711" s="1501"/>
      <c r="AG711" s="1457" t="str">
        <f t="shared" si="45"/>
        <v>23調査結果-避難施設等-5（21）-調査結果</v>
      </c>
      <c r="AI711" s="1459"/>
      <c r="AJ711" s="1459"/>
      <c r="AK711" s="1459"/>
    </row>
    <row r="712" spans="1:37" s="1457" customFormat="1" ht="18.75" customHeight="1" x14ac:dyDescent="0.15">
      <c r="A712" s="1578"/>
      <c r="B712" s="1462"/>
      <c r="C712" s="1462"/>
      <c r="D712" s="1460">
        <f>'1_入力シート【基本情報】'!$AR$456</f>
        <v>0</v>
      </c>
      <c r="E712" s="1650">
        <f t="shared" si="42"/>
        <v>0</v>
      </c>
      <c r="F712" s="1650" t="str">
        <f t="shared" si="43"/>
        <v>0</v>
      </c>
      <c r="G712" s="1650" t="str">
        <f t="shared" si="44"/>
        <v>0</v>
      </c>
      <c r="H712" s="1468"/>
      <c r="I712" s="1462"/>
      <c r="J712" s="1531"/>
      <c r="K712" s="1462"/>
      <c r="L712" s="1462"/>
      <c r="M712" s="1493"/>
      <c r="N712" s="1462"/>
      <c r="O712" s="1462"/>
      <c r="P712" s="1462"/>
      <c r="Q712" s="1462"/>
      <c r="R712" s="1462"/>
      <c r="S712" s="1462"/>
      <c r="T712" s="1462"/>
      <c r="U712" s="1469">
        <v>23</v>
      </c>
      <c r="V712" s="1486" t="s">
        <v>33</v>
      </c>
      <c r="W712" s="1471" t="s">
        <v>1306</v>
      </c>
      <c r="X712" s="1472" t="s">
        <v>110</v>
      </c>
      <c r="Y712" s="1473" t="s">
        <v>1306</v>
      </c>
      <c r="Z712" s="1474" t="s">
        <v>1506</v>
      </c>
      <c r="AA712" s="1473" t="s">
        <v>1306</v>
      </c>
      <c r="AB712" s="1486" t="s">
        <v>30</v>
      </c>
      <c r="AC712" s="1499"/>
      <c r="AD712" s="1500"/>
      <c r="AE712" s="1501"/>
      <c r="AF712" s="1501"/>
      <c r="AG712" s="1457" t="str">
        <f t="shared" si="45"/>
        <v>23調査結果-避難施設等-5（21）-調査者番号</v>
      </c>
      <c r="AI712" s="1459"/>
      <c r="AJ712" s="1459"/>
      <c r="AK712" s="1459"/>
    </row>
    <row r="713" spans="1:37" s="1457" customFormat="1" ht="18.75" customHeight="1" x14ac:dyDescent="0.15">
      <c r="A713" s="1578"/>
      <c r="B713" s="1462"/>
      <c r="C713" s="1462"/>
      <c r="D713" s="1460">
        <f>'1_入力シート【基本情報】'!$AT$456</f>
        <v>0</v>
      </c>
      <c r="E713" s="1650">
        <f t="shared" si="42"/>
        <v>0</v>
      </c>
      <c r="F713" s="1650" t="str">
        <f t="shared" si="43"/>
        <v>0</v>
      </c>
      <c r="G713" s="1650" t="str">
        <f t="shared" si="44"/>
        <v>0</v>
      </c>
      <c r="H713" s="1468"/>
      <c r="I713" s="1462"/>
      <c r="J713" s="1531"/>
      <c r="K713" s="1462"/>
      <c r="L713" s="1462"/>
      <c r="M713" s="1493"/>
      <c r="N713" s="1462"/>
      <c r="O713" s="1462"/>
      <c r="P713" s="1462"/>
      <c r="Q713" s="1462"/>
      <c r="R713" s="1462"/>
      <c r="S713" s="1462"/>
      <c r="T713" s="1462"/>
      <c r="U713" s="1469">
        <v>23</v>
      </c>
      <c r="V713" s="1486" t="s">
        <v>33</v>
      </c>
      <c r="W713" s="1471" t="s">
        <v>1306</v>
      </c>
      <c r="X713" s="1472" t="s">
        <v>110</v>
      </c>
      <c r="Y713" s="1473" t="s">
        <v>1306</v>
      </c>
      <c r="Z713" s="1474" t="s">
        <v>1506</v>
      </c>
      <c r="AA713" s="1473" t="s">
        <v>1306</v>
      </c>
      <c r="AB713" s="1486" t="s">
        <v>1402</v>
      </c>
      <c r="AC713" s="1499"/>
      <c r="AD713" s="1500"/>
      <c r="AE713" s="1501"/>
      <c r="AF713" s="1501"/>
      <c r="AG713" s="1457" t="str">
        <f t="shared" si="45"/>
        <v>23調査結果-避難施設等-5（21）-指摘の具体的内容等</v>
      </c>
      <c r="AI713" s="1459"/>
      <c r="AJ713" s="1459"/>
      <c r="AK713" s="1459"/>
    </row>
    <row r="714" spans="1:37" s="1457" customFormat="1" ht="18.75" customHeight="1" x14ac:dyDescent="0.15">
      <c r="A714" s="1578"/>
      <c r="B714" s="1462"/>
      <c r="C714" s="1462"/>
      <c r="D714" s="1460">
        <f>'1_入力シート【基本情報】'!$BD$456</f>
        <v>0</v>
      </c>
      <c r="E714" s="1650">
        <f t="shared" si="42"/>
        <v>0</v>
      </c>
      <c r="F714" s="1650" t="str">
        <f t="shared" si="43"/>
        <v>0</v>
      </c>
      <c r="G714" s="1650" t="str">
        <f t="shared" si="44"/>
        <v>0</v>
      </c>
      <c r="H714" s="1468"/>
      <c r="I714" s="1462"/>
      <c r="J714" s="1531"/>
      <c r="K714" s="1462"/>
      <c r="L714" s="1462"/>
      <c r="M714" s="1493"/>
      <c r="N714" s="1462"/>
      <c r="O714" s="1462"/>
      <c r="P714" s="1462"/>
      <c r="Q714" s="1462"/>
      <c r="R714" s="1462"/>
      <c r="S714" s="1462"/>
      <c r="T714" s="1462"/>
      <c r="U714" s="1469">
        <v>23</v>
      </c>
      <c r="V714" s="1486" t="s">
        <v>33</v>
      </c>
      <c r="W714" s="1471" t="s">
        <v>1306</v>
      </c>
      <c r="X714" s="1472" t="s">
        <v>110</v>
      </c>
      <c r="Y714" s="1473" t="s">
        <v>1306</v>
      </c>
      <c r="Z714" s="1474" t="s">
        <v>1506</v>
      </c>
      <c r="AA714" s="1473" t="s">
        <v>1306</v>
      </c>
      <c r="AB714" s="1470" t="s">
        <v>1403</v>
      </c>
      <c r="AC714" s="1475"/>
      <c r="AD714" s="1476"/>
      <c r="AE714" s="1501"/>
      <c r="AF714" s="1501"/>
      <c r="AG714" s="1457" t="str">
        <f t="shared" si="45"/>
        <v>23調査結果-避難施設等-5（21）-改善策の具体的内容等</v>
      </c>
      <c r="AI714" s="1459"/>
      <c r="AJ714" s="1459"/>
      <c r="AK714" s="1459"/>
    </row>
    <row r="715" spans="1:37" s="1457" customFormat="1" ht="18.75" customHeight="1" x14ac:dyDescent="0.15">
      <c r="A715" s="1578"/>
      <c r="B715" s="1462"/>
      <c r="C715" s="1462"/>
      <c r="D715" s="1460">
        <f>'1_入力シート【基本情報】'!$BS$456</f>
        <v>0</v>
      </c>
      <c r="E715" s="1650">
        <f t="shared" si="42"/>
        <v>0</v>
      </c>
      <c r="F715" s="1650" t="str">
        <f t="shared" si="43"/>
        <v>0</v>
      </c>
      <c r="G715" s="1650" t="str">
        <f t="shared" si="44"/>
        <v>0</v>
      </c>
      <c r="H715" s="1468"/>
      <c r="I715" s="1462"/>
      <c r="J715" s="1531"/>
      <c r="K715" s="1462"/>
      <c r="L715" s="1462"/>
      <c r="M715" s="1493"/>
      <c r="N715" s="1462"/>
      <c r="O715" s="1462"/>
      <c r="P715" s="1462"/>
      <c r="Q715" s="1462"/>
      <c r="R715" s="1462"/>
      <c r="S715" s="1462"/>
      <c r="T715" s="1462"/>
      <c r="U715" s="1469">
        <v>23</v>
      </c>
      <c r="V715" s="1486" t="s">
        <v>33</v>
      </c>
      <c r="W715" s="1471" t="s">
        <v>1306</v>
      </c>
      <c r="X715" s="1472" t="s">
        <v>110</v>
      </c>
      <c r="Y715" s="1473" t="s">
        <v>1306</v>
      </c>
      <c r="Z715" s="1474" t="s">
        <v>1506</v>
      </c>
      <c r="AA715" s="1473" t="s">
        <v>1306</v>
      </c>
      <c r="AB715" s="1470" t="s">
        <v>352</v>
      </c>
      <c r="AC715" s="1499" t="s">
        <v>1366</v>
      </c>
      <c r="AD715" s="1500" t="s">
        <v>1387</v>
      </c>
      <c r="AE715" s="1501"/>
      <c r="AF715" s="1501"/>
      <c r="AG715" s="1457" t="str">
        <f t="shared" si="45"/>
        <v>23調査結果-避難施設等-5（21）-改善（予定）年月-年（令和）</v>
      </c>
      <c r="AI715" s="1459"/>
      <c r="AJ715" s="1459"/>
      <c r="AK715" s="1459"/>
    </row>
    <row r="716" spans="1:37" s="1457" customFormat="1" ht="18.75" customHeight="1" x14ac:dyDescent="0.15">
      <c r="A716" s="1578"/>
      <c r="B716" s="1462"/>
      <c r="C716" s="1462"/>
      <c r="D716" s="1460">
        <f>'1_入力シート【基本情報】'!$BV$456</f>
        <v>0</v>
      </c>
      <c r="E716" s="1650">
        <f t="shared" si="42"/>
        <v>0</v>
      </c>
      <c r="F716" s="1650" t="str">
        <f t="shared" si="43"/>
        <v>0</v>
      </c>
      <c r="G716" s="1650" t="str">
        <f t="shared" si="44"/>
        <v>0</v>
      </c>
      <c r="H716" s="1468"/>
      <c r="I716" s="1462"/>
      <c r="J716" s="1531"/>
      <c r="K716" s="1462"/>
      <c r="L716" s="1462"/>
      <c r="M716" s="1493"/>
      <c r="N716" s="1462"/>
      <c r="O716" s="1462"/>
      <c r="P716" s="1462"/>
      <c r="Q716" s="1462"/>
      <c r="R716" s="1462"/>
      <c r="S716" s="1462"/>
      <c r="T716" s="1462"/>
      <c r="U716" s="1469">
        <v>23</v>
      </c>
      <c r="V716" s="1486" t="s">
        <v>33</v>
      </c>
      <c r="W716" s="1471" t="s">
        <v>1306</v>
      </c>
      <c r="X716" s="1472" t="s">
        <v>110</v>
      </c>
      <c r="Y716" s="1473" t="s">
        <v>1306</v>
      </c>
      <c r="Z716" s="1474" t="s">
        <v>1506</v>
      </c>
      <c r="AA716" s="1473" t="s">
        <v>1306</v>
      </c>
      <c r="AB716" s="1470" t="s">
        <v>352</v>
      </c>
      <c r="AC716" s="1499" t="s">
        <v>1366</v>
      </c>
      <c r="AD716" s="1500" t="s">
        <v>348</v>
      </c>
      <c r="AE716" s="1501"/>
      <c r="AF716" s="1501"/>
      <c r="AG716" s="1457" t="str">
        <f t="shared" si="45"/>
        <v>23調査結果-避難施設等-5（21）-改善（予定）年月-月</v>
      </c>
      <c r="AI716" s="1459"/>
      <c r="AJ716" s="1459"/>
      <c r="AK716" s="1459"/>
    </row>
    <row r="717" spans="1:37" s="1457" customFormat="1" ht="18.75" customHeight="1" x14ac:dyDescent="0.15">
      <c r="A717" s="1578"/>
      <c r="B717" s="1462"/>
      <c r="C717" s="1462"/>
      <c r="D717" s="1460">
        <f>'1_入力シート【基本情報】'!$BY$456</f>
        <v>0</v>
      </c>
      <c r="E717" s="1650">
        <f t="shared" ref="E717:E780" si="46">D717</f>
        <v>0</v>
      </c>
      <c r="F717" s="1650" t="str">
        <f t="shared" ref="F717:F780" si="47">SUBSTITUTE(E717,CHAR(10),"")</f>
        <v>0</v>
      </c>
      <c r="G717" s="1650" t="str">
        <f t="shared" ref="G717:G780" si="48">TRIM(F717)</f>
        <v>0</v>
      </c>
      <c r="H717" s="1468"/>
      <c r="I717" s="1462"/>
      <c r="J717" s="1531"/>
      <c r="K717" s="1462"/>
      <c r="L717" s="1462"/>
      <c r="M717" s="1493"/>
      <c r="N717" s="1462"/>
      <c r="O717" s="1462"/>
      <c r="P717" s="1462"/>
      <c r="Q717" s="1462"/>
      <c r="R717" s="1462"/>
      <c r="S717" s="1462"/>
      <c r="T717" s="1462"/>
      <c r="U717" s="1469">
        <v>23</v>
      </c>
      <c r="V717" s="1486" t="s">
        <v>33</v>
      </c>
      <c r="W717" s="1471" t="s">
        <v>1306</v>
      </c>
      <c r="X717" s="1472" t="s">
        <v>110</v>
      </c>
      <c r="Y717" s="1473" t="s">
        <v>1306</v>
      </c>
      <c r="Z717" s="1474" t="s">
        <v>1506</v>
      </c>
      <c r="AA717" s="1473" t="s">
        <v>1306</v>
      </c>
      <c r="AB717" s="1470" t="s">
        <v>352</v>
      </c>
      <c r="AC717" s="1499" t="s">
        <v>1366</v>
      </c>
      <c r="AD717" s="1500" t="s">
        <v>640</v>
      </c>
      <c r="AE717" s="1477"/>
      <c r="AF717" s="1477"/>
      <c r="AG717" s="1457" t="str">
        <f t="shared" si="45"/>
        <v>23調査結果-避難施設等-5（21）-改善（予定）年月-未定</v>
      </c>
      <c r="AI717" s="1459"/>
      <c r="AJ717" s="1459"/>
      <c r="AK717" s="1459"/>
    </row>
    <row r="718" spans="1:37" s="1457" customFormat="1" ht="18.75" customHeight="1" x14ac:dyDescent="0.15">
      <c r="A718" s="1578"/>
      <c r="B718" s="1462"/>
      <c r="C718" s="1462"/>
      <c r="D718" s="1460">
        <f>'1_入力シート【基本情報】'!$AF$457</f>
        <v>0</v>
      </c>
      <c r="E718" s="1650">
        <f t="shared" si="46"/>
        <v>0</v>
      </c>
      <c r="F718" s="1650" t="str">
        <f t="shared" si="47"/>
        <v>0</v>
      </c>
      <c r="G718" s="1650" t="str">
        <f t="shared" si="48"/>
        <v>0</v>
      </c>
      <c r="H718" s="1468"/>
      <c r="I718" s="1462"/>
      <c r="J718" s="1531"/>
      <c r="K718" s="1462"/>
      <c r="L718" s="1462"/>
      <c r="M718" s="1493"/>
      <c r="N718" s="1462"/>
      <c r="O718" s="1462"/>
      <c r="P718" s="1462"/>
      <c r="Q718" s="1462"/>
      <c r="R718" s="1462"/>
      <c r="S718" s="1462"/>
      <c r="T718" s="1462"/>
      <c r="U718" s="1469">
        <v>23</v>
      </c>
      <c r="V718" s="1486" t="s">
        <v>33</v>
      </c>
      <c r="W718" s="1471" t="s">
        <v>1306</v>
      </c>
      <c r="X718" s="1472" t="s">
        <v>110</v>
      </c>
      <c r="Y718" s="1473" t="s">
        <v>1306</v>
      </c>
      <c r="Z718" s="1474" t="s">
        <v>1507</v>
      </c>
      <c r="AA718" s="1473" t="s">
        <v>1306</v>
      </c>
      <c r="AB718" s="1470" t="s">
        <v>33</v>
      </c>
      <c r="AC718" s="1499"/>
      <c r="AD718" s="1500"/>
      <c r="AE718" s="1501"/>
      <c r="AF718" s="1501"/>
      <c r="AG718" s="1457" t="str">
        <f t="shared" si="45"/>
        <v>23調査結果-避難施設等-5（22）-調査結果</v>
      </c>
      <c r="AI718" s="1459"/>
      <c r="AJ718" s="1459"/>
      <c r="AK718" s="1459"/>
    </row>
    <row r="719" spans="1:37" s="1457" customFormat="1" ht="18.75" customHeight="1" x14ac:dyDescent="0.15">
      <c r="A719" s="1578"/>
      <c r="B719" s="1462"/>
      <c r="C719" s="1462"/>
      <c r="D719" s="1460">
        <f>'1_入力シート【基本情報】'!$AR$457</f>
        <v>0</v>
      </c>
      <c r="E719" s="1650">
        <f t="shared" si="46"/>
        <v>0</v>
      </c>
      <c r="F719" s="1650" t="str">
        <f t="shared" si="47"/>
        <v>0</v>
      </c>
      <c r="G719" s="1650" t="str">
        <f t="shared" si="48"/>
        <v>0</v>
      </c>
      <c r="H719" s="1468"/>
      <c r="I719" s="1462"/>
      <c r="J719" s="1531"/>
      <c r="K719" s="1462"/>
      <c r="L719" s="1462"/>
      <c r="M719" s="1493"/>
      <c r="N719" s="1462"/>
      <c r="O719" s="1462"/>
      <c r="P719" s="1462"/>
      <c r="Q719" s="1462"/>
      <c r="R719" s="1462"/>
      <c r="S719" s="1462"/>
      <c r="T719" s="1462"/>
      <c r="U719" s="1469">
        <v>23</v>
      </c>
      <c r="V719" s="1486" t="s">
        <v>33</v>
      </c>
      <c r="W719" s="1471" t="s">
        <v>1306</v>
      </c>
      <c r="X719" s="1472" t="s">
        <v>110</v>
      </c>
      <c r="Y719" s="1473" t="s">
        <v>1306</v>
      </c>
      <c r="Z719" s="1474" t="s">
        <v>1507</v>
      </c>
      <c r="AA719" s="1473" t="s">
        <v>1306</v>
      </c>
      <c r="AB719" s="1486" t="s">
        <v>30</v>
      </c>
      <c r="AC719" s="1499"/>
      <c r="AD719" s="1500"/>
      <c r="AE719" s="1501"/>
      <c r="AF719" s="1501"/>
      <c r="AG719" s="1457" t="str">
        <f t="shared" si="45"/>
        <v>23調査結果-避難施設等-5（22）-調査者番号</v>
      </c>
      <c r="AI719" s="1459"/>
      <c r="AJ719" s="1459"/>
      <c r="AK719" s="1459"/>
    </row>
    <row r="720" spans="1:37" s="1457" customFormat="1" ht="18.75" customHeight="1" x14ac:dyDescent="0.15">
      <c r="A720" s="1578"/>
      <c r="B720" s="1462"/>
      <c r="C720" s="1462"/>
      <c r="D720" s="1460">
        <f>'1_入力シート【基本情報】'!$AT$457</f>
        <v>0</v>
      </c>
      <c r="E720" s="1650">
        <f t="shared" si="46"/>
        <v>0</v>
      </c>
      <c r="F720" s="1650" t="str">
        <f t="shared" si="47"/>
        <v>0</v>
      </c>
      <c r="G720" s="1650" t="str">
        <f t="shared" si="48"/>
        <v>0</v>
      </c>
      <c r="H720" s="1468"/>
      <c r="I720" s="1462"/>
      <c r="J720" s="1531"/>
      <c r="K720" s="1462"/>
      <c r="L720" s="1462"/>
      <c r="M720" s="1493"/>
      <c r="N720" s="1462"/>
      <c r="O720" s="1462"/>
      <c r="P720" s="1462"/>
      <c r="Q720" s="1462"/>
      <c r="R720" s="1462"/>
      <c r="S720" s="1462"/>
      <c r="T720" s="1462"/>
      <c r="U720" s="1469">
        <v>23</v>
      </c>
      <c r="V720" s="1486" t="s">
        <v>33</v>
      </c>
      <c r="W720" s="1471" t="s">
        <v>1306</v>
      </c>
      <c r="X720" s="1472" t="s">
        <v>110</v>
      </c>
      <c r="Y720" s="1473" t="s">
        <v>1306</v>
      </c>
      <c r="Z720" s="1474" t="s">
        <v>1507</v>
      </c>
      <c r="AA720" s="1473" t="s">
        <v>1306</v>
      </c>
      <c r="AB720" s="1486" t="s">
        <v>1402</v>
      </c>
      <c r="AC720" s="1499"/>
      <c r="AD720" s="1500"/>
      <c r="AE720" s="1501"/>
      <c r="AF720" s="1501"/>
      <c r="AG720" s="1457" t="str">
        <f t="shared" si="45"/>
        <v>23調査結果-避難施設等-5（22）-指摘の具体的内容等</v>
      </c>
      <c r="AI720" s="1459"/>
      <c r="AJ720" s="1459"/>
      <c r="AK720" s="1459"/>
    </row>
    <row r="721" spans="1:37" s="1457" customFormat="1" ht="18.75" customHeight="1" x14ac:dyDescent="0.15">
      <c r="A721" s="1578"/>
      <c r="B721" s="1462"/>
      <c r="C721" s="1462"/>
      <c r="D721" s="1460">
        <f>'1_入力シート【基本情報】'!$BD$457</f>
        <v>0</v>
      </c>
      <c r="E721" s="1650">
        <f t="shared" si="46"/>
        <v>0</v>
      </c>
      <c r="F721" s="1650" t="str">
        <f t="shared" si="47"/>
        <v>0</v>
      </c>
      <c r="G721" s="1650" t="str">
        <f t="shared" si="48"/>
        <v>0</v>
      </c>
      <c r="H721" s="1468"/>
      <c r="I721" s="1462"/>
      <c r="J721" s="1531"/>
      <c r="K721" s="1462"/>
      <c r="L721" s="1462"/>
      <c r="M721" s="1493"/>
      <c r="N721" s="1462"/>
      <c r="O721" s="1462"/>
      <c r="P721" s="1462"/>
      <c r="Q721" s="1462"/>
      <c r="R721" s="1462"/>
      <c r="S721" s="1462"/>
      <c r="T721" s="1462"/>
      <c r="U721" s="1469">
        <v>23</v>
      </c>
      <c r="V721" s="1486" t="s">
        <v>33</v>
      </c>
      <c r="W721" s="1471" t="s">
        <v>1306</v>
      </c>
      <c r="X721" s="1472" t="s">
        <v>110</v>
      </c>
      <c r="Y721" s="1473" t="s">
        <v>1306</v>
      </c>
      <c r="Z721" s="1474" t="s">
        <v>1507</v>
      </c>
      <c r="AA721" s="1473" t="s">
        <v>1306</v>
      </c>
      <c r="AB721" s="1486" t="s">
        <v>1403</v>
      </c>
      <c r="AC721" s="1499"/>
      <c r="AD721" s="1500"/>
      <c r="AE721" s="1501"/>
      <c r="AF721" s="1501"/>
      <c r="AG721" s="1457" t="str">
        <f t="shared" si="45"/>
        <v>23調査結果-避難施設等-5（22）-改善策の具体的内容等</v>
      </c>
      <c r="AI721" s="1459"/>
      <c r="AJ721" s="1459"/>
      <c r="AK721" s="1459"/>
    </row>
    <row r="722" spans="1:37" s="1457" customFormat="1" ht="18.75" customHeight="1" x14ac:dyDescent="0.15">
      <c r="A722" s="1578"/>
      <c r="B722" s="1462"/>
      <c r="C722" s="1462"/>
      <c r="D722" s="1460">
        <f>'1_入力シート【基本情報】'!$BS$457</f>
        <v>0</v>
      </c>
      <c r="E722" s="1650">
        <f t="shared" si="46"/>
        <v>0</v>
      </c>
      <c r="F722" s="1650" t="str">
        <f t="shared" si="47"/>
        <v>0</v>
      </c>
      <c r="G722" s="1650" t="str">
        <f t="shared" si="48"/>
        <v>0</v>
      </c>
      <c r="H722" s="1468"/>
      <c r="I722" s="1462"/>
      <c r="J722" s="1531"/>
      <c r="K722" s="1462"/>
      <c r="L722" s="1462"/>
      <c r="M722" s="1493"/>
      <c r="N722" s="1462"/>
      <c r="O722" s="1462"/>
      <c r="P722" s="1462"/>
      <c r="Q722" s="1462"/>
      <c r="R722" s="1462"/>
      <c r="S722" s="1462"/>
      <c r="T722" s="1462"/>
      <c r="U722" s="1469">
        <v>23</v>
      </c>
      <c r="V722" s="1486" t="s">
        <v>33</v>
      </c>
      <c r="W722" s="1471" t="s">
        <v>1306</v>
      </c>
      <c r="X722" s="1472" t="s">
        <v>110</v>
      </c>
      <c r="Y722" s="1473" t="s">
        <v>1306</v>
      </c>
      <c r="Z722" s="1474" t="s">
        <v>1507</v>
      </c>
      <c r="AA722" s="1473" t="s">
        <v>1306</v>
      </c>
      <c r="AB722" s="1470" t="s">
        <v>352</v>
      </c>
      <c r="AC722" s="1475" t="s">
        <v>1366</v>
      </c>
      <c r="AD722" s="1476" t="s">
        <v>1387</v>
      </c>
      <c r="AE722" s="1501"/>
      <c r="AF722" s="1501"/>
      <c r="AG722" s="1457" t="str">
        <f t="shared" si="45"/>
        <v>23調査結果-避難施設等-5（22）-改善（予定）年月-年（令和）</v>
      </c>
      <c r="AI722" s="1459"/>
      <c r="AJ722" s="1459"/>
      <c r="AK722" s="1459"/>
    </row>
    <row r="723" spans="1:37" s="1457" customFormat="1" ht="18.75" customHeight="1" x14ac:dyDescent="0.15">
      <c r="A723" s="1578"/>
      <c r="B723" s="1462"/>
      <c r="C723" s="1462"/>
      <c r="D723" s="1460">
        <f>'1_入力シート【基本情報】'!$BV$457</f>
        <v>0</v>
      </c>
      <c r="E723" s="1650">
        <f t="shared" si="46"/>
        <v>0</v>
      </c>
      <c r="F723" s="1650" t="str">
        <f t="shared" si="47"/>
        <v>0</v>
      </c>
      <c r="G723" s="1650" t="str">
        <f t="shared" si="48"/>
        <v>0</v>
      </c>
      <c r="H723" s="1468"/>
      <c r="I723" s="1462"/>
      <c r="J723" s="1531"/>
      <c r="K723" s="1462"/>
      <c r="L723" s="1462"/>
      <c r="M723" s="1493"/>
      <c r="N723" s="1462"/>
      <c r="O723" s="1462"/>
      <c r="P723" s="1462"/>
      <c r="Q723" s="1462"/>
      <c r="R723" s="1462"/>
      <c r="S723" s="1462"/>
      <c r="T723" s="1462"/>
      <c r="U723" s="1469">
        <v>23</v>
      </c>
      <c r="V723" s="1486" t="s">
        <v>33</v>
      </c>
      <c r="W723" s="1471" t="s">
        <v>1306</v>
      </c>
      <c r="X723" s="1472" t="s">
        <v>110</v>
      </c>
      <c r="Y723" s="1473" t="s">
        <v>1306</v>
      </c>
      <c r="Z723" s="1474" t="s">
        <v>1507</v>
      </c>
      <c r="AA723" s="1473" t="s">
        <v>1306</v>
      </c>
      <c r="AB723" s="1470" t="s">
        <v>352</v>
      </c>
      <c r="AC723" s="1499" t="s">
        <v>1366</v>
      </c>
      <c r="AD723" s="1500" t="s">
        <v>348</v>
      </c>
      <c r="AE723" s="1501"/>
      <c r="AF723" s="1501"/>
      <c r="AG723" s="1457" t="str">
        <f t="shared" si="45"/>
        <v>23調査結果-避難施設等-5（22）-改善（予定）年月-月</v>
      </c>
      <c r="AI723" s="1459"/>
      <c r="AJ723" s="1459"/>
      <c r="AK723" s="1459"/>
    </row>
    <row r="724" spans="1:37" s="1457" customFormat="1" ht="18.75" customHeight="1" x14ac:dyDescent="0.15">
      <c r="A724" s="1578"/>
      <c r="B724" s="1462"/>
      <c r="C724" s="1462"/>
      <c r="D724" s="1460">
        <f>'1_入力シート【基本情報】'!$BY$457</f>
        <v>0</v>
      </c>
      <c r="E724" s="1650">
        <f t="shared" si="46"/>
        <v>0</v>
      </c>
      <c r="F724" s="1650" t="str">
        <f t="shared" si="47"/>
        <v>0</v>
      </c>
      <c r="G724" s="1650" t="str">
        <f t="shared" si="48"/>
        <v>0</v>
      </c>
      <c r="H724" s="1468"/>
      <c r="I724" s="1462"/>
      <c r="J724" s="1531"/>
      <c r="K724" s="1462"/>
      <c r="L724" s="1462"/>
      <c r="M724" s="1493"/>
      <c r="N724" s="1462"/>
      <c r="O724" s="1462"/>
      <c r="P724" s="1462"/>
      <c r="Q724" s="1462"/>
      <c r="R724" s="1462"/>
      <c r="S724" s="1462"/>
      <c r="T724" s="1462"/>
      <c r="U724" s="1469">
        <v>23</v>
      </c>
      <c r="V724" s="1486" t="s">
        <v>33</v>
      </c>
      <c r="W724" s="1471" t="s">
        <v>1306</v>
      </c>
      <c r="X724" s="1472" t="s">
        <v>110</v>
      </c>
      <c r="Y724" s="1473" t="s">
        <v>1306</v>
      </c>
      <c r="Z724" s="1474" t="s">
        <v>1507</v>
      </c>
      <c r="AA724" s="1473" t="s">
        <v>1306</v>
      </c>
      <c r="AB724" s="1470" t="s">
        <v>352</v>
      </c>
      <c r="AC724" s="1499" t="s">
        <v>1366</v>
      </c>
      <c r="AD724" s="1500" t="s">
        <v>640</v>
      </c>
      <c r="AE724" s="1501"/>
      <c r="AF724" s="1501"/>
      <c r="AG724" s="1457" t="str">
        <f t="shared" si="45"/>
        <v>23調査結果-避難施設等-5（22）-改善（予定）年月-未定</v>
      </c>
      <c r="AI724" s="1459"/>
      <c r="AJ724" s="1459"/>
      <c r="AK724" s="1459"/>
    </row>
    <row r="725" spans="1:37" s="1457" customFormat="1" ht="18.75" customHeight="1" x14ac:dyDescent="0.15">
      <c r="A725" s="1578"/>
      <c r="B725" s="1462"/>
      <c r="C725" s="1462"/>
      <c r="D725" s="1460">
        <f>'1_入力シート【基本情報】'!$AF$458</f>
        <v>0</v>
      </c>
      <c r="E725" s="1650">
        <f t="shared" si="46"/>
        <v>0</v>
      </c>
      <c r="F725" s="1650" t="str">
        <f t="shared" si="47"/>
        <v>0</v>
      </c>
      <c r="G725" s="1650" t="str">
        <f t="shared" si="48"/>
        <v>0</v>
      </c>
      <c r="H725" s="1468"/>
      <c r="I725" s="1462"/>
      <c r="J725" s="1531"/>
      <c r="K725" s="1462"/>
      <c r="L725" s="1462"/>
      <c r="M725" s="1493"/>
      <c r="N725" s="1462"/>
      <c r="O725" s="1462"/>
      <c r="P725" s="1462"/>
      <c r="Q725" s="1462"/>
      <c r="R725" s="1462"/>
      <c r="S725" s="1462"/>
      <c r="T725" s="1462"/>
      <c r="U725" s="1469">
        <v>23</v>
      </c>
      <c r="V725" s="1486" t="s">
        <v>33</v>
      </c>
      <c r="W725" s="1471" t="s">
        <v>1306</v>
      </c>
      <c r="X725" s="1472" t="s">
        <v>110</v>
      </c>
      <c r="Y725" s="1473" t="s">
        <v>1306</v>
      </c>
      <c r="Z725" s="1474" t="s">
        <v>1508</v>
      </c>
      <c r="AA725" s="1473" t="s">
        <v>1306</v>
      </c>
      <c r="AB725" s="1470" t="s">
        <v>33</v>
      </c>
      <c r="AC725" s="1499"/>
      <c r="AD725" s="1500"/>
      <c r="AE725" s="1477"/>
      <c r="AF725" s="1477"/>
      <c r="AG725" s="1457" t="str">
        <f t="shared" si="45"/>
        <v>23調査結果-避難施設等-5（23）-調査結果</v>
      </c>
      <c r="AI725" s="1459"/>
      <c r="AJ725" s="1459"/>
      <c r="AK725" s="1459"/>
    </row>
    <row r="726" spans="1:37" s="1457" customFormat="1" ht="18.75" customHeight="1" x14ac:dyDescent="0.15">
      <c r="A726" s="1578"/>
      <c r="B726" s="1462"/>
      <c r="C726" s="1462"/>
      <c r="D726" s="1460">
        <f>'1_入力シート【基本情報】'!$AR$458</f>
        <v>0</v>
      </c>
      <c r="E726" s="1650">
        <f t="shared" si="46"/>
        <v>0</v>
      </c>
      <c r="F726" s="1650" t="str">
        <f t="shared" si="47"/>
        <v>0</v>
      </c>
      <c r="G726" s="1650" t="str">
        <f t="shared" si="48"/>
        <v>0</v>
      </c>
      <c r="H726" s="1468"/>
      <c r="I726" s="1462"/>
      <c r="J726" s="1531"/>
      <c r="K726" s="1462"/>
      <c r="L726" s="1462"/>
      <c r="M726" s="1493"/>
      <c r="N726" s="1462"/>
      <c r="O726" s="1462"/>
      <c r="P726" s="1462"/>
      <c r="Q726" s="1462"/>
      <c r="R726" s="1462"/>
      <c r="S726" s="1462"/>
      <c r="T726" s="1462"/>
      <c r="U726" s="1469">
        <v>23</v>
      </c>
      <c r="V726" s="1486" t="s">
        <v>33</v>
      </c>
      <c r="W726" s="1471" t="s">
        <v>1306</v>
      </c>
      <c r="X726" s="1472" t="s">
        <v>110</v>
      </c>
      <c r="Y726" s="1473" t="s">
        <v>1306</v>
      </c>
      <c r="Z726" s="1474" t="s">
        <v>1508</v>
      </c>
      <c r="AA726" s="1473" t="s">
        <v>1306</v>
      </c>
      <c r="AB726" s="1470" t="s">
        <v>30</v>
      </c>
      <c r="AC726" s="1499"/>
      <c r="AD726" s="1500"/>
      <c r="AE726" s="1501"/>
      <c r="AF726" s="1501"/>
      <c r="AG726" s="1457" t="str">
        <f t="shared" si="45"/>
        <v>23調査結果-避難施設等-5（23）-調査者番号</v>
      </c>
      <c r="AI726" s="1459"/>
      <c r="AJ726" s="1459"/>
      <c r="AK726" s="1459"/>
    </row>
    <row r="727" spans="1:37" s="1457" customFormat="1" ht="18.75" customHeight="1" x14ac:dyDescent="0.15">
      <c r="A727" s="1578"/>
      <c r="B727" s="1462"/>
      <c r="C727" s="1462"/>
      <c r="D727" s="1460">
        <f>'1_入力シート【基本情報】'!$AT$458</f>
        <v>0</v>
      </c>
      <c r="E727" s="1650">
        <f t="shared" si="46"/>
        <v>0</v>
      </c>
      <c r="F727" s="1650" t="str">
        <f t="shared" si="47"/>
        <v>0</v>
      </c>
      <c r="G727" s="1650" t="str">
        <f t="shared" si="48"/>
        <v>0</v>
      </c>
      <c r="H727" s="1468"/>
      <c r="I727" s="1462"/>
      <c r="J727" s="1531"/>
      <c r="K727" s="1462"/>
      <c r="L727" s="1462"/>
      <c r="M727" s="1493"/>
      <c r="N727" s="1462"/>
      <c r="O727" s="1462"/>
      <c r="P727" s="1462"/>
      <c r="Q727" s="1462"/>
      <c r="R727" s="1462"/>
      <c r="S727" s="1462"/>
      <c r="T727" s="1462"/>
      <c r="U727" s="1469">
        <v>23</v>
      </c>
      <c r="V727" s="1486" t="s">
        <v>33</v>
      </c>
      <c r="W727" s="1471" t="s">
        <v>1306</v>
      </c>
      <c r="X727" s="1472" t="s">
        <v>110</v>
      </c>
      <c r="Y727" s="1473" t="s">
        <v>1306</v>
      </c>
      <c r="Z727" s="1474" t="s">
        <v>1508</v>
      </c>
      <c r="AA727" s="1473" t="s">
        <v>1306</v>
      </c>
      <c r="AB727" s="1486" t="s">
        <v>1402</v>
      </c>
      <c r="AC727" s="1499"/>
      <c r="AD727" s="1500"/>
      <c r="AE727" s="1501"/>
      <c r="AF727" s="1501"/>
      <c r="AG727" s="1457" t="str">
        <f t="shared" si="45"/>
        <v>23調査結果-避難施設等-5（23）-指摘の具体的内容等</v>
      </c>
      <c r="AI727" s="1459"/>
      <c r="AJ727" s="1459"/>
      <c r="AK727" s="1459"/>
    </row>
    <row r="728" spans="1:37" s="1457" customFormat="1" ht="18.75" customHeight="1" x14ac:dyDescent="0.15">
      <c r="A728" s="1578"/>
      <c r="B728" s="1462"/>
      <c r="C728" s="1462"/>
      <c r="D728" s="1460">
        <f>'1_入力シート【基本情報】'!$BD$458</f>
        <v>0</v>
      </c>
      <c r="E728" s="1650">
        <f t="shared" si="46"/>
        <v>0</v>
      </c>
      <c r="F728" s="1650" t="str">
        <f t="shared" si="47"/>
        <v>0</v>
      </c>
      <c r="G728" s="1650" t="str">
        <f t="shared" si="48"/>
        <v>0</v>
      </c>
      <c r="H728" s="1468"/>
      <c r="I728" s="1462"/>
      <c r="J728" s="1531"/>
      <c r="K728" s="1462"/>
      <c r="L728" s="1462"/>
      <c r="M728" s="1493"/>
      <c r="N728" s="1462"/>
      <c r="O728" s="1462"/>
      <c r="P728" s="1462"/>
      <c r="Q728" s="1462"/>
      <c r="R728" s="1462"/>
      <c r="S728" s="1462"/>
      <c r="T728" s="1462"/>
      <c r="U728" s="1469">
        <v>23</v>
      </c>
      <c r="V728" s="1486" t="s">
        <v>33</v>
      </c>
      <c r="W728" s="1471" t="s">
        <v>1306</v>
      </c>
      <c r="X728" s="1472" t="s">
        <v>110</v>
      </c>
      <c r="Y728" s="1473" t="s">
        <v>1306</v>
      </c>
      <c r="Z728" s="1474" t="s">
        <v>1508</v>
      </c>
      <c r="AA728" s="1473" t="s">
        <v>1306</v>
      </c>
      <c r="AB728" s="1486" t="s">
        <v>1403</v>
      </c>
      <c r="AC728" s="1499"/>
      <c r="AD728" s="1500"/>
      <c r="AE728" s="1501"/>
      <c r="AF728" s="1501"/>
      <c r="AG728" s="1457" t="str">
        <f t="shared" si="45"/>
        <v>23調査結果-避難施設等-5（23）-改善策の具体的内容等</v>
      </c>
      <c r="AI728" s="1459"/>
      <c r="AJ728" s="1459"/>
      <c r="AK728" s="1459"/>
    </row>
    <row r="729" spans="1:37" s="1457" customFormat="1" ht="18.75" customHeight="1" x14ac:dyDescent="0.15">
      <c r="A729" s="1578"/>
      <c r="B729" s="1462"/>
      <c r="C729" s="1462"/>
      <c r="D729" s="1460">
        <f>'1_入力シート【基本情報】'!$BS$458</f>
        <v>0</v>
      </c>
      <c r="E729" s="1650">
        <f t="shared" si="46"/>
        <v>0</v>
      </c>
      <c r="F729" s="1650" t="str">
        <f t="shared" si="47"/>
        <v>0</v>
      </c>
      <c r="G729" s="1650" t="str">
        <f t="shared" si="48"/>
        <v>0</v>
      </c>
      <c r="H729" s="1468"/>
      <c r="I729" s="1462"/>
      <c r="J729" s="1531"/>
      <c r="K729" s="1462"/>
      <c r="L729" s="1462"/>
      <c r="M729" s="1493"/>
      <c r="N729" s="1462"/>
      <c r="O729" s="1462"/>
      <c r="P729" s="1462"/>
      <c r="Q729" s="1462"/>
      <c r="R729" s="1462"/>
      <c r="S729" s="1462"/>
      <c r="T729" s="1462"/>
      <c r="U729" s="1469">
        <v>23</v>
      </c>
      <c r="V729" s="1486" t="s">
        <v>33</v>
      </c>
      <c r="W729" s="1471" t="s">
        <v>1306</v>
      </c>
      <c r="X729" s="1472" t="s">
        <v>110</v>
      </c>
      <c r="Y729" s="1473" t="s">
        <v>1306</v>
      </c>
      <c r="Z729" s="1474" t="s">
        <v>1508</v>
      </c>
      <c r="AA729" s="1473" t="s">
        <v>1306</v>
      </c>
      <c r="AB729" s="1486" t="s">
        <v>352</v>
      </c>
      <c r="AC729" s="1499" t="s">
        <v>1366</v>
      </c>
      <c r="AD729" s="1500" t="s">
        <v>1387</v>
      </c>
      <c r="AE729" s="1501"/>
      <c r="AF729" s="1501"/>
      <c r="AG729" s="1457" t="str">
        <f t="shared" si="45"/>
        <v>23調査結果-避難施設等-5（23）-改善（予定）年月-年（令和）</v>
      </c>
      <c r="AI729" s="1459"/>
      <c r="AJ729" s="1459"/>
      <c r="AK729" s="1459"/>
    </row>
    <row r="730" spans="1:37" s="1457" customFormat="1" ht="18.75" customHeight="1" x14ac:dyDescent="0.15">
      <c r="A730" s="1578"/>
      <c r="B730" s="1462"/>
      <c r="C730" s="1462"/>
      <c r="D730" s="1460">
        <f>'1_入力シート【基本情報】'!$BV$458</f>
        <v>0</v>
      </c>
      <c r="E730" s="1650">
        <f t="shared" si="46"/>
        <v>0</v>
      </c>
      <c r="F730" s="1650" t="str">
        <f t="shared" si="47"/>
        <v>0</v>
      </c>
      <c r="G730" s="1650" t="str">
        <f t="shared" si="48"/>
        <v>0</v>
      </c>
      <c r="H730" s="1468"/>
      <c r="I730" s="1462"/>
      <c r="J730" s="1531"/>
      <c r="K730" s="1462"/>
      <c r="L730" s="1462"/>
      <c r="M730" s="1493"/>
      <c r="N730" s="1462"/>
      <c r="O730" s="1462"/>
      <c r="P730" s="1462"/>
      <c r="Q730" s="1462"/>
      <c r="R730" s="1462"/>
      <c r="S730" s="1462"/>
      <c r="T730" s="1462"/>
      <c r="U730" s="1469">
        <v>23</v>
      </c>
      <c r="V730" s="1486" t="s">
        <v>33</v>
      </c>
      <c r="W730" s="1471" t="s">
        <v>1306</v>
      </c>
      <c r="X730" s="1472" t="s">
        <v>110</v>
      </c>
      <c r="Y730" s="1473" t="s">
        <v>1306</v>
      </c>
      <c r="Z730" s="1474" t="s">
        <v>1508</v>
      </c>
      <c r="AA730" s="1473" t="s">
        <v>1306</v>
      </c>
      <c r="AB730" s="1470" t="s">
        <v>352</v>
      </c>
      <c r="AC730" s="1475" t="s">
        <v>1366</v>
      </c>
      <c r="AD730" s="1476" t="s">
        <v>348</v>
      </c>
      <c r="AE730" s="1501"/>
      <c r="AF730" s="1501"/>
      <c r="AG730" s="1457" t="str">
        <f t="shared" si="45"/>
        <v>23調査結果-避難施設等-5（23）-改善（予定）年月-月</v>
      </c>
      <c r="AI730" s="1459"/>
      <c r="AJ730" s="1459"/>
      <c r="AK730" s="1459"/>
    </row>
    <row r="731" spans="1:37" s="1457" customFormat="1" ht="18.75" customHeight="1" x14ac:dyDescent="0.15">
      <c r="A731" s="1578"/>
      <c r="B731" s="1462"/>
      <c r="C731" s="1462"/>
      <c r="D731" s="1460">
        <f>'1_入力シート【基本情報】'!$BY$458</f>
        <v>0</v>
      </c>
      <c r="E731" s="1650">
        <f t="shared" si="46"/>
        <v>0</v>
      </c>
      <c r="F731" s="1650" t="str">
        <f t="shared" si="47"/>
        <v>0</v>
      </c>
      <c r="G731" s="1650" t="str">
        <f t="shared" si="48"/>
        <v>0</v>
      </c>
      <c r="H731" s="1468"/>
      <c r="I731" s="1462"/>
      <c r="J731" s="1531"/>
      <c r="K731" s="1462"/>
      <c r="L731" s="1462"/>
      <c r="M731" s="1493"/>
      <c r="N731" s="1462"/>
      <c r="O731" s="1462"/>
      <c r="P731" s="1462"/>
      <c r="Q731" s="1462"/>
      <c r="R731" s="1462"/>
      <c r="S731" s="1462"/>
      <c r="T731" s="1462"/>
      <c r="U731" s="1469">
        <v>23</v>
      </c>
      <c r="V731" s="1486" t="s">
        <v>33</v>
      </c>
      <c r="W731" s="1471" t="s">
        <v>1306</v>
      </c>
      <c r="X731" s="1472" t="s">
        <v>110</v>
      </c>
      <c r="Y731" s="1473" t="s">
        <v>1306</v>
      </c>
      <c r="Z731" s="1474" t="s">
        <v>1508</v>
      </c>
      <c r="AA731" s="1473" t="s">
        <v>1306</v>
      </c>
      <c r="AB731" s="1470" t="s">
        <v>352</v>
      </c>
      <c r="AC731" s="1499" t="s">
        <v>1366</v>
      </c>
      <c r="AD731" s="1500" t="s">
        <v>640</v>
      </c>
      <c r="AE731" s="1501"/>
      <c r="AF731" s="1501"/>
      <c r="AG731" s="1457" t="str">
        <f t="shared" si="45"/>
        <v>23調査結果-避難施設等-5（23）-改善（予定）年月-未定</v>
      </c>
      <c r="AI731" s="1459"/>
      <c r="AJ731" s="1459"/>
      <c r="AK731" s="1459"/>
    </row>
    <row r="732" spans="1:37" s="1457" customFormat="1" ht="18.75" customHeight="1" x14ac:dyDescent="0.15">
      <c r="A732" s="1578"/>
      <c r="B732" s="1462"/>
      <c r="C732" s="1462"/>
      <c r="D732" s="1460">
        <f>'1_入力シート【基本情報】'!$AF$459</f>
        <v>0</v>
      </c>
      <c r="E732" s="1650">
        <f t="shared" si="46"/>
        <v>0</v>
      </c>
      <c r="F732" s="1650" t="str">
        <f t="shared" si="47"/>
        <v>0</v>
      </c>
      <c r="G732" s="1650" t="str">
        <f t="shared" si="48"/>
        <v>0</v>
      </c>
      <c r="H732" s="1468"/>
      <c r="I732" s="1462"/>
      <c r="J732" s="1531"/>
      <c r="K732" s="1462"/>
      <c r="L732" s="1462"/>
      <c r="M732" s="1493"/>
      <c r="N732" s="1462"/>
      <c r="O732" s="1462"/>
      <c r="P732" s="1462"/>
      <c r="Q732" s="1462"/>
      <c r="R732" s="1462"/>
      <c r="S732" s="1462"/>
      <c r="T732" s="1462"/>
      <c r="U732" s="1469">
        <v>23</v>
      </c>
      <c r="V732" s="1486" t="s">
        <v>33</v>
      </c>
      <c r="W732" s="1471" t="s">
        <v>1306</v>
      </c>
      <c r="X732" s="1472" t="s">
        <v>110</v>
      </c>
      <c r="Y732" s="1473" t="s">
        <v>1306</v>
      </c>
      <c r="Z732" s="1474" t="s">
        <v>1509</v>
      </c>
      <c r="AA732" s="1473" t="s">
        <v>1306</v>
      </c>
      <c r="AB732" s="1470" t="s">
        <v>33</v>
      </c>
      <c r="AC732" s="1499"/>
      <c r="AD732" s="1500"/>
      <c r="AE732" s="1501"/>
      <c r="AF732" s="1501"/>
      <c r="AG732" s="1457" t="str">
        <f t="shared" si="45"/>
        <v>23調査結果-避難施設等-5（24）-調査結果</v>
      </c>
      <c r="AI732" s="1459"/>
      <c r="AJ732" s="1459"/>
      <c r="AK732" s="1459"/>
    </row>
    <row r="733" spans="1:37" s="1457" customFormat="1" ht="18.75" customHeight="1" x14ac:dyDescent="0.15">
      <c r="A733" s="1578"/>
      <c r="B733" s="1462"/>
      <c r="C733" s="1462"/>
      <c r="D733" s="1460">
        <f>'1_入力シート【基本情報】'!$AR$459</f>
        <v>0</v>
      </c>
      <c r="E733" s="1650">
        <f t="shared" si="46"/>
        <v>0</v>
      </c>
      <c r="F733" s="1650" t="str">
        <f t="shared" si="47"/>
        <v>0</v>
      </c>
      <c r="G733" s="1650" t="str">
        <f t="shared" si="48"/>
        <v>0</v>
      </c>
      <c r="H733" s="1468"/>
      <c r="I733" s="1462"/>
      <c r="J733" s="1531"/>
      <c r="K733" s="1462"/>
      <c r="L733" s="1462"/>
      <c r="M733" s="1493"/>
      <c r="N733" s="1462"/>
      <c r="O733" s="1462"/>
      <c r="P733" s="1462"/>
      <c r="Q733" s="1462"/>
      <c r="R733" s="1462"/>
      <c r="S733" s="1462"/>
      <c r="T733" s="1462"/>
      <c r="U733" s="1469">
        <v>23</v>
      </c>
      <c r="V733" s="1486" t="s">
        <v>33</v>
      </c>
      <c r="W733" s="1471" t="s">
        <v>1306</v>
      </c>
      <c r="X733" s="1472" t="s">
        <v>110</v>
      </c>
      <c r="Y733" s="1473" t="s">
        <v>1306</v>
      </c>
      <c r="Z733" s="1474" t="s">
        <v>1509</v>
      </c>
      <c r="AA733" s="1473" t="s">
        <v>1306</v>
      </c>
      <c r="AB733" s="1470" t="s">
        <v>30</v>
      </c>
      <c r="AC733" s="1499"/>
      <c r="AD733" s="1500"/>
      <c r="AE733" s="1477"/>
      <c r="AF733" s="1477"/>
      <c r="AG733" s="1457" t="str">
        <f t="shared" si="45"/>
        <v>23調査結果-避難施設等-5（24）-調査者番号</v>
      </c>
      <c r="AI733" s="1459"/>
      <c r="AJ733" s="1459"/>
      <c r="AK733" s="1459"/>
    </row>
    <row r="734" spans="1:37" s="1457" customFormat="1" ht="18.75" customHeight="1" x14ac:dyDescent="0.15">
      <c r="A734" s="1578"/>
      <c r="B734" s="1462"/>
      <c r="C734" s="1462"/>
      <c r="D734" s="1460">
        <f>'1_入力シート【基本情報】'!$AT$459</f>
        <v>0</v>
      </c>
      <c r="E734" s="1650">
        <f t="shared" si="46"/>
        <v>0</v>
      </c>
      <c r="F734" s="1650" t="str">
        <f t="shared" si="47"/>
        <v>0</v>
      </c>
      <c r="G734" s="1650" t="str">
        <f t="shared" si="48"/>
        <v>0</v>
      </c>
      <c r="H734" s="1468"/>
      <c r="I734" s="1462"/>
      <c r="J734" s="1531"/>
      <c r="K734" s="1462"/>
      <c r="L734" s="1462"/>
      <c r="M734" s="1493"/>
      <c r="N734" s="1462"/>
      <c r="O734" s="1462"/>
      <c r="P734" s="1462"/>
      <c r="Q734" s="1462"/>
      <c r="R734" s="1462"/>
      <c r="S734" s="1462"/>
      <c r="T734" s="1462"/>
      <c r="U734" s="1469">
        <v>23</v>
      </c>
      <c r="V734" s="1486" t="s">
        <v>33</v>
      </c>
      <c r="W734" s="1471" t="s">
        <v>1306</v>
      </c>
      <c r="X734" s="1472" t="s">
        <v>110</v>
      </c>
      <c r="Y734" s="1473" t="s">
        <v>1306</v>
      </c>
      <c r="Z734" s="1474" t="s">
        <v>1509</v>
      </c>
      <c r="AA734" s="1473" t="s">
        <v>1306</v>
      </c>
      <c r="AB734" s="1470" t="s">
        <v>1402</v>
      </c>
      <c r="AC734" s="1499"/>
      <c r="AD734" s="1500"/>
      <c r="AE734" s="1501"/>
      <c r="AF734" s="1501"/>
      <c r="AG734" s="1457" t="str">
        <f t="shared" si="45"/>
        <v>23調査結果-避難施設等-5（24）-指摘の具体的内容等</v>
      </c>
      <c r="AI734" s="1459"/>
      <c r="AJ734" s="1459"/>
      <c r="AK734" s="1459"/>
    </row>
    <row r="735" spans="1:37" s="1457" customFormat="1" ht="18.75" customHeight="1" x14ac:dyDescent="0.15">
      <c r="A735" s="1578"/>
      <c r="B735" s="1462"/>
      <c r="C735" s="1462"/>
      <c r="D735" s="1460">
        <f>'1_入力シート【基本情報】'!$BD$459</f>
        <v>0</v>
      </c>
      <c r="E735" s="1650">
        <f t="shared" si="46"/>
        <v>0</v>
      </c>
      <c r="F735" s="1650" t="str">
        <f t="shared" si="47"/>
        <v>0</v>
      </c>
      <c r="G735" s="1650" t="str">
        <f t="shared" si="48"/>
        <v>0</v>
      </c>
      <c r="H735" s="1468"/>
      <c r="I735" s="1462"/>
      <c r="J735" s="1531"/>
      <c r="K735" s="1462"/>
      <c r="L735" s="1462"/>
      <c r="M735" s="1493"/>
      <c r="N735" s="1462"/>
      <c r="O735" s="1462"/>
      <c r="P735" s="1462"/>
      <c r="Q735" s="1462"/>
      <c r="R735" s="1462"/>
      <c r="S735" s="1462"/>
      <c r="T735" s="1462"/>
      <c r="U735" s="1469">
        <v>23</v>
      </c>
      <c r="V735" s="1486" t="s">
        <v>33</v>
      </c>
      <c r="W735" s="1471" t="s">
        <v>1306</v>
      </c>
      <c r="X735" s="1472" t="s">
        <v>110</v>
      </c>
      <c r="Y735" s="1473" t="s">
        <v>1306</v>
      </c>
      <c r="Z735" s="1474" t="s">
        <v>1509</v>
      </c>
      <c r="AA735" s="1473" t="s">
        <v>1306</v>
      </c>
      <c r="AB735" s="1486" t="s">
        <v>1403</v>
      </c>
      <c r="AC735" s="1499"/>
      <c r="AD735" s="1500"/>
      <c r="AE735" s="1501"/>
      <c r="AF735" s="1501"/>
      <c r="AG735" s="1457" t="str">
        <f t="shared" si="45"/>
        <v>23調査結果-避難施設等-5（24）-改善策の具体的内容等</v>
      </c>
      <c r="AI735" s="1459"/>
      <c r="AJ735" s="1459"/>
      <c r="AK735" s="1459"/>
    </row>
    <row r="736" spans="1:37" s="1457" customFormat="1" ht="18.75" customHeight="1" x14ac:dyDescent="0.15">
      <c r="A736" s="1578"/>
      <c r="B736" s="1462"/>
      <c r="C736" s="1462"/>
      <c r="D736" s="1460">
        <f>'1_入力シート【基本情報】'!$BS$459</f>
        <v>0</v>
      </c>
      <c r="E736" s="1650">
        <f t="shared" si="46"/>
        <v>0</v>
      </c>
      <c r="F736" s="1650" t="str">
        <f t="shared" si="47"/>
        <v>0</v>
      </c>
      <c r="G736" s="1650" t="str">
        <f t="shared" si="48"/>
        <v>0</v>
      </c>
      <c r="H736" s="1468"/>
      <c r="I736" s="1462"/>
      <c r="J736" s="1531"/>
      <c r="K736" s="1462"/>
      <c r="L736" s="1462"/>
      <c r="M736" s="1493"/>
      <c r="N736" s="1462"/>
      <c r="O736" s="1462"/>
      <c r="P736" s="1462"/>
      <c r="Q736" s="1462"/>
      <c r="R736" s="1462"/>
      <c r="S736" s="1462"/>
      <c r="T736" s="1462"/>
      <c r="U736" s="1469">
        <v>23</v>
      </c>
      <c r="V736" s="1486" t="s">
        <v>33</v>
      </c>
      <c r="W736" s="1471" t="s">
        <v>1306</v>
      </c>
      <c r="X736" s="1472" t="s">
        <v>110</v>
      </c>
      <c r="Y736" s="1473" t="s">
        <v>1306</v>
      </c>
      <c r="Z736" s="1474" t="s">
        <v>1509</v>
      </c>
      <c r="AA736" s="1473" t="s">
        <v>1306</v>
      </c>
      <c r="AB736" s="1486" t="s">
        <v>352</v>
      </c>
      <c r="AC736" s="1499" t="s">
        <v>1366</v>
      </c>
      <c r="AD736" s="1500" t="s">
        <v>1387</v>
      </c>
      <c r="AE736" s="1501"/>
      <c r="AF736" s="1501"/>
      <c r="AG736" s="1457" t="str">
        <f t="shared" si="45"/>
        <v>23調査結果-避難施設等-5（24）-改善（予定）年月-年（令和）</v>
      </c>
      <c r="AI736" s="1459"/>
      <c r="AJ736" s="1459"/>
      <c r="AK736" s="1459"/>
    </row>
    <row r="737" spans="1:37" s="1457" customFormat="1" ht="18.75" customHeight="1" x14ac:dyDescent="0.15">
      <c r="A737" s="1578"/>
      <c r="B737" s="1462"/>
      <c r="C737" s="1462"/>
      <c r="D737" s="1460">
        <f>'1_入力シート【基本情報】'!$BV$459</f>
        <v>0</v>
      </c>
      <c r="E737" s="1650">
        <f t="shared" si="46"/>
        <v>0</v>
      </c>
      <c r="F737" s="1650" t="str">
        <f t="shared" si="47"/>
        <v>0</v>
      </c>
      <c r="G737" s="1650" t="str">
        <f t="shared" si="48"/>
        <v>0</v>
      </c>
      <c r="H737" s="1468"/>
      <c r="I737" s="1462"/>
      <c r="J737" s="1531"/>
      <c r="K737" s="1462"/>
      <c r="L737" s="1462"/>
      <c r="M737" s="1493"/>
      <c r="N737" s="1462"/>
      <c r="O737" s="1462"/>
      <c r="P737" s="1462"/>
      <c r="Q737" s="1462"/>
      <c r="R737" s="1462"/>
      <c r="S737" s="1462"/>
      <c r="T737" s="1462"/>
      <c r="U737" s="1469">
        <v>23</v>
      </c>
      <c r="V737" s="1486" t="s">
        <v>33</v>
      </c>
      <c r="W737" s="1471" t="s">
        <v>1306</v>
      </c>
      <c r="X737" s="1472" t="s">
        <v>110</v>
      </c>
      <c r="Y737" s="1473" t="s">
        <v>1306</v>
      </c>
      <c r="Z737" s="1474" t="s">
        <v>1509</v>
      </c>
      <c r="AA737" s="1473" t="s">
        <v>1306</v>
      </c>
      <c r="AB737" s="1486" t="s">
        <v>352</v>
      </c>
      <c r="AC737" s="1499" t="s">
        <v>1366</v>
      </c>
      <c r="AD737" s="1500" t="s">
        <v>348</v>
      </c>
      <c r="AE737" s="1501"/>
      <c r="AF737" s="1501"/>
      <c r="AG737" s="1457" t="str">
        <f t="shared" si="45"/>
        <v>23調査結果-避難施設等-5（24）-改善（予定）年月-月</v>
      </c>
      <c r="AI737" s="1459"/>
      <c r="AJ737" s="1459"/>
      <c r="AK737" s="1459"/>
    </row>
    <row r="738" spans="1:37" s="1457" customFormat="1" ht="18.75" customHeight="1" x14ac:dyDescent="0.15">
      <c r="A738" s="1578"/>
      <c r="B738" s="1462"/>
      <c r="C738" s="1462"/>
      <c r="D738" s="1460">
        <f>'1_入力シート【基本情報】'!$BY$459</f>
        <v>0</v>
      </c>
      <c r="E738" s="1650">
        <f t="shared" si="46"/>
        <v>0</v>
      </c>
      <c r="F738" s="1650" t="str">
        <f t="shared" si="47"/>
        <v>0</v>
      </c>
      <c r="G738" s="1650" t="str">
        <f t="shared" si="48"/>
        <v>0</v>
      </c>
      <c r="H738" s="1468"/>
      <c r="I738" s="1462"/>
      <c r="J738" s="1531"/>
      <c r="K738" s="1462"/>
      <c r="L738" s="1462"/>
      <c r="M738" s="1493"/>
      <c r="N738" s="1462"/>
      <c r="O738" s="1462"/>
      <c r="P738" s="1462"/>
      <c r="Q738" s="1462"/>
      <c r="R738" s="1462"/>
      <c r="S738" s="1462"/>
      <c r="T738" s="1462"/>
      <c r="U738" s="1469">
        <v>23</v>
      </c>
      <c r="V738" s="1486" t="s">
        <v>33</v>
      </c>
      <c r="W738" s="1471" t="s">
        <v>1306</v>
      </c>
      <c r="X738" s="1472" t="s">
        <v>110</v>
      </c>
      <c r="Y738" s="1473" t="s">
        <v>1306</v>
      </c>
      <c r="Z738" s="1474" t="s">
        <v>1509</v>
      </c>
      <c r="AA738" s="1473" t="s">
        <v>1306</v>
      </c>
      <c r="AB738" s="1470" t="s">
        <v>352</v>
      </c>
      <c r="AC738" s="1475" t="s">
        <v>1366</v>
      </c>
      <c r="AD738" s="1476" t="s">
        <v>640</v>
      </c>
      <c r="AE738" s="1501"/>
      <c r="AF738" s="1501"/>
      <c r="AG738" s="1457" t="str">
        <f t="shared" si="45"/>
        <v>23調査結果-避難施設等-5（24）-改善（予定）年月-未定</v>
      </c>
      <c r="AI738" s="1459"/>
      <c r="AJ738" s="1459"/>
      <c r="AK738" s="1459"/>
    </row>
    <row r="739" spans="1:37" s="1457" customFormat="1" ht="18.75" customHeight="1" x14ac:dyDescent="0.15">
      <c r="A739" s="1578"/>
      <c r="B739" s="1462"/>
      <c r="C739" s="1462"/>
      <c r="D739" s="1460">
        <f>'1_入力シート【基本情報】'!$AF$460</f>
        <v>0</v>
      </c>
      <c r="E739" s="1650">
        <f t="shared" si="46"/>
        <v>0</v>
      </c>
      <c r="F739" s="1650" t="str">
        <f t="shared" si="47"/>
        <v>0</v>
      </c>
      <c r="G739" s="1650" t="str">
        <f t="shared" si="48"/>
        <v>0</v>
      </c>
      <c r="H739" s="1468"/>
      <c r="I739" s="1462"/>
      <c r="J739" s="1531"/>
      <c r="K739" s="1462"/>
      <c r="L739" s="1462"/>
      <c r="M739" s="1493"/>
      <c r="N739" s="1462"/>
      <c r="O739" s="1462"/>
      <c r="P739" s="1462"/>
      <c r="Q739" s="1462"/>
      <c r="R739" s="1462"/>
      <c r="S739" s="1462"/>
      <c r="T739" s="1462"/>
      <c r="U739" s="1469">
        <v>23</v>
      </c>
      <c r="V739" s="1486" t="s">
        <v>33</v>
      </c>
      <c r="W739" s="1471" t="s">
        <v>1306</v>
      </c>
      <c r="X739" s="1472" t="s">
        <v>110</v>
      </c>
      <c r="Y739" s="1473" t="s">
        <v>1306</v>
      </c>
      <c r="Z739" s="1474" t="s">
        <v>1510</v>
      </c>
      <c r="AA739" s="1473" t="s">
        <v>1306</v>
      </c>
      <c r="AB739" s="1470" t="s">
        <v>33</v>
      </c>
      <c r="AC739" s="1499"/>
      <c r="AD739" s="1500"/>
      <c r="AE739" s="1501"/>
      <c r="AF739" s="1501"/>
      <c r="AG739" s="1457" t="str">
        <f t="shared" si="45"/>
        <v>23調査結果-避難施設等-5（25）-調査結果</v>
      </c>
      <c r="AI739" s="1459"/>
      <c r="AJ739" s="1459"/>
      <c r="AK739" s="1459"/>
    </row>
    <row r="740" spans="1:37" s="1457" customFormat="1" ht="18.75" customHeight="1" x14ac:dyDescent="0.15">
      <c r="A740" s="1578"/>
      <c r="B740" s="1462"/>
      <c r="C740" s="1462"/>
      <c r="D740" s="1460">
        <f>'1_入力シート【基本情報】'!$AR$460</f>
        <v>0</v>
      </c>
      <c r="E740" s="1650">
        <f t="shared" si="46"/>
        <v>0</v>
      </c>
      <c r="F740" s="1650" t="str">
        <f t="shared" si="47"/>
        <v>0</v>
      </c>
      <c r="G740" s="1650" t="str">
        <f t="shared" si="48"/>
        <v>0</v>
      </c>
      <c r="H740" s="1468"/>
      <c r="I740" s="1462"/>
      <c r="J740" s="1531"/>
      <c r="K740" s="1462"/>
      <c r="L740" s="1462"/>
      <c r="M740" s="1493"/>
      <c r="N740" s="1462"/>
      <c r="O740" s="1462"/>
      <c r="P740" s="1462"/>
      <c r="Q740" s="1462"/>
      <c r="R740" s="1462"/>
      <c r="S740" s="1462"/>
      <c r="T740" s="1462"/>
      <c r="U740" s="1469">
        <v>23</v>
      </c>
      <c r="V740" s="1486" t="s">
        <v>33</v>
      </c>
      <c r="W740" s="1471" t="s">
        <v>1306</v>
      </c>
      <c r="X740" s="1472" t="s">
        <v>110</v>
      </c>
      <c r="Y740" s="1473" t="s">
        <v>1306</v>
      </c>
      <c r="Z740" s="1474" t="s">
        <v>1510</v>
      </c>
      <c r="AA740" s="1473" t="s">
        <v>1306</v>
      </c>
      <c r="AB740" s="1470" t="s">
        <v>30</v>
      </c>
      <c r="AC740" s="1499"/>
      <c r="AD740" s="1500"/>
      <c r="AE740" s="1501"/>
      <c r="AF740" s="1501"/>
      <c r="AG740" s="1457" t="str">
        <f t="shared" si="45"/>
        <v>23調査結果-避難施設等-5（25）-調査者番号</v>
      </c>
      <c r="AI740" s="1459"/>
      <c r="AJ740" s="1459"/>
      <c r="AK740" s="1459"/>
    </row>
    <row r="741" spans="1:37" s="1457" customFormat="1" ht="18.75" customHeight="1" x14ac:dyDescent="0.15">
      <c r="A741" s="1578"/>
      <c r="B741" s="1462"/>
      <c r="C741" s="1462"/>
      <c r="D741" s="1460">
        <f>'1_入力シート【基本情報】'!$AT$460</f>
        <v>0</v>
      </c>
      <c r="E741" s="1650">
        <f t="shared" si="46"/>
        <v>0</v>
      </c>
      <c r="F741" s="1650" t="str">
        <f t="shared" si="47"/>
        <v>0</v>
      </c>
      <c r="G741" s="1650" t="str">
        <f t="shared" si="48"/>
        <v>0</v>
      </c>
      <c r="H741" s="1468"/>
      <c r="I741" s="1462"/>
      <c r="J741" s="1531"/>
      <c r="K741" s="1462"/>
      <c r="L741" s="1462"/>
      <c r="M741" s="1493"/>
      <c r="N741" s="1462"/>
      <c r="O741" s="1462"/>
      <c r="P741" s="1462"/>
      <c r="Q741" s="1462"/>
      <c r="R741" s="1462"/>
      <c r="S741" s="1462"/>
      <c r="T741" s="1462"/>
      <c r="U741" s="1469">
        <v>23</v>
      </c>
      <c r="V741" s="1486" t="s">
        <v>33</v>
      </c>
      <c r="W741" s="1471" t="s">
        <v>1306</v>
      </c>
      <c r="X741" s="1472" t="s">
        <v>110</v>
      </c>
      <c r="Y741" s="1473" t="s">
        <v>1306</v>
      </c>
      <c r="Z741" s="1474" t="s">
        <v>1510</v>
      </c>
      <c r="AA741" s="1473" t="s">
        <v>1306</v>
      </c>
      <c r="AB741" s="1470" t="s">
        <v>1402</v>
      </c>
      <c r="AC741" s="1499"/>
      <c r="AD741" s="1500"/>
      <c r="AE741" s="1477"/>
      <c r="AF741" s="1477"/>
      <c r="AG741" s="1457" t="str">
        <f t="shared" si="45"/>
        <v>23調査結果-避難施設等-5（25）-指摘の具体的内容等</v>
      </c>
      <c r="AI741" s="1459"/>
      <c r="AJ741" s="1459"/>
      <c r="AK741" s="1459"/>
    </row>
    <row r="742" spans="1:37" s="1457" customFormat="1" ht="18.75" customHeight="1" x14ac:dyDescent="0.15">
      <c r="A742" s="1578"/>
      <c r="B742" s="1462"/>
      <c r="C742" s="1462"/>
      <c r="D742" s="1460">
        <f>'1_入力シート【基本情報】'!$BD$460</f>
        <v>0</v>
      </c>
      <c r="E742" s="1650">
        <f t="shared" si="46"/>
        <v>0</v>
      </c>
      <c r="F742" s="1650" t="str">
        <f t="shared" si="47"/>
        <v>0</v>
      </c>
      <c r="G742" s="1650" t="str">
        <f t="shared" si="48"/>
        <v>0</v>
      </c>
      <c r="H742" s="1468"/>
      <c r="I742" s="1462"/>
      <c r="J742" s="1531"/>
      <c r="K742" s="1462"/>
      <c r="L742" s="1462"/>
      <c r="M742" s="1493"/>
      <c r="N742" s="1462"/>
      <c r="O742" s="1462"/>
      <c r="P742" s="1462"/>
      <c r="Q742" s="1462"/>
      <c r="R742" s="1462"/>
      <c r="S742" s="1462"/>
      <c r="T742" s="1462"/>
      <c r="U742" s="1469">
        <v>23</v>
      </c>
      <c r="V742" s="1486" t="s">
        <v>33</v>
      </c>
      <c r="W742" s="1471" t="s">
        <v>1306</v>
      </c>
      <c r="X742" s="1472" t="s">
        <v>110</v>
      </c>
      <c r="Y742" s="1473" t="s">
        <v>1306</v>
      </c>
      <c r="Z742" s="1474" t="s">
        <v>1510</v>
      </c>
      <c r="AA742" s="1473" t="s">
        <v>1306</v>
      </c>
      <c r="AB742" s="1470" t="s">
        <v>1403</v>
      </c>
      <c r="AC742" s="1499"/>
      <c r="AD742" s="1500"/>
      <c r="AE742" s="1501"/>
      <c r="AF742" s="1501"/>
      <c r="AG742" s="1457" t="str">
        <f t="shared" si="45"/>
        <v>23調査結果-避難施設等-5（25）-改善策の具体的内容等</v>
      </c>
      <c r="AI742" s="1459"/>
      <c r="AJ742" s="1459"/>
      <c r="AK742" s="1459"/>
    </row>
    <row r="743" spans="1:37" s="1457" customFormat="1" ht="18.75" customHeight="1" x14ac:dyDescent="0.15">
      <c r="A743" s="1578"/>
      <c r="B743" s="1462"/>
      <c r="C743" s="1462"/>
      <c r="D743" s="1460">
        <f>'1_入力シート【基本情報】'!$BS$460</f>
        <v>0</v>
      </c>
      <c r="E743" s="1650">
        <f t="shared" si="46"/>
        <v>0</v>
      </c>
      <c r="F743" s="1650" t="str">
        <f t="shared" si="47"/>
        <v>0</v>
      </c>
      <c r="G743" s="1650" t="str">
        <f t="shared" si="48"/>
        <v>0</v>
      </c>
      <c r="H743" s="1468"/>
      <c r="I743" s="1462"/>
      <c r="J743" s="1531"/>
      <c r="K743" s="1462"/>
      <c r="L743" s="1462"/>
      <c r="M743" s="1493"/>
      <c r="N743" s="1462"/>
      <c r="O743" s="1462"/>
      <c r="P743" s="1462"/>
      <c r="Q743" s="1462"/>
      <c r="R743" s="1462"/>
      <c r="S743" s="1462"/>
      <c r="T743" s="1462"/>
      <c r="U743" s="1469">
        <v>23</v>
      </c>
      <c r="V743" s="1486" t="s">
        <v>33</v>
      </c>
      <c r="W743" s="1471" t="s">
        <v>1306</v>
      </c>
      <c r="X743" s="1472" t="s">
        <v>110</v>
      </c>
      <c r="Y743" s="1473" t="s">
        <v>1306</v>
      </c>
      <c r="Z743" s="1474" t="s">
        <v>1510</v>
      </c>
      <c r="AA743" s="1473" t="s">
        <v>1306</v>
      </c>
      <c r="AB743" s="1486" t="s">
        <v>352</v>
      </c>
      <c r="AC743" s="1499" t="s">
        <v>1366</v>
      </c>
      <c r="AD743" s="1500" t="s">
        <v>1387</v>
      </c>
      <c r="AE743" s="1501"/>
      <c r="AF743" s="1501"/>
      <c r="AG743" s="1457" t="str">
        <f t="shared" si="45"/>
        <v>23調査結果-避難施設等-5（25）-改善（予定）年月-年（令和）</v>
      </c>
      <c r="AI743" s="1459"/>
      <c r="AJ743" s="1459"/>
      <c r="AK743" s="1459"/>
    </row>
    <row r="744" spans="1:37" s="1457" customFormat="1" ht="18.75" customHeight="1" x14ac:dyDescent="0.15">
      <c r="A744" s="1578"/>
      <c r="B744" s="1462"/>
      <c r="C744" s="1462"/>
      <c r="D744" s="1460">
        <f>'1_入力シート【基本情報】'!$BV$460</f>
        <v>0</v>
      </c>
      <c r="E744" s="1650">
        <f t="shared" si="46"/>
        <v>0</v>
      </c>
      <c r="F744" s="1650" t="str">
        <f t="shared" si="47"/>
        <v>0</v>
      </c>
      <c r="G744" s="1650" t="str">
        <f t="shared" si="48"/>
        <v>0</v>
      </c>
      <c r="H744" s="1468"/>
      <c r="I744" s="1462"/>
      <c r="J744" s="1531"/>
      <c r="K744" s="1462"/>
      <c r="L744" s="1462"/>
      <c r="M744" s="1493"/>
      <c r="N744" s="1462"/>
      <c r="O744" s="1462"/>
      <c r="P744" s="1462"/>
      <c r="Q744" s="1462"/>
      <c r="R744" s="1462"/>
      <c r="S744" s="1462"/>
      <c r="T744" s="1462"/>
      <c r="U744" s="1469">
        <v>23</v>
      </c>
      <c r="V744" s="1486" t="s">
        <v>33</v>
      </c>
      <c r="W744" s="1471" t="s">
        <v>1306</v>
      </c>
      <c r="X744" s="1472" t="s">
        <v>110</v>
      </c>
      <c r="Y744" s="1473" t="s">
        <v>1306</v>
      </c>
      <c r="Z744" s="1474" t="s">
        <v>1510</v>
      </c>
      <c r="AA744" s="1473" t="s">
        <v>1306</v>
      </c>
      <c r="AB744" s="1486" t="s">
        <v>352</v>
      </c>
      <c r="AC744" s="1499" t="s">
        <v>1366</v>
      </c>
      <c r="AD744" s="1500" t="s">
        <v>348</v>
      </c>
      <c r="AE744" s="1501"/>
      <c r="AF744" s="1501"/>
      <c r="AG744" s="1457" t="str">
        <f t="shared" si="45"/>
        <v>23調査結果-避難施設等-5（25）-改善（予定）年月-月</v>
      </c>
      <c r="AI744" s="1459"/>
      <c r="AJ744" s="1459"/>
      <c r="AK744" s="1459"/>
    </row>
    <row r="745" spans="1:37" s="1457" customFormat="1" ht="18.75" customHeight="1" x14ac:dyDescent="0.15">
      <c r="A745" s="1578"/>
      <c r="B745" s="1462"/>
      <c r="C745" s="1462"/>
      <c r="D745" s="1460">
        <f>'1_入力シート【基本情報】'!$BY$460</f>
        <v>0</v>
      </c>
      <c r="E745" s="1650">
        <f t="shared" si="46"/>
        <v>0</v>
      </c>
      <c r="F745" s="1650" t="str">
        <f t="shared" si="47"/>
        <v>0</v>
      </c>
      <c r="G745" s="1650" t="str">
        <f t="shared" si="48"/>
        <v>0</v>
      </c>
      <c r="H745" s="1468"/>
      <c r="I745" s="1462"/>
      <c r="J745" s="1531"/>
      <c r="K745" s="1462"/>
      <c r="L745" s="1462"/>
      <c r="M745" s="1493"/>
      <c r="N745" s="1462"/>
      <c r="O745" s="1462"/>
      <c r="P745" s="1462"/>
      <c r="Q745" s="1462"/>
      <c r="R745" s="1462"/>
      <c r="S745" s="1462"/>
      <c r="T745" s="1462"/>
      <c r="U745" s="1469">
        <v>23</v>
      </c>
      <c r="V745" s="1486" t="s">
        <v>33</v>
      </c>
      <c r="W745" s="1471" t="s">
        <v>1306</v>
      </c>
      <c r="X745" s="1472" t="s">
        <v>110</v>
      </c>
      <c r="Y745" s="1473" t="s">
        <v>1306</v>
      </c>
      <c r="Z745" s="1474" t="s">
        <v>1510</v>
      </c>
      <c r="AA745" s="1473" t="s">
        <v>1306</v>
      </c>
      <c r="AB745" s="1486" t="s">
        <v>352</v>
      </c>
      <c r="AC745" s="1499" t="s">
        <v>1366</v>
      </c>
      <c r="AD745" s="1500" t="s">
        <v>640</v>
      </c>
      <c r="AE745" s="1501"/>
      <c r="AF745" s="1501"/>
      <c r="AG745" s="1457" t="str">
        <f t="shared" si="45"/>
        <v>23調査結果-避難施設等-5（25）-改善（予定）年月-未定</v>
      </c>
      <c r="AI745" s="1459"/>
      <c r="AJ745" s="1459"/>
      <c r="AK745" s="1459"/>
    </row>
    <row r="746" spans="1:37" s="1457" customFormat="1" ht="18.75" customHeight="1" x14ac:dyDescent="0.15">
      <c r="A746" s="1578"/>
      <c r="B746" s="1462"/>
      <c r="C746" s="1462"/>
      <c r="D746" s="1460">
        <f>'1_入力シート【基本情報】'!$AF$461</f>
        <v>0</v>
      </c>
      <c r="E746" s="1650">
        <f t="shared" si="46"/>
        <v>0</v>
      </c>
      <c r="F746" s="1650" t="str">
        <f t="shared" si="47"/>
        <v>0</v>
      </c>
      <c r="G746" s="1650" t="str">
        <f t="shared" si="48"/>
        <v>0</v>
      </c>
      <c r="H746" s="1468"/>
      <c r="I746" s="1462"/>
      <c r="J746" s="1531"/>
      <c r="K746" s="1462"/>
      <c r="L746" s="1462"/>
      <c r="M746" s="1493"/>
      <c r="N746" s="1462"/>
      <c r="O746" s="1462"/>
      <c r="P746" s="1462"/>
      <c r="Q746" s="1462"/>
      <c r="R746" s="1462"/>
      <c r="S746" s="1462"/>
      <c r="T746" s="1462"/>
      <c r="U746" s="1469">
        <v>23</v>
      </c>
      <c r="V746" s="1486" t="s">
        <v>33</v>
      </c>
      <c r="W746" s="1471" t="s">
        <v>1306</v>
      </c>
      <c r="X746" s="1472" t="s">
        <v>110</v>
      </c>
      <c r="Y746" s="1473" t="s">
        <v>1306</v>
      </c>
      <c r="Z746" s="1474" t="s">
        <v>1511</v>
      </c>
      <c r="AA746" s="1473" t="s">
        <v>1306</v>
      </c>
      <c r="AB746" s="1470" t="s">
        <v>33</v>
      </c>
      <c r="AC746" s="1475"/>
      <c r="AD746" s="1476"/>
      <c r="AE746" s="1501"/>
      <c r="AF746" s="1501"/>
      <c r="AG746" s="1457" t="str">
        <f t="shared" si="45"/>
        <v>23調査結果-避難施設等-5（26）-調査結果</v>
      </c>
      <c r="AI746" s="1459"/>
      <c r="AJ746" s="1459"/>
      <c r="AK746" s="1459"/>
    </row>
    <row r="747" spans="1:37" s="1457" customFormat="1" ht="18.75" customHeight="1" x14ac:dyDescent="0.15">
      <c r="A747" s="1578"/>
      <c r="B747" s="1462"/>
      <c r="C747" s="1462"/>
      <c r="D747" s="1460">
        <f>'1_入力シート【基本情報】'!$AR$461</f>
        <v>0</v>
      </c>
      <c r="E747" s="1650">
        <f t="shared" si="46"/>
        <v>0</v>
      </c>
      <c r="F747" s="1650" t="str">
        <f t="shared" si="47"/>
        <v>0</v>
      </c>
      <c r="G747" s="1650" t="str">
        <f t="shared" si="48"/>
        <v>0</v>
      </c>
      <c r="H747" s="1468"/>
      <c r="I747" s="1462"/>
      <c r="J747" s="1531"/>
      <c r="K747" s="1462"/>
      <c r="L747" s="1462"/>
      <c r="M747" s="1493"/>
      <c r="N747" s="1462"/>
      <c r="O747" s="1462"/>
      <c r="P747" s="1462"/>
      <c r="Q747" s="1462"/>
      <c r="R747" s="1462"/>
      <c r="S747" s="1462"/>
      <c r="T747" s="1462"/>
      <c r="U747" s="1469">
        <v>23</v>
      </c>
      <c r="V747" s="1486" t="s">
        <v>33</v>
      </c>
      <c r="W747" s="1471" t="s">
        <v>1306</v>
      </c>
      <c r="X747" s="1472" t="s">
        <v>110</v>
      </c>
      <c r="Y747" s="1473" t="s">
        <v>1306</v>
      </c>
      <c r="Z747" s="1474" t="s">
        <v>1511</v>
      </c>
      <c r="AA747" s="1473" t="s">
        <v>1306</v>
      </c>
      <c r="AB747" s="1470" t="s">
        <v>30</v>
      </c>
      <c r="AC747" s="1499"/>
      <c r="AD747" s="1500"/>
      <c r="AE747" s="1501"/>
      <c r="AF747" s="1501"/>
      <c r="AG747" s="1457" t="str">
        <f t="shared" si="45"/>
        <v>23調査結果-避難施設等-5（26）-調査者番号</v>
      </c>
      <c r="AI747" s="1459"/>
      <c r="AJ747" s="1459"/>
      <c r="AK747" s="1459"/>
    </row>
    <row r="748" spans="1:37" s="1457" customFormat="1" ht="18.75" customHeight="1" x14ac:dyDescent="0.15">
      <c r="A748" s="1578"/>
      <c r="B748" s="1462"/>
      <c r="C748" s="1462"/>
      <c r="D748" s="1460">
        <f>'1_入力シート【基本情報】'!$AT$461</f>
        <v>0</v>
      </c>
      <c r="E748" s="1650">
        <f t="shared" si="46"/>
        <v>0</v>
      </c>
      <c r="F748" s="1650" t="str">
        <f t="shared" si="47"/>
        <v>0</v>
      </c>
      <c r="G748" s="1650" t="str">
        <f t="shared" si="48"/>
        <v>0</v>
      </c>
      <c r="H748" s="1468"/>
      <c r="I748" s="1462"/>
      <c r="J748" s="1531"/>
      <c r="K748" s="1462"/>
      <c r="L748" s="1462"/>
      <c r="M748" s="1493"/>
      <c r="N748" s="1462"/>
      <c r="O748" s="1462"/>
      <c r="P748" s="1462"/>
      <c r="Q748" s="1462"/>
      <c r="R748" s="1462"/>
      <c r="S748" s="1462"/>
      <c r="T748" s="1462"/>
      <c r="U748" s="1469">
        <v>23</v>
      </c>
      <c r="V748" s="1486" t="s">
        <v>33</v>
      </c>
      <c r="W748" s="1471" t="s">
        <v>1306</v>
      </c>
      <c r="X748" s="1472" t="s">
        <v>110</v>
      </c>
      <c r="Y748" s="1473" t="s">
        <v>1306</v>
      </c>
      <c r="Z748" s="1474" t="s">
        <v>1511</v>
      </c>
      <c r="AA748" s="1473" t="s">
        <v>1306</v>
      </c>
      <c r="AB748" s="1470" t="s">
        <v>1402</v>
      </c>
      <c r="AC748" s="1499"/>
      <c r="AD748" s="1500"/>
      <c r="AE748" s="1501"/>
      <c r="AF748" s="1501"/>
      <c r="AG748" s="1457" t="str">
        <f t="shared" si="45"/>
        <v>23調査結果-避難施設等-5（26）-指摘の具体的内容等</v>
      </c>
      <c r="AI748" s="1459"/>
      <c r="AJ748" s="1459"/>
      <c r="AK748" s="1459"/>
    </row>
    <row r="749" spans="1:37" s="1457" customFormat="1" ht="18.75" customHeight="1" x14ac:dyDescent="0.15">
      <c r="A749" s="1578"/>
      <c r="B749" s="1462"/>
      <c r="C749" s="1462"/>
      <c r="D749" s="1460">
        <f>'1_入力シート【基本情報】'!$BD$461</f>
        <v>0</v>
      </c>
      <c r="E749" s="1650">
        <f t="shared" si="46"/>
        <v>0</v>
      </c>
      <c r="F749" s="1650" t="str">
        <f t="shared" si="47"/>
        <v>0</v>
      </c>
      <c r="G749" s="1650" t="str">
        <f t="shared" si="48"/>
        <v>0</v>
      </c>
      <c r="H749" s="1468"/>
      <c r="I749" s="1462"/>
      <c r="J749" s="1531"/>
      <c r="K749" s="1462"/>
      <c r="L749" s="1462"/>
      <c r="M749" s="1493"/>
      <c r="N749" s="1462"/>
      <c r="O749" s="1462"/>
      <c r="P749" s="1462"/>
      <c r="Q749" s="1462"/>
      <c r="R749" s="1462"/>
      <c r="S749" s="1462"/>
      <c r="T749" s="1462"/>
      <c r="U749" s="1469">
        <v>23</v>
      </c>
      <c r="V749" s="1486" t="s">
        <v>33</v>
      </c>
      <c r="W749" s="1471" t="s">
        <v>1306</v>
      </c>
      <c r="X749" s="1472" t="s">
        <v>110</v>
      </c>
      <c r="Y749" s="1473" t="s">
        <v>1306</v>
      </c>
      <c r="Z749" s="1474" t="s">
        <v>1511</v>
      </c>
      <c r="AA749" s="1473" t="s">
        <v>1306</v>
      </c>
      <c r="AB749" s="1470" t="s">
        <v>1403</v>
      </c>
      <c r="AC749" s="1499"/>
      <c r="AD749" s="1500"/>
      <c r="AE749" s="1477"/>
      <c r="AF749" s="1477"/>
      <c r="AG749" s="1457" t="str">
        <f t="shared" si="45"/>
        <v>23調査結果-避難施設等-5（26）-改善策の具体的内容等</v>
      </c>
      <c r="AI749" s="1459"/>
      <c r="AJ749" s="1459"/>
      <c r="AK749" s="1459"/>
    </row>
    <row r="750" spans="1:37" s="1457" customFormat="1" ht="18.75" customHeight="1" x14ac:dyDescent="0.15">
      <c r="A750" s="1578"/>
      <c r="B750" s="1462"/>
      <c r="C750" s="1462"/>
      <c r="D750" s="1460">
        <f>'1_入力シート【基本情報】'!$BS$461</f>
        <v>0</v>
      </c>
      <c r="E750" s="1650">
        <f t="shared" si="46"/>
        <v>0</v>
      </c>
      <c r="F750" s="1650" t="str">
        <f t="shared" si="47"/>
        <v>0</v>
      </c>
      <c r="G750" s="1650" t="str">
        <f t="shared" si="48"/>
        <v>0</v>
      </c>
      <c r="H750" s="1468"/>
      <c r="I750" s="1462"/>
      <c r="J750" s="1531"/>
      <c r="K750" s="1462"/>
      <c r="L750" s="1462"/>
      <c r="M750" s="1493"/>
      <c r="N750" s="1462"/>
      <c r="O750" s="1462"/>
      <c r="P750" s="1462"/>
      <c r="Q750" s="1462"/>
      <c r="R750" s="1462"/>
      <c r="S750" s="1462"/>
      <c r="T750" s="1462"/>
      <c r="U750" s="1469">
        <v>23</v>
      </c>
      <c r="V750" s="1486" t="s">
        <v>33</v>
      </c>
      <c r="W750" s="1471" t="s">
        <v>1306</v>
      </c>
      <c r="X750" s="1472" t="s">
        <v>110</v>
      </c>
      <c r="Y750" s="1473" t="s">
        <v>1306</v>
      </c>
      <c r="Z750" s="1474" t="s">
        <v>1511</v>
      </c>
      <c r="AA750" s="1473" t="s">
        <v>1306</v>
      </c>
      <c r="AB750" s="1470" t="s">
        <v>352</v>
      </c>
      <c r="AC750" s="1499" t="s">
        <v>1366</v>
      </c>
      <c r="AD750" s="1500" t="s">
        <v>1387</v>
      </c>
      <c r="AE750" s="1501"/>
      <c r="AF750" s="1501"/>
      <c r="AG750" s="1457" t="str">
        <f t="shared" si="45"/>
        <v>23調査結果-避難施設等-5（26）-改善（予定）年月-年（令和）</v>
      </c>
      <c r="AI750" s="1459"/>
      <c r="AJ750" s="1459"/>
      <c r="AK750" s="1459"/>
    </row>
    <row r="751" spans="1:37" s="1457" customFormat="1" ht="18.75" customHeight="1" x14ac:dyDescent="0.15">
      <c r="A751" s="1578"/>
      <c r="B751" s="1462"/>
      <c r="C751" s="1462"/>
      <c r="D751" s="1460">
        <f>'1_入力シート【基本情報】'!$BV$461</f>
        <v>0</v>
      </c>
      <c r="E751" s="1650">
        <f t="shared" si="46"/>
        <v>0</v>
      </c>
      <c r="F751" s="1650" t="str">
        <f t="shared" si="47"/>
        <v>0</v>
      </c>
      <c r="G751" s="1650" t="str">
        <f t="shared" si="48"/>
        <v>0</v>
      </c>
      <c r="H751" s="1468"/>
      <c r="I751" s="1462"/>
      <c r="J751" s="1531"/>
      <c r="K751" s="1462"/>
      <c r="L751" s="1462"/>
      <c r="M751" s="1493"/>
      <c r="N751" s="1462"/>
      <c r="O751" s="1462"/>
      <c r="P751" s="1462"/>
      <c r="Q751" s="1462"/>
      <c r="R751" s="1462"/>
      <c r="S751" s="1462"/>
      <c r="T751" s="1462"/>
      <c r="U751" s="1469">
        <v>23</v>
      </c>
      <c r="V751" s="1486" t="s">
        <v>33</v>
      </c>
      <c r="W751" s="1471" t="s">
        <v>1306</v>
      </c>
      <c r="X751" s="1472" t="s">
        <v>110</v>
      </c>
      <c r="Y751" s="1473" t="s">
        <v>1306</v>
      </c>
      <c r="Z751" s="1474" t="s">
        <v>1511</v>
      </c>
      <c r="AA751" s="1473" t="s">
        <v>1306</v>
      </c>
      <c r="AB751" s="1486" t="s">
        <v>352</v>
      </c>
      <c r="AC751" s="1499" t="s">
        <v>1366</v>
      </c>
      <c r="AD751" s="1500" t="s">
        <v>348</v>
      </c>
      <c r="AE751" s="1501"/>
      <c r="AF751" s="1501"/>
      <c r="AG751" s="1457" t="str">
        <f t="shared" si="45"/>
        <v>23調査結果-避難施設等-5（26）-改善（予定）年月-月</v>
      </c>
      <c r="AI751" s="1459"/>
      <c r="AJ751" s="1459"/>
      <c r="AK751" s="1459"/>
    </row>
    <row r="752" spans="1:37" s="1457" customFormat="1" ht="18.75" customHeight="1" x14ac:dyDescent="0.15">
      <c r="A752" s="1578"/>
      <c r="B752" s="1462"/>
      <c r="C752" s="1462"/>
      <c r="D752" s="1460">
        <f>'1_入力シート【基本情報】'!$BY$461</f>
        <v>0</v>
      </c>
      <c r="E752" s="1650">
        <f t="shared" si="46"/>
        <v>0</v>
      </c>
      <c r="F752" s="1650" t="str">
        <f t="shared" si="47"/>
        <v>0</v>
      </c>
      <c r="G752" s="1650" t="str">
        <f t="shared" si="48"/>
        <v>0</v>
      </c>
      <c r="H752" s="1468"/>
      <c r="I752" s="1462"/>
      <c r="J752" s="1531"/>
      <c r="K752" s="1462"/>
      <c r="L752" s="1462"/>
      <c r="M752" s="1493"/>
      <c r="N752" s="1462"/>
      <c r="O752" s="1462"/>
      <c r="P752" s="1462"/>
      <c r="Q752" s="1462"/>
      <c r="R752" s="1462"/>
      <c r="S752" s="1462"/>
      <c r="T752" s="1462"/>
      <c r="U752" s="1469">
        <v>23</v>
      </c>
      <c r="V752" s="1486" t="s">
        <v>33</v>
      </c>
      <c r="W752" s="1471" t="s">
        <v>1306</v>
      </c>
      <c r="X752" s="1472" t="s">
        <v>110</v>
      </c>
      <c r="Y752" s="1473" t="s">
        <v>1306</v>
      </c>
      <c r="Z752" s="1474" t="s">
        <v>1511</v>
      </c>
      <c r="AA752" s="1473" t="s">
        <v>1306</v>
      </c>
      <c r="AB752" s="1486" t="s">
        <v>352</v>
      </c>
      <c r="AC752" s="1499" t="s">
        <v>1366</v>
      </c>
      <c r="AD752" s="1500" t="s">
        <v>640</v>
      </c>
      <c r="AE752" s="1501"/>
      <c r="AF752" s="1501"/>
      <c r="AG752" s="1457" t="str">
        <f t="shared" si="45"/>
        <v>23調査結果-避難施設等-5（26）-改善（予定）年月-未定</v>
      </c>
      <c r="AI752" s="1459"/>
      <c r="AJ752" s="1459"/>
      <c r="AK752" s="1459"/>
    </row>
    <row r="753" spans="1:37" s="1457" customFormat="1" ht="18.75" customHeight="1" x14ac:dyDescent="0.15">
      <c r="A753" s="1578"/>
      <c r="B753" s="1462"/>
      <c r="C753" s="1462"/>
      <c r="D753" s="1460">
        <f>'1_入力シート【基本情報】'!$AF$462</f>
        <v>0</v>
      </c>
      <c r="E753" s="1650">
        <f t="shared" si="46"/>
        <v>0</v>
      </c>
      <c r="F753" s="1650" t="str">
        <f t="shared" si="47"/>
        <v>0</v>
      </c>
      <c r="G753" s="1650" t="str">
        <f t="shared" si="48"/>
        <v>0</v>
      </c>
      <c r="H753" s="1468"/>
      <c r="I753" s="1462"/>
      <c r="J753" s="1531"/>
      <c r="K753" s="1462"/>
      <c r="L753" s="1462"/>
      <c r="M753" s="1493"/>
      <c r="N753" s="1462"/>
      <c r="O753" s="1462"/>
      <c r="P753" s="1462"/>
      <c r="Q753" s="1462"/>
      <c r="R753" s="1462"/>
      <c r="S753" s="1462"/>
      <c r="T753" s="1462"/>
      <c r="U753" s="1469">
        <v>23</v>
      </c>
      <c r="V753" s="1486" t="s">
        <v>33</v>
      </c>
      <c r="W753" s="1471" t="s">
        <v>1306</v>
      </c>
      <c r="X753" s="1472" t="s">
        <v>110</v>
      </c>
      <c r="Y753" s="1473" t="s">
        <v>1306</v>
      </c>
      <c r="Z753" s="1474" t="s">
        <v>1512</v>
      </c>
      <c r="AA753" s="1473" t="s">
        <v>1306</v>
      </c>
      <c r="AB753" s="1486" t="s">
        <v>33</v>
      </c>
      <c r="AC753" s="1499"/>
      <c r="AD753" s="1500"/>
      <c r="AE753" s="1501"/>
      <c r="AF753" s="1501"/>
      <c r="AG753" s="1457" t="str">
        <f t="shared" si="45"/>
        <v>23調査結果-避難施設等-5（27）-調査結果</v>
      </c>
      <c r="AI753" s="1459"/>
      <c r="AJ753" s="1459"/>
      <c r="AK753" s="1459"/>
    </row>
    <row r="754" spans="1:37" s="1457" customFormat="1" ht="18.75" customHeight="1" x14ac:dyDescent="0.15">
      <c r="A754" s="1578"/>
      <c r="B754" s="1462"/>
      <c r="C754" s="1462"/>
      <c r="D754" s="1460">
        <f>'1_入力シート【基本情報】'!$AR$462</f>
        <v>0</v>
      </c>
      <c r="E754" s="1650">
        <f t="shared" si="46"/>
        <v>0</v>
      </c>
      <c r="F754" s="1650" t="str">
        <f t="shared" si="47"/>
        <v>0</v>
      </c>
      <c r="G754" s="1650" t="str">
        <f t="shared" si="48"/>
        <v>0</v>
      </c>
      <c r="H754" s="1468"/>
      <c r="I754" s="1462"/>
      <c r="J754" s="1531"/>
      <c r="K754" s="1462"/>
      <c r="L754" s="1462"/>
      <c r="M754" s="1493"/>
      <c r="N754" s="1462"/>
      <c r="O754" s="1462"/>
      <c r="P754" s="1462"/>
      <c r="Q754" s="1462"/>
      <c r="R754" s="1462"/>
      <c r="S754" s="1462"/>
      <c r="T754" s="1462"/>
      <c r="U754" s="1469">
        <v>23</v>
      </c>
      <c r="V754" s="1486" t="s">
        <v>33</v>
      </c>
      <c r="W754" s="1471" t="s">
        <v>1306</v>
      </c>
      <c r="X754" s="1472" t="s">
        <v>110</v>
      </c>
      <c r="Y754" s="1473" t="s">
        <v>1306</v>
      </c>
      <c r="Z754" s="1474" t="s">
        <v>1512</v>
      </c>
      <c r="AA754" s="1473" t="s">
        <v>1306</v>
      </c>
      <c r="AB754" s="1470" t="s">
        <v>30</v>
      </c>
      <c r="AC754" s="1475"/>
      <c r="AD754" s="1476"/>
      <c r="AE754" s="1501"/>
      <c r="AF754" s="1501"/>
      <c r="AG754" s="1457" t="str">
        <f t="shared" si="45"/>
        <v>23調査結果-避難施設等-5（27）-調査者番号</v>
      </c>
      <c r="AI754" s="1459"/>
      <c r="AJ754" s="1459"/>
      <c r="AK754" s="1459"/>
    </row>
    <row r="755" spans="1:37" s="1457" customFormat="1" ht="18.75" customHeight="1" x14ac:dyDescent="0.15">
      <c r="A755" s="1578"/>
      <c r="B755" s="1462"/>
      <c r="C755" s="1462"/>
      <c r="D755" s="1460">
        <f>'1_入力シート【基本情報】'!$AT$462</f>
        <v>0</v>
      </c>
      <c r="E755" s="1650">
        <f t="shared" si="46"/>
        <v>0</v>
      </c>
      <c r="F755" s="1650" t="str">
        <f t="shared" si="47"/>
        <v>0</v>
      </c>
      <c r="G755" s="1650" t="str">
        <f t="shared" si="48"/>
        <v>0</v>
      </c>
      <c r="H755" s="1468"/>
      <c r="I755" s="1462"/>
      <c r="J755" s="1531"/>
      <c r="K755" s="1462"/>
      <c r="L755" s="1462"/>
      <c r="M755" s="1493"/>
      <c r="N755" s="1462"/>
      <c r="O755" s="1462"/>
      <c r="P755" s="1462"/>
      <c r="Q755" s="1462"/>
      <c r="R755" s="1462"/>
      <c r="S755" s="1462"/>
      <c r="T755" s="1462"/>
      <c r="U755" s="1469">
        <v>23</v>
      </c>
      <c r="V755" s="1486" t="s">
        <v>33</v>
      </c>
      <c r="W755" s="1471" t="s">
        <v>1306</v>
      </c>
      <c r="X755" s="1472" t="s">
        <v>110</v>
      </c>
      <c r="Y755" s="1473" t="s">
        <v>1306</v>
      </c>
      <c r="Z755" s="1474" t="s">
        <v>1512</v>
      </c>
      <c r="AA755" s="1473" t="s">
        <v>1306</v>
      </c>
      <c r="AB755" s="1470" t="s">
        <v>1402</v>
      </c>
      <c r="AC755" s="1499"/>
      <c r="AD755" s="1500"/>
      <c r="AE755" s="1501"/>
      <c r="AF755" s="1501"/>
      <c r="AG755" s="1457" t="str">
        <f t="shared" si="45"/>
        <v>23調査結果-避難施設等-5（27）-指摘の具体的内容等</v>
      </c>
      <c r="AI755" s="1459"/>
      <c r="AJ755" s="1459"/>
      <c r="AK755" s="1459"/>
    </row>
    <row r="756" spans="1:37" s="1457" customFormat="1" ht="18.75" customHeight="1" x14ac:dyDescent="0.15">
      <c r="A756" s="1578"/>
      <c r="B756" s="1462"/>
      <c r="C756" s="1462"/>
      <c r="D756" s="1460">
        <f>'1_入力シート【基本情報】'!$BD$462</f>
        <v>0</v>
      </c>
      <c r="E756" s="1650">
        <f t="shared" si="46"/>
        <v>0</v>
      </c>
      <c r="F756" s="1650" t="str">
        <f t="shared" si="47"/>
        <v>0</v>
      </c>
      <c r="G756" s="1650" t="str">
        <f t="shared" si="48"/>
        <v>0</v>
      </c>
      <c r="H756" s="1468"/>
      <c r="I756" s="1462"/>
      <c r="J756" s="1531"/>
      <c r="K756" s="1462"/>
      <c r="L756" s="1462"/>
      <c r="M756" s="1493"/>
      <c r="N756" s="1462"/>
      <c r="O756" s="1462"/>
      <c r="P756" s="1462"/>
      <c r="Q756" s="1462"/>
      <c r="R756" s="1462"/>
      <c r="S756" s="1462"/>
      <c r="T756" s="1462"/>
      <c r="U756" s="1469">
        <v>23</v>
      </c>
      <c r="V756" s="1486" t="s">
        <v>33</v>
      </c>
      <c r="W756" s="1471" t="s">
        <v>1306</v>
      </c>
      <c r="X756" s="1472" t="s">
        <v>110</v>
      </c>
      <c r="Y756" s="1473" t="s">
        <v>1306</v>
      </c>
      <c r="Z756" s="1474" t="s">
        <v>1512</v>
      </c>
      <c r="AA756" s="1473" t="s">
        <v>1306</v>
      </c>
      <c r="AB756" s="1470" t="s">
        <v>1403</v>
      </c>
      <c r="AC756" s="1499"/>
      <c r="AD756" s="1500"/>
      <c r="AE756" s="1501"/>
      <c r="AF756" s="1501"/>
      <c r="AG756" s="1457" t="str">
        <f t="shared" si="45"/>
        <v>23調査結果-避難施設等-5（27）-改善策の具体的内容等</v>
      </c>
      <c r="AI756" s="1459"/>
      <c r="AJ756" s="1459"/>
      <c r="AK756" s="1459"/>
    </row>
    <row r="757" spans="1:37" s="1457" customFormat="1" ht="18.75" customHeight="1" x14ac:dyDescent="0.15">
      <c r="A757" s="1578"/>
      <c r="B757" s="1462"/>
      <c r="C757" s="1462"/>
      <c r="D757" s="1460">
        <f>'1_入力シート【基本情報】'!$BS$462</f>
        <v>0</v>
      </c>
      <c r="E757" s="1650">
        <f t="shared" si="46"/>
        <v>0</v>
      </c>
      <c r="F757" s="1650" t="str">
        <f t="shared" si="47"/>
        <v>0</v>
      </c>
      <c r="G757" s="1650" t="str">
        <f t="shared" si="48"/>
        <v>0</v>
      </c>
      <c r="H757" s="1468"/>
      <c r="I757" s="1462"/>
      <c r="J757" s="1531"/>
      <c r="K757" s="1462"/>
      <c r="L757" s="1462"/>
      <c r="M757" s="1493"/>
      <c r="N757" s="1462"/>
      <c r="O757" s="1462"/>
      <c r="P757" s="1462"/>
      <c r="Q757" s="1462"/>
      <c r="R757" s="1462"/>
      <c r="S757" s="1462"/>
      <c r="T757" s="1462"/>
      <c r="U757" s="1469">
        <v>23</v>
      </c>
      <c r="V757" s="1486" t="s">
        <v>33</v>
      </c>
      <c r="W757" s="1471" t="s">
        <v>1306</v>
      </c>
      <c r="X757" s="1472" t="s">
        <v>110</v>
      </c>
      <c r="Y757" s="1473" t="s">
        <v>1306</v>
      </c>
      <c r="Z757" s="1474" t="s">
        <v>1512</v>
      </c>
      <c r="AA757" s="1473" t="s">
        <v>1306</v>
      </c>
      <c r="AB757" s="1470" t="s">
        <v>352</v>
      </c>
      <c r="AC757" s="1499" t="s">
        <v>1366</v>
      </c>
      <c r="AD757" s="1500" t="s">
        <v>1387</v>
      </c>
      <c r="AE757" s="1477"/>
      <c r="AF757" s="1477"/>
      <c r="AG757" s="1457" t="str">
        <f t="shared" si="45"/>
        <v>23調査結果-避難施設等-5（27）-改善（予定）年月-年（令和）</v>
      </c>
      <c r="AI757" s="1459"/>
      <c r="AJ757" s="1459"/>
      <c r="AK757" s="1459"/>
    </row>
    <row r="758" spans="1:37" s="1457" customFormat="1" ht="18.75" customHeight="1" x14ac:dyDescent="0.15">
      <c r="A758" s="1578"/>
      <c r="B758" s="1462"/>
      <c r="C758" s="1462"/>
      <c r="D758" s="1460">
        <f>'1_入力シート【基本情報】'!$BV$462</f>
        <v>0</v>
      </c>
      <c r="E758" s="1650">
        <f t="shared" si="46"/>
        <v>0</v>
      </c>
      <c r="F758" s="1650" t="str">
        <f t="shared" si="47"/>
        <v>0</v>
      </c>
      <c r="G758" s="1650" t="str">
        <f t="shared" si="48"/>
        <v>0</v>
      </c>
      <c r="H758" s="1468"/>
      <c r="I758" s="1462"/>
      <c r="J758" s="1531"/>
      <c r="K758" s="1462"/>
      <c r="L758" s="1462"/>
      <c r="M758" s="1493"/>
      <c r="N758" s="1462"/>
      <c r="O758" s="1462"/>
      <c r="P758" s="1462"/>
      <c r="Q758" s="1462"/>
      <c r="R758" s="1462"/>
      <c r="S758" s="1462"/>
      <c r="T758" s="1462"/>
      <c r="U758" s="1469">
        <v>23</v>
      </c>
      <c r="V758" s="1486" t="s">
        <v>33</v>
      </c>
      <c r="W758" s="1471" t="s">
        <v>1306</v>
      </c>
      <c r="X758" s="1472" t="s">
        <v>110</v>
      </c>
      <c r="Y758" s="1473" t="s">
        <v>1306</v>
      </c>
      <c r="Z758" s="1474" t="s">
        <v>1512</v>
      </c>
      <c r="AA758" s="1473" t="s">
        <v>1306</v>
      </c>
      <c r="AB758" s="1470" t="s">
        <v>352</v>
      </c>
      <c r="AC758" s="1499" t="s">
        <v>1366</v>
      </c>
      <c r="AD758" s="1500" t="s">
        <v>348</v>
      </c>
      <c r="AE758" s="1501"/>
      <c r="AF758" s="1501"/>
      <c r="AG758" s="1457" t="str">
        <f t="shared" si="45"/>
        <v>23調査結果-避難施設等-5（27）-改善（予定）年月-月</v>
      </c>
      <c r="AI758" s="1459"/>
      <c r="AJ758" s="1459"/>
      <c r="AK758" s="1459"/>
    </row>
    <row r="759" spans="1:37" s="1457" customFormat="1" ht="18.75" customHeight="1" x14ac:dyDescent="0.15">
      <c r="A759" s="1578"/>
      <c r="B759" s="1462"/>
      <c r="C759" s="1462"/>
      <c r="D759" s="1460">
        <f>'1_入力シート【基本情報】'!$BY$462</f>
        <v>0</v>
      </c>
      <c r="E759" s="1650">
        <f t="shared" si="46"/>
        <v>0</v>
      </c>
      <c r="F759" s="1650" t="str">
        <f t="shared" si="47"/>
        <v>0</v>
      </c>
      <c r="G759" s="1650" t="str">
        <f t="shared" si="48"/>
        <v>0</v>
      </c>
      <c r="H759" s="1468"/>
      <c r="I759" s="1462"/>
      <c r="J759" s="1531"/>
      <c r="K759" s="1462"/>
      <c r="L759" s="1462"/>
      <c r="M759" s="1493"/>
      <c r="N759" s="1462"/>
      <c r="O759" s="1462"/>
      <c r="P759" s="1462"/>
      <c r="Q759" s="1462"/>
      <c r="R759" s="1462"/>
      <c r="S759" s="1462"/>
      <c r="T759" s="1462"/>
      <c r="U759" s="1469">
        <v>23</v>
      </c>
      <c r="V759" s="1486" t="s">
        <v>33</v>
      </c>
      <c r="W759" s="1471" t="s">
        <v>1306</v>
      </c>
      <c r="X759" s="1472" t="s">
        <v>110</v>
      </c>
      <c r="Y759" s="1473" t="s">
        <v>1306</v>
      </c>
      <c r="Z759" s="1474" t="s">
        <v>1512</v>
      </c>
      <c r="AA759" s="1473" t="s">
        <v>1306</v>
      </c>
      <c r="AB759" s="1486" t="s">
        <v>352</v>
      </c>
      <c r="AC759" s="1499" t="s">
        <v>1366</v>
      </c>
      <c r="AD759" s="1500" t="s">
        <v>640</v>
      </c>
      <c r="AE759" s="1501"/>
      <c r="AF759" s="1501"/>
      <c r="AG759" s="1457" t="str">
        <f t="shared" si="45"/>
        <v>23調査結果-避難施設等-5（27）-改善（予定）年月-未定</v>
      </c>
      <c r="AI759" s="1459"/>
      <c r="AJ759" s="1459"/>
      <c r="AK759" s="1459"/>
    </row>
    <row r="760" spans="1:37" s="1457" customFormat="1" ht="18.75" customHeight="1" x14ac:dyDescent="0.15">
      <c r="A760" s="1578"/>
      <c r="B760" s="1462"/>
      <c r="C760" s="1462"/>
      <c r="D760" s="1460">
        <f>'1_入力シート【基本情報】'!$AF$463</f>
        <v>0</v>
      </c>
      <c r="E760" s="1650">
        <f t="shared" si="46"/>
        <v>0</v>
      </c>
      <c r="F760" s="1650" t="str">
        <f t="shared" si="47"/>
        <v>0</v>
      </c>
      <c r="G760" s="1650" t="str">
        <f t="shared" si="48"/>
        <v>0</v>
      </c>
      <c r="H760" s="1468"/>
      <c r="I760" s="1462"/>
      <c r="J760" s="1531"/>
      <c r="K760" s="1462"/>
      <c r="L760" s="1462"/>
      <c r="M760" s="1493"/>
      <c r="N760" s="1462"/>
      <c r="O760" s="1462"/>
      <c r="P760" s="1462"/>
      <c r="Q760" s="1462"/>
      <c r="R760" s="1462"/>
      <c r="S760" s="1462"/>
      <c r="T760" s="1462"/>
      <c r="U760" s="1469">
        <v>23</v>
      </c>
      <c r="V760" s="1486" t="s">
        <v>33</v>
      </c>
      <c r="W760" s="1471" t="s">
        <v>1306</v>
      </c>
      <c r="X760" s="1472" t="s">
        <v>110</v>
      </c>
      <c r="Y760" s="1473" t="s">
        <v>1306</v>
      </c>
      <c r="Z760" s="1474" t="s">
        <v>1513</v>
      </c>
      <c r="AA760" s="1473" t="s">
        <v>1306</v>
      </c>
      <c r="AB760" s="1486" t="s">
        <v>33</v>
      </c>
      <c r="AC760" s="1499"/>
      <c r="AD760" s="1500"/>
      <c r="AE760" s="1501"/>
      <c r="AF760" s="1501"/>
      <c r="AG760" s="1457" t="str">
        <f t="shared" si="45"/>
        <v>23調査結果-避難施設等-5（28）-調査結果</v>
      </c>
      <c r="AI760" s="1459"/>
      <c r="AJ760" s="1459"/>
      <c r="AK760" s="1459"/>
    </row>
    <row r="761" spans="1:37" s="1457" customFormat="1" ht="18.75" customHeight="1" x14ac:dyDescent="0.15">
      <c r="A761" s="1578"/>
      <c r="B761" s="1462"/>
      <c r="C761" s="1462"/>
      <c r="D761" s="1460">
        <f>'1_入力シート【基本情報】'!$AR$463</f>
        <v>0</v>
      </c>
      <c r="E761" s="1650">
        <f t="shared" si="46"/>
        <v>0</v>
      </c>
      <c r="F761" s="1650" t="str">
        <f t="shared" si="47"/>
        <v>0</v>
      </c>
      <c r="G761" s="1650" t="str">
        <f t="shared" si="48"/>
        <v>0</v>
      </c>
      <c r="H761" s="1468"/>
      <c r="I761" s="1462"/>
      <c r="J761" s="1531"/>
      <c r="K761" s="1462"/>
      <c r="L761" s="1462"/>
      <c r="M761" s="1493"/>
      <c r="N761" s="1462"/>
      <c r="O761" s="1462"/>
      <c r="P761" s="1462"/>
      <c r="Q761" s="1462"/>
      <c r="R761" s="1462"/>
      <c r="S761" s="1462"/>
      <c r="T761" s="1462"/>
      <c r="U761" s="1469">
        <v>23</v>
      </c>
      <c r="V761" s="1486" t="s">
        <v>33</v>
      </c>
      <c r="W761" s="1471" t="s">
        <v>1306</v>
      </c>
      <c r="X761" s="1472" t="s">
        <v>110</v>
      </c>
      <c r="Y761" s="1473" t="s">
        <v>1306</v>
      </c>
      <c r="Z761" s="1474" t="s">
        <v>1513</v>
      </c>
      <c r="AA761" s="1473" t="s">
        <v>1306</v>
      </c>
      <c r="AB761" s="1486" t="s">
        <v>30</v>
      </c>
      <c r="AC761" s="1499"/>
      <c r="AD761" s="1500"/>
      <c r="AE761" s="1501"/>
      <c r="AF761" s="1501"/>
      <c r="AG761" s="1457" t="str">
        <f t="shared" si="45"/>
        <v>23調査結果-避難施設等-5（28）-調査者番号</v>
      </c>
      <c r="AI761" s="1459"/>
      <c r="AJ761" s="1459"/>
      <c r="AK761" s="1459"/>
    </row>
    <row r="762" spans="1:37" s="1457" customFormat="1" ht="18.75" customHeight="1" x14ac:dyDescent="0.15">
      <c r="A762" s="1578"/>
      <c r="B762" s="1462"/>
      <c r="C762" s="1462"/>
      <c r="D762" s="1460">
        <f>'1_入力シート【基本情報】'!$AT$463</f>
        <v>0</v>
      </c>
      <c r="E762" s="1650">
        <f t="shared" si="46"/>
        <v>0</v>
      </c>
      <c r="F762" s="1650" t="str">
        <f t="shared" si="47"/>
        <v>0</v>
      </c>
      <c r="G762" s="1650" t="str">
        <f t="shared" si="48"/>
        <v>0</v>
      </c>
      <c r="H762" s="1468"/>
      <c r="I762" s="1462"/>
      <c r="J762" s="1531"/>
      <c r="K762" s="1462"/>
      <c r="L762" s="1462"/>
      <c r="M762" s="1493"/>
      <c r="N762" s="1462"/>
      <c r="O762" s="1462"/>
      <c r="P762" s="1462"/>
      <c r="Q762" s="1462"/>
      <c r="R762" s="1462"/>
      <c r="S762" s="1462"/>
      <c r="T762" s="1462"/>
      <c r="U762" s="1469">
        <v>23</v>
      </c>
      <c r="V762" s="1486" t="s">
        <v>33</v>
      </c>
      <c r="W762" s="1471" t="s">
        <v>1306</v>
      </c>
      <c r="X762" s="1472" t="s">
        <v>110</v>
      </c>
      <c r="Y762" s="1473" t="s">
        <v>1306</v>
      </c>
      <c r="Z762" s="1474" t="s">
        <v>1513</v>
      </c>
      <c r="AA762" s="1473" t="s">
        <v>1306</v>
      </c>
      <c r="AB762" s="1470" t="s">
        <v>1402</v>
      </c>
      <c r="AC762" s="1475"/>
      <c r="AD762" s="1476"/>
      <c r="AE762" s="1501"/>
      <c r="AF762" s="1501"/>
      <c r="AG762" s="1457" t="str">
        <f t="shared" si="45"/>
        <v>23調査結果-避難施設等-5（28）-指摘の具体的内容等</v>
      </c>
      <c r="AI762" s="1459"/>
      <c r="AJ762" s="1459"/>
      <c r="AK762" s="1459"/>
    </row>
    <row r="763" spans="1:37" s="1457" customFormat="1" ht="18.75" customHeight="1" x14ac:dyDescent="0.15">
      <c r="A763" s="1578"/>
      <c r="B763" s="1462"/>
      <c r="C763" s="1462"/>
      <c r="D763" s="1460">
        <f>'1_入力シート【基本情報】'!$BD$463</f>
        <v>0</v>
      </c>
      <c r="E763" s="1650">
        <f t="shared" si="46"/>
        <v>0</v>
      </c>
      <c r="F763" s="1650" t="str">
        <f t="shared" si="47"/>
        <v>0</v>
      </c>
      <c r="G763" s="1650" t="str">
        <f t="shared" si="48"/>
        <v>0</v>
      </c>
      <c r="H763" s="1468"/>
      <c r="I763" s="1462"/>
      <c r="J763" s="1531"/>
      <c r="K763" s="1462"/>
      <c r="L763" s="1462"/>
      <c r="M763" s="1493"/>
      <c r="N763" s="1462"/>
      <c r="O763" s="1462"/>
      <c r="P763" s="1462"/>
      <c r="Q763" s="1462"/>
      <c r="R763" s="1462"/>
      <c r="S763" s="1462"/>
      <c r="T763" s="1462"/>
      <c r="U763" s="1469">
        <v>23</v>
      </c>
      <c r="V763" s="1486" t="s">
        <v>33</v>
      </c>
      <c r="W763" s="1471" t="s">
        <v>1306</v>
      </c>
      <c r="X763" s="1472" t="s">
        <v>110</v>
      </c>
      <c r="Y763" s="1473" t="s">
        <v>1306</v>
      </c>
      <c r="Z763" s="1474" t="s">
        <v>1513</v>
      </c>
      <c r="AA763" s="1473" t="s">
        <v>1306</v>
      </c>
      <c r="AB763" s="1470" t="s">
        <v>1403</v>
      </c>
      <c r="AC763" s="1499"/>
      <c r="AD763" s="1500"/>
      <c r="AE763" s="1501"/>
      <c r="AF763" s="1501"/>
      <c r="AG763" s="1457" t="str">
        <f t="shared" si="45"/>
        <v>23調査結果-避難施設等-5（28）-改善策の具体的内容等</v>
      </c>
      <c r="AI763" s="1459"/>
      <c r="AJ763" s="1459"/>
      <c r="AK763" s="1459"/>
    </row>
    <row r="764" spans="1:37" s="1457" customFormat="1" ht="18.75" customHeight="1" x14ac:dyDescent="0.15">
      <c r="A764" s="1578"/>
      <c r="B764" s="1462"/>
      <c r="C764" s="1462"/>
      <c r="D764" s="1460">
        <f>'1_入力シート【基本情報】'!$BS$463</f>
        <v>0</v>
      </c>
      <c r="E764" s="1650">
        <f t="shared" si="46"/>
        <v>0</v>
      </c>
      <c r="F764" s="1650" t="str">
        <f t="shared" si="47"/>
        <v>0</v>
      </c>
      <c r="G764" s="1650" t="str">
        <f t="shared" si="48"/>
        <v>0</v>
      </c>
      <c r="H764" s="1468"/>
      <c r="I764" s="1462"/>
      <c r="J764" s="1531"/>
      <c r="K764" s="1462"/>
      <c r="L764" s="1462"/>
      <c r="M764" s="1493"/>
      <c r="N764" s="1462"/>
      <c r="O764" s="1462"/>
      <c r="P764" s="1462"/>
      <c r="Q764" s="1462"/>
      <c r="R764" s="1462"/>
      <c r="S764" s="1462"/>
      <c r="T764" s="1462"/>
      <c r="U764" s="1469">
        <v>23</v>
      </c>
      <c r="V764" s="1486" t="s">
        <v>33</v>
      </c>
      <c r="W764" s="1471" t="s">
        <v>1306</v>
      </c>
      <c r="X764" s="1472" t="s">
        <v>110</v>
      </c>
      <c r="Y764" s="1473" t="s">
        <v>1306</v>
      </c>
      <c r="Z764" s="1474" t="s">
        <v>1513</v>
      </c>
      <c r="AA764" s="1473" t="s">
        <v>1306</v>
      </c>
      <c r="AB764" s="1470" t="s">
        <v>352</v>
      </c>
      <c r="AC764" s="1499" t="s">
        <v>1366</v>
      </c>
      <c r="AD764" s="1500" t="s">
        <v>1387</v>
      </c>
      <c r="AE764" s="1501"/>
      <c r="AF764" s="1501"/>
      <c r="AG764" s="1457" t="str">
        <f t="shared" si="45"/>
        <v>23調査結果-避難施設等-5（28）-改善（予定）年月-年（令和）</v>
      </c>
      <c r="AI764" s="1459"/>
      <c r="AJ764" s="1459"/>
      <c r="AK764" s="1459"/>
    </row>
    <row r="765" spans="1:37" s="1457" customFormat="1" ht="18.75" customHeight="1" x14ac:dyDescent="0.15">
      <c r="A765" s="1578"/>
      <c r="B765" s="1462"/>
      <c r="C765" s="1462"/>
      <c r="D765" s="1460">
        <f>'1_入力シート【基本情報】'!$BV$463</f>
        <v>0</v>
      </c>
      <c r="E765" s="1650">
        <f t="shared" si="46"/>
        <v>0</v>
      </c>
      <c r="F765" s="1650" t="str">
        <f t="shared" si="47"/>
        <v>0</v>
      </c>
      <c r="G765" s="1650" t="str">
        <f t="shared" si="48"/>
        <v>0</v>
      </c>
      <c r="H765" s="1468"/>
      <c r="I765" s="1462"/>
      <c r="J765" s="1531"/>
      <c r="K765" s="1462"/>
      <c r="L765" s="1462"/>
      <c r="M765" s="1493"/>
      <c r="N765" s="1462"/>
      <c r="O765" s="1462"/>
      <c r="P765" s="1462"/>
      <c r="Q765" s="1462"/>
      <c r="R765" s="1462"/>
      <c r="S765" s="1462"/>
      <c r="T765" s="1462"/>
      <c r="U765" s="1469">
        <v>23</v>
      </c>
      <c r="V765" s="1486" t="s">
        <v>33</v>
      </c>
      <c r="W765" s="1471" t="s">
        <v>1306</v>
      </c>
      <c r="X765" s="1472" t="s">
        <v>110</v>
      </c>
      <c r="Y765" s="1473" t="s">
        <v>1306</v>
      </c>
      <c r="Z765" s="1474" t="s">
        <v>1513</v>
      </c>
      <c r="AA765" s="1473" t="s">
        <v>1306</v>
      </c>
      <c r="AB765" s="1470" t="s">
        <v>352</v>
      </c>
      <c r="AC765" s="1499" t="s">
        <v>1366</v>
      </c>
      <c r="AD765" s="1500" t="s">
        <v>348</v>
      </c>
      <c r="AE765" s="1477"/>
      <c r="AF765" s="1477"/>
      <c r="AG765" s="1457" t="str">
        <f t="shared" ref="AG765:AG801" si="49">CONCATENATE(U765,V765,W765,X765,Y765,Z765,AA765,AB765,AC765,AD765)</f>
        <v>23調査結果-避難施設等-5（28）-改善（予定）年月-月</v>
      </c>
      <c r="AI765" s="1459"/>
      <c r="AJ765" s="1459"/>
      <c r="AK765" s="1459"/>
    </row>
    <row r="766" spans="1:37" s="1457" customFormat="1" ht="18.75" customHeight="1" x14ac:dyDescent="0.15">
      <c r="A766" s="1578"/>
      <c r="B766" s="1462"/>
      <c r="C766" s="1462"/>
      <c r="D766" s="1460">
        <f>'1_入力シート【基本情報】'!$BY$463</f>
        <v>0</v>
      </c>
      <c r="E766" s="1650">
        <f t="shared" si="46"/>
        <v>0</v>
      </c>
      <c r="F766" s="1650" t="str">
        <f t="shared" si="47"/>
        <v>0</v>
      </c>
      <c r="G766" s="1650" t="str">
        <f t="shared" si="48"/>
        <v>0</v>
      </c>
      <c r="H766" s="1468"/>
      <c r="I766" s="1462"/>
      <c r="J766" s="1531"/>
      <c r="K766" s="1462"/>
      <c r="L766" s="1462"/>
      <c r="M766" s="1493"/>
      <c r="N766" s="1462"/>
      <c r="O766" s="1462"/>
      <c r="P766" s="1462"/>
      <c r="Q766" s="1462"/>
      <c r="R766" s="1462"/>
      <c r="S766" s="1462"/>
      <c r="T766" s="1462"/>
      <c r="U766" s="1469">
        <v>23</v>
      </c>
      <c r="V766" s="1486" t="s">
        <v>33</v>
      </c>
      <c r="W766" s="1471" t="s">
        <v>1306</v>
      </c>
      <c r="X766" s="1472" t="s">
        <v>110</v>
      </c>
      <c r="Y766" s="1473" t="s">
        <v>1306</v>
      </c>
      <c r="Z766" s="1474" t="s">
        <v>1513</v>
      </c>
      <c r="AA766" s="1473" t="s">
        <v>1306</v>
      </c>
      <c r="AB766" s="1470" t="s">
        <v>352</v>
      </c>
      <c r="AC766" s="1499" t="s">
        <v>1366</v>
      </c>
      <c r="AD766" s="1500" t="s">
        <v>640</v>
      </c>
      <c r="AE766" s="1501"/>
      <c r="AF766" s="1501"/>
      <c r="AG766" s="1457" t="str">
        <f t="shared" si="49"/>
        <v>23調査結果-避難施設等-5（28）-改善（予定）年月-未定</v>
      </c>
      <c r="AI766" s="1459"/>
      <c r="AJ766" s="1459"/>
      <c r="AK766" s="1459"/>
    </row>
    <row r="767" spans="1:37" s="1457" customFormat="1" ht="18.75" customHeight="1" x14ac:dyDescent="0.15">
      <c r="A767" s="1578"/>
      <c r="B767" s="1462"/>
      <c r="C767" s="1462"/>
      <c r="D767" s="1460">
        <f>'1_入力シート【基本情報】'!$AF$464</f>
        <v>0</v>
      </c>
      <c r="E767" s="1650">
        <f t="shared" si="46"/>
        <v>0</v>
      </c>
      <c r="F767" s="1650" t="str">
        <f t="shared" si="47"/>
        <v>0</v>
      </c>
      <c r="G767" s="1650" t="str">
        <f t="shared" si="48"/>
        <v>0</v>
      </c>
      <c r="H767" s="1468"/>
      <c r="I767" s="1462"/>
      <c r="J767" s="1531"/>
      <c r="K767" s="1462"/>
      <c r="L767" s="1462"/>
      <c r="M767" s="1493"/>
      <c r="N767" s="1462"/>
      <c r="O767" s="1462"/>
      <c r="P767" s="1462"/>
      <c r="Q767" s="1462"/>
      <c r="R767" s="1462"/>
      <c r="S767" s="1462"/>
      <c r="T767" s="1462"/>
      <c r="U767" s="1469">
        <v>23</v>
      </c>
      <c r="V767" s="1486" t="s">
        <v>33</v>
      </c>
      <c r="W767" s="1471" t="s">
        <v>1306</v>
      </c>
      <c r="X767" s="1472" t="s">
        <v>110</v>
      </c>
      <c r="Y767" s="1473" t="s">
        <v>1306</v>
      </c>
      <c r="Z767" s="1474" t="s">
        <v>1514</v>
      </c>
      <c r="AA767" s="1473" t="s">
        <v>1306</v>
      </c>
      <c r="AB767" s="1486" t="s">
        <v>33</v>
      </c>
      <c r="AC767" s="1499"/>
      <c r="AD767" s="1500"/>
      <c r="AE767" s="1501"/>
      <c r="AF767" s="1501"/>
      <c r="AG767" s="1457" t="str">
        <f t="shared" si="49"/>
        <v>23調査結果-避難施設等-5（29）-調査結果</v>
      </c>
      <c r="AI767" s="1459"/>
      <c r="AJ767" s="1459"/>
      <c r="AK767" s="1459"/>
    </row>
    <row r="768" spans="1:37" s="1457" customFormat="1" ht="18.75" customHeight="1" x14ac:dyDescent="0.15">
      <c r="A768" s="1578"/>
      <c r="B768" s="1462"/>
      <c r="C768" s="1462"/>
      <c r="D768" s="1460">
        <f>'1_入力シート【基本情報】'!$AR$464</f>
        <v>0</v>
      </c>
      <c r="E768" s="1650">
        <f t="shared" si="46"/>
        <v>0</v>
      </c>
      <c r="F768" s="1650" t="str">
        <f t="shared" si="47"/>
        <v>0</v>
      </c>
      <c r="G768" s="1650" t="str">
        <f t="shared" si="48"/>
        <v>0</v>
      </c>
      <c r="H768" s="1468"/>
      <c r="I768" s="1462"/>
      <c r="J768" s="1531"/>
      <c r="K768" s="1462"/>
      <c r="L768" s="1462"/>
      <c r="M768" s="1493"/>
      <c r="N768" s="1462"/>
      <c r="O768" s="1462"/>
      <c r="P768" s="1462"/>
      <c r="Q768" s="1462"/>
      <c r="R768" s="1462"/>
      <c r="S768" s="1462"/>
      <c r="T768" s="1462"/>
      <c r="U768" s="1469">
        <v>23</v>
      </c>
      <c r="V768" s="1486" t="s">
        <v>33</v>
      </c>
      <c r="W768" s="1471" t="s">
        <v>1306</v>
      </c>
      <c r="X768" s="1472" t="s">
        <v>110</v>
      </c>
      <c r="Y768" s="1473" t="s">
        <v>1306</v>
      </c>
      <c r="Z768" s="1474" t="s">
        <v>1514</v>
      </c>
      <c r="AA768" s="1473" t="s">
        <v>1306</v>
      </c>
      <c r="AB768" s="1486" t="s">
        <v>30</v>
      </c>
      <c r="AC768" s="1499"/>
      <c r="AD768" s="1500"/>
      <c r="AE768" s="1501"/>
      <c r="AF768" s="1501"/>
      <c r="AG768" s="1457" t="str">
        <f t="shared" si="49"/>
        <v>23調査結果-避難施設等-5（29）-調査者番号</v>
      </c>
      <c r="AI768" s="1459"/>
      <c r="AJ768" s="1459"/>
      <c r="AK768" s="1459"/>
    </row>
    <row r="769" spans="1:37" s="1457" customFormat="1" ht="18.75" customHeight="1" x14ac:dyDescent="0.15">
      <c r="A769" s="1578"/>
      <c r="B769" s="1462"/>
      <c r="C769" s="1462"/>
      <c r="D769" s="1460">
        <f>'1_入力シート【基本情報】'!$AT$464</f>
        <v>0</v>
      </c>
      <c r="E769" s="1650">
        <f t="shared" si="46"/>
        <v>0</v>
      </c>
      <c r="F769" s="1650" t="str">
        <f t="shared" si="47"/>
        <v>0</v>
      </c>
      <c r="G769" s="1650" t="str">
        <f t="shared" si="48"/>
        <v>0</v>
      </c>
      <c r="H769" s="1468"/>
      <c r="I769" s="1462"/>
      <c r="J769" s="1531"/>
      <c r="K769" s="1462"/>
      <c r="L769" s="1462"/>
      <c r="M769" s="1493"/>
      <c r="N769" s="1462"/>
      <c r="O769" s="1462"/>
      <c r="P769" s="1462"/>
      <c r="Q769" s="1462"/>
      <c r="R769" s="1462"/>
      <c r="S769" s="1462"/>
      <c r="T769" s="1462"/>
      <c r="U769" s="1469">
        <v>23</v>
      </c>
      <c r="V769" s="1486" t="s">
        <v>33</v>
      </c>
      <c r="W769" s="1471" t="s">
        <v>1306</v>
      </c>
      <c r="X769" s="1472" t="s">
        <v>110</v>
      </c>
      <c r="Y769" s="1473" t="s">
        <v>1306</v>
      </c>
      <c r="Z769" s="1474" t="s">
        <v>1514</v>
      </c>
      <c r="AA769" s="1473" t="s">
        <v>1306</v>
      </c>
      <c r="AB769" s="1486" t="s">
        <v>1402</v>
      </c>
      <c r="AC769" s="1499"/>
      <c r="AD769" s="1500"/>
      <c r="AE769" s="1501"/>
      <c r="AF769" s="1501"/>
      <c r="AG769" s="1457" t="str">
        <f t="shared" si="49"/>
        <v>23調査結果-避難施設等-5（29）-指摘の具体的内容等</v>
      </c>
      <c r="AI769" s="1459"/>
      <c r="AJ769" s="1459"/>
      <c r="AK769" s="1459"/>
    </row>
    <row r="770" spans="1:37" s="1457" customFormat="1" ht="18.75" customHeight="1" x14ac:dyDescent="0.15">
      <c r="A770" s="1578"/>
      <c r="B770" s="1462"/>
      <c r="C770" s="1462"/>
      <c r="D770" s="1460">
        <f>'1_入力シート【基本情報】'!$BD$464</f>
        <v>0</v>
      </c>
      <c r="E770" s="1650">
        <f t="shared" si="46"/>
        <v>0</v>
      </c>
      <c r="F770" s="1650" t="str">
        <f t="shared" si="47"/>
        <v>0</v>
      </c>
      <c r="G770" s="1650" t="str">
        <f t="shared" si="48"/>
        <v>0</v>
      </c>
      <c r="H770" s="1468"/>
      <c r="I770" s="1462"/>
      <c r="J770" s="1531"/>
      <c r="K770" s="1462"/>
      <c r="L770" s="1462"/>
      <c r="M770" s="1493"/>
      <c r="N770" s="1462"/>
      <c r="O770" s="1462"/>
      <c r="P770" s="1462"/>
      <c r="Q770" s="1462"/>
      <c r="R770" s="1462"/>
      <c r="S770" s="1462"/>
      <c r="T770" s="1462"/>
      <c r="U770" s="1469">
        <v>23</v>
      </c>
      <c r="V770" s="1486" t="s">
        <v>33</v>
      </c>
      <c r="W770" s="1471" t="s">
        <v>1306</v>
      </c>
      <c r="X770" s="1472" t="s">
        <v>110</v>
      </c>
      <c r="Y770" s="1473" t="s">
        <v>1306</v>
      </c>
      <c r="Z770" s="1474" t="s">
        <v>1514</v>
      </c>
      <c r="AA770" s="1473" t="s">
        <v>1306</v>
      </c>
      <c r="AB770" s="1470" t="s">
        <v>1403</v>
      </c>
      <c r="AC770" s="1475"/>
      <c r="AD770" s="1476"/>
      <c r="AE770" s="1501"/>
      <c r="AF770" s="1501"/>
      <c r="AG770" s="1457" t="str">
        <f t="shared" si="49"/>
        <v>23調査結果-避難施設等-5（29）-改善策の具体的内容等</v>
      </c>
      <c r="AI770" s="1459"/>
      <c r="AJ770" s="1459"/>
      <c r="AK770" s="1459"/>
    </row>
    <row r="771" spans="1:37" s="1457" customFormat="1" ht="18.75" customHeight="1" x14ac:dyDescent="0.15">
      <c r="A771" s="1578"/>
      <c r="B771" s="1462"/>
      <c r="C771" s="1462"/>
      <c r="D771" s="1460">
        <f>'1_入力シート【基本情報】'!$BS$464</f>
        <v>0</v>
      </c>
      <c r="E771" s="1650">
        <f t="shared" si="46"/>
        <v>0</v>
      </c>
      <c r="F771" s="1650" t="str">
        <f t="shared" si="47"/>
        <v>0</v>
      </c>
      <c r="G771" s="1650" t="str">
        <f t="shared" si="48"/>
        <v>0</v>
      </c>
      <c r="H771" s="1468"/>
      <c r="I771" s="1462"/>
      <c r="J771" s="1531"/>
      <c r="K771" s="1462"/>
      <c r="L771" s="1462"/>
      <c r="M771" s="1493"/>
      <c r="N771" s="1462"/>
      <c r="O771" s="1462"/>
      <c r="P771" s="1462"/>
      <c r="Q771" s="1462"/>
      <c r="R771" s="1462"/>
      <c r="S771" s="1462"/>
      <c r="T771" s="1462"/>
      <c r="U771" s="1469">
        <v>23</v>
      </c>
      <c r="V771" s="1486" t="s">
        <v>33</v>
      </c>
      <c r="W771" s="1471" t="s">
        <v>1306</v>
      </c>
      <c r="X771" s="1472" t="s">
        <v>110</v>
      </c>
      <c r="Y771" s="1473" t="s">
        <v>1306</v>
      </c>
      <c r="Z771" s="1474" t="s">
        <v>1514</v>
      </c>
      <c r="AA771" s="1473" t="s">
        <v>1306</v>
      </c>
      <c r="AB771" s="1470" t="s">
        <v>352</v>
      </c>
      <c r="AC771" s="1499" t="s">
        <v>1366</v>
      </c>
      <c r="AD771" s="1500" t="s">
        <v>1387</v>
      </c>
      <c r="AE771" s="1501"/>
      <c r="AF771" s="1501"/>
      <c r="AG771" s="1457" t="str">
        <f t="shared" si="49"/>
        <v>23調査結果-避難施設等-5（29）-改善（予定）年月-年（令和）</v>
      </c>
      <c r="AI771" s="1459"/>
      <c r="AJ771" s="1459"/>
      <c r="AK771" s="1459"/>
    </row>
    <row r="772" spans="1:37" s="1457" customFormat="1" ht="18.75" customHeight="1" x14ac:dyDescent="0.15">
      <c r="A772" s="1578"/>
      <c r="B772" s="1462"/>
      <c r="C772" s="1462"/>
      <c r="D772" s="1460">
        <f>'1_入力シート【基本情報】'!$BV$464</f>
        <v>0</v>
      </c>
      <c r="E772" s="1650">
        <f t="shared" si="46"/>
        <v>0</v>
      </c>
      <c r="F772" s="1650" t="str">
        <f t="shared" si="47"/>
        <v>0</v>
      </c>
      <c r="G772" s="1650" t="str">
        <f t="shared" si="48"/>
        <v>0</v>
      </c>
      <c r="H772" s="1468"/>
      <c r="I772" s="1462"/>
      <c r="J772" s="1531"/>
      <c r="K772" s="1462"/>
      <c r="L772" s="1462"/>
      <c r="M772" s="1493"/>
      <c r="N772" s="1462"/>
      <c r="O772" s="1462"/>
      <c r="P772" s="1462"/>
      <c r="Q772" s="1462"/>
      <c r="R772" s="1462"/>
      <c r="S772" s="1462"/>
      <c r="T772" s="1462"/>
      <c r="U772" s="1469">
        <v>23</v>
      </c>
      <c r="V772" s="1486" t="s">
        <v>33</v>
      </c>
      <c r="W772" s="1471" t="s">
        <v>1306</v>
      </c>
      <c r="X772" s="1472" t="s">
        <v>110</v>
      </c>
      <c r="Y772" s="1473" t="s">
        <v>1306</v>
      </c>
      <c r="Z772" s="1474" t="s">
        <v>1514</v>
      </c>
      <c r="AA772" s="1473" t="s">
        <v>1306</v>
      </c>
      <c r="AB772" s="1470" t="s">
        <v>352</v>
      </c>
      <c r="AC772" s="1499" t="s">
        <v>1366</v>
      </c>
      <c r="AD772" s="1500" t="s">
        <v>348</v>
      </c>
      <c r="AE772" s="1501"/>
      <c r="AF772" s="1501"/>
      <c r="AG772" s="1457" t="str">
        <f t="shared" si="49"/>
        <v>23調査結果-避難施設等-5（29）-改善（予定）年月-月</v>
      </c>
      <c r="AI772" s="1459"/>
      <c r="AJ772" s="1459"/>
      <c r="AK772" s="1459"/>
    </row>
    <row r="773" spans="1:37" s="1457" customFormat="1" ht="18.75" customHeight="1" x14ac:dyDescent="0.15">
      <c r="A773" s="1578"/>
      <c r="B773" s="1462"/>
      <c r="C773" s="1462"/>
      <c r="D773" s="1460">
        <f>'1_入力シート【基本情報】'!$BY$464</f>
        <v>0</v>
      </c>
      <c r="E773" s="1650">
        <f t="shared" si="46"/>
        <v>0</v>
      </c>
      <c r="F773" s="1650" t="str">
        <f t="shared" si="47"/>
        <v>0</v>
      </c>
      <c r="G773" s="1650" t="str">
        <f t="shared" si="48"/>
        <v>0</v>
      </c>
      <c r="H773" s="1468"/>
      <c r="I773" s="1462"/>
      <c r="J773" s="1531"/>
      <c r="K773" s="1462"/>
      <c r="L773" s="1462"/>
      <c r="M773" s="1493"/>
      <c r="N773" s="1462"/>
      <c r="O773" s="1462"/>
      <c r="P773" s="1462"/>
      <c r="Q773" s="1462"/>
      <c r="R773" s="1462"/>
      <c r="S773" s="1462"/>
      <c r="T773" s="1462"/>
      <c r="U773" s="1469">
        <v>23</v>
      </c>
      <c r="V773" s="1486" t="s">
        <v>33</v>
      </c>
      <c r="W773" s="1471" t="s">
        <v>1306</v>
      </c>
      <c r="X773" s="1472" t="s">
        <v>110</v>
      </c>
      <c r="Y773" s="1473" t="s">
        <v>1306</v>
      </c>
      <c r="Z773" s="1474" t="s">
        <v>1514</v>
      </c>
      <c r="AA773" s="1473" t="s">
        <v>1306</v>
      </c>
      <c r="AB773" s="1470" t="s">
        <v>352</v>
      </c>
      <c r="AC773" s="1499" t="s">
        <v>1366</v>
      </c>
      <c r="AD773" s="1500" t="s">
        <v>640</v>
      </c>
      <c r="AE773" s="1477"/>
      <c r="AF773" s="1477"/>
      <c r="AG773" s="1457" t="str">
        <f t="shared" si="49"/>
        <v>23調査結果-避難施設等-5（29）-改善（予定）年月-未定</v>
      </c>
      <c r="AI773" s="1459"/>
      <c r="AJ773" s="1459"/>
      <c r="AK773" s="1459"/>
    </row>
    <row r="774" spans="1:37" s="1457" customFormat="1" ht="18.75" customHeight="1" x14ac:dyDescent="0.15">
      <c r="A774" s="1578"/>
      <c r="B774" s="1462"/>
      <c r="C774" s="1462"/>
      <c r="D774" s="1460">
        <f>'1_入力シート【基本情報】'!$AF$465</f>
        <v>0</v>
      </c>
      <c r="E774" s="1650">
        <f t="shared" si="46"/>
        <v>0</v>
      </c>
      <c r="F774" s="1650" t="str">
        <f t="shared" si="47"/>
        <v>0</v>
      </c>
      <c r="G774" s="1650" t="str">
        <f t="shared" si="48"/>
        <v>0</v>
      </c>
      <c r="H774" s="1468"/>
      <c r="I774" s="1462"/>
      <c r="J774" s="1531"/>
      <c r="K774" s="1462"/>
      <c r="L774" s="1462"/>
      <c r="M774" s="1493"/>
      <c r="N774" s="1462"/>
      <c r="O774" s="1462"/>
      <c r="P774" s="1462"/>
      <c r="Q774" s="1462"/>
      <c r="R774" s="1462"/>
      <c r="S774" s="1462"/>
      <c r="T774" s="1462"/>
      <c r="U774" s="1469">
        <v>23</v>
      </c>
      <c r="V774" s="1486" t="s">
        <v>33</v>
      </c>
      <c r="W774" s="1471" t="s">
        <v>1306</v>
      </c>
      <c r="X774" s="1472" t="s">
        <v>110</v>
      </c>
      <c r="Y774" s="1473" t="s">
        <v>1306</v>
      </c>
      <c r="Z774" s="1474" t="s">
        <v>1515</v>
      </c>
      <c r="AA774" s="1473" t="s">
        <v>1306</v>
      </c>
      <c r="AB774" s="1470" t="s">
        <v>33</v>
      </c>
      <c r="AC774" s="1499"/>
      <c r="AD774" s="1500"/>
      <c r="AE774" s="1501"/>
      <c r="AF774" s="1501"/>
      <c r="AG774" s="1457" t="str">
        <f t="shared" si="49"/>
        <v>23調査結果-避難施設等-5（30）-調査結果</v>
      </c>
      <c r="AI774" s="1459"/>
      <c r="AJ774" s="1459"/>
      <c r="AK774" s="1459"/>
    </row>
    <row r="775" spans="1:37" s="1457" customFormat="1" ht="18.75" customHeight="1" x14ac:dyDescent="0.15">
      <c r="A775" s="1578"/>
      <c r="B775" s="1462"/>
      <c r="C775" s="1462"/>
      <c r="D775" s="1460">
        <f>'1_入力シート【基本情報】'!$AR$465</f>
        <v>0</v>
      </c>
      <c r="E775" s="1650">
        <f t="shared" si="46"/>
        <v>0</v>
      </c>
      <c r="F775" s="1650" t="str">
        <f t="shared" si="47"/>
        <v>0</v>
      </c>
      <c r="G775" s="1650" t="str">
        <f t="shared" si="48"/>
        <v>0</v>
      </c>
      <c r="H775" s="1468"/>
      <c r="I775" s="1462"/>
      <c r="J775" s="1531"/>
      <c r="K775" s="1462"/>
      <c r="L775" s="1462"/>
      <c r="M775" s="1493"/>
      <c r="N775" s="1462"/>
      <c r="O775" s="1462"/>
      <c r="P775" s="1462"/>
      <c r="Q775" s="1462"/>
      <c r="R775" s="1462"/>
      <c r="S775" s="1462"/>
      <c r="T775" s="1462"/>
      <c r="U775" s="1469">
        <v>23</v>
      </c>
      <c r="V775" s="1486" t="s">
        <v>33</v>
      </c>
      <c r="W775" s="1471" t="s">
        <v>1306</v>
      </c>
      <c r="X775" s="1472" t="s">
        <v>110</v>
      </c>
      <c r="Y775" s="1473" t="s">
        <v>1306</v>
      </c>
      <c r="Z775" s="1474" t="s">
        <v>1515</v>
      </c>
      <c r="AA775" s="1473" t="s">
        <v>1306</v>
      </c>
      <c r="AB775" s="1486" t="s">
        <v>30</v>
      </c>
      <c r="AC775" s="1499"/>
      <c r="AD775" s="1500"/>
      <c r="AE775" s="1501"/>
      <c r="AF775" s="1501"/>
      <c r="AG775" s="1457" t="str">
        <f t="shared" si="49"/>
        <v>23調査結果-避難施設等-5（30）-調査者番号</v>
      </c>
      <c r="AI775" s="1459"/>
      <c r="AJ775" s="1459"/>
      <c r="AK775" s="1459"/>
    </row>
    <row r="776" spans="1:37" s="1457" customFormat="1" ht="18.75" customHeight="1" x14ac:dyDescent="0.15">
      <c r="A776" s="1578"/>
      <c r="B776" s="1462"/>
      <c r="C776" s="1462"/>
      <c r="D776" s="1460">
        <f>'1_入力シート【基本情報】'!$AT$465</f>
        <v>0</v>
      </c>
      <c r="E776" s="1650">
        <f t="shared" si="46"/>
        <v>0</v>
      </c>
      <c r="F776" s="1650" t="str">
        <f t="shared" si="47"/>
        <v>0</v>
      </c>
      <c r="G776" s="1650" t="str">
        <f t="shared" si="48"/>
        <v>0</v>
      </c>
      <c r="H776" s="1468"/>
      <c r="I776" s="1462"/>
      <c r="J776" s="1531"/>
      <c r="K776" s="1462"/>
      <c r="L776" s="1462"/>
      <c r="M776" s="1493"/>
      <c r="N776" s="1462"/>
      <c r="O776" s="1462"/>
      <c r="P776" s="1462"/>
      <c r="Q776" s="1462"/>
      <c r="R776" s="1462"/>
      <c r="S776" s="1462"/>
      <c r="T776" s="1462"/>
      <c r="U776" s="1469">
        <v>23</v>
      </c>
      <c r="V776" s="1486" t="s">
        <v>33</v>
      </c>
      <c r="W776" s="1471" t="s">
        <v>1306</v>
      </c>
      <c r="X776" s="1472" t="s">
        <v>110</v>
      </c>
      <c r="Y776" s="1473" t="s">
        <v>1306</v>
      </c>
      <c r="Z776" s="1474" t="s">
        <v>1515</v>
      </c>
      <c r="AA776" s="1473" t="s">
        <v>1306</v>
      </c>
      <c r="AB776" s="1486" t="s">
        <v>1402</v>
      </c>
      <c r="AC776" s="1499"/>
      <c r="AD776" s="1500"/>
      <c r="AE776" s="1501"/>
      <c r="AF776" s="1501"/>
      <c r="AG776" s="1457" t="str">
        <f t="shared" si="49"/>
        <v>23調査結果-避難施設等-5（30）-指摘の具体的内容等</v>
      </c>
      <c r="AI776" s="1459"/>
      <c r="AJ776" s="1459"/>
      <c r="AK776" s="1459"/>
    </row>
    <row r="777" spans="1:37" s="1457" customFormat="1" ht="18.75" customHeight="1" x14ac:dyDescent="0.15">
      <c r="A777" s="1578"/>
      <c r="B777" s="1462"/>
      <c r="C777" s="1462"/>
      <c r="D777" s="1460">
        <f>'1_入力シート【基本情報】'!$BD$465</f>
        <v>0</v>
      </c>
      <c r="E777" s="1650">
        <f t="shared" si="46"/>
        <v>0</v>
      </c>
      <c r="F777" s="1650" t="str">
        <f t="shared" si="47"/>
        <v>0</v>
      </c>
      <c r="G777" s="1650" t="str">
        <f t="shared" si="48"/>
        <v>0</v>
      </c>
      <c r="H777" s="1468"/>
      <c r="I777" s="1462"/>
      <c r="J777" s="1531"/>
      <c r="K777" s="1462"/>
      <c r="L777" s="1462"/>
      <c r="M777" s="1493"/>
      <c r="N777" s="1462"/>
      <c r="O777" s="1462"/>
      <c r="P777" s="1462"/>
      <c r="Q777" s="1462"/>
      <c r="R777" s="1462"/>
      <c r="S777" s="1462"/>
      <c r="T777" s="1462"/>
      <c r="U777" s="1469">
        <v>23</v>
      </c>
      <c r="V777" s="1486" t="s">
        <v>33</v>
      </c>
      <c r="W777" s="1471" t="s">
        <v>1306</v>
      </c>
      <c r="X777" s="1472" t="s">
        <v>110</v>
      </c>
      <c r="Y777" s="1473" t="s">
        <v>1306</v>
      </c>
      <c r="Z777" s="1474" t="s">
        <v>1515</v>
      </c>
      <c r="AA777" s="1473" t="s">
        <v>1306</v>
      </c>
      <c r="AB777" s="1486" t="s">
        <v>1403</v>
      </c>
      <c r="AC777" s="1499"/>
      <c r="AD777" s="1500"/>
      <c r="AE777" s="1501"/>
      <c r="AF777" s="1501"/>
      <c r="AG777" s="1457" t="str">
        <f t="shared" si="49"/>
        <v>23調査結果-避難施設等-5（30）-改善策の具体的内容等</v>
      </c>
      <c r="AI777" s="1459"/>
      <c r="AJ777" s="1459"/>
      <c r="AK777" s="1459"/>
    </row>
    <row r="778" spans="1:37" s="1457" customFormat="1" ht="18.75" customHeight="1" x14ac:dyDescent="0.15">
      <c r="A778" s="1578"/>
      <c r="B778" s="1462"/>
      <c r="C778" s="1462"/>
      <c r="D778" s="1460">
        <f>'1_入力シート【基本情報】'!$BS$465</f>
        <v>0</v>
      </c>
      <c r="E778" s="1650">
        <f t="shared" si="46"/>
        <v>0</v>
      </c>
      <c r="F778" s="1650" t="str">
        <f t="shared" si="47"/>
        <v>0</v>
      </c>
      <c r="G778" s="1650" t="str">
        <f t="shared" si="48"/>
        <v>0</v>
      </c>
      <c r="H778" s="1468"/>
      <c r="I778" s="1462"/>
      <c r="J778" s="1531"/>
      <c r="K778" s="1462"/>
      <c r="L778" s="1462"/>
      <c r="M778" s="1493"/>
      <c r="N778" s="1462"/>
      <c r="O778" s="1462"/>
      <c r="P778" s="1462"/>
      <c r="Q778" s="1462"/>
      <c r="R778" s="1462"/>
      <c r="S778" s="1462"/>
      <c r="T778" s="1462"/>
      <c r="U778" s="1469">
        <v>23</v>
      </c>
      <c r="V778" s="1486" t="s">
        <v>33</v>
      </c>
      <c r="W778" s="1471" t="s">
        <v>1306</v>
      </c>
      <c r="X778" s="1472" t="s">
        <v>110</v>
      </c>
      <c r="Y778" s="1473" t="s">
        <v>1306</v>
      </c>
      <c r="Z778" s="1474" t="s">
        <v>1515</v>
      </c>
      <c r="AA778" s="1473" t="s">
        <v>1306</v>
      </c>
      <c r="AB778" s="1470" t="s">
        <v>352</v>
      </c>
      <c r="AC778" s="1475" t="s">
        <v>1366</v>
      </c>
      <c r="AD778" s="1476" t="s">
        <v>1387</v>
      </c>
      <c r="AE778" s="1501"/>
      <c r="AF778" s="1501"/>
      <c r="AG778" s="1457" t="str">
        <f t="shared" si="49"/>
        <v>23調査結果-避難施設等-5（30）-改善（予定）年月-年（令和）</v>
      </c>
      <c r="AI778" s="1459"/>
      <c r="AJ778" s="1459"/>
      <c r="AK778" s="1459"/>
    </row>
    <row r="779" spans="1:37" s="1457" customFormat="1" ht="18.75" customHeight="1" x14ac:dyDescent="0.15">
      <c r="A779" s="1578"/>
      <c r="B779" s="1462"/>
      <c r="C779" s="1462"/>
      <c r="D779" s="1460">
        <f>'1_入力シート【基本情報】'!$BV$465</f>
        <v>0</v>
      </c>
      <c r="E779" s="1650">
        <f t="shared" si="46"/>
        <v>0</v>
      </c>
      <c r="F779" s="1650" t="str">
        <f t="shared" si="47"/>
        <v>0</v>
      </c>
      <c r="G779" s="1650" t="str">
        <f t="shared" si="48"/>
        <v>0</v>
      </c>
      <c r="H779" s="1468"/>
      <c r="I779" s="1462"/>
      <c r="J779" s="1531"/>
      <c r="K779" s="1462"/>
      <c r="L779" s="1462"/>
      <c r="M779" s="1493"/>
      <c r="N779" s="1462"/>
      <c r="O779" s="1462"/>
      <c r="P779" s="1462"/>
      <c r="Q779" s="1462"/>
      <c r="R779" s="1462"/>
      <c r="S779" s="1462"/>
      <c r="T779" s="1462"/>
      <c r="U779" s="1469">
        <v>23</v>
      </c>
      <c r="V779" s="1486" t="s">
        <v>33</v>
      </c>
      <c r="W779" s="1471" t="s">
        <v>1306</v>
      </c>
      <c r="X779" s="1472" t="s">
        <v>110</v>
      </c>
      <c r="Y779" s="1473" t="s">
        <v>1306</v>
      </c>
      <c r="Z779" s="1474" t="s">
        <v>1515</v>
      </c>
      <c r="AA779" s="1473" t="s">
        <v>1306</v>
      </c>
      <c r="AB779" s="1470" t="s">
        <v>352</v>
      </c>
      <c r="AC779" s="1499" t="s">
        <v>1366</v>
      </c>
      <c r="AD779" s="1500" t="s">
        <v>348</v>
      </c>
      <c r="AE779" s="1501"/>
      <c r="AF779" s="1501"/>
      <c r="AG779" s="1457" t="str">
        <f t="shared" si="49"/>
        <v>23調査結果-避難施設等-5（30）-改善（予定）年月-月</v>
      </c>
      <c r="AI779" s="1459"/>
      <c r="AJ779" s="1459"/>
      <c r="AK779" s="1459"/>
    </row>
    <row r="780" spans="1:37" s="1457" customFormat="1" ht="18.75" customHeight="1" x14ac:dyDescent="0.15">
      <c r="A780" s="1578"/>
      <c r="B780" s="1462"/>
      <c r="C780" s="1462"/>
      <c r="D780" s="1460">
        <f>'1_入力シート【基本情報】'!$BY$465</f>
        <v>0</v>
      </c>
      <c r="E780" s="1650">
        <f t="shared" si="46"/>
        <v>0</v>
      </c>
      <c r="F780" s="1650" t="str">
        <f t="shared" si="47"/>
        <v>0</v>
      </c>
      <c r="G780" s="1650" t="str">
        <f t="shared" si="48"/>
        <v>0</v>
      </c>
      <c r="H780" s="1468"/>
      <c r="I780" s="1462"/>
      <c r="J780" s="1531"/>
      <c r="K780" s="1462"/>
      <c r="L780" s="1462"/>
      <c r="M780" s="1493"/>
      <c r="N780" s="1462"/>
      <c r="O780" s="1462"/>
      <c r="P780" s="1462"/>
      <c r="Q780" s="1462"/>
      <c r="R780" s="1462"/>
      <c r="S780" s="1462"/>
      <c r="T780" s="1462"/>
      <c r="U780" s="1469">
        <v>23</v>
      </c>
      <c r="V780" s="1486" t="s">
        <v>33</v>
      </c>
      <c r="W780" s="1471" t="s">
        <v>1306</v>
      </c>
      <c r="X780" s="1472" t="s">
        <v>110</v>
      </c>
      <c r="Y780" s="1473" t="s">
        <v>1306</v>
      </c>
      <c r="Z780" s="1474" t="s">
        <v>1515</v>
      </c>
      <c r="AA780" s="1473" t="s">
        <v>1306</v>
      </c>
      <c r="AB780" s="1470" t="s">
        <v>352</v>
      </c>
      <c r="AC780" s="1499" t="s">
        <v>1366</v>
      </c>
      <c r="AD780" s="1500" t="s">
        <v>640</v>
      </c>
      <c r="AE780" s="1501"/>
      <c r="AF780" s="1501"/>
      <c r="AG780" s="1457" t="str">
        <f t="shared" si="49"/>
        <v>23調査結果-避難施設等-5（30）-改善（予定）年月-未定</v>
      </c>
      <c r="AI780" s="1459"/>
      <c r="AJ780" s="1459"/>
      <c r="AK780" s="1459"/>
    </row>
    <row r="781" spans="1:37" s="1457" customFormat="1" ht="18.75" customHeight="1" x14ac:dyDescent="0.15">
      <c r="A781" s="1578"/>
      <c r="B781" s="1462"/>
      <c r="C781" s="1462"/>
      <c r="D781" s="1460">
        <f>'1_入力シート【基本情報】'!$AF$466</f>
        <v>0</v>
      </c>
      <c r="E781" s="1650">
        <f t="shared" ref="E781:E801" si="50">D781</f>
        <v>0</v>
      </c>
      <c r="F781" s="1650" t="str">
        <f t="shared" ref="F781:F801" si="51">SUBSTITUTE(E781,CHAR(10),"")</f>
        <v>0</v>
      </c>
      <c r="G781" s="1650" t="str">
        <f t="shared" ref="G781:G801" si="52">TRIM(F781)</f>
        <v>0</v>
      </c>
      <c r="H781" s="1468"/>
      <c r="I781" s="1462"/>
      <c r="J781" s="1531"/>
      <c r="K781" s="1462"/>
      <c r="L781" s="1462"/>
      <c r="M781" s="1493"/>
      <c r="N781" s="1462"/>
      <c r="O781" s="1462"/>
      <c r="P781" s="1462"/>
      <c r="Q781" s="1462"/>
      <c r="R781" s="1462"/>
      <c r="S781" s="1462"/>
      <c r="T781" s="1462"/>
      <c r="U781" s="1469">
        <v>23</v>
      </c>
      <c r="V781" s="1486" t="s">
        <v>33</v>
      </c>
      <c r="W781" s="1471" t="s">
        <v>1306</v>
      </c>
      <c r="X781" s="1472" t="s">
        <v>110</v>
      </c>
      <c r="Y781" s="1473" t="s">
        <v>1306</v>
      </c>
      <c r="Z781" s="1474" t="s">
        <v>1516</v>
      </c>
      <c r="AA781" s="1473" t="s">
        <v>1306</v>
      </c>
      <c r="AB781" s="1470" t="s">
        <v>33</v>
      </c>
      <c r="AC781" s="1499"/>
      <c r="AD781" s="1500"/>
      <c r="AE781" s="1477"/>
      <c r="AF781" s="1477"/>
      <c r="AG781" s="1457" t="str">
        <f t="shared" si="49"/>
        <v>23調査結果-避難施設等-5（31）-調査結果</v>
      </c>
      <c r="AI781" s="1459"/>
      <c r="AJ781" s="1459"/>
      <c r="AK781" s="1459"/>
    </row>
    <row r="782" spans="1:37" s="1457" customFormat="1" ht="18.75" customHeight="1" x14ac:dyDescent="0.15">
      <c r="A782" s="1578"/>
      <c r="B782" s="1462"/>
      <c r="C782" s="1462"/>
      <c r="D782" s="1460">
        <f>'1_入力シート【基本情報】'!$AR$466</f>
        <v>0</v>
      </c>
      <c r="E782" s="1650">
        <f t="shared" si="50"/>
        <v>0</v>
      </c>
      <c r="F782" s="1650" t="str">
        <f t="shared" si="51"/>
        <v>0</v>
      </c>
      <c r="G782" s="1650" t="str">
        <f t="shared" si="52"/>
        <v>0</v>
      </c>
      <c r="H782" s="1468"/>
      <c r="I782" s="1462"/>
      <c r="J782" s="1531"/>
      <c r="K782" s="1462"/>
      <c r="L782" s="1462"/>
      <c r="M782" s="1493"/>
      <c r="N782" s="1462"/>
      <c r="O782" s="1462"/>
      <c r="P782" s="1462"/>
      <c r="Q782" s="1462"/>
      <c r="R782" s="1462"/>
      <c r="S782" s="1462"/>
      <c r="T782" s="1462"/>
      <c r="U782" s="1469">
        <v>23</v>
      </c>
      <c r="V782" s="1486" t="s">
        <v>33</v>
      </c>
      <c r="W782" s="1471" t="s">
        <v>1306</v>
      </c>
      <c r="X782" s="1472" t="s">
        <v>110</v>
      </c>
      <c r="Y782" s="1473" t="s">
        <v>1306</v>
      </c>
      <c r="Z782" s="1474" t="s">
        <v>1516</v>
      </c>
      <c r="AA782" s="1473" t="s">
        <v>1306</v>
      </c>
      <c r="AB782" s="1470" t="s">
        <v>30</v>
      </c>
      <c r="AC782" s="1499"/>
      <c r="AD782" s="1500"/>
      <c r="AE782" s="1501"/>
      <c r="AF782" s="1501"/>
      <c r="AG782" s="1457" t="str">
        <f t="shared" si="49"/>
        <v>23調査結果-避難施設等-5（31）-調査者番号</v>
      </c>
      <c r="AI782" s="1459"/>
      <c r="AJ782" s="1459"/>
      <c r="AK782" s="1459"/>
    </row>
    <row r="783" spans="1:37" s="1457" customFormat="1" ht="18.75" customHeight="1" x14ac:dyDescent="0.15">
      <c r="A783" s="1578"/>
      <c r="B783" s="1462"/>
      <c r="C783" s="1462"/>
      <c r="D783" s="1460">
        <f>'1_入力シート【基本情報】'!$AT$466</f>
        <v>0</v>
      </c>
      <c r="E783" s="1650">
        <f t="shared" si="50"/>
        <v>0</v>
      </c>
      <c r="F783" s="1650" t="str">
        <f t="shared" si="51"/>
        <v>0</v>
      </c>
      <c r="G783" s="1650" t="str">
        <f t="shared" si="52"/>
        <v>0</v>
      </c>
      <c r="H783" s="1468"/>
      <c r="I783" s="1462"/>
      <c r="J783" s="1531"/>
      <c r="K783" s="1462"/>
      <c r="L783" s="1462"/>
      <c r="M783" s="1493"/>
      <c r="N783" s="1462"/>
      <c r="O783" s="1462"/>
      <c r="P783" s="1462"/>
      <c r="Q783" s="1462"/>
      <c r="R783" s="1462"/>
      <c r="S783" s="1462"/>
      <c r="T783" s="1462"/>
      <c r="U783" s="1469">
        <v>23</v>
      </c>
      <c r="V783" s="1486" t="s">
        <v>33</v>
      </c>
      <c r="W783" s="1471" t="s">
        <v>1306</v>
      </c>
      <c r="X783" s="1472" t="s">
        <v>110</v>
      </c>
      <c r="Y783" s="1473" t="s">
        <v>1306</v>
      </c>
      <c r="Z783" s="1474" t="s">
        <v>1516</v>
      </c>
      <c r="AA783" s="1473" t="s">
        <v>1306</v>
      </c>
      <c r="AB783" s="1486" t="s">
        <v>1402</v>
      </c>
      <c r="AC783" s="1499"/>
      <c r="AD783" s="1500"/>
      <c r="AE783" s="1501"/>
      <c r="AF783" s="1501"/>
      <c r="AG783" s="1457" t="str">
        <f t="shared" si="49"/>
        <v>23調査結果-避難施設等-5（31）-指摘の具体的内容等</v>
      </c>
      <c r="AI783" s="1459"/>
      <c r="AJ783" s="1459"/>
      <c r="AK783" s="1459"/>
    </row>
    <row r="784" spans="1:37" s="1457" customFormat="1" ht="18.75" customHeight="1" x14ac:dyDescent="0.15">
      <c r="A784" s="1578"/>
      <c r="B784" s="1462"/>
      <c r="C784" s="1462"/>
      <c r="D784" s="1460">
        <f>'1_入力シート【基本情報】'!$BD$466</f>
        <v>0</v>
      </c>
      <c r="E784" s="1650">
        <f t="shared" si="50"/>
        <v>0</v>
      </c>
      <c r="F784" s="1650" t="str">
        <f t="shared" si="51"/>
        <v>0</v>
      </c>
      <c r="G784" s="1650" t="str">
        <f t="shared" si="52"/>
        <v>0</v>
      </c>
      <c r="H784" s="1468"/>
      <c r="I784" s="1462"/>
      <c r="J784" s="1531"/>
      <c r="K784" s="1462"/>
      <c r="L784" s="1462"/>
      <c r="M784" s="1493"/>
      <c r="N784" s="1462"/>
      <c r="O784" s="1462"/>
      <c r="P784" s="1462"/>
      <c r="Q784" s="1462"/>
      <c r="R784" s="1462"/>
      <c r="S784" s="1462"/>
      <c r="T784" s="1462"/>
      <c r="U784" s="1469">
        <v>23</v>
      </c>
      <c r="V784" s="1486" t="s">
        <v>33</v>
      </c>
      <c r="W784" s="1471" t="s">
        <v>1306</v>
      </c>
      <c r="X784" s="1472" t="s">
        <v>110</v>
      </c>
      <c r="Y784" s="1473" t="s">
        <v>1306</v>
      </c>
      <c r="Z784" s="1474" t="s">
        <v>1516</v>
      </c>
      <c r="AA784" s="1473" t="s">
        <v>1306</v>
      </c>
      <c r="AB784" s="1486" t="s">
        <v>1403</v>
      </c>
      <c r="AC784" s="1499"/>
      <c r="AD784" s="1500"/>
      <c r="AE784" s="1501"/>
      <c r="AF784" s="1501"/>
      <c r="AG784" s="1457" t="str">
        <f t="shared" si="49"/>
        <v>23調査結果-避難施設等-5（31）-改善策の具体的内容等</v>
      </c>
      <c r="AI784" s="1459"/>
      <c r="AJ784" s="1459"/>
      <c r="AK784" s="1459"/>
    </row>
    <row r="785" spans="1:37" s="1457" customFormat="1" ht="18.75" customHeight="1" x14ac:dyDescent="0.15">
      <c r="A785" s="1578"/>
      <c r="B785" s="1462"/>
      <c r="C785" s="1462"/>
      <c r="D785" s="1460">
        <f>'1_入力シート【基本情報】'!$BS$466</f>
        <v>0</v>
      </c>
      <c r="E785" s="1650">
        <f t="shared" si="50"/>
        <v>0</v>
      </c>
      <c r="F785" s="1650" t="str">
        <f t="shared" si="51"/>
        <v>0</v>
      </c>
      <c r="G785" s="1650" t="str">
        <f t="shared" si="52"/>
        <v>0</v>
      </c>
      <c r="H785" s="1468"/>
      <c r="I785" s="1462"/>
      <c r="J785" s="1531"/>
      <c r="K785" s="1462"/>
      <c r="L785" s="1462"/>
      <c r="M785" s="1493"/>
      <c r="N785" s="1462"/>
      <c r="O785" s="1462"/>
      <c r="P785" s="1462"/>
      <c r="Q785" s="1462"/>
      <c r="R785" s="1462"/>
      <c r="S785" s="1462"/>
      <c r="T785" s="1462"/>
      <c r="U785" s="1469">
        <v>23</v>
      </c>
      <c r="V785" s="1486" t="s">
        <v>33</v>
      </c>
      <c r="W785" s="1471" t="s">
        <v>1306</v>
      </c>
      <c r="X785" s="1472" t="s">
        <v>110</v>
      </c>
      <c r="Y785" s="1473" t="s">
        <v>1306</v>
      </c>
      <c r="Z785" s="1474" t="s">
        <v>1516</v>
      </c>
      <c r="AA785" s="1473" t="s">
        <v>1306</v>
      </c>
      <c r="AB785" s="1486" t="s">
        <v>352</v>
      </c>
      <c r="AC785" s="1499" t="s">
        <v>1366</v>
      </c>
      <c r="AD785" s="1500" t="s">
        <v>1387</v>
      </c>
      <c r="AE785" s="1501"/>
      <c r="AF785" s="1501"/>
      <c r="AG785" s="1457" t="str">
        <f t="shared" si="49"/>
        <v>23調査結果-避難施設等-5（31）-改善（予定）年月-年（令和）</v>
      </c>
      <c r="AI785" s="1459"/>
      <c r="AJ785" s="1459"/>
      <c r="AK785" s="1459"/>
    </row>
    <row r="786" spans="1:37" s="1457" customFormat="1" ht="18.75" customHeight="1" x14ac:dyDescent="0.15">
      <c r="A786" s="1578"/>
      <c r="B786" s="1462"/>
      <c r="C786" s="1462"/>
      <c r="D786" s="1460">
        <f>'1_入力シート【基本情報】'!$BV$466</f>
        <v>0</v>
      </c>
      <c r="E786" s="1650">
        <f t="shared" si="50"/>
        <v>0</v>
      </c>
      <c r="F786" s="1650" t="str">
        <f t="shared" si="51"/>
        <v>0</v>
      </c>
      <c r="G786" s="1650" t="str">
        <f t="shared" si="52"/>
        <v>0</v>
      </c>
      <c r="H786" s="1468"/>
      <c r="I786" s="1462"/>
      <c r="J786" s="1531"/>
      <c r="K786" s="1462"/>
      <c r="L786" s="1462"/>
      <c r="M786" s="1493"/>
      <c r="N786" s="1462"/>
      <c r="O786" s="1462"/>
      <c r="P786" s="1462"/>
      <c r="Q786" s="1462"/>
      <c r="R786" s="1462"/>
      <c r="S786" s="1462"/>
      <c r="T786" s="1462"/>
      <c r="U786" s="1469">
        <v>23</v>
      </c>
      <c r="V786" s="1486" t="s">
        <v>33</v>
      </c>
      <c r="W786" s="1471" t="s">
        <v>1306</v>
      </c>
      <c r="X786" s="1472" t="s">
        <v>110</v>
      </c>
      <c r="Y786" s="1473" t="s">
        <v>1306</v>
      </c>
      <c r="Z786" s="1474" t="s">
        <v>1516</v>
      </c>
      <c r="AA786" s="1473" t="s">
        <v>1306</v>
      </c>
      <c r="AB786" s="1470" t="s">
        <v>352</v>
      </c>
      <c r="AC786" s="1475" t="s">
        <v>1366</v>
      </c>
      <c r="AD786" s="1476" t="s">
        <v>348</v>
      </c>
      <c r="AE786" s="1501"/>
      <c r="AF786" s="1501"/>
      <c r="AG786" s="1457" t="str">
        <f t="shared" si="49"/>
        <v>23調査結果-避難施設等-5（31）-改善（予定）年月-月</v>
      </c>
      <c r="AI786" s="1459"/>
      <c r="AJ786" s="1459"/>
      <c r="AK786" s="1459"/>
    </row>
    <row r="787" spans="1:37" s="1457" customFormat="1" ht="18.75" customHeight="1" x14ac:dyDescent="0.15">
      <c r="A787" s="1578"/>
      <c r="B787" s="1462"/>
      <c r="C787" s="1462"/>
      <c r="D787" s="1460">
        <f>'1_入力シート【基本情報】'!$BY$466</f>
        <v>0</v>
      </c>
      <c r="E787" s="1650">
        <f t="shared" si="50"/>
        <v>0</v>
      </c>
      <c r="F787" s="1650" t="str">
        <f t="shared" si="51"/>
        <v>0</v>
      </c>
      <c r="G787" s="1650" t="str">
        <f t="shared" si="52"/>
        <v>0</v>
      </c>
      <c r="H787" s="1468"/>
      <c r="I787" s="1462"/>
      <c r="J787" s="1531"/>
      <c r="K787" s="1462"/>
      <c r="L787" s="1462"/>
      <c r="M787" s="1493"/>
      <c r="N787" s="1462"/>
      <c r="O787" s="1462"/>
      <c r="P787" s="1462"/>
      <c r="Q787" s="1462"/>
      <c r="R787" s="1462"/>
      <c r="S787" s="1462"/>
      <c r="T787" s="1462"/>
      <c r="U787" s="1469">
        <v>23</v>
      </c>
      <c r="V787" s="1486" t="s">
        <v>33</v>
      </c>
      <c r="W787" s="1471" t="s">
        <v>1306</v>
      </c>
      <c r="X787" s="1472" t="s">
        <v>110</v>
      </c>
      <c r="Y787" s="1473" t="s">
        <v>1306</v>
      </c>
      <c r="Z787" s="1474" t="s">
        <v>1516</v>
      </c>
      <c r="AA787" s="1473" t="s">
        <v>1306</v>
      </c>
      <c r="AB787" s="1470" t="s">
        <v>352</v>
      </c>
      <c r="AC787" s="1499" t="s">
        <v>1366</v>
      </c>
      <c r="AD787" s="1500" t="s">
        <v>640</v>
      </c>
      <c r="AE787" s="1501"/>
      <c r="AF787" s="1501"/>
      <c r="AG787" s="1457" t="str">
        <f t="shared" si="49"/>
        <v>23調査結果-避難施設等-5（31）-改善（予定）年月-未定</v>
      </c>
      <c r="AI787" s="1459"/>
      <c r="AJ787" s="1459"/>
      <c r="AK787" s="1459"/>
    </row>
    <row r="788" spans="1:37" s="1457" customFormat="1" ht="18.75" customHeight="1" x14ac:dyDescent="0.15">
      <c r="A788" s="1578"/>
      <c r="B788" s="1462"/>
      <c r="C788" s="1462"/>
      <c r="D788" s="1460">
        <f>'1_入力シート【基本情報】'!$AF$467</f>
        <v>0</v>
      </c>
      <c r="E788" s="1650">
        <f t="shared" si="50"/>
        <v>0</v>
      </c>
      <c r="F788" s="1650" t="str">
        <f t="shared" si="51"/>
        <v>0</v>
      </c>
      <c r="G788" s="1650" t="str">
        <f t="shared" si="52"/>
        <v>0</v>
      </c>
      <c r="H788" s="1468"/>
      <c r="I788" s="1462"/>
      <c r="J788" s="1531"/>
      <c r="K788" s="1462"/>
      <c r="L788" s="1462"/>
      <c r="M788" s="1493"/>
      <c r="N788" s="1462"/>
      <c r="O788" s="1462"/>
      <c r="P788" s="1462"/>
      <c r="Q788" s="1462"/>
      <c r="R788" s="1462"/>
      <c r="S788" s="1462"/>
      <c r="T788" s="1462"/>
      <c r="U788" s="1469">
        <v>23</v>
      </c>
      <c r="V788" s="1486" t="s">
        <v>33</v>
      </c>
      <c r="W788" s="1471" t="s">
        <v>1306</v>
      </c>
      <c r="X788" s="1472" t="s">
        <v>110</v>
      </c>
      <c r="Y788" s="1473" t="s">
        <v>1306</v>
      </c>
      <c r="Z788" s="1474" t="s">
        <v>1517</v>
      </c>
      <c r="AA788" s="1473" t="s">
        <v>1306</v>
      </c>
      <c r="AB788" s="1470" t="s">
        <v>33</v>
      </c>
      <c r="AC788" s="1499"/>
      <c r="AD788" s="1500"/>
      <c r="AE788" s="1501"/>
      <c r="AF788" s="1501"/>
      <c r="AG788" s="1457" t="str">
        <f t="shared" si="49"/>
        <v>23調査結果-避難施設等-5（32）-調査結果</v>
      </c>
      <c r="AI788" s="1459"/>
      <c r="AJ788" s="1459"/>
      <c r="AK788" s="1459"/>
    </row>
    <row r="789" spans="1:37" s="1457" customFormat="1" ht="18.75" customHeight="1" x14ac:dyDescent="0.15">
      <c r="A789" s="1578"/>
      <c r="B789" s="1462"/>
      <c r="C789" s="1462"/>
      <c r="D789" s="1460">
        <f>'1_入力シート【基本情報】'!$AR$467</f>
        <v>0</v>
      </c>
      <c r="E789" s="1650">
        <f t="shared" si="50"/>
        <v>0</v>
      </c>
      <c r="F789" s="1650" t="str">
        <f t="shared" si="51"/>
        <v>0</v>
      </c>
      <c r="G789" s="1650" t="str">
        <f t="shared" si="52"/>
        <v>0</v>
      </c>
      <c r="H789" s="1468"/>
      <c r="I789" s="1462"/>
      <c r="J789" s="1531"/>
      <c r="K789" s="1462"/>
      <c r="L789" s="1462"/>
      <c r="M789" s="1493"/>
      <c r="N789" s="1462"/>
      <c r="O789" s="1462"/>
      <c r="P789" s="1462"/>
      <c r="Q789" s="1462"/>
      <c r="R789" s="1462"/>
      <c r="S789" s="1462"/>
      <c r="T789" s="1462"/>
      <c r="U789" s="1469">
        <v>23</v>
      </c>
      <c r="V789" s="1486" t="s">
        <v>33</v>
      </c>
      <c r="W789" s="1471" t="s">
        <v>1306</v>
      </c>
      <c r="X789" s="1472" t="s">
        <v>110</v>
      </c>
      <c r="Y789" s="1473" t="s">
        <v>1306</v>
      </c>
      <c r="Z789" s="1474" t="s">
        <v>1517</v>
      </c>
      <c r="AA789" s="1473" t="s">
        <v>1306</v>
      </c>
      <c r="AB789" s="1470" t="s">
        <v>30</v>
      </c>
      <c r="AC789" s="1499"/>
      <c r="AD789" s="1500"/>
      <c r="AE789" s="1477"/>
      <c r="AF789" s="1477"/>
      <c r="AG789" s="1457" t="str">
        <f t="shared" si="49"/>
        <v>23調査結果-避難施設等-5（32）-調査者番号</v>
      </c>
      <c r="AI789" s="1459"/>
      <c r="AJ789" s="1459"/>
      <c r="AK789" s="1459"/>
    </row>
    <row r="790" spans="1:37" s="1457" customFormat="1" ht="18.75" customHeight="1" x14ac:dyDescent="0.15">
      <c r="A790" s="1578"/>
      <c r="B790" s="1462"/>
      <c r="C790" s="1462"/>
      <c r="D790" s="1460">
        <f>'1_入力シート【基本情報】'!$AT$467</f>
        <v>0</v>
      </c>
      <c r="E790" s="1650">
        <f t="shared" si="50"/>
        <v>0</v>
      </c>
      <c r="F790" s="1650" t="str">
        <f t="shared" si="51"/>
        <v>0</v>
      </c>
      <c r="G790" s="1650" t="str">
        <f t="shared" si="52"/>
        <v>0</v>
      </c>
      <c r="H790" s="1468"/>
      <c r="I790" s="1462"/>
      <c r="J790" s="1531"/>
      <c r="K790" s="1462"/>
      <c r="L790" s="1462"/>
      <c r="M790" s="1493"/>
      <c r="N790" s="1462"/>
      <c r="O790" s="1462"/>
      <c r="P790" s="1462"/>
      <c r="Q790" s="1462"/>
      <c r="R790" s="1462"/>
      <c r="S790" s="1462"/>
      <c r="T790" s="1462"/>
      <c r="U790" s="1469">
        <v>23</v>
      </c>
      <c r="V790" s="1486" t="s">
        <v>33</v>
      </c>
      <c r="W790" s="1471" t="s">
        <v>1306</v>
      </c>
      <c r="X790" s="1472" t="s">
        <v>110</v>
      </c>
      <c r="Y790" s="1473" t="s">
        <v>1306</v>
      </c>
      <c r="Z790" s="1474" t="s">
        <v>1517</v>
      </c>
      <c r="AA790" s="1473" t="s">
        <v>1306</v>
      </c>
      <c r="AB790" s="1470" t="s">
        <v>1402</v>
      </c>
      <c r="AC790" s="1499"/>
      <c r="AD790" s="1500"/>
      <c r="AE790" s="1501"/>
      <c r="AF790" s="1501"/>
      <c r="AG790" s="1457" t="str">
        <f t="shared" si="49"/>
        <v>23調査結果-避難施設等-5（32）-指摘の具体的内容等</v>
      </c>
      <c r="AI790" s="1459"/>
      <c r="AJ790" s="1459"/>
      <c r="AK790" s="1459"/>
    </row>
    <row r="791" spans="1:37" s="1457" customFormat="1" ht="18.75" customHeight="1" x14ac:dyDescent="0.15">
      <c r="A791" s="1578"/>
      <c r="B791" s="1462"/>
      <c r="C791" s="1462"/>
      <c r="D791" s="1460">
        <f>'1_入力シート【基本情報】'!$BD$467</f>
        <v>0</v>
      </c>
      <c r="E791" s="1650">
        <f t="shared" si="50"/>
        <v>0</v>
      </c>
      <c r="F791" s="1650" t="str">
        <f t="shared" si="51"/>
        <v>0</v>
      </c>
      <c r="G791" s="1650" t="str">
        <f t="shared" si="52"/>
        <v>0</v>
      </c>
      <c r="H791" s="1468"/>
      <c r="I791" s="1462"/>
      <c r="J791" s="1531"/>
      <c r="K791" s="1462"/>
      <c r="L791" s="1462"/>
      <c r="M791" s="1493"/>
      <c r="N791" s="1462"/>
      <c r="O791" s="1462"/>
      <c r="P791" s="1462"/>
      <c r="Q791" s="1462"/>
      <c r="R791" s="1462"/>
      <c r="S791" s="1462"/>
      <c r="T791" s="1462"/>
      <c r="U791" s="1469">
        <v>23</v>
      </c>
      <c r="V791" s="1486" t="s">
        <v>33</v>
      </c>
      <c r="W791" s="1471" t="s">
        <v>1306</v>
      </c>
      <c r="X791" s="1472" t="s">
        <v>110</v>
      </c>
      <c r="Y791" s="1473" t="s">
        <v>1306</v>
      </c>
      <c r="Z791" s="1474" t="s">
        <v>1517</v>
      </c>
      <c r="AA791" s="1473" t="s">
        <v>1306</v>
      </c>
      <c r="AB791" s="1486" t="s">
        <v>1403</v>
      </c>
      <c r="AC791" s="1499"/>
      <c r="AD791" s="1500"/>
      <c r="AE791" s="1501"/>
      <c r="AF791" s="1501"/>
      <c r="AG791" s="1457" t="str">
        <f t="shared" si="49"/>
        <v>23調査結果-避難施設等-5（32）-改善策の具体的内容等</v>
      </c>
      <c r="AI791" s="1459"/>
      <c r="AJ791" s="1459"/>
      <c r="AK791" s="1459"/>
    </row>
    <row r="792" spans="1:37" s="1457" customFormat="1" ht="18.75" customHeight="1" x14ac:dyDescent="0.15">
      <c r="A792" s="1578"/>
      <c r="B792" s="1462"/>
      <c r="C792" s="1462"/>
      <c r="D792" s="1460">
        <f>'1_入力シート【基本情報】'!$BS$467</f>
        <v>0</v>
      </c>
      <c r="E792" s="1650">
        <f t="shared" si="50"/>
        <v>0</v>
      </c>
      <c r="F792" s="1650" t="str">
        <f t="shared" si="51"/>
        <v>0</v>
      </c>
      <c r="G792" s="1650" t="str">
        <f t="shared" si="52"/>
        <v>0</v>
      </c>
      <c r="H792" s="1468"/>
      <c r="I792" s="1462"/>
      <c r="J792" s="1531"/>
      <c r="K792" s="1462"/>
      <c r="L792" s="1462"/>
      <c r="M792" s="1493"/>
      <c r="N792" s="1462"/>
      <c r="O792" s="1462"/>
      <c r="P792" s="1462"/>
      <c r="Q792" s="1462"/>
      <c r="R792" s="1462"/>
      <c r="S792" s="1462"/>
      <c r="T792" s="1462"/>
      <c r="U792" s="1469">
        <v>23</v>
      </c>
      <c r="V792" s="1486" t="s">
        <v>33</v>
      </c>
      <c r="W792" s="1471" t="s">
        <v>1306</v>
      </c>
      <c r="X792" s="1472" t="s">
        <v>110</v>
      </c>
      <c r="Y792" s="1473" t="s">
        <v>1306</v>
      </c>
      <c r="Z792" s="1474" t="s">
        <v>1517</v>
      </c>
      <c r="AA792" s="1473" t="s">
        <v>1306</v>
      </c>
      <c r="AB792" s="1486" t="s">
        <v>352</v>
      </c>
      <c r="AC792" s="1499" t="s">
        <v>1366</v>
      </c>
      <c r="AD792" s="1500" t="s">
        <v>1387</v>
      </c>
      <c r="AE792" s="1501"/>
      <c r="AF792" s="1501"/>
      <c r="AG792" s="1457" t="str">
        <f t="shared" si="49"/>
        <v>23調査結果-避難施設等-5（32）-改善（予定）年月-年（令和）</v>
      </c>
      <c r="AI792" s="1459"/>
      <c r="AJ792" s="1459"/>
      <c r="AK792" s="1459"/>
    </row>
    <row r="793" spans="1:37" s="1457" customFormat="1" ht="18.75" customHeight="1" x14ac:dyDescent="0.15">
      <c r="A793" s="1578"/>
      <c r="B793" s="1462"/>
      <c r="C793" s="1462"/>
      <c r="D793" s="1460">
        <f>'1_入力シート【基本情報】'!$BV$467</f>
        <v>0</v>
      </c>
      <c r="E793" s="1650">
        <f t="shared" si="50"/>
        <v>0</v>
      </c>
      <c r="F793" s="1650" t="str">
        <f t="shared" si="51"/>
        <v>0</v>
      </c>
      <c r="G793" s="1650" t="str">
        <f t="shared" si="52"/>
        <v>0</v>
      </c>
      <c r="H793" s="1468"/>
      <c r="I793" s="1462"/>
      <c r="J793" s="1531"/>
      <c r="K793" s="1462"/>
      <c r="L793" s="1462"/>
      <c r="M793" s="1493"/>
      <c r="N793" s="1462"/>
      <c r="O793" s="1462"/>
      <c r="P793" s="1462"/>
      <c r="Q793" s="1462"/>
      <c r="R793" s="1462"/>
      <c r="S793" s="1462"/>
      <c r="T793" s="1462"/>
      <c r="U793" s="1469">
        <v>23</v>
      </c>
      <c r="V793" s="1486" t="s">
        <v>33</v>
      </c>
      <c r="W793" s="1471" t="s">
        <v>1306</v>
      </c>
      <c r="X793" s="1472" t="s">
        <v>110</v>
      </c>
      <c r="Y793" s="1473" t="s">
        <v>1306</v>
      </c>
      <c r="Z793" s="1474" t="s">
        <v>1517</v>
      </c>
      <c r="AA793" s="1473" t="s">
        <v>1306</v>
      </c>
      <c r="AB793" s="1486" t="s">
        <v>352</v>
      </c>
      <c r="AC793" s="1499" t="s">
        <v>1366</v>
      </c>
      <c r="AD793" s="1500" t="s">
        <v>348</v>
      </c>
      <c r="AE793" s="1501"/>
      <c r="AF793" s="1501"/>
      <c r="AG793" s="1457" t="str">
        <f t="shared" si="49"/>
        <v>23調査結果-避難施設等-5（32）-改善（予定）年月-月</v>
      </c>
      <c r="AI793" s="1459"/>
      <c r="AJ793" s="1459"/>
      <c r="AK793" s="1459"/>
    </row>
    <row r="794" spans="1:37" s="1457" customFormat="1" ht="18.75" customHeight="1" x14ac:dyDescent="0.15">
      <c r="A794" s="1578"/>
      <c r="B794" s="1462"/>
      <c r="C794" s="1462"/>
      <c r="D794" s="1460">
        <f>'1_入力シート【基本情報】'!$BY$467</f>
        <v>0</v>
      </c>
      <c r="E794" s="1650">
        <f t="shared" si="50"/>
        <v>0</v>
      </c>
      <c r="F794" s="1650" t="str">
        <f t="shared" si="51"/>
        <v>0</v>
      </c>
      <c r="G794" s="1650" t="str">
        <f t="shared" si="52"/>
        <v>0</v>
      </c>
      <c r="H794" s="1468"/>
      <c r="I794" s="1462"/>
      <c r="J794" s="1531"/>
      <c r="K794" s="1462"/>
      <c r="L794" s="1462"/>
      <c r="M794" s="1493"/>
      <c r="N794" s="1462"/>
      <c r="O794" s="1462"/>
      <c r="P794" s="1462"/>
      <c r="Q794" s="1462"/>
      <c r="R794" s="1462"/>
      <c r="S794" s="1462"/>
      <c r="T794" s="1462"/>
      <c r="U794" s="1469">
        <v>23</v>
      </c>
      <c r="V794" s="1486" t="s">
        <v>33</v>
      </c>
      <c r="W794" s="1471" t="s">
        <v>1306</v>
      </c>
      <c r="X794" s="1472" t="s">
        <v>110</v>
      </c>
      <c r="Y794" s="1473" t="s">
        <v>1306</v>
      </c>
      <c r="Z794" s="1474" t="s">
        <v>1517</v>
      </c>
      <c r="AA794" s="1473" t="s">
        <v>1306</v>
      </c>
      <c r="AB794" s="1470" t="s">
        <v>352</v>
      </c>
      <c r="AC794" s="1475" t="s">
        <v>1366</v>
      </c>
      <c r="AD794" s="1476" t="s">
        <v>640</v>
      </c>
      <c r="AE794" s="1501"/>
      <c r="AF794" s="1501"/>
      <c r="AG794" s="1457" t="str">
        <f t="shared" si="49"/>
        <v>23調査結果-避難施設等-5（32）-改善（予定）年月-未定</v>
      </c>
      <c r="AI794" s="1459"/>
      <c r="AJ794" s="1459"/>
      <c r="AK794" s="1459"/>
    </row>
    <row r="795" spans="1:37" s="1457" customFormat="1" ht="18.75" customHeight="1" x14ac:dyDescent="0.15">
      <c r="A795" s="1578"/>
      <c r="B795" s="1462"/>
      <c r="C795" s="1462"/>
      <c r="D795" s="1460">
        <f>'1_入力シート【基本情報】'!$AF$468</f>
        <v>0</v>
      </c>
      <c r="E795" s="1650">
        <f t="shared" si="50"/>
        <v>0</v>
      </c>
      <c r="F795" s="1650" t="str">
        <f t="shared" si="51"/>
        <v>0</v>
      </c>
      <c r="G795" s="1650" t="str">
        <f t="shared" si="52"/>
        <v>0</v>
      </c>
      <c r="H795" s="1468"/>
      <c r="I795" s="1462"/>
      <c r="J795" s="1531"/>
      <c r="K795" s="1462"/>
      <c r="L795" s="1462"/>
      <c r="M795" s="1493"/>
      <c r="N795" s="1462"/>
      <c r="O795" s="1462"/>
      <c r="P795" s="1462"/>
      <c r="Q795" s="1462"/>
      <c r="R795" s="1462"/>
      <c r="S795" s="1462"/>
      <c r="T795" s="1462"/>
      <c r="U795" s="1469">
        <v>23</v>
      </c>
      <c r="V795" s="1486" t="s">
        <v>33</v>
      </c>
      <c r="W795" s="1471" t="s">
        <v>1306</v>
      </c>
      <c r="X795" s="1472" t="s">
        <v>110</v>
      </c>
      <c r="Y795" s="1473" t="s">
        <v>1306</v>
      </c>
      <c r="Z795" s="1474" t="s">
        <v>1518</v>
      </c>
      <c r="AA795" s="1473" t="s">
        <v>1306</v>
      </c>
      <c r="AB795" s="1470" t="s">
        <v>33</v>
      </c>
      <c r="AC795" s="1499"/>
      <c r="AD795" s="1500"/>
      <c r="AE795" s="1501"/>
      <c r="AF795" s="1501"/>
      <c r="AG795" s="1457" t="str">
        <f t="shared" si="49"/>
        <v>23調査結果-避難施設等-5（33）-調査結果</v>
      </c>
      <c r="AI795" s="1459"/>
      <c r="AJ795" s="1459"/>
      <c r="AK795" s="1459"/>
    </row>
    <row r="796" spans="1:37" s="1457" customFormat="1" ht="18.75" customHeight="1" x14ac:dyDescent="0.15">
      <c r="A796" s="1578"/>
      <c r="B796" s="1462"/>
      <c r="C796" s="1462"/>
      <c r="D796" s="1460">
        <f>'1_入力シート【基本情報】'!$AR$468</f>
        <v>0</v>
      </c>
      <c r="E796" s="1650">
        <f t="shared" si="50"/>
        <v>0</v>
      </c>
      <c r="F796" s="1650" t="str">
        <f t="shared" si="51"/>
        <v>0</v>
      </c>
      <c r="G796" s="1650" t="str">
        <f t="shared" si="52"/>
        <v>0</v>
      </c>
      <c r="H796" s="1468"/>
      <c r="I796" s="1462"/>
      <c r="J796" s="1531"/>
      <c r="K796" s="1462"/>
      <c r="L796" s="1462"/>
      <c r="M796" s="1493"/>
      <c r="N796" s="1462"/>
      <c r="O796" s="1462"/>
      <c r="P796" s="1462"/>
      <c r="Q796" s="1462"/>
      <c r="R796" s="1462"/>
      <c r="S796" s="1462"/>
      <c r="T796" s="1462"/>
      <c r="U796" s="1469">
        <v>23</v>
      </c>
      <c r="V796" s="1486" t="s">
        <v>33</v>
      </c>
      <c r="W796" s="1471" t="s">
        <v>1306</v>
      </c>
      <c r="X796" s="1472" t="s">
        <v>110</v>
      </c>
      <c r="Y796" s="1473" t="s">
        <v>1306</v>
      </c>
      <c r="Z796" s="1474" t="s">
        <v>1518</v>
      </c>
      <c r="AA796" s="1473" t="s">
        <v>1306</v>
      </c>
      <c r="AB796" s="1470" t="s">
        <v>30</v>
      </c>
      <c r="AC796" s="1499"/>
      <c r="AD796" s="1500"/>
      <c r="AE796" s="1501"/>
      <c r="AF796" s="1501"/>
      <c r="AG796" s="1457" t="str">
        <f t="shared" si="49"/>
        <v>23調査結果-避難施設等-5（33）-調査者番号</v>
      </c>
      <c r="AI796" s="1459"/>
      <c r="AJ796" s="1459"/>
      <c r="AK796" s="1459"/>
    </row>
    <row r="797" spans="1:37" s="1457" customFormat="1" ht="18.75" customHeight="1" x14ac:dyDescent="0.15">
      <c r="A797" s="1578"/>
      <c r="B797" s="1462"/>
      <c r="C797" s="1462"/>
      <c r="D797" s="1460">
        <f>'1_入力シート【基本情報】'!$AT$468</f>
        <v>0</v>
      </c>
      <c r="E797" s="1650">
        <f t="shared" si="50"/>
        <v>0</v>
      </c>
      <c r="F797" s="1650" t="str">
        <f t="shared" si="51"/>
        <v>0</v>
      </c>
      <c r="G797" s="1650" t="str">
        <f t="shared" si="52"/>
        <v>0</v>
      </c>
      <c r="H797" s="1468"/>
      <c r="I797" s="1462"/>
      <c r="J797" s="1531"/>
      <c r="K797" s="1462"/>
      <c r="L797" s="1462"/>
      <c r="M797" s="1493"/>
      <c r="N797" s="1462"/>
      <c r="O797" s="1462"/>
      <c r="P797" s="1462"/>
      <c r="Q797" s="1462"/>
      <c r="R797" s="1462"/>
      <c r="S797" s="1462"/>
      <c r="T797" s="1462"/>
      <c r="U797" s="1469">
        <v>23</v>
      </c>
      <c r="V797" s="1486" t="s">
        <v>33</v>
      </c>
      <c r="W797" s="1471" t="s">
        <v>1306</v>
      </c>
      <c r="X797" s="1472" t="s">
        <v>110</v>
      </c>
      <c r="Y797" s="1473" t="s">
        <v>1306</v>
      </c>
      <c r="Z797" s="1474" t="s">
        <v>1518</v>
      </c>
      <c r="AA797" s="1473" t="s">
        <v>1306</v>
      </c>
      <c r="AB797" s="1470" t="s">
        <v>1402</v>
      </c>
      <c r="AC797" s="1499"/>
      <c r="AD797" s="1500"/>
      <c r="AE797" s="1477"/>
      <c r="AF797" s="1477"/>
      <c r="AG797" s="1457" t="str">
        <f t="shared" si="49"/>
        <v>23調査結果-避難施設等-5（33）-指摘の具体的内容等</v>
      </c>
      <c r="AI797" s="1459"/>
      <c r="AJ797" s="1459"/>
      <c r="AK797" s="1459"/>
    </row>
    <row r="798" spans="1:37" s="1457" customFormat="1" ht="18.75" customHeight="1" x14ac:dyDescent="0.15">
      <c r="A798" s="1578"/>
      <c r="B798" s="1462"/>
      <c r="C798" s="1462"/>
      <c r="D798" s="1460">
        <f>'1_入力シート【基本情報】'!$BD$468</f>
        <v>0</v>
      </c>
      <c r="E798" s="1650">
        <f t="shared" si="50"/>
        <v>0</v>
      </c>
      <c r="F798" s="1650" t="str">
        <f t="shared" si="51"/>
        <v>0</v>
      </c>
      <c r="G798" s="1650" t="str">
        <f t="shared" si="52"/>
        <v>0</v>
      </c>
      <c r="H798" s="1468"/>
      <c r="I798" s="1462"/>
      <c r="J798" s="1531"/>
      <c r="K798" s="1462"/>
      <c r="L798" s="1462"/>
      <c r="M798" s="1493"/>
      <c r="N798" s="1462"/>
      <c r="O798" s="1462"/>
      <c r="P798" s="1462"/>
      <c r="Q798" s="1462"/>
      <c r="R798" s="1462"/>
      <c r="S798" s="1462"/>
      <c r="T798" s="1462"/>
      <c r="U798" s="1469">
        <v>23</v>
      </c>
      <c r="V798" s="1486" t="s">
        <v>33</v>
      </c>
      <c r="W798" s="1471" t="s">
        <v>1306</v>
      </c>
      <c r="X798" s="1472" t="s">
        <v>110</v>
      </c>
      <c r="Y798" s="1473" t="s">
        <v>1306</v>
      </c>
      <c r="Z798" s="1474" t="s">
        <v>1518</v>
      </c>
      <c r="AA798" s="1473" t="s">
        <v>1306</v>
      </c>
      <c r="AB798" s="1470" t="s">
        <v>1403</v>
      </c>
      <c r="AC798" s="1499"/>
      <c r="AD798" s="1500"/>
      <c r="AE798" s="1501"/>
      <c r="AF798" s="1501"/>
      <c r="AG798" s="1457" t="str">
        <f t="shared" si="49"/>
        <v>23調査結果-避難施設等-5（33）-改善策の具体的内容等</v>
      </c>
      <c r="AI798" s="1459"/>
      <c r="AJ798" s="1459"/>
      <c r="AK798" s="1459"/>
    </row>
    <row r="799" spans="1:37" s="1457" customFormat="1" ht="18.75" customHeight="1" x14ac:dyDescent="0.15">
      <c r="A799" s="1578"/>
      <c r="B799" s="1462"/>
      <c r="C799" s="1462"/>
      <c r="D799" s="1460">
        <f>'1_入力シート【基本情報】'!$BS$468</f>
        <v>0</v>
      </c>
      <c r="E799" s="1650">
        <f t="shared" si="50"/>
        <v>0</v>
      </c>
      <c r="F799" s="1650" t="str">
        <f t="shared" si="51"/>
        <v>0</v>
      </c>
      <c r="G799" s="1650" t="str">
        <f t="shared" si="52"/>
        <v>0</v>
      </c>
      <c r="H799" s="1468"/>
      <c r="I799" s="1462"/>
      <c r="J799" s="1531"/>
      <c r="K799" s="1462"/>
      <c r="L799" s="1462"/>
      <c r="M799" s="1493"/>
      <c r="N799" s="1462"/>
      <c r="O799" s="1462"/>
      <c r="P799" s="1462"/>
      <c r="Q799" s="1462"/>
      <c r="R799" s="1462"/>
      <c r="S799" s="1462"/>
      <c r="T799" s="1462"/>
      <c r="U799" s="1469">
        <v>23</v>
      </c>
      <c r="V799" s="1486" t="s">
        <v>33</v>
      </c>
      <c r="W799" s="1471" t="s">
        <v>1306</v>
      </c>
      <c r="X799" s="1472" t="s">
        <v>110</v>
      </c>
      <c r="Y799" s="1473" t="s">
        <v>1306</v>
      </c>
      <c r="Z799" s="1474" t="s">
        <v>1518</v>
      </c>
      <c r="AA799" s="1473" t="s">
        <v>1306</v>
      </c>
      <c r="AB799" s="1486" t="s">
        <v>352</v>
      </c>
      <c r="AC799" s="1499" t="s">
        <v>1366</v>
      </c>
      <c r="AD799" s="1500" t="s">
        <v>1387</v>
      </c>
      <c r="AE799" s="1501"/>
      <c r="AF799" s="1501"/>
      <c r="AG799" s="1457" t="str">
        <f t="shared" si="49"/>
        <v>23調査結果-避難施設等-5（33）-改善（予定）年月-年（令和）</v>
      </c>
      <c r="AI799" s="1459"/>
      <c r="AJ799" s="1459"/>
      <c r="AK799" s="1459"/>
    </row>
    <row r="800" spans="1:37" s="1457" customFormat="1" ht="18.75" customHeight="1" x14ac:dyDescent="0.15">
      <c r="A800" s="1578"/>
      <c r="B800" s="1462"/>
      <c r="C800" s="1462"/>
      <c r="D800" s="1460">
        <f>'1_入力シート【基本情報】'!$BV$468</f>
        <v>0</v>
      </c>
      <c r="E800" s="1650">
        <f t="shared" si="50"/>
        <v>0</v>
      </c>
      <c r="F800" s="1650" t="str">
        <f t="shared" si="51"/>
        <v>0</v>
      </c>
      <c r="G800" s="1650" t="str">
        <f t="shared" si="52"/>
        <v>0</v>
      </c>
      <c r="H800" s="1468"/>
      <c r="I800" s="1462"/>
      <c r="J800" s="1531"/>
      <c r="K800" s="1462"/>
      <c r="L800" s="1462"/>
      <c r="M800" s="1493"/>
      <c r="N800" s="1462"/>
      <c r="O800" s="1462"/>
      <c r="P800" s="1462"/>
      <c r="Q800" s="1462"/>
      <c r="R800" s="1462"/>
      <c r="S800" s="1462"/>
      <c r="T800" s="1462"/>
      <c r="U800" s="1469">
        <v>23</v>
      </c>
      <c r="V800" s="1486" t="s">
        <v>33</v>
      </c>
      <c r="W800" s="1471" t="s">
        <v>1306</v>
      </c>
      <c r="X800" s="1472" t="s">
        <v>110</v>
      </c>
      <c r="Y800" s="1473" t="s">
        <v>1306</v>
      </c>
      <c r="Z800" s="1474" t="s">
        <v>1518</v>
      </c>
      <c r="AA800" s="1473" t="s">
        <v>1306</v>
      </c>
      <c r="AB800" s="1486" t="s">
        <v>352</v>
      </c>
      <c r="AC800" s="1499" t="s">
        <v>1366</v>
      </c>
      <c r="AD800" s="1500" t="s">
        <v>348</v>
      </c>
      <c r="AE800" s="1501"/>
      <c r="AF800" s="1501"/>
      <c r="AG800" s="1457" t="str">
        <f t="shared" si="49"/>
        <v>23調査結果-避難施設等-5（33）-改善（予定）年月-月</v>
      </c>
      <c r="AI800" s="1459"/>
      <c r="AJ800" s="1459"/>
      <c r="AK800" s="1459"/>
    </row>
    <row r="801" spans="1:37" s="1457" customFormat="1" ht="18.75" customHeight="1" x14ac:dyDescent="0.15">
      <c r="A801" s="1578"/>
      <c r="B801" s="1462"/>
      <c r="C801" s="1462"/>
      <c r="D801" s="1460">
        <f>'1_入力シート【基本情報】'!$BY$468</f>
        <v>0</v>
      </c>
      <c r="E801" s="1650">
        <f t="shared" si="50"/>
        <v>0</v>
      </c>
      <c r="F801" s="1650" t="str">
        <f t="shared" si="51"/>
        <v>0</v>
      </c>
      <c r="G801" s="1650" t="str">
        <f t="shared" si="52"/>
        <v>0</v>
      </c>
      <c r="H801" s="1468"/>
      <c r="I801" s="1462"/>
      <c r="J801" s="1531"/>
      <c r="K801" s="1462"/>
      <c r="L801" s="1462"/>
      <c r="M801" s="1493"/>
      <c r="N801" s="1462"/>
      <c r="O801" s="1462"/>
      <c r="P801" s="1462"/>
      <c r="Q801" s="1462"/>
      <c r="R801" s="1462"/>
      <c r="S801" s="1462"/>
      <c r="T801" s="1462"/>
      <c r="U801" s="1469">
        <v>23</v>
      </c>
      <c r="V801" s="1486" t="s">
        <v>33</v>
      </c>
      <c r="W801" s="1471" t="s">
        <v>1306</v>
      </c>
      <c r="X801" s="1472" t="s">
        <v>110</v>
      </c>
      <c r="Y801" s="1473" t="s">
        <v>1306</v>
      </c>
      <c r="Z801" s="1474" t="s">
        <v>1518</v>
      </c>
      <c r="AA801" s="1473" t="s">
        <v>1306</v>
      </c>
      <c r="AB801" s="1486" t="s">
        <v>352</v>
      </c>
      <c r="AC801" s="1499" t="s">
        <v>1366</v>
      </c>
      <c r="AD801" s="1500" t="s">
        <v>640</v>
      </c>
      <c r="AE801" s="1501"/>
      <c r="AF801" s="1501"/>
      <c r="AG801" s="1457" t="str">
        <f t="shared" si="49"/>
        <v>23調査結果-避難施設等-5（33）-改善（予定）年月-未定</v>
      </c>
      <c r="AI801" s="1459"/>
      <c r="AJ801" s="1459"/>
      <c r="AK801" s="1459"/>
    </row>
    <row r="802" spans="1:37" s="1457" customFormat="1" ht="18.75" customHeight="1" x14ac:dyDescent="0.15">
      <c r="A802" s="1578"/>
      <c r="B802" s="1462"/>
      <c r="C802" s="1462"/>
      <c r="D802" s="1460">
        <f>'1_入力シート【基本情報】'!$AF$478</f>
        <v>0</v>
      </c>
      <c r="E802" s="1650">
        <f t="shared" ref="E802:E859" si="53">D802</f>
        <v>0</v>
      </c>
      <c r="F802" s="1650" t="str">
        <f t="shared" ref="F802:F859" si="54">SUBSTITUTE(E802,CHAR(10),"")</f>
        <v>0</v>
      </c>
      <c r="G802" s="1650" t="str">
        <f t="shared" ref="G802:G859" si="55">TRIM(F802)</f>
        <v>0</v>
      </c>
      <c r="H802" s="1468"/>
      <c r="I802" s="1462"/>
      <c r="J802" s="1531"/>
      <c r="K802" s="1462"/>
      <c r="L802" s="1462"/>
      <c r="M802" s="1493"/>
      <c r="N802" s="1462"/>
      <c r="O802" s="1462"/>
      <c r="P802" s="1462"/>
      <c r="Q802" s="1462"/>
      <c r="R802" s="1462"/>
      <c r="S802" s="1462"/>
      <c r="T802" s="1462"/>
      <c r="U802" s="1469">
        <v>23</v>
      </c>
      <c r="V802" s="1486" t="s">
        <v>33</v>
      </c>
      <c r="W802" s="1471" t="s">
        <v>1306</v>
      </c>
      <c r="X802" s="1472" t="s">
        <v>137</v>
      </c>
      <c r="Y802" s="1473" t="s">
        <v>1306</v>
      </c>
      <c r="Z802" s="1474" t="s">
        <v>1519</v>
      </c>
      <c r="AA802" s="1473" t="s">
        <v>1306</v>
      </c>
      <c r="AB802" s="1470" t="s">
        <v>33</v>
      </c>
      <c r="AC802" s="1499"/>
      <c r="AD802" s="1500"/>
      <c r="AE802" s="1501"/>
      <c r="AF802" s="1501"/>
      <c r="AG802" s="1457" t="str">
        <f t="shared" ref="AG802:AG843" si="56">CONCATENATE(U802,V802,W802,X802,Y802,Z802,AA802,AB802,AC802,AD802)</f>
        <v>23調査結果-その他-6（1）-調査結果</v>
      </c>
      <c r="AI802" s="1459"/>
      <c r="AJ802" s="1459"/>
      <c r="AK802" s="1459"/>
    </row>
    <row r="803" spans="1:37" s="1457" customFormat="1" ht="18.75" customHeight="1" x14ac:dyDescent="0.15">
      <c r="A803" s="1578"/>
      <c r="B803" s="1462"/>
      <c r="C803" s="1462"/>
      <c r="D803" s="1460">
        <f>'1_入力シート【基本情報】'!$AR$478</f>
        <v>0</v>
      </c>
      <c r="E803" s="1650">
        <f t="shared" si="53"/>
        <v>0</v>
      </c>
      <c r="F803" s="1650" t="str">
        <f t="shared" si="54"/>
        <v>0</v>
      </c>
      <c r="G803" s="1650" t="str">
        <f t="shared" si="55"/>
        <v>0</v>
      </c>
      <c r="H803" s="1468"/>
      <c r="I803" s="1462"/>
      <c r="J803" s="1531"/>
      <c r="K803" s="1462"/>
      <c r="L803" s="1462"/>
      <c r="M803" s="1493"/>
      <c r="N803" s="1462"/>
      <c r="O803" s="1462"/>
      <c r="P803" s="1462"/>
      <c r="Q803" s="1462"/>
      <c r="R803" s="1462"/>
      <c r="S803" s="1462"/>
      <c r="T803" s="1462"/>
      <c r="U803" s="1469">
        <v>23</v>
      </c>
      <c r="V803" s="1486" t="s">
        <v>33</v>
      </c>
      <c r="W803" s="1471" t="s">
        <v>1306</v>
      </c>
      <c r="X803" s="1472" t="s">
        <v>137</v>
      </c>
      <c r="Y803" s="1473" t="s">
        <v>1306</v>
      </c>
      <c r="Z803" s="1474" t="s">
        <v>1519</v>
      </c>
      <c r="AA803" s="1473" t="s">
        <v>1306</v>
      </c>
      <c r="AB803" s="1470" t="s">
        <v>30</v>
      </c>
      <c r="AC803" s="1499"/>
      <c r="AD803" s="1500"/>
      <c r="AE803" s="1501"/>
      <c r="AF803" s="1501"/>
      <c r="AG803" s="1457" t="str">
        <f t="shared" si="56"/>
        <v>23調査結果-その他-6（1）-調査者番号</v>
      </c>
      <c r="AI803" s="1459"/>
      <c r="AJ803" s="1459"/>
      <c r="AK803" s="1459"/>
    </row>
    <row r="804" spans="1:37" s="1457" customFormat="1" ht="18.75" customHeight="1" x14ac:dyDescent="0.15">
      <c r="A804" s="1578"/>
      <c r="B804" s="1462"/>
      <c r="C804" s="1462"/>
      <c r="D804" s="1460">
        <f>'1_入力シート【基本情報】'!$AT$478</f>
        <v>0</v>
      </c>
      <c r="E804" s="1650">
        <f t="shared" si="53"/>
        <v>0</v>
      </c>
      <c r="F804" s="1650" t="str">
        <f t="shared" si="54"/>
        <v>0</v>
      </c>
      <c r="G804" s="1650" t="str">
        <f t="shared" si="55"/>
        <v>0</v>
      </c>
      <c r="H804" s="1468"/>
      <c r="I804" s="1462"/>
      <c r="J804" s="1531"/>
      <c r="K804" s="1462"/>
      <c r="L804" s="1462"/>
      <c r="M804" s="1493"/>
      <c r="N804" s="1462"/>
      <c r="O804" s="1462"/>
      <c r="P804" s="1462"/>
      <c r="Q804" s="1462"/>
      <c r="R804" s="1462"/>
      <c r="S804" s="1462"/>
      <c r="T804" s="1462"/>
      <c r="U804" s="1469">
        <v>23</v>
      </c>
      <c r="V804" s="1486" t="s">
        <v>33</v>
      </c>
      <c r="W804" s="1471" t="s">
        <v>1306</v>
      </c>
      <c r="X804" s="1472" t="s">
        <v>137</v>
      </c>
      <c r="Y804" s="1473" t="s">
        <v>1306</v>
      </c>
      <c r="Z804" s="1474" t="s">
        <v>1519</v>
      </c>
      <c r="AA804" s="1473" t="s">
        <v>1306</v>
      </c>
      <c r="AB804" s="1470" t="s">
        <v>1402</v>
      </c>
      <c r="AC804" s="1499"/>
      <c r="AD804" s="1500"/>
      <c r="AE804" s="1477"/>
      <c r="AF804" s="1477"/>
      <c r="AG804" s="1457" t="str">
        <f t="shared" si="56"/>
        <v>23調査結果-その他-6（1）-指摘の具体的内容等</v>
      </c>
      <c r="AI804" s="1459"/>
      <c r="AJ804" s="1459"/>
      <c r="AK804" s="1459"/>
    </row>
    <row r="805" spans="1:37" s="1457" customFormat="1" ht="18.75" customHeight="1" x14ac:dyDescent="0.15">
      <c r="A805" s="1578"/>
      <c r="B805" s="1462"/>
      <c r="C805" s="1462"/>
      <c r="D805" s="1460">
        <f>'1_入力シート【基本情報】'!$BD$478</f>
        <v>0</v>
      </c>
      <c r="E805" s="1650">
        <f t="shared" si="53"/>
        <v>0</v>
      </c>
      <c r="F805" s="1650" t="str">
        <f t="shared" si="54"/>
        <v>0</v>
      </c>
      <c r="G805" s="1650" t="str">
        <f t="shared" si="55"/>
        <v>0</v>
      </c>
      <c r="H805" s="1468"/>
      <c r="I805" s="1462"/>
      <c r="J805" s="1531"/>
      <c r="K805" s="1462"/>
      <c r="L805" s="1462"/>
      <c r="M805" s="1493"/>
      <c r="N805" s="1462"/>
      <c r="O805" s="1462"/>
      <c r="P805" s="1462"/>
      <c r="Q805" s="1462"/>
      <c r="R805" s="1462"/>
      <c r="S805" s="1462"/>
      <c r="T805" s="1462"/>
      <c r="U805" s="1469">
        <v>23</v>
      </c>
      <c r="V805" s="1486" t="s">
        <v>33</v>
      </c>
      <c r="W805" s="1471" t="s">
        <v>1306</v>
      </c>
      <c r="X805" s="1472" t="s">
        <v>137</v>
      </c>
      <c r="Y805" s="1473" t="s">
        <v>1306</v>
      </c>
      <c r="Z805" s="1474" t="s">
        <v>1519</v>
      </c>
      <c r="AA805" s="1473" t="s">
        <v>1306</v>
      </c>
      <c r="AB805" s="1470" t="s">
        <v>1403</v>
      </c>
      <c r="AC805" s="1499"/>
      <c r="AD805" s="1500"/>
      <c r="AE805" s="1501"/>
      <c r="AF805" s="1501"/>
      <c r="AG805" s="1457" t="str">
        <f t="shared" si="56"/>
        <v>23調査結果-その他-6（1）-改善策の具体的内容等</v>
      </c>
      <c r="AI805" s="1459"/>
      <c r="AJ805" s="1459"/>
      <c r="AK805" s="1459"/>
    </row>
    <row r="806" spans="1:37" s="1457" customFormat="1" ht="18.75" customHeight="1" x14ac:dyDescent="0.15">
      <c r="A806" s="1578"/>
      <c r="B806" s="1462"/>
      <c r="C806" s="1462"/>
      <c r="D806" s="1460">
        <f>'1_入力シート【基本情報】'!$BS$478</f>
        <v>0</v>
      </c>
      <c r="E806" s="1650">
        <f t="shared" si="53"/>
        <v>0</v>
      </c>
      <c r="F806" s="1650" t="str">
        <f t="shared" si="54"/>
        <v>0</v>
      </c>
      <c r="G806" s="1650" t="str">
        <f t="shared" si="55"/>
        <v>0</v>
      </c>
      <c r="H806" s="1468"/>
      <c r="I806" s="1462"/>
      <c r="J806" s="1531"/>
      <c r="K806" s="1462"/>
      <c r="L806" s="1462"/>
      <c r="M806" s="1493"/>
      <c r="N806" s="1462"/>
      <c r="O806" s="1462"/>
      <c r="P806" s="1462"/>
      <c r="Q806" s="1462"/>
      <c r="R806" s="1462"/>
      <c r="S806" s="1462"/>
      <c r="T806" s="1462"/>
      <c r="U806" s="1469">
        <v>23</v>
      </c>
      <c r="V806" s="1486" t="s">
        <v>33</v>
      </c>
      <c r="W806" s="1471" t="s">
        <v>1306</v>
      </c>
      <c r="X806" s="1472" t="s">
        <v>137</v>
      </c>
      <c r="Y806" s="1473" t="s">
        <v>1306</v>
      </c>
      <c r="Z806" s="1474" t="s">
        <v>1519</v>
      </c>
      <c r="AA806" s="1473" t="s">
        <v>1306</v>
      </c>
      <c r="AB806" s="1486" t="s">
        <v>352</v>
      </c>
      <c r="AC806" s="1499" t="s">
        <v>1366</v>
      </c>
      <c r="AD806" s="1500" t="s">
        <v>1387</v>
      </c>
      <c r="AE806" s="1501"/>
      <c r="AF806" s="1501"/>
      <c r="AG806" s="1457" t="str">
        <f t="shared" si="56"/>
        <v>23調査結果-その他-6（1）-改善（予定）年月-年（令和）</v>
      </c>
      <c r="AI806" s="1459"/>
      <c r="AJ806" s="1459"/>
      <c r="AK806" s="1459"/>
    </row>
    <row r="807" spans="1:37" s="1457" customFormat="1" ht="18.75" customHeight="1" x14ac:dyDescent="0.15">
      <c r="A807" s="1578"/>
      <c r="B807" s="1462"/>
      <c r="C807" s="1462"/>
      <c r="D807" s="1460">
        <f>'1_入力シート【基本情報】'!$BV$478</f>
        <v>0</v>
      </c>
      <c r="E807" s="1650">
        <f t="shared" si="53"/>
        <v>0</v>
      </c>
      <c r="F807" s="1650" t="str">
        <f t="shared" si="54"/>
        <v>0</v>
      </c>
      <c r="G807" s="1650" t="str">
        <f t="shared" si="55"/>
        <v>0</v>
      </c>
      <c r="H807" s="1468"/>
      <c r="I807" s="1462"/>
      <c r="J807" s="1531"/>
      <c r="K807" s="1462"/>
      <c r="L807" s="1462"/>
      <c r="M807" s="1493"/>
      <c r="N807" s="1462"/>
      <c r="O807" s="1462"/>
      <c r="P807" s="1462"/>
      <c r="Q807" s="1462"/>
      <c r="R807" s="1462"/>
      <c r="S807" s="1462"/>
      <c r="T807" s="1462"/>
      <c r="U807" s="1469">
        <v>23</v>
      </c>
      <c r="V807" s="1486" t="s">
        <v>33</v>
      </c>
      <c r="W807" s="1471" t="s">
        <v>1306</v>
      </c>
      <c r="X807" s="1472" t="s">
        <v>137</v>
      </c>
      <c r="Y807" s="1473" t="s">
        <v>1306</v>
      </c>
      <c r="Z807" s="1474" t="s">
        <v>1519</v>
      </c>
      <c r="AA807" s="1473" t="s">
        <v>1306</v>
      </c>
      <c r="AB807" s="1486" t="s">
        <v>352</v>
      </c>
      <c r="AC807" s="1499" t="s">
        <v>1366</v>
      </c>
      <c r="AD807" s="1500" t="s">
        <v>348</v>
      </c>
      <c r="AE807" s="1501"/>
      <c r="AF807" s="1501"/>
      <c r="AG807" s="1457" t="str">
        <f t="shared" si="56"/>
        <v>23調査結果-その他-6（1）-改善（予定）年月-月</v>
      </c>
      <c r="AI807" s="1459"/>
      <c r="AJ807" s="1459"/>
      <c r="AK807" s="1459"/>
    </row>
    <row r="808" spans="1:37" s="1457" customFormat="1" ht="18.75" customHeight="1" x14ac:dyDescent="0.15">
      <c r="A808" s="1578"/>
      <c r="B808" s="1462"/>
      <c r="C808" s="1462"/>
      <c r="D808" s="1460">
        <f>'1_入力シート【基本情報】'!$BY$478</f>
        <v>0</v>
      </c>
      <c r="E808" s="1650">
        <f t="shared" si="53"/>
        <v>0</v>
      </c>
      <c r="F808" s="1650" t="str">
        <f t="shared" si="54"/>
        <v>0</v>
      </c>
      <c r="G808" s="1650" t="str">
        <f t="shared" si="55"/>
        <v>0</v>
      </c>
      <c r="H808" s="1468"/>
      <c r="I808" s="1462"/>
      <c r="J808" s="1531"/>
      <c r="K808" s="1462"/>
      <c r="L808" s="1462"/>
      <c r="M808" s="1493"/>
      <c r="N808" s="1462"/>
      <c r="O808" s="1462"/>
      <c r="P808" s="1462"/>
      <c r="Q808" s="1462"/>
      <c r="R808" s="1462"/>
      <c r="S808" s="1462"/>
      <c r="T808" s="1462"/>
      <c r="U808" s="1469">
        <v>23</v>
      </c>
      <c r="V808" s="1486" t="s">
        <v>33</v>
      </c>
      <c r="W808" s="1471" t="s">
        <v>1306</v>
      </c>
      <c r="X808" s="1472" t="s">
        <v>137</v>
      </c>
      <c r="Y808" s="1473" t="s">
        <v>1306</v>
      </c>
      <c r="Z808" s="1474" t="s">
        <v>1519</v>
      </c>
      <c r="AA808" s="1473" t="s">
        <v>1306</v>
      </c>
      <c r="AB808" s="1486" t="s">
        <v>352</v>
      </c>
      <c r="AC808" s="1499" t="s">
        <v>1366</v>
      </c>
      <c r="AD808" s="1500" t="s">
        <v>640</v>
      </c>
      <c r="AE808" s="1501"/>
      <c r="AF808" s="1501"/>
      <c r="AG808" s="1457" t="str">
        <f t="shared" si="56"/>
        <v>23調査結果-その他-6（1）-改善（予定）年月-未定</v>
      </c>
      <c r="AI808" s="1459"/>
      <c r="AJ808" s="1459"/>
      <c r="AK808" s="1459"/>
    </row>
    <row r="809" spans="1:37" s="1457" customFormat="1" ht="18.75" customHeight="1" x14ac:dyDescent="0.15">
      <c r="A809" s="1578"/>
      <c r="B809" s="1462"/>
      <c r="C809" s="1462"/>
      <c r="D809" s="1460">
        <f>'1_入力シート【基本情報】'!$AF$479</f>
        <v>0</v>
      </c>
      <c r="E809" s="1650">
        <f t="shared" si="53"/>
        <v>0</v>
      </c>
      <c r="F809" s="1650" t="str">
        <f t="shared" si="54"/>
        <v>0</v>
      </c>
      <c r="G809" s="1650" t="str">
        <f t="shared" si="55"/>
        <v>0</v>
      </c>
      <c r="H809" s="1468"/>
      <c r="I809" s="1462"/>
      <c r="J809" s="1531"/>
      <c r="K809" s="1462"/>
      <c r="L809" s="1462"/>
      <c r="M809" s="1493"/>
      <c r="N809" s="1462"/>
      <c r="O809" s="1462"/>
      <c r="P809" s="1462"/>
      <c r="Q809" s="1462"/>
      <c r="R809" s="1462"/>
      <c r="S809" s="1462"/>
      <c r="T809" s="1462"/>
      <c r="U809" s="1469">
        <v>23</v>
      </c>
      <c r="V809" s="1486" t="s">
        <v>33</v>
      </c>
      <c r="W809" s="1471" t="s">
        <v>1306</v>
      </c>
      <c r="X809" s="1472" t="s">
        <v>137</v>
      </c>
      <c r="Y809" s="1473" t="s">
        <v>1306</v>
      </c>
      <c r="Z809" s="1474" t="s">
        <v>1520</v>
      </c>
      <c r="AA809" s="1473" t="s">
        <v>1306</v>
      </c>
      <c r="AB809" s="1470" t="s">
        <v>33</v>
      </c>
      <c r="AC809" s="1475"/>
      <c r="AD809" s="1476"/>
      <c r="AE809" s="1501"/>
      <c r="AF809" s="1501"/>
      <c r="AG809" s="1457" t="str">
        <f t="shared" si="56"/>
        <v>23調査結果-その他-6（2）-調査結果</v>
      </c>
      <c r="AI809" s="1459"/>
      <c r="AJ809" s="1459"/>
      <c r="AK809" s="1459"/>
    </row>
    <row r="810" spans="1:37" s="1457" customFormat="1" ht="18.75" customHeight="1" x14ac:dyDescent="0.15">
      <c r="A810" s="1578"/>
      <c r="B810" s="1462"/>
      <c r="C810" s="1462"/>
      <c r="D810" s="1460">
        <f>'1_入力シート【基本情報】'!$AR$479</f>
        <v>0</v>
      </c>
      <c r="E810" s="1650">
        <f t="shared" si="53"/>
        <v>0</v>
      </c>
      <c r="F810" s="1650" t="str">
        <f t="shared" si="54"/>
        <v>0</v>
      </c>
      <c r="G810" s="1650" t="str">
        <f t="shared" si="55"/>
        <v>0</v>
      </c>
      <c r="H810" s="1468"/>
      <c r="I810" s="1462"/>
      <c r="J810" s="1531"/>
      <c r="K810" s="1462"/>
      <c r="L810" s="1462"/>
      <c r="M810" s="1493"/>
      <c r="N810" s="1462"/>
      <c r="O810" s="1462"/>
      <c r="P810" s="1462"/>
      <c r="Q810" s="1462"/>
      <c r="R810" s="1462"/>
      <c r="S810" s="1462"/>
      <c r="T810" s="1462"/>
      <c r="U810" s="1469">
        <v>23</v>
      </c>
      <c r="V810" s="1486" t="s">
        <v>33</v>
      </c>
      <c r="W810" s="1471" t="s">
        <v>1306</v>
      </c>
      <c r="X810" s="1472" t="s">
        <v>137</v>
      </c>
      <c r="Y810" s="1473" t="s">
        <v>1306</v>
      </c>
      <c r="Z810" s="1474" t="s">
        <v>1520</v>
      </c>
      <c r="AA810" s="1473" t="s">
        <v>1306</v>
      </c>
      <c r="AB810" s="1470" t="s">
        <v>30</v>
      </c>
      <c r="AC810" s="1499"/>
      <c r="AD810" s="1500"/>
      <c r="AE810" s="1501"/>
      <c r="AF810" s="1501"/>
      <c r="AG810" s="1457" t="str">
        <f t="shared" si="56"/>
        <v>23調査結果-その他-6（2）-調査者番号</v>
      </c>
      <c r="AI810" s="1459"/>
      <c r="AJ810" s="1459"/>
      <c r="AK810" s="1459"/>
    </row>
    <row r="811" spans="1:37" s="1457" customFormat="1" ht="18.75" customHeight="1" x14ac:dyDescent="0.15">
      <c r="A811" s="1578"/>
      <c r="B811" s="1462"/>
      <c r="C811" s="1462"/>
      <c r="D811" s="1460">
        <f>'1_入力シート【基本情報】'!$AT$479</f>
        <v>0</v>
      </c>
      <c r="E811" s="1650">
        <f t="shared" si="53"/>
        <v>0</v>
      </c>
      <c r="F811" s="1650" t="str">
        <f t="shared" si="54"/>
        <v>0</v>
      </c>
      <c r="G811" s="1650" t="str">
        <f t="shared" si="55"/>
        <v>0</v>
      </c>
      <c r="H811" s="1468"/>
      <c r="I811" s="1462"/>
      <c r="J811" s="1531"/>
      <c r="K811" s="1462"/>
      <c r="L811" s="1462"/>
      <c r="M811" s="1493"/>
      <c r="N811" s="1462"/>
      <c r="O811" s="1462"/>
      <c r="P811" s="1462"/>
      <c r="Q811" s="1462"/>
      <c r="R811" s="1462"/>
      <c r="S811" s="1462"/>
      <c r="T811" s="1462"/>
      <c r="U811" s="1469">
        <v>23</v>
      </c>
      <c r="V811" s="1486" t="s">
        <v>33</v>
      </c>
      <c r="W811" s="1471" t="s">
        <v>1306</v>
      </c>
      <c r="X811" s="1472" t="s">
        <v>137</v>
      </c>
      <c r="Y811" s="1473" t="s">
        <v>1306</v>
      </c>
      <c r="Z811" s="1474" t="s">
        <v>1520</v>
      </c>
      <c r="AA811" s="1473" t="s">
        <v>1306</v>
      </c>
      <c r="AB811" s="1470" t="s">
        <v>1402</v>
      </c>
      <c r="AC811" s="1499"/>
      <c r="AD811" s="1500"/>
      <c r="AE811" s="1501"/>
      <c r="AF811" s="1501"/>
      <c r="AG811" s="1457" t="str">
        <f t="shared" si="56"/>
        <v>23調査結果-その他-6（2）-指摘の具体的内容等</v>
      </c>
      <c r="AI811" s="1459"/>
      <c r="AJ811" s="1459"/>
      <c r="AK811" s="1459"/>
    </row>
    <row r="812" spans="1:37" s="1457" customFormat="1" ht="18.75" customHeight="1" x14ac:dyDescent="0.15">
      <c r="A812" s="1578"/>
      <c r="B812" s="1462"/>
      <c r="C812" s="1462"/>
      <c r="D812" s="1460">
        <f>'1_入力シート【基本情報】'!$BD$479</f>
        <v>0</v>
      </c>
      <c r="E812" s="1650">
        <f t="shared" si="53"/>
        <v>0</v>
      </c>
      <c r="F812" s="1650" t="str">
        <f t="shared" si="54"/>
        <v>0</v>
      </c>
      <c r="G812" s="1650" t="str">
        <f t="shared" si="55"/>
        <v>0</v>
      </c>
      <c r="H812" s="1468"/>
      <c r="I812" s="1462"/>
      <c r="J812" s="1531"/>
      <c r="K812" s="1462"/>
      <c r="L812" s="1462"/>
      <c r="M812" s="1493"/>
      <c r="N812" s="1462"/>
      <c r="O812" s="1462"/>
      <c r="P812" s="1462"/>
      <c r="Q812" s="1462"/>
      <c r="R812" s="1462"/>
      <c r="S812" s="1462"/>
      <c r="T812" s="1462"/>
      <c r="U812" s="1469">
        <v>23</v>
      </c>
      <c r="V812" s="1486" t="s">
        <v>33</v>
      </c>
      <c r="W812" s="1471" t="s">
        <v>1306</v>
      </c>
      <c r="X812" s="1472" t="s">
        <v>137</v>
      </c>
      <c r="Y812" s="1473" t="s">
        <v>1306</v>
      </c>
      <c r="Z812" s="1474" t="s">
        <v>1520</v>
      </c>
      <c r="AA812" s="1473" t="s">
        <v>1306</v>
      </c>
      <c r="AB812" s="1470" t="s">
        <v>1403</v>
      </c>
      <c r="AC812" s="1499"/>
      <c r="AD812" s="1500"/>
      <c r="AE812" s="1477"/>
      <c r="AF812" s="1477"/>
      <c r="AG812" s="1457" t="str">
        <f t="shared" si="56"/>
        <v>23調査結果-その他-6（2）-改善策の具体的内容等</v>
      </c>
      <c r="AI812" s="1459"/>
      <c r="AJ812" s="1459"/>
      <c r="AK812" s="1459"/>
    </row>
    <row r="813" spans="1:37" s="1457" customFormat="1" ht="18.75" customHeight="1" x14ac:dyDescent="0.15">
      <c r="A813" s="1578"/>
      <c r="B813" s="1462"/>
      <c r="C813" s="1462"/>
      <c r="D813" s="1460">
        <f>'1_入力シート【基本情報】'!$BS$479</f>
        <v>0</v>
      </c>
      <c r="E813" s="1650">
        <f t="shared" si="53"/>
        <v>0</v>
      </c>
      <c r="F813" s="1650" t="str">
        <f t="shared" si="54"/>
        <v>0</v>
      </c>
      <c r="G813" s="1650" t="str">
        <f t="shared" si="55"/>
        <v>0</v>
      </c>
      <c r="H813" s="1468"/>
      <c r="I813" s="1462"/>
      <c r="J813" s="1531"/>
      <c r="K813" s="1462"/>
      <c r="L813" s="1462"/>
      <c r="M813" s="1493"/>
      <c r="N813" s="1462"/>
      <c r="O813" s="1462"/>
      <c r="P813" s="1462"/>
      <c r="Q813" s="1462"/>
      <c r="R813" s="1462"/>
      <c r="S813" s="1462"/>
      <c r="T813" s="1462"/>
      <c r="U813" s="1469">
        <v>23</v>
      </c>
      <c r="V813" s="1486" t="s">
        <v>33</v>
      </c>
      <c r="W813" s="1471" t="s">
        <v>1306</v>
      </c>
      <c r="X813" s="1472" t="s">
        <v>137</v>
      </c>
      <c r="Y813" s="1473" t="s">
        <v>1306</v>
      </c>
      <c r="Z813" s="1474" t="s">
        <v>1520</v>
      </c>
      <c r="AA813" s="1473" t="s">
        <v>1306</v>
      </c>
      <c r="AB813" s="1470" t="s">
        <v>352</v>
      </c>
      <c r="AC813" s="1499" t="s">
        <v>1366</v>
      </c>
      <c r="AD813" s="1500" t="s">
        <v>1387</v>
      </c>
      <c r="AE813" s="1501"/>
      <c r="AF813" s="1501"/>
      <c r="AG813" s="1457" t="str">
        <f t="shared" si="56"/>
        <v>23調査結果-その他-6（2）-改善（予定）年月-年（令和）</v>
      </c>
      <c r="AI813" s="1459"/>
      <c r="AJ813" s="1459"/>
      <c r="AK813" s="1459"/>
    </row>
    <row r="814" spans="1:37" s="1457" customFormat="1" ht="18.75" customHeight="1" x14ac:dyDescent="0.15">
      <c r="A814" s="1578"/>
      <c r="B814" s="1462"/>
      <c r="C814" s="1462"/>
      <c r="D814" s="1460">
        <f>'1_入力シート【基本情報】'!$BV$479</f>
        <v>0</v>
      </c>
      <c r="E814" s="1650">
        <f t="shared" si="53"/>
        <v>0</v>
      </c>
      <c r="F814" s="1650" t="str">
        <f t="shared" si="54"/>
        <v>0</v>
      </c>
      <c r="G814" s="1650" t="str">
        <f t="shared" si="55"/>
        <v>0</v>
      </c>
      <c r="H814" s="1468"/>
      <c r="I814" s="1462"/>
      <c r="J814" s="1531"/>
      <c r="K814" s="1462"/>
      <c r="L814" s="1462"/>
      <c r="M814" s="1493"/>
      <c r="N814" s="1462"/>
      <c r="O814" s="1462"/>
      <c r="P814" s="1462"/>
      <c r="Q814" s="1462"/>
      <c r="R814" s="1462"/>
      <c r="S814" s="1462"/>
      <c r="T814" s="1462"/>
      <c r="U814" s="1469">
        <v>23</v>
      </c>
      <c r="V814" s="1486" t="s">
        <v>33</v>
      </c>
      <c r="W814" s="1471" t="s">
        <v>1306</v>
      </c>
      <c r="X814" s="1472" t="s">
        <v>137</v>
      </c>
      <c r="Y814" s="1473" t="s">
        <v>1306</v>
      </c>
      <c r="Z814" s="1474" t="s">
        <v>1520</v>
      </c>
      <c r="AA814" s="1473" t="s">
        <v>1306</v>
      </c>
      <c r="AB814" s="1486" t="s">
        <v>352</v>
      </c>
      <c r="AC814" s="1499" t="s">
        <v>1366</v>
      </c>
      <c r="AD814" s="1500" t="s">
        <v>348</v>
      </c>
      <c r="AE814" s="1501"/>
      <c r="AF814" s="1501"/>
      <c r="AG814" s="1457" t="str">
        <f t="shared" si="56"/>
        <v>23調査結果-その他-6（2）-改善（予定）年月-月</v>
      </c>
      <c r="AI814" s="1459"/>
      <c r="AJ814" s="1459"/>
      <c r="AK814" s="1459"/>
    </row>
    <row r="815" spans="1:37" s="1457" customFormat="1" ht="18.75" customHeight="1" x14ac:dyDescent="0.15">
      <c r="A815" s="1578"/>
      <c r="B815" s="1462"/>
      <c r="C815" s="1462"/>
      <c r="D815" s="1460">
        <f>'1_入力シート【基本情報】'!$BY$479</f>
        <v>0</v>
      </c>
      <c r="E815" s="1650">
        <f t="shared" si="53"/>
        <v>0</v>
      </c>
      <c r="F815" s="1650" t="str">
        <f t="shared" si="54"/>
        <v>0</v>
      </c>
      <c r="G815" s="1650" t="str">
        <f t="shared" si="55"/>
        <v>0</v>
      </c>
      <c r="H815" s="1468"/>
      <c r="I815" s="1462"/>
      <c r="J815" s="1531"/>
      <c r="K815" s="1462"/>
      <c r="L815" s="1462"/>
      <c r="M815" s="1493"/>
      <c r="N815" s="1462"/>
      <c r="O815" s="1462"/>
      <c r="P815" s="1462"/>
      <c r="Q815" s="1462"/>
      <c r="R815" s="1462"/>
      <c r="S815" s="1462"/>
      <c r="T815" s="1462"/>
      <c r="U815" s="1469">
        <v>23</v>
      </c>
      <c r="V815" s="1486" t="s">
        <v>33</v>
      </c>
      <c r="W815" s="1471" t="s">
        <v>1306</v>
      </c>
      <c r="X815" s="1472" t="s">
        <v>137</v>
      </c>
      <c r="Y815" s="1473" t="s">
        <v>1306</v>
      </c>
      <c r="Z815" s="1474" t="s">
        <v>1520</v>
      </c>
      <c r="AA815" s="1473" t="s">
        <v>1306</v>
      </c>
      <c r="AB815" s="1486" t="s">
        <v>352</v>
      </c>
      <c r="AC815" s="1499" t="s">
        <v>1366</v>
      </c>
      <c r="AD815" s="1500" t="s">
        <v>640</v>
      </c>
      <c r="AE815" s="1501"/>
      <c r="AF815" s="1501"/>
      <c r="AG815" s="1457" t="str">
        <f t="shared" si="56"/>
        <v>23調査結果-その他-6（2）-改善（予定）年月-未定</v>
      </c>
      <c r="AI815" s="1459"/>
      <c r="AJ815" s="1459"/>
      <c r="AK815" s="1459"/>
    </row>
    <row r="816" spans="1:37" s="1457" customFormat="1" ht="18.75" customHeight="1" x14ac:dyDescent="0.15">
      <c r="A816" s="1578"/>
      <c r="B816" s="1462"/>
      <c r="C816" s="1462"/>
      <c r="D816" s="1460">
        <f>'1_入力シート【基本情報】'!$AF$480</f>
        <v>0</v>
      </c>
      <c r="E816" s="1650">
        <f t="shared" si="53"/>
        <v>0</v>
      </c>
      <c r="F816" s="1650" t="str">
        <f t="shared" si="54"/>
        <v>0</v>
      </c>
      <c r="G816" s="1650" t="str">
        <f t="shared" si="55"/>
        <v>0</v>
      </c>
      <c r="H816" s="1468"/>
      <c r="I816" s="1462"/>
      <c r="J816" s="1531"/>
      <c r="K816" s="1462"/>
      <c r="L816" s="1462"/>
      <c r="M816" s="1493"/>
      <c r="N816" s="1462"/>
      <c r="O816" s="1462"/>
      <c r="P816" s="1462"/>
      <c r="Q816" s="1462"/>
      <c r="R816" s="1462"/>
      <c r="S816" s="1462"/>
      <c r="T816" s="1462"/>
      <c r="U816" s="1469">
        <v>23</v>
      </c>
      <c r="V816" s="1486" t="s">
        <v>33</v>
      </c>
      <c r="W816" s="1471" t="s">
        <v>1306</v>
      </c>
      <c r="X816" s="1472" t="s">
        <v>137</v>
      </c>
      <c r="Y816" s="1473" t="s">
        <v>1306</v>
      </c>
      <c r="Z816" s="1474" t="s">
        <v>1521</v>
      </c>
      <c r="AA816" s="1473" t="s">
        <v>1306</v>
      </c>
      <c r="AB816" s="1486" t="s">
        <v>33</v>
      </c>
      <c r="AC816" s="1499"/>
      <c r="AD816" s="1500"/>
      <c r="AE816" s="1501"/>
      <c r="AF816" s="1501"/>
      <c r="AG816" s="1457" t="str">
        <f t="shared" si="56"/>
        <v>23調査結果-その他-6（3）-調査結果</v>
      </c>
      <c r="AI816" s="1459"/>
      <c r="AJ816" s="1459"/>
      <c r="AK816" s="1459"/>
    </row>
    <row r="817" spans="1:37" s="1457" customFormat="1" ht="18.75" customHeight="1" x14ac:dyDescent="0.15">
      <c r="A817" s="1578"/>
      <c r="B817" s="1462"/>
      <c r="C817" s="1462"/>
      <c r="D817" s="1460">
        <f>'1_入力シート【基本情報】'!$AR$480</f>
        <v>0</v>
      </c>
      <c r="E817" s="1650">
        <f t="shared" si="53"/>
        <v>0</v>
      </c>
      <c r="F817" s="1650" t="str">
        <f t="shared" si="54"/>
        <v>0</v>
      </c>
      <c r="G817" s="1650" t="str">
        <f t="shared" si="55"/>
        <v>0</v>
      </c>
      <c r="H817" s="1468"/>
      <c r="I817" s="1462"/>
      <c r="J817" s="1531"/>
      <c r="K817" s="1462"/>
      <c r="L817" s="1462"/>
      <c r="M817" s="1493"/>
      <c r="N817" s="1462"/>
      <c r="O817" s="1462"/>
      <c r="P817" s="1462"/>
      <c r="Q817" s="1462"/>
      <c r="R817" s="1462"/>
      <c r="S817" s="1462"/>
      <c r="T817" s="1462"/>
      <c r="U817" s="1469">
        <v>23</v>
      </c>
      <c r="V817" s="1486" t="s">
        <v>33</v>
      </c>
      <c r="W817" s="1471" t="s">
        <v>1306</v>
      </c>
      <c r="X817" s="1472" t="s">
        <v>137</v>
      </c>
      <c r="Y817" s="1473" t="s">
        <v>1306</v>
      </c>
      <c r="Z817" s="1474" t="s">
        <v>1521</v>
      </c>
      <c r="AA817" s="1473" t="s">
        <v>1306</v>
      </c>
      <c r="AB817" s="1470" t="s">
        <v>30</v>
      </c>
      <c r="AC817" s="1475"/>
      <c r="AD817" s="1476"/>
      <c r="AE817" s="1501"/>
      <c r="AF817" s="1501"/>
      <c r="AG817" s="1457" t="str">
        <f t="shared" si="56"/>
        <v>23調査結果-その他-6（3）-調査者番号</v>
      </c>
      <c r="AI817" s="1459"/>
      <c r="AJ817" s="1459"/>
      <c r="AK817" s="1459"/>
    </row>
    <row r="818" spans="1:37" s="1457" customFormat="1" ht="18.75" customHeight="1" x14ac:dyDescent="0.15">
      <c r="A818" s="1578"/>
      <c r="B818" s="1462"/>
      <c r="C818" s="1462"/>
      <c r="D818" s="1460">
        <f>'1_入力シート【基本情報】'!$AT$480</f>
        <v>0</v>
      </c>
      <c r="E818" s="1650">
        <f t="shared" si="53"/>
        <v>0</v>
      </c>
      <c r="F818" s="1650" t="str">
        <f t="shared" si="54"/>
        <v>0</v>
      </c>
      <c r="G818" s="1650" t="str">
        <f t="shared" si="55"/>
        <v>0</v>
      </c>
      <c r="H818" s="1468"/>
      <c r="I818" s="1462"/>
      <c r="J818" s="1531"/>
      <c r="K818" s="1462"/>
      <c r="L818" s="1462"/>
      <c r="M818" s="1493"/>
      <c r="N818" s="1462"/>
      <c r="O818" s="1462"/>
      <c r="P818" s="1462"/>
      <c r="Q818" s="1462"/>
      <c r="R818" s="1462"/>
      <c r="S818" s="1462"/>
      <c r="T818" s="1462"/>
      <c r="U818" s="1469">
        <v>23</v>
      </c>
      <c r="V818" s="1486" t="s">
        <v>33</v>
      </c>
      <c r="W818" s="1471" t="s">
        <v>1306</v>
      </c>
      <c r="X818" s="1472" t="s">
        <v>137</v>
      </c>
      <c r="Y818" s="1473" t="s">
        <v>1306</v>
      </c>
      <c r="Z818" s="1474" t="s">
        <v>1521</v>
      </c>
      <c r="AA818" s="1473" t="s">
        <v>1306</v>
      </c>
      <c r="AB818" s="1470" t="s">
        <v>1402</v>
      </c>
      <c r="AC818" s="1499"/>
      <c r="AD818" s="1500"/>
      <c r="AE818" s="1501"/>
      <c r="AF818" s="1501"/>
      <c r="AG818" s="1457" t="str">
        <f t="shared" si="56"/>
        <v>23調査結果-その他-6（3）-指摘の具体的内容等</v>
      </c>
      <c r="AI818" s="1459"/>
      <c r="AJ818" s="1459"/>
      <c r="AK818" s="1459"/>
    </row>
    <row r="819" spans="1:37" s="1457" customFormat="1" ht="18.75" customHeight="1" x14ac:dyDescent="0.15">
      <c r="A819" s="1578"/>
      <c r="B819" s="1462"/>
      <c r="C819" s="1462"/>
      <c r="D819" s="1460">
        <f>'1_入力シート【基本情報】'!$BD$480</f>
        <v>0</v>
      </c>
      <c r="E819" s="1650">
        <f t="shared" si="53"/>
        <v>0</v>
      </c>
      <c r="F819" s="1650" t="str">
        <f t="shared" si="54"/>
        <v>0</v>
      </c>
      <c r="G819" s="1650" t="str">
        <f t="shared" si="55"/>
        <v>0</v>
      </c>
      <c r="H819" s="1468"/>
      <c r="I819" s="1462"/>
      <c r="J819" s="1531"/>
      <c r="K819" s="1462"/>
      <c r="L819" s="1462"/>
      <c r="M819" s="1493"/>
      <c r="N819" s="1462"/>
      <c r="O819" s="1462"/>
      <c r="P819" s="1462"/>
      <c r="Q819" s="1462"/>
      <c r="R819" s="1462"/>
      <c r="S819" s="1462"/>
      <c r="T819" s="1462"/>
      <c r="U819" s="1469">
        <v>23</v>
      </c>
      <c r="V819" s="1486" t="s">
        <v>33</v>
      </c>
      <c r="W819" s="1471" t="s">
        <v>1306</v>
      </c>
      <c r="X819" s="1472" t="s">
        <v>137</v>
      </c>
      <c r="Y819" s="1473" t="s">
        <v>1306</v>
      </c>
      <c r="Z819" s="1474" t="s">
        <v>1521</v>
      </c>
      <c r="AA819" s="1473" t="s">
        <v>1306</v>
      </c>
      <c r="AB819" s="1470" t="s">
        <v>1403</v>
      </c>
      <c r="AC819" s="1499"/>
      <c r="AD819" s="1500"/>
      <c r="AE819" s="1501"/>
      <c r="AF819" s="1501"/>
      <c r="AG819" s="1457" t="str">
        <f t="shared" si="56"/>
        <v>23調査結果-その他-6（3）-改善策の具体的内容等</v>
      </c>
      <c r="AI819" s="1459"/>
      <c r="AJ819" s="1459"/>
      <c r="AK819" s="1459"/>
    </row>
    <row r="820" spans="1:37" s="1457" customFormat="1" ht="18.75" customHeight="1" x14ac:dyDescent="0.15">
      <c r="A820" s="1578"/>
      <c r="B820" s="1462"/>
      <c r="C820" s="1462"/>
      <c r="D820" s="1460">
        <f>'1_入力シート【基本情報】'!$BS$480</f>
        <v>0</v>
      </c>
      <c r="E820" s="1650">
        <f t="shared" si="53"/>
        <v>0</v>
      </c>
      <c r="F820" s="1650" t="str">
        <f t="shared" si="54"/>
        <v>0</v>
      </c>
      <c r="G820" s="1650" t="str">
        <f t="shared" si="55"/>
        <v>0</v>
      </c>
      <c r="H820" s="1468"/>
      <c r="I820" s="1462"/>
      <c r="J820" s="1531"/>
      <c r="K820" s="1462"/>
      <c r="L820" s="1462"/>
      <c r="M820" s="1493"/>
      <c r="N820" s="1462"/>
      <c r="O820" s="1462"/>
      <c r="P820" s="1462"/>
      <c r="Q820" s="1462"/>
      <c r="R820" s="1462"/>
      <c r="S820" s="1462"/>
      <c r="T820" s="1462"/>
      <c r="U820" s="1469">
        <v>23</v>
      </c>
      <c r="V820" s="1486" t="s">
        <v>33</v>
      </c>
      <c r="W820" s="1471" t="s">
        <v>1306</v>
      </c>
      <c r="X820" s="1472" t="s">
        <v>137</v>
      </c>
      <c r="Y820" s="1473" t="s">
        <v>1306</v>
      </c>
      <c r="Z820" s="1474" t="s">
        <v>1521</v>
      </c>
      <c r="AA820" s="1473" t="s">
        <v>1306</v>
      </c>
      <c r="AB820" s="1470" t="s">
        <v>352</v>
      </c>
      <c r="AC820" s="1499" t="s">
        <v>1366</v>
      </c>
      <c r="AD820" s="1500" t="s">
        <v>1387</v>
      </c>
      <c r="AE820" s="1477"/>
      <c r="AF820" s="1477"/>
      <c r="AG820" s="1457" t="str">
        <f t="shared" si="56"/>
        <v>23調査結果-その他-6（3）-改善（予定）年月-年（令和）</v>
      </c>
      <c r="AI820" s="1459"/>
      <c r="AJ820" s="1459"/>
      <c r="AK820" s="1459"/>
    </row>
    <row r="821" spans="1:37" s="1457" customFormat="1" ht="18.75" customHeight="1" x14ac:dyDescent="0.15">
      <c r="A821" s="1578"/>
      <c r="B821" s="1462"/>
      <c r="C821" s="1462"/>
      <c r="D821" s="1460">
        <f>'1_入力シート【基本情報】'!$BV$480</f>
        <v>0</v>
      </c>
      <c r="E821" s="1650">
        <f t="shared" si="53"/>
        <v>0</v>
      </c>
      <c r="F821" s="1650" t="str">
        <f t="shared" si="54"/>
        <v>0</v>
      </c>
      <c r="G821" s="1650" t="str">
        <f t="shared" si="55"/>
        <v>0</v>
      </c>
      <c r="H821" s="1468"/>
      <c r="I821" s="1462"/>
      <c r="J821" s="1531"/>
      <c r="K821" s="1462"/>
      <c r="L821" s="1462"/>
      <c r="M821" s="1493"/>
      <c r="N821" s="1462"/>
      <c r="O821" s="1462"/>
      <c r="P821" s="1462"/>
      <c r="Q821" s="1462"/>
      <c r="R821" s="1462"/>
      <c r="S821" s="1462"/>
      <c r="T821" s="1462"/>
      <c r="U821" s="1469">
        <v>23</v>
      </c>
      <c r="V821" s="1486" t="s">
        <v>33</v>
      </c>
      <c r="W821" s="1471" t="s">
        <v>1306</v>
      </c>
      <c r="X821" s="1472" t="s">
        <v>137</v>
      </c>
      <c r="Y821" s="1473" t="s">
        <v>1306</v>
      </c>
      <c r="Z821" s="1474" t="s">
        <v>1521</v>
      </c>
      <c r="AA821" s="1473" t="s">
        <v>1306</v>
      </c>
      <c r="AB821" s="1470" t="s">
        <v>352</v>
      </c>
      <c r="AC821" s="1499" t="s">
        <v>1366</v>
      </c>
      <c r="AD821" s="1500" t="s">
        <v>348</v>
      </c>
      <c r="AE821" s="1501"/>
      <c r="AF821" s="1501"/>
      <c r="AG821" s="1457" t="str">
        <f t="shared" si="56"/>
        <v>23調査結果-その他-6（3）-改善（予定）年月-月</v>
      </c>
      <c r="AI821" s="1459"/>
      <c r="AJ821" s="1459"/>
      <c r="AK821" s="1459"/>
    </row>
    <row r="822" spans="1:37" s="1457" customFormat="1" ht="18.75" customHeight="1" x14ac:dyDescent="0.15">
      <c r="A822" s="1578"/>
      <c r="B822" s="1462"/>
      <c r="C822" s="1462"/>
      <c r="D822" s="1460">
        <f>'1_入力シート【基本情報】'!$BY$480</f>
        <v>0</v>
      </c>
      <c r="E822" s="1650">
        <f t="shared" si="53"/>
        <v>0</v>
      </c>
      <c r="F822" s="1650" t="str">
        <f t="shared" si="54"/>
        <v>0</v>
      </c>
      <c r="G822" s="1650" t="str">
        <f t="shared" si="55"/>
        <v>0</v>
      </c>
      <c r="H822" s="1468"/>
      <c r="I822" s="1462"/>
      <c r="J822" s="1531"/>
      <c r="K822" s="1462"/>
      <c r="L822" s="1462"/>
      <c r="M822" s="1493"/>
      <c r="N822" s="1462"/>
      <c r="O822" s="1462"/>
      <c r="P822" s="1462"/>
      <c r="Q822" s="1462"/>
      <c r="R822" s="1462"/>
      <c r="S822" s="1462"/>
      <c r="T822" s="1462"/>
      <c r="U822" s="1469">
        <v>23</v>
      </c>
      <c r="V822" s="1486" t="s">
        <v>33</v>
      </c>
      <c r="W822" s="1471" t="s">
        <v>1306</v>
      </c>
      <c r="X822" s="1472" t="s">
        <v>137</v>
      </c>
      <c r="Y822" s="1473" t="s">
        <v>1306</v>
      </c>
      <c r="Z822" s="1474" t="s">
        <v>1521</v>
      </c>
      <c r="AA822" s="1473" t="s">
        <v>1306</v>
      </c>
      <c r="AB822" s="1486" t="s">
        <v>352</v>
      </c>
      <c r="AC822" s="1499" t="s">
        <v>1366</v>
      </c>
      <c r="AD822" s="1500" t="s">
        <v>640</v>
      </c>
      <c r="AE822" s="1501"/>
      <c r="AF822" s="1501"/>
      <c r="AG822" s="1457" t="str">
        <f t="shared" si="56"/>
        <v>23調査結果-その他-6（3）-改善（予定）年月-未定</v>
      </c>
      <c r="AI822" s="1459"/>
      <c r="AJ822" s="1459"/>
      <c r="AK822" s="1459"/>
    </row>
    <row r="823" spans="1:37" s="1457" customFormat="1" ht="18.75" customHeight="1" x14ac:dyDescent="0.15">
      <c r="A823" s="1578"/>
      <c r="B823" s="1462"/>
      <c r="C823" s="1462"/>
      <c r="D823" s="1460">
        <f>'1_入力シート【基本情報】'!$AF$481</f>
        <v>0</v>
      </c>
      <c r="E823" s="1650">
        <f t="shared" si="53"/>
        <v>0</v>
      </c>
      <c r="F823" s="1650" t="str">
        <f t="shared" si="54"/>
        <v>0</v>
      </c>
      <c r="G823" s="1650" t="str">
        <f t="shared" si="55"/>
        <v>0</v>
      </c>
      <c r="H823" s="1468"/>
      <c r="I823" s="1462"/>
      <c r="J823" s="1531"/>
      <c r="K823" s="1462"/>
      <c r="L823" s="1462"/>
      <c r="M823" s="1493"/>
      <c r="N823" s="1462"/>
      <c r="O823" s="1462"/>
      <c r="P823" s="1462"/>
      <c r="Q823" s="1462"/>
      <c r="R823" s="1462"/>
      <c r="S823" s="1462"/>
      <c r="T823" s="1462"/>
      <c r="U823" s="1469">
        <v>23</v>
      </c>
      <c r="V823" s="1486" t="s">
        <v>33</v>
      </c>
      <c r="W823" s="1471" t="s">
        <v>1306</v>
      </c>
      <c r="X823" s="1472" t="s">
        <v>137</v>
      </c>
      <c r="Y823" s="1473" t="s">
        <v>1306</v>
      </c>
      <c r="Z823" s="1474" t="s">
        <v>1522</v>
      </c>
      <c r="AA823" s="1473" t="s">
        <v>1306</v>
      </c>
      <c r="AB823" s="1486" t="s">
        <v>33</v>
      </c>
      <c r="AC823" s="1499"/>
      <c r="AD823" s="1500"/>
      <c r="AE823" s="1501"/>
      <c r="AF823" s="1501"/>
      <c r="AG823" s="1457" t="str">
        <f t="shared" si="56"/>
        <v>23調査結果-その他-6（4）-調査結果</v>
      </c>
      <c r="AI823" s="1459"/>
      <c r="AJ823" s="1459"/>
      <c r="AK823" s="1459"/>
    </row>
    <row r="824" spans="1:37" s="1457" customFormat="1" ht="18.75" customHeight="1" x14ac:dyDescent="0.15">
      <c r="A824" s="1578"/>
      <c r="B824" s="1462"/>
      <c r="C824" s="1462"/>
      <c r="D824" s="1460">
        <f>'1_入力シート【基本情報】'!$AR$481</f>
        <v>0</v>
      </c>
      <c r="E824" s="1650">
        <f t="shared" si="53"/>
        <v>0</v>
      </c>
      <c r="F824" s="1650" t="str">
        <f t="shared" si="54"/>
        <v>0</v>
      </c>
      <c r="G824" s="1650" t="str">
        <f t="shared" si="55"/>
        <v>0</v>
      </c>
      <c r="H824" s="1468"/>
      <c r="I824" s="1462"/>
      <c r="J824" s="1531"/>
      <c r="K824" s="1462"/>
      <c r="L824" s="1462"/>
      <c r="M824" s="1493"/>
      <c r="N824" s="1462"/>
      <c r="O824" s="1462"/>
      <c r="P824" s="1462"/>
      <c r="Q824" s="1462"/>
      <c r="R824" s="1462"/>
      <c r="S824" s="1462"/>
      <c r="T824" s="1462"/>
      <c r="U824" s="1469">
        <v>23</v>
      </c>
      <c r="V824" s="1486" t="s">
        <v>33</v>
      </c>
      <c r="W824" s="1471" t="s">
        <v>1306</v>
      </c>
      <c r="X824" s="1472" t="s">
        <v>137</v>
      </c>
      <c r="Y824" s="1473" t="s">
        <v>1306</v>
      </c>
      <c r="Z824" s="1474" t="s">
        <v>1522</v>
      </c>
      <c r="AA824" s="1473" t="s">
        <v>1306</v>
      </c>
      <c r="AB824" s="1486" t="s">
        <v>30</v>
      </c>
      <c r="AC824" s="1499"/>
      <c r="AD824" s="1500"/>
      <c r="AE824" s="1501"/>
      <c r="AF824" s="1501"/>
      <c r="AG824" s="1457" t="str">
        <f t="shared" si="56"/>
        <v>23調査結果-その他-6（4）-調査者番号</v>
      </c>
      <c r="AI824" s="1459"/>
      <c r="AJ824" s="1459"/>
      <c r="AK824" s="1459"/>
    </row>
    <row r="825" spans="1:37" s="1457" customFormat="1" ht="18.75" customHeight="1" x14ac:dyDescent="0.15">
      <c r="A825" s="1578"/>
      <c r="B825" s="1462"/>
      <c r="C825" s="1462"/>
      <c r="D825" s="1460">
        <f>'1_入力シート【基本情報】'!$AT$481</f>
        <v>0</v>
      </c>
      <c r="E825" s="1650">
        <f t="shared" si="53"/>
        <v>0</v>
      </c>
      <c r="F825" s="1650" t="str">
        <f t="shared" si="54"/>
        <v>0</v>
      </c>
      <c r="G825" s="1650" t="str">
        <f t="shared" si="55"/>
        <v>0</v>
      </c>
      <c r="H825" s="1468"/>
      <c r="I825" s="1462"/>
      <c r="J825" s="1531"/>
      <c r="K825" s="1462"/>
      <c r="L825" s="1462"/>
      <c r="M825" s="1493"/>
      <c r="N825" s="1462"/>
      <c r="O825" s="1462"/>
      <c r="P825" s="1462"/>
      <c r="Q825" s="1462"/>
      <c r="R825" s="1462"/>
      <c r="S825" s="1462"/>
      <c r="T825" s="1462"/>
      <c r="U825" s="1469">
        <v>23</v>
      </c>
      <c r="V825" s="1486" t="s">
        <v>33</v>
      </c>
      <c r="W825" s="1471" t="s">
        <v>1306</v>
      </c>
      <c r="X825" s="1472" t="s">
        <v>137</v>
      </c>
      <c r="Y825" s="1473" t="s">
        <v>1306</v>
      </c>
      <c r="Z825" s="1474" t="s">
        <v>1522</v>
      </c>
      <c r="AA825" s="1473" t="s">
        <v>1306</v>
      </c>
      <c r="AB825" s="1470" t="s">
        <v>1402</v>
      </c>
      <c r="AC825" s="1475"/>
      <c r="AD825" s="1476"/>
      <c r="AE825" s="1501"/>
      <c r="AF825" s="1501"/>
      <c r="AG825" s="1457" t="str">
        <f t="shared" si="56"/>
        <v>23調査結果-その他-6（4）-指摘の具体的内容等</v>
      </c>
      <c r="AI825" s="1459"/>
      <c r="AJ825" s="1459"/>
      <c r="AK825" s="1459"/>
    </row>
    <row r="826" spans="1:37" s="1457" customFormat="1" ht="18.75" customHeight="1" x14ac:dyDescent="0.15">
      <c r="A826" s="1578"/>
      <c r="B826" s="1462"/>
      <c r="C826" s="1462"/>
      <c r="D826" s="1460">
        <f>'1_入力シート【基本情報】'!$BD$481</f>
        <v>0</v>
      </c>
      <c r="E826" s="1650">
        <f t="shared" si="53"/>
        <v>0</v>
      </c>
      <c r="F826" s="1650" t="str">
        <f t="shared" si="54"/>
        <v>0</v>
      </c>
      <c r="G826" s="1650" t="str">
        <f t="shared" si="55"/>
        <v>0</v>
      </c>
      <c r="H826" s="1468"/>
      <c r="I826" s="1462"/>
      <c r="J826" s="1531"/>
      <c r="K826" s="1462"/>
      <c r="L826" s="1462"/>
      <c r="M826" s="1493"/>
      <c r="N826" s="1462"/>
      <c r="O826" s="1462"/>
      <c r="P826" s="1462"/>
      <c r="Q826" s="1462"/>
      <c r="R826" s="1462"/>
      <c r="S826" s="1462"/>
      <c r="T826" s="1462"/>
      <c r="U826" s="1469">
        <v>23</v>
      </c>
      <c r="V826" s="1486" t="s">
        <v>33</v>
      </c>
      <c r="W826" s="1471" t="s">
        <v>1306</v>
      </c>
      <c r="X826" s="1472" t="s">
        <v>137</v>
      </c>
      <c r="Y826" s="1473" t="s">
        <v>1306</v>
      </c>
      <c r="Z826" s="1474" t="s">
        <v>1522</v>
      </c>
      <c r="AA826" s="1473" t="s">
        <v>1306</v>
      </c>
      <c r="AB826" s="1470" t="s">
        <v>1403</v>
      </c>
      <c r="AC826" s="1499"/>
      <c r="AD826" s="1500"/>
      <c r="AE826" s="1501"/>
      <c r="AF826" s="1501"/>
      <c r="AG826" s="1457" t="str">
        <f t="shared" si="56"/>
        <v>23調査結果-その他-6（4）-改善策の具体的内容等</v>
      </c>
      <c r="AI826" s="1459"/>
      <c r="AJ826" s="1459"/>
      <c r="AK826" s="1459"/>
    </row>
    <row r="827" spans="1:37" s="1457" customFormat="1" ht="18.75" customHeight="1" x14ac:dyDescent="0.15">
      <c r="A827" s="1578"/>
      <c r="B827" s="1462"/>
      <c r="C827" s="1462"/>
      <c r="D827" s="1460">
        <f>'1_入力シート【基本情報】'!$BS$481</f>
        <v>0</v>
      </c>
      <c r="E827" s="1650">
        <f t="shared" si="53"/>
        <v>0</v>
      </c>
      <c r="F827" s="1650" t="str">
        <f t="shared" si="54"/>
        <v>0</v>
      </c>
      <c r="G827" s="1650" t="str">
        <f t="shared" si="55"/>
        <v>0</v>
      </c>
      <c r="H827" s="1468"/>
      <c r="I827" s="1462"/>
      <c r="J827" s="1531"/>
      <c r="K827" s="1462"/>
      <c r="L827" s="1462"/>
      <c r="M827" s="1493"/>
      <c r="N827" s="1462"/>
      <c r="O827" s="1462"/>
      <c r="P827" s="1462"/>
      <c r="Q827" s="1462"/>
      <c r="R827" s="1462"/>
      <c r="S827" s="1462"/>
      <c r="T827" s="1462"/>
      <c r="U827" s="1469">
        <v>23</v>
      </c>
      <c r="V827" s="1486" t="s">
        <v>33</v>
      </c>
      <c r="W827" s="1471" t="s">
        <v>1306</v>
      </c>
      <c r="X827" s="1472" t="s">
        <v>137</v>
      </c>
      <c r="Y827" s="1473" t="s">
        <v>1306</v>
      </c>
      <c r="Z827" s="1474" t="s">
        <v>1522</v>
      </c>
      <c r="AA827" s="1473" t="s">
        <v>1306</v>
      </c>
      <c r="AB827" s="1470" t="s">
        <v>352</v>
      </c>
      <c r="AC827" s="1499" t="s">
        <v>1366</v>
      </c>
      <c r="AD827" s="1500" t="s">
        <v>1387</v>
      </c>
      <c r="AE827" s="1501"/>
      <c r="AF827" s="1501"/>
      <c r="AG827" s="1457" t="str">
        <f t="shared" si="56"/>
        <v>23調査結果-その他-6（4）-改善（予定）年月-年（令和）</v>
      </c>
      <c r="AI827" s="1459"/>
      <c r="AJ827" s="1459"/>
      <c r="AK827" s="1459"/>
    </row>
    <row r="828" spans="1:37" s="1457" customFormat="1" ht="18.75" customHeight="1" x14ac:dyDescent="0.15">
      <c r="A828" s="1578"/>
      <c r="B828" s="1462"/>
      <c r="C828" s="1462"/>
      <c r="D828" s="1460">
        <f>'1_入力シート【基本情報】'!$BV$481</f>
        <v>0</v>
      </c>
      <c r="E828" s="1650">
        <f t="shared" si="53"/>
        <v>0</v>
      </c>
      <c r="F828" s="1650" t="str">
        <f t="shared" si="54"/>
        <v>0</v>
      </c>
      <c r="G828" s="1650" t="str">
        <f t="shared" si="55"/>
        <v>0</v>
      </c>
      <c r="H828" s="1468"/>
      <c r="I828" s="1462"/>
      <c r="J828" s="1531"/>
      <c r="K828" s="1462"/>
      <c r="L828" s="1462"/>
      <c r="M828" s="1493"/>
      <c r="N828" s="1462"/>
      <c r="O828" s="1462"/>
      <c r="P828" s="1462"/>
      <c r="Q828" s="1462"/>
      <c r="R828" s="1462"/>
      <c r="S828" s="1462"/>
      <c r="T828" s="1462"/>
      <c r="U828" s="1469">
        <v>23</v>
      </c>
      <c r="V828" s="1486" t="s">
        <v>33</v>
      </c>
      <c r="W828" s="1471" t="s">
        <v>1306</v>
      </c>
      <c r="X828" s="1472" t="s">
        <v>137</v>
      </c>
      <c r="Y828" s="1473" t="s">
        <v>1306</v>
      </c>
      <c r="Z828" s="1474" t="s">
        <v>1522</v>
      </c>
      <c r="AA828" s="1473" t="s">
        <v>1306</v>
      </c>
      <c r="AB828" s="1470" t="s">
        <v>352</v>
      </c>
      <c r="AC828" s="1499" t="s">
        <v>1366</v>
      </c>
      <c r="AD828" s="1500" t="s">
        <v>348</v>
      </c>
      <c r="AE828" s="1477"/>
      <c r="AF828" s="1477"/>
      <c r="AG828" s="1457" t="str">
        <f t="shared" si="56"/>
        <v>23調査結果-その他-6（4）-改善（予定）年月-月</v>
      </c>
      <c r="AI828" s="1459"/>
      <c r="AJ828" s="1459"/>
      <c r="AK828" s="1459"/>
    </row>
    <row r="829" spans="1:37" s="1457" customFormat="1" ht="18.75" customHeight="1" x14ac:dyDescent="0.15">
      <c r="A829" s="1578"/>
      <c r="B829" s="1462"/>
      <c r="C829" s="1462"/>
      <c r="D829" s="1460">
        <f>'1_入力シート【基本情報】'!$BY$481</f>
        <v>0</v>
      </c>
      <c r="E829" s="1650">
        <f t="shared" si="53"/>
        <v>0</v>
      </c>
      <c r="F829" s="1650" t="str">
        <f t="shared" si="54"/>
        <v>0</v>
      </c>
      <c r="G829" s="1650" t="str">
        <f t="shared" si="55"/>
        <v>0</v>
      </c>
      <c r="H829" s="1468"/>
      <c r="I829" s="1462"/>
      <c r="J829" s="1531"/>
      <c r="K829" s="1462"/>
      <c r="L829" s="1462"/>
      <c r="M829" s="1493"/>
      <c r="N829" s="1462"/>
      <c r="O829" s="1462"/>
      <c r="P829" s="1462"/>
      <c r="Q829" s="1462"/>
      <c r="R829" s="1462"/>
      <c r="S829" s="1462"/>
      <c r="T829" s="1462"/>
      <c r="U829" s="1469">
        <v>23</v>
      </c>
      <c r="V829" s="1486" t="s">
        <v>33</v>
      </c>
      <c r="W829" s="1471" t="s">
        <v>1306</v>
      </c>
      <c r="X829" s="1472" t="s">
        <v>137</v>
      </c>
      <c r="Y829" s="1473" t="s">
        <v>1306</v>
      </c>
      <c r="Z829" s="1474" t="s">
        <v>1522</v>
      </c>
      <c r="AA829" s="1473" t="s">
        <v>1306</v>
      </c>
      <c r="AB829" s="1470" t="s">
        <v>352</v>
      </c>
      <c r="AC829" s="1499" t="s">
        <v>1366</v>
      </c>
      <c r="AD829" s="1500" t="s">
        <v>640</v>
      </c>
      <c r="AE829" s="1501"/>
      <c r="AF829" s="1501"/>
      <c r="AG829" s="1457" t="str">
        <f t="shared" si="56"/>
        <v>23調査結果-その他-6（4）-改善（予定）年月-未定</v>
      </c>
      <c r="AI829" s="1459"/>
      <c r="AJ829" s="1459"/>
      <c r="AK829" s="1459"/>
    </row>
    <row r="830" spans="1:37" s="1457" customFormat="1" ht="18.75" customHeight="1" x14ac:dyDescent="0.15">
      <c r="A830" s="1578"/>
      <c r="B830" s="1462"/>
      <c r="C830" s="1462"/>
      <c r="D830" s="1460">
        <f>'1_入力シート【基本情報】'!$AF$482</f>
        <v>0</v>
      </c>
      <c r="E830" s="1650">
        <f t="shared" si="53"/>
        <v>0</v>
      </c>
      <c r="F830" s="1650" t="str">
        <f t="shared" si="54"/>
        <v>0</v>
      </c>
      <c r="G830" s="1650" t="str">
        <f t="shared" si="55"/>
        <v>0</v>
      </c>
      <c r="H830" s="1468"/>
      <c r="I830" s="1462"/>
      <c r="J830" s="1531"/>
      <c r="K830" s="1462"/>
      <c r="L830" s="1462"/>
      <c r="M830" s="1493"/>
      <c r="N830" s="1462"/>
      <c r="O830" s="1462"/>
      <c r="P830" s="1462"/>
      <c r="Q830" s="1462"/>
      <c r="R830" s="1462"/>
      <c r="S830" s="1462"/>
      <c r="T830" s="1462"/>
      <c r="U830" s="1469">
        <v>23</v>
      </c>
      <c r="V830" s="1486" t="s">
        <v>33</v>
      </c>
      <c r="W830" s="1471" t="s">
        <v>1306</v>
      </c>
      <c r="X830" s="1472" t="s">
        <v>137</v>
      </c>
      <c r="Y830" s="1473" t="s">
        <v>1306</v>
      </c>
      <c r="Z830" s="1474" t="s">
        <v>1523</v>
      </c>
      <c r="AA830" s="1473" t="s">
        <v>1306</v>
      </c>
      <c r="AB830" s="1486" t="s">
        <v>33</v>
      </c>
      <c r="AC830" s="1499"/>
      <c r="AD830" s="1500"/>
      <c r="AE830" s="1501"/>
      <c r="AF830" s="1501"/>
      <c r="AG830" s="1457" t="str">
        <f t="shared" si="56"/>
        <v>23調査結果-その他-6（5）-調査結果</v>
      </c>
      <c r="AI830" s="1459"/>
      <c r="AJ830" s="1459"/>
      <c r="AK830" s="1459"/>
    </row>
    <row r="831" spans="1:37" s="1457" customFormat="1" ht="18.75" customHeight="1" x14ac:dyDescent="0.15">
      <c r="A831" s="1578"/>
      <c r="B831" s="1462"/>
      <c r="C831" s="1462"/>
      <c r="D831" s="1460">
        <f>'1_入力シート【基本情報】'!$AR$482</f>
        <v>0</v>
      </c>
      <c r="E831" s="1650">
        <f t="shared" si="53"/>
        <v>0</v>
      </c>
      <c r="F831" s="1650" t="str">
        <f t="shared" si="54"/>
        <v>0</v>
      </c>
      <c r="G831" s="1650" t="str">
        <f t="shared" si="55"/>
        <v>0</v>
      </c>
      <c r="H831" s="1468"/>
      <c r="I831" s="1462"/>
      <c r="J831" s="1531"/>
      <c r="K831" s="1462"/>
      <c r="L831" s="1462"/>
      <c r="M831" s="1493"/>
      <c r="N831" s="1462"/>
      <c r="O831" s="1462"/>
      <c r="P831" s="1462"/>
      <c r="Q831" s="1462"/>
      <c r="R831" s="1462"/>
      <c r="S831" s="1462"/>
      <c r="T831" s="1462"/>
      <c r="U831" s="1469">
        <v>23</v>
      </c>
      <c r="V831" s="1486" t="s">
        <v>33</v>
      </c>
      <c r="W831" s="1471" t="s">
        <v>1306</v>
      </c>
      <c r="X831" s="1472" t="s">
        <v>137</v>
      </c>
      <c r="Y831" s="1473" t="s">
        <v>1306</v>
      </c>
      <c r="Z831" s="1474" t="s">
        <v>1523</v>
      </c>
      <c r="AA831" s="1473" t="s">
        <v>1306</v>
      </c>
      <c r="AB831" s="1486" t="s">
        <v>30</v>
      </c>
      <c r="AC831" s="1499"/>
      <c r="AD831" s="1500"/>
      <c r="AE831" s="1501"/>
      <c r="AF831" s="1501"/>
      <c r="AG831" s="1457" t="str">
        <f t="shared" si="56"/>
        <v>23調査結果-その他-6（5）-調査者番号</v>
      </c>
      <c r="AI831" s="1459"/>
      <c r="AJ831" s="1459"/>
      <c r="AK831" s="1459"/>
    </row>
    <row r="832" spans="1:37" s="1457" customFormat="1" ht="18.75" customHeight="1" x14ac:dyDescent="0.15">
      <c r="A832" s="1578"/>
      <c r="B832" s="1462"/>
      <c r="C832" s="1462"/>
      <c r="D832" s="1460">
        <f>'1_入力シート【基本情報】'!$AT$482</f>
        <v>0</v>
      </c>
      <c r="E832" s="1650">
        <f t="shared" si="53"/>
        <v>0</v>
      </c>
      <c r="F832" s="1650" t="str">
        <f t="shared" si="54"/>
        <v>0</v>
      </c>
      <c r="G832" s="1650" t="str">
        <f t="shared" si="55"/>
        <v>0</v>
      </c>
      <c r="H832" s="1468"/>
      <c r="I832" s="1462"/>
      <c r="J832" s="1531"/>
      <c r="K832" s="1462"/>
      <c r="L832" s="1462"/>
      <c r="M832" s="1493"/>
      <c r="N832" s="1462"/>
      <c r="O832" s="1462"/>
      <c r="P832" s="1462"/>
      <c r="Q832" s="1462"/>
      <c r="R832" s="1462"/>
      <c r="S832" s="1462"/>
      <c r="T832" s="1462"/>
      <c r="U832" s="1469">
        <v>23</v>
      </c>
      <c r="V832" s="1486" t="s">
        <v>33</v>
      </c>
      <c r="W832" s="1471" t="s">
        <v>1306</v>
      </c>
      <c r="X832" s="1472" t="s">
        <v>137</v>
      </c>
      <c r="Y832" s="1473" t="s">
        <v>1306</v>
      </c>
      <c r="Z832" s="1474" t="s">
        <v>1523</v>
      </c>
      <c r="AA832" s="1473" t="s">
        <v>1306</v>
      </c>
      <c r="AB832" s="1486" t="s">
        <v>1402</v>
      </c>
      <c r="AC832" s="1499"/>
      <c r="AD832" s="1500"/>
      <c r="AE832" s="1501"/>
      <c r="AF832" s="1501"/>
      <c r="AG832" s="1457" t="str">
        <f t="shared" si="56"/>
        <v>23調査結果-その他-6（5）-指摘の具体的内容等</v>
      </c>
      <c r="AI832" s="1459"/>
      <c r="AJ832" s="1459"/>
      <c r="AK832" s="1459"/>
    </row>
    <row r="833" spans="1:37" s="1457" customFormat="1" ht="18.75" customHeight="1" x14ac:dyDescent="0.15">
      <c r="A833" s="1578"/>
      <c r="B833" s="1462"/>
      <c r="C833" s="1462"/>
      <c r="D833" s="1460">
        <f>'1_入力シート【基本情報】'!$BD$482</f>
        <v>0</v>
      </c>
      <c r="E833" s="1650">
        <f t="shared" si="53"/>
        <v>0</v>
      </c>
      <c r="F833" s="1650" t="str">
        <f t="shared" si="54"/>
        <v>0</v>
      </c>
      <c r="G833" s="1650" t="str">
        <f t="shared" si="55"/>
        <v>0</v>
      </c>
      <c r="H833" s="1468"/>
      <c r="I833" s="1462"/>
      <c r="J833" s="1531"/>
      <c r="K833" s="1462"/>
      <c r="L833" s="1462"/>
      <c r="M833" s="1493"/>
      <c r="N833" s="1462"/>
      <c r="O833" s="1462"/>
      <c r="P833" s="1462"/>
      <c r="Q833" s="1462"/>
      <c r="R833" s="1462"/>
      <c r="S833" s="1462"/>
      <c r="T833" s="1462"/>
      <c r="U833" s="1469">
        <v>23</v>
      </c>
      <c r="V833" s="1486" t="s">
        <v>33</v>
      </c>
      <c r="W833" s="1471" t="s">
        <v>1306</v>
      </c>
      <c r="X833" s="1472" t="s">
        <v>137</v>
      </c>
      <c r="Y833" s="1473" t="s">
        <v>1306</v>
      </c>
      <c r="Z833" s="1474" t="s">
        <v>1523</v>
      </c>
      <c r="AA833" s="1473" t="s">
        <v>1306</v>
      </c>
      <c r="AB833" s="1470" t="s">
        <v>1403</v>
      </c>
      <c r="AC833" s="1475"/>
      <c r="AD833" s="1476"/>
      <c r="AE833" s="1501"/>
      <c r="AF833" s="1501"/>
      <c r="AG833" s="1457" t="str">
        <f t="shared" si="56"/>
        <v>23調査結果-その他-6（5）-改善策の具体的内容等</v>
      </c>
      <c r="AI833" s="1459"/>
      <c r="AJ833" s="1459"/>
      <c r="AK833" s="1459"/>
    </row>
    <row r="834" spans="1:37" s="1457" customFormat="1" ht="18.75" customHeight="1" x14ac:dyDescent="0.15">
      <c r="A834" s="1578"/>
      <c r="B834" s="1462"/>
      <c r="C834" s="1462"/>
      <c r="D834" s="1460">
        <f>'1_入力シート【基本情報】'!$BS$482</f>
        <v>0</v>
      </c>
      <c r="E834" s="1650">
        <f t="shared" si="53"/>
        <v>0</v>
      </c>
      <c r="F834" s="1650" t="str">
        <f t="shared" si="54"/>
        <v>0</v>
      </c>
      <c r="G834" s="1650" t="str">
        <f t="shared" si="55"/>
        <v>0</v>
      </c>
      <c r="H834" s="1468"/>
      <c r="I834" s="1462"/>
      <c r="J834" s="1531"/>
      <c r="K834" s="1462"/>
      <c r="L834" s="1462"/>
      <c r="M834" s="1493"/>
      <c r="N834" s="1462"/>
      <c r="O834" s="1462"/>
      <c r="P834" s="1462"/>
      <c r="Q834" s="1462"/>
      <c r="R834" s="1462"/>
      <c r="S834" s="1462"/>
      <c r="T834" s="1462"/>
      <c r="U834" s="1469">
        <v>23</v>
      </c>
      <c r="V834" s="1486" t="s">
        <v>33</v>
      </c>
      <c r="W834" s="1471" t="s">
        <v>1306</v>
      </c>
      <c r="X834" s="1472" t="s">
        <v>137</v>
      </c>
      <c r="Y834" s="1473" t="s">
        <v>1306</v>
      </c>
      <c r="Z834" s="1474" t="s">
        <v>1523</v>
      </c>
      <c r="AA834" s="1473" t="s">
        <v>1306</v>
      </c>
      <c r="AB834" s="1470" t="s">
        <v>352</v>
      </c>
      <c r="AC834" s="1499" t="s">
        <v>1366</v>
      </c>
      <c r="AD834" s="1500" t="s">
        <v>1387</v>
      </c>
      <c r="AE834" s="1501"/>
      <c r="AF834" s="1501"/>
      <c r="AG834" s="1457" t="str">
        <f t="shared" si="56"/>
        <v>23調査結果-その他-6（5）-改善（予定）年月-年（令和）</v>
      </c>
      <c r="AI834" s="1459"/>
      <c r="AJ834" s="1459"/>
      <c r="AK834" s="1459"/>
    </row>
    <row r="835" spans="1:37" s="1457" customFormat="1" ht="18.75" customHeight="1" x14ac:dyDescent="0.15">
      <c r="A835" s="1578"/>
      <c r="B835" s="1462"/>
      <c r="C835" s="1462"/>
      <c r="D835" s="1460">
        <f>'1_入力シート【基本情報】'!$BV$482</f>
        <v>0</v>
      </c>
      <c r="E835" s="1650">
        <f t="shared" si="53"/>
        <v>0</v>
      </c>
      <c r="F835" s="1650" t="str">
        <f t="shared" si="54"/>
        <v>0</v>
      </c>
      <c r="G835" s="1650" t="str">
        <f t="shared" si="55"/>
        <v>0</v>
      </c>
      <c r="H835" s="1468"/>
      <c r="I835" s="1462"/>
      <c r="J835" s="1531"/>
      <c r="K835" s="1462"/>
      <c r="L835" s="1462"/>
      <c r="M835" s="1493"/>
      <c r="N835" s="1462"/>
      <c r="O835" s="1462"/>
      <c r="P835" s="1462"/>
      <c r="Q835" s="1462"/>
      <c r="R835" s="1462"/>
      <c r="S835" s="1462"/>
      <c r="T835" s="1462"/>
      <c r="U835" s="1469">
        <v>23</v>
      </c>
      <c r="V835" s="1486" t="s">
        <v>33</v>
      </c>
      <c r="W835" s="1471" t="s">
        <v>1306</v>
      </c>
      <c r="X835" s="1472" t="s">
        <v>137</v>
      </c>
      <c r="Y835" s="1473" t="s">
        <v>1306</v>
      </c>
      <c r="Z835" s="1474" t="s">
        <v>1523</v>
      </c>
      <c r="AA835" s="1473" t="s">
        <v>1306</v>
      </c>
      <c r="AB835" s="1470" t="s">
        <v>352</v>
      </c>
      <c r="AC835" s="1499" t="s">
        <v>1366</v>
      </c>
      <c r="AD835" s="1500" t="s">
        <v>348</v>
      </c>
      <c r="AE835" s="1501"/>
      <c r="AF835" s="1501"/>
      <c r="AG835" s="1457" t="str">
        <f t="shared" si="56"/>
        <v>23調査結果-その他-6（5）-改善（予定）年月-月</v>
      </c>
      <c r="AI835" s="1459"/>
      <c r="AJ835" s="1459"/>
      <c r="AK835" s="1459"/>
    </row>
    <row r="836" spans="1:37" s="1457" customFormat="1" ht="18.75" customHeight="1" x14ac:dyDescent="0.15">
      <c r="A836" s="1578"/>
      <c r="B836" s="1462"/>
      <c r="C836" s="1462"/>
      <c r="D836" s="1460">
        <f>'1_入力シート【基本情報】'!$BY$482</f>
        <v>0</v>
      </c>
      <c r="E836" s="1650">
        <f t="shared" si="53"/>
        <v>0</v>
      </c>
      <c r="F836" s="1650" t="str">
        <f t="shared" si="54"/>
        <v>0</v>
      </c>
      <c r="G836" s="1650" t="str">
        <f t="shared" si="55"/>
        <v>0</v>
      </c>
      <c r="H836" s="1468"/>
      <c r="I836" s="1462"/>
      <c r="J836" s="1531"/>
      <c r="K836" s="1462"/>
      <c r="L836" s="1462"/>
      <c r="M836" s="1493"/>
      <c r="N836" s="1462"/>
      <c r="O836" s="1462"/>
      <c r="P836" s="1462"/>
      <c r="Q836" s="1462"/>
      <c r="R836" s="1462"/>
      <c r="S836" s="1462"/>
      <c r="T836" s="1462"/>
      <c r="U836" s="1469">
        <v>23</v>
      </c>
      <c r="V836" s="1486" t="s">
        <v>33</v>
      </c>
      <c r="W836" s="1471" t="s">
        <v>1306</v>
      </c>
      <c r="X836" s="1472" t="s">
        <v>137</v>
      </c>
      <c r="Y836" s="1473" t="s">
        <v>1306</v>
      </c>
      <c r="Z836" s="1474" t="s">
        <v>1523</v>
      </c>
      <c r="AA836" s="1473" t="s">
        <v>1306</v>
      </c>
      <c r="AB836" s="1470" t="s">
        <v>352</v>
      </c>
      <c r="AC836" s="1499" t="s">
        <v>1366</v>
      </c>
      <c r="AD836" s="1500" t="s">
        <v>640</v>
      </c>
      <c r="AE836" s="1477"/>
      <c r="AF836" s="1477"/>
      <c r="AG836" s="1457" t="str">
        <f t="shared" si="56"/>
        <v>23調査結果-その他-6（5）-改善（予定）年月-未定</v>
      </c>
      <c r="AI836" s="1459"/>
      <c r="AJ836" s="1459"/>
      <c r="AK836" s="1459"/>
    </row>
    <row r="837" spans="1:37" s="1457" customFormat="1" ht="18.75" customHeight="1" x14ac:dyDescent="0.15">
      <c r="A837" s="1578"/>
      <c r="B837" s="1462"/>
      <c r="C837" s="1462"/>
      <c r="D837" s="1460">
        <f>'1_入力シート【基本情報】'!$AF$483</f>
        <v>0</v>
      </c>
      <c r="E837" s="1650">
        <f t="shared" si="53"/>
        <v>0</v>
      </c>
      <c r="F837" s="1650" t="str">
        <f t="shared" si="54"/>
        <v>0</v>
      </c>
      <c r="G837" s="1650" t="str">
        <f t="shared" si="55"/>
        <v>0</v>
      </c>
      <c r="H837" s="1468"/>
      <c r="I837" s="1462"/>
      <c r="J837" s="1531"/>
      <c r="K837" s="1462"/>
      <c r="L837" s="1462"/>
      <c r="M837" s="1493"/>
      <c r="N837" s="1462"/>
      <c r="O837" s="1462"/>
      <c r="P837" s="1462"/>
      <c r="Q837" s="1462"/>
      <c r="R837" s="1462"/>
      <c r="S837" s="1462"/>
      <c r="T837" s="1462"/>
      <c r="U837" s="1469">
        <v>23</v>
      </c>
      <c r="V837" s="1486" t="s">
        <v>33</v>
      </c>
      <c r="W837" s="1471" t="s">
        <v>1306</v>
      </c>
      <c r="X837" s="1472" t="s">
        <v>137</v>
      </c>
      <c r="Y837" s="1473" t="s">
        <v>1306</v>
      </c>
      <c r="Z837" s="1474" t="s">
        <v>1524</v>
      </c>
      <c r="AA837" s="1473" t="s">
        <v>1306</v>
      </c>
      <c r="AB837" s="1470" t="s">
        <v>33</v>
      </c>
      <c r="AC837" s="1499"/>
      <c r="AD837" s="1500"/>
      <c r="AE837" s="1501"/>
      <c r="AF837" s="1501"/>
      <c r="AG837" s="1457" t="str">
        <f t="shared" si="56"/>
        <v>23調査結果-その他-6（6）-調査結果</v>
      </c>
      <c r="AI837" s="1459"/>
      <c r="AJ837" s="1459"/>
      <c r="AK837" s="1459"/>
    </row>
    <row r="838" spans="1:37" s="1457" customFormat="1" ht="18.75" customHeight="1" x14ac:dyDescent="0.15">
      <c r="A838" s="1578"/>
      <c r="B838" s="1462"/>
      <c r="C838" s="1462"/>
      <c r="D838" s="1460">
        <f>'1_入力シート【基本情報】'!$AR$483</f>
        <v>0</v>
      </c>
      <c r="E838" s="1650">
        <f t="shared" si="53"/>
        <v>0</v>
      </c>
      <c r="F838" s="1650" t="str">
        <f t="shared" si="54"/>
        <v>0</v>
      </c>
      <c r="G838" s="1650" t="str">
        <f t="shared" si="55"/>
        <v>0</v>
      </c>
      <c r="H838" s="1468"/>
      <c r="I838" s="1462"/>
      <c r="J838" s="1531"/>
      <c r="K838" s="1462"/>
      <c r="L838" s="1462"/>
      <c r="M838" s="1493"/>
      <c r="N838" s="1462"/>
      <c r="O838" s="1462"/>
      <c r="P838" s="1462"/>
      <c r="Q838" s="1462"/>
      <c r="R838" s="1462"/>
      <c r="S838" s="1462"/>
      <c r="T838" s="1462"/>
      <c r="U838" s="1469">
        <v>23</v>
      </c>
      <c r="V838" s="1486" t="s">
        <v>33</v>
      </c>
      <c r="W838" s="1471" t="s">
        <v>1306</v>
      </c>
      <c r="X838" s="1472" t="s">
        <v>137</v>
      </c>
      <c r="Y838" s="1473" t="s">
        <v>1306</v>
      </c>
      <c r="Z838" s="1474" t="s">
        <v>1524</v>
      </c>
      <c r="AA838" s="1473" t="s">
        <v>1306</v>
      </c>
      <c r="AB838" s="1486" t="s">
        <v>30</v>
      </c>
      <c r="AC838" s="1499"/>
      <c r="AD838" s="1500"/>
      <c r="AE838" s="1501"/>
      <c r="AF838" s="1501"/>
      <c r="AG838" s="1457" t="str">
        <f t="shared" si="56"/>
        <v>23調査結果-その他-6（6）-調査者番号</v>
      </c>
      <c r="AI838" s="1459"/>
      <c r="AJ838" s="1459"/>
      <c r="AK838" s="1459"/>
    </row>
    <row r="839" spans="1:37" s="1457" customFormat="1" ht="18.75" customHeight="1" x14ac:dyDescent="0.15">
      <c r="A839" s="1578"/>
      <c r="B839" s="1462"/>
      <c r="C839" s="1462"/>
      <c r="D839" s="1460">
        <f>'1_入力シート【基本情報】'!$AT$483</f>
        <v>0</v>
      </c>
      <c r="E839" s="1650">
        <f t="shared" si="53"/>
        <v>0</v>
      </c>
      <c r="F839" s="1650" t="str">
        <f t="shared" si="54"/>
        <v>0</v>
      </c>
      <c r="G839" s="1650" t="str">
        <f t="shared" si="55"/>
        <v>0</v>
      </c>
      <c r="H839" s="1468"/>
      <c r="I839" s="1462"/>
      <c r="J839" s="1531"/>
      <c r="K839" s="1462"/>
      <c r="L839" s="1462"/>
      <c r="M839" s="1493"/>
      <c r="N839" s="1462"/>
      <c r="O839" s="1462"/>
      <c r="P839" s="1462"/>
      <c r="Q839" s="1462"/>
      <c r="R839" s="1462"/>
      <c r="S839" s="1462"/>
      <c r="T839" s="1462"/>
      <c r="U839" s="1469">
        <v>23</v>
      </c>
      <c r="V839" s="1486" t="s">
        <v>33</v>
      </c>
      <c r="W839" s="1471" t="s">
        <v>1306</v>
      </c>
      <c r="X839" s="1472" t="s">
        <v>137</v>
      </c>
      <c r="Y839" s="1473" t="s">
        <v>1306</v>
      </c>
      <c r="Z839" s="1474" t="s">
        <v>1524</v>
      </c>
      <c r="AA839" s="1473" t="s">
        <v>1306</v>
      </c>
      <c r="AB839" s="1486" t="s">
        <v>1402</v>
      </c>
      <c r="AC839" s="1499"/>
      <c r="AD839" s="1500"/>
      <c r="AE839" s="1501"/>
      <c r="AF839" s="1501"/>
      <c r="AG839" s="1457" t="str">
        <f t="shared" si="56"/>
        <v>23調査結果-その他-6（6）-指摘の具体的内容等</v>
      </c>
      <c r="AI839" s="1459"/>
      <c r="AJ839" s="1459"/>
      <c r="AK839" s="1459"/>
    </row>
    <row r="840" spans="1:37" s="1457" customFormat="1" ht="18.75" customHeight="1" x14ac:dyDescent="0.15">
      <c r="A840" s="1578"/>
      <c r="B840" s="1462"/>
      <c r="C840" s="1462"/>
      <c r="D840" s="1460">
        <f>'1_入力シート【基本情報】'!$BD$483</f>
        <v>0</v>
      </c>
      <c r="E840" s="1650">
        <f t="shared" si="53"/>
        <v>0</v>
      </c>
      <c r="F840" s="1650" t="str">
        <f t="shared" si="54"/>
        <v>0</v>
      </c>
      <c r="G840" s="1650" t="str">
        <f t="shared" si="55"/>
        <v>0</v>
      </c>
      <c r="H840" s="1468"/>
      <c r="I840" s="1462"/>
      <c r="J840" s="1531"/>
      <c r="K840" s="1462"/>
      <c r="L840" s="1462"/>
      <c r="M840" s="1493"/>
      <c r="N840" s="1462"/>
      <c r="O840" s="1462"/>
      <c r="P840" s="1462"/>
      <c r="Q840" s="1462"/>
      <c r="R840" s="1462"/>
      <c r="S840" s="1462"/>
      <c r="T840" s="1462"/>
      <c r="U840" s="1469">
        <v>23</v>
      </c>
      <c r="V840" s="1486" t="s">
        <v>33</v>
      </c>
      <c r="W840" s="1471" t="s">
        <v>1306</v>
      </c>
      <c r="X840" s="1472" t="s">
        <v>137</v>
      </c>
      <c r="Y840" s="1473" t="s">
        <v>1306</v>
      </c>
      <c r="Z840" s="1474" t="s">
        <v>1524</v>
      </c>
      <c r="AA840" s="1473" t="s">
        <v>1306</v>
      </c>
      <c r="AB840" s="1486" t="s">
        <v>1403</v>
      </c>
      <c r="AC840" s="1499"/>
      <c r="AD840" s="1500"/>
      <c r="AE840" s="1501"/>
      <c r="AF840" s="1501"/>
      <c r="AG840" s="1457" t="str">
        <f t="shared" si="56"/>
        <v>23調査結果-その他-6（6）-改善策の具体的内容等</v>
      </c>
      <c r="AI840" s="1459"/>
      <c r="AJ840" s="1459"/>
      <c r="AK840" s="1459"/>
    </row>
    <row r="841" spans="1:37" s="1457" customFormat="1" ht="18.75" customHeight="1" x14ac:dyDescent="0.15">
      <c r="A841" s="1578"/>
      <c r="B841" s="1462"/>
      <c r="C841" s="1462"/>
      <c r="D841" s="1460">
        <f>'1_入力シート【基本情報】'!$BS$483</f>
        <v>0</v>
      </c>
      <c r="E841" s="1650">
        <f t="shared" si="53"/>
        <v>0</v>
      </c>
      <c r="F841" s="1650" t="str">
        <f t="shared" si="54"/>
        <v>0</v>
      </c>
      <c r="G841" s="1650" t="str">
        <f t="shared" si="55"/>
        <v>0</v>
      </c>
      <c r="H841" s="1468"/>
      <c r="I841" s="1462"/>
      <c r="J841" s="1531"/>
      <c r="K841" s="1462"/>
      <c r="L841" s="1462"/>
      <c r="M841" s="1493"/>
      <c r="N841" s="1462"/>
      <c r="O841" s="1462"/>
      <c r="P841" s="1462"/>
      <c r="Q841" s="1462"/>
      <c r="R841" s="1462"/>
      <c r="S841" s="1462"/>
      <c r="T841" s="1462"/>
      <c r="U841" s="1469">
        <v>23</v>
      </c>
      <c r="V841" s="1486" t="s">
        <v>33</v>
      </c>
      <c r="W841" s="1471" t="s">
        <v>1306</v>
      </c>
      <c r="X841" s="1472" t="s">
        <v>137</v>
      </c>
      <c r="Y841" s="1473" t="s">
        <v>1306</v>
      </c>
      <c r="Z841" s="1474" t="s">
        <v>1524</v>
      </c>
      <c r="AA841" s="1473" t="s">
        <v>1306</v>
      </c>
      <c r="AB841" s="1470" t="s">
        <v>352</v>
      </c>
      <c r="AC841" s="1475" t="s">
        <v>1366</v>
      </c>
      <c r="AD841" s="1476" t="s">
        <v>1387</v>
      </c>
      <c r="AE841" s="1501"/>
      <c r="AF841" s="1501"/>
      <c r="AG841" s="1457" t="str">
        <f t="shared" si="56"/>
        <v>23調査結果-その他-6（6）-改善（予定）年月-年（令和）</v>
      </c>
      <c r="AI841" s="1459"/>
      <c r="AJ841" s="1459"/>
      <c r="AK841" s="1459"/>
    </row>
    <row r="842" spans="1:37" s="1457" customFormat="1" ht="18.75" customHeight="1" x14ac:dyDescent="0.15">
      <c r="A842" s="1578"/>
      <c r="B842" s="1462"/>
      <c r="C842" s="1462"/>
      <c r="D842" s="1460">
        <f>'1_入力シート【基本情報】'!$BV$483</f>
        <v>0</v>
      </c>
      <c r="E842" s="1650">
        <f t="shared" si="53"/>
        <v>0</v>
      </c>
      <c r="F842" s="1650" t="str">
        <f t="shared" si="54"/>
        <v>0</v>
      </c>
      <c r="G842" s="1650" t="str">
        <f t="shared" si="55"/>
        <v>0</v>
      </c>
      <c r="H842" s="1468"/>
      <c r="I842" s="1462"/>
      <c r="J842" s="1531"/>
      <c r="K842" s="1462"/>
      <c r="L842" s="1462"/>
      <c r="M842" s="1493"/>
      <c r="N842" s="1462"/>
      <c r="O842" s="1462"/>
      <c r="P842" s="1462"/>
      <c r="Q842" s="1462"/>
      <c r="R842" s="1462"/>
      <c r="S842" s="1462"/>
      <c r="T842" s="1462"/>
      <c r="U842" s="1469">
        <v>23</v>
      </c>
      <c r="V842" s="1486" t="s">
        <v>33</v>
      </c>
      <c r="W842" s="1471" t="s">
        <v>1306</v>
      </c>
      <c r="X842" s="1472" t="s">
        <v>137</v>
      </c>
      <c r="Y842" s="1473" t="s">
        <v>1306</v>
      </c>
      <c r="Z842" s="1474" t="s">
        <v>1524</v>
      </c>
      <c r="AA842" s="1473" t="s">
        <v>1306</v>
      </c>
      <c r="AB842" s="1470" t="s">
        <v>352</v>
      </c>
      <c r="AC842" s="1499" t="s">
        <v>1366</v>
      </c>
      <c r="AD842" s="1500" t="s">
        <v>348</v>
      </c>
      <c r="AE842" s="1501"/>
      <c r="AF842" s="1501"/>
      <c r="AG842" s="1457" t="str">
        <f t="shared" si="56"/>
        <v>23調査結果-その他-6（6）-改善（予定）年月-月</v>
      </c>
      <c r="AI842" s="1459"/>
      <c r="AJ842" s="1459"/>
      <c r="AK842" s="1459"/>
    </row>
    <row r="843" spans="1:37" s="1457" customFormat="1" ht="18.75" customHeight="1" x14ac:dyDescent="0.15">
      <c r="A843" s="1578"/>
      <c r="B843" s="1462"/>
      <c r="C843" s="1462"/>
      <c r="D843" s="1460">
        <f>'1_入力シート【基本情報】'!$BY$483</f>
        <v>0</v>
      </c>
      <c r="E843" s="1650">
        <f t="shared" si="53"/>
        <v>0</v>
      </c>
      <c r="F843" s="1650" t="str">
        <f t="shared" si="54"/>
        <v>0</v>
      </c>
      <c r="G843" s="1650" t="str">
        <f t="shared" si="55"/>
        <v>0</v>
      </c>
      <c r="H843" s="1468"/>
      <c r="I843" s="1462"/>
      <c r="J843" s="1531"/>
      <c r="K843" s="1462"/>
      <c r="L843" s="1462"/>
      <c r="M843" s="1493"/>
      <c r="N843" s="1462"/>
      <c r="O843" s="1462"/>
      <c r="P843" s="1462"/>
      <c r="Q843" s="1462"/>
      <c r="R843" s="1462"/>
      <c r="S843" s="1462"/>
      <c r="T843" s="1462"/>
      <c r="U843" s="1469">
        <v>23</v>
      </c>
      <c r="V843" s="1486" t="s">
        <v>33</v>
      </c>
      <c r="W843" s="1471" t="s">
        <v>1306</v>
      </c>
      <c r="X843" s="1472" t="s">
        <v>137</v>
      </c>
      <c r="Y843" s="1473" t="s">
        <v>1306</v>
      </c>
      <c r="Z843" s="1474" t="s">
        <v>1524</v>
      </c>
      <c r="AA843" s="1473" t="s">
        <v>1306</v>
      </c>
      <c r="AB843" s="1470" t="s">
        <v>352</v>
      </c>
      <c r="AC843" s="1499" t="s">
        <v>1366</v>
      </c>
      <c r="AD843" s="1500" t="s">
        <v>640</v>
      </c>
      <c r="AE843" s="1501"/>
      <c r="AF843" s="1501"/>
      <c r="AG843" s="1457" t="str">
        <f t="shared" si="56"/>
        <v>23調査結果-その他-6（6）-改善（予定）年月-未定</v>
      </c>
      <c r="AI843" s="1459"/>
      <c r="AJ843" s="1459"/>
      <c r="AK843" s="1459"/>
    </row>
    <row r="844" spans="1:37" s="1457" customFormat="1" ht="18.75" customHeight="1" x14ac:dyDescent="0.15">
      <c r="A844" s="1578"/>
      <c r="B844" s="1462"/>
      <c r="C844" s="1462"/>
      <c r="D844" s="1460">
        <f>'1_入力シート【基本情報】'!$AF$484</f>
        <v>0</v>
      </c>
      <c r="E844" s="1650">
        <f t="shared" si="53"/>
        <v>0</v>
      </c>
      <c r="F844" s="1650" t="str">
        <f t="shared" si="54"/>
        <v>0</v>
      </c>
      <c r="G844" s="1650" t="str">
        <f t="shared" si="55"/>
        <v>0</v>
      </c>
      <c r="H844" s="1468"/>
      <c r="I844" s="1462"/>
      <c r="J844" s="1531"/>
      <c r="K844" s="1462"/>
      <c r="L844" s="1462"/>
      <c r="M844" s="1493"/>
      <c r="N844" s="1462"/>
      <c r="O844" s="1462"/>
      <c r="P844" s="1462"/>
      <c r="Q844" s="1462"/>
      <c r="R844" s="1462"/>
      <c r="S844" s="1462"/>
      <c r="T844" s="1462"/>
      <c r="U844" s="1469">
        <v>23</v>
      </c>
      <c r="V844" s="1486" t="s">
        <v>33</v>
      </c>
      <c r="W844" s="1471" t="s">
        <v>1306</v>
      </c>
      <c r="X844" s="1472" t="s">
        <v>137</v>
      </c>
      <c r="Y844" s="1473" t="s">
        <v>1306</v>
      </c>
      <c r="Z844" s="1474" t="s">
        <v>1525</v>
      </c>
      <c r="AA844" s="1473" t="s">
        <v>1306</v>
      </c>
      <c r="AB844" s="1470" t="s">
        <v>33</v>
      </c>
      <c r="AC844" s="1499"/>
      <c r="AD844" s="1500"/>
      <c r="AE844" s="1477"/>
      <c r="AF844" s="1477"/>
      <c r="AG844" s="1457" t="str">
        <f t="shared" ref="AG844:AG907" si="57">CONCATENATE(U844,V844,W844,X844,Y844,Z844,AA844,AB844,AC844,AD844)</f>
        <v>23調査結果-その他-6（7）-調査結果</v>
      </c>
      <c r="AI844" s="1459"/>
      <c r="AJ844" s="1459"/>
      <c r="AK844" s="1459"/>
    </row>
    <row r="845" spans="1:37" s="1457" customFormat="1" ht="18.75" customHeight="1" x14ac:dyDescent="0.15">
      <c r="A845" s="1578"/>
      <c r="B845" s="1462"/>
      <c r="C845" s="1462"/>
      <c r="D845" s="1460">
        <f>'1_入力シート【基本情報】'!$AR$484</f>
        <v>0</v>
      </c>
      <c r="E845" s="1650">
        <f t="shared" si="53"/>
        <v>0</v>
      </c>
      <c r="F845" s="1650" t="str">
        <f t="shared" si="54"/>
        <v>0</v>
      </c>
      <c r="G845" s="1650" t="str">
        <f t="shared" si="55"/>
        <v>0</v>
      </c>
      <c r="H845" s="1468"/>
      <c r="I845" s="1462"/>
      <c r="J845" s="1531"/>
      <c r="K845" s="1462"/>
      <c r="L845" s="1462"/>
      <c r="M845" s="1493"/>
      <c r="N845" s="1462"/>
      <c r="O845" s="1462"/>
      <c r="P845" s="1462"/>
      <c r="Q845" s="1462"/>
      <c r="R845" s="1462"/>
      <c r="S845" s="1462"/>
      <c r="T845" s="1462"/>
      <c r="U845" s="1469">
        <v>23</v>
      </c>
      <c r="V845" s="1486" t="s">
        <v>33</v>
      </c>
      <c r="W845" s="1471" t="s">
        <v>1306</v>
      </c>
      <c r="X845" s="1472" t="s">
        <v>137</v>
      </c>
      <c r="Y845" s="1473" t="s">
        <v>1306</v>
      </c>
      <c r="Z845" s="1474" t="s">
        <v>1525</v>
      </c>
      <c r="AA845" s="1473" t="s">
        <v>1306</v>
      </c>
      <c r="AB845" s="1470" t="s">
        <v>30</v>
      </c>
      <c r="AC845" s="1499"/>
      <c r="AD845" s="1500"/>
      <c r="AE845" s="1501"/>
      <c r="AF845" s="1501"/>
      <c r="AG845" s="1457" t="str">
        <f t="shared" si="57"/>
        <v>23調査結果-その他-6（7）-調査者番号</v>
      </c>
      <c r="AI845" s="1459"/>
      <c r="AJ845" s="1459"/>
      <c r="AK845" s="1459"/>
    </row>
    <row r="846" spans="1:37" s="1457" customFormat="1" ht="18.75" customHeight="1" x14ac:dyDescent="0.15">
      <c r="A846" s="1578"/>
      <c r="B846" s="1462"/>
      <c r="C846" s="1462"/>
      <c r="D846" s="1460">
        <f>'1_入力シート【基本情報】'!$AT$484</f>
        <v>0</v>
      </c>
      <c r="E846" s="1650">
        <f t="shared" si="53"/>
        <v>0</v>
      </c>
      <c r="F846" s="1650" t="str">
        <f t="shared" si="54"/>
        <v>0</v>
      </c>
      <c r="G846" s="1650" t="str">
        <f t="shared" si="55"/>
        <v>0</v>
      </c>
      <c r="H846" s="1468"/>
      <c r="I846" s="1462"/>
      <c r="J846" s="1531"/>
      <c r="K846" s="1462"/>
      <c r="L846" s="1462"/>
      <c r="M846" s="1493"/>
      <c r="N846" s="1462"/>
      <c r="O846" s="1462"/>
      <c r="P846" s="1462"/>
      <c r="Q846" s="1462"/>
      <c r="R846" s="1462"/>
      <c r="S846" s="1462"/>
      <c r="T846" s="1462"/>
      <c r="U846" s="1469">
        <v>23</v>
      </c>
      <c r="V846" s="1486" t="s">
        <v>33</v>
      </c>
      <c r="W846" s="1471" t="s">
        <v>1306</v>
      </c>
      <c r="X846" s="1472" t="s">
        <v>137</v>
      </c>
      <c r="Y846" s="1473" t="s">
        <v>1306</v>
      </c>
      <c r="Z846" s="1474" t="s">
        <v>1525</v>
      </c>
      <c r="AA846" s="1473" t="s">
        <v>1306</v>
      </c>
      <c r="AB846" s="1486" t="s">
        <v>1402</v>
      </c>
      <c r="AC846" s="1499"/>
      <c r="AD846" s="1500"/>
      <c r="AE846" s="1501"/>
      <c r="AF846" s="1501"/>
      <c r="AG846" s="1457" t="str">
        <f t="shared" si="57"/>
        <v>23調査結果-その他-6（7）-指摘の具体的内容等</v>
      </c>
      <c r="AI846" s="1459"/>
      <c r="AJ846" s="1459"/>
      <c r="AK846" s="1459"/>
    </row>
    <row r="847" spans="1:37" s="1457" customFormat="1" ht="18.75" customHeight="1" x14ac:dyDescent="0.15">
      <c r="A847" s="1578"/>
      <c r="B847" s="1462"/>
      <c r="C847" s="1462"/>
      <c r="D847" s="1460">
        <f>'1_入力シート【基本情報】'!$BD$484</f>
        <v>0</v>
      </c>
      <c r="E847" s="1650">
        <f t="shared" si="53"/>
        <v>0</v>
      </c>
      <c r="F847" s="1650" t="str">
        <f t="shared" si="54"/>
        <v>0</v>
      </c>
      <c r="G847" s="1650" t="str">
        <f t="shared" si="55"/>
        <v>0</v>
      </c>
      <c r="H847" s="1468"/>
      <c r="I847" s="1462"/>
      <c r="J847" s="1531"/>
      <c r="K847" s="1462"/>
      <c r="L847" s="1462"/>
      <c r="M847" s="1493"/>
      <c r="N847" s="1462"/>
      <c r="O847" s="1462"/>
      <c r="P847" s="1462"/>
      <c r="Q847" s="1462"/>
      <c r="R847" s="1462"/>
      <c r="S847" s="1462"/>
      <c r="T847" s="1462"/>
      <c r="U847" s="1469">
        <v>23</v>
      </c>
      <c r="V847" s="1486" t="s">
        <v>33</v>
      </c>
      <c r="W847" s="1471" t="s">
        <v>1306</v>
      </c>
      <c r="X847" s="1472" t="s">
        <v>137</v>
      </c>
      <c r="Y847" s="1473" t="s">
        <v>1306</v>
      </c>
      <c r="Z847" s="1474" t="s">
        <v>1525</v>
      </c>
      <c r="AA847" s="1473" t="s">
        <v>1306</v>
      </c>
      <c r="AB847" s="1486" t="s">
        <v>1403</v>
      </c>
      <c r="AC847" s="1499"/>
      <c r="AD847" s="1500"/>
      <c r="AE847" s="1501"/>
      <c r="AF847" s="1501"/>
      <c r="AG847" s="1457" t="str">
        <f t="shared" si="57"/>
        <v>23調査結果-その他-6（7）-改善策の具体的内容等</v>
      </c>
      <c r="AI847" s="1459"/>
      <c r="AJ847" s="1459"/>
      <c r="AK847" s="1459"/>
    </row>
    <row r="848" spans="1:37" s="1457" customFormat="1" ht="18.75" customHeight="1" x14ac:dyDescent="0.15">
      <c r="A848" s="1578"/>
      <c r="B848" s="1462"/>
      <c r="C848" s="1462"/>
      <c r="D848" s="1460">
        <f>'1_入力シート【基本情報】'!$BS$484</f>
        <v>0</v>
      </c>
      <c r="E848" s="1650">
        <f t="shared" si="53"/>
        <v>0</v>
      </c>
      <c r="F848" s="1650" t="str">
        <f t="shared" si="54"/>
        <v>0</v>
      </c>
      <c r="G848" s="1650" t="str">
        <f t="shared" si="55"/>
        <v>0</v>
      </c>
      <c r="H848" s="1468"/>
      <c r="I848" s="1462"/>
      <c r="J848" s="1531"/>
      <c r="K848" s="1462"/>
      <c r="L848" s="1462"/>
      <c r="M848" s="1493"/>
      <c r="N848" s="1462"/>
      <c r="O848" s="1462"/>
      <c r="P848" s="1462"/>
      <c r="Q848" s="1462"/>
      <c r="R848" s="1462"/>
      <c r="S848" s="1462"/>
      <c r="T848" s="1462"/>
      <c r="U848" s="1469">
        <v>23</v>
      </c>
      <c r="V848" s="1486" t="s">
        <v>33</v>
      </c>
      <c r="W848" s="1471" t="s">
        <v>1306</v>
      </c>
      <c r="X848" s="1472" t="s">
        <v>137</v>
      </c>
      <c r="Y848" s="1473" t="s">
        <v>1306</v>
      </c>
      <c r="Z848" s="1474" t="s">
        <v>1525</v>
      </c>
      <c r="AA848" s="1473" t="s">
        <v>1306</v>
      </c>
      <c r="AB848" s="1486" t="s">
        <v>352</v>
      </c>
      <c r="AC848" s="1499" t="s">
        <v>1366</v>
      </c>
      <c r="AD848" s="1500" t="s">
        <v>1387</v>
      </c>
      <c r="AE848" s="1501"/>
      <c r="AF848" s="1501"/>
      <c r="AG848" s="1457" t="str">
        <f t="shared" si="57"/>
        <v>23調査結果-その他-6（7）-改善（予定）年月-年（令和）</v>
      </c>
      <c r="AI848" s="1459"/>
      <c r="AJ848" s="1459"/>
      <c r="AK848" s="1459"/>
    </row>
    <row r="849" spans="1:37" s="1457" customFormat="1" ht="18.75" customHeight="1" x14ac:dyDescent="0.15">
      <c r="A849" s="1578"/>
      <c r="B849" s="1462"/>
      <c r="C849" s="1462"/>
      <c r="D849" s="1460">
        <f>'1_入力シート【基本情報】'!$BV$484</f>
        <v>0</v>
      </c>
      <c r="E849" s="1650">
        <f t="shared" si="53"/>
        <v>0</v>
      </c>
      <c r="F849" s="1650" t="str">
        <f t="shared" si="54"/>
        <v>0</v>
      </c>
      <c r="G849" s="1650" t="str">
        <f t="shared" si="55"/>
        <v>0</v>
      </c>
      <c r="H849" s="1468"/>
      <c r="I849" s="1462"/>
      <c r="J849" s="1531"/>
      <c r="K849" s="1462"/>
      <c r="L849" s="1462"/>
      <c r="M849" s="1493"/>
      <c r="N849" s="1462"/>
      <c r="O849" s="1462"/>
      <c r="P849" s="1462"/>
      <c r="Q849" s="1462"/>
      <c r="R849" s="1462"/>
      <c r="S849" s="1462"/>
      <c r="T849" s="1462"/>
      <c r="U849" s="1469">
        <v>23</v>
      </c>
      <c r="V849" s="1486" t="s">
        <v>33</v>
      </c>
      <c r="W849" s="1471" t="s">
        <v>1306</v>
      </c>
      <c r="X849" s="1472" t="s">
        <v>137</v>
      </c>
      <c r="Y849" s="1473" t="s">
        <v>1306</v>
      </c>
      <c r="Z849" s="1474" t="s">
        <v>1525</v>
      </c>
      <c r="AA849" s="1473" t="s">
        <v>1306</v>
      </c>
      <c r="AB849" s="1470" t="s">
        <v>352</v>
      </c>
      <c r="AC849" s="1475" t="s">
        <v>1366</v>
      </c>
      <c r="AD849" s="1476" t="s">
        <v>348</v>
      </c>
      <c r="AE849" s="1501"/>
      <c r="AF849" s="1501"/>
      <c r="AG849" s="1457" t="str">
        <f t="shared" si="57"/>
        <v>23調査結果-その他-6（7）-改善（予定）年月-月</v>
      </c>
      <c r="AI849" s="1459"/>
      <c r="AJ849" s="1459"/>
      <c r="AK849" s="1459"/>
    </row>
    <row r="850" spans="1:37" s="1457" customFormat="1" ht="18.75" customHeight="1" x14ac:dyDescent="0.15">
      <c r="A850" s="1578"/>
      <c r="B850" s="1462"/>
      <c r="C850" s="1462"/>
      <c r="D850" s="1460">
        <f>'1_入力シート【基本情報】'!$BY$484</f>
        <v>0</v>
      </c>
      <c r="E850" s="1650">
        <f t="shared" si="53"/>
        <v>0</v>
      </c>
      <c r="F850" s="1650" t="str">
        <f t="shared" si="54"/>
        <v>0</v>
      </c>
      <c r="G850" s="1650" t="str">
        <f t="shared" si="55"/>
        <v>0</v>
      </c>
      <c r="H850" s="1468"/>
      <c r="I850" s="1462"/>
      <c r="J850" s="1531"/>
      <c r="K850" s="1462"/>
      <c r="L850" s="1462"/>
      <c r="M850" s="1493"/>
      <c r="N850" s="1462"/>
      <c r="O850" s="1462"/>
      <c r="P850" s="1462"/>
      <c r="Q850" s="1462"/>
      <c r="R850" s="1462"/>
      <c r="S850" s="1462"/>
      <c r="T850" s="1462"/>
      <c r="U850" s="1469">
        <v>23</v>
      </c>
      <c r="V850" s="1486" t="s">
        <v>33</v>
      </c>
      <c r="W850" s="1471" t="s">
        <v>1306</v>
      </c>
      <c r="X850" s="1472" t="s">
        <v>137</v>
      </c>
      <c r="Y850" s="1473" t="s">
        <v>1306</v>
      </c>
      <c r="Z850" s="1474" t="s">
        <v>1525</v>
      </c>
      <c r="AA850" s="1473" t="s">
        <v>1306</v>
      </c>
      <c r="AB850" s="1470" t="s">
        <v>352</v>
      </c>
      <c r="AC850" s="1499" t="s">
        <v>1366</v>
      </c>
      <c r="AD850" s="1500" t="s">
        <v>640</v>
      </c>
      <c r="AE850" s="1501"/>
      <c r="AF850" s="1501"/>
      <c r="AG850" s="1457" t="str">
        <f t="shared" si="57"/>
        <v>23調査結果-その他-6（7）-改善（予定）年月-未定</v>
      </c>
      <c r="AI850" s="1459"/>
      <c r="AJ850" s="1459"/>
      <c r="AK850" s="1459"/>
    </row>
    <row r="851" spans="1:37" s="1457" customFormat="1" ht="18.75" customHeight="1" x14ac:dyDescent="0.15">
      <c r="A851" s="1578"/>
      <c r="B851" s="1462"/>
      <c r="C851" s="1462"/>
      <c r="D851" s="1460">
        <f>'1_入力シート【基本情報】'!$AF$485</f>
        <v>0</v>
      </c>
      <c r="E851" s="1650">
        <f t="shared" si="53"/>
        <v>0</v>
      </c>
      <c r="F851" s="1650" t="str">
        <f t="shared" si="54"/>
        <v>0</v>
      </c>
      <c r="G851" s="1650" t="str">
        <f t="shared" si="55"/>
        <v>0</v>
      </c>
      <c r="H851" s="1468"/>
      <c r="I851" s="1462"/>
      <c r="J851" s="1531"/>
      <c r="K851" s="1462"/>
      <c r="L851" s="1462"/>
      <c r="M851" s="1493"/>
      <c r="N851" s="1462"/>
      <c r="O851" s="1462"/>
      <c r="P851" s="1462"/>
      <c r="Q851" s="1462"/>
      <c r="R851" s="1462"/>
      <c r="S851" s="1462"/>
      <c r="T851" s="1462"/>
      <c r="U851" s="1469">
        <v>23</v>
      </c>
      <c r="V851" s="1486" t="s">
        <v>33</v>
      </c>
      <c r="W851" s="1471" t="s">
        <v>1306</v>
      </c>
      <c r="X851" s="1472" t="s">
        <v>137</v>
      </c>
      <c r="Y851" s="1473" t="s">
        <v>1306</v>
      </c>
      <c r="Z851" s="1474" t="s">
        <v>1526</v>
      </c>
      <c r="AA851" s="1473" t="s">
        <v>1306</v>
      </c>
      <c r="AB851" s="1470" t="s">
        <v>33</v>
      </c>
      <c r="AC851" s="1499"/>
      <c r="AD851" s="1500"/>
      <c r="AE851" s="1501"/>
      <c r="AF851" s="1501"/>
      <c r="AG851" s="1457" t="str">
        <f t="shared" si="57"/>
        <v>23調査結果-その他-6（8）-調査結果</v>
      </c>
      <c r="AI851" s="1459"/>
      <c r="AJ851" s="1459"/>
      <c r="AK851" s="1459"/>
    </row>
    <row r="852" spans="1:37" s="1457" customFormat="1" ht="18.75" customHeight="1" x14ac:dyDescent="0.15">
      <c r="A852" s="1578"/>
      <c r="B852" s="1462"/>
      <c r="C852" s="1462"/>
      <c r="D852" s="1460">
        <f>'1_入力シート【基本情報】'!$AR$485</f>
        <v>0</v>
      </c>
      <c r="E852" s="1650">
        <f t="shared" si="53"/>
        <v>0</v>
      </c>
      <c r="F852" s="1650" t="str">
        <f t="shared" si="54"/>
        <v>0</v>
      </c>
      <c r="G852" s="1650" t="str">
        <f t="shared" si="55"/>
        <v>0</v>
      </c>
      <c r="H852" s="1468"/>
      <c r="I852" s="1462"/>
      <c r="J852" s="1531"/>
      <c r="K852" s="1462"/>
      <c r="L852" s="1462"/>
      <c r="M852" s="1493"/>
      <c r="N852" s="1462"/>
      <c r="O852" s="1462"/>
      <c r="P852" s="1462"/>
      <c r="Q852" s="1462"/>
      <c r="R852" s="1462"/>
      <c r="S852" s="1462"/>
      <c r="T852" s="1462"/>
      <c r="U852" s="1469">
        <v>23</v>
      </c>
      <c r="V852" s="1486" t="s">
        <v>33</v>
      </c>
      <c r="W852" s="1471" t="s">
        <v>1306</v>
      </c>
      <c r="X852" s="1472" t="s">
        <v>137</v>
      </c>
      <c r="Y852" s="1473" t="s">
        <v>1306</v>
      </c>
      <c r="Z852" s="1474" t="s">
        <v>1526</v>
      </c>
      <c r="AA852" s="1473" t="s">
        <v>1306</v>
      </c>
      <c r="AB852" s="1470" t="s">
        <v>30</v>
      </c>
      <c r="AC852" s="1499"/>
      <c r="AD852" s="1500"/>
      <c r="AE852" s="1477"/>
      <c r="AF852" s="1477"/>
      <c r="AG852" s="1457" t="str">
        <f t="shared" si="57"/>
        <v>23調査結果-その他-6（8）-調査者番号</v>
      </c>
      <c r="AI852" s="1459"/>
      <c r="AJ852" s="1459"/>
      <c r="AK852" s="1459"/>
    </row>
    <row r="853" spans="1:37" s="1457" customFormat="1" ht="18.75" customHeight="1" x14ac:dyDescent="0.15">
      <c r="A853" s="1578"/>
      <c r="B853" s="1462"/>
      <c r="C853" s="1462"/>
      <c r="D853" s="1460">
        <f>'1_入力シート【基本情報】'!$AT$485</f>
        <v>0</v>
      </c>
      <c r="E853" s="1650">
        <f t="shared" si="53"/>
        <v>0</v>
      </c>
      <c r="F853" s="1650" t="str">
        <f t="shared" si="54"/>
        <v>0</v>
      </c>
      <c r="G853" s="1650" t="str">
        <f t="shared" si="55"/>
        <v>0</v>
      </c>
      <c r="H853" s="1468"/>
      <c r="I853" s="1462"/>
      <c r="J853" s="1531"/>
      <c r="K853" s="1462"/>
      <c r="L853" s="1462"/>
      <c r="M853" s="1493"/>
      <c r="N853" s="1462"/>
      <c r="O853" s="1462"/>
      <c r="P853" s="1462"/>
      <c r="Q853" s="1462"/>
      <c r="R853" s="1462"/>
      <c r="S853" s="1462"/>
      <c r="T853" s="1462"/>
      <c r="U853" s="1469">
        <v>23</v>
      </c>
      <c r="V853" s="1486" t="s">
        <v>33</v>
      </c>
      <c r="W853" s="1471" t="s">
        <v>1306</v>
      </c>
      <c r="X853" s="1472" t="s">
        <v>137</v>
      </c>
      <c r="Y853" s="1473" t="s">
        <v>1306</v>
      </c>
      <c r="Z853" s="1474" t="s">
        <v>1526</v>
      </c>
      <c r="AA853" s="1473" t="s">
        <v>1306</v>
      </c>
      <c r="AB853" s="1470" t="s">
        <v>1402</v>
      </c>
      <c r="AC853" s="1499"/>
      <c r="AD853" s="1500"/>
      <c r="AE853" s="1501"/>
      <c r="AF853" s="1501"/>
      <c r="AG853" s="1457" t="str">
        <f t="shared" si="57"/>
        <v>23調査結果-その他-6（8）-指摘の具体的内容等</v>
      </c>
      <c r="AI853" s="1459"/>
      <c r="AJ853" s="1459"/>
      <c r="AK853" s="1459"/>
    </row>
    <row r="854" spans="1:37" s="1457" customFormat="1" ht="18.75" customHeight="1" x14ac:dyDescent="0.15">
      <c r="A854" s="1578"/>
      <c r="B854" s="1462"/>
      <c r="C854" s="1462"/>
      <c r="D854" s="1460">
        <f>'1_入力シート【基本情報】'!$BD$485</f>
        <v>0</v>
      </c>
      <c r="E854" s="1650">
        <f t="shared" si="53"/>
        <v>0</v>
      </c>
      <c r="F854" s="1650" t="str">
        <f t="shared" si="54"/>
        <v>0</v>
      </c>
      <c r="G854" s="1650" t="str">
        <f t="shared" si="55"/>
        <v>0</v>
      </c>
      <c r="H854" s="1468"/>
      <c r="I854" s="1462"/>
      <c r="J854" s="1531"/>
      <c r="K854" s="1462"/>
      <c r="L854" s="1462"/>
      <c r="M854" s="1493"/>
      <c r="N854" s="1462"/>
      <c r="O854" s="1462"/>
      <c r="P854" s="1462"/>
      <c r="Q854" s="1462"/>
      <c r="R854" s="1462"/>
      <c r="S854" s="1462"/>
      <c r="T854" s="1462"/>
      <c r="U854" s="1469">
        <v>23</v>
      </c>
      <c r="V854" s="1486" t="s">
        <v>33</v>
      </c>
      <c r="W854" s="1471" t="s">
        <v>1306</v>
      </c>
      <c r="X854" s="1472" t="s">
        <v>137</v>
      </c>
      <c r="Y854" s="1473" t="s">
        <v>1306</v>
      </c>
      <c r="Z854" s="1474" t="s">
        <v>1526</v>
      </c>
      <c r="AA854" s="1473" t="s">
        <v>1306</v>
      </c>
      <c r="AB854" s="1486" t="s">
        <v>1403</v>
      </c>
      <c r="AC854" s="1499"/>
      <c r="AD854" s="1500"/>
      <c r="AE854" s="1501"/>
      <c r="AF854" s="1501"/>
      <c r="AG854" s="1457" t="str">
        <f t="shared" si="57"/>
        <v>23調査結果-その他-6（8）-改善策の具体的内容等</v>
      </c>
      <c r="AI854" s="1459"/>
      <c r="AJ854" s="1459"/>
      <c r="AK854" s="1459"/>
    </row>
    <row r="855" spans="1:37" s="1457" customFormat="1" ht="18.75" customHeight="1" x14ac:dyDescent="0.15">
      <c r="A855" s="1578"/>
      <c r="B855" s="1462"/>
      <c r="C855" s="1462"/>
      <c r="D855" s="1460">
        <f>'1_入力シート【基本情報】'!$BS$485</f>
        <v>0</v>
      </c>
      <c r="E855" s="1650">
        <f t="shared" si="53"/>
        <v>0</v>
      </c>
      <c r="F855" s="1650" t="str">
        <f t="shared" si="54"/>
        <v>0</v>
      </c>
      <c r="G855" s="1650" t="str">
        <f t="shared" si="55"/>
        <v>0</v>
      </c>
      <c r="H855" s="1468"/>
      <c r="I855" s="1462"/>
      <c r="J855" s="1531"/>
      <c r="K855" s="1462"/>
      <c r="L855" s="1462"/>
      <c r="M855" s="1493"/>
      <c r="N855" s="1462"/>
      <c r="O855" s="1462"/>
      <c r="P855" s="1462"/>
      <c r="Q855" s="1462"/>
      <c r="R855" s="1462"/>
      <c r="S855" s="1462"/>
      <c r="T855" s="1462"/>
      <c r="U855" s="1469">
        <v>23</v>
      </c>
      <c r="V855" s="1486" t="s">
        <v>33</v>
      </c>
      <c r="W855" s="1471" t="s">
        <v>1306</v>
      </c>
      <c r="X855" s="1472" t="s">
        <v>137</v>
      </c>
      <c r="Y855" s="1473" t="s">
        <v>1306</v>
      </c>
      <c r="Z855" s="1474" t="s">
        <v>1526</v>
      </c>
      <c r="AA855" s="1473" t="s">
        <v>1306</v>
      </c>
      <c r="AB855" s="1486" t="s">
        <v>352</v>
      </c>
      <c r="AC855" s="1499" t="s">
        <v>1366</v>
      </c>
      <c r="AD855" s="1500" t="s">
        <v>1387</v>
      </c>
      <c r="AE855" s="1501"/>
      <c r="AF855" s="1501"/>
      <c r="AG855" s="1457" t="str">
        <f t="shared" si="57"/>
        <v>23調査結果-その他-6（8）-改善（予定）年月-年（令和）</v>
      </c>
      <c r="AI855" s="1459"/>
      <c r="AJ855" s="1459"/>
      <c r="AK855" s="1459"/>
    </row>
    <row r="856" spans="1:37" s="1457" customFormat="1" ht="18.75" customHeight="1" x14ac:dyDescent="0.15">
      <c r="A856" s="1578"/>
      <c r="B856" s="1462"/>
      <c r="C856" s="1462"/>
      <c r="D856" s="1460">
        <f>'1_入力シート【基本情報】'!$BV$485</f>
        <v>0</v>
      </c>
      <c r="E856" s="1650">
        <f t="shared" si="53"/>
        <v>0</v>
      </c>
      <c r="F856" s="1650" t="str">
        <f t="shared" si="54"/>
        <v>0</v>
      </c>
      <c r="G856" s="1650" t="str">
        <f t="shared" si="55"/>
        <v>0</v>
      </c>
      <c r="H856" s="1468"/>
      <c r="I856" s="1462"/>
      <c r="J856" s="1531"/>
      <c r="K856" s="1462"/>
      <c r="L856" s="1462"/>
      <c r="M856" s="1493"/>
      <c r="N856" s="1462"/>
      <c r="O856" s="1462"/>
      <c r="P856" s="1462"/>
      <c r="Q856" s="1462"/>
      <c r="R856" s="1462"/>
      <c r="S856" s="1462"/>
      <c r="T856" s="1462"/>
      <c r="U856" s="1469">
        <v>23</v>
      </c>
      <c r="V856" s="1486" t="s">
        <v>33</v>
      </c>
      <c r="W856" s="1471" t="s">
        <v>1306</v>
      </c>
      <c r="X856" s="1472" t="s">
        <v>137</v>
      </c>
      <c r="Y856" s="1473" t="s">
        <v>1306</v>
      </c>
      <c r="Z856" s="1474" t="s">
        <v>1526</v>
      </c>
      <c r="AA856" s="1473" t="s">
        <v>1306</v>
      </c>
      <c r="AB856" s="1486" t="s">
        <v>352</v>
      </c>
      <c r="AC856" s="1499" t="s">
        <v>1366</v>
      </c>
      <c r="AD856" s="1500" t="s">
        <v>348</v>
      </c>
      <c r="AE856" s="1501"/>
      <c r="AF856" s="1501"/>
      <c r="AG856" s="1457" t="str">
        <f t="shared" si="57"/>
        <v>23調査結果-その他-6（8）-改善（予定）年月-月</v>
      </c>
      <c r="AI856" s="1459"/>
      <c r="AJ856" s="1459"/>
      <c r="AK856" s="1459"/>
    </row>
    <row r="857" spans="1:37" s="1457" customFormat="1" ht="18.75" customHeight="1" x14ac:dyDescent="0.15">
      <c r="A857" s="1578"/>
      <c r="B857" s="1462"/>
      <c r="C857" s="1462"/>
      <c r="D857" s="1460">
        <f>'1_入力シート【基本情報】'!$BY$485</f>
        <v>0</v>
      </c>
      <c r="E857" s="1650">
        <f t="shared" si="53"/>
        <v>0</v>
      </c>
      <c r="F857" s="1650" t="str">
        <f t="shared" si="54"/>
        <v>0</v>
      </c>
      <c r="G857" s="1650" t="str">
        <f t="shared" si="55"/>
        <v>0</v>
      </c>
      <c r="H857" s="1468"/>
      <c r="I857" s="1462"/>
      <c r="J857" s="1531"/>
      <c r="K857" s="1462"/>
      <c r="L857" s="1462"/>
      <c r="M857" s="1493"/>
      <c r="N857" s="1462"/>
      <c r="O857" s="1462"/>
      <c r="P857" s="1462"/>
      <c r="Q857" s="1462"/>
      <c r="R857" s="1462"/>
      <c r="S857" s="1462"/>
      <c r="T857" s="1462"/>
      <c r="U857" s="1469">
        <v>23</v>
      </c>
      <c r="V857" s="1486" t="s">
        <v>33</v>
      </c>
      <c r="W857" s="1471" t="s">
        <v>1306</v>
      </c>
      <c r="X857" s="1472" t="s">
        <v>137</v>
      </c>
      <c r="Y857" s="1473" t="s">
        <v>1306</v>
      </c>
      <c r="Z857" s="1474" t="s">
        <v>1526</v>
      </c>
      <c r="AA857" s="1473" t="s">
        <v>1306</v>
      </c>
      <c r="AB857" s="1470" t="s">
        <v>352</v>
      </c>
      <c r="AC857" s="1475" t="s">
        <v>1366</v>
      </c>
      <c r="AD857" s="1476" t="s">
        <v>640</v>
      </c>
      <c r="AE857" s="1501"/>
      <c r="AF857" s="1501"/>
      <c r="AG857" s="1457" t="str">
        <f t="shared" si="57"/>
        <v>23調査結果-その他-6（8）-改善（予定）年月-未定</v>
      </c>
      <c r="AI857" s="1459"/>
      <c r="AJ857" s="1459"/>
      <c r="AK857" s="1459"/>
    </row>
    <row r="858" spans="1:37" s="1457" customFormat="1" ht="18.75" customHeight="1" x14ac:dyDescent="0.15">
      <c r="A858" s="1578"/>
      <c r="B858" s="1462"/>
      <c r="C858" s="1462"/>
      <c r="D858" s="1460">
        <f>'1_入力シート【基本情報】'!$AF$486</f>
        <v>0</v>
      </c>
      <c r="E858" s="1650">
        <f t="shared" si="53"/>
        <v>0</v>
      </c>
      <c r="F858" s="1650" t="str">
        <f t="shared" si="54"/>
        <v>0</v>
      </c>
      <c r="G858" s="1650" t="str">
        <f t="shared" si="55"/>
        <v>0</v>
      </c>
      <c r="H858" s="1468"/>
      <c r="I858" s="1462"/>
      <c r="J858" s="1531"/>
      <c r="K858" s="1462"/>
      <c r="L858" s="1462"/>
      <c r="M858" s="1493"/>
      <c r="N858" s="1462"/>
      <c r="O858" s="1462"/>
      <c r="P858" s="1462"/>
      <c r="Q858" s="1462"/>
      <c r="R858" s="1462"/>
      <c r="S858" s="1462"/>
      <c r="T858" s="1462"/>
      <c r="U858" s="1469">
        <v>23</v>
      </c>
      <c r="V858" s="1486" t="s">
        <v>33</v>
      </c>
      <c r="W858" s="1471" t="s">
        <v>1306</v>
      </c>
      <c r="X858" s="1472" t="s">
        <v>137</v>
      </c>
      <c r="Y858" s="1473" t="s">
        <v>1306</v>
      </c>
      <c r="Z858" s="1474" t="s">
        <v>1527</v>
      </c>
      <c r="AA858" s="1473" t="s">
        <v>1306</v>
      </c>
      <c r="AB858" s="1470" t="s">
        <v>33</v>
      </c>
      <c r="AC858" s="1499"/>
      <c r="AD858" s="1500"/>
      <c r="AE858" s="1501"/>
      <c r="AF858" s="1501"/>
      <c r="AG858" s="1457" t="str">
        <f t="shared" si="57"/>
        <v>23調査結果-その他-6（9）-調査結果</v>
      </c>
      <c r="AI858" s="1459"/>
      <c r="AJ858" s="1459"/>
      <c r="AK858" s="1459"/>
    </row>
    <row r="859" spans="1:37" s="1457" customFormat="1" ht="18.75" customHeight="1" x14ac:dyDescent="0.15">
      <c r="A859" s="1578"/>
      <c r="B859" s="1462"/>
      <c r="C859" s="1462"/>
      <c r="D859" s="1460">
        <f>'1_入力シート【基本情報】'!$AR$486</f>
        <v>0</v>
      </c>
      <c r="E859" s="1650">
        <f t="shared" si="53"/>
        <v>0</v>
      </c>
      <c r="F859" s="1650" t="str">
        <f t="shared" si="54"/>
        <v>0</v>
      </c>
      <c r="G859" s="1650" t="str">
        <f t="shared" si="55"/>
        <v>0</v>
      </c>
      <c r="H859" s="1468"/>
      <c r="I859" s="1462"/>
      <c r="J859" s="1531"/>
      <c r="K859" s="1462"/>
      <c r="L859" s="1462"/>
      <c r="M859" s="1493"/>
      <c r="N859" s="1462"/>
      <c r="O859" s="1462"/>
      <c r="P859" s="1462"/>
      <c r="Q859" s="1462"/>
      <c r="R859" s="1462"/>
      <c r="S859" s="1462"/>
      <c r="T859" s="1462"/>
      <c r="U859" s="1469">
        <v>23</v>
      </c>
      <c r="V859" s="1486" t="s">
        <v>33</v>
      </c>
      <c r="W859" s="1471" t="s">
        <v>1306</v>
      </c>
      <c r="X859" s="1472" t="s">
        <v>137</v>
      </c>
      <c r="Y859" s="1473" t="s">
        <v>1306</v>
      </c>
      <c r="Z859" s="1474" t="s">
        <v>1527</v>
      </c>
      <c r="AA859" s="1473" t="s">
        <v>1306</v>
      </c>
      <c r="AB859" s="1470" t="s">
        <v>30</v>
      </c>
      <c r="AC859" s="1499"/>
      <c r="AD859" s="1500"/>
      <c r="AE859" s="1501"/>
      <c r="AF859" s="1501"/>
      <c r="AG859" s="1457" t="str">
        <f t="shared" si="57"/>
        <v>23調査結果-その他-6（9）-調査者番号</v>
      </c>
      <c r="AI859" s="1459"/>
      <c r="AJ859" s="1459"/>
      <c r="AK859" s="1459"/>
    </row>
    <row r="860" spans="1:37" s="1457" customFormat="1" ht="18.75" customHeight="1" x14ac:dyDescent="0.15">
      <c r="A860" s="1578"/>
      <c r="B860" s="1462"/>
      <c r="C860" s="1462"/>
      <c r="D860" s="1460">
        <f>'1_入力シート【基本情報】'!$AT$486</f>
        <v>0</v>
      </c>
      <c r="E860" s="1650">
        <f t="shared" ref="E860:E923" si="58">D860</f>
        <v>0</v>
      </c>
      <c r="F860" s="1650" t="str">
        <f t="shared" ref="F860:F923" si="59">SUBSTITUTE(E860,CHAR(10),"")</f>
        <v>0</v>
      </c>
      <c r="G860" s="1650" t="str">
        <f t="shared" ref="G860:G923" si="60">TRIM(F860)</f>
        <v>0</v>
      </c>
      <c r="H860" s="1468"/>
      <c r="I860" s="1462"/>
      <c r="J860" s="1531"/>
      <c r="K860" s="1462"/>
      <c r="L860" s="1462"/>
      <c r="M860" s="1493"/>
      <c r="N860" s="1462"/>
      <c r="O860" s="1462"/>
      <c r="P860" s="1462"/>
      <c r="Q860" s="1462"/>
      <c r="R860" s="1462"/>
      <c r="S860" s="1462"/>
      <c r="T860" s="1462"/>
      <c r="U860" s="1469">
        <v>23</v>
      </c>
      <c r="V860" s="1486" t="s">
        <v>33</v>
      </c>
      <c r="W860" s="1471" t="s">
        <v>1306</v>
      </c>
      <c r="X860" s="1472" t="s">
        <v>137</v>
      </c>
      <c r="Y860" s="1473" t="s">
        <v>1306</v>
      </c>
      <c r="Z860" s="1474" t="s">
        <v>1527</v>
      </c>
      <c r="AA860" s="1473" t="s">
        <v>1306</v>
      </c>
      <c r="AB860" s="1470" t="s">
        <v>1402</v>
      </c>
      <c r="AC860" s="1499"/>
      <c r="AD860" s="1500"/>
      <c r="AE860" s="1501"/>
      <c r="AF860" s="1501"/>
      <c r="AG860" s="1457" t="str">
        <f t="shared" si="57"/>
        <v>23調査結果-その他-6（9）-指摘の具体的内容等</v>
      </c>
      <c r="AI860" s="1459"/>
      <c r="AJ860" s="1459"/>
      <c r="AK860" s="1459"/>
    </row>
    <row r="861" spans="1:37" s="1457" customFormat="1" ht="18.75" customHeight="1" x14ac:dyDescent="0.15">
      <c r="A861" s="1578"/>
      <c r="B861" s="1462"/>
      <c r="C861" s="1462"/>
      <c r="D861" s="1460">
        <f>'1_入力シート【基本情報】'!$BD$486</f>
        <v>0</v>
      </c>
      <c r="E861" s="1650">
        <f t="shared" si="58"/>
        <v>0</v>
      </c>
      <c r="F861" s="1650" t="str">
        <f t="shared" si="59"/>
        <v>0</v>
      </c>
      <c r="G861" s="1650" t="str">
        <f t="shared" si="60"/>
        <v>0</v>
      </c>
      <c r="H861" s="1468"/>
      <c r="I861" s="1462"/>
      <c r="J861" s="1531"/>
      <c r="K861" s="1462"/>
      <c r="L861" s="1462"/>
      <c r="M861" s="1493"/>
      <c r="N861" s="1462"/>
      <c r="O861" s="1462"/>
      <c r="P861" s="1462"/>
      <c r="Q861" s="1462"/>
      <c r="R861" s="1462"/>
      <c r="S861" s="1462"/>
      <c r="T861" s="1462"/>
      <c r="U861" s="1469">
        <v>23</v>
      </c>
      <c r="V861" s="1486" t="s">
        <v>33</v>
      </c>
      <c r="W861" s="1471" t="s">
        <v>1306</v>
      </c>
      <c r="X861" s="1472" t="s">
        <v>137</v>
      </c>
      <c r="Y861" s="1473" t="s">
        <v>1306</v>
      </c>
      <c r="Z861" s="1474" t="s">
        <v>1527</v>
      </c>
      <c r="AA861" s="1473" t="s">
        <v>1306</v>
      </c>
      <c r="AB861" s="1470" t="s">
        <v>1403</v>
      </c>
      <c r="AC861" s="1499"/>
      <c r="AD861" s="1500"/>
      <c r="AE861" s="1501"/>
      <c r="AF861" s="1501"/>
      <c r="AG861" s="1457" t="str">
        <f t="shared" si="57"/>
        <v>23調査結果-その他-6（9）-改善策の具体的内容等</v>
      </c>
      <c r="AI861" s="1459"/>
      <c r="AJ861" s="1459"/>
      <c r="AK861" s="1459"/>
    </row>
    <row r="862" spans="1:37" s="1457" customFormat="1" ht="18.75" customHeight="1" x14ac:dyDescent="0.15">
      <c r="A862" s="1578"/>
      <c r="B862" s="1462"/>
      <c r="C862" s="1462"/>
      <c r="D862" s="1460">
        <f>'1_入力シート【基本情報】'!$BS$486</f>
        <v>0</v>
      </c>
      <c r="E862" s="1650">
        <f t="shared" si="58"/>
        <v>0</v>
      </c>
      <c r="F862" s="1650" t="str">
        <f t="shared" si="59"/>
        <v>0</v>
      </c>
      <c r="G862" s="1650" t="str">
        <f t="shared" si="60"/>
        <v>0</v>
      </c>
      <c r="H862" s="1468"/>
      <c r="I862" s="1462"/>
      <c r="J862" s="1531"/>
      <c r="K862" s="1462"/>
      <c r="L862" s="1462"/>
      <c r="M862" s="1493"/>
      <c r="N862" s="1462"/>
      <c r="O862" s="1462"/>
      <c r="P862" s="1462"/>
      <c r="Q862" s="1462"/>
      <c r="R862" s="1462"/>
      <c r="S862" s="1462"/>
      <c r="T862" s="1462"/>
      <c r="U862" s="1469">
        <v>23</v>
      </c>
      <c r="V862" s="1486" t="s">
        <v>33</v>
      </c>
      <c r="W862" s="1471" t="s">
        <v>1306</v>
      </c>
      <c r="X862" s="1472" t="s">
        <v>137</v>
      </c>
      <c r="Y862" s="1473" t="s">
        <v>1306</v>
      </c>
      <c r="Z862" s="1474" t="s">
        <v>1527</v>
      </c>
      <c r="AA862" s="1473" t="s">
        <v>1306</v>
      </c>
      <c r="AB862" s="1470" t="s">
        <v>352</v>
      </c>
      <c r="AC862" s="1499" t="s">
        <v>1366</v>
      </c>
      <c r="AD862" s="1500" t="s">
        <v>1387</v>
      </c>
      <c r="AE862" s="1501"/>
      <c r="AF862" s="1501"/>
      <c r="AG862" s="1457" t="str">
        <f t="shared" si="57"/>
        <v>23調査結果-その他-6（9）-改善（予定）年月-年（令和）</v>
      </c>
      <c r="AI862" s="1459"/>
      <c r="AJ862" s="1459"/>
      <c r="AK862" s="1459"/>
    </row>
    <row r="863" spans="1:37" s="1457" customFormat="1" ht="18.75" customHeight="1" x14ac:dyDescent="0.15">
      <c r="A863" s="1578"/>
      <c r="B863" s="1462"/>
      <c r="C863" s="1462"/>
      <c r="D863" s="1460">
        <f>'1_入力シート【基本情報】'!$BV$486</f>
        <v>0</v>
      </c>
      <c r="E863" s="1650">
        <f t="shared" si="58"/>
        <v>0</v>
      </c>
      <c r="F863" s="1650" t="str">
        <f t="shared" si="59"/>
        <v>0</v>
      </c>
      <c r="G863" s="1650" t="str">
        <f t="shared" si="60"/>
        <v>0</v>
      </c>
      <c r="H863" s="1468"/>
      <c r="I863" s="1462"/>
      <c r="J863" s="1531"/>
      <c r="K863" s="1462"/>
      <c r="L863" s="1462"/>
      <c r="M863" s="1493"/>
      <c r="N863" s="1462"/>
      <c r="O863" s="1462"/>
      <c r="P863" s="1462"/>
      <c r="Q863" s="1462"/>
      <c r="R863" s="1462"/>
      <c r="S863" s="1462"/>
      <c r="T863" s="1462"/>
      <c r="U863" s="1469">
        <v>23</v>
      </c>
      <c r="V863" s="1486" t="s">
        <v>33</v>
      </c>
      <c r="W863" s="1471" t="s">
        <v>1306</v>
      </c>
      <c r="X863" s="1472" t="s">
        <v>137</v>
      </c>
      <c r="Y863" s="1473" t="s">
        <v>1306</v>
      </c>
      <c r="Z863" s="1474" t="s">
        <v>1527</v>
      </c>
      <c r="AA863" s="1473" t="s">
        <v>1306</v>
      </c>
      <c r="AB863" s="1470" t="s">
        <v>352</v>
      </c>
      <c r="AC863" s="1499" t="s">
        <v>1366</v>
      </c>
      <c r="AD863" s="1500" t="s">
        <v>348</v>
      </c>
      <c r="AE863" s="1501"/>
      <c r="AF863" s="1501"/>
      <c r="AG863" s="1457" t="str">
        <f t="shared" si="57"/>
        <v>23調査結果-その他-6（9）-改善（予定）年月-月</v>
      </c>
      <c r="AI863" s="1459"/>
      <c r="AJ863" s="1459"/>
      <c r="AK863" s="1459"/>
    </row>
    <row r="864" spans="1:37" s="1457" customFormat="1" ht="18.75" customHeight="1" x14ac:dyDescent="0.15">
      <c r="A864" s="1578"/>
      <c r="B864" s="1462"/>
      <c r="C864" s="1462"/>
      <c r="D864" s="1460">
        <f>'1_入力シート【基本情報】'!$BY$486</f>
        <v>0</v>
      </c>
      <c r="E864" s="1650">
        <f t="shared" si="58"/>
        <v>0</v>
      </c>
      <c r="F864" s="1650" t="str">
        <f t="shared" si="59"/>
        <v>0</v>
      </c>
      <c r="G864" s="1650" t="str">
        <f t="shared" si="60"/>
        <v>0</v>
      </c>
      <c r="H864" s="1468"/>
      <c r="I864" s="1462"/>
      <c r="J864" s="1531"/>
      <c r="K864" s="1462"/>
      <c r="L864" s="1462"/>
      <c r="M864" s="1493"/>
      <c r="N864" s="1462"/>
      <c r="O864" s="1462"/>
      <c r="P864" s="1462"/>
      <c r="Q864" s="1462"/>
      <c r="R864" s="1462"/>
      <c r="S864" s="1462"/>
      <c r="T864" s="1462"/>
      <c r="U864" s="1469">
        <v>23</v>
      </c>
      <c r="V864" s="1486" t="s">
        <v>33</v>
      </c>
      <c r="W864" s="1471" t="s">
        <v>1306</v>
      </c>
      <c r="X864" s="1472" t="s">
        <v>137</v>
      </c>
      <c r="Y864" s="1473" t="s">
        <v>1306</v>
      </c>
      <c r="Z864" s="1474" t="s">
        <v>1527</v>
      </c>
      <c r="AA864" s="1473" t="s">
        <v>1306</v>
      </c>
      <c r="AB864" s="1470" t="s">
        <v>352</v>
      </c>
      <c r="AC864" s="1499" t="s">
        <v>1366</v>
      </c>
      <c r="AD864" s="1500" t="s">
        <v>640</v>
      </c>
      <c r="AE864" s="1501"/>
      <c r="AF864" s="1501"/>
      <c r="AG864" s="1457" t="str">
        <f t="shared" si="57"/>
        <v>23調査結果-その他-6（9）-改善（予定）年月-未定</v>
      </c>
      <c r="AI864" s="1459"/>
      <c r="AJ864" s="1459"/>
      <c r="AK864" s="1459"/>
    </row>
    <row r="865" spans="1:37" s="1457" customFormat="1" ht="18.75" customHeight="1" x14ac:dyDescent="0.15">
      <c r="A865" s="1578"/>
      <c r="B865" s="1462"/>
      <c r="C865" s="1462"/>
      <c r="D865" s="1460">
        <f>'1_入力シート【基本情報】'!$AF$497</f>
        <v>0</v>
      </c>
      <c r="E865" s="1650">
        <f t="shared" si="58"/>
        <v>0</v>
      </c>
      <c r="F865" s="1650" t="str">
        <f t="shared" si="59"/>
        <v>0</v>
      </c>
      <c r="G865" s="1650" t="str">
        <f t="shared" si="60"/>
        <v>0</v>
      </c>
      <c r="H865" s="1468"/>
      <c r="I865" s="1462"/>
      <c r="J865" s="1531"/>
      <c r="K865" s="1462"/>
      <c r="L865" s="1462"/>
      <c r="M865" s="1493"/>
      <c r="N865" s="1462"/>
      <c r="O865" s="1462"/>
      <c r="P865" s="1462"/>
      <c r="Q865" s="1462"/>
      <c r="R865" s="1462"/>
      <c r="S865" s="1462"/>
      <c r="T865" s="1462"/>
      <c r="U865" s="1469">
        <v>23</v>
      </c>
      <c r="V865" s="1486" t="s">
        <v>33</v>
      </c>
      <c r="W865" s="1471" t="s">
        <v>1366</v>
      </c>
      <c r="X865" s="1472" t="s">
        <v>148</v>
      </c>
      <c r="Y865" s="1473" t="s">
        <v>1366</v>
      </c>
      <c r="Z865" s="1474" t="s">
        <v>2730</v>
      </c>
      <c r="AA865" s="1473" t="s">
        <v>1366</v>
      </c>
      <c r="AB865" s="1470" t="s">
        <v>33</v>
      </c>
      <c r="AC865" s="1499"/>
      <c r="AD865" s="1500"/>
      <c r="AE865" s="1501"/>
      <c r="AF865" s="1501"/>
      <c r="AG865" s="1457" t="str">
        <f t="shared" si="57"/>
        <v>23調査結果-上記以外の調査項目-7（1）-調査結果</v>
      </c>
      <c r="AI865" s="1459"/>
      <c r="AJ865" s="1459"/>
      <c r="AK865" s="1459"/>
    </row>
    <row r="866" spans="1:37" s="1457" customFormat="1" ht="18.75" customHeight="1" x14ac:dyDescent="0.15">
      <c r="A866" s="1578"/>
      <c r="B866" s="1462"/>
      <c r="C866" s="1462"/>
      <c r="D866" s="1460">
        <f>'1_入力シート【基本情報】'!$AR$497</f>
        <v>0</v>
      </c>
      <c r="E866" s="1650">
        <f t="shared" si="58"/>
        <v>0</v>
      </c>
      <c r="F866" s="1650" t="str">
        <f t="shared" si="59"/>
        <v>0</v>
      </c>
      <c r="G866" s="1650" t="str">
        <f t="shared" si="60"/>
        <v>0</v>
      </c>
      <c r="H866" s="1468"/>
      <c r="I866" s="1462"/>
      <c r="J866" s="1531"/>
      <c r="K866" s="1462"/>
      <c r="L866" s="1462"/>
      <c r="M866" s="1493"/>
      <c r="N866" s="1462"/>
      <c r="O866" s="1462"/>
      <c r="P866" s="1462"/>
      <c r="Q866" s="1462"/>
      <c r="R866" s="1462"/>
      <c r="S866" s="1462"/>
      <c r="T866" s="1462"/>
      <c r="U866" s="1469">
        <v>23</v>
      </c>
      <c r="V866" s="1486" t="s">
        <v>33</v>
      </c>
      <c r="W866" s="1471" t="s">
        <v>1306</v>
      </c>
      <c r="X866" s="1472" t="s">
        <v>148</v>
      </c>
      <c r="Y866" s="1473" t="s">
        <v>1306</v>
      </c>
      <c r="Z866" s="1474" t="s">
        <v>1528</v>
      </c>
      <c r="AA866" s="1473" t="s">
        <v>1306</v>
      </c>
      <c r="AB866" s="1470" t="s">
        <v>30</v>
      </c>
      <c r="AC866" s="1499"/>
      <c r="AD866" s="1500"/>
      <c r="AE866" s="1501"/>
      <c r="AF866" s="1501"/>
      <c r="AG866" s="1457" t="str">
        <f t="shared" si="57"/>
        <v>23調査結果-上記以外の調査項目-7（1）-調査者番号</v>
      </c>
      <c r="AI866" s="1459"/>
      <c r="AJ866" s="1459"/>
      <c r="AK866" s="1459"/>
    </row>
    <row r="867" spans="1:37" s="1457" customFormat="1" ht="18.75" customHeight="1" x14ac:dyDescent="0.15">
      <c r="A867" s="1578"/>
      <c r="B867" s="1462"/>
      <c r="C867" s="1462"/>
      <c r="D867" s="1460">
        <f>'1_入力シート【基本情報】'!$AT$497</f>
        <v>0</v>
      </c>
      <c r="E867" s="1650">
        <f t="shared" si="58"/>
        <v>0</v>
      </c>
      <c r="F867" s="1650" t="str">
        <f t="shared" si="59"/>
        <v>0</v>
      </c>
      <c r="G867" s="1650" t="str">
        <f t="shared" si="60"/>
        <v>0</v>
      </c>
      <c r="H867" s="1468"/>
      <c r="I867" s="1462"/>
      <c r="J867" s="1531"/>
      <c r="K867" s="1462"/>
      <c r="L867" s="1462"/>
      <c r="M867" s="1493"/>
      <c r="N867" s="1462"/>
      <c r="O867" s="1462"/>
      <c r="P867" s="1462"/>
      <c r="Q867" s="1462"/>
      <c r="R867" s="1462"/>
      <c r="S867" s="1462"/>
      <c r="T867" s="1462"/>
      <c r="U867" s="1469">
        <v>23</v>
      </c>
      <c r="V867" s="1486" t="s">
        <v>33</v>
      </c>
      <c r="W867" s="1471" t="s">
        <v>1306</v>
      </c>
      <c r="X867" s="1472" t="s">
        <v>148</v>
      </c>
      <c r="Y867" s="1473" t="s">
        <v>1306</v>
      </c>
      <c r="Z867" s="1474" t="s">
        <v>1528</v>
      </c>
      <c r="AA867" s="1473" t="s">
        <v>1306</v>
      </c>
      <c r="AB867" s="1470" t="s">
        <v>1402</v>
      </c>
      <c r="AC867" s="1499"/>
      <c r="AD867" s="1500"/>
      <c r="AE867" s="1477"/>
      <c r="AF867" s="1477"/>
      <c r="AG867" s="1457" t="str">
        <f t="shared" si="57"/>
        <v>23調査結果-上記以外の調査項目-7（1）-指摘の具体的内容等</v>
      </c>
      <c r="AI867" s="1459"/>
      <c r="AJ867" s="1459"/>
      <c r="AK867" s="1459"/>
    </row>
    <row r="868" spans="1:37" s="1457" customFormat="1" ht="18.75" customHeight="1" x14ac:dyDescent="0.15">
      <c r="A868" s="1578"/>
      <c r="B868" s="1462"/>
      <c r="C868" s="1462"/>
      <c r="D868" s="1460">
        <f>'1_入力シート【基本情報】'!$BD$497</f>
        <v>0</v>
      </c>
      <c r="E868" s="1650">
        <f t="shared" si="58"/>
        <v>0</v>
      </c>
      <c r="F868" s="1650" t="str">
        <f t="shared" si="59"/>
        <v>0</v>
      </c>
      <c r="G868" s="1650" t="str">
        <f t="shared" si="60"/>
        <v>0</v>
      </c>
      <c r="H868" s="1468"/>
      <c r="I868" s="1462"/>
      <c r="J868" s="1531"/>
      <c r="K868" s="1462"/>
      <c r="L868" s="1462"/>
      <c r="M868" s="1493"/>
      <c r="N868" s="1462"/>
      <c r="O868" s="1462"/>
      <c r="P868" s="1462"/>
      <c r="Q868" s="1462"/>
      <c r="R868" s="1462"/>
      <c r="S868" s="1462"/>
      <c r="T868" s="1462"/>
      <c r="U868" s="1469">
        <v>23</v>
      </c>
      <c r="V868" s="1486" t="s">
        <v>33</v>
      </c>
      <c r="W868" s="1471" t="s">
        <v>1306</v>
      </c>
      <c r="X868" s="1472" t="s">
        <v>148</v>
      </c>
      <c r="Y868" s="1473" t="s">
        <v>1306</v>
      </c>
      <c r="Z868" s="1474" t="s">
        <v>1528</v>
      </c>
      <c r="AA868" s="1473" t="s">
        <v>1306</v>
      </c>
      <c r="AB868" s="1470" t="s">
        <v>1403</v>
      </c>
      <c r="AC868" s="1499"/>
      <c r="AD868" s="1500"/>
      <c r="AE868" s="1501"/>
      <c r="AF868" s="1501"/>
      <c r="AG868" s="1457" t="str">
        <f t="shared" si="57"/>
        <v>23調査結果-上記以外の調査項目-7（1）-改善策の具体的内容等</v>
      </c>
      <c r="AI868" s="1459"/>
      <c r="AJ868" s="1459"/>
      <c r="AK868" s="1459"/>
    </row>
    <row r="869" spans="1:37" s="1457" customFormat="1" ht="18.75" customHeight="1" x14ac:dyDescent="0.15">
      <c r="A869" s="1578"/>
      <c r="B869" s="1462"/>
      <c r="C869" s="1462"/>
      <c r="D869" s="1460">
        <f>'1_入力シート【基本情報】'!$BS$497</f>
        <v>0</v>
      </c>
      <c r="E869" s="1650">
        <f t="shared" si="58"/>
        <v>0</v>
      </c>
      <c r="F869" s="1650" t="str">
        <f t="shared" si="59"/>
        <v>0</v>
      </c>
      <c r="G869" s="1650" t="str">
        <f t="shared" si="60"/>
        <v>0</v>
      </c>
      <c r="H869" s="1468"/>
      <c r="I869" s="1462"/>
      <c r="J869" s="1531"/>
      <c r="K869" s="1462"/>
      <c r="L869" s="1462"/>
      <c r="M869" s="1493"/>
      <c r="N869" s="1462"/>
      <c r="O869" s="1462"/>
      <c r="P869" s="1462"/>
      <c r="Q869" s="1462"/>
      <c r="R869" s="1462"/>
      <c r="S869" s="1462"/>
      <c r="T869" s="1462"/>
      <c r="U869" s="1469">
        <v>23</v>
      </c>
      <c r="V869" s="1486" t="s">
        <v>33</v>
      </c>
      <c r="W869" s="1471" t="s">
        <v>1306</v>
      </c>
      <c r="X869" s="1472" t="s">
        <v>148</v>
      </c>
      <c r="Y869" s="1473" t="s">
        <v>1306</v>
      </c>
      <c r="Z869" s="1474" t="s">
        <v>1528</v>
      </c>
      <c r="AA869" s="1473" t="s">
        <v>1306</v>
      </c>
      <c r="AB869" s="1486" t="s">
        <v>352</v>
      </c>
      <c r="AC869" s="1499" t="s">
        <v>1366</v>
      </c>
      <c r="AD869" s="1500" t="s">
        <v>1387</v>
      </c>
      <c r="AE869" s="1501"/>
      <c r="AF869" s="1501"/>
      <c r="AG869" s="1457" t="str">
        <f t="shared" si="57"/>
        <v>23調査結果-上記以外の調査項目-7（1）-改善（予定）年月-年（令和）</v>
      </c>
      <c r="AI869" s="1459"/>
      <c r="AJ869" s="1459"/>
      <c r="AK869" s="1459"/>
    </row>
    <row r="870" spans="1:37" s="1457" customFormat="1" ht="18.75" customHeight="1" x14ac:dyDescent="0.15">
      <c r="A870" s="1578"/>
      <c r="B870" s="1462"/>
      <c r="C870" s="1462"/>
      <c r="D870" s="1460">
        <f>'1_入力シート【基本情報】'!$BV$497</f>
        <v>0</v>
      </c>
      <c r="E870" s="1650">
        <f t="shared" si="58"/>
        <v>0</v>
      </c>
      <c r="F870" s="1650" t="str">
        <f t="shared" si="59"/>
        <v>0</v>
      </c>
      <c r="G870" s="1650" t="str">
        <f t="shared" si="60"/>
        <v>0</v>
      </c>
      <c r="H870" s="1468"/>
      <c r="I870" s="1462"/>
      <c r="J870" s="1531"/>
      <c r="K870" s="1462"/>
      <c r="L870" s="1462"/>
      <c r="M870" s="1493"/>
      <c r="N870" s="1462"/>
      <c r="O870" s="1462"/>
      <c r="P870" s="1462"/>
      <c r="Q870" s="1462"/>
      <c r="R870" s="1462"/>
      <c r="S870" s="1462"/>
      <c r="T870" s="1462"/>
      <c r="U870" s="1469">
        <v>23</v>
      </c>
      <c r="V870" s="1486" t="s">
        <v>33</v>
      </c>
      <c r="W870" s="1471" t="s">
        <v>1306</v>
      </c>
      <c r="X870" s="1472" t="s">
        <v>148</v>
      </c>
      <c r="Y870" s="1473" t="s">
        <v>1306</v>
      </c>
      <c r="Z870" s="1474" t="s">
        <v>1528</v>
      </c>
      <c r="AA870" s="1473" t="s">
        <v>1306</v>
      </c>
      <c r="AB870" s="1486" t="s">
        <v>352</v>
      </c>
      <c r="AC870" s="1499" t="s">
        <v>1366</v>
      </c>
      <c r="AD870" s="1500" t="s">
        <v>348</v>
      </c>
      <c r="AE870" s="1501"/>
      <c r="AF870" s="1501"/>
      <c r="AG870" s="1457" t="str">
        <f t="shared" si="57"/>
        <v>23調査結果-上記以外の調査項目-7（1）-改善（予定）年月-月</v>
      </c>
      <c r="AI870" s="1459"/>
      <c r="AJ870" s="1459"/>
      <c r="AK870" s="1459"/>
    </row>
    <row r="871" spans="1:37" s="1457" customFormat="1" ht="18.75" customHeight="1" x14ac:dyDescent="0.15">
      <c r="A871" s="1578"/>
      <c r="B871" s="1462"/>
      <c r="C871" s="1462"/>
      <c r="D871" s="1460">
        <f>'1_入力シート【基本情報】'!$BY$497</f>
        <v>0</v>
      </c>
      <c r="E871" s="1650">
        <f t="shared" si="58"/>
        <v>0</v>
      </c>
      <c r="F871" s="1650" t="str">
        <f t="shared" si="59"/>
        <v>0</v>
      </c>
      <c r="G871" s="1650" t="str">
        <f t="shared" si="60"/>
        <v>0</v>
      </c>
      <c r="H871" s="1468"/>
      <c r="I871" s="1462"/>
      <c r="J871" s="1531"/>
      <c r="K871" s="1462"/>
      <c r="L871" s="1462"/>
      <c r="M871" s="1493"/>
      <c r="N871" s="1462"/>
      <c r="O871" s="1462"/>
      <c r="P871" s="1462"/>
      <c r="Q871" s="1462"/>
      <c r="R871" s="1462"/>
      <c r="S871" s="1462"/>
      <c r="T871" s="1462"/>
      <c r="U871" s="1469">
        <v>23</v>
      </c>
      <c r="V871" s="1486" t="s">
        <v>33</v>
      </c>
      <c r="W871" s="1471" t="s">
        <v>1306</v>
      </c>
      <c r="X871" s="1472" t="s">
        <v>148</v>
      </c>
      <c r="Y871" s="1473" t="s">
        <v>1306</v>
      </c>
      <c r="Z871" s="1474" t="s">
        <v>1528</v>
      </c>
      <c r="AA871" s="1473" t="s">
        <v>1306</v>
      </c>
      <c r="AB871" s="1486" t="s">
        <v>352</v>
      </c>
      <c r="AC871" s="1499" t="s">
        <v>1366</v>
      </c>
      <c r="AD871" s="1500" t="s">
        <v>640</v>
      </c>
      <c r="AE871" s="1501"/>
      <c r="AF871" s="1501"/>
      <c r="AG871" s="1457" t="str">
        <f t="shared" si="57"/>
        <v>23調査結果-上記以外の調査項目-7（1）-改善（予定）年月-未定</v>
      </c>
      <c r="AI871" s="1459"/>
      <c r="AJ871" s="1459"/>
      <c r="AK871" s="1459"/>
    </row>
    <row r="872" spans="1:37" s="1457" customFormat="1" ht="18.75" customHeight="1" x14ac:dyDescent="0.15">
      <c r="A872" s="1578"/>
      <c r="B872" s="1462"/>
      <c r="C872" s="1462"/>
      <c r="D872" s="1460">
        <f>'1_入力シート【基本情報】'!$AF$498</f>
        <v>0</v>
      </c>
      <c r="E872" s="1650">
        <f t="shared" si="58"/>
        <v>0</v>
      </c>
      <c r="F872" s="1650" t="str">
        <f t="shared" si="59"/>
        <v>0</v>
      </c>
      <c r="G872" s="1650" t="str">
        <f t="shared" si="60"/>
        <v>0</v>
      </c>
      <c r="H872" s="1468"/>
      <c r="I872" s="1462"/>
      <c r="J872" s="1531"/>
      <c r="K872" s="1462"/>
      <c r="L872" s="1462"/>
      <c r="M872" s="1493"/>
      <c r="N872" s="1462"/>
      <c r="O872" s="1462"/>
      <c r="P872" s="1462"/>
      <c r="Q872" s="1462"/>
      <c r="R872" s="1462"/>
      <c r="S872" s="1462"/>
      <c r="T872" s="1462"/>
      <c r="U872" s="1469">
        <v>23</v>
      </c>
      <c r="V872" s="1486" t="s">
        <v>33</v>
      </c>
      <c r="W872" s="1471" t="s">
        <v>1306</v>
      </c>
      <c r="X872" s="1472" t="s">
        <v>148</v>
      </c>
      <c r="Y872" s="1473" t="s">
        <v>1306</v>
      </c>
      <c r="Z872" s="1474" t="s">
        <v>1529</v>
      </c>
      <c r="AA872" s="1473" t="s">
        <v>1306</v>
      </c>
      <c r="AB872" s="1470" t="s">
        <v>33</v>
      </c>
      <c r="AC872" s="1475"/>
      <c r="AD872" s="1476"/>
      <c r="AE872" s="1501"/>
      <c r="AF872" s="1501"/>
      <c r="AG872" s="1457" t="str">
        <f t="shared" si="57"/>
        <v>23調査結果-上記以外の調査項目-7（2）-調査結果</v>
      </c>
      <c r="AI872" s="1459"/>
      <c r="AJ872" s="1459"/>
      <c r="AK872" s="1459"/>
    </row>
    <row r="873" spans="1:37" s="1457" customFormat="1" ht="18.75" customHeight="1" x14ac:dyDescent="0.15">
      <c r="A873" s="1578"/>
      <c r="B873" s="1462"/>
      <c r="C873" s="1462"/>
      <c r="D873" s="1460">
        <f>'1_入力シート【基本情報】'!$AR$498</f>
        <v>0</v>
      </c>
      <c r="E873" s="1650">
        <f t="shared" si="58"/>
        <v>0</v>
      </c>
      <c r="F873" s="1650" t="str">
        <f t="shared" si="59"/>
        <v>0</v>
      </c>
      <c r="G873" s="1650" t="str">
        <f t="shared" si="60"/>
        <v>0</v>
      </c>
      <c r="H873" s="1468"/>
      <c r="I873" s="1462"/>
      <c r="J873" s="1531"/>
      <c r="K873" s="1462"/>
      <c r="L873" s="1462"/>
      <c r="M873" s="1493"/>
      <c r="N873" s="1462"/>
      <c r="O873" s="1462"/>
      <c r="P873" s="1462"/>
      <c r="Q873" s="1462"/>
      <c r="R873" s="1462"/>
      <c r="S873" s="1462"/>
      <c r="T873" s="1462"/>
      <c r="U873" s="1469">
        <v>23</v>
      </c>
      <c r="V873" s="1486" t="s">
        <v>33</v>
      </c>
      <c r="W873" s="1471" t="s">
        <v>1306</v>
      </c>
      <c r="X873" s="1472" t="s">
        <v>148</v>
      </c>
      <c r="Y873" s="1473" t="s">
        <v>1306</v>
      </c>
      <c r="Z873" s="1474" t="s">
        <v>1529</v>
      </c>
      <c r="AA873" s="1473" t="s">
        <v>1306</v>
      </c>
      <c r="AB873" s="1470" t="s">
        <v>30</v>
      </c>
      <c r="AC873" s="1499"/>
      <c r="AD873" s="1500"/>
      <c r="AE873" s="1501"/>
      <c r="AF873" s="1501"/>
      <c r="AG873" s="1457" t="str">
        <f t="shared" si="57"/>
        <v>23調査結果-上記以外の調査項目-7（2）-調査者番号</v>
      </c>
      <c r="AI873" s="1459"/>
      <c r="AJ873" s="1459"/>
      <c r="AK873" s="1459"/>
    </row>
    <row r="874" spans="1:37" s="1457" customFormat="1" ht="18.75" customHeight="1" x14ac:dyDescent="0.15">
      <c r="A874" s="1578"/>
      <c r="B874" s="1462"/>
      <c r="C874" s="1462"/>
      <c r="D874" s="1460">
        <f>'1_入力シート【基本情報】'!$AT$498</f>
        <v>0</v>
      </c>
      <c r="E874" s="1650">
        <f t="shared" si="58"/>
        <v>0</v>
      </c>
      <c r="F874" s="1650" t="str">
        <f t="shared" si="59"/>
        <v>0</v>
      </c>
      <c r="G874" s="1650" t="str">
        <f t="shared" si="60"/>
        <v>0</v>
      </c>
      <c r="H874" s="1468"/>
      <c r="I874" s="1462"/>
      <c r="J874" s="1531"/>
      <c r="K874" s="1462"/>
      <c r="L874" s="1462"/>
      <c r="M874" s="1493"/>
      <c r="N874" s="1462"/>
      <c r="O874" s="1462"/>
      <c r="P874" s="1462"/>
      <c r="Q874" s="1462"/>
      <c r="R874" s="1462"/>
      <c r="S874" s="1462"/>
      <c r="T874" s="1462"/>
      <c r="U874" s="1469">
        <v>23</v>
      </c>
      <c r="V874" s="1486" t="s">
        <v>33</v>
      </c>
      <c r="W874" s="1471" t="s">
        <v>1306</v>
      </c>
      <c r="X874" s="1472" t="s">
        <v>148</v>
      </c>
      <c r="Y874" s="1473" t="s">
        <v>1306</v>
      </c>
      <c r="Z874" s="1474" t="s">
        <v>1529</v>
      </c>
      <c r="AA874" s="1473" t="s">
        <v>1306</v>
      </c>
      <c r="AB874" s="1470" t="s">
        <v>1402</v>
      </c>
      <c r="AC874" s="1499"/>
      <c r="AD874" s="1500"/>
      <c r="AE874" s="1501"/>
      <c r="AF874" s="1501"/>
      <c r="AG874" s="1457" t="str">
        <f t="shared" si="57"/>
        <v>23調査結果-上記以外の調査項目-7（2）-指摘の具体的内容等</v>
      </c>
      <c r="AI874" s="1459"/>
      <c r="AJ874" s="1459"/>
      <c r="AK874" s="1459"/>
    </row>
    <row r="875" spans="1:37" s="1457" customFormat="1" ht="18.75" customHeight="1" x14ac:dyDescent="0.15">
      <c r="A875" s="1578"/>
      <c r="B875" s="1462"/>
      <c r="C875" s="1462"/>
      <c r="D875" s="1460">
        <f>'1_入力シート【基本情報】'!$BD$498</f>
        <v>0</v>
      </c>
      <c r="E875" s="1650">
        <f t="shared" si="58"/>
        <v>0</v>
      </c>
      <c r="F875" s="1650" t="str">
        <f t="shared" si="59"/>
        <v>0</v>
      </c>
      <c r="G875" s="1650" t="str">
        <f t="shared" si="60"/>
        <v>0</v>
      </c>
      <c r="H875" s="1468"/>
      <c r="I875" s="1462"/>
      <c r="J875" s="1531"/>
      <c r="K875" s="1462"/>
      <c r="L875" s="1462"/>
      <c r="M875" s="1493"/>
      <c r="N875" s="1462"/>
      <c r="O875" s="1462"/>
      <c r="P875" s="1462"/>
      <c r="Q875" s="1462"/>
      <c r="R875" s="1462"/>
      <c r="S875" s="1462"/>
      <c r="T875" s="1462"/>
      <c r="U875" s="1469">
        <v>23</v>
      </c>
      <c r="V875" s="1486" t="s">
        <v>33</v>
      </c>
      <c r="W875" s="1471" t="s">
        <v>1306</v>
      </c>
      <c r="X875" s="1472" t="s">
        <v>148</v>
      </c>
      <c r="Y875" s="1473" t="s">
        <v>1306</v>
      </c>
      <c r="Z875" s="1474" t="s">
        <v>1529</v>
      </c>
      <c r="AA875" s="1473" t="s">
        <v>1306</v>
      </c>
      <c r="AB875" s="1470" t="s">
        <v>1403</v>
      </c>
      <c r="AC875" s="1499"/>
      <c r="AD875" s="1500"/>
      <c r="AE875" s="1477"/>
      <c r="AF875" s="1477"/>
      <c r="AG875" s="1457" t="str">
        <f t="shared" si="57"/>
        <v>23調査結果-上記以外の調査項目-7（2）-改善策の具体的内容等</v>
      </c>
      <c r="AI875" s="1459"/>
      <c r="AJ875" s="1459"/>
      <c r="AK875" s="1459"/>
    </row>
    <row r="876" spans="1:37" s="1457" customFormat="1" ht="18.75" customHeight="1" x14ac:dyDescent="0.15">
      <c r="A876" s="1578"/>
      <c r="B876" s="1462"/>
      <c r="C876" s="1462"/>
      <c r="D876" s="1460">
        <f>'1_入力シート【基本情報】'!$BS$498</f>
        <v>0</v>
      </c>
      <c r="E876" s="1650">
        <f t="shared" si="58"/>
        <v>0</v>
      </c>
      <c r="F876" s="1650" t="str">
        <f t="shared" si="59"/>
        <v>0</v>
      </c>
      <c r="G876" s="1650" t="str">
        <f t="shared" si="60"/>
        <v>0</v>
      </c>
      <c r="H876" s="1468"/>
      <c r="I876" s="1462"/>
      <c r="J876" s="1531"/>
      <c r="K876" s="1462"/>
      <c r="L876" s="1462"/>
      <c r="M876" s="1493"/>
      <c r="N876" s="1462"/>
      <c r="O876" s="1462"/>
      <c r="P876" s="1462"/>
      <c r="Q876" s="1462"/>
      <c r="R876" s="1462"/>
      <c r="S876" s="1462"/>
      <c r="T876" s="1462"/>
      <c r="U876" s="1469">
        <v>23</v>
      </c>
      <c r="V876" s="1486" t="s">
        <v>33</v>
      </c>
      <c r="W876" s="1471" t="s">
        <v>1306</v>
      </c>
      <c r="X876" s="1472" t="s">
        <v>148</v>
      </c>
      <c r="Y876" s="1473" t="s">
        <v>1306</v>
      </c>
      <c r="Z876" s="1474" t="s">
        <v>1529</v>
      </c>
      <c r="AA876" s="1473" t="s">
        <v>1306</v>
      </c>
      <c r="AB876" s="1470" t="s">
        <v>352</v>
      </c>
      <c r="AC876" s="1499" t="s">
        <v>1366</v>
      </c>
      <c r="AD876" s="1500" t="s">
        <v>1387</v>
      </c>
      <c r="AE876" s="1501"/>
      <c r="AF876" s="1501"/>
      <c r="AG876" s="1457" t="str">
        <f t="shared" si="57"/>
        <v>23調査結果-上記以外の調査項目-7（2）-改善（予定）年月-年（令和）</v>
      </c>
      <c r="AI876" s="1459"/>
      <c r="AJ876" s="1459"/>
      <c r="AK876" s="1459"/>
    </row>
    <row r="877" spans="1:37" s="1457" customFormat="1" ht="18.75" customHeight="1" x14ac:dyDescent="0.15">
      <c r="A877" s="1578"/>
      <c r="B877" s="1462"/>
      <c r="C877" s="1462"/>
      <c r="D877" s="1460">
        <f>'1_入力シート【基本情報】'!$BV$498</f>
        <v>0</v>
      </c>
      <c r="E877" s="1650">
        <f t="shared" si="58"/>
        <v>0</v>
      </c>
      <c r="F877" s="1650" t="str">
        <f t="shared" si="59"/>
        <v>0</v>
      </c>
      <c r="G877" s="1650" t="str">
        <f t="shared" si="60"/>
        <v>0</v>
      </c>
      <c r="H877" s="1468"/>
      <c r="I877" s="1462"/>
      <c r="J877" s="1531"/>
      <c r="K877" s="1462"/>
      <c r="L877" s="1462"/>
      <c r="M877" s="1493"/>
      <c r="N877" s="1462"/>
      <c r="O877" s="1462"/>
      <c r="P877" s="1462"/>
      <c r="Q877" s="1462"/>
      <c r="R877" s="1462"/>
      <c r="S877" s="1462"/>
      <c r="T877" s="1462"/>
      <c r="U877" s="1469">
        <v>23</v>
      </c>
      <c r="V877" s="1486" t="s">
        <v>33</v>
      </c>
      <c r="W877" s="1471" t="s">
        <v>1306</v>
      </c>
      <c r="X877" s="1472" t="s">
        <v>148</v>
      </c>
      <c r="Y877" s="1473" t="s">
        <v>1306</v>
      </c>
      <c r="Z877" s="1474" t="s">
        <v>1529</v>
      </c>
      <c r="AA877" s="1473" t="s">
        <v>1306</v>
      </c>
      <c r="AB877" s="1486" t="s">
        <v>352</v>
      </c>
      <c r="AC877" s="1499" t="s">
        <v>1366</v>
      </c>
      <c r="AD877" s="1500" t="s">
        <v>348</v>
      </c>
      <c r="AE877" s="1501"/>
      <c r="AF877" s="1501"/>
      <c r="AG877" s="1457" t="str">
        <f t="shared" si="57"/>
        <v>23調査結果-上記以外の調査項目-7（2）-改善（予定）年月-月</v>
      </c>
      <c r="AI877" s="1459"/>
      <c r="AJ877" s="1459"/>
      <c r="AK877" s="1459"/>
    </row>
    <row r="878" spans="1:37" s="1457" customFormat="1" ht="18.75" customHeight="1" x14ac:dyDescent="0.15">
      <c r="A878" s="1578"/>
      <c r="B878" s="1462"/>
      <c r="C878" s="1462"/>
      <c r="D878" s="1460">
        <f>'1_入力シート【基本情報】'!$BY$498</f>
        <v>0</v>
      </c>
      <c r="E878" s="1650">
        <f t="shared" si="58"/>
        <v>0</v>
      </c>
      <c r="F878" s="1650" t="str">
        <f t="shared" si="59"/>
        <v>0</v>
      </c>
      <c r="G878" s="1650" t="str">
        <f t="shared" si="60"/>
        <v>0</v>
      </c>
      <c r="H878" s="1468"/>
      <c r="I878" s="1462"/>
      <c r="J878" s="1531"/>
      <c r="K878" s="1462"/>
      <c r="L878" s="1462"/>
      <c r="M878" s="1493"/>
      <c r="N878" s="1462"/>
      <c r="O878" s="1462"/>
      <c r="P878" s="1462"/>
      <c r="Q878" s="1462"/>
      <c r="R878" s="1462"/>
      <c r="S878" s="1462"/>
      <c r="T878" s="1462"/>
      <c r="U878" s="1469">
        <v>23</v>
      </c>
      <c r="V878" s="1486" t="s">
        <v>33</v>
      </c>
      <c r="W878" s="1471" t="s">
        <v>1306</v>
      </c>
      <c r="X878" s="1472" t="s">
        <v>148</v>
      </c>
      <c r="Y878" s="1473" t="s">
        <v>1306</v>
      </c>
      <c r="Z878" s="1474" t="s">
        <v>1529</v>
      </c>
      <c r="AA878" s="1473" t="s">
        <v>1306</v>
      </c>
      <c r="AB878" s="1486" t="s">
        <v>352</v>
      </c>
      <c r="AC878" s="1499" t="s">
        <v>1366</v>
      </c>
      <c r="AD878" s="1500" t="s">
        <v>640</v>
      </c>
      <c r="AE878" s="1501"/>
      <c r="AF878" s="1501"/>
      <c r="AG878" s="1457" t="str">
        <f t="shared" si="57"/>
        <v>23調査結果-上記以外の調査項目-7（2）-改善（予定）年月-未定</v>
      </c>
      <c r="AI878" s="1459"/>
      <c r="AJ878" s="1459"/>
      <c r="AK878" s="1459"/>
    </row>
    <row r="879" spans="1:37" s="1457" customFormat="1" ht="18.75" customHeight="1" x14ac:dyDescent="0.15">
      <c r="A879" s="1578"/>
      <c r="B879" s="1462"/>
      <c r="C879" s="1462"/>
      <c r="D879" s="1460">
        <f>'1_入力シート【基本情報】'!$AF$499</f>
        <v>0</v>
      </c>
      <c r="E879" s="1650">
        <f t="shared" si="58"/>
        <v>0</v>
      </c>
      <c r="F879" s="1650" t="str">
        <f t="shared" si="59"/>
        <v>0</v>
      </c>
      <c r="G879" s="1650" t="str">
        <f t="shared" si="60"/>
        <v>0</v>
      </c>
      <c r="H879" s="1468"/>
      <c r="I879" s="1462"/>
      <c r="J879" s="1531"/>
      <c r="K879" s="1462"/>
      <c r="L879" s="1462"/>
      <c r="M879" s="1493"/>
      <c r="N879" s="1462"/>
      <c r="O879" s="1462"/>
      <c r="P879" s="1462"/>
      <c r="Q879" s="1462"/>
      <c r="R879" s="1462"/>
      <c r="S879" s="1462"/>
      <c r="T879" s="1462"/>
      <c r="U879" s="1469">
        <v>23</v>
      </c>
      <c r="V879" s="1486" t="s">
        <v>33</v>
      </c>
      <c r="W879" s="1471" t="s">
        <v>1306</v>
      </c>
      <c r="X879" s="1472" t="s">
        <v>148</v>
      </c>
      <c r="Y879" s="1473" t="s">
        <v>1306</v>
      </c>
      <c r="Z879" s="1474" t="s">
        <v>1530</v>
      </c>
      <c r="AA879" s="1473" t="s">
        <v>1306</v>
      </c>
      <c r="AB879" s="1486" t="s">
        <v>33</v>
      </c>
      <c r="AC879" s="1499"/>
      <c r="AD879" s="1500"/>
      <c r="AE879" s="1501"/>
      <c r="AF879" s="1501"/>
      <c r="AG879" s="1457" t="str">
        <f t="shared" si="57"/>
        <v>23調査結果-上記以外の調査項目-7（3）-調査結果</v>
      </c>
      <c r="AI879" s="1459"/>
      <c r="AJ879" s="1459"/>
      <c r="AK879" s="1459"/>
    </row>
    <row r="880" spans="1:37" s="1457" customFormat="1" ht="18.75" customHeight="1" x14ac:dyDescent="0.15">
      <c r="A880" s="1578"/>
      <c r="B880" s="1462"/>
      <c r="C880" s="1462"/>
      <c r="D880" s="1460">
        <f>'1_入力シート【基本情報】'!$AR$499</f>
        <v>0</v>
      </c>
      <c r="E880" s="1650">
        <f t="shared" si="58"/>
        <v>0</v>
      </c>
      <c r="F880" s="1650" t="str">
        <f t="shared" si="59"/>
        <v>0</v>
      </c>
      <c r="G880" s="1650" t="str">
        <f t="shared" si="60"/>
        <v>0</v>
      </c>
      <c r="H880" s="1468"/>
      <c r="I880" s="1462"/>
      <c r="J880" s="1531"/>
      <c r="K880" s="1462"/>
      <c r="L880" s="1462"/>
      <c r="M880" s="1493"/>
      <c r="N880" s="1462"/>
      <c r="O880" s="1462"/>
      <c r="P880" s="1462"/>
      <c r="Q880" s="1462"/>
      <c r="R880" s="1462"/>
      <c r="S880" s="1462"/>
      <c r="T880" s="1462"/>
      <c r="U880" s="1469">
        <v>23</v>
      </c>
      <c r="V880" s="1486" t="s">
        <v>33</v>
      </c>
      <c r="W880" s="1471" t="s">
        <v>1306</v>
      </c>
      <c r="X880" s="1472" t="s">
        <v>148</v>
      </c>
      <c r="Y880" s="1473" t="s">
        <v>1306</v>
      </c>
      <c r="Z880" s="1474" t="s">
        <v>1530</v>
      </c>
      <c r="AA880" s="1473" t="s">
        <v>1306</v>
      </c>
      <c r="AB880" s="1470" t="s">
        <v>30</v>
      </c>
      <c r="AC880" s="1475"/>
      <c r="AD880" s="1476"/>
      <c r="AE880" s="1501"/>
      <c r="AF880" s="1501"/>
      <c r="AG880" s="1457" t="str">
        <f t="shared" si="57"/>
        <v>23調査結果-上記以外の調査項目-7（3）-調査者番号</v>
      </c>
      <c r="AI880" s="1459"/>
      <c r="AJ880" s="1459"/>
      <c r="AK880" s="1459"/>
    </row>
    <row r="881" spans="1:37" s="1457" customFormat="1" ht="18.75" customHeight="1" x14ac:dyDescent="0.15">
      <c r="A881" s="1578"/>
      <c r="B881" s="1462"/>
      <c r="C881" s="1462"/>
      <c r="D881" s="1460">
        <f>'1_入力シート【基本情報】'!$AT$499</f>
        <v>0</v>
      </c>
      <c r="E881" s="1650">
        <f t="shared" si="58"/>
        <v>0</v>
      </c>
      <c r="F881" s="1650" t="str">
        <f t="shared" si="59"/>
        <v>0</v>
      </c>
      <c r="G881" s="1650" t="str">
        <f t="shared" si="60"/>
        <v>0</v>
      </c>
      <c r="H881" s="1468"/>
      <c r="I881" s="1462"/>
      <c r="J881" s="1531"/>
      <c r="K881" s="1462"/>
      <c r="L881" s="1462"/>
      <c r="M881" s="1493"/>
      <c r="N881" s="1462"/>
      <c r="O881" s="1462"/>
      <c r="P881" s="1462"/>
      <c r="Q881" s="1462"/>
      <c r="R881" s="1462"/>
      <c r="S881" s="1462"/>
      <c r="T881" s="1462"/>
      <c r="U881" s="1469">
        <v>23</v>
      </c>
      <c r="V881" s="1486" t="s">
        <v>33</v>
      </c>
      <c r="W881" s="1471" t="s">
        <v>1306</v>
      </c>
      <c r="X881" s="1472" t="s">
        <v>148</v>
      </c>
      <c r="Y881" s="1473" t="s">
        <v>1306</v>
      </c>
      <c r="Z881" s="1474" t="s">
        <v>1530</v>
      </c>
      <c r="AA881" s="1473" t="s">
        <v>1306</v>
      </c>
      <c r="AB881" s="1470" t="s">
        <v>1402</v>
      </c>
      <c r="AC881" s="1499"/>
      <c r="AD881" s="1500"/>
      <c r="AE881" s="1501"/>
      <c r="AF881" s="1501"/>
      <c r="AG881" s="1457" t="str">
        <f t="shared" si="57"/>
        <v>23調査結果-上記以外の調査項目-7（3）-指摘の具体的内容等</v>
      </c>
      <c r="AI881" s="1459"/>
      <c r="AJ881" s="1459"/>
      <c r="AK881" s="1459"/>
    </row>
    <row r="882" spans="1:37" s="1457" customFormat="1" ht="18.75" customHeight="1" x14ac:dyDescent="0.15">
      <c r="A882" s="1578"/>
      <c r="B882" s="1462"/>
      <c r="C882" s="1462"/>
      <c r="D882" s="1460">
        <f>'1_入力シート【基本情報】'!$BD$499</f>
        <v>0</v>
      </c>
      <c r="E882" s="1650">
        <f t="shared" si="58"/>
        <v>0</v>
      </c>
      <c r="F882" s="1650" t="str">
        <f t="shared" si="59"/>
        <v>0</v>
      </c>
      <c r="G882" s="1650" t="str">
        <f t="shared" si="60"/>
        <v>0</v>
      </c>
      <c r="H882" s="1468"/>
      <c r="I882" s="1462"/>
      <c r="J882" s="1531"/>
      <c r="K882" s="1462"/>
      <c r="L882" s="1462"/>
      <c r="M882" s="1493"/>
      <c r="N882" s="1462"/>
      <c r="O882" s="1462"/>
      <c r="P882" s="1462"/>
      <c r="Q882" s="1462"/>
      <c r="R882" s="1462"/>
      <c r="S882" s="1462"/>
      <c r="T882" s="1462"/>
      <c r="U882" s="1469">
        <v>23</v>
      </c>
      <c r="V882" s="1486" t="s">
        <v>33</v>
      </c>
      <c r="W882" s="1471" t="s">
        <v>1306</v>
      </c>
      <c r="X882" s="1472" t="s">
        <v>148</v>
      </c>
      <c r="Y882" s="1473" t="s">
        <v>1306</v>
      </c>
      <c r="Z882" s="1474" t="s">
        <v>1530</v>
      </c>
      <c r="AA882" s="1473" t="s">
        <v>1306</v>
      </c>
      <c r="AB882" s="1470" t="s">
        <v>1403</v>
      </c>
      <c r="AC882" s="1499"/>
      <c r="AD882" s="1500"/>
      <c r="AE882" s="1501"/>
      <c r="AF882" s="1501"/>
      <c r="AG882" s="1457" t="str">
        <f t="shared" si="57"/>
        <v>23調査結果-上記以外の調査項目-7（3）-改善策の具体的内容等</v>
      </c>
      <c r="AI882" s="1459"/>
      <c r="AJ882" s="1459"/>
      <c r="AK882" s="1459"/>
    </row>
    <row r="883" spans="1:37" s="1457" customFormat="1" ht="18.75" customHeight="1" x14ac:dyDescent="0.15">
      <c r="A883" s="1578"/>
      <c r="B883" s="1462"/>
      <c r="C883" s="1462"/>
      <c r="D883" s="1460">
        <f>'1_入力シート【基本情報】'!$BS$499</f>
        <v>0</v>
      </c>
      <c r="E883" s="1650">
        <f t="shared" si="58"/>
        <v>0</v>
      </c>
      <c r="F883" s="1650" t="str">
        <f t="shared" si="59"/>
        <v>0</v>
      </c>
      <c r="G883" s="1650" t="str">
        <f t="shared" si="60"/>
        <v>0</v>
      </c>
      <c r="H883" s="1468"/>
      <c r="I883" s="1462"/>
      <c r="J883" s="1531"/>
      <c r="K883" s="1462"/>
      <c r="L883" s="1462"/>
      <c r="M883" s="1493"/>
      <c r="N883" s="1462"/>
      <c r="O883" s="1462"/>
      <c r="P883" s="1462"/>
      <c r="Q883" s="1462"/>
      <c r="R883" s="1462"/>
      <c r="S883" s="1462"/>
      <c r="T883" s="1462"/>
      <c r="U883" s="1469">
        <v>23</v>
      </c>
      <c r="V883" s="1486" t="s">
        <v>33</v>
      </c>
      <c r="W883" s="1471" t="s">
        <v>1306</v>
      </c>
      <c r="X883" s="1472" t="s">
        <v>148</v>
      </c>
      <c r="Y883" s="1473" t="s">
        <v>1306</v>
      </c>
      <c r="Z883" s="1474" t="s">
        <v>1530</v>
      </c>
      <c r="AA883" s="1473" t="s">
        <v>1306</v>
      </c>
      <c r="AB883" s="1470" t="s">
        <v>352</v>
      </c>
      <c r="AC883" s="1499" t="s">
        <v>1366</v>
      </c>
      <c r="AD883" s="1500" t="s">
        <v>1387</v>
      </c>
      <c r="AE883" s="1477"/>
      <c r="AF883" s="1477"/>
      <c r="AG883" s="1457" t="str">
        <f t="shared" si="57"/>
        <v>23調査結果-上記以外の調査項目-7（3）-改善（予定）年月-年（令和）</v>
      </c>
      <c r="AI883" s="1459"/>
      <c r="AJ883" s="1459"/>
      <c r="AK883" s="1459"/>
    </row>
    <row r="884" spans="1:37" s="1457" customFormat="1" ht="18.75" customHeight="1" x14ac:dyDescent="0.15">
      <c r="A884" s="1578"/>
      <c r="B884" s="1462"/>
      <c r="C884" s="1462"/>
      <c r="D884" s="1460">
        <f>'1_入力シート【基本情報】'!$BV$499</f>
        <v>0</v>
      </c>
      <c r="E884" s="1650">
        <f t="shared" si="58"/>
        <v>0</v>
      </c>
      <c r="F884" s="1650" t="str">
        <f t="shared" si="59"/>
        <v>0</v>
      </c>
      <c r="G884" s="1650" t="str">
        <f t="shared" si="60"/>
        <v>0</v>
      </c>
      <c r="H884" s="1468"/>
      <c r="I884" s="1462"/>
      <c r="J884" s="1531"/>
      <c r="K884" s="1462"/>
      <c r="L884" s="1462"/>
      <c r="M884" s="1493"/>
      <c r="N884" s="1462"/>
      <c r="O884" s="1462"/>
      <c r="P884" s="1462"/>
      <c r="Q884" s="1462"/>
      <c r="R884" s="1462"/>
      <c r="S884" s="1462"/>
      <c r="T884" s="1462"/>
      <c r="U884" s="1469">
        <v>23</v>
      </c>
      <c r="V884" s="1486" t="s">
        <v>33</v>
      </c>
      <c r="W884" s="1471" t="s">
        <v>1306</v>
      </c>
      <c r="X884" s="1472" t="s">
        <v>148</v>
      </c>
      <c r="Y884" s="1473" t="s">
        <v>1306</v>
      </c>
      <c r="Z884" s="1474" t="s">
        <v>1530</v>
      </c>
      <c r="AA884" s="1473" t="s">
        <v>1306</v>
      </c>
      <c r="AB884" s="1470" t="s">
        <v>352</v>
      </c>
      <c r="AC884" s="1499" t="s">
        <v>1366</v>
      </c>
      <c r="AD884" s="1500" t="s">
        <v>348</v>
      </c>
      <c r="AE884" s="1501"/>
      <c r="AF884" s="1501"/>
      <c r="AG884" s="1457" t="str">
        <f t="shared" si="57"/>
        <v>23調査結果-上記以外の調査項目-7（3）-改善（予定）年月-月</v>
      </c>
      <c r="AI884" s="1459"/>
      <c r="AJ884" s="1459"/>
      <c r="AK884" s="1459"/>
    </row>
    <row r="885" spans="1:37" s="1457" customFormat="1" ht="18.75" customHeight="1" x14ac:dyDescent="0.15">
      <c r="A885" s="1578"/>
      <c r="B885" s="1462"/>
      <c r="C885" s="1462"/>
      <c r="D885" s="1460">
        <f>'1_入力シート【基本情報】'!$BY$499</f>
        <v>0</v>
      </c>
      <c r="E885" s="1650">
        <f t="shared" si="58"/>
        <v>0</v>
      </c>
      <c r="F885" s="1650" t="str">
        <f t="shared" si="59"/>
        <v>0</v>
      </c>
      <c r="G885" s="1650" t="str">
        <f t="shared" si="60"/>
        <v>0</v>
      </c>
      <c r="H885" s="1468"/>
      <c r="I885" s="1462"/>
      <c r="J885" s="1531"/>
      <c r="K885" s="1462"/>
      <c r="L885" s="1462"/>
      <c r="M885" s="1493"/>
      <c r="N885" s="1462"/>
      <c r="O885" s="1462"/>
      <c r="P885" s="1462"/>
      <c r="Q885" s="1462"/>
      <c r="R885" s="1462"/>
      <c r="S885" s="1462"/>
      <c r="T885" s="1462"/>
      <c r="U885" s="1469">
        <v>23</v>
      </c>
      <c r="V885" s="1486" t="s">
        <v>33</v>
      </c>
      <c r="W885" s="1471" t="s">
        <v>1306</v>
      </c>
      <c r="X885" s="1472" t="s">
        <v>148</v>
      </c>
      <c r="Y885" s="1473" t="s">
        <v>1306</v>
      </c>
      <c r="Z885" s="1474" t="s">
        <v>1530</v>
      </c>
      <c r="AA885" s="1473" t="s">
        <v>1306</v>
      </c>
      <c r="AB885" s="1486" t="s">
        <v>352</v>
      </c>
      <c r="AC885" s="1499" t="s">
        <v>1366</v>
      </c>
      <c r="AD885" s="1500" t="s">
        <v>640</v>
      </c>
      <c r="AE885" s="1501"/>
      <c r="AF885" s="1501"/>
      <c r="AG885" s="1457" t="str">
        <f t="shared" si="57"/>
        <v>23調査結果-上記以外の調査項目-7（3）-改善（予定）年月-未定</v>
      </c>
      <c r="AI885" s="1459"/>
      <c r="AJ885" s="1459"/>
      <c r="AK885" s="1459"/>
    </row>
    <row r="886" spans="1:37" s="1457" customFormat="1" ht="18.75" customHeight="1" x14ac:dyDescent="0.15">
      <c r="A886" s="1578"/>
      <c r="B886" s="1462"/>
      <c r="C886" s="1462"/>
      <c r="D886" s="1460">
        <f>'1_入力シート【基本情報】'!$AF$500</f>
        <v>0</v>
      </c>
      <c r="E886" s="1650">
        <f t="shared" si="58"/>
        <v>0</v>
      </c>
      <c r="F886" s="1650" t="str">
        <f t="shared" si="59"/>
        <v>0</v>
      </c>
      <c r="G886" s="1650" t="str">
        <f t="shared" si="60"/>
        <v>0</v>
      </c>
      <c r="H886" s="1468"/>
      <c r="I886" s="1462"/>
      <c r="J886" s="1531"/>
      <c r="K886" s="1462"/>
      <c r="L886" s="1462"/>
      <c r="M886" s="1493"/>
      <c r="N886" s="1462"/>
      <c r="O886" s="1462"/>
      <c r="P886" s="1462"/>
      <c r="Q886" s="1462"/>
      <c r="R886" s="1462"/>
      <c r="S886" s="1462"/>
      <c r="T886" s="1462"/>
      <c r="U886" s="1469">
        <v>23</v>
      </c>
      <c r="V886" s="1486" t="s">
        <v>33</v>
      </c>
      <c r="W886" s="1471" t="s">
        <v>1306</v>
      </c>
      <c r="X886" s="1472" t="s">
        <v>148</v>
      </c>
      <c r="Y886" s="1473" t="s">
        <v>1306</v>
      </c>
      <c r="Z886" s="1474" t="s">
        <v>1531</v>
      </c>
      <c r="AA886" s="1473" t="s">
        <v>1306</v>
      </c>
      <c r="AB886" s="1486" t="s">
        <v>33</v>
      </c>
      <c r="AC886" s="1499"/>
      <c r="AD886" s="1500"/>
      <c r="AE886" s="1501"/>
      <c r="AF886" s="1501"/>
      <c r="AG886" s="1457" t="str">
        <f t="shared" si="57"/>
        <v>23調査結果-上記以外の調査項目-7（4）-調査結果</v>
      </c>
      <c r="AI886" s="1459"/>
      <c r="AJ886" s="1459"/>
      <c r="AK886" s="1459"/>
    </row>
    <row r="887" spans="1:37" s="1457" customFormat="1" ht="18.75" customHeight="1" x14ac:dyDescent="0.15">
      <c r="A887" s="1578"/>
      <c r="B887" s="1462"/>
      <c r="C887" s="1462"/>
      <c r="D887" s="1460">
        <f>'1_入力シート【基本情報】'!$AR$500</f>
        <v>0</v>
      </c>
      <c r="E887" s="1650">
        <f t="shared" si="58"/>
        <v>0</v>
      </c>
      <c r="F887" s="1650" t="str">
        <f t="shared" si="59"/>
        <v>0</v>
      </c>
      <c r="G887" s="1650" t="str">
        <f t="shared" si="60"/>
        <v>0</v>
      </c>
      <c r="H887" s="1468"/>
      <c r="I887" s="1462"/>
      <c r="J887" s="1531"/>
      <c r="K887" s="1462"/>
      <c r="L887" s="1462"/>
      <c r="M887" s="1493"/>
      <c r="N887" s="1462"/>
      <c r="O887" s="1462"/>
      <c r="P887" s="1462"/>
      <c r="Q887" s="1462"/>
      <c r="R887" s="1462"/>
      <c r="S887" s="1462"/>
      <c r="T887" s="1462"/>
      <c r="U887" s="1469">
        <v>23</v>
      </c>
      <c r="V887" s="1486" t="s">
        <v>33</v>
      </c>
      <c r="W887" s="1471" t="s">
        <v>1306</v>
      </c>
      <c r="X887" s="1472" t="s">
        <v>148</v>
      </c>
      <c r="Y887" s="1473" t="s">
        <v>1306</v>
      </c>
      <c r="Z887" s="1474" t="s">
        <v>1531</v>
      </c>
      <c r="AA887" s="1473" t="s">
        <v>1306</v>
      </c>
      <c r="AB887" s="1486" t="s">
        <v>30</v>
      </c>
      <c r="AC887" s="1499"/>
      <c r="AD887" s="1500"/>
      <c r="AE887" s="1501"/>
      <c r="AF887" s="1501"/>
      <c r="AG887" s="1457" t="str">
        <f t="shared" si="57"/>
        <v>23調査結果-上記以外の調査項目-7（4）-調査者番号</v>
      </c>
      <c r="AI887" s="1459"/>
      <c r="AJ887" s="1459"/>
      <c r="AK887" s="1459"/>
    </row>
    <row r="888" spans="1:37" s="1457" customFormat="1" ht="18.75" customHeight="1" x14ac:dyDescent="0.15">
      <c r="A888" s="1578"/>
      <c r="B888" s="1462"/>
      <c r="C888" s="1462"/>
      <c r="D888" s="1460">
        <f>'1_入力シート【基本情報】'!$AT$500</f>
        <v>0</v>
      </c>
      <c r="E888" s="1650">
        <f t="shared" si="58"/>
        <v>0</v>
      </c>
      <c r="F888" s="1650" t="str">
        <f t="shared" si="59"/>
        <v>0</v>
      </c>
      <c r="G888" s="1650" t="str">
        <f t="shared" si="60"/>
        <v>0</v>
      </c>
      <c r="H888" s="1468"/>
      <c r="I888" s="1462"/>
      <c r="J888" s="1531"/>
      <c r="K888" s="1462"/>
      <c r="L888" s="1462"/>
      <c r="M888" s="1493"/>
      <c r="N888" s="1462"/>
      <c r="O888" s="1462"/>
      <c r="P888" s="1462"/>
      <c r="Q888" s="1462"/>
      <c r="R888" s="1462"/>
      <c r="S888" s="1462"/>
      <c r="T888" s="1462"/>
      <c r="U888" s="1469">
        <v>23</v>
      </c>
      <c r="V888" s="1486" t="s">
        <v>33</v>
      </c>
      <c r="W888" s="1471" t="s">
        <v>1306</v>
      </c>
      <c r="X888" s="1472" t="s">
        <v>148</v>
      </c>
      <c r="Y888" s="1473" t="s">
        <v>1306</v>
      </c>
      <c r="Z888" s="1474" t="s">
        <v>1531</v>
      </c>
      <c r="AA888" s="1473" t="s">
        <v>1306</v>
      </c>
      <c r="AB888" s="1470" t="s">
        <v>1402</v>
      </c>
      <c r="AC888" s="1475"/>
      <c r="AD888" s="1476"/>
      <c r="AE888" s="1501"/>
      <c r="AF888" s="1501"/>
      <c r="AG888" s="1457" t="str">
        <f t="shared" si="57"/>
        <v>23調査結果-上記以外の調査項目-7（4）-指摘の具体的内容等</v>
      </c>
      <c r="AI888" s="1459"/>
      <c r="AJ888" s="1459"/>
      <c r="AK888" s="1459"/>
    </row>
    <row r="889" spans="1:37" s="1457" customFormat="1" ht="18.75" customHeight="1" x14ac:dyDescent="0.15">
      <c r="A889" s="1578"/>
      <c r="B889" s="1462"/>
      <c r="C889" s="1462"/>
      <c r="D889" s="1460">
        <f>'1_入力シート【基本情報】'!$BD$500</f>
        <v>0</v>
      </c>
      <c r="E889" s="1650">
        <f t="shared" si="58"/>
        <v>0</v>
      </c>
      <c r="F889" s="1650" t="str">
        <f t="shared" si="59"/>
        <v>0</v>
      </c>
      <c r="G889" s="1650" t="str">
        <f t="shared" si="60"/>
        <v>0</v>
      </c>
      <c r="H889" s="1468"/>
      <c r="I889" s="1462"/>
      <c r="J889" s="1531"/>
      <c r="K889" s="1462"/>
      <c r="L889" s="1462"/>
      <c r="M889" s="1493"/>
      <c r="N889" s="1462"/>
      <c r="O889" s="1462"/>
      <c r="P889" s="1462"/>
      <c r="Q889" s="1462"/>
      <c r="R889" s="1462"/>
      <c r="S889" s="1462"/>
      <c r="T889" s="1462"/>
      <c r="U889" s="1469">
        <v>23</v>
      </c>
      <c r="V889" s="1486" t="s">
        <v>33</v>
      </c>
      <c r="W889" s="1471" t="s">
        <v>1306</v>
      </c>
      <c r="X889" s="1472" t="s">
        <v>148</v>
      </c>
      <c r="Y889" s="1473" t="s">
        <v>1306</v>
      </c>
      <c r="Z889" s="1474" t="s">
        <v>1531</v>
      </c>
      <c r="AA889" s="1473" t="s">
        <v>1306</v>
      </c>
      <c r="AB889" s="1470" t="s">
        <v>1403</v>
      </c>
      <c r="AC889" s="1499"/>
      <c r="AD889" s="1500"/>
      <c r="AE889" s="1501"/>
      <c r="AF889" s="1501"/>
      <c r="AG889" s="1457" t="str">
        <f t="shared" si="57"/>
        <v>23調査結果-上記以外の調査項目-7（4）-改善策の具体的内容等</v>
      </c>
      <c r="AI889" s="1459"/>
      <c r="AJ889" s="1459"/>
      <c r="AK889" s="1459"/>
    </row>
    <row r="890" spans="1:37" s="1457" customFormat="1" ht="18.75" customHeight="1" x14ac:dyDescent="0.15">
      <c r="A890" s="1578"/>
      <c r="B890" s="1462"/>
      <c r="C890" s="1462"/>
      <c r="D890" s="1460">
        <f>'1_入力シート【基本情報】'!$BS$500</f>
        <v>0</v>
      </c>
      <c r="E890" s="1650">
        <f t="shared" si="58"/>
        <v>0</v>
      </c>
      <c r="F890" s="1650" t="str">
        <f t="shared" si="59"/>
        <v>0</v>
      </c>
      <c r="G890" s="1650" t="str">
        <f t="shared" si="60"/>
        <v>0</v>
      </c>
      <c r="H890" s="1468"/>
      <c r="I890" s="1462"/>
      <c r="J890" s="1531"/>
      <c r="K890" s="1462"/>
      <c r="L890" s="1462"/>
      <c r="M890" s="1493"/>
      <c r="N890" s="1462"/>
      <c r="O890" s="1462"/>
      <c r="P890" s="1462"/>
      <c r="Q890" s="1462"/>
      <c r="R890" s="1462"/>
      <c r="S890" s="1462"/>
      <c r="T890" s="1462"/>
      <c r="U890" s="1469">
        <v>23</v>
      </c>
      <c r="V890" s="1486" t="s">
        <v>33</v>
      </c>
      <c r="W890" s="1471" t="s">
        <v>1306</v>
      </c>
      <c r="X890" s="1472" t="s">
        <v>148</v>
      </c>
      <c r="Y890" s="1473" t="s">
        <v>1306</v>
      </c>
      <c r="Z890" s="1474" t="s">
        <v>1531</v>
      </c>
      <c r="AA890" s="1473" t="s">
        <v>1306</v>
      </c>
      <c r="AB890" s="1470" t="s">
        <v>352</v>
      </c>
      <c r="AC890" s="1499" t="s">
        <v>1366</v>
      </c>
      <c r="AD890" s="1500" t="s">
        <v>1387</v>
      </c>
      <c r="AE890" s="1501"/>
      <c r="AF890" s="1501"/>
      <c r="AG890" s="1457" t="str">
        <f t="shared" si="57"/>
        <v>23調査結果-上記以外の調査項目-7（4）-改善（予定）年月-年（令和）</v>
      </c>
      <c r="AI890" s="1459"/>
      <c r="AJ890" s="1459"/>
      <c r="AK890" s="1459"/>
    </row>
    <row r="891" spans="1:37" s="1457" customFormat="1" ht="18.75" customHeight="1" x14ac:dyDescent="0.15">
      <c r="A891" s="1578"/>
      <c r="B891" s="1462"/>
      <c r="C891" s="1462"/>
      <c r="D891" s="1460">
        <f>'1_入力シート【基本情報】'!$BV$500</f>
        <v>0</v>
      </c>
      <c r="E891" s="1650">
        <f t="shared" si="58"/>
        <v>0</v>
      </c>
      <c r="F891" s="1650" t="str">
        <f t="shared" si="59"/>
        <v>0</v>
      </c>
      <c r="G891" s="1650" t="str">
        <f t="shared" si="60"/>
        <v>0</v>
      </c>
      <c r="H891" s="1468"/>
      <c r="I891" s="1462"/>
      <c r="J891" s="1531"/>
      <c r="K891" s="1462"/>
      <c r="L891" s="1462"/>
      <c r="M891" s="1493"/>
      <c r="N891" s="1462"/>
      <c r="O891" s="1462"/>
      <c r="P891" s="1462"/>
      <c r="Q891" s="1462"/>
      <c r="R891" s="1462"/>
      <c r="S891" s="1462"/>
      <c r="T891" s="1462"/>
      <c r="U891" s="1469">
        <v>23</v>
      </c>
      <c r="V891" s="1486" t="s">
        <v>33</v>
      </c>
      <c r="W891" s="1471" t="s">
        <v>1306</v>
      </c>
      <c r="X891" s="1472" t="s">
        <v>148</v>
      </c>
      <c r="Y891" s="1473" t="s">
        <v>1306</v>
      </c>
      <c r="Z891" s="1474" t="s">
        <v>1531</v>
      </c>
      <c r="AA891" s="1473" t="s">
        <v>1306</v>
      </c>
      <c r="AB891" s="1470" t="s">
        <v>352</v>
      </c>
      <c r="AC891" s="1499" t="s">
        <v>1366</v>
      </c>
      <c r="AD891" s="1500" t="s">
        <v>348</v>
      </c>
      <c r="AE891" s="1477"/>
      <c r="AF891" s="1477"/>
      <c r="AG891" s="1457" t="str">
        <f t="shared" si="57"/>
        <v>23調査結果-上記以外の調査項目-7（4）-改善（予定）年月-月</v>
      </c>
      <c r="AI891" s="1459"/>
      <c r="AJ891" s="1459"/>
      <c r="AK891" s="1459"/>
    </row>
    <row r="892" spans="1:37" s="1457" customFormat="1" ht="18.75" customHeight="1" x14ac:dyDescent="0.15">
      <c r="A892" s="1578"/>
      <c r="B892" s="1462"/>
      <c r="C892" s="1462"/>
      <c r="D892" s="1460">
        <f>'1_入力シート【基本情報】'!$BY$500</f>
        <v>0</v>
      </c>
      <c r="E892" s="1650">
        <f t="shared" si="58"/>
        <v>0</v>
      </c>
      <c r="F892" s="1650" t="str">
        <f t="shared" si="59"/>
        <v>0</v>
      </c>
      <c r="G892" s="1650" t="str">
        <f t="shared" si="60"/>
        <v>0</v>
      </c>
      <c r="H892" s="1468"/>
      <c r="I892" s="1462"/>
      <c r="J892" s="1531"/>
      <c r="K892" s="1462"/>
      <c r="L892" s="1462"/>
      <c r="M892" s="1493"/>
      <c r="N892" s="1462"/>
      <c r="O892" s="1462"/>
      <c r="P892" s="1462"/>
      <c r="Q892" s="1462"/>
      <c r="R892" s="1462"/>
      <c r="S892" s="1462"/>
      <c r="T892" s="1462"/>
      <c r="U892" s="1469">
        <v>23</v>
      </c>
      <c r="V892" s="1486" t="s">
        <v>33</v>
      </c>
      <c r="W892" s="1471" t="s">
        <v>1306</v>
      </c>
      <c r="X892" s="1472" t="s">
        <v>148</v>
      </c>
      <c r="Y892" s="1473" t="s">
        <v>1306</v>
      </c>
      <c r="Z892" s="1474" t="s">
        <v>1531</v>
      </c>
      <c r="AA892" s="1473" t="s">
        <v>1306</v>
      </c>
      <c r="AB892" s="1470" t="s">
        <v>352</v>
      </c>
      <c r="AC892" s="1499" t="s">
        <v>1366</v>
      </c>
      <c r="AD892" s="1500" t="s">
        <v>640</v>
      </c>
      <c r="AE892" s="1501"/>
      <c r="AF892" s="1501"/>
      <c r="AG892" s="1457" t="str">
        <f t="shared" si="57"/>
        <v>23調査結果-上記以外の調査項目-7（4）-改善（予定）年月-未定</v>
      </c>
      <c r="AI892" s="1459"/>
      <c r="AJ892" s="1459"/>
      <c r="AK892" s="1459"/>
    </row>
    <row r="893" spans="1:37" s="1457" customFormat="1" ht="18.75" customHeight="1" x14ac:dyDescent="0.15">
      <c r="A893" s="1578"/>
      <c r="B893" s="1462"/>
      <c r="C893" s="1462"/>
      <c r="D893" s="1460">
        <f>'1_入力シート【基本情報】'!$AF$501</f>
        <v>0</v>
      </c>
      <c r="E893" s="1650">
        <f t="shared" si="58"/>
        <v>0</v>
      </c>
      <c r="F893" s="1650" t="str">
        <f t="shared" si="59"/>
        <v>0</v>
      </c>
      <c r="G893" s="1650" t="str">
        <f t="shared" si="60"/>
        <v>0</v>
      </c>
      <c r="H893" s="1468"/>
      <c r="I893" s="1462"/>
      <c r="J893" s="1531"/>
      <c r="K893" s="1462"/>
      <c r="L893" s="1462"/>
      <c r="M893" s="1493"/>
      <c r="N893" s="1462"/>
      <c r="O893" s="1462"/>
      <c r="P893" s="1462"/>
      <c r="Q893" s="1462"/>
      <c r="R893" s="1462"/>
      <c r="S893" s="1462"/>
      <c r="T893" s="1462"/>
      <c r="U893" s="1469">
        <v>23</v>
      </c>
      <c r="V893" s="1486" t="s">
        <v>33</v>
      </c>
      <c r="W893" s="1471" t="s">
        <v>1306</v>
      </c>
      <c r="X893" s="1472" t="s">
        <v>148</v>
      </c>
      <c r="Y893" s="1473" t="s">
        <v>1306</v>
      </c>
      <c r="Z893" s="1474" t="s">
        <v>1532</v>
      </c>
      <c r="AA893" s="1473" t="s">
        <v>1306</v>
      </c>
      <c r="AB893" s="1486" t="s">
        <v>33</v>
      </c>
      <c r="AC893" s="1499"/>
      <c r="AD893" s="1500"/>
      <c r="AE893" s="1501"/>
      <c r="AF893" s="1501"/>
      <c r="AG893" s="1457" t="str">
        <f t="shared" si="57"/>
        <v>23調査結果-上記以外の調査項目-7（5）-調査結果</v>
      </c>
      <c r="AI893" s="1459"/>
      <c r="AJ893" s="1459"/>
      <c r="AK893" s="1459"/>
    </row>
    <row r="894" spans="1:37" s="1457" customFormat="1" ht="18.75" customHeight="1" x14ac:dyDescent="0.15">
      <c r="A894" s="1578"/>
      <c r="B894" s="1462"/>
      <c r="C894" s="1462"/>
      <c r="D894" s="1460">
        <f>'1_入力シート【基本情報】'!$AR$501</f>
        <v>0</v>
      </c>
      <c r="E894" s="1650">
        <f t="shared" si="58"/>
        <v>0</v>
      </c>
      <c r="F894" s="1650" t="str">
        <f t="shared" si="59"/>
        <v>0</v>
      </c>
      <c r="G894" s="1650" t="str">
        <f t="shared" si="60"/>
        <v>0</v>
      </c>
      <c r="H894" s="1468"/>
      <c r="I894" s="1462"/>
      <c r="J894" s="1531"/>
      <c r="K894" s="1462"/>
      <c r="L894" s="1462"/>
      <c r="M894" s="1493"/>
      <c r="N894" s="1462"/>
      <c r="O894" s="1462"/>
      <c r="P894" s="1462"/>
      <c r="Q894" s="1462"/>
      <c r="R894" s="1462"/>
      <c r="S894" s="1462"/>
      <c r="T894" s="1462"/>
      <c r="U894" s="1469">
        <v>23</v>
      </c>
      <c r="V894" s="1486" t="s">
        <v>33</v>
      </c>
      <c r="W894" s="1471" t="s">
        <v>1306</v>
      </c>
      <c r="X894" s="1472" t="s">
        <v>148</v>
      </c>
      <c r="Y894" s="1473" t="s">
        <v>1306</v>
      </c>
      <c r="Z894" s="1474" t="s">
        <v>1532</v>
      </c>
      <c r="AA894" s="1473" t="s">
        <v>1306</v>
      </c>
      <c r="AB894" s="1486" t="s">
        <v>30</v>
      </c>
      <c r="AC894" s="1499"/>
      <c r="AD894" s="1500"/>
      <c r="AE894" s="1501"/>
      <c r="AF894" s="1501"/>
      <c r="AG894" s="1457" t="str">
        <f t="shared" si="57"/>
        <v>23調査結果-上記以外の調査項目-7（5）-調査者番号</v>
      </c>
      <c r="AI894" s="1459"/>
      <c r="AJ894" s="1459"/>
      <c r="AK894" s="1459"/>
    </row>
    <row r="895" spans="1:37" s="1457" customFormat="1" ht="18.75" customHeight="1" x14ac:dyDescent="0.15">
      <c r="A895" s="1578"/>
      <c r="B895" s="1462"/>
      <c r="C895" s="1462"/>
      <c r="D895" s="1460">
        <f>'1_入力シート【基本情報】'!$AT$501</f>
        <v>0</v>
      </c>
      <c r="E895" s="1650">
        <f t="shared" si="58"/>
        <v>0</v>
      </c>
      <c r="F895" s="1650" t="str">
        <f t="shared" si="59"/>
        <v>0</v>
      </c>
      <c r="G895" s="1650" t="str">
        <f t="shared" si="60"/>
        <v>0</v>
      </c>
      <c r="H895" s="1468"/>
      <c r="I895" s="1462"/>
      <c r="J895" s="1531"/>
      <c r="K895" s="1462"/>
      <c r="L895" s="1462"/>
      <c r="M895" s="1493"/>
      <c r="N895" s="1462"/>
      <c r="O895" s="1462"/>
      <c r="P895" s="1462"/>
      <c r="Q895" s="1462"/>
      <c r="R895" s="1462"/>
      <c r="S895" s="1462"/>
      <c r="T895" s="1462"/>
      <c r="U895" s="1469">
        <v>23</v>
      </c>
      <c r="V895" s="1486" t="s">
        <v>33</v>
      </c>
      <c r="W895" s="1471" t="s">
        <v>1306</v>
      </c>
      <c r="X895" s="1472" t="s">
        <v>148</v>
      </c>
      <c r="Y895" s="1473" t="s">
        <v>1306</v>
      </c>
      <c r="Z895" s="1474" t="s">
        <v>1532</v>
      </c>
      <c r="AA895" s="1473" t="s">
        <v>1306</v>
      </c>
      <c r="AB895" s="1486" t="s">
        <v>1402</v>
      </c>
      <c r="AC895" s="1499"/>
      <c r="AD895" s="1500"/>
      <c r="AE895" s="1501"/>
      <c r="AF895" s="1501"/>
      <c r="AG895" s="1457" t="str">
        <f t="shared" si="57"/>
        <v>23調査結果-上記以外の調査項目-7（5）-指摘の具体的内容等</v>
      </c>
      <c r="AI895" s="1459"/>
      <c r="AJ895" s="1459"/>
      <c r="AK895" s="1459"/>
    </row>
    <row r="896" spans="1:37" s="1457" customFormat="1" ht="18.75" customHeight="1" x14ac:dyDescent="0.15">
      <c r="A896" s="1578"/>
      <c r="B896" s="1462"/>
      <c r="C896" s="1462"/>
      <c r="D896" s="1460">
        <f>'1_入力シート【基本情報】'!$BD$501</f>
        <v>0</v>
      </c>
      <c r="E896" s="1650">
        <f t="shared" si="58"/>
        <v>0</v>
      </c>
      <c r="F896" s="1650" t="str">
        <f t="shared" si="59"/>
        <v>0</v>
      </c>
      <c r="G896" s="1650" t="str">
        <f t="shared" si="60"/>
        <v>0</v>
      </c>
      <c r="H896" s="1468"/>
      <c r="I896" s="1462"/>
      <c r="J896" s="1531"/>
      <c r="K896" s="1462"/>
      <c r="L896" s="1462"/>
      <c r="M896" s="1493"/>
      <c r="N896" s="1462"/>
      <c r="O896" s="1462"/>
      <c r="P896" s="1462"/>
      <c r="Q896" s="1462"/>
      <c r="R896" s="1462"/>
      <c r="S896" s="1462"/>
      <c r="T896" s="1462"/>
      <c r="U896" s="1469">
        <v>23</v>
      </c>
      <c r="V896" s="1486" t="s">
        <v>33</v>
      </c>
      <c r="W896" s="1471" t="s">
        <v>1306</v>
      </c>
      <c r="X896" s="1472" t="s">
        <v>148</v>
      </c>
      <c r="Y896" s="1473" t="s">
        <v>1306</v>
      </c>
      <c r="Z896" s="1474" t="s">
        <v>1532</v>
      </c>
      <c r="AA896" s="1473" t="s">
        <v>1306</v>
      </c>
      <c r="AB896" s="1470" t="s">
        <v>1403</v>
      </c>
      <c r="AC896" s="1475"/>
      <c r="AD896" s="1476"/>
      <c r="AE896" s="1501"/>
      <c r="AF896" s="1501"/>
      <c r="AG896" s="1457" t="str">
        <f t="shared" si="57"/>
        <v>23調査結果-上記以外の調査項目-7（5）-改善策の具体的内容等</v>
      </c>
      <c r="AI896" s="1459"/>
      <c r="AJ896" s="1459"/>
      <c r="AK896" s="1459"/>
    </row>
    <row r="897" spans="1:37" s="1457" customFormat="1" ht="18.75" customHeight="1" x14ac:dyDescent="0.15">
      <c r="A897" s="1578"/>
      <c r="B897" s="1462"/>
      <c r="C897" s="1462"/>
      <c r="D897" s="1460">
        <f>'1_入力シート【基本情報】'!$BS$501</f>
        <v>0</v>
      </c>
      <c r="E897" s="1650">
        <f t="shared" si="58"/>
        <v>0</v>
      </c>
      <c r="F897" s="1650" t="str">
        <f t="shared" si="59"/>
        <v>0</v>
      </c>
      <c r="G897" s="1650" t="str">
        <f t="shared" si="60"/>
        <v>0</v>
      </c>
      <c r="H897" s="1468"/>
      <c r="I897" s="1462"/>
      <c r="J897" s="1531"/>
      <c r="K897" s="1462"/>
      <c r="L897" s="1462"/>
      <c r="M897" s="1493"/>
      <c r="N897" s="1462"/>
      <c r="O897" s="1462"/>
      <c r="P897" s="1462"/>
      <c r="Q897" s="1462"/>
      <c r="R897" s="1462"/>
      <c r="S897" s="1462"/>
      <c r="T897" s="1462"/>
      <c r="U897" s="1469">
        <v>23</v>
      </c>
      <c r="V897" s="1486" t="s">
        <v>33</v>
      </c>
      <c r="W897" s="1471" t="s">
        <v>1306</v>
      </c>
      <c r="X897" s="1472" t="s">
        <v>148</v>
      </c>
      <c r="Y897" s="1473" t="s">
        <v>1306</v>
      </c>
      <c r="Z897" s="1474" t="s">
        <v>1532</v>
      </c>
      <c r="AA897" s="1473" t="s">
        <v>1306</v>
      </c>
      <c r="AB897" s="1470" t="s">
        <v>352</v>
      </c>
      <c r="AC897" s="1499" t="s">
        <v>1366</v>
      </c>
      <c r="AD897" s="1500" t="s">
        <v>1387</v>
      </c>
      <c r="AE897" s="1501"/>
      <c r="AF897" s="1501"/>
      <c r="AG897" s="1457" t="str">
        <f t="shared" si="57"/>
        <v>23調査結果-上記以外の調査項目-7（5）-改善（予定）年月-年（令和）</v>
      </c>
      <c r="AI897" s="1459"/>
      <c r="AJ897" s="1459"/>
      <c r="AK897" s="1459"/>
    </row>
    <row r="898" spans="1:37" s="1457" customFormat="1" ht="18.75" customHeight="1" x14ac:dyDescent="0.15">
      <c r="A898" s="1578"/>
      <c r="B898" s="1462"/>
      <c r="C898" s="1462"/>
      <c r="D898" s="1460">
        <f>'1_入力シート【基本情報】'!$BV$501</f>
        <v>0</v>
      </c>
      <c r="E898" s="1650">
        <f t="shared" si="58"/>
        <v>0</v>
      </c>
      <c r="F898" s="1650" t="str">
        <f t="shared" si="59"/>
        <v>0</v>
      </c>
      <c r="G898" s="1650" t="str">
        <f t="shared" si="60"/>
        <v>0</v>
      </c>
      <c r="H898" s="1468"/>
      <c r="I898" s="1462"/>
      <c r="J898" s="1531"/>
      <c r="K898" s="1462"/>
      <c r="L898" s="1462"/>
      <c r="M898" s="1493"/>
      <c r="N898" s="1462"/>
      <c r="O898" s="1462"/>
      <c r="P898" s="1462"/>
      <c r="Q898" s="1462"/>
      <c r="R898" s="1462"/>
      <c r="S898" s="1462"/>
      <c r="T898" s="1462"/>
      <c r="U898" s="1469">
        <v>23</v>
      </c>
      <c r="V898" s="1486" t="s">
        <v>33</v>
      </c>
      <c r="W898" s="1471" t="s">
        <v>1306</v>
      </c>
      <c r="X898" s="1472" t="s">
        <v>148</v>
      </c>
      <c r="Y898" s="1473" t="s">
        <v>1306</v>
      </c>
      <c r="Z898" s="1474" t="s">
        <v>1532</v>
      </c>
      <c r="AA898" s="1473" t="s">
        <v>1306</v>
      </c>
      <c r="AB898" s="1470" t="s">
        <v>352</v>
      </c>
      <c r="AC898" s="1499" t="s">
        <v>1366</v>
      </c>
      <c r="AD898" s="1500" t="s">
        <v>348</v>
      </c>
      <c r="AE898" s="1501"/>
      <c r="AF898" s="1501"/>
      <c r="AG898" s="1457" t="str">
        <f t="shared" si="57"/>
        <v>23調査結果-上記以外の調査項目-7（5）-改善（予定）年月-月</v>
      </c>
      <c r="AI898" s="1459"/>
      <c r="AJ898" s="1459"/>
      <c r="AK898" s="1459"/>
    </row>
    <row r="899" spans="1:37" s="1457" customFormat="1" ht="18.75" customHeight="1" x14ac:dyDescent="0.15">
      <c r="A899" s="1578"/>
      <c r="B899" s="1462"/>
      <c r="C899" s="1462"/>
      <c r="D899" s="1460">
        <f>'1_入力シート【基本情報】'!$BY$501</f>
        <v>0</v>
      </c>
      <c r="E899" s="1650">
        <f t="shared" si="58"/>
        <v>0</v>
      </c>
      <c r="F899" s="1650" t="str">
        <f t="shared" si="59"/>
        <v>0</v>
      </c>
      <c r="G899" s="1650" t="str">
        <f t="shared" si="60"/>
        <v>0</v>
      </c>
      <c r="H899" s="1468"/>
      <c r="I899" s="1462"/>
      <c r="J899" s="1531"/>
      <c r="K899" s="1462"/>
      <c r="L899" s="1462"/>
      <c r="M899" s="1493"/>
      <c r="N899" s="1462"/>
      <c r="O899" s="1462"/>
      <c r="P899" s="1462"/>
      <c r="Q899" s="1462"/>
      <c r="R899" s="1462"/>
      <c r="S899" s="1462"/>
      <c r="T899" s="1462"/>
      <c r="U899" s="1469">
        <v>23</v>
      </c>
      <c r="V899" s="1486" t="s">
        <v>33</v>
      </c>
      <c r="W899" s="1471" t="s">
        <v>1306</v>
      </c>
      <c r="X899" s="1472" t="s">
        <v>148</v>
      </c>
      <c r="Y899" s="1473" t="s">
        <v>1306</v>
      </c>
      <c r="Z899" s="1474" t="s">
        <v>1532</v>
      </c>
      <c r="AA899" s="1473" t="s">
        <v>1306</v>
      </c>
      <c r="AB899" s="1470" t="s">
        <v>352</v>
      </c>
      <c r="AC899" s="1499" t="s">
        <v>1366</v>
      </c>
      <c r="AD899" s="1500" t="s">
        <v>640</v>
      </c>
      <c r="AE899" s="1477"/>
      <c r="AF899" s="1477"/>
      <c r="AG899" s="1457" t="str">
        <f t="shared" si="57"/>
        <v>23調査結果-上記以外の調査項目-7（5）-改善（予定）年月-未定</v>
      </c>
      <c r="AI899" s="1459"/>
      <c r="AJ899" s="1459"/>
      <c r="AK899" s="1459"/>
    </row>
    <row r="900" spans="1:37" s="1457" customFormat="1" ht="18.75" customHeight="1" x14ac:dyDescent="0.15">
      <c r="A900" s="1578"/>
      <c r="B900" s="1462"/>
      <c r="C900" s="1462"/>
      <c r="D900" s="1460">
        <f>'1_入力シート【基本情報】'!$AF$502</f>
        <v>0</v>
      </c>
      <c r="E900" s="1650">
        <f t="shared" si="58"/>
        <v>0</v>
      </c>
      <c r="F900" s="1650" t="str">
        <f t="shared" si="59"/>
        <v>0</v>
      </c>
      <c r="G900" s="1650" t="str">
        <f t="shared" si="60"/>
        <v>0</v>
      </c>
      <c r="H900" s="1468"/>
      <c r="I900" s="1462"/>
      <c r="J900" s="1531"/>
      <c r="K900" s="1462"/>
      <c r="L900" s="1462"/>
      <c r="M900" s="1493"/>
      <c r="N900" s="1462"/>
      <c r="O900" s="1462"/>
      <c r="P900" s="1462"/>
      <c r="Q900" s="1462"/>
      <c r="R900" s="1462"/>
      <c r="S900" s="1462"/>
      <c r="T900" s="1462"/>
      <c r="U900" s="1469">
        <v>23</v>
      </c>
      <c r="V900" s="1486" t="s">
        <v>33</v>
      </c>
      <c r="W900" s="1471" t="s">
        <v>1306</v>
      </c>
      <c r="X900" s="1472" t="s">
        <v>148</v>
      </c>
      <c r="Y900" s="1473" t="s">
        <v>1306</v>
      </c>
      <c r="Z900" s="1474" t="s">
        <v>1533</v>
      </c>
      <c r="AA900" s="1473" t="s">
        <v>1306</v>
      </c>
      <c r="AB900" s="1470" t="s">
        <v>33</v>
      </c>
      <c r="AC900" s="1499"/>
      <c r="AD900" s="1500"/>
      <c r="AE900" s="1501"/>
      <c r="AF900" s="1501"/>
      <c r="AG900" s="1457" t="str">
        <f t="shared" si="57"/>
        <v>23調査結果-上記以外の調査項目-7（6）-調査結果</v>
      </c>
      <c r="AI900" s="1459"/>
      <c r="AJ900" s="1459"/>
      <c r="AK900" s="1459"/>
    </row>
    <row r="901" spans="1:37" s="1457" customFormat="1" ht="18.75" customHeight="1" x14ac:dyDescent="0.15">
      <c r="A901" s="1578"/>
      <c r="B901" s="1462"/>
      <c r="C901" s="1462"/>
      <c r="D901" s="1460">
        <f>'1_入力シート【基本情報】'!$AR$502</f>
        <v>0</v>
      </c>
      <c r="E901" s="1650">
        <f t="shared" si="58"/>
        <v>0</v>
      </c>
      <c r="F901" s="1650" t="str">
        <f t="shared" si="59"/>
        <v>0</v>
      </c>
      <c r="G901" s="1650" t="str">
        <f t="shared" si="60"/>
        <v>0</v>
      </c>
      <c r="H901" s="1468"/>
      <c r="I901" s="1462"/>
      <c r="J901" s="1531"/>
      <c r="K901" s="1462"/>
      <c r="L901" s="1462"/>
      <c r="M901" s="1493"/>
      <c r="N901" s="1462"/>
      <c r="O901" s="1462"/>
      <c r="P901" s="1462"/>
      <c r="Q901" s="1462"/>
      <c r="R901" s="1462"/>
      <c r="S901" s="1462"/>
      <c r="T901" s="1462"/>
      <c r="U901" s="1469">
        <v>23</v>
      </c>
      <c r="V901" s="1486" t="s">
        <v>33</v>
      </c>
      <c r="W901" s="1471" t="s">
        <v>1306</v>
      </c>
      <c r="X901" s="1472" t="s">
        <v>148</v>
      </c>
      <c r="Y901" s="1473" t="s">
        <v>1306</v>
      </c>
      <c r="Z901" s="1474" t="s">
        <v>1533</v>
      </c>
      <c r="AA901" s="1473" t="s">
        <v>1306</v>
      </c>
      <c r="AB901" s="1486" t="s">
        <v>30</v>
      </c>
      <c r="AC901" s="1499"/>
      <c r="AD901" s="1500"/>
      <c r="AE901" s="1501"/>
      <c r="AF901" s="1501"/>
      <c r="AG901" s="1457" t="str">
        <f t="shared" si="57"/>
        <v>23調査結果-上記以外の調査項目-7（6）-調査者番号</v>
      </c>
      <c r="AI901" s="1459"/>
      <c r="AJ901" s="1459"/>
      <c r="AK901" s="1459"/>
    </row>
    <row r="902" spans="1:37" s="1457" customFormat="1" ht="18.75" customHeight="1" x14ac:dyDescent="0.15">
      <c r="A902" s="1578"/>
      <c r="B902" s="1462"/>
      <c r="C902" s="1462"/>
      <c r="D902" s="1460">
        <f>'1_入力シート【基本情報】'!$AT$502</f>
        <v>0</v>
      </c>
      <c r="E902" s="1650">
        <f t="shared" si="58"/>
        <v>0</v>
      </c>
      <c r="F902" s="1650" t="str">
        <f t="shared" si="59"/>
        <v>0</v>
      </c>
      <c r="G902" s="1650" t="str">
        <f t="shared" si="60"/>
        <v>0</v>
      </c>
      <c r="H902" s="1468"/>
      <c r="I902" s="1462"/>
      <c r="J902" s="1531"/>
      <c r="K902" s="1462"/>
      <c r="L902" s="1462"/>
      <c r="M902" s="1493"/>
      <c r="N902" s="1462"/>
      <c r="O902" s="1462"/>
      <c r="P902" s="1462"/>
      <c r="Q902" s="1462"/>
      <c r="R902" s="1462"/>
      <c r="S902" s="1462"/>
      <c r="T902" s="1462"/>
      <c r="U902" s="1469">
        <v>23</v>
      </c>
      <c r="V902" s="1486" t="s">
        <v>33</v>
      </c>
      <c r="W902" s="1471" t="s">
        <v>1306</v>
      </c>
      <c r="X902" s="1472" t="s">
        <v>148</v>
      </c>
      <c r="Y902" s="1473" t="s">
        <v>1306</v>
      </c>
      <c r="Z902" s="1474" t="s">
        <v>1533</v>
      </c>
      <c r="AA902" s="1473" t="s">
        <v>1306</v>
      </c>
      <c r="AB902" s="1486" t="s">
        <v>1402</v>
      </c>
      <c r="AC902" s="1499"/>
      <c r="AD902" s="1500"/>
      <c r="AE902" s="1501"/>
      <c r="AF902" s="1501"/>
      <c r="AG902" s="1457" t="str">
        <f t="shared" si="57"/>
        <v>23調査結果-上記以外の調査項目-7（6）-指摘の具体的内容等</v>
      </c>
      <c r="AI902" s="1459"/>
      <c r="AJ902" s="1459"/>
      <c r="AK902" s="1459"/>
    </row>
    <row r="903" spans="1:37" s="1457" customFormat="1" ht="18.75" customHeight="1" x14ac:dyDescent="0.15">
      <c r="A903" s="1578"/>
      <c r="B903" s="1462"/>
      <c r="C903" s="1462"/>
      <c r="D903" s="1460">
        <f>'1_入力シート【基本情報】'!$BD$502</f>
        <v>0</v>
      </c>
      <c r="E903" s="1650">
        <f t="shared" si="58"/>
        <v>0</v>
      </c>
      <c r="F903" s="1650" t="str">
        <f t="shared" si="59"/>
        <v>0</v>
      </c>
      <c r="G903" s="1650" t="str">
        <f t="shared" si="60"/>
        <v>0</v>
      </c>
      <c r="H903" s="1468"/>
      <c r="I903" s="1462"/>
      <c r="J903" s="1531"/>
      <c r="K903" s="1462"/>
      <c r="L903" s="1462"/>
      <c r="M903" s="1493"/>
      <c r="N903" s="1462"/>
      <c r="O903" s="1462"/>
      <c r="P903" s="1462"/>
      <c r="Q903" s="1462"/>
      <c r="R903" s="1462"/>
      <c r="S903" s="1462"/>
      <c r="T903" s="1462"/>
      <c r="U903" s="1469">
        <v>23</v>
      </c>
      <c r="V903" s="1486" t="s">
        <v>33</v>
      </c>
      <c r="W903" s="1471" t="s">
        <v>1306</v>
      </c>
      <c r="X903" s="1472" t="s">
        <v>148</v>
      </c>
      <c r="Y903" s="1473" t="s">
        <v>1306</v>
      </c>
      <c r="Z903" s="1474" t="s">
        <v>1533</v>
      </c>
      <c r="AA903" s="1473" t="s">
        <v>1306</v>
      </c>
      <c r="AB903" s="1486" t="s">
        <v>1403</v>
      </c>
      <c r="AC903" s="1499"/>
      <c r="AD903" s="1500"/>
      <c r="AE903" s="1501"/>
      <c r="AF903" s="1501"/>
      <c r="AG903" s="1457" t="str">
        <f t="shared" si="57"/>
        <v>23調査結果-上記以外の調査項目-7（6）-改善策の具体的内容等</v>
      </c>
      <c r="AI903" s="1459"/>
      <c r="AJ903" s="1459"/>
      <c r="AK903" s="1459"/>
    </row>
    <row r="904" spans="1:37" s="1457" customFormat="1" ht="18.75" customHeight="1" x14ac:dyDescent="0.15">
      <c r="A904" s="1578"/>
      <c r="B904" s="1462"/>
      <c r="C904" s="1462"/>
      <c r="D904" s="1460">
        <f>'1_入力シート【基本情報】'!$BS$502</f>
        <v>0</v>
      </c>
      <c r="E904" s="1650">
        <f t="shared" si="58"/>
        <v>0</v>
      </c>
      <c r="F904" s="1650" t="str">
        <f t="shared" si="59"/>
        <v>0</v>
      </c>
      <c r="G904" s="1650" t="str">
        <f t="shared" si="60"/>
        <v>0</v>
      </c>
      <c r="H904" s="1468"/>
      <c r="I904" s="1462"/>
      <c r="J904" s="1531"/>
      <c r="K904" s="1462"/>
      <c r="L904" s="1462"/>
      <c r="M904" s="1493"/>
      <c r="N904" s="1462"/>
      <c r="O904" s="1462"/>
      <c r="P904" s="1462"/>
      <c r="Q904" s="1462"/>
      <c r="R904" s="1462"/>
      <c r="S904" s="1462"/>
      <c r="T904" s="1462"/>
      <c r="U904" s="1469">
        <v>23</v>
      </c>
      <c r="V904" s="1486" t="s">
        <v>33</v>
      </c>
      <c r="W904" s="1471" t="s">
        <v>1306</v>
      </c>
      <c r="X904" s="1472" t="s">
        <v>148</v>
      </c>
      <c r="Y904" s="1473" t="s">
        <v>1306</v>
      </c>
      <c r="Z904" s="1474" t="s">
        <v>1533</v>
      </c>
      <c r="AA904" s="1473" t="s">
        <v>1306</v>
      </c>
      <c r="AB904" s="1470" t="s">
        <v>352</v>
      </c>
      <c r="AC904" s="1475" t="s">
        <v>1366</v>
      </c>
      <c r="AD904" s="1476" t="s">
        <v>1387</v>
      </c>
      <c r="AE904" s="1501"/>
      <c r="AF904" s="1501"/>
      <c r="AG904" s="1457" t="str">
        <f t="shared" si="57"/>
        <v>23調査結果-上記以外の調査項目-7（6）-改善（予定）年月-年（令和）</v>
      </c>
      <c r="AI904" s="1459"/>
      <c r="AJ904" s="1459"/>
      <c r="AK904" s="1459"/>
    </row>
    <row r="905" spans="1:37" s="1457" customFormat="1" ht="18.75" customHeight="1" x14ac:dyDescent="0.15">
      <c r="A905" s="1578"/>
      <c r="B905" s="1462"/>
      <c r="C905" s="1462"/>
      <c r="D905" s="1460">
        <f>'1_入力シート【基本情報】'!$BV$502</f>
        <v>0</v>
      </c>
      <c r="E905" s="1650">
        <f t="shared" si="58"/>
        <v>0</v>
      </c>
      <c r="F905" s="1650" t="str">
        <f t="shared" si="59"/>
        <v>0</v>
      </c>
      <c r="G905" s="1650" t="str">
        <f t="shared" si="60"/>
        <v>0</v>
      </c>
      <c r="H905" s="1468"/>
      <c r="I905" s="1462"/>
      <c r="J905" s="1531"/>
      <c r="K905" s="1462"/>
      <c r="L905" s="1462"/>
      <c r="M905" s="1493"/>
      <c r="N905" s="1462"/>
      <c r="O905" s="1462"/>
      <c r="P905" s="1462"/>
      <c r="Q905" s="1462"/>
      <c r="R905" s="1462"/>
      <c r="S905" s="1462"/>
      <c r="T905" s="1462"/>
      <c r="U905" s="1469">
        <v>23</v>
      </c>
      <c r="V905" s="1486" t="s">
        <v>33</v>
      </c>
      <c r="W905" s="1471" t="s">
        <v>1306</v>
      </c>
      <c r="X905" s="1472" t="s">
        <v>148</v>
      </c>
      <c r="Y905" s="1473" t="s">
        <v>1306</v>
      </c>
      <c r="Z905" s="1474" t="s">
        <v>1533</v>
      </c>
      <c r="AA905" s="1473" t="s">
        <v>1306</v>
      </c>
      <c r="AB905" s="1470" t="s">
        <v>352</v>
      </c>
      <c r="AC905" s="1499" t="s">
        <v>1366</v>
      </c>
      <c r="AD905" s="1500" t="s">
        <v>348</v>
      </c>
      <c r="AE905" s="1501"/>
      <c r="AF905" s="1501"/>
      <c r="AG905" s="1457" t="str">
        <f t="shared" si="57"/>
        <v>23調査結果-上記以外の調査項目-7（6）-改善（予定）年月-月</v>
      </c>
      <c r="AI905" s="1459"/>
      <c r="AJ905" s="1459"/>
      <c r="AK905" s="1459"/>
    </row>
    <row r="906" spans="1:37" s="1457" customFormat="1" ht="18.75" customHeight="1" x14ac:dyDescent="0.15">
      <c r="A906" s="1578"/>
      <c r="B906" s="1462"/>
      <c r="C906" s="1462"/>
      <c r="D906" s="1460">
        <f>'1_入力シート【基本情報】'!$BY$502</f>
        <v>0</v>
      </c>
      <c r="E906" s="1650">
        <f t="shared" si="58"/>
        <v>0</v>
      </c>
      <c r="F906" s="1650" t="str">
        <f t="shared" si="59"/>
        <v>0</v>
      </c>
      <c r="G906" s="1650" t="str">
        <f t="shared" si="60"/>
        <v>0</v>
      </c>
      <c r="H906" s="1468"/>
      <c r="I906" s="1462"/>
      <c r="J906" s="1531"/>
      <c r="K906" s="1462"/>
      <c r="L906" s="1462"/>
      <c r="M906" s="1493"/>
      <c r="N906" s="1462"/>
      <c r="O906" s="1462"/>
      <c r="P906" s="1462"/>
      <c r="Q906" s="1462"/>
      <c r="R906" s="1462"/>
      <c r="S906" s="1462"/>
      <c r="T906" s="1462"/>
      <c r="U906" s="1469">
        <v>23</v>
      </c>
      <c r="V906" s="1486" t="s">
        <v>33</v>
      </c>
      <c r="W906" s="1471" t="s">
        <v>1306</v>
      </c>
      <c r="X906" s="1472" t="s">
        <v>148</v>
      </c>
      <c r="Y906" s="1473" t="s">
        <v>1306</v>
      </c>
      <c r="Z906" s="1474" t="s">
        <v>1533</v>
      </c>
      <c r="AA906" s="1473" t="s">
        <v>1306</v>
      </c>
      <c r="AB906" s="1470" t="s">
        <v>352</v>
      </c>
      <c r="AC906" s="1499" t="s">
        <v>1366</v>
      </c>
      <c r="AD906" s="1500" t="s">
        <v>640</v>
      </c>
      <c r="AE906" s="1501"/>
      <c r="AF906" s="1501"/>
      <c r="AG906" s="1457" t="str">
        <f t="shared" si="57"/>
        <v>23調査結果-上記以外の調査項目-7（6）-改善（予定）年月-未定</v>
      </c>
      <c r="AI906" s="1459"/>
      <c r="AJ906" s="1459"/>
      <c r="AK906" s="1459"/>
    </row>
    <row r="907" spans="1:37" s="1457" customFormat="1" ht="18.75" customHeight="1" x14ac:dyDescent="0.15">
      <c r="A907" s="1578"/>
      <c r="B907" s="1462"/>
      <c r="C907" s="1462"/>
      <c r="D907" s="1670">
        <f>'1_入力シート【基本情報】'!$AF$503</f>
        <v>0</v>
      </c>
      <c r="E907" s="1650">
        <f t="shared" si="58"/>
        <v>0</v>
      </c>
      <c r="F907" s="1650" t="str">
        <f t="shared" si="59"/>
        <v>0</v>
      </c>
      <c r="G907" s="1650" t="str">
        <f t="shared" si="60"/>
        <v>0</v>
      </c>
      <c r="H907" s="1468"/>
      <c r="I907" s="1462"/>
      <c r="J907" s="1531"/>
      <c r="K907" s="1462"/>
      <c r="L907" s="1462"/>
      <c r="M907" s="1493"/>
      <c r="N907" s="1462"/>
      <c r="O907" s="1462"/>
      <c r="P907" s="1462"/>
      <c r="Q907" s="1462"/>
      <c r="R907" s="1462"/>
      <c r="S907" s="1462"/>
      <c r="T907" s="1462"/>
      <c r="U907" s="1469">
        <v>23</v>
      </c>
      <c r="V907" s="1486" t="s">
        <v>33</v>
      </c>
      <c r="W907" s="1471" t="s">
        <v>1306</v>
      </c>
      <c r="X907" s="1472" t="s">
        <v>148</v>
      </c>
      <c r="Y907" s="1473" t="s">
        <v>1306</v>
      </c>
      <c r="Z907" s="1474" t="s">
        <v>1534</v>
      </c>
      <c r="AA907" s="1473" t="s">
        <v>1306</v>
      </c>
      <c r="AB907" s="1470" t="s">
        <v>33</v>
      </c>
      <c r="AC907" s="1499"/>
      <c r="AD907" s="1500"/>
      <c r="AE907" s="1477"/>
      <c r="AF907" s="1477"/>
      <c r="AG907" s="1457" t="str">
        <f t="shared" si="57"/>
        <v>23調査結果-上記以外の調査項目-7（7）-調査結果</v>
      </c>
      <c r="AI907" s="1459"/>
      <c r="AJ907" s="1459"/>
      <c r="AK907" s="1459"/>
    </row>
    <row r="908" spans="1:37" s="1457" customFormat="1" ht="18.75" customHeight="1" x14ac:dyDescent="0.15">
      <c r="A908" s="1578"/>
      <c r="B908" s="1462"/>
      <c r="C908" s="1462"/>
      <c r="D908" s="1460">
        <f>'1_入力シート【基本情報】'!$AR$503</f>
        <v>0</v>
      </c>
      <c r="E908" s="1650">
        <f t="shared" si="58"/>
        <v>0</v>
      </c>
      <c r="F908" s="1650" t="str">
        <f t="shared" si="59"/>
        <v>0</v>
      </c>
      <c r="G908" s="1650" t="str">
        <f t="shared" si="60"/>
        <v>0</v>
      </c>
      <c r="H908" s="1468"/>
      <c r="I908" s="1462"/>
      <c r="J908" s="1531"/>
      <c r="K908" s="1462"/>
      <c r="L908" s="1462"/>
      <c r="M908" s="1493"/>
      <c r="N908" s="1462"/>
      <c r="O908" s="1462"/>
      <c r="P908" s="1462"/>
      <c r="Q908" s="1462"/>
      <c r="R908" s="1462"/>
      <c r="S908" s="1462"/>
      <c r="T908" s="1462"/>
      <c r="U908" s="1469">
        <v>23</v>
      </c>
      <c r="V908" s="1486" t="s">
        <v>33</v>
      </c>
      <c r="W908" s="1471" t="s">
        <v>1306</v>
      </c>
      <c r="X908" s="1472" t="s">
        <v>148</v>
      </c>
      <c r="Y908" s="1473" t="s">
        <v>1306</v>
      </c>
      <c r="Z908" s="1474" t="s">
        <v>1534</v>
      </c>
      <c r="AA908" s="1473" t="s">
        <v>1306</v>
      </c>
      <c r="AB908" s="1470" t="s">
        <v>30</v>
      </c>
      <c r="AC908" s="1499"/>
      <c r="AD908" s="1500"/>
      <c r="AE908" s="1501"/>
      <c r="AF908" s="1501"/>
      <c r="AG908" s="1457" t="str">
        <f t="shared" ref="AG908:AG971" si="61">CONCATENATE(U908,V908,W908,X908,Y908,Z908,AA908,AB908,AC908,AD908)</f>
        <v>23調査結果-上記以外の調査項目-7（7）-調査者番号</v>
      </c>
      <c r="AI908" s="1459"/>
      <c r="AJ908" s="1459"/>
      <c r="AK908" s="1459"/>
    </row>
    <row r="909" spans="1:37" s="1457" customFormat="1" ht="18.75" customHeight="1" x14ac:dyDescent="0.15">
      <c r="A909" s="1578"/>
      <c r="B909" s="1462"/>
      <c r="C909" s="1462"/>
      <c r="D909" s="1460">
        <f>'1_入力シート【基本情報】'!$AT$503</f>
        <v>0</v>
      </c>
      <c r="E909" s="1650">
        <f t="shared" si="58"/>
        <v>0</v>
      </c>
      <c r="F909" s="1650" t="str">
        <f t="shared" si="59"/>
        <v>0</v>
      </c>
      <c r="G909" s="1650" t="str">
        <f t="shared" si="60"/>
        <v>0</v>
      </c>
      <c r="H909" s="1468"/>
      <c r="I909" s="1462"/>
      <c r="J909" s="1531"/>
      <c r="K909" s="1462"/>
      <c r="L909" s="1462"/>
      <c r="M909" s="1493"/>
      <c r="N909" s="1462"/>
      <c r="O909" s="1462"/>
      <c r="P909" s="1462"/>
      <c r="Q909" s="1462"/>
      <c r="R909" s="1462"/>
      <c r="S909" s="1462"/>
      <c r="T909" s="1462"/>
      <c r="U909" s="1469">
        <v>23</v>
      </c>
      <c r="V909" s="1486" t="s">
        <v>33</v>
      </c>
      <c r="W909" s="1471" t="s">
        <v>1306</v>
      </c>
      <c r="X909" s="1472" t="s">
        <v>148</v>
      </c>
      <c r="Y909" s="1473" t="s">
        <v>1306</v>
      </c>
      <c r="Z909" s="1474" t="s">
        <v>1534</v>
      </c>
      <c r="AA909" s="1473" t="s">
        <v>1306</v>
      </c>
      <c r="AB909" s="1486" t="s">
        <v>1402</v>
      </c>
      <c r="AC909" s="1499"/>
      <c r="AD909" s="1500"/>
      <c r="AE909" s="1501"/>
      <c r="AF909" s="1501"/>
      <c r="AG909" s="1457" t="str">
        <f t="shared" si="61"/>
        <v>23調査結果-上記以外の調査項目-7（7）-指摘の具体的内容等</v>
      </c>
      <c r="AI909" s="1459"/>
      <c r="AJ909" s="1459"/>
      <c r="AK909" s="1459"/>
    </row>
    <row r="910" spans="1:37" s="1457" customFormat="1" ht="18.75" customHeight="1" x14ac:dyDescent="0.15">
      <c r="A910" s="1578"/>
      <c r="B910" s="1462"/>
      <c r="C910" s="1462"/>
      <c r="D910" s="1460">
        <f>'1_入力シート【基本情報】'!$BD$503</f>
        <v>0</v>
      </c>
      <c r="E910" s="1650">
        <f t="shared" si="58"/>
        <v>0</v>
      </c>
      <c r="F910" s="1650" t="str">
        <f t="shared" si="59"/>
        <v>0</v>
      </c>
      <c r="G910" s="1650" t="str">
        <f t="shared" si="60"/>
        <v>0</v>
      </c>
      <c r="H910" s="1468"/>
      <c r="I910" s="1462"/>
      <c r="J910" s="1531"/>
      <c r="K910" s="1462"/>
      <c r="L910" s="1462"/>
      <c r="M910" s="1493"/>
      <c r="N910" s="1462"/>
      <c r="O910" s="1462"/>
      <c r="P910" s="1462"/>
      <c r="Q910" s="1462"/>
      <c r="R910" s="1462"/>
      <c r="S910" s="1462"/>
      <c r="T910" s="1462"/>
      <c r="U910" s="1469">
        <v>23</v>
      </c>
      <c r="V910" s="1486" t="s">
        <v>33</v>
      </c>
      <c r="W910" s="1471" t="s">
        <v>1306</v>
      </c>
      <c r="X910" s="1472" t="s">
        <v>148</v>
      </c>
      <c r="Y910" s="1473" t="s">
        <v>1306</v>
      </c>
      <c r="Z910" s="1474" t="s">
        <v>1534</v>
      </c>
      <c r="AA910" s="1473" t="s">
        <v>1306</v>
      </c>
      <c r="AB910" s="1486" t="s">
        <v>1403</v>
      </c>
      <c r="AC910" s="1499"/>
      <c r="AD910" s="1500"/>
      <c r="AE910" s="1501"/>
      <c r="AF910" s="1501"/>
      <c r="AG910" s="1457" t="str">
        <f t="shared" si="61"/>
        <v>23調査結果-上記以外の調査項目-7（7）-改善策の具体的内容等</v>
      </c>
      <c r="AI910" s="1459"/>
      <c r="AJ910" s="1459"/>
      <c r="AK910" s="1459"/>
    </row>
    <row r="911" spans="1:37" s="1457" customFormat="1" ht="18.75" customHeight="1" x14ac:dyDescent="0.15">
      <c r="A911" s="1578"/>
      <c r="B911" s="1462"/>
      <c r="C911" s="1462"/>
      <c r="D911" s="1460">
        <f>'1_入力シート【基本情報】'!$BS$503</f>
        <v>0</v>
      </c>
      <c r="E911" s="1650">
        <f t="shared" si="58"/>
        <v>0</v>
      </c>
      <c r="F911" s="1650" t="str">
        <f t="shared" si="59"/>
        <v>0</v>
      </c>
      <c r="G911" s="1650" t="str">
        <f t="shared" si="60"/>
        <v>0</v>
      </c>
      <c r="H911" s="1468"/>
      <c r="I911" s="1462"/>
      <c r="J911" s="1531"/>
      <c r="K911" s="1462"/>
      <c r="L911" s="1462"/>
      <c r="M911" s="1493"/>
      <c r="N911" s="1462"/>
      <c r="O911" s="1462"/>
      <c r="P911" s="1462"/>
      <c r="Q911" s="1462"/>
      <c r="R911" s="1462"/>
      <c r="S911" s="1462"/>
      <c r="T911" s="1462"/>
      <c r="U911" s="1469">
        <v>23</v>
      </c>
      <c r="V911" s="1486" t="s">
        <v>33</v>
      </c>
      <c r="W911" s="1471" t="s">
        <v>1306</v>
      </c>
      <c r="X911" s="1472" t="s">
        <v>148</v>
      </c>
      <c r="Y911" s="1473" t="s">
        <v>1306</v>
      </c>
      <c r="Z911" s="1474" t="s">
        <v>1534</v>
      </c>
      <c r="AA911" s="1473" t="s">
        <v>1306</v>
      </c>
      <c r="AB911" s="1486" t="s">
        <v>352</v>
      </c>
      <c r="AC911" s="1499" t="s">
        <v>1366</v>
      </c>
      <c r="AD911" s="1500" t="s">
        <v>1387</v>
      </c>
      <c r="AE911" s="1501"/>
      <c r="AF911" s="1501"/>
      <c r="AG911" s="1457" t="str">
        <f t="shared" si="61"/>
        <v>23調査結果-上記以外の調査項目-7（7）-改善（予定）年月-年（令和）</v>
      </c>
      <c r="AI911" s="1459"/>
      <c r="AJ911" s="1459"/>
      <c r="AK911" s="1459"/>
    </row>
    <row r="912" spans="1:37" s="1457" customFormat="1" ht="18.75" customHeight="1" x14ac:dyDescent="0.15">
      <c r="A912" s="1578"/>
      <c r="B912" s="1462"/>
      <c r="C912" s="1462"/>
      <c r="D912" s="1460">
        <f>'1_入力シート【基本情報】'!$BV$503</f>
        <v>0</v>
      </c>
      <c r="E912" s="1650">
        <f t="shared" si="58"/>
        <v>0</v>
      </c>
      <c r="F912" s="1650" t="str">
        <f t="shared" si="59"/>
        <v>0</v>
      </c>
      <c r="G912" s="1650" t="str">
        <f t="shared" si="60"/>
        <v>0</v>
      </c>
      <c r="H912" s="1468"/>
      <c r="I912" s="1462"/>
      <c r="J912" s="1531"/>
      <c r="K912" s="1462"/>
      <c r="L912" s="1462"/>
      <c r="M912" s="1493"/>
      <c r="N912" s="1462"/>
      <c r="O912" s="1462"/>
      <c r="P912" s="1462"/>
      <c r="Q912" s="1462"/>
      <c r="R912" s="1462"/>
      <c r="S912" s="1462"/>
      <c r="T912" s="1462"/>
      <c r="U912" s="1469">
        <v>23</v>
      </c>
      <c r="V912" s="1486" t="s">
        <v>33</v>
      </c>
      <c r="W912" s="1471" t="s">
        <v>1306</v>
      </c>
      <c r="X912" s="1472" t="s">
        <v>148</v>
      </c>
      <c r="Y912" s="1473" t="s">
        <v>1306</v>
      </c>
      <c r="Z912" s="1474" t="s">
        <v>1534</v>
      </c>
      <c r="AA912" s="1473" t="s">
        <v>1306</v>
      </c>
      <c r="AB912" s="1470" t="s">
        <v>352</v>
      </c>
      <c r="AC912" s="1475" t="s">
        <v>1366</v>
      </c>
      <c r="AD912" s="1476" t="s">
        <v>348</v>
      </c>
      <c r="AE912" s="1501"/>
      <c r="AF912" s="1501"/>
      <c r="AG912" s="1457" t="str">
        <f t="shared" si="61"/>
        <v>23調査結果-上記以外の調査項目-7（7）-改善（予定）年月-月</v>
      </c>
      <c r="AI912" s="1459"/>
      <c r="AJ912" s="1459"/>
      <c r="AK912" s="1459"/>
    </row>
    <row r="913" spans="1:37" s="1457" customFormat="1" ht="18.75" customHeight="1" x14ac:dyDescent="0.15">
      <c r="A913" s="1578"/>
      <c r="B913" s="1462"/>
      <c r="C913" s="1462"/>
      <c r="D913" s="1460">
        <f>'1_入力シート【基本情報】'!$BY$503</f>
        <v>0</v>
      </c>
      <c r="E913" s="1650">
        <f t="shared" si="58"/>
        <v>0</v>
      </c>
      <c r="F913" s="1650" t="str">
        <f t="shared" si="59"/>
        <v>0</v>
      </c>
      <c r="G913" s="1650" t="str">
        <f t="shared" si="60"/>
        <v>0</v>
      </c>
      <c r="H913" s="1468"/>
      <c r="I913" s="1462"/>
      <c r="J913" s="1531"/>
      <c r="K913" s="1462"/>
      <c r="L913" s="1462"/>
      <c r="M913" s="1493"/>
      <c r="N913" s="1462"/>
      <c r="O913" s="1462"/>
      <c r="P913" s="1462"/>
      <c r="Q913" s="1462"/>
      <c r="R913" s="1462"/>
      <c r="S913" s="1462"/>
      <c r="T913" s="1462"/>
      <c r="U913" s="1469">
        <v>23</v>
      </c>
      <c r="V913" s="1486" t="s">
        <v>33</v>
      </c>
      <c r="W913" s="1471" t="s">
        <v>1306</v>
      </c>
      <c r="X913" s="1472" t="s">
        <v>148</v>
      </c>
      <c r="Y913" s="1473" t="s">
        <v>1306</v>
      </c>
      <c r="Z913" s="1474" t="s">
        <v>1534</v>
      </c>
      <c r="AA913" s="1473" t="s">
        <v>1306</v>
      </c>
      <c r="AB913" s="1470" t="s">
        <v>352</v>
      </c>
      <c r="AC913" s="1499" t="s">
        <v>1366</v>
      </c>
      <c r="AD913" s="1500" t="s">
        <v>640</v>
      </c>
      <c r="AE913" s="1501"/>
      <c r="AF913" s="1501"/>
      <c r="AG913" s="1457" t="str">
        <f t="shared" si="61"/>
        <v>23調査結果-上記以外の調査項目-7（7）-改善（予定）年月-未定</v>
      </c>
      <c r="AI913" s="1459"/>
      <c r="AJ913" s="1459"/>
      <c r="AK913" s="1459"/>
    </row>
    <row r="914" spans="1:37" s="1457" customFormat="1" ht="18.75" customHeight="1" x14ac:dyDescent="0.15">
      <c r="A914" s="1578"/>
      <c r="B914" s="1462"/>
      <c r="C914" s="1462"/>
      <c r="D914" s="1460">
        <f>'1_入力シート【基本情報】'!$AF$504</f>
        <v>0</v>
      </c>
      <c r="E914" s="1650">
        <f t="shared" si="58"/>
        <v>0</v>
      </c>
      <c r="F914" s="1650" t="str">
        <f t="shared" si="59"/>
        <v>0</v>
      </c>
      <c r="G914" s="1650" t="str">
        <f t="shared" si="60"/>
        <v>0</v>
      </c>
      <c r="H914" s="1468"/>
      <c r="I914" s="1462"/>
      <c r="J914" s="1531"/>
      <c r="K914" s="1462"/>
      <c r="L914" s="1462"/>
      <c r="M914" s="1493"/>
      <c r="N914" s="1462"/>
      <c r="O914" s="1462"/>
      <c r="P914" s="1462"/>
      <c r="Q914" s="1462"/>
      <c r="R914" s="1462"/>
      <c r="S914" s="1462"/>
      <c r="T914" s="1462"/>
      <c r="U914" s="1469">
        <v>23</v>
      </c>
      <c r="V914" s="1486" t="s">
        <v>33</v>
      </c>
      <c r="W914" s="1471" t="s">
        <v>1306</v>
      </c>
      <c r="X914" s="1472" t="s">
        <v>148</v>
      </c>
      <c r="Y914" s="1473" t="s">
        <v>1306</v>
      </c>
      <c r="Z914" s="1474" t="s">
        <v>1535</v>
      </c>
      <c r="AA914" s="1473" t="s">
        <v>1306</v>
      </c>
      <c r="AB914" s="1470" t="s">
        <v>33</v>
      </c>
      <c r="AC914" s="1499"/>
      <c r="AD914" s="1500"/>
      <c r="AE914" s="1501"/>
      <c r="AF914" s="1501"/>
      <c r="AG914" s="1457" t="str">
        <f t="shared" si="61"/>
        <v>23調査結果-上記以外の調査項目-7（8）-調査結果</v>
      </c>
      <c r="AI914" s="1459"/>
      <c r="AJ914" s="1459"/>
      <c r="AK914" s="1459"/>
    </row>
    <row r="915" spans="1:37" s="1457" customFormat="1" ht="18.75" customHeight="1" x14ac:dyDescent="0.15">
      <c r="A915" s="1578"/>
      <c r="B915" s="1462"/>
      <c r="C915" s="1462"/>
      <c r="D915" s="1460">
        <f>'1_入力シート【基本情報】'!$AR$504</f>
        <v>0</v>
      </c>
      <c r="E915" s="1650">
        <f t="shared" si="58"/>
        <v>0</v>
      </c>
      <c r="F915" s="1650" t="str">
        <f t="shared" si="59"/>
        <v>0</v>
      </c>
      <c r="G915" s="1650" t="str">
        <f t="shared" si="60"/>
        <v>0</v>
      </c>
      <c r="H915" s="1468"/>
      <c r="I915" s="1462"/>
      <c r="J915" s="1531"/>
      <c r="K915" s="1462"/>
      <c r="L915" s="1462"/>
      <c r="M915" s="1493"/>
      <c r="N915" s="1462"/>
      <c r="O915" s="1462"/>
      <c r="P915" s="1462"/>
      <c r="Q915" s="1462"/>
      <c r="R915" s="1462"/>
      <c r="S915" s="1462"/>
      <c r="T915" s="1462"/>
      <c r="U915" s="1469">
        <v>23</v>
      </c>
      <c r="V915" s="1486" t="s">
        <v>33</v>
      </c>
      <c r="W915" s="1471" t="s">
        <v>1306</v>
      </c>
      <c r="X915" s="1472" t="s">
        <v>148</v>
      </c>
      <c r="Y915" s="1473" t="s">
        <v>1306</v>
      </c>
      <c r="Z915" s="1474" t="s">
        <v>1535</v>
      </c>
      <c r="AA915" s="1473" t="s">
        <v>1306</v>
      </c>
      <c r="AB915" s="1470" t="s">
        <v>30</v>
      </c>
      <c r="AC915" s="1499"/>
      <c r="AD915" s="1500"/>
      <c r="AE915" s="1477"/>
      <c r="AF915" s="1477"/>
      <c r="AG915" s="1457" t="str">
        <f t="shared" si="61"/>
        <v>23調査結果-上記以外の調査項目-7（8）-調査者番号</v>
      </c>
      <c r="AI915" s="1459"/>
      <c r="AJ915" s="1459"/>
      <c r="AK915" s="1459"/>
    </row>
    <row r="916" spans="1:37" s="1457" customFormat="1" ht="18.75" customHeight="1" x14ac:dyDescent="0.15">
      <c r="A916" s="1578"/>
      <c r="B916" s="1462"/>
      <c r="C916" s="1462"/>
      <c r="D916" s="1460">
        <f>'1_入力シート【基本情報】'!$AT$504</f>
        <v>0</v>
      </c>
      <c r="E916" s="1650">
        <f t="shared" si="58"/>
        <v>0</v>
      </c>
      <c r="F916" s="1650" t="str">
        <f t="shared" si="59"/>
        <v>0</v>
      </c>
      <c r="G916" s="1650" t="str">
        <f t="shared" si="60"/>
        <v>0</v>
      </c>
      <c r="H916" s="1468"/>
      <c r="I916" s="1462"/>
      <c r="J916" s="1531"/>
      <c r="K916" s="1462"/>
      <c r="L916" s="1462"/>
      <c r="M916" s="1493"/>
      <c r="N916" s="1462"/>
      <c r="O916" s="1462"/>
      <c r="P916" s="1462"/>
      <c r="Q916" s="1462"/>
      <c r="R916" s="1462"/>
      <c r="S916" s="1462"/>
      <c r="T916" s="1462"/>
      <c r="U916" s="1469">
        <v>23</v>
      </c>
      <c r="V916" s="1486" t="s">
        <v>33</v>
      </c>
      <c r="W916" s="1471" t="s">
        <v>1306</v>
      </c>
      <c r="X916" s="1472" t="s">
        <v>148</v>
      </c>
      <c r="Y916" s="1473" t="s">
        <v>1306</v>
      </c>
      <c r="Z916" s="1474" t="s">
        <v>1535</v>
      </c>
      <c r="AA916" s="1473" t="s">
        <v>1306</v>
      </c>
      <c r="AB916" s="1470" t="s">
        <v>1402</v>
      </c>
      <c r="AC916" s="1499"/>
      <c r="AD916" s="1500"/>
      <c r="AE916" s="1501"/>
      <c r="AF916" s="1501"/>
      <c r="AG916" s="1457" t="str">
        <f t="shared" si="61"/>
        <v>23調査結果-上記以外の調査項目-7（8）-指摘の具体的内容等</v>
      </c>
      <c r="AI916" s="1459"/>
      <c r="AJ916" s="1459"/>
      <c r="AK916" s="1459"/>
    </row>
    <row r="917" spans="1:37" s="1457" customFormat="1" ht="18.75" customHeight="1" x14ac:dyDescent="0.15">
      <c r="A917" s="1578"/>
      <c r="B917" s="1462"/>
      <c r="C917" s="1462"/>
      <c r="D917" s="1460">
        <f>'1_入力シート【基本情報】'!$BD$504</f>
        <v>0</v>
      </c>
      <c r="E917" s="1650">
        <f t="shared" si="58"/>
        <v>0</v>
      </c>
      <c r="F917" s="1650" t="str">
        <f t="shared" si="59"/>
        <v>0</v>
      </c>
      <c r="G917" s="1650" t="str">
        <f t="shared" si="60"/>
        <v>0</v>
      </c>
      <c r="H917" s="1468"/>
      <c r="I917" s="1462"/>
      <c r="J917" s="1531"/>
      <c r="K917" s="1462"/>
      <c r="L917" s="1462"/>
      <c r="M917" s="1493"/>
      <c r="N917" s="1462"/>
      <c r="O917" s="1462"/>
      <c r="P917" s="1462"/>
      <c r="Q917" s="1462"/>
      <c r="R917" s="1462"/>
      <c r="S917" s="1462"/>
      <c r="T917" s="1462"/>
      <c r="U917" s="1469">
        <v>23</v>
      </c>
      <c r="V917" s="1486" t="s">
        <v>33</v>
      </c>
      <c r="W917" s="1471" t="s">
        <v>1306</v>
      </c>
      <c r="X917" s="1472" t="s">
        <v>148</v>
      </c>
      <c r="Y917" s="1473" t="s">
        <v>1306</v>
      </c>
      <c r="Z917" s="1474" t="s">
        <v>1535</v>
      </c>
      <c r="AA917" s="1473" t="s">
        <v>1306</v>
      </c>
      <c r="AB917" s="1486" t="s">
        <v>1403</v>
      </c>
      <c r="AC917" s="1499"/>
      <c r="AD917" s="1500"/>
      <c r="AE917" s="1501"/>
      <c r="AF917" s="1501"/>
      <c r="AG917" s="1457" t="str">
        <f t="shared" si="61"/>
        <v>23調査結果-上記以外の調査項目-7（8）-改善策の具体的内容等</v>
      </c>
      <c r="AI917" s="1459"/>
      <c r="AJ917" s="1459"/>
      <c r="AK917" s="1459"/>
    </row>
    <row r="918" spans="1:37" s="1457" customFormat="1" ht="18.75" customHeight="1" x14ac:dyDescent="0.15">
      <c r="A918" s="1578"/>
      <c r="B918" s="1462"/>
      <c r="C918" s="1462"/>
      <c r="D918" s="1460">
        <f>'1_入力シート【基本情報】'!$BS$504</f>
        <v>0</v>
      </c>
      <c r="E918" s="1650">
        <f t="shared" si="58"/>
        <v>0</v>
      </c>
      <c r="F918" s="1650" t="str">
        <f t="shared" si="59"/>
        <v>0</v>
      </c>
      <c r="G918" s="1650" t="str">
        <f t="shared" si="60"/>
        <v>0</v>
      </c>
      <c r="H918" s="1468"/>
      <c r="I918" s="1462"/>
      <c r="J918" s="1531"/>
      <c r="K918" s="1462"/>
      <c r="L918" s="1462"/>
      <c r="M918" s="1493"/>
      <c r="N918" s="1462"/>
      <c r="O918" s="1462"/>
      <c r="P918" s="1462"/>
      <c r="Q918" s="1462"/>
      <c r="R918" s="1462"/>
      <c r="S918" s="1462"/>
      <c r="T918" s="1462"/>
      <c r="U918" s="1469">
        <v>23</v>
      </c>
      <c r="V918" s="1486" t="s">
        <v>33</v>
      </c>
      <c r="W918" s="1471" t="s">
        <v>1306</v>
      </c>
      <c r="X918" s="1472" t="s">
        <v>148</v>
      </c>
      <c r="Y918" s="1473" t="s">
        <v>1306</v>
      </c>
      <c r="Z918" s="1474" t="s">
        <v>1535</v>
      </c>
      <c r="AA918" s="1473" t="s">
        <v>1306</v>
      </c>
      <c r="AB918" s="1486" t="s">
        <v>352</v>
      </c>
      <c r="AC918" s="1499" t="s">
        <v>1366</v>
      </c>
      <c r="AD918" s="1500" t="s">
        <v>1387</v>
      </c>
      <c r="AE918" s="1501"/>
      <c r="AF918" s="1501"/>
      <c r="AG918" s="1457" t="str">
        <f t="shared" si="61"/>
        <v>23調査結果-上記以外の調査項目-7（8）-改善（予定）年月-年（令和）</v>
      </c>
      <c r="AI918" s="1459"/>
      <c r="AJ918" s="1459"/>
      <c r="AK918" s="1459"/>
    </row>
    <row r="919" spans="1:37" s="1457" customFormat="1" ht="18.75" customHeight="1" x14ac:dyDescent="0.15">
      <c r="A919" s="1578"/>
      <c r="B919" s="1462"/>
      <c r="C919" s="1462"/>
      <c r="D919" s="1460">
        <f>'1_入力シート【基本情報】'!$BV$504</f>
        <v>0</v>
      </c>
      <c r="E919" s="1650">
        <f t="shared" si="58"/>
        <v>0</v>
      </c>
      <c r="F919" s="1650" t="str">
        <f t="shared" si="59"/>
        <v>0</v>
      </c>
      <c r="G919" s="1650" t="str">
        <f t="shared" si="60"/>
        <v>0</v>
      </c>
      <c r="H919" s="1468"/>
      <c r="I919" s="1462"/>
      <c r="J919" s="1531"/>
      <c r="K919" s="1462"/>
      <c r="L919" s="1462"/>
      <c r="M919" s="1493"/>
      <c r="N919" s="1462"/>
      <c r="O919" s="1462"/>
      <c r="P919" s="1462"/>
      <c r="Q919" s="1462"/>
      <c r="R919" s="1462"/>
      <c r="S919" s="1462"/>
      <c r="T919" s="1462"/>
      <c r="U919" s="1469">
        <v>23</v>
      </c>
      <c r="V919" s="1486" t="s">
        <v>33</v>
      </c>
      <c r="W919" s="1471" t="s">
        <v>1306</v>
      </c>
      <c r="X919" s="1472" t="s">
        <v>148</v>
      </c>
      <c r="Y919" s="1473" t="s">
        <v>1306</v>
      </c>
      <c r="Z919" s="1474" t="s">
        <v>1535</v>
      </c>
      <c r="AA919" s="1473" t="s">
        <v>1306</v>
      </c>
      <c r="AB919" s="1486" t="s">
        <v>352</v>
      </c>
      <c r="AC919" s="1499" t="s">
        <v>1366</v>
      </c>
      <c r="AD919" s="1500" t="s">
        <v>348</v>
      </c>
      <c r="AE919" s="1501"/>
      <c r="AF919" s="1501"/>
      <c r="AG919" s="1457" t="str">
        <f t="shared" si="61"/>
        <v>23調査結果-上記以外の調査項目-7（8）-改善（予定）年月-月</v>
      </c>
      <c r="AI919" s="1459"/>
      <c r="AJ919" s="1459"/>
      <c r="AK919" s="1459"/>
    </row>
    <row r="920" spans="1:37" s="1457" customFormat="1" ht="18.75" customHeight="1" x14ac:dyDescent="0.15">
      <c r="A920" s="1578"/>
      <c r="B920" s="1462"/>
      <c r="C920" s="1462"/>
      <c r="D920" s="1460">
        <f>'1_入力シート【基本情報】'!$BY$504</f>
        <v>0</v>
      </c>
      <c r="E920" s="1650">
        <f t="shared" si="58"/>
        <v>0</v>
      </c>
      <c r="F920" s="1650" t="str">
        <f t="shared" si="59"/>
        <v>0</v>
      </c>
      <c r="G920" s="1650" t="str">
        <f t="shared" si="60"/>
        <v>0</v>
      </c>
      <c r="H920" s="1468"/>
      <c r="I920" s="1462"/>
      <c r="J920" s="1531"/>
      <c r="K920" s="1462"/>
      <c r="L920" s="1462"/>
      <c r="M920" s="1493"/>
      <c r="N920" s="1462"/>
      <c r="O920" s="1462"/>
      <c r="P920" s="1462"/>
      <c r="Q920" s="1462"/>
      <c r="R920" s="1462"/>
      <c r="S920" s="1462"/>
      <c r="T920" s="1462"/>
      <c r="U920" s="1469">
        <v>23</v>
      </c>
      <c r="V920" s="1486" t="s">
        <v>33</v>
      </c>
      <c r="W920" s="1471" t="s">
        <v>1306</v>
      </c>
      <c r="X920" s="1472" t="s">
        <v>148</v>
      </c>
      <c r="Y920" s="1473" t="s">
        <v>1306</v>
      </c>
      <c r="Z920" s="1474" t="s">
        <v>1535</v>
      </c>
      <c r="AA920" s="1473" t="s">
        <v>1306</v>
      </c>
      <c r="AB920" s="1470" t="s">
        <v>352</v>
      </c>
      <c r="AC920" s="1475" t="s">
        <v>1366</v>
      </c>
      <c r="AD920" s="1476" t="s">
        <v>640</v>
      </c>
      <c r="AE920" s="1501"/>
      <c r="AF920" s="1501"/>
      <c r="AG920" s="1457" t="str">
        <f t="shared" si="61"/>
        <v>23調査結果-上記以外の調査項目-7（8）-改善（予定）年月-未定</v>
      </c>
      <c r="AI920" s="1459"/>
      <c r="AJ920" s="1459"/>
      <c r="AK920" s="1459"/>
    </row>
    <row r="921" spans="1:37" s="1457" customFormat="1" ht="18.75" customHeight="1" x14ac:dyDescent="0.15">
      <c r="A921" s="1578"/>
      <c r="B921" s="1462"/>
      <c r="C921" s="1462"/>
      <c r="D921" s="1460">
        <f>'1_入力シート【基本情報】'!$AF$505</f>
        <v>0</v>
      </c>
      <c r="E921" s="1650">
        <f t="shared" si="58"/>
        <v>0</v>
      </c>
      <c r="F921" s="1650" t="str">
        <f t="shared" si="59"/>
        <v>0</v>
      </c>
      <c r="G921" s="1650" t="str">
        <f t="shared" si="60"/>
        <v>0</v>
      </c>
      <c r="H921" s="1468"/>
      <c r="I921" s="1462"/>
      <c r="J921" s="1531"/>
      <c r="K921" s="1462"/>
      <c r="L921" s="1462"/>
      <c r="M921" s="1493"/>
      <c r="N921" s="1462"/>
      <c r="O921" s="1462"/>
      <c r="P921" s="1462"/>
      <c r="Q921" s="1462"/>
      <c r="R921" s="1462"/>
      <c r="S921" s="1462"/>
      <c r="T921" s="1462"/>
      <c r="U921" s="1469">
        <v>23</v>
      </c>
      <c r="V921" s="1486" t="s">
        <v>33</v>
      </c>
      <c r="W921" s="1471" t="s">
        <v>1306</v>
      </c>
      <c r="X921" s="1472" t="s">
        <v>148</v>
      </c>
      <c r="Y921" s="1473" t="s">
        <v>1306</v>
      </c>
      <c r="Z921" s="1474" t="s">
        <v>1536</v>
      </c>
      <c r="AA921" s="1473" t="s">
        <v>1306</v>
      </c>
      <c r="AB921" s="1470" t="s">
        <v>33</v>
      </c>
      <c r="AC921" s="1499"/>
      <c r="AD921" s="1500"/>
      <c r="AE921" s="1501"/>
      <c r="AF921" s="1501"/>
      <c r="AG921" s="1457" t="str">
        <f t="shared" si="61"/>
        <v>23調査結果-上記以外の調査項目-7（9）-調査結果</v>
      </c>
      <c r="AI921" s="1459"/>
      <c r="AJ921" s="1459"/>
      <c r="AK921" s="1459"/>
    </row>
    <row r="922" spans="1:37" s="1457" customFormat="1" ht="18.75" customHeight="1" x14ac:dyDescent="0.15">
      <c r="A922" s="1578"/>
      <c r="B922" s="1462"/>
      <c r="C922" s="1462"/>
      <c r="D922" s="1460">
        <f>'1_入力シート【基本情報】'!$AR$505</f>
        <v>0</v>
      </c>
      <c r="E922" s="1650">
        <f t="shared" si="58"/>
        <v>0</v>
      </c>
      <c r="F922" s="1650" t="str">
        <f t="shared" si="59"/>
        <v>0</v>
      </c>
      <c r="G922" s="1650" t="str">
        <f t="shared" si="60"/>
        <v>0</v>
      </c>
      <c r="H922" s="1468"/>
      <c r="I922" s="1462"/>
      <c r="J922" s="1531"/>
      <c r="K922" s="1462"/>
      <c r="L922" s="1462"/>
      <c r="M922" s="1493"/>
      <c r="N922" s="1462"/>
      <c r="O922" s="1462"/>
      <c r="P922" s="1462"/>
      <c r="Q922" s="1462"/>
      <c r="R922" s="1462"/>
      <c r="S922" s="1462"/>
      <c r="T922" s="1462"/>
      <c r="U922" s="1469">
        <v>23</v>
      </c>
      <c r="V922" s="1486" t="s">
        <v>33</v>
      </c>
      <c r="W922" s="1471" t="s">
        <v>1306</v>
      </c>
      <c r="X922" s="1472" t="s">
        <v>148</v>
      </c>
      <c r="Y922" s="1473" t="s">
        <v>1306</v>
      </c>
      <c r="Z922" s="1474" t="s">
        <v>1536</v>
      </c>
      <c r="AA922" s="1473" t="s">
        <v>1306</v>
      </c>
      <c r="AB922" s="1470" t="s">
        <v>30</v>
      </c>
      <c r="AC922" s="1499"/>
      <c r="AD922" s="1500"/>
      <c r="AE922" s="1501"/>
      <c r="AF922" s="1501"/>
      <c r="AG922" s="1457" t="str">
        <f t="shared" si="61"/>
        <v>23調査結果-上記以外の調査項目-7（9）-調査者番号</v>
      </c>
      <c r="AI922" s="1459"/>
      <c r="AJ922" s="1459"/>
      <c r="AK922" s="1459"/>
    </row>
    <row r="923" spans="1:37" s="1457" customFormat="1" ht="18.75" customHeight="1" x14ac:dyDescent="0.15">
      <c r="A923" s="1578"/>
      <c r="B923" s="1462"/>
      <c r="C923" s="1462"/>
      <c r="D923" s="1460">
        <f>'1_入力シート【基本情報】'!$AT$505</f>
        <v>0</v>
      </c>
      <c r="E923" s="1650">
        <f t="shared" si="58"/>
        <v>0</v>
      </c>
      <c r="F923" s="1650" t="str">
        <f t="shared" si="59"/>
        <v>0</v>
      </c>
      <c r="G923" s="1650" t="str">
        <f t="shared" si="60"/>
        <v>0</v>
      </c>
      <c r="H923" s="1468"/>
      <c r="I923" s="1462"/>
      <c r="J923" s="1531"/>
      <c r="K923" s="1462"/>
      <c r="L923" s="1462"/>
      <c r="M923" s="1493"/>
      <c r="N923" s="1462"/>
      <c r="O923" s="1462"/>
      <c r="P923" s="1462"/>
      <c r="Q923" s="1462"/>
      <c r="R923" s="1462"/>
      <c r="S923" s="1462"/>
      <c r="T923" s="1462"/>
      <c r="U923" s="1469">
        <v>23</v>
      </c>
      <c r="V923" s="1486" t="s">
        <v>33</v>
      </c>
      <c r="W923" s="1471" t="s">
        <v>1306</v>
      </c>
      <c r="X923" s="1472" t="s">
        <v>148</v>
      </c>
      <c r="Y923" s="1473" t="s">
        <v>1306</v>
      </c>
      <c r="Z923" s="1474" t="s">
        <v>1536</v>
      </c>
      <c r="AA923" s="1473" t="s">
        <v>1306</v>
      </c>
      <c r="AB923" s="1470" t="s">
        <v>1402</v>
      </c>
      <c r="AC923" s="1499"/>
      <c r="AD923" s="1500"/>
      <c r="AE923" s="1477"/>
      <c r="AF923" s="1477"/>
      <c r="AG923" s="1457" t="str">
        <f t="shared" si="61"/>
        <v>23調査結果-上記以外の調査項目-7（9）-指摘の具体的内容等</v>
      </c>
      <c r="AI923" s="1459"/>
      <c r="AJ923" s="1459"/>
      <c r="AK923" s="1459"/>
    </row>
    <row r="924" spans="1:37" s="1457" customFormat="1" ht="18.75" customHeight="1" x14ac:dyDescent="0.15">
      <c r="A924" s="1578"/>
      <c r="B924" s="1462"/>
      <c r="C924" s="1462"/>
      <c r="D924" s="1460">
        <f>'1_入力シート【基本情報】'!$BD$505</f>
        <v>0</v>
      </c>
      <c r="E924" s="1650">
        <f t="shared" ref="E924:E934" si="62">D924</f>
        <v>0</v>
      </c>
      <c r="F924" s="1650" t="str">
        <f t="shared" ref="F924:F934" si="63">SUBSTITUTE(E924,CHAR(10),"")</f>
        <v>0</v>
      </c>
      <c r="G924" s="1650" t="str">
        <f t="shared" ref="G924:G934" si="64">TRIM(F924)</f>
        <v>0</v>
      </c>
      <c r="H924" s="1468"/>
      <c r="I924" s="1462"/>
      <c r="J924" s="1531"/>
      <c r="K924" s="1462"/>
      <c r="L924" s="1462"/>
      <c r="M924" s="1493"/>
      <c r="N924" s="1462"/>
      <c r="O924" s="1462"/>
      <c r="P924" s="1462"/>
      <c r="Q924" s="1462"/>
      <c r="R924" s="1462"/>
      <c r="S924" s="1462"/>
      <c r="T924" s="1462"/>
      <c r="U924" s="1469">
        <v>23</v>
      </c>
      <c r="V924" s="1486" t="s">
        <v>33</v>
      </c>
      <c r="W924" s="1471" t="s">
        <v>1306</v>
      </c>
      <c r="X924" s="1472" t="s">
        <v>148</v>
      </c>
      <c r="Y924" s="1473" t="s">
        <v>1306</v>
      </c>
      <c r="Z924" s="1474" t="s">
        <v>1536</v>
      </c>
      <c r="AA924" s="1473" t="s">
        <v>1306</v>
      </c>
      <c r="AB924" s="1470" t="s">
        <v>1403</v>
      </c>
      <c r="AC924" s="1499"/>
      <c r="AD924" s="1500"/>
      <c r="AE924" s="1501"/>
      <c r="AF924" s="1501"/>
      <c r="AG924" s="1457" t="str">
        <f t="shared" si="61"/>
        <v>23調査結果-上記以外の調査項目-7（9）-改善策の具体的内容等</v>
      </c>
      <c r="AI924" s="1459"/>
      <c r="AJ924" s="1459"/>
      <c r="AK924" s="1459"/>
    </row>
    <row r="925" spans="1:37" s="1457" customFormat="1" ht="18.75" customHeight="1" x14ac:dyDescent="0.15">
      <c r="A925" s="1578"/>
      <c r="B925" s="1462"/>
      <c r="C925" s="1462"/>
      <c r="D925" s="1460">
        <f>'1_入力シート【基本情報】'!$BS$505</f>
        <v>0</v>
      </c>
      <c r="E925" s="1650">
        <f t="shared" si="62"/>
        <v>0</v>
      </c>
      <c r="F925" s="1650" t="str">
        <f t="shared" si="63"/>
        <v>0</v>
      </c>
      <c r="G925" s="1650" t="str">
        <f t="shared" si="64"/>
        <v>0</v>
      </c>
      <c r="H925" s="1468"/>
      <c r="I925" s="1462"/>
      <c r="J925" s="1531"/>
      <c r="K925" s="1462"/>
      <c r="L925" s="1462"/>
      <c r="M925" s="1493"/>
      <c r="N925" s="1462"/>
      <c r="O925" s="1462"/>
      <c r="P925" s="1462"/>
      <c r="Q925" s="1462"/>
      <c r="R925" s="1462"/>
      <c r="S925" s="1462"/>
      <c r="T925" s="1462"/>
      <c r="U925" s="1469">
        <v>23</v>
      </c>
      <c r="V925" s="1486" t="s">
        <v>33</v>
      </c>
      <c r="W925" s="1471" t="s">
        <v>1306</v>
      </c>
      <c r="X925" s="1472" t="s">
        <v>148</v>
      </c>
      <c r="Y925" s="1473" t="s">
        <v>1306</v>
      </c>
      <c r="Z925" s="1474" t="s">
        <v>1536</v>
      </c>
      <c r="AA925" s="1473" t="s">
        <v>1306</v>
      </c>
      <c r="AB925" s="1486" t="s">
        <v>352</v>
      </c>
      <c r="AC925" s="1499" t="s">
        <v>1366</v>
      </c>
      <c r="AD925" s="1500" t="s">
        <v>1387</v>
      </c>
      <c r="AE925" s="1501"/>
      <c r="AF925" s="1501"/>
      <c r="AG925" s="1457" t="str">
        <f t="shared" si="61"/>
        <v>23調査結果-上記以外の調査項目-7（9）-改善（予定）年月-年（令和）</v>
      </c>
      <c r="AI925" s="1459"/>
      <c r="AJ925" s="1459"/>
      <c r="AK925" s="1459"/>
    </row>
    <row r="926" spans="1:37" s="1457" customFormat="1" ht="18.75" customHeight="1" x14ac:dyDescent="0.15">
      <c r="A926" s="1578"/>
      <c r="B926" s="1462"/>
      <c r="C926" s="1462"/>
      <c r="D926" s="1460">
        <f>'1_入力シート【基本情報】'!$BV$505</f>
        <v>0</v>
      </c>
      <c r="E926" s="1650">
        <f t="shared" si="62"/>
        <v>0</v>
      </c>
      <c r="F926" s="1650" t="str">
        <f t="shared" si="63"/>
        <v>0</v>
      </c>
      <c r="G926" s="1650" t="str">
        <f t="shared" si="64"/>
        <v>0</v>
      </c>
      <c r="H926" s="1468"/>
      <c r="I926" s="1462"/>
      <c r="J926" s="1531"/>
      <c r="K926" s="1462"/>
      <c r="L926" s="1462"/>
      <c r="M926" s="1493"/>
      <c r="N926" s="1462"/>
      <c r="O926" s="1462"/>
      <c r="P926" s="1462"/>
      <c r="Q926" s="1462"/>
      <c r="R926" s="1462"/>
      <c r="S926" s="1462"/>
      <c r="T926" s="1462"/>
      <c r="U926" s="1469">
        <v>23</v>
      </c>
      <c r="V926" s="1486" t="s">
        <v>33</v>
      </c>
      <c r="W926" s="1471" t="s">
        <v>1306</v>
      </c>
      <c r="X926" s="1472" t="s">
        <v>148</v>
      </c>
      <c r="Y926" s="1473" t="s">
        <v>1306</v>
      </c>
      <c r="Z926" s="1474" t="s">
        <v>1536</v>
      </c>
      <c r="AA926" s="1473" t="s">
        <v>1306</v>
      </c>
      <c r="AB926" s="1486" t="s">
        <v>352</v>
      </c>
      <c r="AC926" s="1499" t="s">
        <v>1366</v>
      </c>
      <c r="AD926" s="1500" t="s">
        <v>348</v>
      </c>
      <c r="AE926" s="1501"/>
      <c r="AF926" s="1501"/>
      <c r="AG926" s="1457" t="str">
        <f t="shared" si="61"/>
        <v>23調査結果-上記以外の調査項目-7（9）-改善（予定）年月-月</v>
      </c>
      <c r="AI926" s="1459"/>
      <c r="AJ926" s="1459"/>
      <c r="AK926" s="1459"/>
    </row>
    <row r="927" spans="1:37" s="1457" customFormat="1" ht="18.75" customHeight="1" x14ac:dyDescent="0.15">
      <c r="A927" s="1578"/>
      <c r="B927" s="1462"/>
      <c r="C927" s="1462"/>
      <c r="D927" s="1460">
        <f>'1_入力シート【基本情報】'!$BY$505</f>
        <v>0</v>
      </c>
      <c r="E927" s="1650">
        <f t="shared" si="62"/>
        <v>0</v>
      </c>
      <c r="F927" s="1650" t="str">
        <f t="shared" si="63"/>
        <v>0</v>
      </c>
      <c r="G927" s="1650" t="str">
        <f t="shared" si="64"/>
        <v>0</v>
      </c>
      <c r="H927" s="1468"/>
      <c r="I927" s="1462"/>
      <c r="J927" s="1531"/>
      <c r="K927" s="1462"/>
      <c r="L927" s="1462"/>
      <c r="M927" s="1493"/>
      <c r="N927" s="1462"/>
      <c r="O927" s="1462"/>
      <c r="P927" s="1462"/>
      <c r="Q927" s="1462"/>
      <c r="R927" s="1462"/>
      <c r="S927" s="1462"/>
      <c r="T927" s="1462"/>
      <c r="U927" s="1469">
        <v>23</v>
      </c>
      <c r="V927" s="1486" t="s">
        <v>33</v>
      </c>
      <c r="W927" s="1471" t="s">
        <v>1306</v>
      </c>
      <c r="X927" s="1472" t="s">
        <v>148</v>
      </c>
      <c r="Y927" s="1473" t="s">
        <v>1306</v>
      </c>
      <c r="Z927" s="1474" t="s">
        <v>1536</v>
      </c>
      <c r="AA927" s="1473" t="s">
        <v>1306</v>
      </c>
      <c r="AB927" s="1486" t="s">
        <v>352</v>
      </c>
      <c r="AC927" s="1499" t="s">
        <v>1366</v>
      </c>
      <c r="AD927" s="1500" t="s">
        <v>640</v>
      </c>
      <c r="AE927" s="1501"/>
      <c r="AF927" s="1501"/>
      <c r="AG927" s="1457" t="str">
        <f t="shared" si="61"/>
        <v>23調査結果-上記以外の調査項目-7（9）-改善（予定）年月-未定</v>
      </c>
      <c r="AI927" s="1459"/>
      <c r="AJ927" s="1459"/>
      <c r="AK927" s="1459"/>
    </row>
    <row r="928" spans="1:37" s="1457" customFormat="1" ht="18.75" customHeight="1" x14ac:dyDescent="0.15">
      <c r="A928" s="1578"/>
      <c r="B928" s="1462"/>
      <c r="C928" s="1462"/>
      <c r="D928" s="1460">
        <f>'1_入力シート【基本情報】'!$AF$506</f>
        <v>0</v>
      </c>
      <c r="E928" s="1650">
        <f t="shared" si="62"/>
        <v>0</v>
      </c>
      <c r="F928" s="1650" t="str">
        <f t="shared" si="63"/>
        <v>0</v>
      </c>
      <c r="G928" s="1650" t="str">
        <f t="shared" si="64"/>
        <v>0</v>
      </c>
      <c r="H928" s="1468"/>
      <c r="I928" s="1462"/>
      <c r="J928" s="1531"/>
      <c r="K928" s="1462"/>
      <c r="L928" s="1462"/>
      <c r="M928" s="1493"/>
      <c r="N928" s="1462"/>
      <c r="O928" s="1462"/>
      <c r="P928" s="1462"/>
      <c r="Q928" s="1462"/>
      <c r="R928" s="1462"/>
      <c r="S928" s="1462"/>
      <c r="T928" s="1462"/>
      <c r="U928" s="1469">
        <v>23</v>
      </c>
      <c r="V928" s="1486" t="s">
        <v>33</v>
      </c>
      <c r="W928" s="1471" t="s">
        <v>1306</v>
      </c>
      <c r="X928" s="1472" t="s">
        <v>148</v>
      </c>
      <c r="Y928" s="1473" t="s">
        <v>1306</v>
      </c>
      <c r="Z928" s="1474" t="s">
        <v>1537</v>
      </c>
      <c r="AA928" s="1473" t="s">
        <v>1306</v>
      </c>
      <c r="AB928" s="1470" t="s">
        <v>33</v>
      </c>
      <c r="AC928" s="1475"/>
      <c r="AD928" s="1476"/>
      <c r="AE928" s="1501"/>
      <c r="AF928" s="1501"/>
      <c r="AG928" s="1457" t="str">
        <f t="shared" si="61"/>
        <v>23調査結果-上記以外の調査項目-7（10）-調査結果</v>
      </c>
      <c r="AI928" s="1459"/>
      <c r="AJ928" s="1459"/>
      <c r="AK928" s="1459"/>
    </row>
    <row r="929" spans="1:37" s="1457" customFormat="1" ht="18.75" customHeight="1" x14ac:dyDescent="0.15">
      <c r="A929" s="1578"/>
      <c r="B929" s="1462"/>
      <c r="C929" s="1462"/>
      <c r="D929" s="1460">
        <f>'1_入力シート【基本情報】'!$AR$506</f>
        <v>0</v>
      </c>
      <c r="E929" s="1650">
        <f t="shared" si="62"/>
        <v>0</v>
      </c>
      <c r="F929" s="1650" t="str">
        <f t="shared" si="63"/>
        <v>0</v>
      </c>
      <c r="G929" s="1650" t="str">
        <f t="shared" si="64"/>
        <v>0</v>
      </c>
      <c r="H929" s="1468"/>
      <c r="I929" s="1462"/>
      <c r="J929" s="1531"/>
      <c r="K929" s="1462"/>
      <c r="L929" s="1462"/>
      <c r="M929" s="1493"/>
      <c r="N929" s="1462"/>
      <c r="O929" s="1462"/>
      <c r="P929" s="1462"/>
      <c r="Q929" s="1462"/>
      <c r="R929" s="1462"/>
      <c r="S929" s="1462"/>
      <c r="T929" s="1462"/>
      <c r="U929" s="1469">
        <v>23</v>
      </c>
      <c r="V929" s="1486" t="s">
        <v>33</v>
      </c>
      <c r="W929" s="1471" t="s">
        <v>1306</v>
      </c>
      <c r="X929" s="1472" t="s">
        <v>148</v>
      </c>
      <c r="Y929" s="1473" t="s">
        <v>1306</v>
      </c>
      <c r="Z929" s="1474" t="s">
        <v>1537</v>
      </c>
      <c r="AA929" s="1473" t="s">
        <v>1306</v>
      </c>
      <c r="AB929" s="1470" t="s">
        <v>30</v>
      </c>
      <c r="AC929" s="1499"/>
      <c r="AD929" s="1500"/>
      <c r="AE929" s="1501"/>
      <c r="AF929" s="1501"/>
      <c r="AG929" s="1457" t="str">
        <f t="shared" si="61"/>
        <v>23調査結果-上記以外の調査項目-7（10）-調査者番号</v>
      </c>
      <c r="AI929" s="1459"/>
      <c r="AJ929" s="1459"/>
      <c r="AK929" s="1459"/>
    </row>
    <row r="930" spans="1:37" s="1457" customFormat="1" ht="18.75" customHeight="1" x14ac:dyDescent="0.15">
      <c r="A930" s="1578"/>
      <c r="B930" s="1462"/>
      <c r="C930" s="1462"/>
      <c r="D930" s="1460">
        <f>'1_入力シート【基本情報】'!$AT$506</f>
        <v>0</v>
      </c>
      <c r="E930" s="1650">
        <f t="shared" si="62"/>
        <v>0</v>
      </c>
      <c r="F930" s="1650" t="str">
        <f t="shared" si="63"/>
        <v>0</v>
      </c>
      <c r="G930" s="1650" t="str">
        <f t="shared" si="64"/>
        <v>0</v>
      </c>
      <c r="H930" s="1468"/>
      <c r="I930" s="1462"/>
      <c r="J930" s="1531"/>
      <c r="K930" s="1462"/>
      <c r="L930" s="1462"/>
      <c r="M930" s="1493"/>
      <c r="N930" s="1462"/>
      <c r="O930" s="1462"/>
      <c r="P930" s="1462"/>
      <c r="Q930" s="1462"/>
      <c r="R930" s="1462"/>
      <c r="S930" s="1462"/>
      <c r="T930" s="1462"/>
      <c r="U930" s="1469">
        <v>23</v>
      </c>
      <c r="V930" s="1486" t="s">
        <v>33</v>
      </c>
      <c r="W930" s="1471" t="s">
        <v>1306</v>
      </c>
      <c r="X930" s="1472" t="s">
        <v>148</v>
      </c>
      <c r="Y930" s="1473" t="s">
        <v>1306</v>
      </c>
      <c r="Z930" s="1474" t="s">
        <v>1537</v>
      </c>
      <c r="AA930" s="1473" t="s">
        <v>1306</v>
      </c>
      <c r="AB930" s="1470" t="s">
        <v>1402</v>
      </c>
      <c r="AC930" s="1499"/>
      <c r="AD930" s="1500"/>
      <c r="AE930" s="1501"/>
      <c r="AF930" s="1501"/>
      <c r="AG930" s="1457" t="str">
        <f t="shared" si="61"/>
        <v>23調査結果-上記以外の調査項目-7（10）-指摘の具体的内容等</v>
      </c>
      <c r="AI930" s="1459"/>
      <c r="AJ930" s="1459"/>
      <c r="AK930" s="1459"/>
    </row>
    <row r="931" spans="1:37" s="1457" customFormat="1" ht="18.75" customHeight="1" x14ac:dyDescent="0.15">
      <c r="A931" s="1578"/>
      <c r="B931" s="1462"/>
      <c r="C931" s="1462"/>
      <c r="D931" s="1460">
        <f>'1_入力シート【基本情報】'!$BD$506</f>
        <v>0</v>
      </c>
      <c r="E931" s="1650">
        <f t="shared" si="62"/>
        <v>0</v>
      </c>
      <c r="F931" s="1650" t="str">
        <f t="shared" si="63"/>
        <v>0</v>
      </c>
      <c r="G931" s="1650" t="str">
        <f t="shared" si="64"/>
        <v>0</v>
      </c>
      <c r="H931" s="1468"/>
      <c r="I931" s="1462"/>
      <c r="J931" s="1531"/>
      <c r="K931" s="1462"/>
      <c r="L931" s="1462"/>
      <c r="M931" s="1493"/>
      <c r="N931" s="1462"/>
      <c r="O931" s="1462"/>
      <c r="P931" s="1462"/>
      <c r="Q931" s="1462"/>
      <c r="R931" s="1462"/>
      <c r="S931" s="1462"/>
      <c r="T931" s="1462"/>
      <c r="U931" s="1469">
        <v>23</v>
      </c>
      <c r="V931" s="1486" t="s">
        <v>33</v>
      </c>
      <c r="W931" s="1471" t="s">
        <v>1306</v>
      </c>
      <c r="X931" s="1472" t="s">
        <v>148</v>
      </c>
      <c r="Y931" s="1473" t="s">
        <v>1306</v>
      </c>
      <c r="Z931" s="1474" t="s">
        <v>1537</v>
      </c>
      <c r="AA931" s="1473" t="s">
        <v>1306</v>
      </c>
      <c r="AB931" s="1470" t="s">
        <v>1403</v>
      </c>
      <c r="AC931" s="1499"/>
      <c r="AD931" s="1500"/>
      <c r="AE931" s="1477"/>
      <c r="AF931" s="1477"/>
      <c r="AG931" s="1457" t="str">
        <f t="shared" si="61"/>
        <v>23調査結果-上記以外の調査項目-7（10）-改善策の具体的内容等</v>
      </c>
      <c r="AI931" s="1459"/>
      <c r="AJ931" s="1459"/>
      <c r="AK931" s="1459"/>
    </row>
    <row r="932" spans="1:37" s="1457" customFormat="1" ht="18.75" customHeight="1" x14ac:dyDescent="0.15">
      <c r="A932" s="1578"/>
      <c r="B932" s="1462"/>
      <c r="C932" s="1462"/>
      <c r="D932" s="1460">
        <f>'1_入力シート【基本情報】'!$BS$506</f>
        <v>0</v>
      </c>
      <c r="E932" s="1650">
        <f t="shared" si="62"/>
        <v>0</v>
      </c>
      <c r="F932" s="1650" t="str">
        <f t="shared" si="63"/>
        <v>0</v>
      </c>
      <c r="G932" s="1650" t="str">
        <f t="shared" si="64"/>
        <v>0</v>
      </c>
      <c r="H932" s="1468"/>
      <c r="I932" s="1462"/>
      <c r="J932" s="1531"/>
      <c r="K932" s="1462"/>
      <c r="L932" s="1462"/>
      <c r="M932" s="1493"/>
      <c r="N932" s="1462"/>
      <c r="O932" s="1462"/>
      <c r="P932" s="1462"/>
      <c r="Q932" s="1462"/>
      <c r="R932" s="1462"/>
      <c r="S932" s="1462"/>
      <c r="T932" s="1462"/>
      <c r="U932" s="1469">
        <v>23</v>
      </c>
      <c r="V932" s="1486" t="s">
        <v>33</v>
      </c>
      <c r="W932" s="1471" t="s">
        <v>1306</v>
      </c>
      <c r="X932" s="1472" t="s">
        <v>148</v>
      </c>
      <c r="Y932" s="1473" t="s">
        <v>1306</v>
      </c>
      <c r="Z932" s="1474" t="s">
        <v>1537</v>
      </c>
      <c r="AA932" s="1473" t="s">
        <v>1306</v>
      </c>
      <c r="AB932" s="1470" t="s">
        <v>352</v>
      </c>
      <c r="AC932" s="1499" t="s">
        <v>1366</v>
      </c>
      <c r="AD932" s="1500" t="s">
        <v>1387</v>
      </c>
      <c r="AE932" s="1501"/>
      <c r="AF932" s="1501"/>
      <c r="AG932" s="1457" t="str">
        <f t="shared" si="61"/>
        <v>23調査結果-上記以外の調査項目-7（10）-改善（予定）年月-年（令和）</v>
      </c>
      <c r="AI932" s="1459"/>
      <c r="AJ932" s="1459"/>
      <c r="AK932" s="1459"/>
    </row>
    <row r="933" spans="1:37" s="1457" customFormat="1" ht="18.75" customHeight="1" x14ac:dyDescent="0.15">
      <c r="A933" s="1578"/>
      <c r="B933" s="1462"/>
      <c r="C933" s="1462"/>
      <c r="D933" s="1460">
        <f>'1_入力シート【基本情報】'!$BV$506</f>
        <v>0</v>
      </c>
      <c r="E933" s="1650">
        <f t="shared" si="62"/>
        <v>0</v>
      </c>
      <c r="F933" s="1650" t="str">
        <f t="shared" si="63"/>
        <v>0</v>
      </c>
      <c r="G933" s="1650" t="str">
        <f t="shared" si="64"/>
        <v>0</v>
      </c>
      <c r="H933" s="1468"/>
      <c r="I933" s="1462"/>
      <c r="J933" s="1531"/>
      <c r="K933" s="1462"/>
      <c r="L933" s="1462"/>
      <c r="M933" s="1493"/>
      <c r="N933" s="1462"/>
      <c r="O933" s="1462"/>
      <c r="P933" s="1462"/>
      <c r="Q933" s="1462"/>
      <c r="R933" s="1462"/>
      <c r="S933" s="1462"/>
      <c r="T933" s="1462"/>
      <c r="U933" s="1469">
        <v>23</v>
      </c>
      <c r="V933" s="1486" t="s">
        <v>33</v>
      </c>
      <c r="W933" s="1471" t="s">
        <v>1306</v>
      </c>
      <c r="X933" s="1472" t="s">
        <v>148</v>
      </c>
      <c r="Y933" s="1473" t="s">
        <v>1306</v>
      </c>
      <c r="Z933" s="1474" t="s">
        <v>1537</v>
      </c>
      <c r="AA933" s="1473" t="s">
        <v>1306</v>
      </c>
      <c r="AB933" s="1486" t="s">
        <v>352</v>
      </c>
      <c r="AC933" s="1499" t="s">
        <v>1366</v>
      </c>
      <c r="AD933" s="1500" t="s">
        <v>348</v>
      </c>
      <c r="AE933" s="1501"/>
      <c r="AF933" s="1501"/>
      <c r="AG933" s="1457" t="str">
        <f t="shared" si="61"/>
        <v>23調査結果-上記以外の調査項目-7（10）-改善（予定）年月-月</v>
      </c>
      <c r="AI933" s="1459"/>
      <c r="AJ933" s="1459"/>
      <c r="AK933" s="1459"/>
    </row>
    <row r="934" spans="1:37" s="1457" customFormat="1" ht="18.75" customHeight="1" x14ac:dyDescent="0.15">
      <c r="A934" s="1578"/>
      <c r="B934" s="1462"/>
      <c r="C934" s="1462"/>
      <c r="D934" s="1460">
        <f>'1_入力シート【基本情報】'!$BY$506</f>
        <v>0</v>
      </c>
      <c r="E934" s="1650">
        <f t="shared" si="62"/>
        <v>0</v>
      </c>
      <c r="F934" s="1650" t="str">
        <f t="shared" si="63"/>
        <v>0</v>
      </c>
      <c r="G934" s="1650" t="str">
        <f t="shared" si="64"/>
        <v>0</v>
      </c>
      <c r="H934" s="1468"/>
      <c r="I934" s="1462"/>
      <c r="J934" s="1531"/>
      <c r="K934" s="1462"/>
      <c r="L934" s="1462"/>
      <c r="M934" s="1493"/>
      <c r="N934" s="1462"/>
      <c r="O934" s="1462"/>
      <c r="P934" s="1462"/>
      <c r="Q934" s="1462"/>
      <c r="R934" s="1462"/>
      <c r="S934" s="1462"/>
      <c r="T934" s="1462"/>
      <c r="U934" s="1469">
        <v>23</v>
      </c>
      <c r="V934" s="1486" t="s">
        <v>33</v>
      </c>
      <c r="W934" s="1471" t="s">
        <v>1306</v>
      </c>
      <c r="X934" s="1472" t="s">
        <v>148</v>
      </c>
      <c r="Y934" s="1473" t="s">
        <v>1306</v>
      </c>
      <c r="Z934" s="1474" t="s">
        <v>1537</v>
      </c>
      <c r="AA934" s="1473" t="s">
        <v>1306</v>
      </c>
      <c r="AB934" s="1486" t="s">
        <v>352</v>
      </c>
      <c r="AC934" s="1499" t="s">
        <v>1366</v>
      </c>
      <c r="AD934" s="1500" t="s">
        <v>640</v>
      </c>
      <c r="AE934" s="1501"/>
      <c r="AF934" s="1501"/>
      <c r="AG934" s="1457" t="str">
        <f t="shared" si="61"/>
        <v>23調査結果-上記以外の調査項目-7（10）-改善（予定）年月-未定</v>
      </c>
      <c r="AI934" s="1459"/>
      <c r="AJ934" s="1459"/>
      <c r="AK934" s="1459"/>
    </row>
    <row r="935" spans="1:37" s="1457" customFormat="1" ht="18.75" customHeight="1" x14ac:dyDescent="0.15">
      <c r="A935" s="1578"/>
      <c r="B935" s="1462"/>
      <c r="C935" s="1462"/>
      <c r="D935" s="1460">
        <f>'1_入力シート【基本情報】'!$AF$507</f>
        <v>0</v>
      </c>
      <c r="E935" s="1650">
        <f t="shared" ref="E935:E990" si="65">D935</f>
        <v>0</v>
      </c>
      <c r="F935" s="1650" t="str">
        <f t="shared" ref="F935:F990" si="66">SUBSTITUTE(E935,CHAR(10),"")</f>
        <v>0</v>
      </c>
      <c r="G935" s="1650" t="str">
        <f t="shared" ref="G935:G990" si="67">TRIM(F935)</f>
        <v>0</v>
      </c>
      <c r="H935" s="1468"/>
      <c r="I935" s="1462"/>
      <c r="J935" s="1531"/>
      <c r="K935" s="1462"/>
      <c r="L935" s="1462"/>
      <c r="M935" s="1493"/>
      <c r="N935" s="1462"/>
      <c r="O935" s="1462"/>
      <c r="P935" s="1462"/>
      <c r="Q935" s="1462"/>
      <c r="R935" s="1462"/>
      <c r="S935" s="1462"/>
      <c r="T935" s="1462"/>
      <c r="U935" s="1469">
        <v>23</v>
      </c>
      <c r="V935" s="1486" t="s">
        <v>33</v>
      </c>
      <c r="W935" s="1471" t="s">
        <v>1306</v>
      </c>
      <c r="X935" s="1472" t="s">
        <v>148</v>
      </c>
      <c r="Y935" s="1473" t="s">
        <v>1306</v>
      </c>
      <c r="Z935" s="1474" t="s">
        <v>3223</v>
      </c>
      <c r="AA935" s="1473" t="s">
        <v>1306</v>
      </c>
      <c r="AB935" s="1470" t="s">
        <v>33</v>
      </c>
      <c r="AC935" s="1475"/>
      <c r="AD935" s="1476"/>
      <c r="AE935" s="1501"/>
      <c r="AF935" s="1501"/>
      <c r="AG935" s="1457" t="str">
        <f t="shared" si="61"/>
        <v>23調査結果-上記以外の調査項目-7（11）-調査結果</v>
      </c>
      <c r="AI935" s="1459"/>
      <c r="AJ935" s="1459"/>
      <c r="AK935" s="1459"/>
    </row>
    <row r="936" spans="1:37" s="1457" customFormat="1" ht="18.75" customHeight="1" x14ac:dyDescent="0.15">
      <c r="A936" s="1578"/>
      <c r="B936" s="1462"/>
      <c r="C936" s="1462"/>
      <c r="D936" s="1460">
        <f>'1_入力シート【基本情報】'!$AR$507</f>
        <v>0</v>
      </c>
      <c r="E936" s="1650">
        <f t="shared" si="65"/>
        <v>0</v>
      </c>
      <c r="F936" s="1650" t="str">
        <f t="shared" si="66"/>
        <v>0</v>
      </c>
      <c r="G936" s="1650" t="str">
        <f t="shared" si="67"/>
        <v>0</v>
      </c>
      <c r="H936" s="1468"/>
      <c r="I936" s="1462"/>
      <c r="J936" s="1531"/>
      <c r="K936" s="1462"/>
      <c r="L936" s="1462"/>
      <c r="M936" s="1493"/>
      <c r="N936" s="1462"/>
      <c r="O936" s="1462"/>
      <c r="P936" s="1462"/>
      <c r="Q936" s="1462"/>
      <c r="R936" s="1462"/>
      <c r="S936" s="1462"/>
      <c r="T936" s="1462"/>
      <c r="U936" s="1469">
        <v>23</v>
      </c>
      <c r="V936" s="1486" t="s">
        <v>33</v>
      </c>
      <c r="W936" s="1471" t="s">
        <v>1306</v>
      </c>
      <c r="X936" s="1472" t="s">
        <v>148</v>
      </c>
      <c r="Y936" s="1473" t="s">
        <v>1306</v>
      </c>
      <c r="Z936" s="1474" t="s">
        <v>3223</v>
      </c>
      <c r="AA936" s="1473" t="s">
        <v>1306</v>
      </c>
      <c r="AB936" s="1470" t="s">
        <v>30</v>
      </c>
      <c r="AC936" s="1499"/>
      <c r="AD936" s="1500"/>
      <c r="AE936" s="1501"/>
      <c r="AF936" s="1501"/>
      <c r="AG936" s="1457" t="str">
        <f t="shared" si="61"/>
        <v>23調査結果-上記以外の調査項目-7（11）-調査者番号</v>
      </c>
      <c r="AI936" s="1459"/>
      <c r="AJ936" s="1459"/>
      <c r="AK936" s="1459"/>
    </row>
    <row r="937" spans="1:37" s="1457" customFormat="1" ht="18.75" customHeight="1" x14ac:dyDescent="0.15">
      <c r="A937" s="1578"/>
      <c r="B937" s="1462"/>
      <c r="C937" s="1462"/>
      <c r="D937" s="1460">
        <f>'1_入力シート【基本情報】'!$AT$507</f>
        <v>0</v>
      </c>
      <c r="E937" s="1650">
        <f t="shared" si="65"/>
        <v>0</v>
      </c>
      <c r="F937" s="1650" t="str">
        <f t="shared" si="66"/>
        <v>0</v>
      </c>
      <c r="G937" s="1650" t="str">
        <f t="shared" si="67"/>
        <v>0</v>
      </c>
      <c r="H937" s="1468"/>
      <c r="I937" s="1462"/>
      <c r="J937" s="1531"/>
      <c r="K937" s="1462"/>
      <c r="L937" s="1462"/>
      <c r="M937" s="1493"/>
      <c r="N937" s="1462"/>
      <c r="O937" s="1462"/>
      <c r="P937" s="1462"/>
      <c r="Q937" s="1462"/>
      <c r="R937" s="1462"/>
      <c r="S937" s="1462"/>
      <c r="T937" s="1462"/>
      <c r="U937" s="1469">
        <v>23</v>
      </c>
      <c r="V937" s="1486" t="s">
        <v>33</v>
      </c>
      <c r="W937" s="1471" t="s">
        <v>1306</v>
      </c>
      <c r="X937" s="1472" t="s">
        <v>148</v>
      </c>
      <c r="Y937" s="1473" t="s">
        <v>1306</v>
      </c>
      <c r="Z937" s="1474" t="s">
        <v>3223</v>
      </c>
      <c r="AA937" s="1473" t="s">
        <v>1306</v>
      </c>
      <c r="AB937" s="1470" t="s">
        <v>1402</v>
      </c>
      <c r="AC937" s="1499"/>
      <c r="AD937" s="1500"/>
      <c r="AE937" s="1501"/>
      <c r="AF937" s="1501"/>
      <c r="AG937" s="1457" t="str">
        <f t="shared" si="61"/>
        <v>23調査結果-上記以外の調査項目-7（11）-指摘の具体的内容等</v>
      </c>
      <c r="AI937" s="1459"/>
      <c r="AJ937" s="1459"/>
      <c r="AK937" s="1459"/>
    </row>
    <row r="938" spans="1:37" s="1457" customFormat="1" ht="18.75" customHeight="1" x14ac:dyDescent="0.15">
      <c r="A938" s="1578"/>
      <c r="B938" s="1462"/>
      <c r="C938" s="1462"/>
      <c r="D938" s="1460">
        <f>'1_入力シート【基本情報】'!$BD$507</f>
        <v>0</v>
      </c>
      <c r="E938" s="1650">
        <f t="shared" si="65"/>
        <v>0</v>
      </c>
      <c r="F938" s="1650" t="str">
        <f t="shared" si="66"/>
        <v>0</v>
      </c>
      <c r="G938" s="1650" t="str">
        <f t="shared" si="67"/>
        <v>0</v>
      </c>
      <c r="H938" s="1468"/>
      <c r="I938" s="1462"/>
      <c r="J938" s="1531"/>
      <c r="K938" s="1462"/>
      <c r="L938" s="1462"/>
      <c r="M938" s="1493"/>
      <c r="N938" s="1462"/>
      <c r="O938" s="1462"/>
      <c r="P938" s="1462"/>
      <c r="Q938" s="1462"/>
      <c r="R938" s="1462"/>
      <c r="S938" s="1462"/>
      <c r="T938" s="1462"/>
      <c r="U938" s="1469">
        <v>23</v>
      </c>
      <c r="V938" s="1486" t="s">
        <v>33</v>
      </c>
      <c r="W938" s="1471" t="s">
        <v>1306</v>
      </c>
      <c r="X938" s="1472" t="s">
        <v>148</v>
      </c>
      <c r="Y938" s="1473" t="s">
        <v>1306</v>
      </c>
      <c r="Z938" s="1474" t="s">
        <v>3223</v>
      </c>
      <c r="AA938" s="1473" t="s">
        <v>1306</v>
      </c>
      <c r="AB938" s="1470" t="s">
        <v>1403</v>
      </c>
      <c r="AC938" s="1499"/>
      <c r="AD938" s="1500"/>
      <c r="AE938" s="1501"/>
      <c r="AF938" s="1501"/>
      <c r="AG938" s="1457" t="str">
        <f t="shared" si="61"/>
        <v>23調査結果-上記以外の調査項目-7（11）-改善策の具体的内容等</v>
      </c>
      <c r="AI938" s="1459"/>
      <c r="AJ938" s="1459"/>
      <c r="AK938" s="1459"/>
    </row>
    <row r="939" spans="1:37" s="1457" customFormat="1" ht="18.75" customHeight="1" x14ac:dyDescent="0.15">
      <c r="A939" s="1578"/>
      <c r="B939" s="1462"/>
      <c r="C939" s="1462"/>
      <c r="D939" s="1460">
        <f>'1_入力シート【基本情報】'!$BS$507</f>
        <v>0</v>
      </c>
      <c r="E939" s="1650">
        <f t="shared" si="65"/>
        <v>0</v>
      </c>
      <c r="F939" s="1650" t="str">
        <f t="shared" si="66"/>
        <v>0</v>
      </c>
      <c r="G939" s="1650" t="str">
        <f t="shared" si="67"/>
        <v>0</v>
      </c>
      <c r="H939" s="1468"/>
      <c r="I939" s="1462"/>
      <c r="J939" s="1531"/>
      <c r="K939" s="1462"/>
      <c r="L939" s="1462"/>
      <c r="M939" s="1493"/>
      <c r="N939" s="1462"/>
      <c r="O939" s="1462"/>
      <c r="P939" s="1462"/>
      <c r="Q939" s="1462"/>
      <c r="R939" s="1462"/>
      <c r="S939" s="1462"/>
      <c r="T939" s="1462"/>
      <c r="U939" s="1469">
        <v>23</v>
      </c>
      <c r="V939" s="1486" t="s">
        <v>33</v>
      </c>
      <c r="W939" s="1471" t="s">
        <v>1306</v>
      </c>
      <c r="X939" s="1472" t="s">
        <v>148</v>
      </c>
      <c r="Y939" s="1473" t="s">
        <v>1306</v>
      </c>
      <c r="Z939" s="1474" t="s">
        <v>3223</v>
      </c>
      <c r="AA939" s="1473" t="s">
        <v>1306</v>
      </c>
      <c r="AB939" s="1470" t="s">
        <v>352</v>
      </c>
      <c r="AC939" s="1499" t="s">
        <v>1366</v>
      </c>
      <c r="AD939" s="1500" t="s">
        <v>1387</v>
      </c>
      <c r="AE939" s="1501"/>
      <c r="AF939" s="1501"/>
      <c r="AG939" s="1457" t="str">
        <f t="shared" si="61"/>
        <v>23調査結果-上記以外の調査項目-7（11）-改善（予定）年月-年（令和）</v>
      </c>
      <c r="AI939" s="1459"/>
      <c r="AJ939" s="1459"/>
      <c r="AK939" s="1459"/>
    </row>
    <row r="940" spans="1:37" s="1457" customFormat="1" ht="18.75" customHeight="1" x14ac:dyDescent="0.15">
      <c r="A940" s="1578"/>
      <c r="B940" s="1462"/>
      <c r="C940" s="1462"/>
      <c r="D940" s="1460">
        <f>'1_入力シート【基本情報】'!$BV$507</f>
        <v>0</v>
      </c>
      <c r="E940" s="1650">
        <f t="shared" si="65"/>
        <v>0</v>
      </c>
      <c r="F940" s="1650" t="str">
        <f t="shared" si="66"/>
        <v>0</v>
      </c>
      <c r="G940" s="1650" t="str">
        <f t="shared" si="67"/>
        <v>0</v>
      </c>
      <c r="H940" s="1468"/>
      <c r="I940" s="1462"/>
      <c r="J940" s="1531"/>
      <c r="K940" s="1462"/>
      <c r="L940" s="1462"/>
      <c r="M940" s="1493"/>
      <c r="N940" s="1462"/>
      <c r="O940" s="1462"/>
      <c r="P940" s="1462"/>
      <c r="Q940" s="1462"/>
      <c r="R940" s="1462"/>
      <c r="S940" s="1462"/>
      <c r="T940" s="1462"/>
      <c r="U940" s="1469">
        <v>23</v>
      </c>
      <c r="V940" s="1486" t="s">
        <v>33</v>
      </c>
      <c r="W940" s="1471" t="s">
        <v>1306</v>
      </c>
      <c r="X940" s="1472" t="s">
        <v>148</v>
      </c>
      <c r="Y940" s="1473" t="s">
        <v>1306</v>
      </c>
      <c r="Z940" s="1474" t="s">
        <v>3223</v>
      </c>
      <c r="AA940" s="1473" t="s">
        <v>1306</v>
      </c>
      <c r="AB940" s="1486" t="s">
        <v>352</v>
      </c>
      <c r="AC940" s="1499" t="s">
        <v>1366</v>
      </c>
      <c r="AD940" s="1500" t="s">
        <v>348</v>
      </c>
      <c r="AE940" s="1501"/>
      <c r="AF940" s="1501"/>
      <c r="AG940" s="1457" t="str">
        <f t="shared" si="61"/>
        <v>23調査結果-上記以外の調査項目-7（11）-改善（予定）年月-月</v>
      </c>
      <c r="AI940" s="1459"/>
      <c r="AJ940" s="1459"/>
      <c r="AK940" s="1459"/>
    </row>
    <row r="941" spans="1:37" s="1457" customFormat="1" ht="18.75" customHeight="1" x14ac:dyDescent="0.15">
      <c r="A941" s="1578"/>
      <c r="B941" s="1462"/>
      <c r="C941" s="1462"/>
      <c r="D941" s="1460">
        <f>'1_入力シート【基本情報】'!$BY$507</f>
        <v>0</v>
      </c>
      <c r="E941" s="1650">
        <f t="shared" si="65"/>
        <v>0</v>
      </c>
      <c r="F941" s="1650" t="str">
        <f t="shared" si="66"/>
        <v>0</v>
      </c>
      <c r="G941" s="1650" t="str">
        <f t="shared" si="67"/>
        <v>0</v>
      </c>
      <c r="H941" s="1468"/>
      <c r="I941" s="1462"/>
      <c r="J941" s="1531"/>
      <c r="K941" s="1462"/>
      <c r="L941" s="1462"/>
      <c r="M941" s="1493"/>
      <c r="N941" s="1462"/>
      <c r="O941" s="1462"/>
      <c r="P941" s="1462"/>
      <c r="Q941" s="1462"/>
      <c r="R941" s="1462"/>
      <c r="S941" s="1462"/>
      <c r="T941" s="1462"/>
      <c r="U941" s="1469">
        <v>23</v>
      </c>
      <c r="V941" s="1486" t="s">
        <v>33</v>
      </c>
      <c r="W941" s="1471" t="s">
        <v>1306</v>
      </c>
      <c r="X941" s="1472" t="s">
        <v>148</v>
      </c>
      <c r="Y941" s="1473" t="s">
        <v>1306</v>
      </c>
      <c r="Z941" s="1474" t="s">
        <v>3223</v>
      </c>
      <c r="AA941" s="1473" t="s">
        <v>1306</v>
      </c>
      <c r="AB941" s="1486" t="s">
        <v>352</v>
      </c>
      <c r="AC941" s="1499" t="s">
        <v>1366</v>
      </c>
      <c r="AD941" s="1500" t="s">
        <v>640</v>
      </c>
      <c r="AE941" s="1501"/>
      <c r="AF941" s="1501"/>
      <c r="AG941" s="1457" t="str">
        <f t="shared" si="61"/>
        <v>23調査結果-上記以外の調査項目-7（11）-改善（予定）年月-未定</v>
      </c>
      <c r="AI941" s="1459"/>
      <c r="AJ941" s="1459"/>
      <c r="AK941" s="1459"/>
    </row>
    <row r="942" spans="1:37" s="1457" customFormat="1" ht="18.75" customHeight="1" x14ac:dyDescent="0.15">
      <c r="A942" s="1578"/>
      <c r="B942" s="1462"/>
      <c r="C942" s="1462"/>
      <c r="D942" s="1460">
        <f>'1_入力シート【基本情報】'!$AF$508</f>
        <v>0</v>
      </c>
      <c r="E942" s="1650">
        <f t="shared" si="65"/>
        <v>0</v>
      </c>
      <c r="F942" s="1650" t="str">
        <f t="shared" si="66"/>
        <v>0</v>
      </c>
      <c r="G942" s="1650" t="str">
        <f t="shared" si="67"/>
        <v>0</v>
      </c>
      <c r="H942" s="1468"/>
      <c r="I942" s="1462"/>
      <c r="J942" s="1531"/>
      <c r="K942" s="1462"/>
      <c r="L942" s="1462"/>
      <c r="M942" s="1493"/>
      <c r="N942" s="1462"/>
      <c r="O942" s="1462"/>
      <c r="P942" s="1462"/>
      <c r="Q942" s="1462"/>
      <c r="R942" s="1462"/>
      <c r="S942" s="1462"/>
      <c r="T942" s="1462"/>
      <c r="U942" s="1469">
        <v>23</v>
      </c>
      <c r="V942" s="1486" t="s">
        <v>33</v>
      </c>
      <c r="W942" s="1471" t="s">
        <v>1306</v>
      </c>
      <c r="X942" s="1472" t="s">
        <v>148</v>
      </c>
      <c r="Y942" s="1473" t="s">
        <v>1306</v>
      </c>
      <c r="Z942" s="1474" t="s">
        <v>3224</v>
      </c>
      <c r="AA942" s="1473" t="s">
        <v>1306</v>
      </c>
      <c r="AB942" s="1470" t="s">
        <v>33</v>
      </c>
      <c r="AC942" s="1475"/>
      <c r="AD942" s="1476"/>
      <c r="AE942" s="1501"/>
      <c r="AF942" s="1501"/>
      <c r="AG942" s="1457" t="str">
        <f t="shared" si="61"/>
        <v>23調査結果-上記以外の調査項目-7（12）-調査結果</v>
      </c>
      <c r="AI942" s="1459"/>
      <c r="AJ942" s="1459"/>
      <c r="AK942" s="1459"/>
    </row>
    <row r="943" spans="1:37" s="1457" customFormat="1" ht="18.75" customHeight="1" x14ac:dyDescent="0.15">
      <c r="A943" s="1578"/>
      <c r="B943" s="1462"/>
      <c r="C943" s="1462"/>
      <c r="D943" s="1460">
        <f>'1_入力シート【基本情報】'!$AR$508</f>
        <v>0</v>
      </c>
      <c r="E943" s="1650">
        <f t="shared" si="65"/>
        <v>0</v>
      </c>
      <c r="F943" s="1650" t="str">
        <f t="shared" si="66"/>
        <v>0</v>
      </c>
      <c r="G943" s="1650" t="str">
        <f t="shared" si="67"/>
        <v>0</v>
      </c>
      <c r="H943" s="1468"/>
      <c r="I943" s="1462"/>
      <c r="J943" s="1531"/>
      <c r="K943" s="1462"/>
      <c r="L943" s="1462"/>
      <c r="M943" s="1493"/>
      <c r="N943" s="1462"/>
      <c r="O943" s="1462"/>
      <c r="P943" s="1462"/>
      <c r="Q943" s="1462"/>
      <c r="R943" s="1462"/>
      <c r="S943" s="1462"/>
      <c r="T943" s="1462"/>
      <c r="U943" s="1469">
        <v>23</v>
      </c>
      <c r="V943" s="1486" t="s">
        <v>33</v>
      </c>
      <c r="W943" s="1471" t="s">
        <v>1306</v>
      </c>
      <c r="X943" s="1472" t="s">
        <v>148</v>
      </c>
      <c r="Y943" s="1473" t="s">
        <v>1306</v>
      </c>
      <c r="Z943" s="1474" t="s">
        <v>3224</v>
      </c>
      <c r="AA943" s="1473" t="s">
        <v>1306</v>
      </c>
      <c r="AB943" s="1470" t="s">
        <v>30</v>
      </c>
      <c r="AC943" s="1499"/>
      <c r="AD943" s="1500"/>
      <c r="AE943" s="1501"/>
      <c r="AF943" s="1501"/>
      <c r="AG943" s="1457" t="str">
        <f t="shared" si="61"/>
        <v>23調査結果-上記以外の調査項目-7（12）-調査者番号</v>
      </c>
      <c r="AI943" s="1459"/>
      <c r="AJ943" s="1459"/>
      <c r="AK943" s="1459"/>
    </row>
    <row r="944" spans="1:37" s="1457" customFormat="1" ht="18.75" customHeight="1" x14ac:dyDescent="0.15">
      <c r="A944" s="1578"/>
      <c r="B944" s="1462"/>
      <c r="C944" s="1462"/>
      <c r="D944" s="1460">
        <f>'1_入力シート【基本情報】'!$AT$508</f>
        <v>0</v>
      </c>
      <c r="E944" s="1650">
        <f t="shared" si="65"/>
        <v>0</v>
      </c>
      <c r="F944" s="1650" t="str">
        <f t="shared" si="66"/>
        <v>0</v>
      </c>
      <c r="G944" s="1650" t="str">
        <f t="shared" si="67"/>
        <v>0</v>
      </c>
      <c r="H944" s="1468"/>
      <c r="I944" s="1462"/>
      <c r="J944" s="1531"/>
      <c r="K944" s="1462"/>
      <c r="L944" s="1462"/>
      <c r="M944" s="1493"/>
      <c r="N944" s="1462"/>
      <c r="O944" s="1462"/>
      <c r="P944" s="1462"/>
      <c r="Q944" s="1462"/>
      <c r="R944" s="1462"/>
      <c r="S944" s="1462"/>
      <c r="T944" s="1462"/>
      <c r="U944" s="1469">
        <v>23</v>
      </c>
      <c r="V944" s="1486" t="s">
        <v>33</v>
      </c>
      <c r="W944" s="1471" t="s">
        <v>1306</v>
      </c>
      <c r="X944" s="1472" t="s">
        <v>148</v>
      </c>
      <c r="Y944" s="1473" t="s">
        <v>1306</v>
      </c>
      <c r="Z944" s="1474" t="s">
        <v>3224</v>
      </c>
      <c r="AA944" s="1473" t="s">
        <v>1306</v>
      </c>
      <c r="AB944" s="1470" t="s">
        <v>1402</v>
      </c>
      <c r="AC944" s="1499"/>
      <c r="AD944" s="1500"/>
      <c r="AE944" s="1501"/>
      <c r="AF944" s="1501"/>
      <c r="AG944" s="1457" t="str">
        <f t="shared" si="61"/>
        <v>23調査結果-上記以外の調査項目-7（12）-指摘の具体的内容等</v>
      </c>
      <c r="AI944" s="1459"/>
      <c r="AJ944" s="1459"/>
      <c r="AK944" s="1459"/>
    </row>
    <row r="945" spans="1:37" s="1457" customFormat="1" ht="18.75" customHeight="1" x14ac:dyDescent="0.15">
      <c r="A945" s="1578"/>
      <c r="B945" s="1462"/>
      <c r="C945" s="1462"/>
      <c r="D945" s="1460">
        <f>'1_入力シート【基本情報】'!$BD$508</f>
        <v>0</v>
      </c>
      <c r="E945" s="1650">
        <f t="shared" si="65"/>
        <v>0</v>
      </c>
      <c r="F945" s="1650" t="str">
        <f t="shared" si="66"/>
        <v>0</v>
      </c>
      <c r="G945" s="1650" t="str">
        <f t="shared" si="67"/>
        <v>0</v>
      </c>
      <c r="H945" s="1468"/>
      <c r="I945" s="1462"/>
      <c r="J945" s="1531"/>
      <c r="K945" s="1462"/>
      <c r="L945" s="1462"/>
      <c r="M945" s="1493"/>
      <c r="N945" s="1462"/>
      <c r="O945" s="1462"/>
      <c r="P945" s="1462"/>
      <c r="Q945" s="1462"/>
      <c r="R945" s="1462"/>
      <c r="S945" s="1462"/>
      <c r="T945" s="1462"/>
      <c r="U945" s="1469">
        <v>23</v>
      </c>
      <c r="V945" s="1486" t="s">
        <v>33</v>
      </c>
      <c r="W945" s="1471" t="s">
        <v>1306</v>
      </c>
      <c r="X945" s="1472" t="s">
        <v>148</v>
      </c>
      <c r="Y945" s="1473" t="s">
        <v>1306</v>
      </c>
      <c r="Z945" s="1474" t="s">
        <v>3224</v>
      </c>
      <c r="AA945" s="1473" t="s">
        <v>1306</v>
      </c>
      <c r="AB945" s="1470" t="s">
        <v>1403</v>
      </c>
      <c r="AC945" s="1499"/>
      <c r="AD945" s="1500"/>
      <c r="AE945" s="1501"/>
      <c r="AF945" s="1501"/>
      <c r="AG945" s="1457" t="str">
        <f t="shared" si="61"/>
        <v>23調査結果-上記以外の調査項目-7（12）-改善策の具体的内容等</v>
      </c>
      <c r="AI945" s="1459"/>
      <c r="AJ945" s="1459"/>
      <c r="AK945" s="1459"/>
    </row>
    <row r="946" spans="1:37" s="1457" customFormat="1" ht="18.75" customHeight="1" x14ac:dyDescent="0.15">
      <c r="A946" s="1578"/>
      <c r="B946" s="1462"/>
      <c r="C946" s="1462"/>
      <c r="D946" s="1460">
        <f>'1_入力シート【基本情報】'!$BS$508</f>
        <v>0</v>
      </c>
      <c r="E946" s="1650">
        <f t="shared" si="65"/>
        <v>0</v>
      </c>
      <c r="F946" s="1650" t="str">
        <f t="shared" si="66"/>
        <v>0</v>
      </c>
      <c r="G946" s="1650" t="str">
        <f t="shared" si="67"/>
        <v>0</v>
      </c>
      <c r="H946" s="1468"/>
      <c r="I946" s="1462"/>
      <c r="J946" s="1531"/>
      <c r="K946" s="1462"/>
      <c r="L946" s="1462"/>
      <c r="M946" s="1493"/>
      <c r="N946" s="1462"/>
      <c r="O946" s="1462"/>
      <c r="P946" s="1462"/>
      <c r="Q946" s="1462"/>
      <c r="R946" s="1462"/>
      <c r="S946" s="1462"/>
      <c r="T946" s="1462"/>
      <c r="U946" s="1469">
        <v>23</v>
      </c>
      <c r="V946" s="1486" t="s">
        <v>33</v>
      </c>
      <c r="W946" s="1471" t="s">
        <v>1306</v>
      </c>
      <c r="X946" s="1472" t="s">
        <v>148</v>
      </c>
      <c r="Y946" s="1473" t="s">
        <v>1306</v>
      </c>
      <c r="Z946" s="1474" t="s">
        <v>3224</v>
      </c>
      <c r="AA946" s="1473" t="s">
        <v>1306</v>
      </c>
      <c r="AB946" s="1470" t="s">
        <v>352</v>
      </c>
      <c r="AC946" s="1499" t="s">
        <v>1366</v>
      </c>
      <c r="AD946" s="1500" t="s">
        <v>1387</v>
      </c>
      <c r="AE946" s="1501"/>
      <c r="AF946" s="1501"/>
      <c r="AG946" s="1457" t="str">
        <f t="shared" si="61"/>
        <v>23調査結果-上記以外の調査項目-7（12）-改善（予定）年月-年（令和）</v>
      </c>
      <c r="AI946" s="1459"/>
      <c r="AJ946" s="1459"/>
      <c r="AK946" s="1459"/>
    </row>
    <row r="947" spans="1:37" s="1457" customFormat="1" ht="18.75" customHeight="1" x14ac:dyDescent="0.15">
      <c r="A947" s="1578"/>
      <c r="B947" s="1462"/>
      <c r="C947" s="1462"/>
      <c r="D947" s="1460">
        <f>'1_入力シート【基本情報】'!$BV$508</f>
        <v>0</v>
      </c>
      <c r="E947" s="1650">
        <f t="shared" si="65"/>
        <v>0</v>
      </c>
      <c r="F947" s="1650" t="str">
        <f t="shared" si="66"/>
        <v>0</v>
      </c>
      <c r="G947" s="1650" t="str">
        <f t="shared" si="67"/>
        <v>0</v>
      </c>
      <c r="H947" s="1468"/>
      <c r="I947" s="1462"/>
      <c r="J947" s="1531"/>
      <c r="K947" s="1462"/>
      <c r="L947" s="1462"/>
      <c r="M947" s="1493"/>
      <c r="N947" s="1462"/>
      <c r="O947" s="1462"/>
      <c r="P947" s="1462"/>
      <c r="Q947" s="1462"/>
      <c r="R947" s="1462"/>
      <c r="S947" s="1462"/>
      <c r="T947" s="1462"/>
      <c r="U947" s="1469">
        <v>23</v>
      </c>
      <c r="V947" s="1486" t="s">
        <v>33</v>
      </c>
      <c r="W947" s="1471" t="s">
        <v>1306</v>
      </c>
      <c r="X947" s="1472" t="s">
        <v>148</v>
      </c>
      <c r="Y947" s="1473" t="s">
        <v>1306</v>
      </c>
      <c r="Z947" s="1474" t="s">
        <v>3224</v>
      </c>
      <c r="AA947" s="1473" t="s">
        <v>1306</v>
      </c>
      <c r="AB947" s="1486" t="s">
        <v>352</v>
      </c>
      <c r="AC947" s="1499" t="s">
        <v>1366</v>
      </c>
      <c r="AD947" s="1500" t="s">
        <v>348</v>
      </c>
      <c r="AE947" s="1501"/>
      <c r="AF947" s="1501"/>
      <c r="AG947" s="1457" t="str">
        <f t="shared" si="61"/>
        <v>23調査結果-上記以外の調査項目-7（12）-改善（予定）年月-月</v>
      </c>
      <c r="AI947" s="1459"/>
      <c r="AJ947" s="1459"/>
      <c r="AK947" s="1459"/>
    </row>
    <row r="948" spans="1:37" s="1457" customFormat="1" ht="18.75" customHeight="1" x14ac:dyDescent="0.15">
      <c r="A948" s="1578"/>
      <c r="B948" s="1462"/>
      <c r="C948" s="1462"/>
      <c r="D948" s="1460">
        <f>'1_入力シート【基本情報】'!$BY$508</f>
        <v>0</v>
      </c>
      <c r="E948" s="1650">
        <f t="shared" si="65"/>
        <v>0</v>
      </c>
      <c r="F948" s="1650" t="str">
        <f t="shared" si="66"/>
        <v>0</v>
      </c>
      <c r="G948" s="1650" t="str">
        <f t="shared" si="67"/>
        <v>0</v>
      </c>
      <c r="H948" s="1468"/>
      <c r="I948" s="1462"/>
      <c r="J948" s="1531"/>
      <c r="K948" s="1462"/>
      <c r="L948" s="1462"/>
      <c r="M948" s="1493"/>
      <c r="N948" s="1462"/>
      <c r="O948" s="1462"/>
      <c r="P948" s="1462"/>
      <c r="Q948" s="1462"/>
      <c r="R948" s="1462"/>
      <c r="S948" s="1462"/>
      <c r="T948" s="1462"/>
      <c r="U948" s="1469">
        <v>23</v>
      </c>
      <c r="V948" s="1486" t="s">
        <v>33</v>
      </c>
      <c r="W948" s="1471" t="s">
        <v>1306</v>
      </c>
      <c r="X948" s="1472" t="s">
        <v>148</v>
      </c>
      <c r="Y948" s="1473" t="s">
        <v>1306</v>
      </c>
      <c r="Z948" s="1474" t="s">
        <v>3224</v>
      </c>
      <c r="AA948" s="1473" t="s">
        <v>1306</v>
      </c>
      <c r="AB948" s="1486" t="s">
        <v>352</v>
      </c>
      <c r="AC948" s="1499" t="s">
        <v>1366</v>
      </c>
      <c r="AD948" s="1500" t="s">
        <v>640</v>
      </c>
      <c r="AE948" s="1501"/>
      <c r="AF948" s="1501"/>
      <c r="AG948" s="1457" t="str">
        <f t="shared" si="61"/>
        <v>23調査結果-上記以外の調査項目-7（12）-改善（予定）年月-未定</v>
      </c>
      <c r="AI948" s="1459"/>
      <c r="AJ948" s="1459"/>
      <c r="AK948" s="1459"/>
    </row>
    <row r="949" spans="1:37" s="1457" customFormat="1" ht="18.75" customHeight="1" x14ac:dyDescent="0.15">
      <c r="A949" s="1578"/>
      <c r="B949" s="1462"/>
      <c r="C949" s="1462"/>
      <c r="D949" s="1460">
        <f>'1_入力シート【基本情報】'!$AF$50</f>
        <v>0</v>
      </c>
      <c r="E949" s="1650">
        <f t="shared" si="65"/>
        <v>0</v>
      </c>
      <c r="F949" s="1650" t="str">
        <f t="shared" si="66"/>
        <v>0</v>
      </c>
      <c r="G949" s="1650" t="str">
        <f t="shared" si="67"/>
        <v>0</v>
      </c>
      <c r="H949" s="1468"/>
      <c r="I949" s="1462"/>
      <c r="J949" s="1531"/>
      <c r="K949" s="1462"/>
      <c r="L949" s="1462"/>
      <c r="M949" s="1493"/>
      <c r="N949" s="1462"/>
      <c r="O949" s="1462"/>
      <c r="P949" s="1462"/>
      <c r="Q949" s="1462"/>
      <c r="R949" s="1462"/>
      <c r="S949" s="1462"/>
      <c r="T949" s="1462"/>
      <c r="U949" s="1469">
        <v>23</v>
      </c>
      <c r="V949" s="1486" t="s">
        <v>33</v>
      </c>
      <c r="W949" s="1471" t="s">
        <v>1306</v>
      </c>
      <c r="X949" s="1472" t="s">
        <v>148</v>
      </c>
      <c r="Y949" s="1473" t="s">
        <v>1306</v>
      </c>
      <c r="Z949" s="1474" t="s">
        <v>3225</v>
      </c>
      <c r="AA949" s="1473" t="s">
        <v>1306</v>
      </c>
      <c r="AB949" s="1470" t="s">
        <v>33</v>
      </c>
      <c r="AC949" s="1475"/>
      <c r="AD949" s="1476"/>
      <c r="AE949" s="1501"/>
      <c r="AF949" s="1501"/>
      <c r="AG949" s="1457" t="str">
        <f t="shared" si="61"/>
        <v>23調査結果-上記以外の調査項目-7（13）-調査結果</v>
      </c>
      <c r="AI949" s="1459"/>
      <c r="AJ949" s="1459"/>
      <c r="AK949" s="1459"/>
    </row>
    <row r="950" spans="1:37" s="1457" customFormat="1" ht="18.75" customHeight="1" x14ac:dyDescent="0.15">
      <c r="A950" s="1578"/>
      <c r="B950" s="1462"/>
      <c r="C950" s="1462"/>
      <c r="D950" s="1460">
        <f>'1_入力シート【基本情報】'!$AR$509</f>
        <v>0</v>
      </c>
      <c r="E950" s="1650">
        <f t="shared" si="65"/>
        <v>0</v>
      </c>
      <c r="F950" s="1650" t="str">
        <f t="shared" si="66"/>
        <v>0</v>
      </c>
      <c r="G950" s="1650" t="str">
        <f t="shared" si="67"/>
        <v>0</v>
      </c>
      <c r="H950" s="1468"/>
      <c r="I950" s="1462"/>
      <c r="J950" s="1531"/>
      <c r="K950" s="1462"/>
      <c r="L950" s="1462"/>
      <c r="M950" s="1493"/>
      <c r="N950" s="1462"/>
      <c r="O950" s="1462"/>
      <c r="P950" s="1462"/>
      <c r="Q950" s="1462"/>
      <c r="R950" s="1462"/>
      <c r="S950" s="1462"/>
      <c r="T950" s="1462"/>
      <c r="U950" s="1469">
        <v>23</v>
      </c>
      <c r="V950" s="1486" t="s">
        <v>33</v>
      </c>
      <c r="W950" s="1471" t="s">
        <v>1306</v>
      </c>
      <c r="X950" s="1472" t="s">
        <v>148</v>
      </c>
      <c r="Y950" s="1473" t="s">
        <v>1306</v>
      </c>
      <c r="Z950" s="1474" t="s">
        <v>3225</v>
      </c>
      <c r="AA950" s="1473" t="s">
        <v>1306</v>
      </c>
      <c r="AB950" s="1470" t="s">
        <v>30</v>
      </c>
      <c r="AC950" s="1499"/>
      <c r="AD950" s="1500"/>
      <c r="AE950" s="1501"/>
      <c r="AF950" s="1501"/>
      <c r="AG950" s="1457" t="str">
        <f t="shared" si="61"/>
        <v>23調査結果-上記以外の調査項目-7（13）-調査者番号</v>
      </c>
      <c r="AI950" s="1459"/>
      <c r="AJ950" s="1459"/>
      <c r="AK950" s="1459"/>
    </row>
    <row r="951" spans="1:37" s="1457" customFormat="1" ht="18.75" customHeight="1" x14ac:dyDescent="0.15">
      <c r="A951" s="1578"/>
      <c r="B951" s="1462"/>
      <c r="C951" s="1462"/>
      <c r="D951" s="1460">
        <f>'1_入力シート【基本情報】'!$AT$509</f>
        <v>0</v>
      </c>
      <c r="E951" s="1650">
        <f t="shared" si="65"/>
        <v>0</v>
      </c>
      <c r="F951" s="1650" t="str">
        <f t="shared" si="66"/>
        <v>0</v>
      </c>
      <c r="G951" s="1650" t="str">
        <f t="shared" si="67"/>
        <v>0</v>
      </c>
      <c r="H951" s="1468"/>
      <c r="I951" s="1462"/>
      <c r="J951" s="1531"/>
      <c r="K951" s="1462"/>
      <c r="L951" s="1462"/>
      <c r="M951" s="1493"/>
      <c r="N951" s="1462"/>
      <c r="O951" s="1462"/>
      <c r="P951" s="1462"/>
      <c r="Q951" s="1462"/>
      <c r="R951" s="1462"/>
      <c r="S951" s="1462"/>
      <c r="T951" s="1462"/>
      <c r="U951" s="1469">
        <v>23</v>
      </c>
      <c r="V951" s="1486" t="s">
        <v>33</v>
      </c>
      <c r="W951" s="1471" t="s">
        <v>1306</v>
      </c>
      <c r="X951" s="1472" t="s">
        <v>148</v>
      </c>
      <c r="Y951" s="1473" t="s">
        <v>1306</v>
      </c>
      <c r="Z951" s="1474" t="s">
        <v>3225</v>
      </c>
      <c r="AA951" s="1473" t="s">
        <v>1306</v>
      </c>
      <c r="AB951" s="1470" t="s">
        <v>1402</v>
      </c>
      <c r="AC951" s="1499"/>
      <c r="AD951" s="1500"/>
      <c r="AE951" s="1501"/>
      <c r="AF951" s="1501"/>
      <c r="AG951" s="1457" t="str">
        <f t="shared" si="61"/>
        <v>23調査結果-上記以外の調査項目-7（13）-指摘の具体的内容等</v>
      </c>
      <c r="AI951" s="1459"/>
      <c r="AJ951" s="1459"/>
      <c r="AK951" s="1459"/>
    </row>
    <row r="952" spans="1:37" s="1457" customFormat="1" ht="18.75" customHeight="1" x14ac:dyDescent="0.15">
      <c r="A952" s="1578"/>
      <c r="B952" s="1462"/>
      <c r="C952" s="1462"/>
      <c r="D952" s="1460">
        <f>'1_入力シート【基本情報】'!$BD$509</f>
        <v>0</v>
      </c>
      <c r="E952" s="1650">
        <f t="shared" si="65"/>
        <v>0</v>
      </c>
      <c r="F952" s="1650" t="str">
        <f t="shared" si="66"/>
        <v>0</v>
      </c>
      <c r="G952" s="1650" t="str">
        <f t="shared" si="67"/>
        <v>0</v>
      </c>
      <c r="H952" s="1468"/>
      <c r="I952" s="1462"/>
      <c r="J952" s="1531"/>
      <c r="K952" s="1462"/>
      <c r="L952" s="1462"/>
      <c r="M952" s="1493"/>
      <c r="N952" s="1462"/>
      <c r="O952" s="1462"/>
      <c r="P952" s="1462"/>
      <c r="Q952" s="1462"/>
      <c r="R952" s="1462"/>
      <c r="S952" s="1462"/>
      <c r="T952" s="1462"/>
      <c r="U952" s="1469">
        <v>23</v>
      </c>
      <c r="V952" s="1486" t="s">
        <v>33</v>
      </c>
      <c r="W952" s="1471" t="s">
        <v>1306</v>
      </c>
      <c r="X952" s="1472" t="s">
        <v>148</v>
      </c>
      <c r="Y952" s="1473" t="s">
        <v>1306</v>
      </c>
      <c r="Z952" s="1474" t="s">
        <v>3225</v>
      </c>
      <c r="AA952" s="1473" t="s">
        <v>1306</v>
      </c>
      <c r="AB952" s="1470" t="s">
        <v>1403</v>
      </c>
      <c r="AC952" s="1499"/>
      <c r="AD952" s="1500"/>
      <c r="AE952" s="1501"/>
      <c r="AF952" s="1501"/>
      <c r="AG952" s="1457" t="str">
        <f t="shared" si="61"/>
        <v>23調査結果-上記以外の調査項目-7（13）-改善策の具体的内容等</v>
      </c>
      <c r="AI952" s="1459"/>
      <c r="AJ952" s="1459"/>
      <c r="AK952" s="1459"/>
    </row>
    <row r="953" spans="1:37" s="1457" customFormat="1" ht="18.75" customHeight="1" x14ac:dyDescent="0.15">
      <c r="A953" s="1578"/>
      <c r="B953" s="1462"/>
      <c r="C953" s="1462"/>
      <c r="D953" s="1460">
        <f>'1_入力シート【基本情報】'!$BS$509</f>
        <v>0</v>
      </c>
      <c r="E953" s="1650">
        <f t="shared" si="65"/>
        <v>0</v>
      </c>
      <c r="F953" s="1650" t="str">
        <f t="shared" si="66"/>
        <v>0</v>
      </c>
      <c r="G953" s="1650" t="str">
        <f t="shared" si="67"/>
        <v>0</v>
      </c>
      <c r="H953" s="1468"/>
      <c r="I953" s="1462"/>
      <c r="J953" s="1531"/>
      <c r="K953" s="1462"/>
      <c r="L953" s="1462"/>
      <c r="M953" s="1493"/>
      <c r="N953" s="1462"/>
      <c r="O953" s="1462"/>
      <c r="P953" s="1462"/>
      <c r="Q953" s="1462"/>
      <c r="R953" s="1462"/>
      <c r="S953" s="1462"/>
      <c r="T953" s="1462"/>
      <c r="U953" s="1469">
        <v>23</v>
      </c>
      <c r="V953" s="1486" t="s">
        <v>33</v>
      </c>
      <c r="W953" s="1471" t="s">
        <v>1306</v>
      </c>
      <c r="X953" s="1472" t="s">
        <v>148</v>
      </c>
      <c r="Y953" s="1473" t="s">
        <v>1306</v>
      </c>
      <c r="Z953" s="1474" t="s">
        <v>3225</v>
      </c>
      <c r="AA953" s="1473" t="s">
        <v>1306</v>
      </c>
      <c r="AB953" s="1470" t="s">
        <v>352</v>
      </c>
      <c r="AC953" s="1499" t="s">
        <v>1366</v>
      </c>
      <c r="AD953" s="1500" t="s">
        <v>1387</v>
      </c>
      <c r="AE953" s="1501"/>
      <c r="AF953" s="1501"/>
      <c r="AG953" s="1457" t="str">
        <f t="shared" si="61"/>
        <v>23調査結果-上記以外の調査項目-7（13）-改善（予定）年月-年（令和）</v>
      </c>
      <c r="AI953" s="1459"/>
      <c r="AJ953" s="1459"/>
      <c r="AK953" s="1459"/>
    </row>
    <row r="954" spans="1:37" s="1457" customFormat="1" ht="18.75" customHeight="1" x14ac:dyDescent="0.15">
      <c r="A954" s="1578"/>
      <c r="B954" s="1462"/>
      <c r="C954" s="1462"/>
      <c r="D954" s="1460">
        <f>'1_入力シート【基本情報】'!$BV$509</f>
        <v>0</v>
      </c>
      <c r="E954" s="1650">
        <f t="shared" si="65"/>
        <v>0</v>
      </c>
      <c r="F954" s="1650" t="str">
        <f t="shared" si="66"/>
        <v>0</v>
      </c>
      <c r="G954" s="1650" t="str">
        <f t="shared" si="67"/>
        <v>0</v>
      </c>
      <c r="H954" s="1468"/>
      <c r="I954" s="1462"/>
      <c r="J954" s="1531"/>
      <c r="K954" s="1462"/>
      <c r="L954" s="1462"/>
      <c r="M954" s="1493"/>
      <c r="N954" s="1462"/>
      <c r="O954" s="1462"/>
      <c r="P954" s="1462"/>
      <c r="Q954" s="1462"/>
      <c r="R954" s="1462"/>
      <c r="S954" s="1462"/>
      <c r="T954" s="1462"/>
      <c r="U954" s="1469">
        <v>23</v>
      </c>
      <c r="V954" s="1486" t="s">
        <v>33</v>
      </c>
      <c r="W954" s="1471" t="s">
        <v>1306</v>
      </c>
      <c r="X954" s="1472" t="s">
        <v>148</v>
      </c>
      <c r="Y954" s="1473" t="s">
        <v>1306</v>
      </c>
      <c r="Z954" s="1474" t="s">
        <v>3225</v>
      </c>
      <c r="AA954" s="1473" t="s">
        <v>1306</v>
      </c>
      <c r="AB954" s="1486" t="s">
        <v>352</v>
      </c>
      <c r="AC954" s="1499" t="s">
        <v>1366</v>
      </c>
      <c r="AD954" s="1500" t="s">
        <v>348</v>
      </c>
      <c r="AE954" s="1501"/>
      <c r="AF954" s="1501"/>
      <c r="AG954" s="1457" t="str">
        <f t="shared" si="61"/>
        <v>23調査結果-上記以外の調査項目-7（13）-改善（予定）年月-月</v>
      </c>
      <c r="AI954" s="1459"/>
      <c r="AJ954" s="1459"/>
      <c r="AK954" s="1459"/>
    </row>
    <row r="955" spans="1:37" s="1457" customFormat="1" ht="18.75" customHeight="1" x14ac:dyDescent="0.15">
      <c r="A955" s="1578"/>
      <c r="B955" s="1462"/>
      <c r="C955" s="1462"/>
      <c r="D955" s="1460">
        <f>'1_入力シート【基本情報】'!$BY$509</f>
        <v>0</v>
      </c>
      <c r="E955" s="1650">
        <f t="shared" si="65"/>
        <v>0</v>
      </c>
      <c r="F955" s="1650" t="str">
        <f t="shared" si="66"/>
        <v>0</v>
      </c>
      <c r="G955" s="1650" t="str">
        <f t="shared" si="67"/>
        <v>0</v>
      </c>
      <c r="H955" s="1468"/>
      <c r="I955" s="1462"/>
      <c r="J955" s="1531"/>
      <c r="K955" s="1462"/>
      <c r="L955" s="1462"/>
      <c r="M955" s="1493"/>
      <c r="N955" s="1462"/>
      <c r="O955" s="1462"/>
      <c r="P955" s="1462"/>
      <c r="Q955" s="1462"/>
      <c r="R955" s="1462"/>
      <c r="S955" s="1462"/>
      <c r="T955" s="1462"/>
      <c r="U955" s="1469">
        <v>23</v>
      </c>
      <c r="V955" s="1486" t="s">
        <v>33</v>
      </c>
      <c r="W955" s="1471" t="s">
        <v>1306</v>
      </c>
      <c r="X955" s="1472" t="s">
        <v>148</v>
      </c>
      <c r="Y955" s="1473" t="s">
        <v>1306</v>
      </c>
      <c r="Z955" s="1474" t="s">
        <v>3225</v>
      </c>
      <c r="AA955" s="1473" t="s">
        <v>1306</v>
      </c>
      <c r="AB955" s="1486" t="s">
        <v>352</v>
      </c>
      <c r="AC955" s="1499" t="s">
        <v>1366</v>
      </c>
      <c r="AD955" s="1500" t="s">
        <v>640</v>
      </c>
      <c r="AE955" s="1501"/>
      <c r="AF955" s="1501"/>
      <c r="AG955" s="1457" t="str">
        <f t="shared" si="61"/>
        <v>23調査結果-上記以外の調査項目-7（13）-改善（予定）年月-未定</v>
      </c>
      <c r="AI955" s="1459"/>
      <c r="AJ955" s="1459"/>
      <c r="AK955" s="1459"/>
    </row>
    <row r="956" spans="1:37" s="1457" customFormat="1" ht="18.75" customHeight="1" x14ac:dyDescent="0.15">
      <c r="A956" s="1578"/>
      <c r="B956" s="1462"/>
      <c r="C956" s="1462"/>
      <c r="D956" s="1460">
        <f>'1_入力シート【基本情報】'!$AF$510</f>
        <v>0</v>
      </c>
      <c r="E956" s="1650">
        <f t="shared" si="65"/>
        <v>0</v>
      </c>
      <c r="F956" s="1650" t="str">
        <f t="shared" si="66"/>
        <v>0</v>
      </c>
      <c r="G956" s="1650" t="str">
        <f t="shared" si="67"/>
        <v>0</v>
      </c>
      <c r="H956" s="1468"/>
      <c r="I956" s="1462"/>
      <c r="J956" s="1531"/>
      <c r="K956" s="1462"/>
      <c r="L956" s="1462"/>
      <c r="M956" s="1493"/>
      <c r="N956" s="1462"/>
      <c r="O956" s="1462"/>
      <c r="P956" s="1462"/>
      <c r="Q956" s="1462"/>
      <c r="R956" s="1462"/>
      <c r="S956" s="1462"/>
      <c r="T956" s="1462"/>
      <c r="U956" s="1469">
        <v>23</v>
      </c>
      <c r="V956" s="1486" t="s">
        <v>33</v>
      </c>
      <c r="W956" s="1471" t="s">
        <v>1306</v>
      </c>
      <c r="X956" s="1472" t="s">
        <v>148</v>
      </c>
      <c r="Y956" s="1473" t="s">
        <v>1306</v>
      </c>
      <c r="Z956" s="1474" t="s">
        <v>3226</v>
      </c>
      <c r="AA956" s="1473" t="s">
        <v>1306</v>
      </c>
      <c r="AB956" s="1470" t="s">
        <v>33</v>
      </c>
      <c r="AC956" s="1475"/>
      <c r="AD956" s="1476"/>
      <c r="AE956" s="1501"/>
      <c r="AF956" s="1501"/>
      <c r="AG956" s="1457" t="str">
        <f t="shared" si="61"/>
        <v>23調査結果-上記以外の調査項目-7（14）-調査結果</v>
      </c>
      <c r="AI956" s="1459"/>
      <c r="AJ956" s="1459"/>
      <c r="AK956" s="1459"/>
    </row>
    <row r="957" spans="1:37" s="1457" customFormat="1" ht="18.75" customHeight="1" x14ac:dyDescent="0.15">
      <c r="A957" s="1578"/>
      <c r="B957" s="1462"/>
      <c r="C957" s="1462"/>
      <c r="D957" s="1460">
        <f>'1_入力シート【基本情報】'!$AR$510</f>
        <v>0</v>
      </c>
      <c r="E957" s="1650">
        <f t="shared" si="65"/>
        <v>0</v>
      </c>
      <c r="F957" s="1650" t="str">
        <f t="shared" si="66"/>
        <v>0</v>
      </c>
      <c r="G957" s="1650" t="str">
        <f t="shared" si="67"/>
        <v>0</v>
      </c>
      <c r="H957" s="1468"/>
      <c r="I957" s="1462"/>
      <c r="J957" s="1531"/>
      <c r="K957" s="1462"/>
      <c r="L957" s="1462"/>
      <c r="M957" s="1493"/>
      <c r="N957" s="1462"/>
      <c r="O957" s="1462"/>
      <c r="P957" s="1462"/>
      <c r="Q957" s="1462"/>
      <c r="R957" s="1462"/>
      <c r="S957" s="1462"/>
      <c r="T957" s="1462"/>
      <c r="U957" s="1469">
        <v>23</v>
      </c>
      <c r="V957" s="1486" t="s">
        <v>33</v>
      </c>
      <c r="W957" s="1471" t="s">
        <v>1306</v>
      </c>
      <c r="X957" s="1472" t="s">
        <v>148</v>
      </c>
      <c r="Y957" s="1473" t="s">
        <v>1306</v>
      </c>
      <c r="Z957" s="1474" t="s">
        <v>3226</v>
      </c>
      <c r="AA957" s="1473" t="s">
        <v>1306</v>
      </c>
      <c r="AB957" s="1470" t="s">
        <v>30</v>
      </c>
      <c r="AC957" s="1499"/>
      <c r="AD957" s="1500"/>
      <c r="AE957" s="1501"/>
      <c r="AF957" s="1501"/>
      <c r="AG957" s="1457" t="str">
        <f t="shared" si="61"/>
        <v>23調査結果-上記以外の調査項目-7（14）-調査者番号</v>
      </c>
      <c r="AI957" s="1459"/>
      <c r="AJ957" s="1459"/>
      <c r="AK957" s="1459"/>
    </row>
    <row r="958" spans="1:37" s="1457" customFormat="1" ht="18.75" customHeight="1" x14ac:dyDescent="0.15">
      <c r="A958" s="1578"/>
      <c r="B958" s="1462"/>
      <c r="C958" s="1462"/>
      <c r="D958" s="1460">
        <f>'1_入力シート【基本情報】'!$AT$510</f>
        <v>0</v>
      </c>
      <c r="E958" s="1650">
        <f t="shared" si="65"/>
        <v>0</v>
      </c>
      <c r="F958" s="1650" t="str">
        <f t="shared" si="66"/>
        <v>0</v>
      </c>
      <c r="G958" s="1650" t="str">
        <f t="shared" si="67"/>
        <v>0</v>
      </c>
      <c r="H958" s="1468"/>
      <c r="I958" s="1462"/>
      <c r="J958" s="1531"/>
      <c r="K958" s="1462"/>
      <c r="L958" s="1462"/>
      <c r="M958" s="1493"/>
      <c r="N958" s="1462"/>
      <c r="O958" s="1462"/>
      <c r="P958" s="1462"/>
      <c r="Q958" s="1462"/>
      <c r="R958" s="1462"/>
      <c r="S958" s="1462"/>
      <c r="T958" s="1462"/>
      <c r="U958" s="1469">
        <v>23</v>
      </c>
      <c r="V958" s="1486" t="s">
        <v>33</v>
      </c>
      <c r="W958" s="1471" t="s">
        <v>1306</v>
      </c>
      <c r="X958" s="1472" t="s">
        <v>148</v>
      </c>
      <c r="Y958" s="1473" t="s">
        <v>1306</v>
      </c>
      <c r="Z958" s="1474" t="s">
        <v>3226</v>
      </c>
      <c r="AA958" s="1473" t="s">
        <v>1306</v>
      </c>
      <c r="AB958" s="1470" t="s">
        <v>1402</v>
      </c>
      <c r="AC958" s="1499"/>
      <c r="AD958" s="1500"/>
      <c r="AE958" s="1501"/>
      <c r="AF958" s="1501"/>
      <c r="AG958" s="1457" t="str">
        <f t="shared" si="61"/>
        <v>23調査結果-上記以外の調査項目-7（14）-指摘の具体的内容等</v>
      </c>
      <c r="AI958" s="1459"/>
      <c r="AJ958" s="1459"/>
      <c r="AK958" s="1459"/>
    </row>
    <row r="959" spans="1:37" s="1457" customFormat="1" ht="18.75" customHeight="1" x14ac:dyDescent="0.15">
      <c r="A959" s="1578"/>
      <c r="B959" s="1462"/>
      <c r="C959" s="1462"/>
      <c r="D959" s="1460">
        <f>'1_入力シート【基本情報】'!$BD$510</f>
        <v>0</v>
      </c>
      <c r="E959" s="1650">
        <f t="shared" si="65"/>
        <v>0</v>
      </c>
      <c r="F959" s="1650" t="str">
        <f t="shared" si="66"/>
        <v>0</v>
      </c>
      <c r="G959" s="1650" t="str">
        <f t="shared" si="67"/>
        <v>0</v>
      </c>
      <c r="H959" s="1468"/>
      <c r="I959" s="1462"/>
      <c r="J959" s="1531"/>
      <c r="K959" s="1462"/>
      <c r="L959" s="1462"/>
      <c r="M959" s="1493"/>
      <c r="N959" s="1462"/>
      <c r="O959" s="1462"/>
      <c r="P959" s="1462"/>
      <c r="Q959" s="1462"/>
      <c r="R959" s="1462"/>
      <c r="S959" s="1462"/>
      <c r="T959" s="1462"/>
      <c r="U959" s="1469">
        <v>23</v>
      </c>
      <c r="V959" s="1486" t="s">
        <v>33</v>
      </c>
      <c r="W959" s="1471" t="s">
        <v>1306</v>
      </c>
      <c r="X959" s="1472" t="s">
        <v>148</v>
      </c>
      <c r="Y959" s="1473" t="s">
        <v>1306</v>
      </c>
      <c r="Z959" s="1474" t="s">
        <v>3226</v>
      </c>
      <c r="AA959" s="1473" t="s">
        <v>1306</v>
      </c>
      <c r="AB959" s="1470" t="s">
        <v>1403</v>
      </c>
      <c r="AC959" s="1499"/>
      <c r="AD959" s="1500"/>
      <c r="AE959" s="1501"/>
      <c r="AF959" s="1501"/>
      <c r="AG959" s="1457" t="str">
        <f t="shared" si="61"/>
        <v>23調査結果-上記以外の調査項目-7（14）-改善策の具体的内容等</v>
      </c>
      <c r="AI959" s="1459"/>
      <c r="AJ959" s="1459"/>
      <c r="AK959" s="1459"/>
    </row>
    <row r="960" spans="1:37" s="1457" customFormat="1" ht="18.75" customHeight="1" x14ac:dyDescent="0.15">
      <c r="A960" s="1578"/>
      <c r="B960" s="1462"/>
      <c r="C960" s="1462"/>
      <c r="D960" s="1460">
        <f>'1_入力シート【基本情報】'!$BS$510</f>
        <v>0</v>
      </c>
      <c r="E960" s="1650">
        <f t="shared" si="65"/>
        <v>0</v>
      </c>
      <c r="F960" s="1650" t="str">
        <f t="shared" si="66"/>
        <v>0</v>
      </c>
      <c r="G960" s="1650" t="str">
        <f t="shared" si="67"/>
        <v>0</v>
      </c>
      <c r="H960" s="1468"/>
      <c r="I960" s="1462"/>
      <c r="J960" s="1531"/>
      <c r="K960" s="1462"/>
      <c r="L960" s="1462"/>
      <c r="M960" s="1493"/>
      <c r="N960" s="1462"/>
      <c r="O960" s="1462"/>
      <c r="P960" s="1462"/>
      <c r="Q960" s="1462"/>
      <c r="R960" s="1462"/>
      <c r="S960" s="1462"/>
      <c r="T960" s="1462"/>
      <c r="U960" s="1469">
        <v>23</v>
      </c>
      <c r="V960" s="1486" t="s">
        <v>33</v>
      </c>
      <c r="W960" s="1471" t="s">
        <v>1306</v>
      </c>
      <c r="X960" s="1472" t="s">
        <v>148</v>
      </c>
      <c r="Y960" s="1473" t="s">
        <v>1306</v>
      </c>
      <c r="Z960" s="1474" t="s">
        <v>3226</v>
      </c>
      <c r="AA960" s="1473" t="s">
        <v>1306</v>
      </c>
      <c r="AB960" s="1470" t="s">
        <v>352</v>
      </c>
      <c r="AC960" s="1499" t="s">
        <v>1366</v>
      </c>
      <c r="AD960" s="1500" t="s">
        <v>1387</v>
      </c>
      <c r="AE960" s="1501"/>
      <c r="AF960" s="1501"/>
      <c r="AG960" s="1457" t="str">
        <f t="shared" si="61"/>
        <v>23調査結果-上記以外の調査項目-7（14）-改善（予定）年月-年（令和）</v>
      </c>
      <c r="AI960" s="1459"/>
      <c r="AJ960" s="1459"/>
      <c r="AK960" s="1459"/>
    </row>
    <row r="961" spans="1:37" s="1457" customFormat="1" ht="18.75" customHeight="1" x14ac:dyDescent="0.15">
      <c r="A961" s="1578"/>
      <c r="B961" s="1462"/>
      <c r="C961" s="1462"/>
      <c r="D961" s="1460">
        <f>'1_入力シート【基本情報】'!$BV$510</f>
        <v>0</v>
      </c>
      <c r="E961" s="1650">
        <f t="shared" si="65"/>
        <v>0</v>
      </c>
      <c r="F961" s="1650" t="str">
        <f t="shared" si="66"/>
        <v>0</v>
      </c>
      <c r="G961" s="1650" t="str">
        <f t="shared" si="67"/>
        <v>0</v>
      </c>
      <c r="H961" s="1468"/>
      <c r="I961" s="1462"/>
      <c r="J961" s="1531"/>
      <c r="K961" s="1462"/>
      <c r="L961" s="1462"/>
      <c r="M961" s="1493"/>
      <c r="N961" s="1462"/>
      <c r="O961" s="1462"/>
      <c r="P961" s="1462"/>
      <c r="Q961" s="1462"/>
      <c r="R961" s="1462"/>
      <c r="S961" s="1462"/>
      <c r="T961" s="1462"/>
      <c r="U961" s="1469">
        <v>23</v>
      </c>
      <c r="V961" s="1486" t="s">
        <v>33</v>
      </c>
      <c r="W961" s="1471" t="s">
        <v>1306</v>
      </c>
      <c r="X961" s="1472" t="s">
        <v>148</v>
      </c>
      <c r="Y961" s="1473" t="s">
        <v>1306</v>
      </c>
      <c r="Z961" s="1474" t="s">
        <v>3226</v>
      </c>
      <c r="AA961" s="1473" t="s">
        <v>1306</v>
      </c>
      <c r="AB961" s="1486" t="s">
        <v>352</v>
      </c>
      <c r="AC961" s="1499" t="s">
        <v>1366</v>
      </c>
      <c r="AD961" s="1500" t="s">
        <v>348</v>
      </c>
      <c r="AE961" s="1501"/>
      <c r="AF961" s="1501"/>
      <c r="AG961" s="1457" t="str">
        <f t="shared" si="61"/>
        <v>23調査結果-上記以外の調査項目-7（14）-改善（予定）年月-月</v>
      </c>
      <c r="AI961" s="1459"/>
      <c r="AJ961" s="1459"/>
      <c r="AK961" s="1459"/>
    </row>
    <row r="962" spans="1:37" s="1457" customFormat="1" ht="18.75" customHeight="1" x14ac:dyDescent="0.15">
      <c r="A962" s="1578"/>
      <c r="B962" s="1462"/>
      <c r="C962" s="1462"/>
      <c r="D962" s="1460">
        <f>'1_入力シート【基本情報】'!$BY$510</f>
        <v>0</v>
      </c>
      <c r="E962" s="1650">
        <f t="shared" si="65"/>
        <v>0</v>
      </c>
      <c r="F962" s="1650" t="str">
        <f t="shared" si="66"/>
        <v>0</v>
      </c>
      <c r="G962" s="1650" t="str">
        <f t="shared" si="67"/>
        <v>0</v>
      </c>
      <c r="H962" s="1468"/>
      <c r="I962" s="1462"/>
      <c r="J962" s="1531"/>
      <c r="K962" s="1462"/>
      <c r="L962" s="1462"/>
      <c r="M962" s="1493"/>
      <c r="N962" s="1462"/>
      <c r="O962" s="1462"/>
      <c r="P962" s="1462"/>
      <c r="Q962" s="1462"/>
      <c r="R962" s="1462"/>
      <c r="S962" s="1462"/>
      <c r="T962" s="1462"/>
      <c r="U962" s="1469">
        <v>23</v>
      </c>
      <c r="V962" s="1486" t="s">
        <v>33</v>
      </c>
      <c r="W962" s="1471" t="s">
        <v>1306</v>
      </c>
      <c r="X962" s="1472" t="s">
        <v>148</v>
      </c>
      <c r="Y962" s="1473" t="s">
        <v>1306</v>
      </c>
      <c r="Z962" s="1474" t="s">
        <v>3226</v>
      </c>
      <c r="AA962" s="1473" t="s">
        <v>1306</v>
      </c>
      <c r="AB962" s="1486" t="s">
        <v>352</v>
      </c>
      <c r="AC962" s="1499" t="s">
        <v>1366</v>
      </c>
      <c r="AD962" s="1500" t="s">
        <v>640</v>
      </c>
      <c r="AE962" s="1501"/>
      <c r="AF962" s="1501"/>
      <c r="AG962" s="1457" t="str">
        <f t="shared" si="61"/>
        <v>23調査結果-上記以外の調査項目-7（14）-改善（予定）年月-未定</v>
      </c>
      <c r="AI962" s="1459"/>
      <c r="AJ962" s="1459"/>
      <c r="AK962" s="1459"/>
    </row>
    <row r="963" spans="1:37" s="1457" customFormat="1" ht="18.75" customHeight="1" x14ac:dyDescent="0.15">
      <c r="A963" s="1578"/>
      <c r="B963" s="1462"/>
      <c r="C963" s="1462"/>
      <c r="D963" s="1460">
        <f>'1_入力シート【基本情報】'!$AF$511</f>
        <v>0</v>
      </c>
      <c r="E963" s="1650">
        <f t="shared" si="65"/>
        <v>0</v>
      </c>
      <c r="F963" s="1650" t="str">
        <f t="shared" si="66"/>
        <v>0</v>
      </c>
      <c r="G963" s="1650" t="str">
        <f t="shared" si="67"/>
        <v>0</v>
      </c>
      <c r="H963" s="1468"/>
      <c r="I963" s="1462"/>
      <c r="J963" s="1531"/>
      <c r="K963" s="1462"/>
      <c r="L963" s="1462"/>
      <c r="M963" s="1493"/>
      <c r="N963" s="1462"/>
      <c r="O963" s="1462"/>
      <c r="P963" s="1462"/>
      <c r="Q963" s="1462"/>
      <c r="R963" s="1462"/>
      <c r="S963" s="1462"/>
      <c r="T963" s="1462"/>
      <c r="U963" s="1469">
        <v>23</v>
      </c>
      <c r="V963" s="1486" t="s">
        <v>33</v>
      </c>
      <c r="W963" s="1471" t="s">
        <v>1306</v>
      </c>
      <c r="X963" s="1472" t="s">
        <v>148</v>
      </c>
      <c r="Y963" s="1473" t="s">
        <v>1306</v>
      </c>
      <c r="Z963" s="1474" t="s">
        <v>3227</v>
      </c>
      <c r="AA963" s="1473" t="s">
        <v>1306</v>
      </c>
      <c r="AB963" s="1470" t="s">
        <v>33</v>
      </c>
      <c r="AC963" s="1475"/>
      <c r="AD963" s="1476"/>
      <c r="AE963" s="1501"/>
      <c r="AF963" s="1501"/>
      <c r="AG963" s="1457" t="str">
        <f t="shared" si="61"/>
        <v>23調査結果-上記以外の調査項目-7（15）-調査結果</v>
      </c>
      <c r="AI963" s="1459"/>
      <c r="AJ963" s="1459"/>
      <c r="AK963" s="1459"/>
    </row>
    <row r="964" spans="1:37" s="1457" customFormat="1" ht="18.75" customHeight="1" x14ac:dyDescent="0.15">
      <c r="A964" s="1578"/>
      <c r="B964" s="1462"/>
      <c r="C964" s="1462"/>
      <c r="D964" s="1460">
        <f>'1_入力シート【基本情報】'!$AR$511</f>
        <v>0</v>
      </c>
      <c r="E964" s="1650">
        <f t="shared" si="65"/>
        <v>0</v>
      </c>
      <c r="F964" s="1650" t="str">
        <f t="shared" si="66"/>
        <v>0</v>
      </c>
      <c r="G964" s="1650" t="str">
        <f t="shared" si="67"/>
        <v>0</v>
      </c>
      <c r="H964" s="1468"/>
      <c r="I964" s="1462"/>
      <c r="J964" s="1531"/>
      <c r="K964" s="1462"/>
      <c r="L964" s="1462"/>
      <c r="M964" s="1493"/>
      <c r="N964" s="1462"/>
      <c r="O964" s="1462"/>
      <c r="P964" s="1462"/>
      <c r="Q964" s="1462"/>
      <c r="R964" s="1462"/>
      <c r="S964" s="1462"/>
      <c r="T964" s="1462"/>
      <c r="U964" s="1469">
        <v>23</v>
      </c>
      <c r="V964" s="1486" t="s">
        <v>33</v>
      </c>
      <c r="W964" s="1471" t="s">
        <v>1306</v>
      </c>
      <c r="X964" s="1472" t="s">
        <v>148</v>
      </c>
      <c r="Y964" s="1473" t="s">
        <v>1306</v>
      </c>
      <c r="Z964" s="1474" t="s">
        <v>3227</v>
      </c>
      <c r="AA964" s="1473" t="s">
        <v>1306</v>
      </c>
      <c r="AB964" s="1470" t="s">
        <v>30</v>
      </c>
      <c r="AC964" s="1499"/>
      <c r="AD964" s="1500"/>
      <c r="AE964" s="1501"/>
      <c r="AF964" s="1501"/>
      <c r="AG964" s="1457" t="str">
        <f t="shared" si="61"/>
        <v>23調査結果-上記以外の調査項目-7（15）-調査者番号</v>
      </c>
      <c r="AI964" s="1459"/>
      <c r="AJ964" s="1459"/>
      <c r="AK964" s="1459"/>
    </row>
    <row r="965" spans="1:37" s="1457" customFormat="1" ht="18.75" customHeight="1" x14ac:dyDescent="0.15">
      <c r="A965" s="1578"/>
      <c r="B965" s="1462"/>
      <c r="C965" s="1462"/>
      <c r="D965" s="1460">
        <f>'1_入力シート【基本情報】'!$AT$511</f>
        <v>0</v>
      </c>
      <c r="E965" s="1650">
        <f t="shared" si="65"/>
        <v>0</v>
      </c>
      <c r="F965" s="1650" t="str">
        <f t="shared" si="66"/>
        <v>0</v>
      </c>
      <c r="G965" s="1650" t="str">
        <f t="shared" si="67"/>
        <v>0</v>
      </c>
      <c r="H965" s="1468"/>
      <c r="I965" s="1462"/>
      <c r="J965" s="1531"/>
      <c r="K965" s="1462"/>
      <c r="L965" s="1462"/>
      <c r="M965" s="1493"/>
      <c r="N965" s="1462"/>
      <c r="O965" s="1462"/>
      <c r="P965" s="1462"/>
      <c r="Q965" s="1462"/>
      <c r="R965" s="1462"/>
      <c r="S965" s="1462"/>
      <c r="T965" s="1462"/>
      <c r="U965" s="1469">
        <v>23</v>
      </c>
      <c r="V965" s="1486" t="s">
        <v>33</v>
      </c>
      <c r="W965" s="1471" t="s">
        <v>1306</v>
      </c>
      <c r="X965" s="1472" t="s">
        <v>148</v>
      </c>
      <c r="Y965" s="1473" t="s">
        <v>1306</v>
      </c>
      <c r="Z965" s="1474" t="s">
        <v>3227</v>
      </c>
      <c r="AA965" s="1473" t="s">
        <v>1306</v>
      </c>
      <c r="AB965" s="1470" t="s">
        <v>1402</v>
      </c>
      <c r="AC965" s="1499"/>
      <c r="AD965" s="1500"/>
      <c r="AE965" s="1501"/>
      <c r="AF965" s="1501"/>
      <c r="AG965" s="1457" t="str">
        <f t="shared" si="61"/>
        <v>23調査結果-上記以外の調査項目-7（15）-指摘の具体的内容等</v>
      </c>
      <c r="AI965" s="1459"/>
      <c r="AJ965" s="1459"/>
      <c r="AK965" s="1459"/>
    </row>
    <row r="966" spans="1:37" s="1457" customFormat="1" ht="18.75" customHeight="1" x14ac:dyDescent="0.15">
      <c r="A966" s="1578"/>
      <c r="B966" s="1462"/>
      <c r="C966" s="1462"/>
      <c r="D966" s="1460">
        <f>'1_入力シート【基本情報】'!$BD$511</f>
        <v>0</v>
      </c>
      <c r="E966" s="1650">
        <f t="shared" si="65"/>
        <v>0</v>
      </c>
      <c r="F966" s="1650" t="str">
        <f t="shared" si="66"/>
        <v>0</v>
      </c>
      <c r="G966" s="1650" t="str">
        <f t="shared" si="67"/>
        <v>0</v>
      </c>
      <c r="H966" s="1468"/>
      <c r="I966" s="1462"/>
      <c r="J966" s="1531"/>
      <c r="K966" s="1462"/>
      <c r="L966" s="1462"/>
      <c r="M966" s="1493"/>
      <c r="N966" s="1462"/>
      <c r="O966" s="1462"/>
      <c r="P966" s="1462"/>
      <c r="Q966" s="1462"/>
      <c r="R966" s="1462"/>
      <c r="S966" s="1462"/>
      <c r="T966" s="1462"/>
      <c r="U966" s="1469">
        <v>23</v>
      </c>
      <c r="V966" s="1486" t="s">
        <v>33</v>
      </c>
      <c r="W966" s="1471" t="s">
        <v>1306</v>
      </c>
      <c r="X966" s="1472" t="s">
        <v>148</v>
      </c>
      <c r="Y966" s="1473" t="s">
        <v>1306</v>
      </c>
      <c r="Z966" s="1474" t="s">
        <v>3227</v>
      </c>
      <c r="AA966" s="1473" t="s">
        <v>1306</v>
      </c>
      <c r="AB966" s="1470" t="s">
        <v>1403</v>
      </c>
      <c r="AC966" s="1499"/>
      <c r="AD966" s="1500"/>
      <c r="AE966" s="1501"/>
      <c r="AF966" s="1501"/>
      <c r="AG966" s="1457" t="str">
        <f t="shared" si="61"/>
        <v>23調査結果-上記以外の調査項目-7（15）-改善策の具体的内容等</v>
      </c>
      <c r="AI966" s="1459"/>
      <c r="AJ966" s="1459"/>
      <c r="AK966" s="1459"/>
    </row>
    <row r="967" spans="1:37" s="1457" customFormat="1" ht="18.75" customHeight="1" x14ac:dyDescent="0.15">
      <c r="A967" s="1578"/>
      <c r="B967" s="1462"/>
      <c r="C967" s="1462"/>
      <c r="D967" s="1460">
        <f>'1_入力シート【基本情報】'!$BS$511</f>
        <v>0</v>
      </c>
      <c r="E967" s="1650">
        <f t="shared" si="65"/>
        <v>0</v>
      </c>
      <c r="F967" s="1650" t="str">
        <f t="shared" si="66"/>
        <v>0</v>
      </c>
      <c r="G967" s="1650" t="str">
        <f t="shared" si="67"/>
        <v>0</v>
      </c>
      <c r="H967" s="1468"/>
      <c r="I967" s="1462"/>
      <c r="J967" s="1531"/>
      <c r="K967" s="1462"/>
      <c r="L967" s="1462"/>
      <c r="M967" s="1493"/>
      <c r="N967" s="1462"/>
      <c r="O967" s="1462"/>
      <c r="P967" s="1462"/>
      <c r="Q967" s="1462"/>
      <c r="R967" s="1462"/>
      <c r="S967" s="1462"/>
      <c r="T967" s="1462"/>
      <c r="U967" s="1469">
        <v>23</v>
      </c>
      <c r="V967" s="1486" t="s">
        <v>33</v>
      </c>
      <c r="W967" s="1471" t="s">
        <v>1306</v>
      </c>
      <c r="X967" s="1472" t="s">
        <v>148</v>
      </c>
      <c r="Y967" s="1473" t="s">
        <v>1306</v>
      </c>
      <c r="Z967" s="1474" t="s">
        <v>3227</v>
      </c>
      <c r="AA967" s="1473" t="s">
        <v>1306</v>
      </c>
      <c r="AB967" s="1470" t="s">
        <v>352</v>
      </c>
      <c r="AC967" s="1499" t="s">
        <v>1366</v>
      </c>
      <c r="AD967" s="1500" t="s">
        <v>1387</v>
      </c>
      <c r="AE967" s="1501"/>
      <c r="AF967" s="1501"/>
      <c r="AG967" s="1457" t="str">
        <f t="shared" si="61"/>
        <v>23調査結果-上記以外の調査項目-7（15）-改善（予定）年月-年（令和）</v>
      </c>
      <c r="AI967" s="1459"/>
      <c r="AJ967" s="1459"/>
      <c r="AK967" s="1459"/>
    </row>
    <row r="968" spans="1:37" s="1457" customFormat="1" ht="18.75" customHeight="1" x14ac:dyDescent="0.15">
      <c r="A968" s="1578"/>
      <c r="B968" s="1462"/>
      <c r="C968" s="1462"/>
      <c r="D968" s="1460">
        <f>'1_入力シート【基本情報】'!$BV$511</f>
        <v>0</v>
      </c>
      <c r="E968" s="1650">
        <f t="shared" si="65"/>
        <v>0</v>
      </c>
      <c r="F968" s="1650" t="str">
        <f t="shared" si="66"/>
        <v>0</v>
      </c>
      <c r="G968" s="1650" t="str">
        <f t="shared" si="67"/>
        <v>0</v>
      </c>
      <c r="H968" s="1468"/>
      <c r="I968" s="1462"/>
      <c r="J968" s="1531"/>
      <c r="K968" s="1462"/>
      <c r="L968" s="1462"/>
      <c r="M968" s="1493"/>
      <c r="N968" s="1462"/>
      <c r="O968" s="1462"/>
      <c r="P968" s="1462"/>
      <c r="Q968" s="1462"/>
      <c r="R968" s="1462"/>
      <c r="S968" s="1462"/>
      <c r="T968" s="1462"/>
      <c r="U968" s="1469">
        <v>23</v>
      </c>
      <c r="V968" s="1486" t="s">
        <v>33</v>
      </c>
      <c r="W968" s="1471" t="s">
        <v>1306</v>
      </c>
      <c r="X968" s="1472" t="s">
        <v>148</v>
      </c>
      <c r="Y968" s="1473" t="s">
        <v>1306</v>
      </c>
      <c r="Z968" s="1474" t="s">
        <v>3227</v>
      </c>
      <c r="AA968" s="1473" t="s">
        <v>1306</v>
      </c>
      <c r="AB968" s="1486" t="s">
        <v>352</v>
      </c>
      <c r="AC968" s="1499" t="s">
        <v>1366</v>
      </c>
      <c r="AD968" s="1500" t="s">
        <v>348</v>
      </c>
      <c r="AE968" s="1501"/>
      <c r="AF968" s="1501"/>
      <c r="AG968" s="1457" t="str">
        <f t="shared" si="61"/>
        <v>23調査結果-上記以外の調査項目-7（15）-改善（予定）年月-月</v>
      </c>
      <c r="AI968" s="1459"/>
      <c r="AJ968" s="1459"/>
      <c r="AK968" s="1459"/>
    </row>
    <row r="969" spans="1:37" s="1457" customFormat="1" ht="18.75" customHeight="1" x14ac:dyDescent="0.15">
      <c r="A969" s="1578"/>
      <c r="B969" s="1462"/>
      <c r="C969" s="1462"/>
      <c r="D969" s="1460">
        <f>'1_入力シート【基本情報】'!$BY$511</f>
        <v>0</v>
      </c>
      <c r="E969" s="1650">
        <f t="shared" si="65"/>
        <v>0</v>
      </c>
      <c r="F969" s="1650" t="str">
        <f t="shared" si="66"/>
        <v>0</v>
      </c>
      <c r="G969" s="1650" t="str">
        <f t="shared" si="67"/>
        <v>0</v>
      </c>
      <c r="H969" s="1468"/>
      <c r="I969" s="1462"/>
      <c r="J969" s="1531"/>
      <c r="K969" s="1462"/>
      <c r="L969" s="1462"/>
      <c r="M969" s="1493"/>
      <c r="N969" s="1462"/>
      <c r="O969" s="1462"/>
      <c r="P969" s="1462"/>
      <c r="Q969" s="1462"/>
      <c r="R969" s="1462"/>
      <c r="S969" s="1462"/>
      <c r="T969" s="1462"/>
      <c r="U969" s="1469">
        <v>23</v>
      </c>
      <c r="V969" s="1486" t="s">
        <v>33</v>
      </c>
      <c r="W969" s="1471" t="s">
        <v>1306</v>
      </c>
      <c r="X969" s="1472" t="s">
        <v>148</v>
      </c>
      <c r="Y969" s="1473" t="s">
        <v>1306</v>
      </c>
      <c r="Z969" s="1474" t="s">
        <v>3227</v>
      </c>
      <c r="AA969" s="1473" t="s">
        <v>1306</v>
      </c>
      <c r="AB969" s="1486" t="s">
        <v>352</v>
      </c>
      <c r="AC969" s="1499" t="s">
        <v>1366</v>
      </c>
      <c r="AD969" s="1500" t="s">
        <v>640</v>
      </c>
      <c r="AE969" s="1501"/>
      <c r="AF969" s="1501"/>
      <c r="AG969" s="1457" t="str">
        <f t="shared" si="61"/>
        <v>23調査結果-上記以外の調査項目-7（15）-改善（予定）年月-未定</v>
      </c>
      <c r="AI969" s="1459"/>
      <c r="AJ969" s="1459"/>
      <c r="AK969" s="1459"/>
    </row>
    <row r="970" spans="1:37" s="1457" customFormat="1" ht="18.75" customHeight="1" x14ac:dyDescent="0.15">
      <c r="A970" s="1578"/>
      <c r="B970" s="1462"/>
      <c r="C970" s="1462"/>
      <c r="D970" s="1460">
        <f>'1_入力シート【基本情報】'!$AF$512</f>
        <v>0</v>
      </c>
      <c r="E970" s="1650">
        <f t="shared" si="65"/>
        <v>0</v>
      </c>
      <c r="F970" s="1650" t="str">
        <f t="shared" si="66"/>
        <v>0</v>
      </c>
      <c r="G970" s="1650" t="str">
        <f t="shared" si="67"/>
        <v>0</v>
      </c>
      <c r="H970" s="1468"/>
      <c r="I970" s="1462"/>
      <c r="J970" s="1531"/>
      <c r="K970" s="1462"/>
      <c r="L970" s="1462"/>
      <c r="M970" s="1493"/>
      <c r="N970" s="1462"/>
      <c r="O970" s="1462"/>
      <c r="P970" s="1462"/>
      <c r="Q970" s="1462"/>
      <c r="R970" s="1462"/>
      <c r="S970" s="1462"/>
      <c r="T970" s="1462"/>
      <c r="U970" s="1469">
        <v>23</v>
      </c>
      <c r="V970" s="1486" t="s">
        <v>33</v>
      </c>
      <c r="W970" s="1471" t="s">
        <v>1306</v>
      </c>
      <c r="X970" s="1472" t="s">
        <v>148</v>
      </c>
      <c r="Y970" s="1473" t="s">
        <v>1306</v>
      </c>
      <c r="Z970" s="1474" t="s">
        <v>3228</v>
      </c>
      <c r="AA970" s="1473" t="s">
        <v>1306</v>
      </c>
      <c r="AB970" s="1470" t="s">
        <v>33</v>
      </c>
      <c r="AC970" s="1475"/>
      <c r="AD970" s="1476"/>
      <c r="AE970" s="1501"/>
      <c r="AF970" s="1501"/>
      <c r="AG970" s="1457" t="str">
        <f t="shared" si="61"/>
        <v>23調査結果-上記以外の調査項目-7（16）-調査結果</v>
      </c>
      <c r="AI970" s="1459"/>
      <c r="AJ970" s="1459"/>
      <c r="AK970" s="1459"/>
    </row>
    <row r="971" spans="1:37" s="1457" customFormat="1" ht="18.75" customHeight="1" x14ac:dyDescent="0.15">
      <c r="A971" s="1578"/>
      <c r="B971" s="1462"/>
      <c r="C971" s="1462"/>
      <c r="D971" s="1460">
        <f>'1_入力シート【基本情報】'!$AR$512</f>
        <v>0</v>
      </c>
      <c r="E971" s="1650">
        <f t="shared" si="65"/>
        <v>0</v>
      </c>
      <c r="F971" s="1650" t="str">
        <f t="shared" si="66"/>
        <v>0</v>
      </c>
      <c r="G971" s="1650" t="str">
        <f t="shared" si="67"/>
        <v>0</v>
      </c>
      <c r="H971" s="1468"/>
      <c r="I971" s="1462"/>
      <c r="J971" s="1531"/>
      <c r="K971" s="1462"/>
      <c r="L971" s="1462"/>
      <c r="M971" s="1493"/>
      <c r="N971" s="1462"/>
      <c r="O971" s="1462"/>
      <c r="P971" s="1462"/>
      <c r="Q971" s="1462"/>
      <c r="R971" s="1462"/>
      <c r="S971" s="1462"/>
      <c r="T971" s="1462"/>
      <c r="U971" s="1469">
        <v>23</v>
      </c>
      <c r="V971" s="1486" t="s">
        <v>33</v>
      </c>
      <c r="W971" s="1471" t="s">
        <v>1306</v>
      </c>
      <c r="X971" s="1472" t="s">
        <v>148</v>
      </c>
      <c r="Y971" s="1473" t="s">
        <v>1306</v>
      </c>
      <c r="Z971" s="1474" t="s">
        <v>3228</v>
      </c>
      <c r="AA971" s="1473" t="s">
        <v>1306</v>
      </c>
      <c r="AB971" s="1470" t="s">
        <v>30</v>
      </c>
      <c r="AC971" s="1499"/>
      <c r="AD971" s="1500"/>
      <c r="AE971" s="1501"/>
      <c r="AF971" s="1501"/>
      <c r="AG971" s="1457" t="str">
        <f t="shared" si="61"/>
        <v>23調査結果-上記以外の調査項目-7（16）-調査者番号</v>
      </c>
      <c r="AI971" s="1459"/>
      <c r="AJ971" s="1459"/>
      <c r="AK971" s="1459"/>
    </row>
    <row r="972" spans="1:37" s="1457" customFormat="1" ht="18.75" customHeight="1" x14ac:dyDescent="0.15">
      <c r="A972" s="1578"/>
      <c r="B972" s="1462"/>
      <c r="C972" s="1462"/>
      <c r="D972" s="1800">
        <f>'1_入力シート【基本情報】'!$AT$512</f>
        <v>0</v>
      </c>
      <c r="E972" s="1650">
        <f t="shared" si="65"/>
        <v>0</v>
      </c>
      <c r="F972" s="1650" t="str">
        <f t="shared" si="66"/>
        <v>0</v>
      </c>
      <c r="G972" s="1650" t="str">
        <f t="shared" si="67"/>
        <v>0</v>
      </c>
      <c r="H972" s="1468"/>
      <c r="I972" s="1462"/>
      <c r="J972" s="1531"/>
      <c r="K972" s="1462"/>
      <c r="L972" s="1462"/>
      <c r="M972" s="1493"/>
      <c r="N972" s="1462"/>
      <c r="O972" s="1462"/>
      <c r="P972" s="1462"/>
      <c r="Q972" s="1462"/>
      <c r="R972" s="1462"/>
      <c r="S972" s="1462"/>
      <c r="T972" s="1462"/>
      <c r="U972" s="1469">
        <v>23</v>
      </c>
      <c r="V972" s="1486" t="s">
        <v>33</v>
      </c>
      <c r="W972" s="1471" t="s">
        <v>1306</v>
      </c>
      <c r="X972" s="1472" t="s">
        <v>148</v>
      </c>
      <c r="Y972" s="1473" t="s">
        <v>1306</v>
      </c>
      <c r="Z972" s="1474" t="s">
        <v>3228</v>
      </c>
      <c r="AA972" s="1473" t="s">
        <v>1306</v>
      </c>
      <c r="AB972" s="1470" t="s">
        <v>1402</v>
      </c>
      <c r="AC972" s="1499"/>
      <c r="AD972" s="1500"/>
      <c r="AE972" s="1501"/>
      <c r="AF972" s="1501"/>
      <c r="AG972" s="1457" t="str">
        <f t="shared" ref="AG972:AG990" si="68">CONCATENATE(U972,V972,W972,X972,Y972,Z972,AA972,AB972,AC972,AD972)</f>
        <v>23調査結果-上記以外の調査項目-7（16）-指摘の具体的内容等</v>
      </c>
      <c r="AI972" s="1459"/>
      <c r="AJ972" s="1459"/>
      <c r="AK972" s="1459"/>
    </row>
    <row r="973" spans="1:37" s="1457" customFormat="1" ht="18.75" customHeight="1" x14ac:dyDescent="0.15">
      <c r="A973" s="1578"/>
      <c r="B973" s="1462"/>
      <c r="C973" s="1462"/>
      <c r="D973" s="1800">
        <f>'1_入力シート【基本情報】'!$BD$512</f>
        <v>0</v>
      </c>
      <c r="E973" s="1650">
        <f t="shared" si="65"/>
        <v>0</v>
      </c>
      <c r="F973" s="1650" t="str">
        <f t="shared" si="66"/>
        <v>0</v>
      </c>
      <c r="G973" s="1650" t="str">
        <f t="shared" si="67"/>
        <v>0</v>
      </c>
      <c r="H973" s="1468"/>
      <c r="I973" s="1462"/>
      <c r="J973" s="1531"/>
      <c r="K973" s="1462"/>
      <c r="L973" s="1462"/>
      <c r="M973" s="1493"/>
      <c r="N973" s="1462"/>
      <c r="O973" s="1462"/>
      <c r="P973" s="1462"/>
      <c r="Q973" s="1462"/>
      <c r="R973" s="1462"/>
      <c r="S973" s="1462"/>
      <c r="T973" s="1462"/>
      <c r="U973" s="1469">
        <v>23</v>
      </c>
      <c r="V973" s="1486" t="s">
        <v>33</v>
      </c>
      <c r="W973" s="1471" t="s">
        <v>1306</v>
      </c>
      <c r="X973" s="1472" t="s">
        <v>148</v>
      </c>
      <c r="Y973" s="1473" t="s">
        <v>1306</v>
      </c>
      <c r="Z973" s="1474" t="s">
        <v>3228</v>
      </c>
      <c r="AA973" s="1473" t="s">
        <v>1306</v>
      </c>
      <c r="AB973" s="1470" t="s">
        <v>1403</v>
      </c>
      <c r="AC973" s="1499"/>
      <c r="AD973" s="1500"/>
      <c r="AE973" s="1501"/>
      <c r="AF973" s="1501"/>
      <c r="AG973" s="1457" t="str">
        <f t="shared" si="68"/>
        <v>23調査結果-上記以外の調査項目-7（16）-改善策の具体的内容等</v>
      </c>
      <c r="AI973" s="1459"/>
      <c r="AJ973" s="1459"/>
      <c r="AK973" s="1459"/>
    </row>
    <row r="974" spans="1:37" s="1457" customFormat="1" ht="18.75" customHeight="1" x14ac:dyDescent="0.15">
      <c r="A974" s="1578"/>
      <c r="B974" s="1462"/>
      <c r="C974" s="1462"/>
      <c r="D974" s="1460">
        <f>'1_入力シート【基本情報】'!$BS$512</f>
        <v>0</v>
      </c>
      <c r="E974" s="1650">
        <f t="shared" si="65"/>
        <v>0</v>
      </c>
      <c r="F974" s="1650" t="str">
        <f t="shared" si="66"/>
        <v>0</v>
      </c>
      <c r="G974" s="1650" t="str">
        <f t="shared" si="67"/>
        <v>0</v>
      </c>
      <c r="H974" s="1468"/>
      <c r="I974" s="1462"/>
      <c r="J974" s="1531"/>
      <c r="K974" s="1462"/>
      <c r="L974" s="1462"/>
      <c r="M974" s="1493"/>
      <c r="N974" s="1462"/>
      <c r="O974" s="1462"/>
      <c r="P974" s="1462"/>
      <c r="Q974" s="1462"/>
      <c r="R974" s="1462"/>
      <c r="S974" s="1462"/>
      <c r="T974" s="1462"/>
      <c r="U974" s="1469">
        <v>23</v>
      </c>
      <c r="V974" s="1486" t="s">
        <v>33</v>
      </c>
      <c r="W974" s="1471" t="s">
        <v>1306</v>
      </c>
      <c r="X974" s="1472" t="s">
        <v>148</v>
      </c>
      <c r="Y974" s="1473" t="s">
        <v>1306</v>
      </c>
      <c r="Z974" s="1474" t="s">
        <v>3228</v>
      </c>
      <c r="AA974" s="1473" t="s">
        <v>1306</v>
      </c>
      <c r="AB974" s="1470" t="s">
        <v>352</v>
      </c>
      <c r="AC974" s="1499" t="s">
        <v>1366</v>
      </c>
      <c r="AD974" s="1500" t="s">
        <v>1387</v>
      </c>
      <c r="AE974" s="1501"/>
      <c r="AF974" s="1501"/>
      <c r="AG974" s="1457" t="str">
        <f t="shared" si="68"/>
        <v>23調査結果-上記以外の調査項目-7（16）-改善（予定）年月-年（令和）</v>
      </c>
      <c r="AI974" s="1459"/>
      <c r="AJ974" s="1459"/>
      <c r="AK974" s="1459"/>
    </row>
    <row r="975" spans="1:37" s="1457" customFormat="1" ht="18.75" customHeight="1" x14ac:dyDescent="0.15">
      <c r="A975" s="1578"/>
      <c r="B975" s="1462"/>
      <c r="C975" s="1462"/>
      <c r="D975" s="1460">
        <f>'1_入力シート【基本情報】'!$BV$512</f>
        <v>0</v>
      </c>
      <c r="E975" s="1650">
        <f t="shared" si="65"/>
        <v>0</v>
      </c>
      <c r="F975" s="1650" t="str">
        <f t="shared" si="66"/>
        <v>0</v>
      </c>
      <c r="G975" s="1650" t="str">
        <f t="shared" si="67"/>
        <v>0</v>
      </c>
      <c r="H975" s="1468"/>
      <c r="I975" s="1462"/>
      <c r="J975" s="1531"/>
      <c r="K975" s="1462"/>
      <c r="L975" s="1462"/>
      <c r="M975" s="1493"/>
      <c r="N975" s="1462"/>
      <c r="O975" s="1462"/>
      <c r="P975" s="1462"/>
      <c r="Q975" s="1462"/>
      <c r="R975" s="1462"/>
      <c r="S975" s="1462"/>
      <c r="T975" s="1462"/>
      <c r="U975" s="1469">
        <v>23</v>
      </c>
      <c r="V975" s="1486" t="s">
        <v>33</v>
      </c>
      <c r="W975" s="1471" t="s">
        <v>1306</v>
      </c>
      <c r="X975" s="1472" t="s">
        <v>148</v>
      </c>
      <c r="Y975" s="1473" t="s">
        <v>1306</v>
      </c>
      <c r="Z975" s="1474" t="s">
        <v>3228</v>
      </c>
      <c r="AA975" s="1473" t="s">
        <v>1306</v>
      </c>
      <c r="AB975" s="1486" t="s">
        <v>352</v>
      </c>
      <c r="AC975" s="1499" t="s">
        <v>1366</v>
      </c>
      <c r="AD975" s="1500" t="s">
        <v>348</v>
      </c>
      <c r="AE975" s="1501"/>
      <c r="AF975" s="1501"/>
      <c r="AG975" s="1457" t="str">
        <f t="shared" si="68"/>
        <v>23調査結果-上記以外の調査項目-7（16）-改善（予定）年月-月</v>
      </c>
      <c r="AI975" s="1459"/>
      <c r="AJ975" s="1459"/>
      <c r="AK975" s="1459"/>
    </row>
    <row r="976" spans="1:37" s="1457" customFormat="1" ht="18.75" customHeight="1" x14ac:dyDescent="0.15">
      <c r="A976" s="1578"/>
      <c r="B976" s="1462"/>
      <c r="C976" s="1462"/>
      <c r="D976" s="1460">
        <f>'1_入力シート【基本情報】'!$BY$512</f>
        <v>0</v>
      </c>
      <c r="E976" s="1650">
        <f t="shared" si="65"/>
        <v>0</v>
      </c>
      <c r="F976" s="1650" t="str">
        <f t="shared" si="66"/>
        <v>0</v>
      </c>
      <c r="G976" s="1650" t="str">
        <f t="shared" si="67"/>
        <v>0</v>
      </c>
      <c r="H976" s="1468"/>
      <c r="I976" s="1462"/>
      <c r="J976" s="1531"/>
      <c r="K976" s="1462"/>
      <c r="L976" s="1462"/>
      <c r="M976" s="1493"/>
      <c r="N976" s="1462"/>
      <c r="O976" s="1462"/>
      <c r="P976" s="1462"/>
      <c r="Q976" s="1462"/>
      <c r="R976" s="1462"/>
      <c r="S976" s="1462"/>
      <c r="T976" s="1462"/>
      <c r="U976" s="1469">
        <v>23</v>
      </c>
      <c r="V976" s="1486" t="s">
        <v>33</v>
      </c>
      <c r="W976" s="1471" t="s">
        <v>1306</v>
      </c>
      <c r="X976" s="1472" t="s">
        <v>148</v>
      </c>
      <c r="Y976" s="1473" t="s">
        <v>1306</v>
      </c>
      <c r="Z976" s="1474" t="s">
        <v>3228</v>
      </c>
      <c r="AA976" s="1473" t="s">
        <v>1306</v>
      </c>
      <c r="AB976" s="1486" t="s">
        <v>352</v>
      </c>
      <c r="AC976" s="1499" t="s">
        <v>1366</v>
      </c>
      <c r="AD976" s="1500" t="s">
        <v>640</v>
      </c>
      <c r="AE976" s="1501"/>
      <c r="AF976" s="1501"/>
      <c r="AG976" s="1457" t="str">
        <f t="shared" si="68"/>
        <v>23調査結果-上記以外の調査項目-7（16）-改善（予定）年月-未定</v>
      </c>
      <c r="AI976" s="1459"/>
      <c r="AJ976" s="1459"/>
      <c r="AK976" s="1459"/>
    </row>
    <row r="977" spans="1:37" s="1457" customFormat="1" ht="18.75" customHeight="1" x14ac:dyDescent="0.15">
      <c r="A977" s="1578"/>
      <c r="B977" s="1462"/>
      <c r="C977" s="1462"/>
      <c r="D977" s="1460">
        <f>'1_入力シート【基本情報】'!$AF$513</f>
        <v>0</v>
      </c>
      <c r="E977" s="1650">
        <f t="shared" si="65"/>
        <v>0</v>
      </c>
      <c r="F977" s="1650" t="str">
        <f t="shared" si="66"/>
        <v>0</v>
      </c>
      <c r="G977" s="1650" t="str">
        <f t="shared" si="67"/>
        <v>0</v>
      </c>
      <c r="H977" s="1468"/>
      <c r="I977" s="1462"/>
      <c r="J977" s="1531"/>
      <c r="K977" s="1462"/>
      <c r="L977" s="1462"/>
      <c r="M977" s="1493"/>
      <c r="N977" s="1462"/>
      <c r="O977" s="1462"/>
      <c r="P977" s="1462"/>
      <c r="Q977" s="1462"/>
      <c r="R977" s="1462"/>
      <c r="S977" s="1462"/>
      <c r="T977" s="1462"/>
      <c r="U977" s="1469">
        <v>23</v>
      </c>
      <c r="V977" s="1486" t="s">
        <v>33</v>
      </c>
      <c r="W977" s="1471" t="s">
        <v>1306</v>
      </c>
      <c r="X977" s="1472" t="s">
        <v>148</v>
      </c>
      <c r="Y977" s="1473" t="s">
        <v>1306</v>
      </c>
      <c r="Z977" s="1474" t="s">
        <v>3229</v>
      </c>
      <c r="AA977" s="1473" t="s">
        <v>1306</v>
      </c>
      <c r="AB977" s="1470" t="s">
        <v>33</v>
      </c>
      <c r="AC977" s="1475"/>
      <c r="AD977" s="1476"/>
      <c r="AE977" s="1501"/>
      <c r="AF977" s="1501"/>
      <c r="AG977" s="1457" t="str">
        <f t="shared" si="68"/>
        <v>23調査結果-上記以外の調査項目-7（17）-調査結果</v>
      </c>
      <c r="AI977" s="1459"/>
      <c r="AJ977" s="1459"/>
      <c r="AK977" s="1459"/>
    </row>
    <row r="978" spans="1:37" s="1457" customFormat="1" ht="18.75" customHeight="1" x14ac:dyDescent="0.15">
      <c r="A978" s="1578"/>
      <c r="B978" s="1462"/>
      <c r="C978" s="1462"/>
      <c r="D978" s="1460">
        <f>'1_入力シート【基本情報】'!$AR$513</f>
        <v>0</v>
      </c>
      <c r="E978" s="1650">
        <f t="shared" si="65"/>
        <v>0</v>
      </c>
      <c r="F978" s="1650" t="str">
        <f t="shared" si="66"/>
        <v>0</v>
      </c>
      <c r="G978" s="1650" t="str">
        <f t="shared" si="67"/>
        <v>0</v>
      </c>
      <c r="H978" s="1468"/>
      <c r="I978" s="1462"/>
      <c r="J978" s="1531"/>
      <c r="K978" s="1462"/>
      <c r="L978" s="1462"/>
      <c r="M978" s="1493"/>
      <c r="N978" s="1462"/>
      <c r="O978" s="1462"/>
      <c r="P978" s="1462"/>
      <c r="Q978" s="1462"/>
      <c r="R978" s="1462"/>
      <c r="S978" s="1462"/>
      <c r="T978" s="1462"/>
      <c r="U978" s="1469">
        <v>23</v>
      </c>
      <c r="V978" s="1486" t="s">
        <v>33</v>
      </c>
      <c r="W978" s="1471" t="s">
        <v>1306</v>
      </c>
      <c r="X978" s="1472" t="s">
        <v>148</v>
      </c>
      <c r="Y978" s="1473" t="s">
        <v>1306</v>
      </c>
      <c r="Z978" s="1474" t="s">
        <v>3229</v>
      </c>
      <c r="AA978" s="1473" t="s">
        <v>1306</v>
      </c>
      <c r="AB978" s="1470" t="s">
        <v>30</v>
      </c>
      <c r="AC978" s="1499"/>
      <c r="AD978" s="1500"/>
      <c r="AE978" s="1501"/>
      <c r="AF978" s="1501"/>
      <c r="AG978" s="1457" t="str">
        <f t="shared" si="68"/>
        <v>23調査結果-上記以外の調査項目-7（17）-調査者番号</v>
      </c>
      <c r="AI978" s="1459"/>
      <c r="AJ978" s="1459"/>
      <c r="AK978" s="1459"/>
    </row>
    <row r="979" spans="1:37" s="1457" customFormat="1" ht="18.75" customHeight="1" x14ac:dyDescent="0.15">
      <c r="A979" s="1578"/>
      <c r="B979" s="1462"/>
      <c r="C979" s="1462"/>
      <c r="D979" s="1800">
        <f>'1_入力シート【基本情報】'!$AT$513</f>
        <v>0</v>
      </c>
      <c r="E979" s="1650">
        <f t="shared" si="65"/>
        <v>0</v>
      </c>
      <c r="F979" s="1650" t="str">
        <f t="shared" si="66"/>
        <v>0</v>
      </c>
      <c r="G979" s="1650" t="str">
        <f t="shared" si="67"/>
        <v>0</v>
      </c>
      <c r="H979" s="1468"/>
      <c r="I979" s="1462"/>
      <c r="J979" s="1531"/>
      <c r="K979" s="1462"/>
      <c r="L979" s="1462"/>
      <c r="M979" s="1493"/>
      <c r="N979" s="1462"/>
      <c r="O979" s="1462"/>
      <c r="P979" s="1462"/>
      <c r="Q979" s="1462"/>
      <c r="R979" s="1462"/>
      <c r="S979" s="1462"/>
      <c r="T979" s="1462"/>
      <c r="U979" s="1469">
        <v>23</v>
      </c>
      <c r="V979" s="1486" t="s">
        <v>33</v>
      </c>
      <c r="W979" s="1471" t="s">
        <v>1306</v>
      </c>
      <c r="X979" s="1472" t="s">
        <v>148</v>
      </c>
      <c r="Y979" s="1473" t="s">
        <v>1306</v>
      </c>
      <c r="Z979" s="1474" t="s">
        <v>3229</v>
      </c>
      <c r="AA979" s="1473" t="s">
        <v>1306</v>
      </c>
      <c r="AB979" s="1470" t="s">
        <v>1402</v>
      </c>
      <c r="AC979" s="1499"/>
      <c r="AD979" s="1500"/>
      <c r="AE979" s="1501"/>
      <c r="AF979" s="1501"/>
      <c r="AG979" s="1457" t="str">
        <f t="shared" si="68"/>
        <v>23調査結果-上記以外の調査項目-7（17）-指摘の具体的内容等</v>
      </c>
      <c r="AI979" s="1459"/>
      <c r="AJ979" s="1459"/>
      <c r="AK979" s="1459"/>
    </row>
    <row r="980" spans="1:37" s="1457" customFormat="1" ht="18.75" customHeight="1" x14ac:dyDescent="0.15">
      <c r="A980" s="1578"/>
      <c r="B980" s="1462"/>
      <c r="C980" s="1462"/>
      <c r="D980" s="1800">
        <f>'1_入力シート【基本情報】'!$BD$513</f>
        <v>0</v>
      </c>
      <c r="E980" s="1650">
        <f t="shared" si="65"/>
        <v>0</v>
      </c>
      <c r="F980" s="1650" t="str">
        <f t="shared" si="66"/>
        <v>0</v>
      </c>
      <c r="G980" s="1650" t="str">
        <f t="shared" si="67"/>
        <v>0</v>
      </c>
      <c r="H980" s="1468"/>
      <c r="I980" s="1462"/>
      <c r="J980" s="1531"/>
      <c r="K980" s="1462"/>
      <c r="L980" s="1462"/>
      <c r="M980" s="1493"/>
      <c r="N980" s="1462"/>
      <c r="O980" s="1462"/>
      <c r="P980" s="1462"/>
      <c r="Q980" s="1462"/>
      <c r="R980" s="1462"/>
      <c r="S980" s="1462"/>
      <c r="T980" s="1462"/>
      <c r="U980" s="1469">
        <v>23</v>
      </c>
      <c r="V980" s="1486" t="s">
        <v>33</v>
      </c>
      <c r="W980" s="1471" t="s">
        <v>1306</v>
      </c>
      <c r="X980" s="1472" t="s">
        <v>148</v>
      </c>
      <c r="Y980" s="1473" t="s">
        <v>1306</v>
      </c>
      <c r="Z980" s="1474" t="s">
        <v>3229</v>
      </c>
      <c r="AA980" s="1473" t="s">
        <v>1306</v>
      </c>
      <c r="AB980" s="1470" t="s">
        <v>1403</v>
      </c>
      <c r="AC980" s="1499"/>
      <c r="AD980" s="1500"/>
      <c r="AE980" s="1501"/>
      <c r="AF980" s="1501"/>
      <c r="AG980" s="1457" t="str">
        <f t="shared" si="68"/>
        <v>23調査結果-上記以外の調査項目-7（17）-改善策の具体的内容等</v>
      </c>
      <c r="AI980" s="1459"/>
      <c r="AJ980" s="1459"/>
      <c r="AK980" s="1459"/>
    </row>
    <row r="981" spans="1:37" s="1457" customFormat="1" ht="18.75" customHeight="1" x14ac:dyDescent="0.15">
      <c r="A981" s="1578"/>
      <c r="B981" s="1462"/>
      <c r="C981" s="1462"/>
      <c r="D981" s="1460">
        <f>'1_入力シート【基本情報】'!$BS$513</f>
        <v>0</v>
      </c>
      <c r="E981" s="1650">
        <f t="shared" si="65"/>
        <v>0</v>
      </c>
      <c r="F981" s="1650" t="str">
        <f t="shared" si="66"/>
        <v>0</v>
      </c>
      <c r="G981" s="1650" t="str">
        <f t="shared" si="67"/>
        <v>0</v>
      </c>
      <c r="H981" s="1468"/>
      <c r="I981" s="1462"/>
      <c r="J981" s="1531"/>
      <c r="K981" s="1462"/>
      <c r="L981" s="1462"/>
      <c r="M981" s="1493"/>
      <c r="N981" s="1462"/>
      <c r="O981" s="1462"/>
      <c r="P981" s="1462"/>
      <c r="Q981" s="1462"/>
      <c r="R981" s="1462"/>
      <c r="S981" s="1462"/>
      <c r="T981" s="1462"/>
      <c r="U981" s="1469">
        <v>23</v>
      </c>
      <c r="V981" s="1486" t="s">
        <v>33</v>
      </c>
      <c r="W981" s="1471" t="s">
        <v>1306</v>
      </c>
      <c r="X981" s="1472" t="s">
        <v>148</v>
      </c>
      <c r="Y981" s="1473" t="s">
        <v>1306</v>
      </c>
      <c r="Z981" s="1474" t="s">
        <v>3229</v>
      </c>
      <c r="AA981" s="1473" t="s">
        <v>1306</v>
      </c>
      <c r="AB981" s="1470" t="s">
        <v>352</v>
      </c>
      <c r="AC981" s="1499" t="s">
        <v>1366</v>
      </c>
      <c r="AD981" s="1500" t="s">
        <v>1387</v>
      </c>
      <c r="AE981" s="1501"/>
      <c r="AF981" s="1501"/>
      <c r="AG981" s="1457" t="str">
        <f t="shared" si="68"/>
        <v>23調査結果-上記以外の調査項目-7（17）-改善（予定）年月-年（令和）</v>
      </c>
      <c r="AI981" s="1459"/>
      <c r="AJ981" s="1459"/>
      <c r="AK981" s="1459"/>
    </row>
    <row r="982" spans="1:37" s="1457" customFormat="1" ht="18.75" customHeight="1" x14ac:dyDescent="0.15">
      <c r="A982" s="1578"/>
      <c r="B982" s="1462"/>
      <c r="C982" s="1462"/>
      <c r="D982" s="1460">
        <f>'1_入力シート【基本情報】'!$BV$513</f>
        <v>0</v>
      </c>
      <c r="E982" s="1650">
        <f t="shared" si="65"/>
        <v>0</v>
      </c>
      <c r="F982" s="1650" t="str">
        <f t="shared" si="66"/>
        <v>0</v>
      </c>
      <c r="G982" s="1650" t="str">
        <f t="shared" si="67"/>
        <v>0</v>
      </c>
      <c r="H982" s="1468"/>
      <c r="I982" s="1462"/>
      <c r="J982" s="1531"/>
      <c r="K982" s="1462"/>
      <c r="L982" s="1462"/>
      <c r="M982" s="1493"/>
      <c r="N982" s="1462"/>
      <c r="O982" s="1462"/>
      <c r="P982" s="1462"/>
      <c r="Q982" s="1462"/>
      <c r="R982" s="1462"/>
      <c r="S982" s="1462"/>
      <c r="T982" s="1462"/>
      <c r="U982" s="1469">
        <v>23</v>
      </c>
      <c r="V982" s="1486" t="s">
        <v>33</v>
      </c>
      <c r="W982" s="1471" t="s">
        <v>1306</v>
      </c>
      <c r="X982" s="1472" t="s">
        <v>148</v>
      </c>
      <c r="Y982" s="1473" t="s">
        <v>1306</v>
      </c>
      <c r="Z982" s="1474" t="s">
        <v>3229</v>
      </c>
      <c r="AA982" s="1473" t="s">
        <v>1306</v>
      </c>
      <c r="AB982" s="1486" t="s">
        <v>352</v>
      </c>
      <c r="AC982" s="1499" t="s">
        <v>1366</v>
      </c>
      <c r="AD982" s="1500" t="s">
        <v>348</v>
      </c>
      <c r="AE982" s="1501"/>
      <c r="AF982" s="1501"/>
      <c r="AG982" s="1457" t="str">
        <f t="shared" si="68"/>
        <v>23調査結果-上記以外の調査項目-7（17）-改善（予定）年月-月</v>
      </c>
      <c r="AI982" s="1459"/>
      <c r="AJ982" s="1459"/>
      <c r="AK982" s="1459"/>
    </row>
    <row r="983" spans="1:37" s="1457" customFormat="1" ht="18.75" customHeight="1" x14ac:dyDescent="0.15">
      <c r="A983" s="1578"/>
      <c r="B983" s="1462"/>
      <c r="C983" s="1462"/>
      <c r="D983" s="1460">
        <f>'1_入力シート【基本情報】'!$BY$513</f>
        <v>0</v>
      </c>
      <c r="E983" s="1650">
        <f t="shared" si="65"/>
        <v>0</v>
      </c>
      <c r="F983" s="1650" t="str">
        <f t="shared" si="66"/>
        <v>0</v>
      </c>
      <c r="G983" s="1650" t="str">
        <f t="shared" si="67"/>
        <v>0</v>
      </c>
      <c r="H983" s="1468"/>
      <c r="I983" s="1462"/>
      <c r="J983" s="1531"/>
      <c r="K983" s="1462"/>
      <c r="L983" s="1462"/>
      <c r="M983" s="1493"/>
      <c r="N983" s="1462"/>
      <c r="O983" s="1462"/>
      <c r="P983" s="1462"/>
      <c r="Q983" s="1462"/>
      <c r="R983" s="1462"/>
      <c r="S983" s="1462"/>
      <c r="T983" s="1462"/>
      <c r="U983" s="1469">
        <v>23</v>
      </c>
      <c r="V983" s="1486" t="s">
        <v>33</v>
      </c>
      <c r="W983" s="1471" t="s">
        <v>1306</v>
      </c>
      <c r="X983" s="1472" t="s">
        <v>148</v>
      </c>
      <c r="Y983" s="1473" t="s">
        <v>1306</v>
      </c>
      <c r="Z983" s="1474" t="s">
        <v>3229</v>
      </c>
      <c r="AA983" s="1473" t="s">
        <v>1306</v>
      </c>
      <c r="AB983" s="1486" t="s">
        <v>352</v>
      </c>
      <c r="AC983" s="1499" t="s">
        <v>1366</v>
      </c>
      <c r="AD983" s="1500" t="s">
        <v>640</v>
      </c>
      <c r="AE983" s="1501"/>
      <c r="AF983" s="1501"/>
      <c r="AG983" s="1457" t="str">
        <f t="shared" si="68"/>
        <v>23調査結果-上記以外の調査項目-7（17）-改善（予定）年月-未定</v>
      </c>
      <c r="AI983" s="1459"/>
      <c r="AJ983" s="1459"/>
      <c r="AK983" s="1459"/>
    </row>
    <row r="984" spans="1:37" s="1457" customFormat="1" ht="18.75" customHeight="1" x14ac:dyDescent="0.15">
      <c r="A984" s="1578"/>
      <c r="B984" s="1462"/>
      <c r="C984" s="1462"/>
      <c r="D984" s="1460">
        <f>'1_入力シート【基本情報】'!$AF$514</f>
        <v>0</v>
      </c>
      <c r="E984" s="1650">
        <f t="shared" si="65"/>
        <v>0</v>
      </c>
      <c r="F984" s="1650" t="str">
        <f t="shared" si="66"/>
        <v>0</v>
      </c>
      <c r="G984" s="1650" t="str">
        <f t="shared" si="67"/>
        <v>0</v>
      </c>
      <c r="H984" s="1468"/>
      <c r="I984" s="1462"/>
      <c r="J984" s="1531"/>
      <c r="K984" s="1462"/>
      <c r="L984" s="1462"/>
      <c r="M984" s="1493"/>
      <c r="N984" s="1462"/>
      <c r="O984" s="1462"/>
      <c r="P984" s="1462"/>
      <c r="Q984" s="1462"/>
      <c r="R984" s="1462"/>
      <c r="S984" s="1462"/>
      <c r="T984" s="1462"/>
      <c r="U984" s="1469">
        <v>23</v>
      </c>
      <c r="V984" s="1486" t="s">
        <v>33</v>
      </c>
      <c r="W984" s="1471" t="s">
        <v>1306</v>
      </c>
      <c r="X984" s="1472" t="s">
        <v>148</v>
      </c>
      <c r="Y984" s="1473" t="s">
        <v>1306</v>
      </c>
      <c r="Z984" s="1474" t="s">
        <v>3230</v>
      </c>
      <c r="AA984" s="1473" t="s">
        <v>1306</v>
      </c>
      <c r="AB984" s="1470" t="s">
        <v>33</v>
      </c>
      <c r="AC984" s="1475"/>
      <c r="AD984" s="1476"/>
      <c r="AE984" s="1501"/>
      <c r="AF984" s="1501"/>
      <c r="AG984" s="1457" t="str">
        <f t="shared" si="68"/>
        <v>23調査結果-上記以外の調査項目-7（18）-調査結果</v>
      </c>
      <c r="AI984" s="1459"/>
      <c r="AJ984" s="1459"/>
      <c r="AK984" s="1459"/>
    </row>
    <row r="985" spans="1:37" s="1457" customFormat="1" ht="18.75" customHeight="1" x14ac:dyDescent="0.15">
      <c r="A985" s="1578"/>
      <c r="B985" s="1462"/>
      <c r="C985" s="1462"/>
      <c r="D985" s="1460">
        <f>'1_入力シート【基本情報】'!$AR$514</f>
        <v>0</v>
      </c>
      <c r="E985" s="1650">
        <f t="shared" si="65"/>
        <v>0</v>
      </c>
      <c r="F985" s="1650" t="str">
        <f t="shared" si="66"/>
        <v>0</v>
      </c>
      <c r="G985" s="1650" t="str">
        <f t="shared" si="67"/>
        <v>0</v>
      </c>
      <c r="H985" s="1468"/>
      <c r="I985" s="1462"/>
      <c r="J985" s="1531"/>
      <c r="K985" s="1462"/>
      <c r="L985" s="1462"/>
      <c r="M985" s="1493"/>
      <c r="N985" s="1462"/>
      <c r="O985" s="1462"/>
      <c r="P985" s="1462"/>
      <c r="Q985" s="1462"/>
      <c r="R985" s="1462"/>
      <c r="S985" s="1462"/>
      <c r="T985" s="1462"/>
      <c r="U985" s="1469">
        <v>23</v>
      </c>
      <c r="V985" s="1486" t="s">
        <v>33</v>
      </c>
      <c r="W985" s="1471" t="s">
        <v>1306</v>
      </c>
      <c r="X985" s="1472" t="s">
        <v>148</v>
      </c>
      <c r="Y985" s="1473" t="s">
        <v>1306</v>
      </c>
      <c r="Z985" s="1474" t="s">
        <v>3230</v>
      </c>
      <c r="AA985" s="1473" t="s">
        <v>1306</v>
      </c>
      <c r="AB985" s="1470" t="s">
        <v>30</v>
      </c>
      <c r="AC985" s="1499"/>
      <c r="AD985" s="1500"/>
      <c r="AE985" s="1501"/>
      <c r="AF985" s="1501"/>
      <c r="AG985" s="1457" t="str">
        <f t="shared" si="68"/>
        <v>23調査結果-上記以外の調査項目-7（18）-調査者番号</v>
      </c>
      <c r="AI985" s="1459"/>
      <c r="AJ985" s="1459"/>
      <c r="AK985" s="1459"/>
    </row>
    <row r="986" spans="1:37" s="1457" customFormat="1" ht="18.75" customHeight="1" x14ac:dyDescent="0.15">
      <c r="A986" s="1578"/>
      <c r="B986" s="1462"/>
      <c r="C986" s="1462"/>
      <c r="D986" s="1800">
        <f>'1_入力シート【基本情報】'!$AT$514</f>
        <v>0</v>
      </c>
      <c r="E986" s="1650">
        <f t="shared" si="65"/>
        <v>0</v>
      </c>
      <c r="F986" s="1650" t="str">
        <f t="shared" si="66"/>
        <v>0</v>
      </c>
      <c r="G986" s="1650" t="str">
        <f t="shared" si="67"/>
        <v>0</v>
      </c>
      <c r="H986" s="1468"/>
      <c r="I986" s="1462"/>
      <c r="J986" s="1531"/>
      <c r="K986" s="1462"/>
      <c r="L986" s="1462"/>
      <c r="M986" s="1493"/>
      <c r="N986" s="1462"/>
      <c r="O986" s="1462"/>
      <c r="P986" s="1462"/>
      <c r="Q986" s="1462"/>
      <c r="R986" s="1462"/>
      <c r="S986" s="1462"/>
      <c r="T986" s="1462"/>
      <c r="U986" s="1469">
        <v>23</v>
      </c>
      <c r="V986" s="1486" t="s">
        <v>33</v>
      </c>
      <c r="W986" s="1471" t="s">
        <v>1306</v>
      </c>
      <c r="X986" s="1472" t="s">
        <v>148</v>
      </c>
      <c r="Y986" s="1473" t="s">
        <v>1306</v>
      </c>
      <c r="Z986" s="1474" t="s">
        <v>3230</v>
      </c>
      <c r="AA986" s="1473" t="s">
        <v>1306</v>
      </c>
      <c r="AB986" s="1470" t="s">
        <v>1402</v>
      </c>
      <c r="AC986" s="1499"/>
      <c r="AD986" s="1500"/>
      <c r="AE986" s="1501"/>
      <c r="AF986" s="1501"/>
      <c r="AG986" s="1457" t="str">
        <f t="shared" si="68"/>
        <v>23調査結果-上記以外の調査項目-7（18）-指摘の具体的内容等</v>
      </c>
      <c r="AI986" s="1459"/>
      <c r="AJ986" s="1459"/>
      <c r="AK986" s="1459"/>
    </row>
    <row r="987" spans="1:37" s="1457" customFormat="1" ht="18.75" customHeight="1" x14ac:dyDescent="0.15">
      <c r="A987" s="1578"/>
      <c r="B987" s="1462"/>
      <c r="C987" s="1462"/>
      <c r="D987" s="1800">
        <f>'1_入力シート【基本情報】'!$BD$514</f>
        <v>0</v>
      </c>
      <c r="E987" s="1650">
        <f t="shared" si="65"/>
        <v>0</v>
      </c>
      <c r="F987" s="1650" t="str">
        <f t="shared" si="66"/>
        <v>0</v>
      </c>
      <c r="G987" s="1650" t="str">
        <f t="shared" si="67"/>
        <v>0</v>
      </c>
      <c r="H987" s="1468"/>
      <c r="I987" s="1462"/>
      <c r="J987" s="1531"/>
      <c r="K987" s="1462"/>
      <c r="L987" s="1462"/>
      <c r="M987" s="1493"/>
      <c r="N987" s="1462"/>
      <c r="O987" s="1462"/>
      <c r="P987" s="1462"/>
      <c r="Q987" s="1462"/>
      <c r="R987" s="1462"/>
      <c r="S987" s="1462"/>
      <c r="T987" s="1462"/>
      <c r="U987" s="1469">
        <v>23</v>
      </c>
      <c r="V987" s="1486" t="s">
        <v>33</v>
      </c>
      <c r="W987" s="1471" t="s">
        <v>1306</v>
      </c>
      <c r="X987" s="1472" t="s">
        <v>148</v>
      </c>
      <c r="Y987" s="1473" t="s">
        <v>1306</v>
      </c>
      <c r="Z987" s="1474" t="s">
        <v>3230</v>
      </c>
      <c r="AA987" s="1473" t="s">
        <v>1306</v>
      </c>
      <c r="AB987" s="1470" t="s">
        <v>1403</v>
      </c>
      <c r="AC987" s="1499"/>
      <c r="AD987" s="1500"/>
      <c r="AE987" s="1501"/>
      <c r="AF987" s="1501"/>
      <c r="AG987" s="1457" t="str">
        <f t="shared" si="68"/>
        <v>23調査結果-上記以外の調査項目-7（18）-改善策の具体的内容等</v>
      </c>
      <c r="AI987" s="1459"/>
      <c r="AJ987" s="1459"/>
      <c r="AK987" s="1459"/>
    </row>
    <row r="988" spans="1:37" s="1457" customFormat="1" ht="18.75" customHeight="1" x14ac:dyDescent="0.15">
      <c r="A988" s="1578"/>
      <c r="B988" s="1462"/>
      <c r="C988" s="1462"/>
      <c r="D988" s="1460">
        <f>'1_入力シート【基本情報】'!$BS$514</f>
        <v>0</v>
      </c>
      <c r="E988" s="1650">
        <f t="shared" si="65"/>
        <v>0</v>
      </c>
      <c r="F988" s="1650" t="str">
        <f t="shared" si="66"/>
        <v>0</v>
      </c>
      <c r="G988" s="1650" t="str">
        <f t="shared" si="67"/>
        <v>0</v>
      </c>
      <c r="H988" s="1468"/>
      <c r="I988" s="1462"/>
      <c r="J988" s="1531"/>
      <c r="K988" s="1462"/>
      <c r="L988" s="1462"/>
      <c r="M988" s="1493"/>
      <c r="N988" s="1462"/>
      <c r="O988" s="1462"/>
      <c r="P988" s="1462"/>
      <c r="Q988" s="1462"/>
      <c r="R988" s="1462"/>
      <c r="S988" s="1462"/>
      <c r="T988" s="1462"/>
      <c r="U988" s="1469">
        <v>23</v>
      </c>
      <c r="V988" s="1486" t="s">
        <v>33</v>
      </c>
      <c r="W988" s="1471" t="s">
        <v>1306</v>
      </c>
      <c r="X988" s="1472" t="s">
        <v>148</v>
      </c>
      <c r="Y988" s="1473" t="s">
        <v>1306</v>
      </c>
      <c r="Z988" s="1474" t="s">
        <v>3230</v>
      </c>
      <c r="AA988" s="1473" t="s">
        <v>1306</v>
      </c>
      <c r="AB988" s="1470" t="s">
        <v>352</v>
      </c>
      <c r="AC988" s="1499" t="s">
        <v>1366</v>
      </c>
      <c r="AD988" s="1500" t="s">
        <v>1387</v>
      </c>
      <c r="AE988" s="1501"/>
      <c r="AF988" s="1501"/>
      <c r="AG988" s="1457" t="str">
        <f t="shared" si="68"/>
        <v>23調査結果-上記以外の調査項目-7（18）-改善（予定）年月-年（令和）</v>
      </c>
      <c r="AI988" s="1459"/>
      <c r="AJ988" s="1459"/>
      <c r="AK988" s="1459"/>
    </row>
    <row r="989" spans="1:37" s="1457" customFormat="1" ht="18.75" customHeight="1" x14ac:dyDescent="0.15">
      <c r="A989" s="1578"/>
      <c r="B989" s="1462"/>
      <c r="C989" s="1462"/>
      <c r="D989" s="1460">
        <f>'1_入力シート【基本情報】'!$BV$514</f>
        <v>0</v>
      </c>
      <c r="E989" s="1650">
        <f t="shared" si="65"/>
        <v>0</v>
      </c>
      <c r="F989" s="1650" t="str">
        <f t="shared" si="66"/>
        <v>0</v>
      </c>
      <c r="G989" s="1650" t="str">
        <f t="shared" si="67"/>
        <v>0</v>
      </c>
      <c r="H989" s="1468"/>
      <c r="I989" s="1462"/>
      <c r="J989" s="1531"/>
      <c r="K989" s="1462"/>
      <c r="L989" s="1462"/>
      <c r="M989" s="1493"/>
      <c r="N989" s="1462"/>
      <c r="O989" s="1462"/>
      <c r="P989" s="1462"/>
      <c r="Q989" s="1462"/>
      <c r="R989" s="1462"/>
      <c r="S989" s="1462"/>
      <c r="T989" s="1462"/>
      <c r="U989" s="1469">
        <v>23</v>
      </c>
      <c r="V989" s="1486" t="s">
        <v>33</v>
      </c>
      <c r="W989" s="1471" t="s">
        <v>1306</v>
      </c>
      <c r="X989" s="1472" t="s">
        <v>148</v>
      </c>
      <c r="Y989" s="1473" t="s">
        <v>1306</v>
      </c>
      <c r="Z989" s="1474" t="s">
        <v>3230</v>
      </c>
      <c r="AA989" s="1473" t="s">
        <v>1306</v>
      </c>
      <c r="AB989" s="1486" t="s">
        <v>352</v>
      </c>
      <c r="AC989" s="1499" t="s">
        <v>1366</v>
      </c>
      <c r="AD989" s="1500" t="s">
        <v>348</v>
      </c>
      <c r="AE989" s="1501"/>
      <c r="AF989" s="1501"/>
      <c r="AG989" s="1457" t="str">
        <f t="shared" si="68"/>
        <v>23調査結果-上記以外の調査項目-7（18）-改善（予定）年月-月</v>
      </c>
      <c r="AI989" s="1459"/>
      <c r="AJ989" s="1459"/>
      <c r="AK989" s="1459"/>
    </row>
    <row r="990" spans="1:37" s="1457" customFormat="1" ht="18.75" customHeight="1" x14ac:dyDescent="0.15">
      <c r="A990" s="1578"/>
      <c r="B990" s="1462"/>
      <c r="C990" s="1462"/>
      <c r="D990" s="1460">
        <f>'1_入力シート【基本情報】'!$BY$514</f>
        <v>0</v>
      </c>
      <c r="E990" s="1650">
        <f t="shared" si="65"/>
        <v>0</v>
      </c>
      <c r="F990" s="1650" t="str">
        <f t="shared" si="66"/>
        <v>0</v>
      </c>
      <c r="G990" s="1650" t="str">
        <f t="shared" si="67"/>
        <v>0</v>
      </c>
      <c r="H990" s="1468"/>
      <c r="I990" s="1462"/>
      <c r="J990" s="1531"/>
      <c r="K990" s="1462"/>
      <c r="L990" s="1462"/>
      <c r="M990" s="1493"/>
      <c r="N990" s="1462"/>
      <c r="O990" s="1462"/>
      <c r="P990" s="1462"/>
      <c r="Q990" s="1462"/>
      <c r="R990" s="1462"/>
      <c r="S990" s="1462"/>
      <c r="T990" s="1462"/>
      <c r="U990" s="1469">
        <v>23</v>
      </c>
      <c r="V990" s="1486" t="s">
        <v>33</v>
      </c>
      <c r="W990" s="1471" t="s">
        <v>1306</v>
      </c>
      <c r="X990" s="1472" t="s">
        <v>148</v>
      </c>
      <c r="Y990" s="1473" t="s">
        <v>1306</v>
      </c>
      <c r="Z990" s="1474" t="s">
        <v>3230</v>
      </c>
      <c r="AA990" s="1473" t="s">
        <v>1306</v>
      </c>
      <c r="AB990" s="1486" t="s">
        <v>352</v>
      </c>
      <c r="AC990" s="1499" t="s">
        <v>1366</v>
      </c>
      <c r="AD990" s="1500" t="s">
        <v>640</v>
      </c>
      <c r="AE990" s="1501"/>
      <c r="AF990" s="1501"/>
      <c r="AG990" s="1457" t="str">
        <f t="shared" si="68"/>
        <v>23調査結果-上記以外の調査項目-7（18）-改善（予定）年月-未定</v>
      </c>
      <c r="AI990" s="1459"/>
      <c r="AJ990" s="1459"/>
      <c r="AK990" s="1459"/>
    </row>
  </sheetData>
  <phoneticPr fontId="3"/>
  <conditionalFormatting sqref="C1:AD990">
    <cfRule type="expression" dxfId="456" priority="1">
      <formula>$AB1="調査結果"</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8FE5B-48E1-4831-BDC7-AB2CD6DF6C77}">
  <dimension ref="A1:ABP2"/>
  <sheetViews>
    <sheetView workbookViewId="0"/>
  </sheetViews>
  <sheetFormatPr defaultRowHeight="13.5" x14ac:dyDescent="0.15"/>
  <sheetData>
    <row r="1" spans="1:744" x14ac:dyDescent="0.15">
      <c r="A1" t="str" cm="1">
        <f t="array" ref="A1:ABP1">TRANSPOSE(リンクシート_全て_調査結果以外!AG4:AG747)</f>
        <v>0報告年-和暦</v>
      </c>
      <c r="B1" t="str">
        <v>0報告年-年</v>
      </c>
      <c r="C1" t="str">
        <v>0報告年-西暦</v>
      </c>
      <c r="D1" t="str">
        <v>0報告日-令和</v>
      </c>
      <c r="E1" t="str">
        <v>0報告日-年</v>
      </c>
      <c r="F1" t="str">
        <v>0報告日-月</v>
      </c>
      <c r="G1" t="str">
        <v>0報告日-日</v>
      </c>
      <c r="H1" t="str">
        <v>1報告対象建築物-ID-1</v>
      </c>
      <c r="I1" t="str">
        <v>1報告対象建築物-ID-2</v>
      </c>
      <c r="J1" t="str">
        <v>1報告対象建築物-ID-3</v>
      </c>
      <c r="K1" t="str">
        <v>1報告対象建築物-建築名称-建築名称</v>
      </c>
      <c r="L1" t="str">
        <v>1報告対象建築物-建物所在地-区町村</v>
      </c>
      <c r="M1" t="str">
        <v>1報告対象建築物-建物所在地-区以降</v>
      </c>
      <c r="N1" t="str">
        <v>1報告対象建築物-建物所在地-大字・町名</v>
      </c>
      <c r="O1" t="str">
        <v>1報告対象建築物-建物所在地-番地など</v>
      </c>
      <c r="P1" t="str">
        <v>2報告内容に関する問合せ先-法人名-法人名</v>
      </c>
      <c r="Q1" t="str">
        <v>2報告内容に関する問合せ先-氏名-氏名</v>
      </c>
      <c r="R1" t="str">
        <v>2報告内容に関する問合せ先-郵便番号</v>
      </c>
      <c r="S1" t="str">
        <v>2報告内容に関する問合せ先-住所</v>
      </c>
      <c r="T1" t="str">
        <v>2報告内容に関する問合せ先-電話番号</v>
      </c>
      <c r="U1" t="str">
        <v>2報告内容に関する問合せ先-メールアドレス（半角）</v>
      </c>
      <c r="V1" t="str">
        <v>3所有者-所有者氏名-法人名</v>
      </c>
      <c r="W1" t="str">
        <v>3所有者-所有者氏名-肩書</v>
      </c>
      <c r="X1" t="str">
        <v>3所有者-所有者氏名-氏名</v>
      </c>
      <c r="Y1" t="str">
        <v>3所有者-郵便番号</v>
      </c>
      <c r="Z1" t="str">
        <v>3所有者-住所</v>
      </c>
      <c r="AA1" t="str">
        <v>3所有者-電話番号</v>
      </c>
      <c r="AB1" t="str">
        <v>3所有者2-所有者2氏名-法人名</v>
      </c>
      <c r="AC1" t="str">
        <v>3所有者2-所有者2氏名-肩書</v>
      </c>
      <c r="AD1" t="str">
        <v>3所有者2-所有者2氏名-氏名</v>
      </c>
      <c r="AE1" t="str">
        <v>4管理者-管理者氏名-法人名</v>
      </c>
      <c r="AF1" t="str">
        <v>4管理者-管理者氏名-肩書</v>
      </c>
      <c r="AG1" t="str">
        <v>4管理者-管理者氏名-氏名</v>
      </c>
      <c r="AH1" t="str">
        <v>4管理者-郵便番号</v>
      </c>
      <c r="AI1" t="str">
        <v>4管理者-住所</v>
      </c>
      <c r="AJ1" t="str">
        <v>4管理者-電話番号</v>
      </c>
      <c r="AK1" t="str">
        <v>4管理者-メールアドレス（半角）</v>
      </c>
      <c r="AL1" t="str">
        <v>5代表となる調査者-資格-資格名称</v>
      </c>
      <c r="AM1" t="str">
        <v>5代表となる調査者-資格-建築士-登録</v>
      </c>
      <c r="AN1" t="str">
        <v>5代表となる調査者-資格-建築士-号</v>
      </c>
      <c r="AO1" t="str">
        <v>5代表となる調査者-資格-特定建築物調査員-号</v>
      </c>
      <c r="AP1" t="str">
        <v>5代表となる調査者-氏名-氏名</v>
      </c>
      <c r="AQ1" t="str">
        <v>5代表となる調査者-勤務先-名称</v>
      </c>
      <c r="AR1" t="str">
        <v>5代表となる調査者-勤務先-事務所登録-建築士事務所</v>
      </c>
      <c r="AS1" t="str">
        <v>5代表となる調査者-勤務先-事務所登録-知事登録</v>
      </c>
      <c r="AT1" t="str">
        <v>5代表となる調査者-勤務先-事務所登録-号</v>
      </c>
      <c r="AU1" t="str">
        <v>5代表となる調査者-勤務先郵便番号</v>
      </c>
      <c r="AV1" t="str">
        <v>5代表となる調査者-勤務先-所在地</v>
      </c>
      <c r="AW1" t="str">
        <v>5代表となる調査者-勤務先-電話番号</v>
      </c>
      <c r="AX1" t="str">
        <v>6その他の調査者1-資格-資格名称</v>
      </c>
      <c r="AY1" t="str">
        <v>6その他の調査者1-資格-建築士-登録</v>
      </c>
      <c r="AZ1" t="str">
        <v>6その他の調査者1-資格-建築士-号</v>
      </c>
      <c r="BA1" t="str">
        <v>6その他の調査者1-資格-特定建築物調査員</v>
      </c>
      <c r="BB1" t="str">
        <v>6その他の調査者1-氏名-氏名</v>
      </c>
      <c r="BC1" t="str">
        <v>6その他の調査者1-勤務先-名称</v>
      </c>
      <c r="BD1" t="str">
        <v>6その他の調査者1-勤務先-事務所登録-建築士事務所</v>
      </c>
      <c r="BE1" t="str">
        <v>6その他の調査者1-勤務先-事務所登録-知事登録</v>
      </c>
      <c r="BF1" t="str">
        <v>6その他の調査者1-勤務先-事務所登録-号</v>
      </c>
      <c r="BG1" t="str">
        <v>6その他の調査者1-勤務先-郵便番号</v>
      </c>
      <c r="BH1" t="str">
        <v>6その他の調査者1-勤務先-所在地</v>
      </c>
      <c r="BI1" t="str">
        <v>6その他の調査者1-勤務先-電話番号</v>
      </c>
      <c r="BJ1" t="str">
        <v>7その他の調査者2-資格-資格名称</v>
      </c>
      <c r="BK1" t="str">
        <v>7その他の調査者2-資格-建築士-登録</v>
      </c>
      <c r="BL1" t="str">
        <v>7その他の調査者2-資格-建築士-号</v>
      </c>
      <c r="BM1" t="str">
        <v>7その他の調査者2-資格-特定建築物調査員-号</v>
      </c>
      <c r="BN1" t="str">
        <v>7その他の調査者2-氏名-氏名</v>
      </c>
      <c r="BO1" t="str">
        <v>7その他の調査者2-勤務先-名称</v>
      </c>
      <c r="BP1" t="str">
        <v>7その他の調査者2-勤務先-事務所登録-建築士事務所</v>
      </c>
      <c r="BQ1" t="str">
        <v>7その他の調査者2-勤務先-事務所登録-知事登録</v>
      </c>
      <c r="BR1" t="str">
        <v>7その他の調査者2-勤務先-事務所登録-号</v>
      </c>
      <c r="BS1" t="str">
        <v>7その他の調査者2-勤務先-郵便番号</v>
      </c>
      <c r="BT1" t="str">
        <v>7その他の調査者2-勤務先-所在地</v>
      </c>
      <c r="BU1" t="str">
        <v>7その他の調査者2-勤務先-電話番号</v>
      </c>
      <c r="BV1" t="str">
        <v>8敷地の位置-防火地域等-防火地域等 1</v>
      </c>
      <c r="BW1" t="str">
        <v>8敷地の位置-防火地域等-防火地域等 2</v>
      </c>
      <c r="BX1" t="str">
        <v>8敷地の位置-防火地域等-防火地域等 3</v>
      </c>
      <c r="BY1" t="str">
        <v>8敷地の位置-防火地域等-その他</v>
      </c>
      <c r="BZ1" t="str">
        <v>8敷地の位置-用途地域-用途地域 1</v>
      </c>
      <c r="CA1" t="str">
        <v>8敷地の位置-用途地域-用途地域 2</v>
      </c>
      <c r="CB1" t="str">
        <v>8敷地の位置-用途地域-用途地域 3</v>
      </c>
      <c r="CC1" t="str">
        <v>9建物及びその敷地の概要-構造-構造 1</v>
      </c>
      <c r="CD1" t="str">
        <v>9建物及びその敷地の概要-構造-構造 2</v>
      </c>
      <c r="CE1" t="str">
        <v>9建物及びその敷地の概要-構造-構造 3</v>
      </c>
      <c r="CF1" t="str">
        <v>9建物及びその敷地の概要-構造-その他</v>
      </c>
      <c r="CG1" t="str">
        <v>9建物及びその敷地の概要-階数-地上-階</v>
      </c>
      <c r="CH1" t="str">
        <v>9建物及びその敷地の概要-階数-地下-階</v>
      </c>
      <c r="CI1" t="str">
        <v>9建物及びその敷地の概要-敷地面積-㎡</v>
      </c>
      <c r="CJ1" t="str">
        <v>9建物及びその敷地の概要-建築面積-㎡</v>
      </c>
      <c r="CK1" t="str">
        <v>10性能検証法等の適用-耐火性能検証法</v>
      </c>
      <c r="CL1" t="str">
        <v>10性能検証法等の適用-防火区画検証法</v>
      </c>
      <c r="CM1" t="str">
        <v>10性能検証法等の適用-区画避難安全検証法</v>
      </c>
      <c r="CN1" t="str">
        <v>10性能検証法等の適用-区画避難安全検証法-階</v>
      </c>
      <c r="CO1" t="str">
        <v>10性能検証法等の適用-階避難安全検証法</v>
      </c>
      <c r="CP1" t="str">
        <v>10性能検証法等の適用-階避難安全検証法-階</v>
      </c>
      <c r="CQ1" t="str">
        <v>10性能検証法等の適用-全館避難安全検証法</v>
      </c>
      <c r="CR1" t="str">
        <v>10性能検証法等の適用-その他</v>
      </c>
      <c r="CS1" t="str">
        <v>10性能検証法等の適用-その他-詳細</v>
      </c>
      <c r="CT1" t="str">
        <v>11増築、改築、用途変更等の経過-年月日-元号_1</v>
      </c>
      <c r="CU1" t="str">
        <v>11増築、改築、用途変更等の経過-年月日-年1</v>
      </c>
      <c r="CV1" t="str">
        <v>11増築、改築、用途変更等の経過-年月日-月1</v>
      </c>
      <c r="CW1" t="str">
        <v>11増築、改築、用途変更等の経過-年月日-日1</v>
      </c>
      <c r="CX1" t="str">
        <v>11増築、改築、用途変更等の経過-工事種別1</v>
      </c>
      <c r="CY1" t="str">
        <v>11増築、改築、用途変更等の経過-概要1</v>
      </c>
      <c r="CZ1" t="str">
        <v>11増築、改築、用途変更等の経過-年月日-元号_2</v>
      </c>
      <c r="DA1" t="str">
        <v>11増築、改築、用途変更等の経過-年月日-年2</v>
      </c>
      <c r="DB1" t="str">
        <v>11増築、改築、用途変更等の経過-年月日-月2</v>
      </c>
      <c r="DC1" t="str">
        <v>11増築、改築、用途変更等の経過-年月日-日2</v>
      </c>
      <c r="DD1" t="str">
        <v>11増築、改築、用途変更等の経過-工事種別2</v>
      </c>
      <c r="DE1" t="str">
        <v>11増築、改築、用途変更等の経過-概要2</v>
      </c>
      <c r="DF1" t="str">
        <v>11増築、改築、用途変更等の経過-年月日-元号_3</v>
      </c>
      <c r="DG1" t="str">
        <v>11増築、改築、用途変更等の経過-年月日-年3</v>
      </c>
      <c r="DH1" t="str">
        <v>11増築、改築、用途変更等の経過-年月日-月3</v>
      </c>
      <c r="DI1" t="str">
        <v>11増築、改築、用途変更等の経過-年月日-日3</v>
      </c>
      <c r="DJ1" t="str">
        <v>11増築、改築、用途変更等の経過-工事種別3</v>
      </c>
      <c r="DK1" t="str">
        <v>11増築、改築、用途変更等の経過-概要3</v>
      </c>
      <c r="DL1" t="str">
        <v>11増築、改築、用途変更等の経過-年月日-元号_4</v>
      </c>
      <c r="DM1" t="str">
        <v>11増築、改築、用途変更等の経過-年月日-年4</v>
      </c>
      <c r="DN1" t="str">
        <v>11増築、改築、用途変更等の経過-年月日-月4</v>
      </c>
      <c r="DO1" t="str">
        <v>11増築、改築、用途変更等の経過-年月日-日4</v>
      </c>
      <c r="DP1" t="str">
        <v>11増築、改築、用途変更等の経過-工事種別4</v>
      </c>
      <c r="DQ1" t="str">
        <v>11増築、改築、用途変更等の経過-概要4</v>
      </c>
      <c r="DR1" t="str">
        <v>12関連図書の整備-直近の確認申請-確認に要した図書</v>
      </c>
      <c r="DS1" t="str">
        <v>12関連図書の整備-直近の確認申請-確認-確認済証の有無</v>
      </c>
      <c r="DT1" t="str">
        <v>12関連図書の整備-直近の確認申請-確認-工事種別</v>
      </c>
      <c r="DU1" t="str">
        <v>12関連図書の整備-直近の確認申請-確認-交付年月日-元号</v>
      </c>
      <c r="DV1" t="str">
        <v>12関連図書の整備-直近の確認申請-確認-交付年月日-年</v>
      </c>
      <c r="DW1" t="str">
        <v>12関連図書の整備-直近の確認申請-確認-交付年月日-月</v>
      </c>
      <c r="DX1" t="str">
        <v>12関連図書の整備-直近の確認申請-確認-交付年月日-日</v>
      </c>
      <c r="DY1" t="str">
        <v>12関連図書の整備-直近の確認申請-確認-交付年月日-西暦年月日</v>
      </c>
      <c r="DZ1" t="str">
        <v>12関連図書の整備-直近の確認申請-確認-交付番号-号</v>
      </c>
      <c r="EA1" t="str">
        <v>12関連図書の整備-直近の確認申請-確認-交付者</v>
      </c>
      <c r="EB1" t="str">
        <v>12関連図書の整備-直近の確認申請-確認-検査機関</v>
      </c>
      <c r="EC1" t="str">
        <v>12関連図書の整備-直近の確認申請-完了検査に要した図書</v>
      </c>
      <c r="ED1" t="str">
        <v>12関連図書の整備-直近の確認申請-完了-検査済証の有無</v>
      </c>
      <c r="EE1" t="str">
        <v>12関連図書の整備-直近の確認申請-完了-交付年月日-元号</v>
      </c>
      <c r="EF1" t="str">
        <v>12関連図書の整備-直近の確認申請-完了-交付年月日-年</v>
      </c>
      <c r="EG1" t="str">
        <v>12関連図書の整備-直近の確認申請-完了-交付年月日-月</v>
      </c>
      <c r="EH1" t="str">
        <v>12関連図書の整備-直近の確認申請-完了-交付年月日-日</v>
      </c>
      <c r="EI1" t="str">
        <v>12関連図書の整備-直近の確認申請-完了-交付年月日-西暦年月日</v>
      </c>
      <c r="EJ1" t="str">
        <v>12関連図書の整備-直近の確認申請-完了-交付番号-号</v>
      </c>
      <c r="EK1" t="str">
        <v>12関連図書の整備-直近の確認申請-完了-交付者</v>
      </c>
      <c r="EL1" t="str">
        <v>12関連図書の整備-直近の確認申請-完了-検査機関</v>
      </c>
      <c r="EM1" t="str">
        <v>12関連図書の整備-新築時の確認申請-確認に要した図書-</v>
      </c>
      <c r="EN1" t="str">
        <v>12関連図書の整備-新築時の確認申請-確認-確認済証の有無</v>
      </c>
      <c r="EO1" t="str">
        <v>12関連図書の整備-新築時の確認申請-確認-工事種別</v>
      </c>
      <c r="EP1" t="str">
        <v>12関連図書の整備-新築時の確認申請-確認-交付年月日-元号</v>
      </c>
      <c r="EQ1" t="str">
        <v>12関連図書の整備-新築時の確認申請-確認-交付年月日-年</v>
      </c>
      <c r="ER1" t="str">
        <v>12関連図書の整備-新築時の確認申請-確認-交付年月日-月</v>
      </c>
      <c r="ES1" t="str">
        <v>12関連図書の整備-新築時の確認申請-確認-交付年月日-日</v>
      </c>
      <c r="ET1" t="str">
        <v>12関連図書の整備-新築時の確認申請-確認-交付年月日-西暦年月日</v>
      </c>
      <c r="EU1" t="str">
        <v>12関連図書の整備-新築時の確認申請-確認-交付番号-号</v>
      </c>
      <c r="EV1" t="str">
        <v>12関連図書の整備-新築時の確認申請-確認-交付者</v>
      </c>
      <c r="EW1" t="str">
        <v>12関連図書の整備-新築時の確認申請-確認-検査機関</v>
      </c>
      <c r="EX1" t="str">
        <v>12関連図書の整備-新築時の確認申請-完了検査に要した図書-</v>
      </c>
      <c r="EY1" t="str">
        <v>12関連図書の整備-新築時の確認申請-完了-検査済証の有無</v>
      </c>
      <c r="EZ1" t="str">
        <v>12関連図書の整備-新築時の確認申請-完了-交付年月日-元号</v>
      </c>
      <c r="FA1" t="str">
        <v>12関連図書の整備-新築時の確認申請-完了-交付年月日-年</v>
      </c>
      <c r="FB1" t="str">
        <v>12関連図書の整備-新築時の確認申請-完了-交付年月日-月</v>
      </c>
      <c r="FC1" t="str">
        <v>12関連図書の整備-新築時の確認申請-完了-交付年月日-日</v>
      </c>
      <c r="FD1" t="str">
        <v>12関連図書の整備-新築時の確認申請-完了-交付年月日-西暦年月日</v>
      </c>
      <c r="FE1" t="str">
        <v>12関連図書の整備-新築時の確認申請-完了-交付番号-号</v>
      </c>
      <c r="FF1" t="str">
        <v>12関連図書の整備-新築時の確認申請-完了-交付者</v>
      </c>
      <c r="FG1" t="str">
        <v>12関連図書の整備-新築時の確認申請-完了-検査機関</v>
      </c>
      <c r="FH1" t="str">
        <v>12関連図書の整備-維持管理保全に関する準則又は計画</v>
      </c>
      <c r="FI1" t="str">
        <v>12関連図書の整備-維持管理保全に関する準則又は計画-有</v>
      </c>
      <c r="FJ1" t="str">
        <v>12関連図書の整備-維持管理保全に関する準則又は計画-無</v>
      </c>
      <c r="FK1" t="str">
        <v>12関連図書の整備-前回の調査に関する書類の写し</v>
      </c>
      <c r="FL1" t="str">
        <v>13備考-備考（第二面）</v>
      </c>
      <c r="FM1" t="str">
        <v>14調査及び検査の状況-今回の調査　実施日-令和</v>
      </c>
      <c r="FN1" t="str">
        <v>14調査及び検査の状況-今回の調査　実施日-年</v>
      </c>
      <c r="FO1" t="str">
        <v>14調査及び検査の状況-今回の調査　実施日-月</v>
      </c>
      <c r="FP1" t="str">
        <v>14調査及び検査の状況-今回の調査　実施日-日</v>
      </c>
      <c r="FQ1" t="str">
        <v>14調査及び検査の状況-前回の調査-有無</v>
      </c>
      <c r="FR1" t="str">
        <v>14調査及び検査の状況-前回の調査-実施日-元号</v>
      </c>
      <c r="FS1" t="str">
        <v>14調査及び検査の状況-前回の調査-実施日-年</v>
      </c>
      <c r="FT1" t="str">
        <v>14調査及び検査の状況-前回の調査-実施日-月</v>
      </c>
      <c r="FU1" t="str">
        <v>14調査及び検査の状況-前回の調査-実施日-日</v>
      </c>
      <c r="FV1" t="str">
        <v>14調査及び検査の状況-建築設備の検査-有無</v>
      </c>
      <c r="FW1" t="str">
        <v>14調査及び検査の状況-建築設備の検査-実施日-元号</v>
      </c>
      <c r="FX1" t="str">
        <v>14調査及び検査の状況-建築設備の検査-実施日-年</v>
      </c>
      <c r="FY1" t="str">
        <v>14調査及び検査の状況-建築設備の検査-実施日-月</v>
      </c>
      <c r="FZ1" t="str">
        <v>14調査及び検査の状況-建築設備の検査-実施日-日</v>
      </c>
      <c r="GA1" t="str">
        <v>14調査及び検査の状況-昇降機等の検査-有無</v>
      </c>
      <c r="GB1" t="str">
        <v>14調査及び検査の状況-昇降機等の検査-実施日-元号</v>
      </c>
      <c r="GC1" t="str">
        <v>14調査及び検査の状況-昇降機等の検査-実施日-年</v>
      </c>
      <c r="GD1" t="str">
        <v>14調査及び検査の状況-昇降機等の検査-実施日-月</v>
      </c>
      <c r="GE1" t="str">
        <v>14調査及び検査の状況-昇降機等の検査-実施日-日</v>
      </c>
      <c r="GF1" t="str">
        <v>14調査及び検査の状況-防火設備の検査-有無</v>
      </c>
      <c r="GG1" t="str">
        <v>14調査及び検査の状況-防火設備の検査-実施日-元号</v>
      </c>
      <c r="GH1" t="str">
        <v>14調査及び検査の状況-防火設備の検査-実施日-年</v>
      </c>
      <c r="GI1" t="str">
        <v>14調査及び検査の状況-防火設備の検査-実施日-月</v>
      </c>
      <c r="GJ1" t="str">
        <v>14調査及び検査の状況-防火設備の検査-実施日-日</v>
      </c>
      <c r="GK1" t="str">
        <v>15石綿を添加した建築材料の調査状況-該当建築材料-有無</v>
      </c>
      <c r="GL1" t="str">
        <v>15石綿を添加した建築材料の調査状況-該当建築材料-該当する室</v>
      </c>
      <c r="GM1" t="str">
        <v>15石綿を添加した建築材料の調査状況-措置予定-有無</v>
      </c>
      <c r="GN1" t="str">
        <v>15石綿を添加した建築材料の調査状況-措置予定-改善予定年月-令和</v>
      </c>
      <c r="GO1" t="str">
        <v>15石綿を添加した建築材料の調査状況-措置予定-改善予定年月-年</v>
      </c>
      <c r="GP1" t="str">
        <v>15石綿を添加した建築材料の調査状況-措置予定-改善予定年月-月実施予定</v>
      </c>
      <c r="GQ1" t="str">
        <v>15石綿を添加した建築材料の調査状況-該当建築材料-有（飛散防止無）</v>
      </c>
      <c r="GR1" t="str">
        <v>15石綿を添加した建築材料の調査状況-該当建築材料-有（飛散防止有）</v>
      </c>
      <c r="GS1" t="str">
        <v>15石綿を添加した建築材料の調査状況-該当建築材料-無</v>
      </c>
      <c r="GT1" t="str">
        <v>15石綿を添加した建築材料の調査状況-該当建築材料-該当する室（飛散防止無）</v>
      </c>
      <c r="GU1" t="str">
        <v>15石綿を添加した建築材料の調査状況-該当建築材料-該当する室（飛散防止有）</v>
      </c>
      <c r="GV1" t="str">
        <v>15石綿を添加した建築材料の調査状況-措置予定-有</v>
      </c>
      <c r="GW1" t="str">
        <v>15石綿を添加した建築材料の調査状況-措置予定-無</v>
      </c>
      <c r="GX1" t="str">
        <v>15石綿を添加した建築材料の調査状況-措置予定-改善予定年月-元号</v>
      </c>
      <c r="GY1" t="str">
        <v>15石綿を添加した建築材料の調査状況-措置予定-改善予定年月-和暦年</v>
      </c>
      <c r="GZ1" t="str">
        <v>15石綿を添加した建築材料の調査状況-措置予定-改善予定年月-月</v>
      </c>
      <c r="HA1" t="str">
        <v>16耐震診断及び耐震改修の調査状況-耐震診断-有</v>
      </c>
      <c r="HB1" t="str">
        <v>16耐震診断及び耐震改修の調査状況-耐震診断-無</v>
      </c>
      <c r="HC1" t="str">
        <v>16耐震診断及び耐震改修の調査状況-耐震診断-対象外</v>
      </c>
      <c r="HD1" t="str">
        <v>16耐震診断及び耐震改修の調査状況-耐震診断-実施年月-元号</v>
      </c>
      <c r="HE1" t="str">
        <v>16耐震診断及び耐震改修の調査状況-耐震診断-実施年月-和暦年</v>
      </c>
      <c r="HF1" t="str">
        <v>16耐震診断及び耐震改修の調査状況-耐震診断-実施年月-月</v>
      </c>
      <c r="HG1" t="str">
        <v>16耐震診断及び耐震改修の調査状況-耐震改修-有</v>
      </c>
      <c r="HH1" t="str">
        <v>16耐震診断及び耐震改修の調査状況-耐震改修-無</v>
      </c>
      <c r="HI1" t="str">
        <v>16耐震診断及び耐震改修の調査状況-耐震改修-対象外</v>
      </c>
      <c r="HJ1" t="str">
        <v>16耐震診断及び耐震改修の調査状況-耐震改修-実施年月-元号</v>
      </c>
      <c r="HK1" t="str">
        <v>16耐震診断及び耐震改修の調査状況-耐震改修-実施年月-和暦年</v>
      </c>
      <c r="HL1" t="str">
        <v>16耐震診断及び耐震改修の調査状況-耐震改修-実施年月-月</v>
      </c>
      <c r="HM1" t="str">
        <v>17建築物等に係る不具合等の状況-不具合等</v>
      </c>
      <c r="HN1" t="str">
        <v>17建築物等に係る不具合等の状況-不具合等の記録</v>
      </c>
      <c r="HO1" t="str">
        <v>17建築物等に係る不具合等の状況-不具合等を把握した年月-元号_1</v>
      </c>
      <c r="HP1" t="str">
        <v>17建築物等に係る不具合等の状況-不具合等を把握した年月-年_1</v>
      </c>
      <c r="HQ1" t="str">
        <v>17建築物等に係る不具合等の状況-不具合等を把握した年月-月_1</v>
      </c>
      <c r="HR1" t="str">
        <v>17建築物等に係る不具合等の状況-不具合等の概要_1</v>
      </c>
      <c r="HS1" t="str">
        <v>17建築物等に係る不具合等の状況-考えられる要因_1</v>
      </c>
      <c r="HT1" t="str">
        <v>17建築物等に係る不具合等の状況-改善の状況_1</v>
      </c>
      <c r="HU1" t="str">
        <v>17建築物等に係る不具合等の状況-改善（予定）年月-年（令和）_1</v>
      </c>
      <c r="HV1" t="str">
        <v>17建築物等に係る不具合等の状況-改善（予定）年月-月_1</v>
      </c>
      <c r="HW1" t="str">
        <v>17建築物等に係る不具合等の状況-改善措置の概要等又は改善の予定がない場合は理由_1</v>
      </c>
      <c r="HX1" t="str">
        <v>17建築物等に係る不具合等の状況-不具合等を把握した年月-元号_2</v>
      </c>
      <c r="HY1" t="str">
        <v>17建築物等に係る不具合等の状況-不具合等を把握した年月-年_2</v>
      </c>
      <c r="HZ1" t="str">
        <v>17建築物等に係る不具合等の状況-不具合等を把握した年月-月_2</v>
      </c>
      <c r="IA1" t="str">
        <v>17建築物等に係る不具合等の状況-不具合等の概要_2</v>
      </c>
      <c r="IB1" t="str">
        <v>17建築物等に係る不具合等の状況-考えられる要因_2</v>
      </c>
      <c r="IC1" t="str">
        <v>17建築物等に係る不具合等の状況-改善の状況_2</v>
      </c>
      <c r="ID1" t="str">
        <v>17建築物等に係る不具合等の状況-改善（予定）年月-年（令和）_2</v>
      </c>
      <c r="IE1" t="str">
        <v>17建築物等に係る不具合等の状況-改善（予定）年月-月_2</v>
      </c>
      <c r="IF1" t="str">
        <v>17建築物等に係る不具合等の状況-改善措置の概要等又は改善の予定がない場合は理由_2</v>
      </c>
      <c r="IG1" t="str">
        <v>17建築物等に係る不具合等の状況-不具合等を把握した年月-元号_3</v>
      </c>
      <c r="IH1" t="str">
        <v>17建築物等に係る不具合等の状況-不具合等を把握した年月-年_3</v>
      </c>
      <c r="II1" t="str">
        <v>17建築物等に係る不具合等の状況-不具合等を把握した年月-月_3</v>
      </c>
      <c r="IJ1" t="str">
        <v>17建築物等に係る不具合等の状況-不具合等の概要_3</v>
      </c>
      <c r="IK1" t="str">
        <v>17建築物等に係る不具合等の状況-考えられる要因_3</v>
      </c>
      <c r="IL1" t="str">
        <v>17建築物等に係る不具合等の状況-改善の状況_3</v>
      </c>
      <c r="IM1" t="str">
        <v>17建築物等に係る不具合等の状況-改善（予定）年月-年（令和）_3</v>
      </c>
      <c r="IN1" t="str">
        <v>17建築物等に係る不具合等の状況-改善（予定）年月-月_3</v>
      </c>
      <c r="IO1" t="str">
        <v>17建築物等に係る不具合等の状況-改善措置の概要等又は改善の予定がない場合は理由_3</v>
      </c>
      <c r="IP1" t="str">
        <v>17建築物等に係る不具合等の状況-不具合等を把握した年月-元号_4</v>
      </c>
      <c r="IQ1" t="str">
        <v>17建築物等に係る不具合等の状況-不具合等を把握した年月-年_4</v>
      </c>
      <c r="IR1" t="str">
        <v>17建築物等に係る不具合等の状況-不具合等を把握した年月-月_4</v>
      </c>
      <c r="IS1" t="str">
        <v>17建築物等に係る不具合等の状況-不具合等の概要_4</v>
      </c>
      <c r="IT1" t="str">
        <v>17建築物等に係る不具合等の状況-考えられる要因_4</v>
      </c>
      <c r="IU1" t="str">
        <v>17建築物等に係る不具合等の状況-改善の状況_4</v>
      </c>
      <c r="IV1" t="str">
        <v>17建築物等に係る不具合等の状況-改善（予定）年月-年（令和）_4</v>
      </c>
      <c r="IW1" t="str">
        <v>17建築物等に係る不具合等の状況-改善（予定）年月-月_4</v>
      </c>
      <c r="IX1" t="str">
        <v>17建築物等に係る不具合等の状況-改善措置の概要等又は改善の予定がない場合は理由_4</v>
      </c>
      <c r="IY1" t="str">
        <v>17建築物等に係る不具合等の状況-不具合等を把握した年月-元号_5</v>
      </c>
      <c r="IZ1" t="str">
        <v>17建築物等に係る不具合等の状況-不具合等を把握した年月-年_5</v>
      </c>
      <c r="JA1" t="str">
        <v>17建築物等に係る不具合等の状況-不具合等を把握した年月-月_5</v>
      </c>
      <c r="JB1" t="str">
        <v>17建築物等に係る不具合等の状況-不具合等の概要_5</v>
      </c>
      <c r="JC1" t="str">
        <v>17建築物等に係る不具合等の状況-考えられる要因_5</v>
      </c>
      <c r="JD1" t="str">
        <v>17建築物等に係る不具合等の状況-改善の状況_5</v>
      </c>
      <c r="JE1" t="str">
        <v>17建築物等に係る不具合等の状況-改善（予定）年月-年（令和）_5</v>
      </c>
      <c r="JF1" t="str">
        <v>17建築物等に係る不具合等の状況-改善（予定）年月-月_5</v>
      </c>
      <c r="JG1" t="str">
        <v>17建築物等に係る不具合等の状況-改善措置の概要等又は改善の予定がない場合は理由_5</v>
      </c>
      <c r="JH1" t="str">
        <v>18備考-備考（3）</v>
      </c>
      <c r="JI1" t="str">
        <v>19外装仕上げ材等について-外装仕上材のタイル・石貼り等、モルタル塗り等の使用-有</v>
      </c>
      <c r="JJ1" t="str">
        <v>19外装仕上げ材等について-外装仕上材のタイル・石貼り等、モルタル塗り等の使用-無</v>
      </c>
      <c r="JK1" t="str">
        <v>19外装仕上げ材等について全面打診等の実施状況</v>
      </c>
      <c r="JL1" t="str">
        <v>19外装仕上げ材等について-全面打診等の実施状況-時期：-元号</v>
      </c>
      <c r="JM1" t="str">
        <v>19外装仕上げ材等について-全面打診等の実施状況-時期：-年</v>
      </c>
      <c r="JN1" t="str">
        <v>19外装仕上げ材等について-全面打診等の実施状況-時期：-月に</v>
      </c>
      <c r="JO1" t="str">
        <v>19外装仕上げ材等について-全面打診等の実施状況-理由：</v>
      </c>
      <c r="JP1" t="str">
        <v>20直通階段の数について-直通階段の数</v>
      </c>
      <c r="JQ1" t="str">
        <v>21設備（法第12条第三項関係など）-建築設備-有無</v>
      </c>
      <c r="JR1" t="str">
        <v>21設備（法第12条第三項関係など）-建築設備-定期報告対象</v>
      </c>
      <c r="JS1" t="str">
        <v>21設備（法第12条第三項関係など）-防火設備-有無</v>
      </c>
      <c r="JT1" t="str">
        <v>21設備（法第12条第三項関係など）-防火設備-設置されている階-階</v>
      </c>
      <c r="JU1" t="str">
        <v>21設備（法第12条第三項関係など）-防火設備-定期報告対象</v>
      </c>
      <c r="JV1" t="str">
        <v>21設備（法第12条第三項関係など）-小荷物専用昇降機の有無-有無</v>
      </c>
      <c r="JW1" t="str">
        <v>21設備（法第12条第三項関係など）-小荷物専用昇降機の有無-定期報告対象</v>
      </c>
      <c r="JX1" t="str">
        <v>22自由記入欄-その他特記事項</v>
      </c>
      <c r="JY1" t="str">
        <v>階別用途別床面積-存在用途</v>
      </c>
      <c r="JZ1" t="str">
        <v>階別用途別床面積-対象用途ID記号（面積最大）</v>
      </c>
      <c r="KA1" t="str">
        <v>階別用途別床面積-対象用途ID記号（全て）</v>
      </c>
      <c r="KB1" t="str">
        <v>階別用途別床面積-対象種別ID分類番号</v>
      </c>
      <c r="KC1" t="str">
        <v>階別用途別床面積-対象用途（国建）</v>
      </c>
      <c r="KD1" t="str">
        <v>階別用途別床面積-対象用途（市新建）</v>
      </c>
      <c r="KE1" t="str">
        <v>階別用途別床面積-対象用途（市従建）</v>
      </c>
      <c r="KF1" t="str">
        <v>階別用途別床面積-対象用途（市建）</v>
      </c>
      <c r="KG1" t="str">
        <v>階別用途別床面積-対象用途（建築物）</v>
      </c>
      <c r="KH1" t="str">
        <v>階別用途別床面積-対象用途（市設）</v>
      </c>
      <c r="KI1" t="str">
        <v>階別用途別床面積-対象用途（国防）</v>
      </c>
      <c r="KJ1" t="str">
        <v>階別用途別床面積-対象用途（市新防）</v>
      </c>
      <c r="KK1" t="str">
        <v>階別用途別床面積-対象用途（防火設備）</v>
      </c>
      <c r="KL1" t="str">
        <v>階別用途別床面積-ID用途面積</v>
      </c>
      <c r="KM1" t="str">
        <v>階別用途別床面積-建築設備対象面積</v>
      </c>
      <c r="KN1" t="str">
        <v>階別用途別床面積-建築設備対象用途ID記号</v>
      </c>
      <c r="KO1" t="str">
        <v>階別用途別床面積-特殊建築物面積</v>
      </c>
      <c r="KP1" t="str">
        <v>階別用途別床面積-指定根拠分類</v>
      </c>
      <c r="KQ1" t="str">
        <v>階別用途別床面積-延床面積</v>
      </c>
      <c r="KR1" t="str">
        <v>階別用途別床面積-特記用途</v>
      </c>
      <c r="KS1" t="str">
        <v>階別用途別床面積-1-大分類</v>
      </c>
      <c r="KT1" t="str">
        <v>階別用途別床面積-1-小分類</v>
      </c>
      <c r="KU1" t="str">
        <v>階別用途別床面積-1-特記</v>
      </c>
      <c r="KV1" t="str">
        <v>階別用途別床面積-1-地下1階</v>
      </c>
      <c r="KW1" t="str">
        <v>階別用途別床面積-1-地下2階</v>
      </c>
      <c r="KX1" t="str">
        <v>階別用途別床面積-1-地下3階</v>
      </c>
      <c r="KY1" t="str">
        <v>階別用途別床面積-1-地下4階</v>
      </c>
      <c r="KZ1" t="str">
        <v>階別用途別床面積-1-塔屋 1階</v>
      </c>
      <c r="LA1" t="str">
        <v>階別用途別床面積-1-塔屋 2階</v>
      </c>
      <c r="LB1" t="str">
        <v>階別用途別床面積-1-塔屋 3階</v>
      </c>
      <c r="LC1" t="str">
        <v>階別用途別床面積-1-塔屋 4階</v>
      </c>
      <c r="LD1" t="str">
        <v>階別用途別床面積-1-塔屋 5階</v>
      </c>
      <c r="LE1" t="str">
        <v>階別用途別床面積-1-1階</v>
      </c>
      <c r="LF1" t="str">
        <v>階別用途別床面積-1-2階</v>
      </c>
      <c r="LG1" t="str">
        <v>階別用途別床面積-1-3階</v>
      </c>
      <c r="LH1" t="str">
        <v>階別用途別床面積-1-4階</v>
      </c>
      <c r="LI1" t="str">
        <v>階別用途別床面積-1-5階</v>
      </c>
      <c r="LJ1" t="str">
        <v>階別用途別床面積-1-6階</v>
      </c>
      <c r="LK1" t="str">
        <v>階別用途別床面積-1-7階</v>
      </c>
      <c r="LL1" t="str">
        <v>階別用途別床面積-1-8階</v>
      </c>
      <c r="LM1" t="str">
        <v>階別用途別床面積-1-9階</v>
      </c>
      <c r="LN1" t="str">
        <v>階別用途別床面積-1-10階</v>
      </c>
      <c r="LO1" t="str">
        <v>階別用途別床面積-1-11階</v>
      </c>
      <c r="LP1" t="str">
        <v>階別用途別床面積-1-12階</v>
      </c>
      <c r="LQ1" t="str">
        <v>階別用途別床面積-1-13階</v>
      </c>
      <c r="LR1" t="str">
        <v>階別用途別床面積-1-14階</v>
      </c>
      <c r="LS1" t="str">
        <v>階別用途別床面積-1-15階</v>
      </c>
      <c r="LT1" t="str">
        <v>階別用途別床面積-1-16階</v>
      </c>
      <c r="LU1" t="str">
        <v>階別用途別床面積-1-17階</v>
      </c>
      <c r="LV1" t="str">
        <v>階別用途別床面積-1-18階</v>
      </c>
      <c r="LW1" t="str">
        <v>階別用途別床面積-1-19階</v>
      </c>
      <c r="LX1" t="str">
        <v>階別用途別床面積-1-20階</v>
      </c>
      <c r="LY1" t="str">
        <v>階別用途別床面積-1-21階</v>
      </c>
      <c r="LZ1" t="str">
        <v>階別用途別床面積-1-22階</v>
      </c>
      <c r="MA1" t="str">
        <v>階別用途別床面積-1-23階</v>
      </c>
      <c r="MB1" t="str">
        <v>階別用途別床面積-1-24階</v>
      </c>
      <c r="MC1" t="str">
        <v>階別用途別床面積-1-25階</v>
      </c>
      <c r="MD1" t="str">
        <v>階別用途別床面積-1-26階</v>
      </c>
      <c r="ME1" t="str">
        <v>階別用途別床面積-1-27階</v>
      </c>
      <c r="MF1" t="str">
        <v>階別用途別床面積-1-28階</v>
      </c>
      <c r="MG1" t="str">
        <v>階別用途別床面積-1-29階</v>
      </c>
      <c r="MH1" t="str">
        <v>階別用途別床面積-1-30階</v>
      </c>
      <c r="MI1" t="str">
        <v>階別用途別床面積-1-31階</v>
      </c>
      <c r="MJ1" t="str">
        <v>階別用途別床面積-1-32階</v>
      </c>
      <c r="MK1" t="str">
        <v>階別用途別床面積-1-33階</v>
      </c>
      <c r="ML1" t="str">
        <v>階別用途別床面積-1-34階</v>
      </c>
      <c r="MM1" t="str">
        <v>階別用途別床面積-1-35階</v>
      </c>
      <c r="MN1" t="str">
        <v>階別用途別床面積-1-36階</v>
      </c>
      <c r="MO1" t="str">
        <v>階別用途別床面積-1-37階</v>
      </c>
      <c r="MP1" t="str">
        <v>階別用途別床面積-1-38階</v>
      </c>
      <c r="MQ1" t="str">
        <v>階別用途別床面積-1-39階</v>
      </c>
      <c r="MR1" t="str">
        <v>階別用途別床面積-1-40階</v>
      </c>
      <c r="MS1" t="str">
        <v>階別用途別床面積-1-41階</v>
      </c>
      <c r="MT1" t="str">
        <v>階別用途別床面積-1-42階</v>
      </c>
      <c r="MU1" t="str">
        <v>階別用途別床面積-1-43階</v>
      </c>
      <c r="MV1" t="str">
        <v>階別用途別床面積-1-44階</v>
      </c>
      <c r="MW1" t="str">
        <v>階別用途別床面積-1-45階</v>
      </c>
      <c r="MX1" t="str">
        <v>階別用途別床面積-1-46階</v>
      </c>
      <c r="MY1" t="str">
        <v>階別用途別床面積-1-47階</v>
      </c>
      <c r="MZ1" t="str">
        <v>階別用途別床面積-1-48階</v>
      </c>
      <c r="NA1" t="str">
        <v>階別用途別床面積-1-49階</v>
      </c>
      <c r="NB1" t="str">
        <v>階別用途別床面積-1-50階</v>
      </c>
      <c r="NC1" t="str">
        <v>階別用途別床面積-2-大分類</v>
      </c>
      <c r="ND1" t="str">
        <v>階別用途別床面積-2-小分類</v>
      </c>
      <c r="NE1" t="str">
        <v>階別用途別床面積-2-特記</v>
      </c>
      <c r="NF1" t="str">
        <v>階別用途別床面積-2-地下1階</v>
      </c>
      <c r="NG1" t="str">
        <v>階別用途別床面積-2-地下2階</v>
      </c>
      <c r="NH1" t="str">
        <v>階別用途別床面積-2-地下3階</v>
      </c>
      <c r="NI1" t="str">
        <v>階別用途別床面積-2-地下4階</v>
      </c>
      <c r="NJ1" t="str">
        <v>階別用途別床面積-2-塔屋 1階</v>
      </c>
      <c r="NK1" t="str">
        <v>階別用途別床面積-2-塔屋 2階</v>
      </c>
      <c r="NL1" t="str">
        <v>階別用途別床面積-2-塔屋 3階</v>
      </c>
      <c r="NM1" t="str">
        <v>階別用途別床面積-2-塔屋 4階</v>
      </c>
      <c r="NN1" t="str">
        <v>階別用途別床面積-2-塔屋 5階</v>
      </c>
      <c r="NO1" t="str">
        <v>階別用途別床面積-2-1階</v>
      </c>
      <c r="NP1" t="str">
        <v>階別用途別床面積-2-2階</v>
      </c>
      <c r="NQ1" t="str">
        <v>階別用途別床面積-2-3階</v>
      </c>
      <c r="NR1" t="str">
        <v>階別用途別床面積-2-4階</v>
      </c>
      <c r="NS1" t="str">
        <v>階別用途別床面積-2-5階</v>
      </c>
      <c r="NT1" t="str">
        <v>階別用途別床面積-2-6階</v>
      </c>
      <c r="NU1" t="str">
        <v>階別用途別床面積-2-7階</v>
      </c>
      <c r="NV1" t="str">
        <v>階別用途別床面積-2-8階</v>
      </c>
      <c r="NW1" t="str">
        <v>階別用途別床面積-2-9階</v>
      </c>
      <c r="NX1" t="str">
        <v>階別用途別床面積-2-10階</v>
      </c>
      <c r="NY1" t="str">
        <v>階別用途別床面積-2-11階</v>
      </c>
      <c r="NZ1" t="str">
        <v>階別用途別床面積-2-12階</v>
      </c>
      <c r="OA1" t="str">
        <v>階別用途別床面積-2-13階</v>
      </c>
      <c r="OB1" t="str">
        <v>階別用途別床面積-2-14階</v>
      </c>
      <c r="OC1" t="str">
        <v>階別用途別床面積-2-15階</v>
      </c>
      <c r="OD1" t="str">
        <v>階別用途別床面積-2-16階</v>
      </c>
      <c r="OE1" t="str">
        <v>階別用途別床面積-2-17階</v>
      </c>
      <c r="OF1" t="str">
        <v>階別用途別床面積-2-18階</v>
      </c>
      <c r="OG1" t="str">
        <v>階別用途別床面積-2-19階</v>
      </c>
      <c r="OH1" t="str">
        <v>階別用途別床面積-2-20階</v>
      </c>
      <c r="OI1" t="str">
        <v>階別用途別床面積-2-21階</v>
      </c>
      <c r="OJ1" t="str">
        <v>階別用途別床面積-2-22階</v>
      </c>
      <c r="OK1" t="str">
        <v>階別用途別床面積-2-23階</v>
      </c>
      <c r="OL1" t="str">
        <v>階別用途別床面積-2-24階</v>
      </c>
      <c r="OM1" t="str">
        <v>階別用途別床面積-2-25階</v>
      </c>
      <c r="ON1" t="str">
        <v>階別用途別床面積-2-26階</v>
      </c>
      <c r="OO1" t="str">
        <v>階別用途別床面積-2-27階</v>
      </c>
      <c r="OP1" t="str">
        <v>階別用途別床面積-2-28階</v>
      </c>
      <c r="OQ1" t="str">
        <v>階別用途別床面積-2-29階</v>
      </c>
      <c r="OR1" t="str">
        <v>階別用途別床面積-2-30階</v>
      </c>
      <c r="OS1" t="str">
        <v>階別用途別床面積-2-31階</v>
      </c>
      <c r="OT1" t="str">
        <v>階別用途別床面積-2-32階</v>
      </c>
      <c r="OU1" t="str">
        <v>階別用途別床面積-2-33階</v>
      </c>
      <c r="OV1" t="str">
        <v>階別用途別床面積-2-34階</v>
      </c>
      <c r="OW1" t="str">
        <v>階別用途別床面積-2-35階</v>
      </c>
      <c r="OX1" t="str">
        <v>階別用途別床面積-2-36階</v>
      </c>
      <c r="OY1" t="str">
        <v>階別用途別床面積-2-37階</v>
      </c>
      <c r="OZ1" t="str">
        <v>階別用途別床面積-2-38階</v>
      </c>
      <c r="PA1" t="str">
        <v>階別用途別床面積-2-39階</v>
      </c>
      <c r="PB1" t="str">
        <v>階別用途別床面積-2-40階</v>
      </c>
      <c r="PC1" t="str">
        <v>階別用途別床面積-2-41階</v>
      </c>
      <c r="PD1" t="str">
        <v>階別用途別床面積-2-42階</v>
      </c>
      <c r="PE1" t="str">
        <v>階別用途別床面積-2-43階</v>
      </c>
      <c r="PF1" t="str">
        <v>階別用途別床面積-2-44階</v>
      </c>
      <c r="PG1" t="str">
        <v>階別用途別床面積-2-45階</v>
      </c>
      <c r="PH1" t="str">
        <v>階別用途別床面積-2-46階</v>
      </c>
      <c r="PI1" t="str">
        <v>階別用途別床面積-2-47階</v>
      </c>
      <c r="PJ1" t="str">
        <v>階別用途別床面積-2-48階</v>
      </c>
      <c r="PK1" t="str">
        <v>階別用途別床面積-2-49階</v>
      </c>
      <c r="PL1" t="str">
        <v>階別用途別床面積-2-50階</v>
      </c>
      <c r="PM1" t="str">
        <v>階別用途別床面積-3-大分類</v>
      </c>
      <c r="PN1" t="str">
        <v>階別用途別床面積-3-小分類</v>
      </c>
      <c r="PO1" t="str">
        <v>階別用途別床面積-3-特記</v>
      </c>
      <c r="PP1" t="str">
        <v>階別用途別床面積-3-地下1階</v>
      </c>
      <c r="PQ1" t="str">
        <v>階別用途別床面積-3-地下2階</v>
      </c>
      <c r="PR1" t="str">
        <v>階別用途別床面積-3-地下3階</v>
      </c>
      <c r="PS1" t="str">
        <v>階別用途別床面積-3-地下4階</v>
      </c>
      <c r="PT1" t="str">
        <v>階別用途別床面積-3-塔屋 1階</v>
      </c>
      <c r="PU1" t="str">
        <v>階別用途別床面積-3-塔屋 2階</v>
      </c>
      <c r="PV1" t="str">
        <v>階別用途別床面積-3-塔屋 3階</v>
      </c>
      <c r="PW1" t="str">
        <v>階別用途別床面積-3-塔屋 4階</v>
      </c>
      <c r="PX1" t="str">
        <v>階別用途別床面積-3-塔屋 5階</v>
      </c>
      <c r="PY1" t="str">
        <v>階別用途別床面積-3-1階</v>
      </c>
      <c r="PZ1" t="str">
        <v>階別用途別床面積-3-2階</v>
      </c>
      <c r="QA1" t="str">
        <v>階別用途別床面積-3-3階</v>
      </c>
      <c r="QB1" t="str">
        <v>階別用途別床面積-3-4階</v>
      </c>
      <c r="QC1" t="str">
        <v>階別用途別床面積-3-5階</v>
      </c>
      <c r="QD1" t="str">
        <v>階別用途別床面積-3-6階</v>
      </c>
      <c r="QE1" t="str">
        <v>階別用途別床面積-3-7階</v>
      </c>
      <c r="QF1" t="str">
        <v>階別用途別床面積-3-8階</v>
      </c>
      <c r="QG1" t="str">
        <v>階別用途別床面積-3-9階</v>
      </c>
      <c r="QH1" t="str">
        <v>階別用途別床面積-3-10階</v>
      </c>
      <c r="QI1" t="str">
        <v>階別用途別床面積-3-11階</v>
      </c>
      <c r="QJ1" t="str">
        <v>階別用途別床面積-3-12階</v>
      </c>
      <c r="QK1" t="str">
        <v>階別用途別床面積-3-13階</v>
      </c>
      <c r="QL1" t="str">
        <v>階別用途別床面積-3-14階</v>
      </c>
      <c r="QM1" t="str">
        <v>階別用途別床面積-3-15階</v>
      </c>
      <c r="QN1" t="str">
        <v>階別用途別床面積-3-16階</v>
      </c>
      <c r="QO1" t="str">
        <v>階別用途別床面積-3-17階</v>
      </c>
      <c r="QP1" t="str">
        <v>階別用途別床面積-3-18階</v>
      </c>
      <c r="QQ1" t="str">
        <v>階別用途別床面積-3-19階</v>
      </c>
      <c r="QR1" t="str">
        <v>階別用途別床面積-3-20階</v>
      </c>
      <c r="QS1" t="str">
        <v>階別用途別床面積-3-21階</v>
      </c>
      <c r="QT1" t="str">
        <v>階別用途別床面積-3-22階</v>
      </c>
      <c r="QU1" t="str">
        <v>階別用途別床面積-3-23階</v>
      </c>
      <c r="QV1" t="str">
        <v>階別用途別床面積-3-24階</v>
      </c>
      <c r="QW1" t="str">
        <v>階別用途別床面積-3-25階</v>
      </c>
      <c r="QX1" t="str">
        <v>階別用途別床面積-3-26階</v>
      </c>
      <c r="QY1" t="str">
        <v>階別用途別床面積-3-27階</v>
      </c>
      <c r="QZ1" t="str">
        <v>階別用途別床面積-3-28階</v>
      </c>
      <c r="RA1" t="str">
        <v>階別用途別床面積-3-29階</v>
      </c>
      <c r="RB1" t="str">
        <v>階別用途別床面積-3-30階</v>
      </c>
      <c r="RC1" t="str">
        <v>階別用途別床面積-3-31階</v>
      </c>
      <c r="RD1" t="str">
        <v>階別用途別床面積-3-32階</v>
      </c>
      <c r="RE1" t="str">
        <v>階別用途別床面積-3-33階</v>
      </c>
      <c r="RF1" t="str">
        <v>階別用途別床面積-3-34階</v>
      </c>
      <c r="RG1" t="str">
        <v>階別用途別床面積-3-35階</v>
      </c>
      <c r="RH1" t="str">
        <v>階別用途別床面積-3-36階</v>
      </c>
      <c r="RI1" t="str">
        <v>階別用途別床面積-3-37階</v>
      </c>
      <c r="RJ1" t="str">
        <v>階別用途別床面積-3-38階</v>
      </c>
      <c r="RK1" t="str">
        <v>階別用途別床面積-3-39階</v>
      </c>
      <c r="RL1" t="str">
        <v>階別用途別床面積-3-40階</v>
      </c>
      <c r="RM1" t="str">
        <v>階別用途別床面積-3-41階</v>
      </c>
      <c r="RN1" t="str">
        <v>階別用途別床面積-3-42階</v>
      </c>
      <c r="RO1" t="str">
        <v>階別用途別床面積-3-43階</v>
      </c>
      <c r="RP1" t="str">
        <v>階別用途別床面積-3-44階</v>
      </c>
      <c r="RQ1" t="str">
        <v>階別用途別床面積-3-45階</v>
      </c>
      <c r="RR1" t="str">
        <v>階別用途別床面積-3-46階</v>
      </c>
      <c r="RS1" t="str">
        <v>階別用途別床面積-3-47階</v>
      </c>
      <c r="RT1" t="str">
        <v>階別用途別床面積-3-48階</v>
      </c>
      <c r="RU1" t="str">
        <v>階別用途別床面積-3-49階</v>
      </c>
      <c r="RV1" t="str">
        <v>階別用途別床面積-3-50階</v>
      </c>
      <c r="RW1" t="str">
        <v>階別用途別床面積-4-大分類</v>
      </c>
      <c r="RX1" t="str">
        <v>階別用途別床面積-4-小分類</v>
      </c>
      <c r="RY1" t="str">
        <v>階別用途別床面積-4-特記</v>
      </c>
      <c r="RZ1" t="str">
        <v>階別用途別床面積-4-地下1階</v>
      </c>
      <c r="SA1" t="str">
        <v>階別用途別床面積-4-地下2階</v>
      </c>
      <c r="SB1" t="str">
        <v>階別用途別床面積-4-地下3階</v>
      </c>
      <c r="SC1" t="str">
        <v>階別用途別床面積-4-地下4階</v>
      </c>
      <c r="SD1" t="str">
        <v>階別用途別床面積-4-塔屋 1階</v>
      </c>
      <c r="SE1" t="str">
        <v>階別用途別床面積-4-塔屋 2階</v>
      </c>
      <c r="SF1" t="str">
        <v>階別用途別床面積-4-塔屋 3階</v>
      </c>
      <c r="SG1" t="str">
        <v>階別用途別床面積-4-塔屋 4階</v>
      </c>
      <c r="SH1" t="str">
        <v>階別用途別床面積-4-塔屋 5階</v>
      </c>
      <c r="SI1" t="str">
        <v>階別用途別床面積-4-1階</v>
      </c>
      <c r="SJ1" t="str">
        <v>階別用途別床面積-4-2階</v>
      </c>
      <c r="SK1" t="str">
        <v>階別用途別床面積-4-3階</v>
      </c>
      <c r="SL1" t="str">
        <v>階別用途別床面積-4-4階</v>
      </c>
      <c r="SM1" t="str">
        <v>階別用途別床面積-4-5階</v>
      </c>
      <c r="SN1" t="str">
        <v>階別用途別床面積-4-6階</v>
      </c>
      <c r="SO1" t="str">
        <v>階別用途別床面積-4-7階</v>
      </c>
      <c r="SP1" t="str">
        <v>階別用途別床面積-4-8階</v>
      </c>
      <c r="SQ1" t="str">
        <v>階別用途別床面積-4-9階</v>
      </c>
      <c r="SR1" t="str">
        <v>階別用途別床面積-4-10階</v>
      </c>
      <c r="SS1" t="str">
        <v>階別用途別床面積-4-11階</v>
      </c>
      <c r="ST1" t="str">
        <v>階別用途別床面積-4-12階</v>
      </c>
      <c r="SU1" t="str">
        <v>階別用途別床面積-4-13階</v>
      </c>
      <c r="SV1" t="str">
        <v>階別用途別床面積-4-14階</v>
      </c>
      <c r="SW1" t="str">
        <v>階別用途別床面積-4-15階</v>
      </c>
      <c r="SX1" t="str">
        <v>階別用途別床面積-4-16階</v>
      </c>
      <c r="SY1" t="str">
        <v>階別用途別床面積-4-17階</v>
      </c>
      <c r="SZ1" t="str">
        <v>階別用途別床面積-4-18階</v>
      </c>
      <c r="TA1" t="str">
        <v>階別用途別床面積-4-19階</v>
      </c>
      <c r="TB1" t="str">
        <v>階別用途別床面積-4-20階</v>
      </c>
      <c r="TC1" t="str">
        <v>階別用途別床面積-4-21階</v>
      </c>
      <c r="TD1" t="str">
        <v>階別用途別床面積-4-22階</v>
      </c>
      <c r="TE1" t="str">
        <v>階別用途別床面積-4-23階</v>
      </c>
      <c r="TF1" t="str">
        <v>階別用途別床面積-4-24階</v>
      </c>
      <c r="TG1" t="str">
        <v>階別用途別床面積-4-25階</v>
      </c>
      <c r="TH1" t="str">
        <v>階別用途別床面積-4-26階</v>
      </c>
      <c r="TI1" t="str">
        <v>階別用途別床面積-4-27階</v>
      </c>
      <c r="TJ1" t="str">
        <v>階別用途別床面積-4-28階</v>
      </c>
      <c r="TK1" t="str">
        <v>階別用途別床面積-4-29階</v>
      </c>
      <c r="TL1" t="str">
        <v>階別用途別床面積-4-30階</v>
      </c>
      <c r="TM1" t="str">
        <v>階別用途別床面積-4-31階</v>
      </c>
      <c r="TN1" t="str">
        <v>階別用途別床面積-4-32階</v>
      </c>
      <c r="TO1" t="str">
        <v>階別用途別床面積-4-33階</v>
      </c>
      <c r="TP1" t="str">
        <v>階別用途別床面積-4-34階</v>
      </c>
      <c r="TQ1" t="str">
        <v>階別用途別床面積-4-35階</v>
      </c>
      <c r="TR1" t="str">
        <v>階別用途別床面積-4-36階</v>
      </c>
      <c r="TS1" t="str">
        <v>階別用途別床面積-4-37階</v>
      </c>
      <c r="TT1" t="str">
        <v>階別用途別床面積-4-38階</v>
      </c>
      <c r="TU1" t="str">
        <v>階別用途別床面積-4-39階</v>
      </c>
      <c r="TV1" t="str">
        <v>階別用途別床面積-4-40階</v>
      </c>
      <c r="TW1" t="str">
        <v>階別用途別床面積-4-41階</v>
      </c>
      <c r="TX1" t="str">
        <v>階別用途別床面積-4-42階</v>
      </c>
      <c r="TY1" t="str">
        <v>階別用途別床面積-4-43階</v>
      </c>
      <c r="TZ1" t="str">
        <v>階別用途別床面積-4-44階</v>
      </c>
      <c r="UA1" t="str">
        <v>階別用途別床面積-4-45階</v>
      </c>
      <c r="UB1" t="str">
        <v>階別用途別床面積-4-46階</v>
      </c>
      <c r="UC1" t="str">
        <v>階別用途別床面積-4-47階</v>
      </c>
      <c r="UD1" t="str">
        <v>階別用途別床面積-4-48階</v>
      </c>
      <c r="UE1" t="str">
        <v>階別用途別床面積-4-49階</v>
      </c>
      <c r="UF1" t="str">
        <v>階別用途別床面積-4-50階</v>
      </c>
      <c r="UG1" t="str">
        <v>階別用途別床面積-5-大分類</v>
      </c>
      <c r="UH1" t="str">
        <v>階別用途別床面積-5-小分類</v>
      </c>
      <c r="UI1" t="str">
        <v>階別用途別床面積-5-特記</v>
      </c>
      <c r="UJ1" t="str">
        <v>階別用途別床面積-5-地下1階</v>
      </c>
      <c r="UK1" t="str">
        <v>階別用途別床面積-5-地下2階</v>
      </c>
      <c r="UL1" t="str">
        <v>階別用途別床面積-5-地下3階</v>
      </c>
      <c r="UM1" t="str">
        <v>階別用途別床面積-5-地下4階</v>
      </c>
      <c r="UN1" t="str">
        <v>階別用途別床面積-5-塔屋 1階</v>
      </c>
      <c r="UO1" t="str">
        <v>階別用途別床面積-5-塔屋 2階</v>
      </c>
      <c r="UP1" t="str">
        <v>階別用途別床面積-5-塔屋 3階</v>
      </c>
      <c r="UQ1" t="str">
        <v>階別用途別床面積-5-塔屋 4階</v>
      </c>
      <c r="UR1" t="str">
        <v>階別用途別床面積-5-塔屋 5階</v>
      </c>
      <c r="US1" t="str">
        <v>階別用途別床面積-5-1階</v>
      </c>
      <c r="UT1" t="str">
        <v>階別用途別床面積-5-2階</v>
      </c>
      <c r="UU1" t="str">
        <v>階別用途別床面積-5-3階</v>
      </c>
      <c r="UV1" t="str">
        <v>階別用途別床面積-5-4階</v>
      </c>
      <c r="UW1" t="str">
        <v>階別用途別床面積-5-5階</v>
      </c>
      <c r="UX1" t="str">
        <v>階別用途別床面積-5-6階</v>
      </c>
      <c r="UY1" t="str">
        <v>階別用途別床面積-5-7階</v>
      </c>
      <c r="UZ1" t="str">
        <v>階別用途別床面積-5-8階</v>
      </c>
      <c r="VA1" t="str">
        <v>階別用途別床面積-5-9階</v>
      </c>
      <c r="VB1" t="str">
        <v>階別用途別床面積-5-10階</v>
      </c>
      <c r="VC1" t="str">
        <v>階別用途別床面積-5-11階</v>
      </c>
      <c r="VD1" t="str">
        <v>階別用途別床面積-5-12階</v>
      </c>
      <c r="VE1" t="str">
        <v>階別用途別床面積-5-13階</v>
      </c>
      <c r="VF1" t="str">
        <v>階別用途別床面積-5-14階</v>
      </c>
      <c r="VG1" t="str">
        <v>階別用途別床面積-5-15階</v>
      </c>
      <c r="VH1" t="str">
        <v>階別用途別床面積-5-16階</v>
      </c>
      <c r="VI1" t="str">
        <v>階別用途別床面積-5-17階</v>
      </c>
      <c r="VJ1" t="str">
        <v>階別用途別床面積-5-18階</v>
      </c>
      <c r="VK1" t="str">
        <v>階別用途別床面積-5-19階</v>
      </c>
      <c r="VL1" t="str">
        <v>階別用途別床面積-5-20階</v>
      </c>
      <c r="VM1" t="str">
        <v>階別用途別床面積-5-21階</v>
      </c>
      <c r="VN1" t="str">
        <v>階別用途別床面積-5-22階</v>
      </c>
      <c r="VO1" t="str">
        <v>階別用途別床面積-5-23階</v>
      </c>
      <c r="VP1" t="str">
        <v>階別用途別床面積-5-24階</v>
      </c>
      <c r="VQ1" t="str">
        <v>階別用途別床面積-5-25階</v>
      </c>
      <c r="VR1" t="str">
        <v>階別用途別床面積-5-26階</v>
      </c>
      <c r="VS1" t="str">
        <v>階別用途別床面積-5-27階</v>
      </c>
      <c r="VT1" t="str">
        <v>階別用途別床面積-5-28階</v>
      </c>
      <c r="VU1" t="str">
        <v>階別用途別床面積-5-29階</v>
      </c>
      <c r="VV1" t="str">
        <v>階別用途別床面積-5-30階</v>
      </c>
      <c r="VW1" t="str">
        <v>階別用途別床面積-5-31階</v>
      </c>
      <c r="VX1" t="str">
        <v>階別用途別床面積-5-32階</v>
      </c>
      <c r="VY1" t="str">
        <v>階別用途別床面積-5-33階</v>
      </c>
      <c r="VZ1" t="str">
        <v>階別用途別床面積-5-34階</v>
      </c>
      <c r="WA1" t="str">
        <v>階別用途別床面積-5-35階</v>
      </c>
      <c r="WB1" t="str">
        <v>階別用途別床面積-5-36階</v>
      </c>
      <c r="WC1" t="str">
        <v>階別用途別床面積-5-37階</v>
      </c>
      <c r="WD1" t="str">
        <v>階別用途別床面積-5-38階</v>
      </c>
      <c r="WE1" t="str">
        <v>階別用途別床面積-5-39階</v>
      </c>
      <c r="WF1" t="str">
        <v>階別用途別床面積-5-40階</v>
      </c>
      <c r="WG1" t="str">
        <v>階別用途別床面積-5-41階</v>
      </c>
      <c r="WH1" t="str">
        <v>階別用途別床面積-5-42階</v>
      </c>
      <c r="WI1" t="str">
        <v>階別用途別床面積-5-43階</v>
      </c>
      <c r="WJ1" t="str">
        <v>階別用途別床面積-5-44階</v>
      </c>
      <c r="WK1" t="str">
        <v>階別用途別床面積-5-45階</v>
      </c>
      <c r="WL1" t="str">
        <v>階別用途別床面積-5-46階</v>
      </c>
      <c r="WM1" t="str">
        <v>階別用途別床面積-5-47階</v>
      </c>
      <c r="WN1" t="str">
        <v>階別用途別床面積-5-48階</v>
      </c>
      <c r="WO1" t="str">
        <v>階別用途別床面積-5-49階</v>
      </c>
      <c r="WP1" t="str">
        <v>階別用途別床面積-5-50階</v>
      </c>
      <c r="WQ1" t="str">
        <v>階別用途別床面積-6-大分類</v>
      </c>
      <c r="WR1" t="str">
        <v>階別用途別床面積-6-小分類</v>
      </c>
      <c r="WS1" t="str">
        <v>階別用途別床面積-6-特記</v>
      </c>
      <c r="WT1" t="str">
        <v>階別用途別床面積-6-地下1階</v>
      </c>
      <c r="WU1" t="str">
        <v>階別用途別床面積-6-地下2階</v>
      </c>
      <c r="WV1" t="str">
        <v>階別用途別床面積-6-地下3階</v>
      </c>
      <c r="WW1" t="str">
        <v>階別用途別床面積-6-地下4階</v>
      </c>
      <c r="WX1" t="str">
        <v>階別用途別床面積-6-塔屋 1階</v>
      </c>
      <c r="WY1" t="str">
        <v>階別用途別床面積-6-塔屋 2階</v>
      </c>
      <c r="WZ1" t="str">
        <v>階別用途別床面積-6-塔屋 3階</v>
      </c>
      <c r="XA1" t="str">
        <v>階別用途別床面積-6-塔屋 4階</v>
      </c>
      <c r="XB1" t="str">
        <v>階別用途別床面積-6-塔屋 5階</v>
      </c>
      <c r="XC1" t="str">
        <v>階別用途別床面積-6-1階</v>
      </c>
      <c r="XD1" t="str">
        <v>階別用途別床面積-6-2階</v>
      </c>
      <c r="XE1" t="str">
        <v>階別用途別床面積-6-3階</v>
      </c>
      <c r="XF1" t="str">
        <v>階別用途別床面積-6-4階</v>
      </c>
      <c r="XG1" t="str">
        <v>階別用途別床面積-6-5階</v>
      </c>
      <c r="XH1" t="str">
        <v>階別用途別床面積-6-6階</v>
      </c>
      <c r="XI1" t="str">
        <v>階別用途別床面積-6-7階</v>
      </c>
      <c r="XJ1" t="str">
        <v>階別用途別床面積-6-8階</v>
      </c>
      <c r="XK1" t="str">
        <v>階別用途別床面積-6-9階</v>
      </c>
      <c r="XL1" t="str">
        <v>階別用途別床面積-6-10階</v>
      </c>
      <c r="XM1" t="str">
        <v>階別用途別床面積-6-11階</v>
      </c>
      <c r="XN1" t="str">
        <v>階別用途別床面積-6-12階</v>
      </c>
      <c r="XO1" t="str">
        <v>階別用途別床面積-6-13階</v>
      </c>
      <c r="XP1" t="str">
        <v>階別用途別床面積-6-14階</v>
      </c>
      <c r="XQ1" t="str">
        <v>階別用途別床面積-6-15階</v>
      </c>
      <c r="XR1" t="str">
        <v>階別用途別床面積-6-16階</v>
      </c>
      <c r="XS1" t="str">
        <v>階別用途別床面積-6-17階</v>
      </c>
      <c r="XT1" t="str">
        <v>階別用途別床面積-6-18階</v>
      </c>
      <c r="XU1" t="str">
        <v>階別用途別床面積-6-19階</v>
      </c>
      <c r="XV1" t="str">
        <v>階別用途別床面積-6-20階</v>
      </c>
      <c r="XW1" t="str">
        <v>階別用途別床面積-6-21階</v>
      </c>
      <c r="XX1" t="str">
        <v>階別用途別床面積-6-22階</v>
      </c>
      <c r="XY1" t="str">
        <v>階別用途別床面積-6-23階</v>
      </c>
      <c r="XZ1" t="str">
        <v>階別用途別床面積-6-24階</v>
      </c>
      <c r="YA1" t="str">
        <v>階別用途別床面積-6-25階</v>
      </c>
      <c r="YB1" t="str">
        <v>階別用途別床面積-6-26階</v>
      </c>
      <c r="YC1" t="str">
        <v>階別用途別床面積-6-27階</v>
      </c>
      <c r="YD1" t="str">
        <v>階別用途別床面積-6-28階</v>
      </c>
      <c r="YE1" t="str">
        <v>階別用途別床面積-6-29階</v>
      </c>
      <c r="YF1" t="str">
        <v>階別用途別床面積-6-30階</v>
      </c>
      <c r="YG1" t="str">
        <v>階別用途別床面積-6-31階</v>
      </c>
      <c r="YH1" t="str">
        <v>階別用途別床面積-6-32階</v>
      </c>
      <c r="YI1" t="str">
        <v>階別用途別床面積-6-33階</v>
      </c>
      <c r="YJ1" t="str">
        <v>階別用途別床面積-6-34階</v>
      </c>
      <c r="YK1" t="str">
        <v>階別用途別床面積-6-35階</v>
      </c>
      <c r="YL1" t="str">
        <v>階別用途別床面積-6-36階</v>
      </c>
      <c r="YM1" t="str">
        <v>階別用途別床面積-6-37階</v>
      </c>
      <c r="YN1" t="str">
        <v>階別用途別床面積-6-38階</v>
      </c>
      <c r="YO1" t="str">
        <v>階別用途別床面積-6-39階</v>
      </c>
      <c r="YP1" t="str">
        <v>階別用途別床面積-6-40階</v>
      </c>
      <c r="YQ1" t="str">
        <v>階別用途別床面積-6-41階</v>
      </c>
      <c r="YR1" t="str">
        <v>階別用途別床面積-6-42階</v>
      </c>
      <c r="YS1" t="str">
        <v>階別用途別床面積-6-43階</v>
      </c>
      <c r="YT1" t="str">
        <v>階別用途別床面積-6-44階</v>
      </c>
      <c r="YU1" t="str">
        <v>階別用途別床面積-6-45階</v>
      </c>
      <c r="YV1" t="str">
        <v>階別用途別床面積-6-46階</v>
      </c>
      <c r="YW1" t="str">
        <v>階別用途別床面積-6-47階</v>
      </c>
      <c r="YX1" t="str">
        <v>階別用途別床面積-6-48階</v>
      </c>
      <c r="YY1" t="str">
        <v>階別用途別床面積-6-49階</v>
      </c>
      <c r="YZ1" t="str">
        <v>階別用途別床面積-6-50階</v>
      </c>
      <c r="ZA1" t="str">
        <v>階別用途別床面積-7-大分類</v>
      </c>
      <c r="ZB1" t="str">
        <v>階別用途別床面積-7-小分類</v>
      </c>
      <c r="ZC1" t="str">
        <v>階別用途別床面積-7-特記</v>
      </c>
      <c r="ZD1" t="str">
        <v>階別用途別床面積-7-地下1階</v>
      </c>
      <c r="ZE1" t="str">
        <v>階別用途別床面積-7-地下2階</v>
      </c>
      <c r="ZF1" t="str">
        <v>階別用途別床面積-7-地下3階</v>
      </c>
      <c r="ZG1" t="str">
        <v>階別用途別床面積-7-地下4階</v>
      </c>
      <c r="ZH1" t="str">
        <v>階別用途別床面積-7-塔屋 1階</v>
      </c>
      <c r="ZI1" t="str">
        <v>階別用途別床面積-7-塔屋 2階</v>
      </c>
      <c r="ZJ1" t="str">
        <v>階別用途別床面積-7-塔屋 3階</v>
      </c>
      <c r="ZK1" t="str">
        <v>階別用途別床面積-7-塔屋 4階</v>
      </c>
      <c r="ZL1" t="str">
        <v>階別用途別床面積-7-塔屋 5階</v>
      </c>
      <c r="ZM1" t="str">
        <v>階別用途別床面積-7-1階</v>
      </c>
      <c r="ZN1" t="str">
        <v>階別用途別床面積-7-2階</v>
      </c>
      <c r="ZO1" t="str">
        <v>階別用途別床面積-7-3階</v>
      </c>
      <c r="ZP1" t="str">
        <v>階別用途別床面積-7-4階</v>
      </c>
      <c r="ZQ1" t="str">
        <v>階別用途別床面積-7-5階</v>
      </c>
      <c r="ZR1" t="str">
        <v>階別用途別床面積-7-6階</v>
      </c>
      <c r="ZS1" t="str">
        <v>階別用途別床面積-7-7階</v>
      </c>
      <c r="ZT1" t="str">
        <v>階別用途別床面積-7-8階</v>
      </c>
      <c r="ZU1" t="str">
        <v>階別用途別床面積-7-9階</v>
      </c>
      <c r="ZV1" t="str">
        <v>階別用途別床面積-7-10階</v>
      </c>
      <c r="ZW1" t="str">
        <v>階別用途別床面積-7-11階</v>
      </c>
      <c r="ZX1" t="str">
        <v>階別用途別床面積-7-12階</v>
      </c>
      <c r="ZY1" t="str">
        <v>階別用途別床面積-7-13階</v>
      </c>
      <c r="ZZ1" t="str">
        <v>階別用途別床面積-7-14階</v>
      </c>
      <c r="AAA1" t="str">
        <v>階別用途別床面積-7-15階</v>
      </c>
      <c r="AAB1" t="str">
        <v>階別用途別床面積-7-16階</v>
      </c>
      <c r="AAC1" t="str">
        <v>階別用途別床面積-7-17階</v>
      </c>
      <c r="AAD1" t="str">
        <v>階別用途別床面積-7-18階</v>
      </c>
      <c r="AAE1" t="str">
        <v>階別用途別床面積-7-19階</v>
      </c>
      <c r="AAF1" t="str">
        <v>階別用途別床面積-7-20階</v>
      </c>
      <c r="AAG1" t="str">
        <v>階別用途別床面積-7-21階</v>
      </c>
      <c r="AAH1" t="str">
        <v>階別用途別床面積-7-22階</v>
      </c>
      <c r="AAI1" t="str">
        <v>階別用途別床面積-7-23階</v>
      </c>
      <c r="AAJ1" t="str">
        <v>階別用途別床面積-7-24階</v>
      </c>
      <c r="AAK1" t="str">
        <v>階別用途別床面積-7-25階</v>
      </c>
      <c r="AAL1" t="str">
        <v>階別用途別床面積-7-26階</v>
      </c>
      <c r="AAM1" t="str">
        <v>階別用途別床面積-7-27階</v>
      </c>
      <c r="AAN1" t="str">
        <v>階別用途別床面積-7-28階</v>
      </c>
      <c r="AAO1" t="str">
        <v>階別用途別床面積-7-29階</v>
      </c>
      <c r="AAP1" t="str">
        <v>階別用途別床面積-7-30階</v>
      </c>
      <c r="AAQ1" t="str">
        <v>階別用途別床面積-7-31階</v>
      </c>
      <c r="AAR1" t="str">
        <v>階別用途別床面積-7-32階</v>
      </c>
      <c r="AAS1" t="str">
        <v>階別用途別床面積-7-33階</v>
      </c>
      <c r="AAT1" t="str">
        <v>階別用途別床面積-7-34階</v>
      </c>
      <c r="AAU1" t="str">
        <v>階別用途別床面積-7-35階</v>
      </c>
      <c r="AAV1" t="str">
        <v>階別用途別床面積-7-36階</v>
      </c>
      <c r="AAW1" t="str">
        <v>階別用途別床面積-7-37階</v>
      </c>
      <c r="AAX1" t="str">
        <v>階別用途別床面積-7-38階</v>
      </c>
      <c r="AAY1" t="str">
        <v>階別用途別床面積-7-39階</v>
      </c>
      <c r="AAZ1" t="str">
        <v>階別用途別床面積-7-40階</v>
      </c>
      <c r="ABA1" t="str">
        <v>階別用途別床面積-7-41階</v>
      </c>
      <c r="ABB1" t="str">
        <v>階別用途別床面積-7-42階</v>
      </c>
      <c r="ABC1" t="str">
        <v>階別用途別床面積-7-43階</v>
      </c>
      <c r="ABD1" t="str">
        <v>階別用途別床面積-7-44階</v>
      </c>
      <c r="ABE1" t="str">
        <v>階別用途別床面積-7-45階</v>
      </c>
      <c r="ABF1" t="str">
        <v>階別用途別床面積-7-46階</v>
      </c>
      <c r="ABG1" t="str">
        <v>階別用途別床面積-7-47階</v>
      </c>
      <c r="ABH1" t="str">
        <v>階別用途別床面積-7-48階</v>
      </c>
      <c r="ABI1" t="str">
        <v>階別用途別床面積-7-49階</v>
      </c>
      <c r="ABJ1" t="str">
        <v>階別用途別床面積-7-50階</v>
      </c>
      <c r="ABK1" t="str">
        <v>階別用途別床面積-延べ面積</v>
      </c>
      <c r="ABL1" t="str">
        <v>階別用途別床面積-小分類3以降</v>
      </c>
      <c r="ABM1" t="str">
        <v>info関数-操作環境の名前</v>
      </c>
      <c r="ABN1" t="str">
        <v>info関数-OSのバージョン</v>
      </c>
      <c r="ABO1" t="str">
        <v>info関数-Excel のバージョン</v>
      </c>
      <c r="ABP1" t="str">
        <v>入力支援ファイルのバージョン</v>
      </c>
    </row>
    <row r="2" spans="1:744" x14ac:dyDescent="0.15">
      <c r="A2" t="str" cm="1">
        <f t="array" ref="A2:ABP2">TRANSPOSE(リンクシート_全て_調査結果以外!G4:G747)</f>
        <v>令和</v>
      </c>
      <c r="B2" t="str">
        <v>0</v>
      </c>
      <c r="C2" t="str">
        <v>2018</v>
      </c>
      <c r="D2" t="str">
        <v>令和</v>
      </c>
      <c r="E2" t="str">
        <v>0</v>
      </c>
      <c r="F2" t="str">
        <v>0</v>
      </c>
      <c r="G2" t="str">
        <v>0</v>
      </c>
      <c r="H2" t="str">
        <v>0</v>
      </c>
      <c r="I2" t="str">
        <v>0</v>
      </c>
      <c r="J2" t="str">
        <v>0000</v>
      </c>
      <c r="K2" t="str">
        <v>0</v>
      </c>
      <c r="L2" t="str">
        <v>0</v>
      </c>
      <c r="M2" t="str">
        <v/>
      </c>
      <c r="N2" t="str">
        <v>0</v>
      </c>
      <c r="O2" t="str">
        <v>0</v>
      </c>
      <c r="P2" t="str">
        <v/>
      </c>
      <c r="Q2" t="str">
        <v/>
      </c>
      <c r="R2" t="str">
        <v/>
      </c>
      <c r="S2" t="str">
        <v/>
      </c>
      <c r="T2" t="str">
        <v/>
      </c>
      <c r="U2" t="str">
        <v>0</v>
      </c>
      <c r="V2" t="str">
        <v/>
      </c>
      <c r="W2" t="str">
        <v/>
      </c>
      <c r="X2" t="str">
        <v/>
      </c>
      <c r="Y2" t="str">
        <v/>
      </c>
      <c r="Z2" t="str">
        <v>0</v>
      </c>
      <c r="AA2" t="str">
        <v/>
      </c>
      <c r="AB2" t="str">
        <v/>
      </c>
      <c r="AC2" t="str">
        <v/>
      </c>
      <c r="AD2" t="str">
        <v/>
      </c>
      <c r="AE2" t="str">
        <v/>
      </c>
      <c r="AF2" t="str">
        <v/>
      </c>
      <c r="AG2" t="str">
        <v/>
      </c>
      <c r="AH2" t="str">
        <v/>
      </c>
      <c r="AI2" t="str">
        <v/>
      </c>
      <c r="AJ2" t="str">
        <v/>
      </c>
      <c r="AK2" t="str">
        <v/>
      </c>
      <c r="AL2" t="str">
        <v>0</v>
      </c>
      <c r="AM2" t="str">
        <v/>
      </c>
      <c r="AN2" t="str">
        <v/>
      </c>
      <c r="AO2" t="str">
        <v/>
      </c>
      <c r="AP2" t="str">
        <v/>
      </c>
      <c r="AQ2" t="str">
        <v/>
      </c>
      <c r="AR2" t="str">
        <v/>
      </c>
      <c r="AS2" t="str">
        <v/>
      </c>
      <c r="AT2" t="str">
        <v/>
      </c>
      <c r="AU2" t="str">
        <v/>
      </c>
      <c r="AV2" t="str">
        <v/>
      </c>
      <c r="AW2" t="str">
        <v/>
      </c>
      <c r="AX2" t="str">
        <v>0</v>
      </c>
      <c r="AY2" t="str">
        <v/>
      </c>
      <c r="AZ2" t="str">
        <v/>
      </c>
      <c r="BA2" t="str">
        <v/>
      </c>
      <c r="BB2" t="str">
        <v/>
      </c>
      <c r="BC2" t="str">
        <v/>
      </c>
      <c r="BD2" t="str">
        <v/>
      </c>
      <c r="BE2" t="str">
        <v/>
      </c>
      <c r="BF2" t="str">
        <v/>
      </c>
      <c r="BG2" t="str">
        <v/>
      </c>
      <c r="BH2" t="str">
        <v/>
      </c>
      <c r="BI2" t="str">
        <v/>
      </c>
      <c r="BJ2" t="str">
        <v>0</v>
      </c>
      <c r="BK2" t="str">
        <v/>
      </c>
      <c r="BL2" t="str">
        <v/>
      </c>
      <c r="BM2" t="str">
        <v/>
      </c>
      <c r="BN2" t="str">
        <v/>
      </c>
      <c r="BO2" t="str">
        <v/>
      </c>
      <c r="BP2" t="str">
        <v/>
      </c>
      <c r="BQ2" t="str">
        <v/>
      </c>
      <c r="BR2" t="str">
        <v/>
      </c>
      <c r="BS2" t="str">
        <v/>
      </c>
      <c r="BT2" t="str">
        <v/>
      </c>
      <c r="BU2" t="str">
        <v/>
      </c>
      <c r="BV2" t="str">
        <v/>
      </c>
      <c r="BW2" t="str">
        <v/>
      </c>
      <c r="BX2" t="str">
        <v/>
      </c>
      <c r="BY2" t="str">
        <v/>
      </c>
      <c r="BZ2" t="str">
        <v/>
      </c>
      <c r="CA2" t="str">
        <v/>
      </c>
      <c r="CB2" t="str">
        <v/>
      </c>
      <c r="CC2" t="str">
        <v/>
      </c>
      <c r="CD2" t="str">
        <v/>
      </c>
      <c r="CE2" t="str">
        <v/>
      </c>
      <c r="CF2" t="str">
        <v/>
      </c>
      <c r="CG2" t="str">
        <v>0</v>
      </c>
      <c r="CH2" t="str">
        <v>0</v>
      </c>
      <c r="CI2" t="str">
        <v>0</v>
      </c>
      <c r="CJ2" t="str">
        <v>0</v>
      </c>
      <c r="CK2" t="str">
        <v>0</v>
      </c>
      <c r="CL2" t="str">
        <v>0</v>
      </c>
      <c r="CM2" t="str">
        <v>0</v>
      </c>
      <c r="CN2" t="str">
        <v>0</v>
      </c>
      <c r="CO2" t="str">
        <v>0</v>
      </c>
      <c r="CP2" t="str">
        <v>0</v>
      </c>
      <c r="CQ2" t="str">
        <v>0</v>
      </c>
      <c r="CR2" t="str">
        <v>0</v>
      </c>
      <c r="CS2" t="str">
        <v>0</v>
      </c>
      <c r="CT2" t="str">
        <v>0</v>
      </c>
      <c r="CU2" t="str">
        <v>0</v>
      </c>
      <c r="CV2" t="str">
        <v>0</v>
      </c>
      <c r="CW2" t="str">
        <v>0</v>
      </c>
      <c r="CX2" t="str">
        <v>0</v>
      </c>
      <c r="CY2" t="str">
        <v>0</v>
      </c>
      <c r="CZ2" t="str">
        <v>0</v>
      </c>
      <c r="DA2" t="str">
        <v>0</v>
      </c>
      <c r="DB2" t="str">
        <v>0</v>
      </c>
      <c r="DC2" t="str">
        <v>0</v>
      </c>
      <c r="DD2" t="str">
        <v>0</v>
      </c>
      <c r="DE2" t="str">
        <v>0</v>
      </c>
      <c r="DF2" t="str">
        <v>0</v>
      </c>
      <c r="DG2" t="str">
        <v>0</v>
      </c>
      <c r="DH2" t="str">
        <v>0</v>
      </c>
      <c r="DI2" t="str">
        <v>0</v>
      </c>
      <c r="DJ2" t="str">
        <v>0</v>
      </c>
      <c r="DK2" t="str">
        <v>0</v>
      </c>
      <c r="DL2" t="str">
        <v>0</v>
      </c>
      <c r="DM2" t="str">
        <v>0</v>
      </c>
      <c r="DN2" t="str">
        <v>0</v>
      </c>
      <c r="DO2" t="str">
        <v>0</v>
      </c>
      <c r="DP2" t="str">
        <v>0</v>
      </c>
      <c r="DQ2" t="str">
        <v>0</v>
      </c>
      <c r="DR2" t="str">
        <v>0</v>
      </c>
      <c r="DS2" t="str">
        <v>0</v>
      </c>
      <c r="DT2" t="str">
        <v>0</v>
      </c>
      <c r="DU2" t="str">
        <v>0</v>
      </c>
      <c r="DV2" t="str">
        <v>0</v>
      </c>
      <c r="DW2" t="str">
        <v>0</v>
      </c>
      <c r="DX2" t="str">
        <v>0</v>
      </c>
      <c r="DY2" t="str">
        <v/>
      </c>
      <c r="DZ2" t="str">
        <v>0</v>
      </c>
      <c r="EA2" t="str">
        <v>0</v>
      </c>
      <c r="EB2" t="str">
        <v>0</v>
      </c>
      <c r="EC2" t="str">
        <v>0</v>
      </c>
      <c r="ED2" t="str">
        <v>0</v>
      </c>
      <c r="EE2" t="str">
        <v>0</v>
      </c>
      <c r="EF2" t="str">
        <v>0</v>
      </c>
      <c r="EG2" t="str">
        <v>0</v>
      </c>
      <c r="EH2" t="str">
        <v>0</v>
      </c>
      <c r="EI2" t="str">
        <v/>
      </c>
      <c r="EJ2" t="str">
        <v>0</v>
      </c>
      <c r="EK2" t="str">
        <v>0</v>
      </c>
      <c r="EL2" t="str">
        <v>0</v>
      </c>
      <c r="EM2" t="str">
        <v/>
      </c>
      <c r="EN2" t="str">
        <v/>
      </c>
      <c r="EO2" t="str">
        <v/>
      </c>
      <c r="EP2" t="str">
        <v/>
      </c>
      <c r="EQ2" t="str">
        <v/>
      </c>
      <c r="ER2" t="str">
        <v/>
      </c>
      <c r="ES2" t="str">
        <v/>
      </c>
      <c r="ET2" t="str">
        <v/>
      </c>
      <c r="EU2" t="str">
        <v/>
      </c>
      <c r="EV2" t="str">
        <v/>
      </c>
      <c r="EW2" t="str">
        <v/>
      </c>
      <c r="EX2" t="str">
        <v/>
      </c>
      <c r="EY2" t="str">
        <v/>
      </c>
      <c r="EZ2" t="str">
        <v/>
      </c>
      <c r="FA2" t="str">
        <v/>
      </c>
      <c r="FB2" t="str">
        <v/>
      </c>
      <c r="FC2" t="str">
        <v/>
      </c>
      <c r="FD2" t="str">
        <v/>
      </c>
      <c r="FE2" t="str">
        <v/>
      </c>
      <c r="FF2" t="str">
        <v/>
      </c>
      <c r="FG2" t="str">
        <v/>
      </c>
      <c r="FH2" t="str">
        <v>0</v>
      </c>
      <c r="FI2" t="str">
        <v/>
      </c>
      <c r="FJ2" t="str">
        <v/>
      </c>
      <c r="FK2" t="str">
        <v>0</v>
      </c>
      <c r="FL2" t="str">
        <v>0</v>
      </c>
      <c r="FM2" t="str">
        <v>令和</v>
      </c>
      <c r="FN2" t="str">
        <v>0</v>
      </c>
      <c r="FO2" t="str">
        <v>0</v>
      </c>
      <c r="FP2" t="str">
        <v>0</v>
      </c>
      <c r="FQ2" t="str">
        <v>0</v>
      </c>
      <c r="FR2" t="str">
        <v>0</v>
      </c>
      <c r="FS2" t="str">
        <v>0</v>
      </c>
      <c r="FT2" t="str">
        <v>0</v>
      </c>
      <c r="FU2" t="str">
        <v>0</v>
      </c>
      <c r="FV2" t="str">
        <v>0</v>
      </c>
      <c r="FW2" t="str">
        <v>0</v>
      </c>
      <c r="FX2" t="str">
        <v>0</v>
      </c>
      <c r="FY2" t="str">
        <v>0</v>
      </c>
      <c r="FZ2" t="str">
        <v>0</v>
      </c>
      <c r="GA2" t="str">
        <v>0</v>
      </c>
      <c r="GB2" t="str">
        <v>0</v>
      </c>
      <c r="GC2" t="str">
        <v>0</v>
      </c>
      <c r="GD2" t="str">
        <v>0</v>
      </c>
      <c r="GE2" t="str">
        <v>0</v>
      </c>
      <c r="GF2" t="str">
        <v>0</v>
      </c>
      <c r="GG2" t="str">
        <v>0</v>
      </c>
      <c r="GH2" t="str">
        <v>0</v>
      </c>
      <c r="GI2" t="str">
        <v>0</v>
      </c>
      <c r="GJ2" t="str">
        <v>0</v>
      </c>
      <c r="GK2" t="str">
        <v>0</v>
      </c>
      <c r="GL2" t="str">
        <v>0</v>
      </c>
      <c r="GM2" t="str">
        <v>0</v>
      </c>
      <c r="GN2" t="str">
        <v>令和</v>
      </c>
      <c r="GO2" t="str">
        <v>0</v>
      </c>
      <c r="GP2" t="str">
        <v>0</v>
      </c>
      <c r="GQ2" t="str">
        <v/>
      </c>
      <c r="GR2" t="str">
        <v/>
      </c>
      <c r="GS2" t="str">
        <v/>
      </c>
      <c r="GT2" t="str">
        <v/>
      </c>
      <c r="GU2" t="str">
        <v/>
      </c>
      <c r="GV2" t="str">
        <v/>
      </c>
      <c r="GW2" t="str">
        <v/>
      </c>
      <c r="GX2" t="str">
        <v/>
      </c>
      <c r="GY2" t="str">
        <v/>
      </c>
      <c r="GZ2" t="str">
        <v/>
      </c>
      <c r="HA2" t="str">
        <v/>
      </c>
      <c r="HB2" t="str">
        <v/>
      </c>
      <c r="HC2" t="str">
        <v/>
      </c>
      <c r="HD2" t="str">
        <v/>
      </c>
      <c r="HE2" t="str">
        <v/>
      </c>
      <c r="HF2" t="str">
        <v/>
      </c>
      <c r="HG2" t="str">
        <v/>
      </c>
      <c r="HH2" t="str">
        <v/>
      </c>
      <c r="HI2" t="str">
        <v/>
      </c>
      <c r="HJ2" t="str">
        <v/>
      </c>
      <c r="HK2" t="str">
        <v/>
      </c>
      <c r="HL2" t="str">
        <v/>
      </c>
      <c r="HM2" t="str">
        <v>0</v>
      </c>
      <c r="HN2" t="str">
        <v>0</v>
      </c>
      <c r="HO2" t="str">
        <v>0</v>
      </c>
      <c r="HP2" t="str">
        <v>0</v>
      </c>
      <c r="HQ2" t="str">
        <v>0</v>
      </c>
      <c r="HR2" t="str">
        <v>0</v>
      </c>
      <c r="HS2" t="str">
        <v>0</v>
      </c>
      <c r="HT2" t="str">
        <v>0</v>
      </c>
      <c r="HU2" t="str">
        <v>0</v>
      </c>
      <c r="HV2" t="str">
        <v>0</v>
      </c>
      <c r="HW2" t="str">
        <v>0</v>
      </c>
      <c r="HX2" t="str">
        <v>0</v>
      </c>
      <c r="HY2" t="str">
        <v>0</v>
      </c>
      <c r="HZ2" t="str">
        <v>0</v>
      </c>
      <c r="IA2" t="str">
        <v>0</v>
      </c>
      <c r="IB2" t="str">
        <v>0</v>
      </c>
      <c r="IC2" t="str">
        <v>0</v>
      </c>
      <c r="ID2" t="str">
        <v>0</v>
      </c>
      <c r="IE2" t="str">
        <v>0</v>
      </c>
      <c r="IF2" t="str">
        <v>0</v>
      </c>
      <c r="IG2" t="str">
        <v>0</v>
      </c>
      <c r="IH2" t="str">
        <v>0</v>
      </c>
      <c r="II2" t="str">
        <v>0</v>
      </c>
      <c r="IJ2" t="str">
        <v>0</v>
      </c>
      <c r="IK2" t="str">
        <v>0</v>
      </c>
      <c r="IL2" t="str">
        <v>0</v>
      </c>
      <c r="IM2" t="str">
        <v>0</v>
      </c>
      <c r="IN2" t="str">
        <v>0</v>
      </c>
      <c r="IO2" t="str">
        <v>0</v>
      </c>
      <c r="IP2" t="str">
        <v>0</v>
      </c>
      <c r="IQ2" t="str">
        <v>0</v>
      </c>
      <c r="IR2" t="str">
        <v>0</v>
      </c>
      <c r="IS2" t="str">
        <v>0</v>
      </c>
      <c r="IT2" t="str">
        <v>0</v>
      </c>
      <c r="IU2" t="str">
        <v>0</v>
      </c>
      <c r="IV2" t="str">
        <v>0</v>
      </c>
      <c r="IW2" t="str">
        <v>0</v>
      </c>
      <c r="IX2" t="str">
        <v>0</v>
      </c>
      <c r="IY2" t="str">
        <v>0</v>
      </c>
      <c r="IZ2" t="str">
        <v>0</v>
      </c>
      <c r="JA2" t="str">
        <v>0</v>
      </c>
      <c r="JB2" t="str">
        <v>0</v>
      </c>
      <c r="JC2" t="str">
        <v>0</v>
      </c>
      <c r="JD2" t="str">
        <v>0</v>
      </c>
      <c r="JE2" t="str">
        <v>0</v>
      </c>
      <c r="JF2" t="str">
        <v>0</v>
      </c>
      <c r="JG2" t="str">
        <v>0</v>
      </c>
      <c r="JH2" t="str">
        <v>0</v>
      </c>
      <c r="JI2" t="str">
        <v/>
      </c>
      <c r="JJ2" t="str">
        <v/>
      </c>
      <c r="JK2" t="str">
        <v>0</v>
      </c>
      <c r="JL2" t="str">
        <v>0</v>
      </c>
      <c r="JM2" t="str">
        <v>0</v>
      </c>
      <c r="JN2" t="str">
        <v>0</v>
      </c>
      <c r="JO2" t="str">
        <v>0</v>
      </c>
      <c r="JP2" t="str">
        <v>0</v>
      </c>
      <c r="JQ2" t="str">
        <v>0</v>
      </c>
      <c r="JR2" t="str">
        <v>0</v>
      </c>
      <c r="JS2" t="str">
        <v>0</v>
      </c>
      <c r="JT2" t="str">
        <v>0</v>
      </c>
      <c r="JU2" t="str">
        <v>0</v>
      </c>
      <c r="JV2" t="str">
        <v>0</v>
      </c>
      <c r="JW2" t="str">
        <v>0</v>
      </c>
      <c r="JX2" t="str">
        <v>0</v>
      </c>
      <c r="JY2" t="str">
        <v/>
      </c>
      <c r="JZ2" t="str">
        <v/>
      </c>
      <c r="KA2" t="str">
        <v/>
      </c>
      <c r="KB2" t="str">
        <v/>
      </c>
      <c r="KC2" t="str">
        <v/>
      </c>
      <c r="KD2" t="str">
        <v/>
      </c>
      <c r="KE2" t="str">
        <v/>
      </c>
      <c r="KF2" t="str">
        <v/>
      </c>
      <c r="KG2" t="str">
        <v/>
      </c>
      <c r="KH2" t="str">
        <v/>
      </c>
      <c r="KI2" t="str">
        <v/>
      </c>
      <c r="KJ2" t="str">
        <v/>
      </c>
      <c r="KK2" t="str">
        <v/>
      </c>
      <c r="KL2" t="str">
        <v>0</v>
      </c>
      <c r="KM2" t="str">
        <v>0</v>
      </c>
      <c r="KN2" t="str">
        <v/>
      </c>
      <c r="KO2" t="str">
        <v>0</v>
      </c>
      <c r="KP2" t="str">
        <v/>
      </c>
      <c r="KQ2" t="str">
        <v>0</v>
      </c>
      <c r="KR2" t="str">
        <v/>
      </c>
      <c r="KS2" t="str">
        <v>0</v>
      </c>
      <c r="KT2" t="str">
        <v>0</v>
      </c>
      <c r="KU2" t="str">
        <v>0</v>
      </c>
      <c r="KV2" t="str">
        <v>0</v>
      </c>
      <c r="KW2" t="str">
        <v>0</v>
      </c>
      <c r="KX2" t="str">
        <v>0</v>
      </c>
      <c r="KY2" t="str">
        <v>0</v>
      </c>
      <c r="KZ2" t="str">
        <v>0</v>
      </c>
      <c r="LA2" t="str">
        <v>0</v>
      </c>
      <c r="LB2" t="str">
        <v>0</v>
      </c>
      <c r="LC2" t="str">
        <v>0</v>
      </c>
      <c r="LD2" t="str">
        <v>0</v>
      </c>
      <c r="LE2" t="str">
        <v>0</v>
      </c>
      <c r="LF2" t="str">
        <v>0</v>
      </c>
      <c r="LG2" t="str">
        <v>0</v>
      </c>
      <c r="LH2" t="str">
        <v>0</v>
      </c>
      <c r="LI2" t="str">
        <v>0</v>
      </c>
      <c r="LJ2" t="str">
        <v>0</v>
      </c>
      <c r="LK2" t="str">
        <v>0</v>
      </c>
      <c r="LL2" t="str">
        <v>0</v>
      </c>
      <c r="LM2" t="str">
        <v>0</v>
      </c>
      <c r="LN2" t="str">
        <v>0</v>
      </c>
      <c r="LO2" t="str">
        <v>0</v>
      </c>
      <c r="LP2" t="str">
        <v>0</v>
      </c>
      <c r="LQ2" t="str">
        <v>0</v>
      </c>
      <c r="LR2" t="str">
        <v>0</v>
      </c>
      <c r="LS2" t="str">
        <v>0</v>
      </c>
      <c r="LT2" t="str">
        <v>0</v>
      </c>
      <c r="LU2" t="str">
        <v>0</v>
      </c>
      <c r="LV2" t="str">
        <v>0</v>
      </c>
      <c r="LW2" t="str">
        <v>0</v>
      </c>
      <c r="LX2" t="str">
        <v>0</v>
      </c>
      <c r="LY2" t="str">
        <v>0</v>
      </c>
      <c r="LZ2" t="str">
        <v>0</v>
      </c>
      <c r="MA2" t="str">
        <v>0</v>
      </c>
      <c r="MB2" t="str">
        <v>0</v>
      </c>
      <c r="MC2" t="str">
        <v>0</v>
      </c>
      <c r="MD2" t="str">
        <v>0</v>
      </c>
      <c r="ME2" t="str">
        <v>0</v>
      </c>
      <c r="MF2" t="str">
        <v>0</v>
      </c>
      <c r="MG2" t="str">
        <v>0</v>
      </c>
      <c r="MH2" t="str">
        <v>0</v>
      </c>
      <c r="MI2" t="str">
        <v>0</v>
      </c>
      <c r="MJ2" t="str">
        <v>0</v>
      </c>
      <c r="MK2" t="str">
        <v>0</v>
      </c>
      <c r="ML2" t="str">
        <v>0</v>
      </c>
      <c r="MM2" t="str">
        <v>0</v>
      </c>
      <c r="MN2" t="str">
        <v>0</v>
      </c>
      <c r="MO2" t="str">
        <v>0</v>
      </c>
      <c r="MP2" t="str">
        <v>0</v>
      </c>
      <c r="MQ2" t="str">
        <v>0</v>
      </c>
      <c r="MR2" t="str">
        <v>0</v>
      </c>
      <c r="MS2" t="str">
        <v>0</v>
      </c>
      <c r="MT2" t="str">
        <v>0</v>
      </c>
      <c r="MU2" t="str">
        <v>0</v>
      </c>
      <c r="MV2" t="str">
        <v>0</v>
      </c>
      <c r="MW2" t="str">
        <v>0</v>
      </c>
      <c r="MX2" t="str">
        <v>0</v>
      </c>
      <c r="MY2" t="str">
        <v>0</v>
      </c>
      <c r="MZ2" t="str">
        <v>0</v>
      </c>
      <c r="NA2" t="str">
        <v>0</v>
      </c>
      <c r="NB2" t="str">
        <v>0</v>
      </c>
      <c r="NC2" t="str">
        <v>0</v>
      </c>
      <c r="ND2" t="str">
        <v>0</v>
      </c>
      <c r="NE2" t="str">
        <v>0</v>
      </c>
      <c r="NF2" t="str">
        <v>0</v>
      </c>
      <c r="NG2" t="str">
        <v>0</v>
      </c>
      <c r="NH2" t="str">
        <v>0</v>
      </c>
      <c r="NI2" t="str">
        <v>0</v>
      </c>
      <c r="NJ2" t="str">
        <v>0</v>
      </c>
      <c r="NK2" t="str">
        <v>0</v>
      </c>
      <c r="NL2" t="str">
        <v>0</v>
      </c>
      <c r="NM2" t="str">
        <v>0</v>
      </c>
      <c r="NN2" t="str">
        <v>0</v>
      </c>
      <c r="NO2" t="str">
        <v>0</v>
      </c>
      <c r="NP2" t="str">
        <v>0</v>
      </c>
      <c r="NQ2" t="str">
        <v>0</v>
      </c>
      <c r="NR2" t="str">
        <v>0</v>
      </c>
      <c r="NS2" t="str">
        <v>0</v>
      </c>
      <c r="NT2" t="str">
        <v>0</v>
      </c>
      <c r="NU2" t="str">
        <v>0</v>
      </c>
      <c r="NV2" t="str">
        <v>0</v>
      </c>
      <c r="NW2" t="str">
        <v>0</v>
      </c>
      <c r="NX2" t="str">
        <v>0</v>
      </c>
      <c r="NY2" t="str">
        <v>0</v>
      </c>
      <c r="NZ2" t="str">
        <v>0</v>
      </c>
      <c r="OA2" t="str">
        <v>0</v>
      </c>
      <c r="OB2" t="str">
        <v>0</v>
      </c>
      <c r="OC2" t="str">
        <v>0</v>
      </c>
      <c r="OD2" t="str">
        <v>0</v>
      </c>
      <c r="OE2" t="str">
        <v>0</v>
      </c>
      <c r="OF2" t="str">
        <v>0</v>
      </c>
      <c r="OG2" t="str">
        <v>0</v>
      </c>
      <c r="OH2" t="str">
        <v>0</v>
      </c>
      <c r="OI2" t="str">
        <v>0</v>
      </c>
      <c r="OJ2" t="str">
        <v>0</v>
      </c>
      <c r="OK2" t="str">
        <v>0</v>
      </c>
      <c r="OL2" t="str">
        <v>0</v>
      </c>
      <c r="OM2" t="str">
        <v>0</v>
      </c>
      <c r="ON2" t="str">
        <v>0</v>
      </c>
      <c r="OO2" t="str">
        <v>0</v>
      </c>
      <c r="OP2" t="str">
        <v>0</v>
      </c>
      <c r="OQ2" t="str">
        <v>0</v>
      </c>
      <c r="OR2" t="str">
        <v>0</v>
      </c>
      <c r="OS2" t="str">
        <v>0</v>
      </c>
      <c r="OT2" t="str">
        <v>0</v>
      </c>
      <c r="OU2" t="str">
        <v>0</v>
      </c>
      <c r="OV2" t="str">
        <v>0</v>
      </c>
      <c r="OW2" t="str">
        <v>0</v>
      </c>
      <c r="OX2" t="str">
        <v>0</v>
      </c>
      <c r="OY2" t="str">
        <v>0</v>
      </c>
      <c r="OZ2" t="str">
        <v>0</v>
      </c>
      <c r="PA2" t="str">
        <v>0</v>
      </c>
      <c r="PB2" t="str">
        <v>0</v>
      </c>
      <c r="PC2" t="str">
        <v>0</v>
      </c>
      <c r="PD2" t="str">
        <v>0</v>
      </c>
      <c r="PE2" t="str">
        <v>0</v>
      </c>
      <c r="PF2" t="str">
        <v>0</v>
      </c>
      <c r="PG2" t="str">
        <v>0</v>
      </c>
      <c r="PH2" t="str">
        <v>0</v>
      </c>
      <c r="PI2" t="str">
        <v>0</v>
      </c>
      <c r="PJ2" t="str">
        <v>0</v>
      </c>
      <c r="PK2" t="str">
        <v>0</v>
      </c>
      <c r="PL2" t="str">
        <v>0</v>
      </c>
      <c r="PM2" t="str">
        <v>0</v>
      </c>
      <c r="PN2" t="str">
        <v>0</v>
      </c>
      <c r="PO2" t="str">
        <v>0</v>
      </c>
      <c r="PP2" t="str">
        <v>0</v>
      </c>
      <c r="PQ2" t="str">
        <v>0</v>
      </c>
      <c r="PR2" t="str">
        <v>0</v>
      </c>
      <c r="PS2" t="str">
        <v>0</v>
      </c>
      <c r="PT2" t="str">
        <v>0</v>
      </c>
      <c r="PU2" t="str">
        <v>0</v>
      </c>
      <c r="PV2" t="str">
        <v>0</v>
      </c>
      <c r="PW2" t="str">
        <v>0</v>
      </c>
      <c r="PX2" t="str">
        <v>0</v>
      </c>
      <c r="PY2" t="str">
        <v>0</v>
      </c>
      <c r="PZ2" t="str">
        <v>0</v>
      </c>
      <c r="QA2" t="str">
        <v>0</v>
      </c>
      <c r="QB2" t="str">
        <v>0</v>
      </c>
      <c r="QC2" t="str">
        <v>0</v>
      </c>
      <c r="QD2" t="str">
        <v>0</v>
      </c>
      <c r="QE2" t="str">
        <v>0</v>
      </c>
      <c r="QF2" t="str">
        <v>0</v>
      </c>
      <c r="QG2" t="str">
        <v>0</v>
      </c>
      <c r="QH2" t="str">
        <v>0</v>
      </c>
      <c r="QI2" t="str">
        <v>0</v>
      </c>
      <c r="QJ2" t="str">
        <v>0</v>
      </c>
      <c r="QK2" t="str">
        <v>0</v>
      </c>
      <c r="QL2" t="str">
        <v>0</v>
      </c>
      <c r="QM2" t="str">
        <v>0</v>
      </c>
      <c r="QN2" t="str">
        <v>0</v>
      </c>
      <c r="QO2" t="str">
        <v>0</v>
      </c>
      <c r="QP2" t="str">
        <v>0</v>
      </c>
      <c r="QQ2" t="str">
        <v>0</v>
      </c>
      <c r="QR2" t="str">
        <v>0</v>
      </c>
      <c r="QS2" t="str">
        <v>0</v>
      </c>
      <c r="QT2" t="str">
        <v>0</v>
      </c>
      <c r="QU2" t="str">
        <v>0</v>
      </c>
      <c r="QV2" t="str">
        <v>0</v>
      </c>
      <c r="QW2" t="str">
        <v>0</v>
      </c>
      <c r="QX2" t="str">
        <v>0</v>
      </c>
      <c r="QY2" t="str">
        <v>0</v>
      </c>
      <c r="QZ2" t="str">
        <v>0</v>
      </c>
      <c r="RA2" t="str">
        <v>0</v>
      </c>
      <c r="RB2" t="str">
        <v>0</v>
      </c>
      <c r="RC2" t="str">
        <v>0</v>
      </c>
      <c r="RD2" t="str">
        <v>0</v>
      </c>
      <c r="RE2" t="str">
        <v>0</v>
      </c>
      <c r="RF2" t="str">
        <v>0</v>
      </c>
      <c r="RG2" t="str">
        <v>0</v>
      </c>
      <c r="RH2" t="str">
        <v>0</v>
      </c>
      <c r="RI2" t="str">
        <v>0</v>
      </c>
      <c r="RJ2" t="str">
        <v>0</v>
      </c>
      <c r="RK2" t="str">
        <v>0</v>
      </c>
      <c r="RL2" t="str">
        <v>0</v>
      </c>
      <c r="RM2" t="str">
        <v>0</v>
      </c>
      <c r="RN2" t="str">
        <v>0</v>
      </c>
      <c r="RO2" t="str">
        <v>0</v>
      </c>
      <c r="RP2" t="str">
        <v>0</v>
      </c>
      <c r="RQ2" t="str">
        <v>0</v>
      </c>
      <c r="RR2" t="str">
        <v>0</v>
      </c>
      <c r="RS2" t="str">
        <v>0</v>
      </c>
      <c r="RT2" t="str">
        <v>0</v>
      </c>
      <c r="RU2" t="str">
        <v>0</v>
      </c>
      <c r="RV2" t="str">
        <v>0</v>
      </c>
      <c r="RW2" t="str">
        <v>0</v>
      </c>
      <c r="RX2" t="str">
        <v>0</v>
      </c>
      <c r="RY2" t="str">
        <v>0</v>
      </c>
      <c r="RZ2" t="str">
        <v>0</v>
      </c>
      <c r="SA2" t="str">
        <v>0</v>
      </c>
      <c r="SB2" t="str">
        <v>0</v>
      </c>
      <c r="SC2" t="str">
        <v>0</v>
      </c>
      <c r="SD2" t="str">
        <v>0</v>
      </c>
      <c r="SE2" t="str">
        <v>0</v>
      </c>
      <c r="SF2" t="str">
        <v>0</v>
      </c>
      <c r="SG2" t="str">
        <v>0</v>
      </c>
      <c r="SH2" t="str">
        <v>0</v>
      </c>
      <c r="SI2" t="str">
        <v>0</v>
      </c>
      <c r="SJ2" t="str">
        <v>0</v>
      </c>
      <c r="SK2" t="str">
        <v>0</v>
      </c>
      <c r="SL2" t="str">
        <v>0</v>
      </c>
      <c r="SM2" t="str">
        <v>0</v>
      </c>
      <c r="SN2" t="str">
        <v>0</v>
      </c>
      <c r="SO2" t="str">
        <v>0</v>
      </c>
      <c r="SP2" t="str">
        <v>0</v>
      </c>
      <c r="SQ2" t="str">
        <v>0</v>
      </c>
      <c r="SR2" t="str">
        <v>0</v>
      </c>
      <c r="SS2" t="str">
        <v>0</v>
      </c>
      <c r="ST2" t="str">
        <v>0</v>
      </c>
      <c r="SU2" t="str">
        <v>0</v>
      </c>
      <c r="SV2" t="str">
        <v>0</v>
      </c>
      <c r="SW2" t="str">
        <v>0</v>
      </c>
      <c r="SX2" t="str">
        <v>0</v>
      </c>
      <c r="SY2" t="str">
        <v>0</v>
      </c>
      <c r="SZ2" t="str">
        <v>0</v>
      </c>
      <c r="TA2" t="str">
        <v>0</v>
      </c>
      <c r="TB2" t="str">
        <v>0</v>
      </c>
      <c r="TC2" t="str">
        <v>0</v>
      </c>
      <c r="TD2" t="str">
        <v>0</v>
      </c>
      <c r="TE2" t="str">
        <v>0</v>
      </c>
      <c r="TF2" t="str">
        <v>0</v>
      </c>
      <c r="TG2" t="str">
        <v>0</v>
      </c>
      <c r="TH2" t="str">
        <v>0</v>
      </c>
      <c r="TI2" t="str">
        <v>0</v>
      </c>
      <c r="TJ2" t="str">
        <v>0</v>
      </c>
      <c r="TK2" t="str">
        <v>0</v>
      </c>
      <c r="TL2" t="str">
        <v>0</v>
      </c>
      <c r="TM2" t="str">
        <v>0</v>
      </c>
      <c r="TN2" t="str">
        <v>0</v>
      </c>
      <c r="TO2" t="str">
        <v>0</v>
      </c>
      <c r="TP2" t="str">
        <v>0</v>
      </c>
      <c r="TQ2" t="str">
        <v>0</v>
      </c>
      <c r="TR2" t="str">
        <v>0</v>
      </c>
      <c r="TS2" t="str">
        <v>0</v>
      </c>
      <c r="TT2" t="str">
        <v>0</v>
      </c>
      <c r="TU2" t="str">
        <v>0</v>
      </c>
      <c r="TV2" t="str">
        <v>0</v>
      </c>
      <c r="TW2" t="str">
        <v>0</v>
      </c>
      <c r="TX2" t="str">
        <v>0</v>
      </c>
      <c r="TY2" t="str">
        <v>0</v>
      </c>
      <c r="TZ2" t="str">
        <v>0</v>
      </c>
      <c r="UA2" t="str">
        <v>0</v>
      </c>
      <c r="UB2" t="str">
        <v>0</v>
      </c>
      <c r="UC2" t="str">
        <v>0</v>
      </c>
      <c r="UD2" t="str">
        <v>0</v>
      </c>
      <c r="UE2" t="str">
        <v>0</v>
      </c>
      <c r="UF2" t="str">
        <v>0</v>
      </c>
      <c r="UG2" t="str">
        <v>0</v>
      </c>
      <c r="UH2" t="str">
        <v>0</v>
      </c>
      <c r="UI2" t="str">
        <v>0</v>
      </c>
      <c r="UJ2" t="str">
        <v>0</v>
      </c>
      <c r="UK2" t="str">
        <v>0</v>
      </c>
      <c r="UL2" t="str">
        <v>0</v>
      </c>
      <c r="UM2" t="str">
        <v>0</v>
      </c>
      <c r="UN2" t="str">
        <v>0</v>
      </c>
      <c r="UO2" t="str">
        <v>0</v>
      </c>
      <c r="UP2" t="str">
        <v>0</v>
      </c>
      <c r="UQ2" t="str">
        <v>0</v>
      </c>
      <c r="UR2" t="str">
        <v>0</v>
      </c>
      <c r="US2" t="str">
        <v>0</v>
      </c>
      <c r="UT2" t="str">
        <v>0</v>
      </c>
      <c r="UU2" t="str">
        <v>0</v>
      </c>
      <c r="UV2" t="str">
        <v>0</v>
      </c>
      <c r="UW2" t="str">
        <v>0</v>
      </c>
      <c r="UX2" t="str">
        <v>0</v>
      </c>
      <c r="UY2" t="str">
        <v>0</v>
      </c>
      <c r="UZ2" t="str">
        <v>0</v>
      </c>
      <c r="VA2" t="str">
        <v>0</v>
      </c>
      <c r="VB2" t="str">
        <v>0</v>
      </c>
      <c r="VC2" t="str">
        <v>0</v>
      </c>
      <c r="VD2" t="str">
        <v>0</v>
      </c>
      <c r="VE2" t="str">
        <v>0</v>
      </c>
      <c r="VF2" t="str">
        <v>0</v>
      </c>
      <c r="VG2" t="str">
        <v>0</v>
      </c>
      <c r="VH2" t="str">
        <v>0</v>
      </c>
      <c r="VI2" t="str">
        <v>0</v>
      </c>
      <c r="VJ2" t="str">
        <v>0</v>
      </c>
      <c r="VK2" t="str">
        <v>0</v>
      </c>
      <c r="VL2" t="str">
        <v>0</v>
      </c>
      <c r="VM2" t="str">
        <v>0</v>
      </c>
      <c r="VN2" t="str">
        <v>0</v>
      </c>
      <c r="VO2" t="str">
        <v>0</v>
      </c>
      <c r="VP2" t="str">
        <v>0</v>
      </c>
      <c r="VQ2" t="str">
        <v>0</v>
      </c>
      <c r="VR2" t="str">
        <v>0</v>
      </c>
      <c r="VS2" t="str">
        <v>0</v>
      </c>
      <c r="VT2" t="str">
        <v>0</v>
      </c>
      <c r="VU2" t="str">
        <v>0</v>
      </c>
      <c r="VV2" t="str">
        <v>0</v>
      </c>
      <c r="VW2" t="str">
        <v>0</v>
      </c>
      <c r="VX2" t="str">
        <v>0</v>
      </c>
      <c r="VY2" t="str">
        <v>0</v>
      </c>
      <c r="VZ2" t="str">
        <v>0</v>
      </c>
      <c r="WA2" t="str">
        <v>0</v>
      </c>
      <c r="WB2" t="str">
        <v>0</v>
      </c>
      <c r="WC2" t="str">
        <v>0</v>
      </c>
      <c r="WD2" t="str">
        <v>0</v>
      </c>
      <c r="WE2" t="str">
        <v>0</v>
      </c>
      <c r="WF2" t="str">
        <v>0</v>
      </c>
      <c r="WG2" t="str">
        <v>0</v>
      </c>
      <c r="WH2" t="str">
        <v>0</v>
      </c>
      <c r="WI2" t="str">
        <v>0</v>
      </c>
      <c r="WJ2" t="str">
        <v>0</v>
      </c>
      <c r="WK2" t="str">
        <v>0</v>
      </c>
      <c r="WL2" t="str">
        <v>0</v>
      </c>
      <c r="WM2" t="str">
        <v>0</v>
      </c>
      <c r="WN2" t="str">
        <v>0</v>
      </c>
      <c r="WO2" t="str">
        <v>0</v>
      </c>
      <c r="WP2" t="str">
        <v>0</v>
      </c>
      <c r="WQ2" t="str">
        <v>0</v>
      </c>
      <c r="WR2" t="str">
        <v>0</v>
      </c>
      <c r="WS2" t="str">
        <v>0</v>
      </c>
      <c r="WT2" t="str">
        <v>0</v>
      </c>
      <c r="WU2" t="str">
        <v>0</v>
      </c>
      <c r="WV2" t="str">
        <v>0</v>
      </c>
      <c r="WW2" t="str">
        <v>0</v>
      </c>
      <c r="WX2" t="str">
        <v>0</v>
      </c>
      <c r="WY2" t="str">
        <v>0</v>
      </c>
      <c r="WZ2" t="str">
        <v>0</v>
      </c>
      <c r="XA2" t="str">
        <v>0</v>
      </c>
      <c r="XB2" t="str">
        <v>0</v>
      </c>
      <c r="XC2" t="str">
        <v>0</v>
      </c>
      <c r="XD2" t="str">
        <v>0</v>
      </c>
      <c r="XE2" t="str">
        <v>0</v>
      </c>
      <c r="XF2" t="str">
        <v>0</v>
      </c>
      <c r="XG2" t="str">
        <v>0</v>
      </c>
      <c r="XH2" t="str">
        <v>0</v>
      </c>
      <c r="XI2" t="str">
        <v>0</v>
      </c>
      <c r="XJ2" t="str">
        <v>0</v>
      </c>
      <c r="XK2" t="str">
        <v>0</v>
      </c>
      <c r="XL2" t="str">
        <v>0</v>
      </c>
      <c r="XM2" t="str">
        <v>0</v>
      </c>
      <c r="XN2" t="str">
        <v>0</v>
      </c>
      <c r="XO2" t="str">
        <v>0</v>
      </c>
      <c r="XP2" t="str">
        <v>0</v>
      </c>
      <c r="XQ2" t="str">
        <v>0</v>
      </c>
      <c r="XR2" t="str">
        <v>0</v>
      </c>
      <c r="XS2" t="str">
        <v>0</v>
      </c>
      <c r="XT2" t="str">
        <v>0</v>
      </c>
      <c r="XU2" t="str">
        <v>0</v>
      </c>
      <c r="XV2" t="str">
        <v>0</v>
      </c>
      <c r="XW2" t="str">
        <v>0</v>
      </c>
      <c r="XX2" t="str">
        <v>0</v>
      </c>
      <c r="XY2" t="str">
        <v>0</v>
      </c>
      <c r="XZ2" t="str">
        <v>0</v>
      </c>
      <c r="YA2" t="str">
        <v>0</v>
      </c>
      <c r="YB2" t="str">
        <v>0</v>
      </c>
      <c r="YC2" t="str">
        <v>0</v>
      </c>
      <c r="YD2" t="str">
        <v>0</v>
      </c>
      <c r="YE2" t="str">
        <v>0</v>
      </c>
      <c r="YF2" t="str">
        <v>0</v>
      </c>
      <c r="YG2" t="str">
        <v>0</v>
      </c>
      <c r="YH2" t="str">
        <v>0</v>
      </c>
      <c r="YI2" t="str">
        <v>0</v>
      </c>
      <c r="YJ2" t="str">
        <v>0</v>
      </c>
      <c r="YK2" t="str">
        <v>0</v>
      </c>
      <c r="YL2" t="str">
        <v>0</v>
      </c>
      <c r="YM2" t="str">
        <v>0</v>
      </c>
      <c r="YN2" t="str">
        <v>0</v>
      </c>
      <c r="YO2" t="str">
        <v>0</v>
      </c>
      <c r="YP2" t="str">
        <v>0</v>
      </c>
      <c r="YQ2" t="str">
        <v>0</v>
      </c>
      <c r="YR2" t="str">
        <v>0</v>
      </c>
      <c r="YS2" t="str">
        <v>0</v>
      </c>
      <c r="YT2" t="str">
        <v>0</v>
      </c>
      <c r="YU2" t="str">
        <v>0</v>
      </c>
      <c r="YV2" t="str">
        <v>0</v>
      </c>
      <c r="YW2" t="str">
        <v>0</v>
      </c>
      <c r="YX2" t="str">
        <v>0</v>
      </c>
      <c r="YY2" t="str">
        <v>0</v>
      </c>
      <c r="YZ2" t="str">
        <v>0</v>
      </c>
      <c r="ZA2" t="str">
        <v>0</v>
      </c>
      <c r="ZB2" t="str">
        <v>0</v>
      </c>
      <c r="ZC2" t="str">
        <v>0</v>
      </c>
      <c r="ZD2" t="str">
        <v>0</v>
      </c>
      <c r="ZE2" t="str">
        <v>0</v>
      </c>
      <c r="ZF2" t="str">
        <v>0</v>
      </c>
      <c r="ZG2" t="str">
        <v>0</v>
      </c>
      <c r="ZH2" t="str">
        <v>0</v>
      </c>
      <c r="ZI2" t="str">
        <v>0</v>
      </c>
      <c r="ZJ2" t="str">
        <v>0</v>
      </c>
      <c r="ZK2" t="str">
        <v>0</v>
      </c>
      <c r="ZL2" t="str">
        <v>0</v>
      </c>
      <c r="ZM2" t="str">
        <v>0</v>
      </c>
      <c r="ZN2" t="str">
        <v>0</v>
      </c>
      <c r="ZO2" t="str">
        <v>0</v>
      </c>
      <c r="ZP2" t="str">
        <v>0</v>
      </c>
      <c r="ZQ2" t="str">
        <v>0</v>
      </c>
      <c r="ZR2" t="str">
        <v>0</v>
      </c>
      <c r="ZS2" t="str">
        <v>0</v>
      </c>
      <c r="ZT2" t="str">
        <v>0</v>
      </c>
      <c r="ZU2" t="str">
        <v>0</v>
      </c>
      <c r="ZV2" t="str">
        <v>0</v>
      </c>
      <c r="ZW2" t="str">
        <v>0</v>
      </c>
      <c r="ZX2" t="str">
        <v>0</v>
      </c>
      <c r="ZY2" t="str">
        <v>0</v>
      </c>
      <c r="ZZ2" t="str">
        <v>0</v>
      </c>
      <c r="AAA2" t="str">
        <v>0</v>
      </c>
      <c r="AAB2" t="str">
        <v>0</v>
      </c>
      <c r="AAC2" t="str">
        <v>0</v>
      </c>
      <c r="AAD2" t="str">
        <v>0</v>
      </c>
      <c r="AAE2" t="str">
        <v>0</v>
      </c>
      <c r="AAF2" t="str">
        <v>0</v>
      </c>
      <c r="AAG2" t="str">
        <v>0</v>
      </c>
      <c r="AAH2" t="str">
        <v>0</v>
      </c>
      <c r="AAI2" t="str">
        <v>0</v>
      </c>
      <c r="AAJ2" t="str">
        <v>0</v>
      </c>
      <c r="AAK2" t="str">
        <v>0</v>
      </c>
      <c r="AAL2" t="str">
        <v>0</v>
      </c>
      <c r="AAM2" t="str">
        <v>0</v>
      </c>
      <c r="AAN2" t="str">
        <v>0</v>
      </c>
      <c r="AAO2" t="str">
        <v>0</v>
      </c>
      <c r="AAP2" t="str">
        <v>0</v>
      </c>
      <c r="AAQ2" t="str">
        <v>0</v>
      </c>
      <c r="AAR2" t="str">
        <v>0</v>
      </c>
      <c r="AAS2" t="str">
        <v>0</v>
      </c>
      <c r="AAT2" t="str">
        <v>0</v>
      </c>
      <c r="AAU2" t="str">
        <v>0</v>
      </c>
      <c r="AAV2" t="str">
        <v>0</v>
      </c>
      <c r="AAW2" t="str">
        <v>0</v>
      </c>
      <c r="AAX2" t="str">
        <v>0</v>
      </c>
      <c r="AAY2" t="str">
        <v>0</v>
      </c>
      <c r="AAZ2" t="str">
        <v>0</v>
      </c>
      <c r="ABA2" t="str">
        <v>0</v>
      </c>
      <c r="ABB2" t="str">
        <v>0</v>
      </c>
      <c r="ABC2" t="str">
        <v>0</v>
      </c>
      <c r="ABD2" t="str">
        <v>0</v>
      </c>
      <c r="ABE2" t="str">
        <v>0</v>
      </c>
      <c r="ABF2" t="str">
        <v>0</v>
      </c>
      <c r="ABG2" t="str">
        <v>0</v>
      </c>
      <c r="ABH2" t="str">
        <v>0</v>
      </c>
      <c r="ABI2" t="str">
        <v>0</v>
      </c>
      <c r="ABJ2" t="str">
        <v>0</v>
      </c>
      <c r="ABK2" t="str">
        <v>0</v>
      </c>
      <c r="ABL2">
        <v>0</v>
      </c>
      <c r="ABM2">
        <v>0</v>
      </c>
      <c r="ABN2">
        <v>0</v>
      </c>
      <c r="ABO2">
        <v>0</v>
      </c>
      <c r="ABP2">
        <v>0</v>
      </c>
    </row>
  </sheetData>
  <phoneticPr fontId="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47687-113B-49EC-B6D8-6B85C7216987}">
  <dimension ref="A1:AKY2"/>
  <sheetViews>
    <sheetView workbookViewId="0"/>
  </sheetViews>
  <sheetFormatPr defaultRowHeight="13.5" x14ac:dyDescent="0.15"/>
  <cols>
    <col min="1" max="1" width="38.125" style="1" customWidth="1"/>
    <col min="2" max="16384" width="9" style="1"/>
  </cols>
  <sheetData>
    <row r="1" spans="1:987" x14ac:dyDescent="0.15">
      <c r="A1" s="1" t="str" cm="1">
        <f t="array" ref="A1:AKY1">TRANSPOSE(リンクシート_全て_調査結果のみ!AG4:AG990)</f>
        <v>23調査結果-敷地及び地盤-1（1）-調査結果</v>
      </c>
      <c r="B1" s="1" t="str">
        <v>23調査結果-敷地及び地盤-1（1）-調査者番号</v>
      </c>
      <c r="C1" s="1" t="str">
        <v>23調査結果-敷地及び地盤-1（1）-指摘の具体的内容等</v>
      </c>
      <c r="D1" s="1" t="str">
        <v>23調査結果-敷地及び地盤-1（1）-改善策の具体的内容等</v>
      </c>
      <c r="E1" s="1" t="str">
        <v>23調査結果-敷地及び地盤-1（1）-改善（予定）年月-年（令和）</v>
      </c>
      <c r="F1" s="1" t="str">
        <v>23調査結果-敷地及び地盤-1（1）-改善（予定）年月-月</v>
      </c>
      <c r="G1" s="1" t="str">
        <v>23調査結果-敷地及び地盤-1（1）-改善（予定）年月-未定</v>
      </c>
      <c r="H1" s="1" t="str">
        <v>23調査結果-敷地及び地盤-1（2）-調査結果</v>
      </c>
      <c r="I1" s="1" t="str">
        <v>23調査結果-敷地及び地盤-1（2）-調査者番号</v>
      </c>
      <c r="J1" s="1" t="str">
        <v>23調査結果-敷地及び地盤-1（2）-指摘の具体的内容等</v>
      </c>
      <c r="K1" s="1" t="str">
        <v>23調査結果-敷地及び地盤-1（2）-改善策の具体的内容等</v>
      </c>
      <c r="L1" s="1" t="str">
        <v>23調査結果-敷地及び地盤-1（2）-改善（予定）年月-年（令和）</v>
      </c>
      <c r="M1" s="1" t="str">
        <v>23調査結果-敷地及び地盤-1（2）-改善（予定）年月-月</v>
      </c>
      <c r="N1" s="1" t="str">
        <v>23調査結果-敷地及び地盤-1（2）-改善（予定）年月-未定</v>
      </c>
      <c r="O1" s="1" t="str">
        <v>23調査結果-敷地及び地盤-1（3）-調査結果</v>
      </c>
      <c r="P1" s="1" t="str">
        <v>23調査結果-敷地及び地盤-1（3）-調査者番号</v>
      </c>
      <c r="Q1" s="1" t="str">
        <v>23調査結果-敷地及び地盤-1（3）-指摘の具体的内容等</v>
      </c>
      <c r="R1" s="1" t="str">
        <v>23調査結果-敷地及び地盤-1（3）-改善策の具体的内容等</v>
      </c>
      <c r="S1" s="1" t="str">
        <v>23調査結果-敷地及び地盤-1（3）-改善（予定）年月-年（令和）</v>
      </c>
      <c r="T1" s="1" t="str">
        <v>23調査結果-敷地及び地盤-1（3）-改善（予定）年月-月</v>
      </c>
      <c r="U1" s="1" t="str">
        <v>23調査結果-敷地及び地盤-1（3）-改善（予定）年月-未定</v>
      </c>
      <c r="V1" s="1" t="str">
        <v>23調査結果-敷地及び地盤-1（4）-調査結果</v>
      </c>
      <c r="W1" s="1" t="str">
        <v>23調査結果-敷地及び地盤-1（4）-調査者番号</v>
      </c>
      <c r="X1" s="1" t="str">
        <v>23調査結果-敷地及び地盤-1（4）-指摘の具体的内容等</v>
      </c>
      <c r="Y1" s="1" t="str">
        <v>23調査結果-敷地及び地盤-1（4）-改善策の具体的内容等</v>
      </c>
      <c r="Z1" s="1" t="str">
        <v>23調査結果-敷地及び地盤-1（4）-改善（予定）年月-年（令和）</v>
      </c>
      <c r="AA1" s="1" t="str">
        <v>23調査結果-敷地及び地盤-1（4）-改善（予定）年月-月</v>
      </c>
      <c r="AB1" s="1" t="str">
        <v>23調査結果-敷地及び地盤-1（4）-改善（予定）年月-未定</v>
      </c>
      <c r="AC1" s="1" t="str">
        <v>23調査結果-敷地及び地盤-1（5）-調査結果</v>
      </c>
      <c r="AD1" s="1" t="str">
        <v>23調査結果-敷地及び地盤-1（5）-調査者番号</v>
      </c>
      <c r="AE1" s="1" t="str">
        <v>23調査結果-敷地及び地盤-1（5）-指摘の具体的内容等</v>
      </c>
      <c r="AF1" s="1" t="str">
        <v>23調査結果-敷地及び地盤-1（5）-改善策の具体的内容等</v>
      </c>
      <c r="AG1" s="1" t="str">
        <v>23調査結果-敷地及び地盤-1（5）-改善（予定）年月-年（令和）</v>
      </c>
      <c r="AH1" s="1" t="str">
        <v>23調査結果-敷地及び地盤-1（5）-改善（予定）年月-月</v>
      </c>
      <c r="AI1" s="1" t="str">
        <v>23調査結果-敷地及び地盤-1（5）-改善（予定）年月-未定</v>
      </c>
      <c r="AJ1" s="1" t="str">
        <v>23調査結果-敷地及び地盤-1（6）-調査結果</v>
      </c>
      <c r="AK1" s="1" t="str">
        <v>23調査結果-敷地及び地盤-1（6）-調査者番号</v>
      </c>
      <c r="AL1" s="1" t="str">
        <v>23調査結果-敷地及び地盤-1（6）-指摘の具体的内容等</v>
      </c>
      <c r="AM1" s="1" t="str">
        <v>23調査結果-敷地及び地盤-1（6）-改善策の具体的内容等</v>
      </c>
      <c r="AN1" s="1" t="str">
        <v>23調査結果-敷地及び地盤-1（6）-改善（予定）年月-年（令和）</v>
      </c>
      <c r="AO1" s="1" t="str">
        <v>23調査結果-敷地及び地盤-1（6）-改善（予定）年月-月</v>
      </c>
      <c r="AP1" s="1" t="str">
        <v>23調査結果-敷地及び地盤-1（6）-改善（予定）年月-未定</v>
      </c>
      <c r="AQ1" s="1" t="str">
        <v>23調査結果-敷地及び地盤-1（7）-調査結果</v>
      </c>
      <c r="AR1" s="1" t="str">
        <v>23調査結果-敷地及び地盤-1（7）-調査者番号</v>
      </c>
      <c r="AS1" s="1" t="str">
        <v>23調査結果-敷地及び地盤-1（7）-指摘の具体的内容等</v>
      </c>
      <c r="AT1" s="1" t="str">
        <v>23調査結果-敷地及び地盤-1（7）-改善策の具体的内容等</v>
      </c>
      <c r="AU1" s="1" t="str">
        <v>23調査結果-敷地及び地盤-1（7）-改善（予定）年月-年（令和）</v>
      </c>
      <c r="AV1" s="1" t="str">
        <v>23調査結果-敷地及び地盤-1（7）-改善（予定）年月-月</v>
      </c>
      <c r="AW1" s="1" t="str">
        <v>23調査結果-敷地及び地盤-1（7）-改善（予定）年月-未定</v>
      </c>
      <c r="AX1" s="1" t="str">
        <v>23調査結果-敷地及び地盤-1（8）-調査結果</v>
      </c>
      <c r="AY1" s="1" t="str">
        <v>23調査結果-敷地及び地盤-1（8）-調査者番号</v>
      </c>
      <c r="AZ1" s="1" t="str">
        <v>23調査結果-敷地及び地盤-1（8）-指摘の具体的内容等</v>
      </c>
      <c r="BA1" s="1" t="str">
        <v>23調査結果-敷地及び地盤-1（8）-改善策の具体的内容等</v>
      </c>
      <c r="BB1" s="1" t="str">
        <v>23調査結果-敷地及び地盤-1（8）-改善（予定）年月-年（令和）</v>
      </c>
      <c r="BC1" s="1" t="str">
        <v>23調査結果-敷地及び地盤-1（8）-改善（予定）年月-月</v>
      </c>
      <c r="BD1" s="1" t="str">
        <v>23調査結果-敷地及び地盤-1（8）-改善（予定）年月-未定</v>
      </c>
      <c r="BE1" s="1" t="str">
        <v>23調査結果-敷地及び地盤-1（9）-調査結果</v>
      </c>
      <c r="BF1" s="1" t="str">
        <v>23調査結果-敷地及び地盤-1（9）-調査者番号</v>
      </c>
      <c r="BG1" s="1" t="str">
        <v>23調査結果-敷地及び地盤-1（9）-指摘の具体的内容等</v>
      </c>
      <c r="BH1" s="1" t="str">
        <v>23調査結果-敷地及び地盤-1（9）-改善策の具体的内容等</v>
      </c>
      <c r="BI1" s="1" t="str">
        <v>23調査結果-敷地及び地盤-1（9）-改善（予定）年月-年（令和）</v>
      </c>
      <c r="BJ1" s="1" t="str">
        <v>23調査結果-敷地及び地盤-1（9）-改善（予定）年月-月</v>
      </c>
      <c r="BK1" s="1" t="str">
        <v>23調査結果-敷地及び地盤-1（9）-改善（予定）年月-未定</v>
      </c>
      <c r="BL1" s="1" t="str">
        <v>23調査結果-建築物の外部-2（1）-調査結果</v>
      </c>
      <c r="BM1" s="1" t="str">
        <v>23調査結果-建築物の外部-2（1）-調査者番号</v>
      </c>
      <c r="BN1" s="1" t="str">
        <v>23調査結果-建築物の外部-2（1）-指摘の具体的内容等</v>
      </c>
      <c r="BO1" s="1" t="str">
        <v>23調査結果-建築物の外部-2（1）-改善策の具体的内容等</v>
      </c>
      <c r="BP1" s="1" t="str">
        <v>23調査結果-建築物の外部-2（1）-改善（予定）年月-年（令和）</v>
      </c>
      <c r="BQ1" s="1" t="str">
        <v>23調査結果-建築物の外部-2（1）-改善（予定）年月-月</v>
      </c>
      <c r="BR1" s="1" t="str">
        <v>23調査結果-建築物の外部-2（1）-改善（予定）年月-未定</v>
      </c>
      <c r="BS1" s="1" t="str">
        <v>23調査結果-建築物の外部-2（2）-調査結果</v>
      </c>
      <c r="BT1" s="1" t="str">
        <v>23調査結果-建築物の外部-2（2）-調査者番号</v>
      </c>
      <c r="BU1" s="1" t="str">
        <v>23調査結果-建築物の外部-2（2）-指摘の具体的内容等</v>
      </c>
      <c r="BV1" s="1" t="str">
        <v>23調査結果-建築物の外部-2（2）-改善策の具体的内容等</v>
      </c>
      <c r="BW1" s="1" t="str">
        <v>23調査結果-建築物の外部-2（2）-改善（予定）年月-年（令和）</v>
      </c>
      <c r="BX1" s="1" t="str">
        <v>23調査結果-建築物の外部-2（2）-改善（予定）年月-月</v>
      </c>
      <c r="BY1" s="1" t="str">
        <v>23調査結果-建築物の外部-2（2）-改善（予定）年月-未定</v>
      </c>
      <c r="BZ1" s="1" t="str">
        <v>23調査結果-建築物の外部-2（3）-調査結果</v>
      </c>
      <c r="CA1" s="1" t="str">
        <v>23調査結果-建築物の外部-2（3）-調査者番号</v>
      </c>
      <c r="CB1" s="1" t="str">
        <v>23調査結果-建築物の外部-2（3）-指摘の具体的内容等</v>
      </c>
      <c r="CC1" s="1" t="str">
        <v>23調査結果-建築物の外部-2（3）-改善策の具体的内容等</v>
      </c>
      <c r="CD1" s="1" t="str">
        <v>23調査結果-建築物の外部-2（3）-改善（予定）年月-年（令和）</v>
      </c>
      <c r="CE1" s="1" t="str">
        <v>23調査結果-建築物の外部-2（3）-改善（予定）年月-月</v>
      </c>
      <c r="CF1" s="1" t="str">
        <v>23調査結果-建築物の外部-2（3）-改善（予定）年月-未定</v>
      </c>
      <c r="CG1" s="1" t="str">
        <v>23調査結果-建築物の外部-2（4）-調査結果</v>
      </c>
      <c r="CH1" s="1" t="str">
        <v>23調査結果-建築物の外部-2（4）-調査者番号</v>
      </c>
      <c r="CI1" s="1" t="str">
        <v>23調査結果-建築物の外部-2（4）-指摘の具体的内容等</v>
      </c>
      <c r="CJ1" s="1" t="str">
        <v>23調査結果-建築物の外部-2（4）-改善策の具体的内容等</v>
      </c>
      <c r="CK1" s="1" t="str">
        <v>23調査結果-建築物の外部-2（4）-改善（予定）年月-年（令和）</v>
      </c>
      <c r="CL1" s="1" t="str">
        <v>23調査結果-建築物の外部-2（4）-改善（予定）年月-月</v>
      </c>
      <c r="CM1" s="1" t="str">
        <v>23調査結果-建築物の外部-2（4）-改善（予定）年月-未定</v>
      </c>
      <c r="CN1" s="1" t="str">
        <v>23調査結果-建築物の外部-2（5）-調査結果</v>
      </c>
      <c r="CO1" s="1" t="str">
        <v>23調査結果-建築物の外部-2（5）-調査者番号</v>
      </c>
      <c r="CP1" s="1" t="str">
        <v>23調査結果-建築物の外部-2（5）-指摘の具体的内容等</v>
      </c>
      <c r="CQ1" s="1" t="str">
        <v>23調査結果-建築物の外部-2（5）-改善策の具体的内容等</v>
      </c>
      <c r="CR1" s="1" t="str">
        <v>23調査結果-建築物の外部-2（5）-改善（予定）年月-年（令和）</v>
      </c>
      <c r="CS1" s="1" t="str">
        <v>23調査結果-建築物の外部-2（5）-改善（予定）年月-月</v>
      </c>
      <c r="CT1" s="1" t="str">
        <v>23調査結果-建築物の外部-2（5）-改善（予定）年月-未定</v>
      </c>
      <c r="CU1" s="1" t="str">
        <v>23調査結果-建築物の外部-2（6）-調査結果</v>
      </c>
      <c r="CV1" s="1" t="str">
        <v>23調査結果-建築物の外部-2（6）-調査者番号</v>
      </c>
      <c r="CW1" s="1" t="str">
        <v>23調査結果-建築物の外部-2（6）-指摘の具体的内容等</v>
      </c>
      <c r="CX1" s="1" t="str">
        <v>23調査結果-建築物の外部-2（6）-改善策の具体的内容等</v>
      </c>
      <c r="CY1" s="1" t="str">
        <v>23調査結果-建築物の外部-2（6）-改善（予定）年月-年（令和）</v>
      </c>
      <c r="CZ1" s="1" t="str">
        <v>23調査結果-建築物の外部-2（6）-改善（予定）年月-月</v>
      </c>
      <c r="DA1" s="1" t="str">
        <v>23調査結果-建築物の外部-2（6）-改善（予定）年月-未定</v>
      </c>
      <c r="DB1" s="1" t="str">
        <v>23調査結果-建築物の外部-2（7）-調査結果</v>
      </c>
      <c r="DC1" s="1" t="str">
        <v>23調査結果-建築物の外部-2（7）-調査者番号</v>
      </c>
      <c r="DD1" s="1" t="str">
        <v>23調査結果-建築物の外部-2（7）-指摘の具体的内容等</v>
      </c>
      <c r="DE1" s="1" t="str">
        <v>23調査結果-建築物の外部-2（7）-改善策の具体的内容等</v>
      </c>
      <c r="DF1" s="1" t="str">
        <v>23調査結果-建築物の外部-2（7）-改善（予定）年月-年（令和）</v>
      </c>
      <c r="DG1" s="1" t="str">
        <v>23調査結果-建築物の外部-2（7）-改善（予定）年月-月</v>
      </c>
      <c r="DH1" s="1" t="str">
        <v>23調査結果-建築物の外部-2（7）-改善（予定）年月-未定</v>
      </c>
      <c r="DI1" s="1" t="str">
        <v>23調査結果-建築物の外部-2（8）-調査結果</v>
      </c>
      <c r="DJ1" s="1" t="str">
        <v>23調査結果-建築物の外部-2（8）-調査者番号</v>
      </c>
      <c r="DK1" s="1" t="str">
        <v>23調査結果-建築物の外部-2（8）-指摘の具体的内容等</v>
      </c>
      <c r="DL1" s="1" t="str">
        <v>23調査結果-建築物の外部-2（8）-改善策の具体的内容等</v>
      </c>
      <c r="DM1" s="1" t="str">
        <v>23調査結果-建築物の外部-2（8）-改善（予定）年月-年（令和）</v>
      </c>
      <c r="DN1" s="1" t="str">
        <v>23調査結果-建築物の外部-2（8）-改善（予定）年月-月</v>
      </c>
      <c r="DO1" s="1" t="str">
        <v>23調査結果-建築物の外部-2（8）-改善（予定）年月-未定</v>
      </c>
      <c r="DP1" s="1" t="str">
        <v>23調査結果-建築物の外部-2（9）-調査結果</v>
      </c>
      <c r="DQ1" s="1" t="str">
        <v>23調査結果-建築物の外部-2（9）-調査者番号</v>
      </c>
      <c r="DR1" s="1" t="str">
        <v>23調査結果-建築物の外部-2（9）-指摘の具体的内容等</v>
      </c>
      <c r="DS1" s="1" t="str">
        <v>23調査結果-建築物の外部-2（9）-改善策の具体的内容等</v>
      </c>
      <c r="DT1" s="1" t="str">
        <v>23調査結果-建築物の外部-2（9）-改善（予定）年月-年（令和）</v>
      </c>
      <c r="DU1" s="1" t="str">
        <v>23調査結果-建築物の外部-2（9）-改善（予定）年月-月</v>
      </c>
      <c r="DV1" s="1" t="str">
        <v>23調査結果-建築物の外部-2（9）-改善（予定）年月-未定</v>
      </c>
      <c r="DW1" s="1" t="str">
        <v>23調査結果-建築物の外部-2（10）-調査結果</v>
      </c>
      <c r="DX1" s="1" t="str">
        <v>23調査結果-建築物の外部-2（10）-調査者番号</v>
      </c>
      <c r="DY1" s="1" t="str">
        <v>23調査結果-建築物の外部-2（10）-指摘の具体的内容等</v>
      </c>
      <c r="DZ1" s="1" t="str">
        <v>23調査結果-建築物の外部-2（10）-改善策の具体的内容等</v>
      </c>
      <c r="EA1" s="1" t="str">
        <v>23調査結果-建築物の外部-2（10）-改善（予定）年月-年（令和）</v>
      </c>
      <c r="EB1" s="1" t="str">
        <v>23調査結果-建築物の外部-2（10）-改善（予定）年月-月</v>
      </c>
      <c r="EC1" s="1" t="str">
        <v>23調査結果-建築物の外部-2（10）-改善（予定）年月-未定</v>
      </c>
      <c r="ED1" s="1" t="str">
        <v>23調査結果-建築物の外部-2（11）-調査結果</v>
      </c>
      <c r="EE1" s="1" t="str">
        <v>23調査結果-建築物の外部-2（11）-調査者番号</v>
      </c>
      <c r="EF1" s="1" t="str">
        <v>23調査結果-建築物の外部-2（11）-指摘の具体的内容等</v>
      </c>
      <c r="EG1" s="1" t="str">
        <v>23調査結果-建築物の外部-2（11）-改善策の具体的内容等</v>
      </c>
      <c r="EH1" s="1" t="str">
        <v>23調査結果-建築物の外部-2（11）-改善（予定）年月-年（令和）</v>
      </c>
      <c r="EI1" s="1" t="str">
        <v>23調査結果-建築物の外部-2（11）-改善（予定）年月-月</v>
      </c>
      <c r="EJ1" s="1" t="str">
        <v>23調査結果-建築物の外部-2（11）-改善（予定）年月-未定</v>
      </c>
      <c r="EK1" s="1" t="str">
        <v>23調査結果-建築物の外部-2（12）-調査結果</v>
      </c>
      <c r="EL1" s="1" t="str">
        <v>23調査結果-建築物の外部-2（12）-調査者番号</v>
      </c>
      <c r="EM1" s="1" t="str">
        <v>23調査結果-建築物の外部-2（12）-指摘の具体的内容等</v>
      </c>
      <c r="EN1" s="1" t="str">
        <v>23調査結果-建築物の外部-2（12）-改善策の具体的内容等</v>
      </c>
      <c r="EO1" s="1" t="str">
        <v>23調査結果-建築物の外部-2（12）-改善（予定）年月-年（令和）</v>
      </c>
      <c r="EP1" s="1" t="str">
        <v>23調査結果-建築物の外部-2（12）-改善（予定）年月-月</v>
      </c>
      <c r="EQ1" s="1" t="str">
        <v>23調査結果-建築物の外部-2（12）-改善（予定）年月-未定</v>
      </c>
      <c r="ER1" s="1" t="str">
        <v>23調査結果-建築物の外部-2（13）-調査結果</v>
      </c>
      <c r="ES1" s="1" t="str">
        <v>23調査結果-建築物の外部-2（13）-調査者番号</v>
      </c>
      <c r="ET1" s="1" t="str">
        <v>23調査結果-建築物の外部-2（13）-指摘の具体的内容等</v>
      </c>
      <c r="EU1" s="1" t="str">
        <v>23調査結果-建築物の外部-2（13）-改善策の具体的内容等</v>
      </c>
      <c r="EV1" s="1" t="str">
        <v>23調査結果-建築物の外部-2（13）-改善（予定）年月-年（令和）</v>
      </c>
      <c r="EW1" s="1" t="str">
        <v>23調査結果-建築物の外部-2（13）-改善（予定）年月-月</v>
      </c>
      <c r="EX1" s="1" t="str">
        <v>23調査結果-建築物の外部-2（13）-改善（予定）年月-未定</v>
      </c>
      <c r="EY1" s="1" t="str">
        <v>23調査結果-建築物の外部-2（14）-調査結果</v>
      </c>
      <c r="EZ1" s="1" t="str">
        <v>23調査結果-建築物の外部-2（14）-調査者番号</v>
      </c>
      <c r="FA1" s="1" t="str">
        <v>23調査結果-建築物の外部-2（14）-指摘の具体的内容等</v>
      </c>
      <c r="FB1" s="1" t="str">
        <v>23調査結果-建築物の外部-2（14）-改善策の具体的内容等</v>
      </c>
      <c r="FC1" s="1" t="str">
        <v>23調査結果-建築物の外部-2（14）-改善（予定）年月-年（令和）</v>
      </c>
      <c r="FD1" s="1" t="str">
        <v>23調査結果-建築物の外部-2（14）-改善（予定）年月-月</v>
      </c>
      <c r="FE1" s="1" t="str">
        <v>23調査結果-建築物の外部-2（14）-改善（予定）年月-未定</v>
      </c>
      <c r="FF1" s="1" t="str">
        <v>23調査結果-建築物の外部-2（15）-調査結果</v>
      </c>
      <c r="FG1" s="1" t="str">
        <v>23調査結果-建築物の外部-2（15）-調査者番号</v>
      </c>
      <c r="FH1" s="1" t="str">
        <v>23調査結果-建築物の外部-2（15）-指摘の具体的内容等</v>
      </c>
      <c r="FI1" s="1" t="str">
        <v>23調査結果-建築物の外部-2（15）-改善策の具体的内容等</v>
      </c>
      <c r="FJ1" s="1" t="str">
        <v>23調査結果-建築物の外部-2（15）-改善（予定）年月-年（令和）</v>
      </c>
      <c r="FK1" s="1" t="str">
        <v>23調査結果-建築物の外部-2（15）-改善（予定）年月-月</v>
      </c>
      <c r="FL1" s="1" t="str">
        <v>23調査結果-建築物の外部-2（15）-改善（予定）年月-未定</v>
      </c>
      <c r="FM1" s="1" t="str">
        <v>23調査結果-建築物の外部-2（16）-調査結果</v>
      </c>
      <c r="FN1" s="1" t="str">
        <v>23調査結果-建築物の外部-2（16）-調査者番号</v>
      </c>
      <c r="FO1" s="1" t="str">
        <v>23調査結果-建築物の外部-2（16）-指摘の具体的内容等</v>
      </c>
      <c r="FP1" s="1" t="str">
        <v>23調査結果-建築物の外部-2（16）-改善策の具体的内容等</v>
      </c>
      <c r="FQ1" s="1" t="str">
        <v>23調査結果-建築物の外部-2（16）-改善（予定）年月-年（令和）</v>
      </c>
      <c r="FR1" s="1" t="str">
        <v>23調査結果-建築物の外部-2（16）-改善（予定）年月-月</v>
      </c>
      <c r="FS1" s="1" t="str">
        <v>23調査結果-建築物の外部-2（16）-改善（予定）年月-未定</v>
      </c>
      <c r="FT1" s="1" t="str">
        <v>23調査結果-建築物の外部-2（17）-調査結果</v>
      </c>
      <c r="FU1" s="1" t="str">
        <v>23調査結果-建築物の外部-2（17）-調査者番号</v>
      </c>
      <c r="FV1" s="1" t="str">
        <v>23調査結果-建築物の外部-2（17）-指摘の具体的内容等</v>
      </c>
      <c r="FW1" s="1" t="str">
        <v>23調査結果-建築物の外部-2（17）-改善策の具体的内容等</v>
      </c>
      <c r="FX1" s="1" t="str">
        <v>23調査結果-建築物の外部-2（17）-改善（予定）年月-年（令和）</v>
      </c>
      <c r="FY1" s="1" t="str">
        <v>23調査結果-建築物の外部-2（17）-改善（予定）年月-月</v>
      </c>
      <c r="FZ1" s="1" t="str">
        <v>23調査結果-建築物の外部-2（17）-改善（予定）年月-未定</v>
      </c>
      <c r="GA1" s="1" t="str">
        <v>23調査結果-建築物の外部-2（18）-調査結果</v>
      </c>
      <c r="GB1" s="1" t="str">
        <v>23調査結果-建築物の外部-2（18）-調査者番号</v>
      </c>
      <c r="GC1" s="1" t="str">
        <v>23調査結果-建築物の外部-2（18）-指摘の具体的内容等</v>
      </c>
      <c r="GD1" s="1" t="str">
        <v>23調査結果-建築物の外部-2（18）-改善策の具体的内容等</v>
      </c>
      <c r="GE1" s="1" t="str">
        <v>23調査結果-建築物の外部-2（18）-改善（予定）年月-年（令和）</v>
      </c>
      <c r="GF1" s="1" t="str">
        <v>23調査結果-建築物の外部-2（18）-改善（予定）年月-月</v>
      </c>
      <c r="GG1" s="1" t="str">
        <v>23調査結果-建築物の外部-2（18）-改善（予定）年月-未定</v>
      </c>
      <c r="GH1" s="1" t="str">
        <v>23調査結果-屋上及び屋根-3（1）-調査結果</v>
      </c>
      <c r="GI1" s="1" t="str">
        <v>23調査結果-屋上及び屋根-3（1）-調査者番号</v>
      </c>
      <c r="GJ1" s="1" t="str">
        <v>23調査結果-屋上及び屋根-3（1）-指摘の具体的内容等</v>
      </c>
      <c r="GK1" s="1" t="str">
        <v>23調査結果-屋上及び屋根-3（1）-改善策の具体的内容等</v>
      </c>
      <c r="GL1" s="1" t="str">
        <v>23調査結果-屋上及び屋根-3（1）-改善（予定）年月-年（令和）</v>
      </c>
      <c r="GM1" s="1" t="str">
        <v>23調査結果-屋上及び屋根-3（1）-改善（予定）年月-月</v>
      </c>
      <c r="GN1" s="1" t="str">
        <v>23調査結果-屋上及び屋根-3（1）-改善（予定）年月-未定</v>
      </c>
      <c r="GO1" s="1" t="str">
        <v>23調査結果-屋上及び屋根-3（2）-調査結果</v>
      </c>
      <c r="GP1" s="1" t="str">
        <v>23調査結果-屋上及び屋根-3（2）-調査者番号</v>
      </c>
      <c r="GQ1" s="1" t="str">
        <v>23調査結果-屋上及び屋根-3（2）-指摘の具体的内容等</v>
      </c>
      <c r="GR1" s="1" t="str">
        <v>23調査結果-屋上及び屋根-3（2）-改善策の具体的内容等</v>
      </c>
      <c r="GS1" s="1" t="str">
        <v>23調査結果-屋上及び屋根-3（2）-改善（予定）年月-年（令和）</v>
      </c>
      <c r="GT1" s="1" t="str">
        <v>23調査結果-屋上及び屋根-3（2）-改善（予定）年月-月</v>
      </c>
      <c r="GU1" s="1" t="str">
        <v>23調査結果-屋上及び屋根-3（2）-改善（予定）年月-未定</v>
      </c>
      <c r="GV1" s="1" t="str">
        <v>23調査結果-屋上及び屋根-3（3）-調査結果</v>
      </c>
      <c r="GW1" s="1" t="str">
        <v>23調査結果-屋上及び屋根-3（3）-調査者番号</v>
      </c>
      <c r="GX1" s="1" t="str">
        <v>23調査結果-屋上及び屋根-3（3）-指摘の具体的内容等</v>
      </c>
      <c r="GY1" s="1" t="str">
        <v>23調査結果-屋上及び屋根-3（3）-改善策の具体的内容等</v>
      </c>
      <c r="GZ1" s="1" t="str">
        <v>23調査結果-屋上及び屋根-3（3）-改善（予定）年月-年（令和）</v>
      </c>
      <c r="HA1" s="1" t="str">
        <v>23調査結果-屋上及び屋根-3（3）-改善（予定）年月-月</v>
      </c>
      <c r="HB1" s="1" t="str">
        <v>23調査結果-屋上及び屋根-3（3）-改善（予定）年月-未定</v>
      </c>
      <c r="HC1" s="1" t="str">
        <v>23調査結果-屋上及び屋根-3（4）-調査結果</v>
      </c>
      <c r="HD1" s="1" t="str">
        <v>23調査結果-屋上及び屋根-3（4）-調査者番号</v>
      </c>
      <c r="HE1" s="1" t="str">
        <v>23調査結果-屋上及び屋根-3（4）-指摘の具体的内容等</v>
      </c>
      <c r="HF1" s="1" t="str">
        <v>23調査結果-屋上及び屋根-3（4）-改善策の具体的内容等</v>
      </c>
      <c r="HG1" s="1" t="str">
        <v>23調査結果-屋上及び屋根-3（4）-改善（予定）年月-年（令和）</v>
      </c>
      <c r="HH1" s="1" t="str">
        <v>23調査結果-屋上及び屋根-3（4）-改善（予定）年月-月</v>
      </c>
      <c r="HI1" s="1" t="str">
        <v>23調査結果-屋上及び屋根-3（4）-改善（予定）年月-未定</v>
      </c>
      <c r="HJ1" s="1" t="str">
        <v>23調査結果-屋上及び屋根-3（5）-調査結果</v>
      </c>
      <c r="HK1" s="1" t="str">
        <v>23調査結果-屋上及び屋根-3（5）-調査者番号</v>
      </c>
      <c r="HL1" s="1" t="str">
        <v>23調査結果-屋上及び屋根-3（5）-指摘の具体的内容等</v>
      </c>
      <c r="HM1" s="1" t="str">
        <v>23調査結果-屋上及び屋根-3（5）-改善策の具体的内容等</v>
      </c>
      <c r="HN1" s="1" t="str">
        <v>23調査結果-屋上及び屋根-3（5）-改善（予定）年月-年（令和）</v>
      </c>
      <c r="HO1" s="1" t="str">
        <v>23調査結果-屋上及び屋根-3（5）-改善（予定）年月-月</v>
      </c>
      <c r="HP1" s="1" t="str">
        <v>23調査結果-屋上及び屋根-3（5）-改善（予定）年月-未定</v>
      </c>
      <c r="HQ1" s="1" t="str">
        <v>23調査結果-屋上及び屋根-3（6）-調査結果</v>
      </c>
      <c r="HR1" s="1" t="str">
        <v>23調査結果-屋上及び屋根-3（6）-調査者番号</v>
      </c>
      <c r="HS1" s="1" t="str">
        <v>23調査結果-屋上及び屋根-3（6）-指摘の具体的内容等</v>
      </c>
      <c r="HT1" s="1" t="str">
        <v>23調査結果-屋上及び屋根-3（6）-改善策の具体的内容等</v>
      </c>
      <c r="HU1" s="1" t="str">
        <v>23調査結果-屋上及び屋根-3（6）-改善（予定）年月-年（令和）</v>
      </c>
      <c r="HV1" s="1" t="str">
        <v>23調査結果-屋上及び屋根-3（6）-改善（予定）年月-月</v>
      </c>
      <c r="HW1" s="1" t="str">
        <v>23調査結果-屋上及び屋根-3（6）-改善（予定）年月-未定</v>
      </c>
      <c r="HX1" s="1" t="str">
        <v>23調査結果-屋上及び屋根-3（7）-調査結果</v>
      </c>
      <c r="HY1" s="1" t="str">
        <v>23調査結果-屋上及び屋根-3（7）-調査者番号</v>
      </c>
      <c r="HZ1" s="1" t="str">
        <v>23調査結果-屋上及び屋根-3（7）-指摘の具体的内容等</v>
      </c>
      <c r="IA1" s="1" t="str">
        <v>23調査結果-屋上及び屋根-3（7）-改善策の具体的内容等</v>
      </c>
      <c r="IB1" s="1" t="str">
        <v>23調査結果-屋上及び屋根-3（7）-改善（予定）年月-年（令和）</v>
      </c>
      <c r="IC1" s="1" t="str">
        <v>23調査結果-屋上及び屋根-3（7）-改善（予定）年月-月</v>
      </c>
      <c r="ID1" s="1" t="str">
        <v>23調査結果-屋上及び屋根-3（7）-改善（予定）年月-未定</v>
      </c>
      <c r="IE1" s="1" t="str">
        <v>23調査結果-屋上及び屋根-3（8）-調査結果</v>
      </c>
      <c r="IF1" s="1" t="str">
        <v>23調査結果-屋上及び屋根-3（8）-調査者番号</v>
      </c>
      <c r="IG1" s="1" t="str">
        <v>23調査結果-屋上及び屋根-3（8）-指摘の具体的内容等</v>
      </c>
      <c r="IH1" s="1" t="str">
        <v>23調査結果-屋上及び屋根-3（8）-改善策の具体的内容等</v>
      </c>
      <c r="II1" s="1" t="str">
        <v>23調査結果-屋上及び屋根-3（8）-改善（予定）年月-年（令和）</v>
      </c>
      <c r="IJ1" s="1" t="str">
        <v>23調査結果-屋上及び屋根-3（8）-改善（予定）年月-月</v>
      </c>
      <c r="IK1" s="1" t="str">
        <v>23調査結果-屋上及び屋根-3（8）-改善（予定）年月-未定</v>
      </c>
      <c r="IL1" s="1" t="str">
        <v>23調査結果-屋上及び屋根-3（9）-調査結果</v>
      </c>
      <c r="IM1" s="1" t="str">
        <v>23調査結果-屋上及び屋根-3（9）-調査者番号</v>
      </c>
      <c r="IN1" s="1" t="str">
        <v>23調査結果-屋上及び屋根-3（9）-指摘の具体的内容等</v>
      </c>
      <c r="IO1" s="1" t="str">
        <v>23調査結果-屋上及び屋根-3（9）-改善策の具体的内容等</v>
      </c>
      <c r="IP1" s="1" t="str">
        <v>23調査結果-屋上及び屋根-3（9）-改善（予定）年月-年（令和）</v>
      </c>
      <c r="IQ1" s="1" t="str">
        <v>23調査結果-屋上及び屋根-3（9）-改善（予定）年月-月</v>
      </c>
      <c r="IR1" s="1" t="str">
        <v>23調査結果-屋上及び屋根-3（9）-改善（予定）年月-未定</v>
      </c>
      <c r="IS1" s="1" t="str">
        <v>23調査結果-建築物の内部-4（1）-調査結果</v>
      </c>
      <c r="IT1" s="1" t="str">
        <v>23調査結果-建築物の内部-4（1）-調査者番号</v>
      </c>
      <c r="IU1" s="1" t="str">
        <v>23調査結果-建築物の内部-4（1）-指摘の具体的内容等</v>
      </c>
      <c r="IV1" s="1" t="str">
        <v>23調査結果-建築物の内部-4（1）-改善策の具体的内容等</v>
      </c>
      <c r="IW1" s="1" t="str">
        <v>23調査結果-建築物の内部-4（1）-改善（予定）年月-年（令和）</v>
      </c>
      <c r="IX1" s="1" t="str">
        <v>23調査結果-建築物の内部-4（1）-改善（予定）年月-月</v>
      </c>
      <c r="IY1" s="1" t="str">
        <v>23調査結果-建築物の内部-4（1）-改善（予定）年月-未定</v>
      </c>
      <c r="IZ1" s="1" t="str">
        <v>23調査結果-建築物の内部-4（2）-調査結果</v>
      </c>
      <c r="JA1" s="1" t="str">
        <v>23調査結果-建築物の内部-4（2）-調査者番号</v>
      </c>
      <c r="JB1" s="1" t="str">
        <v>23調査結果-建築物の内部-4（2）-指摘の具体的内容等</v>
      </c>
      <c r="JC1" s="1" t="str">
        <v>23調査結果-建築物の内部-4（2）-改善策の具体的内容等</v>
      </c>
      <c r="JD1" s="1" t="str">
        <v>23調査結果-建築物の内部-4（2）-改善（予定）年月-年（令和）</v>
      </c>
      <c r="JE1" s="1" t="str">
        <v>23調査結果-建築物の内部-4（2）-改善（予定）年月-月</v>
      </c>
      <c r="JF1" s="1" t="str">
        <v>23調査結果-建築物の内部-4（2）-改善（予定）年月-未定</v>
      </c>
      <c r="JG1" s="1" t="str">
        <v>23調査結果-建築物の内部-4（3）-調査結果</v>
      </c>
      <c r="JH1" s="1" t="str">
        <v>23調査結果-建築物の内部-4（3）-調査者番号</v>
      </c>
      <c r="JI1" s="1" t="str">
        <v>23調査結果-建築物の内部-4（3）-指摘の具体的内容等</v>
      </c>
      <c r="JJ1" s="1" t="str">
        <v>23調査結果-建築物の内部-4（3）-改善策の具体的内容等</v>
      </c>
      <c r="JK1" s="1" t="str">
        <v>23調査結果-建築物の内部-4（3）-改善（予定）年月-年（令和）</v>
      </c>
      <c r="JL1" s="1" t="str">
        <v>23調査結果-建築物の内部-4（3）-改善（予定）年月-月</v>
      </c>
      <c r="JM1" s="1" t="str">
        <v>23調査結果-建築物の内部-4（3）-改善（予定）年月-未定</v>
      </c>
      <c r="JN1" s="1" t="str">
        <v>23調査結果-建築物の内部-4（4）-調査結果</v>
      </c>
      <c r="JO1" s="1" t="str">
        <v>23調査結果-建築物の内部-4（4）-調査者番号</v>
      </c>
      <c r="JP1" s="1" t="str">
        <v>23調査結果-建築物の内部-4（4）-指摘の具体的内容等</v>
      </c>
      <c r="JQ1" s="1" t="str">
        <v>23調査結果-建築物の内部-4（4）-改善策の具体的内容等</v>
      </c>
      <c r="JR1" s="1" t="str">
        <v>23調査結果-建築物の内部-4（4）-改善（予定）年月-年（令和）</v>
      </c>
      <c r="JS1" s="1" t="str">
        <v>23調査結果-建築物の内部-4（4）-改善（予定）年月-月</v>
      </c>
      <c r="JT1" s="1" t="str">
        <v>23調査結果-建築物の内部-4（4）-改善（予定）年月-未定</v>
      </c>
      <c r="JU1" s="1" t="str">
        <v>23調査結果-建築物の内部-4（5）-調査結果</v>
      </c>
      <c r="JV1" s="1" t="str">
        <v>23調査結果-建築物の内部-4（5）-調査者番号</v>
      </c>
      <c r="JW1" s="1" t="str">
        <v>23調査結果-建築物の内部-4（5）-指摘の具体的内容等</v>
      </c>
      <c r="JX1" s="1" t="str">
        <v>23調査結果-建築物の内部-4（5）-改善策の具体的内容等</v>
      </c>
      <c r="JY1" s="1" t="str">
        <v>23調査結果-建築物の内部-4（5）-改善（予定）年月-年（令和）</v>
      </c>
      <c r="JZ1" s="1" t="str">
        <v>23調査結果-建築物の内部-4（5）-改善（予定）年月-月</v>
      </c>
      <c r="KA1" s="1" t="str">
        <v>23調査結果-建築物の内部-4（5）-改善（予定）年月-未定</v>
      </c>
      <c r="KB1" s="1" t="str">
        <v>23調査結果-建築物の内部-4（6）-調査結果</v>
      </c>
      <c r="KC1" s="1" t="str">
        <v>23調査結果-建築物の内部-4（6）-調査者番号</v>
      </c>
      <c r="KD1" s="1" t="str">
        <v>23調査結果-建築物の内部-4（6）-指摘の具体的内容等</v>
      </c>
      <c r="KE1" s="1" t="str">
        <v>23調査結果-建築物の内部-4（6）-改善策の具体的内容等</v>
      </c>
      <c r="KF1" s="1" t="str">
        <v>23調査結果-建築物の内部-4（6）-改善（予定）年月-年（令和）</v>
      </c>
      <c r="KG1" s="1" t="str">
        <v>23調査結果-建築物の内部-4（6）-改善（予定）年月-月</v>
      </c>
      <c r="KH1" s="1" t="str">
        <v>23調査結果-建築物の内部-4（6）-改善（予定）年月-未定</v>
      </c>
      <c r="KI1" s="1" t="str">
        <v>23調査結果-建築物の内部-4（7）-調査結果</v>
      </c>
      <c r="KJ1" s="1" t="str">
        <v>23調査結果-建築物の内部-4（7）-調査者番号</v>
      </c>
      <c r="KK1" s="1" t="str">
        <v>23調査結果-建築物の内部-4（7）-指摘の具体的内容等</v>
      </c>
      <c r="KL1" s="1" t="str">
        <v>23調査結果-建築物の内部-4（7）-改善策の具体的内容等</v>
      </c>
      <c r="KM1" s="1" t="str">
        <v>23調査結果-建築物の内部-4（7）-改善（予定）年月-年（令和）</v>
      </c>
      <c r="KN1" s="1" t="str">
        <v>23調査結果-建築物の内部-4（7）-改善（予定）年月-月</v>
      </c>
      <c r="KO1" s="1" t="str">
        <v>23調査結果-建築物の内部-4（7）-改善（予定）年月-未定</v>
      </c>
      <c r="KP1" s="1" t="str">
        <v>23調査結果-建築物の内部-4（8）-調査結果</v>
      </c>
      <c r="KQ1" s="1" t="str">
        <v>23調査結果-建築物の内部-4（8）-調査者番号</v>
      </c>
      <c r="KR1" s="1" t="str">
        <v>23調査結果-建築物の内部-4（8）-指摘の具体的内容等</v>
      </c>
      <c r="KS1" s="1" t="str">
        <v>23調査結果-建築物の内部-4（8）-改善策の具体的内容等</v>
      </c>
      <c r="KT1" s="1" t="str">
        <v>23調査結果-建築物の内部-4（8）-改善（予定）年月-年（令和）</v>
      </c>
      <c r="KU1" s="1" t="str">
        <v>23調査結果-建築物の内部-4（8）-改善（予定）年月-月</v>
      </c>
      <c r="KV1" s="1" t="str">
        <v>23調査結果-建築物の内部-4（8）-改善（予定）年月-未定</v>
      </c>
      <c r="KW1" s="1" t="str">
        <v>23調査結果-建築物の内部-4（9）-調査結果</v>
      </c>
      <c r="KX1" s="1" t="str">
        <v>23調査結果-建築物の内部-4（9）-調査者番号</v>
      </c>
      <c r="KY1" s="1" t="str">
        <v>23調査結果-建築物の内部-4（9）-指摘の具体的内容等</v>
      </c>
      <c r="KZ1" s="1" t="str">
        <v>23調査結果-建築物の内部-4（9）-改善策の具体的内容等</v>
      </c>
      <c r="LA1" s="1" t="str">
        <v>23調査結果-建築物の内部-4（9）-改善（予定）年月-年（令和）</v>
      </c>
      <c r="LB1" s="1" t="str">
        <v>23調査結果-建築物の内部-4（9）-改善（予定）年月-月</v>
      </c>
      <c r="LC1" s="1" t="str">
        <v>23調査結果-建築物の内部-4（9）-改善（予定）年月-未定</v>
      </c>
      <c r="LD1" s="1" t="str">
        <v>23調査結果-建築物の内部-4（10）-調査結果</v>
      </c>
      <c r="LE1" s="1" t="str">
        <v>23調査結果-建築物の内部-4（10）-調査者番号</v>
      </c>
      <c r="LF1" s="1" t="str">
        <v>23調査結果-建築物の内部-4（10）-指摘の具体的内容等</v>
      </c>
      <c r="LG1" s="1" t="str">
        <v>23調査結果-建築物の内部-4（10）-改善策の具体的内容等</v>
      </c>
      <c r="LH1" s="1" t="str">
        <v>23調査結果-建築物の内部-4（10）-改善（予定）年月-年（令和）</v>
      </c>
      <c r="LI1" s="1" t="str">
        <v>23調査結果-建築物の内部-4（10）-改善（予定）年月-月</v>
      </c>
      <c r="LJ1" s="1" t="str">
        <v>23調査結果-建築物の内部-4（10）-改善（予定）年月-未定</v>
      </c>
      <c r="LK1" s="1" t="str">
        <v>23調査結果-建築物の内部-4（11）-調査結果</v>
      </c>
      <c r="LL1" s="1" t="str">
        <v>23調査結果-建築物の内部-4（11）-調査者番号</v>
      </c>
      <c r="LM1" s="1" t="str">
        <v>23調査結果-建築物の内部-4（11）-指摘の具体的内容等</v>
      </c>
      <c r="LN1" s="1" t="str">
        <v>23調査結果-建築物の内部-4（11）-改善策の具体的内容等</v>
      </c>
      <c r="LO1" s="1" t="str">
        <v>23調査結果-建築物の内部-4（11）-改善（予定）年月-年（令和）</v>
      </c>
      <c r="LP1" s="1" t="str">
        <v>23調査結果-建築物の内部-4（11）-改善（予定）年月-月</v>
      </c>
      <c r="LQ1" s="1" t="str">
        <v>23調査結果-建築物の内部-4（11）-改善（予定）年月-未定</v>
      </c>
      <c r="LR1" s="1" t="str">
        <v>23調査結果-建築物の内部-4（12）-調査結果</v>
      </c>
      <c r="LS1" s="1" t="str">
        <v>23調査結果-建築物の内部-4（12）-調査者番号</v>
      </c>
      <c r="LT1" s="1" t="str">
        <v>23調査結果-建築物の内部-4（12）-指摘の具体的内容等</v>
      </c>
      <c r="LU1" s="1" t="str">
        <v>23調査結果-建築物の内部-4（12）-改善策の具体的内容等</v>
      </c>
      <c r="LV1" s="1" t="str">
        <v>23調査結果-建築物の内部-4（12）-改善（予定）年月-年（令和）</v>
      </c>
      <c r="LW1" s="1" t="str">
        <v>23調査結果-建築物の内部-4（12）-改善（予定）年月-月</v>
      </c>
      <c r="LX1" s="1" t="str">
        <v>23調査結果-建築物の内部-4（12）-改善（予定）年月-未定</v>
      </c>
      <c r="LY1" s="1" t="str">
        <v>23調査結果-建築物の内部-4（13）-調査結果</v>
      </c>
      <c r="LZ1" s="1" t="str">
        <v>23調査結果-建築物の内部-4（13）-調査者番号</v>
      </c>
      <c r="MA1" s="1" t="str">
        <v>23調査結果-建築物の内部-4（13）-指摘の具体的内容等</v>
      </c>
      <c r="MB1" s="1" t="str">
        <v>23調査結果-建築物の内部-4（13）-改善策の具体的内容等</v>
      </c>
      <c r="MC1" s="1" t="str">
        <v>23調査結果-建築物の内部-4（13）-改善（予定）年月-年（令和）</v>
      </c>
      <c r="MD1" s="1" t="str">
        <v>23調査結果-建築物の内部-4（13）-改善（予定）年月-月</v>
      </c>
      <c r="ME1" s="1" t="str">
        <v>23調査結果-建築物の内部-4（13）-改善（予定）年月-未定</v>
      </c>
      <c r="MF1" s="1" t="str">
        <v>23調査結果-建築物の内部-4（14）-調査結果</v>
      </c>
      <c r="MG1" s="1" t="str">
        <v>23調査結果-建築物の内部-4（14）-調査者番号</v>
      </c>
      <c r="MH1" s="1" t="str">
        <v>23調査結果-建築物の内部-4（14）-指摘の具体的内容等</v>
      </c>
      <c r="MI1" s="1" t="str">
        <v>23調査結果-建築物の内部-4（14）-改善策の具体的内容等</v>
      </c>
      <c r="MJ1" s="1" t="str">
        <v>23調査結果-建築物の内部-4（14）-改善（予定）年月-年（令和）</v>
      </c>
      <c r="MK1" s="1" t="str">
        <v>23調査結果-建築物の内部-4（14）-改善（予定）年月-月</v>
      </c>
      <c r="ML1" s="1" t="str">
        <v>23調査結果-建築物の内部-4（14）-改善（予定）年月-未定</v>
      </c>
      <c r="MM1" s="1" t="str">
        <v>23調査結果-建築物の内部-4（15）-調査結果</v>
      </c>
      <c r="MN1" s="1" t="str">
        <v>23調査結果-建築物の内部-4（15）-調査者番号</v>
      </c>
      <c r="MO1" s="1" t="str">
        <v>23調査結果-建築物の内部-4（15）-指摘の具体的内容等</v>
      </c>
      <c r="MP1" s="1" t="str">
        <v>23調査結果-建築物の内部-4（15）-改善策の具体的内容等</v>
      </c>
      <c r="MQ1" s="1" t="str">
        <v>23調査結果-建築物の内部-4（15）-改善（予定）年月-年（令和）</v>
      </c>
      <c r="MR1" s="1" t="str">
        <v>23調査結果-建築物の内部-4（15）-改善（予定）年月-月</v>
      </c>
      <c r="MS1" s="1" t="str">
        <v>23調査結果-建築物の内部-4（15）-改善（予定）年月-未定</v>
      </c>
      <c r="MT1" s="1" t="str">
        <v>23調査結果-建築物の内部-4（16）-調査結果</v>
      </c>
      <c r="MU1" s="1" t="str">
        <v>23調査結果-建築物の内部-4（16）-調査者番号</v>
      </c>
      <c r="MV1" s="1" t="str">
        <v>23調査結果-建築物の内部-4（16）-指摘の具体的内容等</v>
      </c>
      <c r="MW1" s="1" t="str">
        <v>23調査結果-建築物の内部-4（16）-改善策の具体的内容等</v>
      </c>
      <c r="MX1" s="1" t="str">
        <v>23調査結果-建築物の内部-4（16）-改善（予定）年月-年（令和）</v>
      </c>
      <c r="MY1" s="1" t="str">
        <v>23調査結果-建築物の内部-4（16）-改善（予定）年月-月</v>
      </c>
      <c r="MZ1" s="1" t="str">
        <v>23調査結果-建築物の内部-4（16）-改善（予定）年月-未定</v>
      </c>
      <c r="NA1" s="1" t="str">
        <v>23調査結果-建築物の内部-4（17）-調査結果</v>
      </c>
      <c r="NB1" s="1" t="str">
        <v>23調査結果-建築物の内部-4（17）-調査者番号</v>
      </c>
      <c r="NC1" s="1" t="str">
        <v>23調査結果-建築物の内部-4（17）-指摘の具体的内容等</v>
      </c>
      <c r="ND1" s="1" t="str">
        <v>23調査結果-建築物の内部-4（17）-改善策の具体的内容等</v>
      </c>
      <c r="NE1" s="1" t="str">
        <v>23調査結果-建築物の内部-4（17）-改善（予定）年月-年（令和）</v>
      </c>
      <c r="NF1" s="1" t="str">
        <v>23調査結果-建築物の内部-4（17）-改善（予定）年月-月</v>
      </c>
      <c r="NG1" s="1" t="str">
        <v>23調査結果-建築物の内部-4（17）-改善（予定）年月-未定</v>
      </c>
      <c r="NH1" s="1" t="str">
        <v>23調査結果-建築物の内部-4（18）-調査結果</v>
      </c>
      <c r="NI1" s="1" t="str">
        <v>23調査結果-建築物の内部-4（18）-調査者番号</v>
      </c>
      <c r="NJ1" s="1" t="str">
        <v>23調査結果-建築物の内部-4（18）-指摘の具体的内容等</v>
      </c>
      <c r="NK1" s="1" t="str">
        <v>23調査結果-建築物の内部-4（18）-改善策の具体的内容等</v>
      </c>
      <c r="NL1" s="1" t="str">
        <v>23調査結果-建築物の内部-4（18）-改善（予定）年月-年（令和）</v>
      </c>
      <c r="NM1" s="1" t="str">
        <v>23調査結果-建築物の内部-4（18）-改善（予定）年月-月</v>
      </c>
      <c r="NN1" s="1" t="str">
        <v>23調査結果-建築物の内部-4（18）-改善（予定）年月-未定</v>
      </c>
      <c r="NO1" s="1" t="str">
        <v>23調査結果-建築物の内部-4（19）-調査結果</v>
      </c>
      <c r="NP1" s="1" t="str">
        <v>23調査結果-建築物の内部-4（19）-調査者番号</v>
      </c>
      <c r="NQ1" s="1" t="str">
        <v>23調査結果-建築物の内部-4（19）-指摘の具体的内容等</v>
      </c>
      <c r="NR1" s="1" t="str">
        <v>23調査結果-建築物の内部-4（19）-改善策の具体的内容等</v>
      </c>
      <c r="NS1" s="1" t="str">
        <v>23調査結果-建築物の内部-4（19）-改善（予定）年月-年（令和）</v>
      </c>
      <c r="NT1" s="1" t="str">
        <v>23調査結果-建築物の内部-4（19）-改善（予定）年月-月</v>
      </c>
      <c r="NU1" s="1" t="str">
        <v>23調査結果-建築物の内部-4（19）-改善（予定）年月-未定</v>
      </c>
      <c r="NV1" s="1" t="str">
        <v>23調査結果-建築物の内部-4（20）-調査結果</v>
      </c>
      <c r="NW1" s="1" t="str">
        <v>23調査結果-建築物の内部-4（20）-調査者番号</v>
      </c>
      <c r="NX1" s="1" t="str">
        <v>23調査結果-建築物の内部-4（20）-指摘の具体的内容等</v>
      </c>
      <c r="NY1" s="1" t="str">
        <v>23調査結果-建築物の内部-4（20）-改善策の具体的内容等</v>
      </c>
      <c r="NZ1" s="1" t="str">
        <v>23調査結果-建築物の内部-4（20）-改善（予定）年月-年（令和）</v>
      </c>
      <c r="OA1" s="1" t="str">
        <v>23調査結果-建築物の内部-4（20）-改善（予定）年月-月</v>
      </c>
      <c r="OB1" s="1" t="str">
        <v>23調査結果-建築物の内部-4（20）-改善（予定）年月-未定</v>
      </c>
      <c r="OC1" s="1" t="str">
        <v>23調査結果-建築物の内部-4（21）-調査結果</v>
      </c>
      <c r="OD1" s="1" t="str">
        <v>23調査結果-建築物の内部-4（21）-調査者番号</v>
      </c>
      <c r="OE1" s="1" t="str">
        <v>23調査結果-建築物の内部-4（21）-指摘の具体的内容等</v>
      </c>
      <c r="OF1" s="1" t="str">
        <v>23調査結果-建築物の内部-4（21）-改善策の具体的内容等</v>
      </c>
      <c r="OG1" s="1" t="str">
        <v>23調査結果-建築物の内部-4（21）-改善（予定）年月-年（令和）</v>
      </c>
      <c r="OH1" s="1" t="str">
        <v>23調査結果-建築物の内部-4（21）-改善（予定）年月-月</v>
      </c>
      <c r="OI1" s="1" t="str">
        <v>23調査結果-建築物の内部-4（21）-改善（予定）年月-未定</v>
      </c>
      <c r="OJ1" s="1" t="str">
        <v>23調査結果-建築物の内部-4（22）-調査結果</v>
      </c>
      <c r="OK1" s="1" t="str">
        <v>23調査結果-建築物の内部-4（22）-調査者番号</v>
      </c>
      <c r="OL1" s="1" t="str">
        <v>23調査結果-建築物の内部-4（22）-指摘の具体的内容等</v>
      </c>
      <c r="OM1" s="1" t="str">
        <v>23調査結果-建築物の内部-4（22）-改善策の具体的内容等</v>
      </c>
      <c r="ON1" s="1" t="str">
        <v>23調査結果-建築物の内部-4（22）-改善（予定）年月-年（令和）</v>
      </c>
      <c r="OO1" s="1" t="str">
        <v>23調査結果-建築物の内部-4（22）-改善（予定）年月-月</v>
      </c>
      <c r="OP1" s="1" t="str">
        <v>23調査結果-建築物の内部-4（22）-改善（予定）年月-未定</v>
      </c>
      <c r="OQ1" s="1" t="str">
        <v>23調査結果-建築物の内部-4（23）-調査結果</v>
      </c>
      <c r="OR1" s="1" t="str">
        <v>23調査結果-建築物の内部-4（23）-調査者番号</v>
      </c>
      <c r="OS1" s="1" t="str">
        <v>23調査結果-建築物の内部-4（23）-指摘の具体的内容等</v>
      </c>
      <c r="OT1" s="1" t="str">
        <v>23調査結果-建築物の内部-4（23）-改善策の具体的内容等</v>
      </c>
      <c r="OU1" s="1" t="str">
        <v>23調査結果-建築物の内部-4（23）-改善（予定）年月-年（令和）</v>
      </c>
      <c r="OV1" s="1" t="str">
        <v>23調査結果-建築物の内部-4（23）-改善（予定）年月-月</v>
      </c>
      <c r="OW1" s="1" t="str">
        <v>23調査結果-建築物の内部-4（23）-改善（予定）年月-未定</v>
      </c>
      <c r="OX1" s="1" t="str">
        <v>23調査結果-建築物の内部-4（24）-調査結果</v>
      </c>
      <c r="OY1" s="1" t="str">
        <v>23調査結果-建築物の内部-4（24）-調査者番号</v>
      </c>
      <c r="OZ1" s="1" t="str">
        <v>23調査結果-建築物の内部-4（24）-指摘の具体的内容等</v>
      </c>
      <c r="PA1" s="1" t="str">
        <v>23調査結果-建築物の内部-4（24）-改善策の具体的内容等</v>
      </c>
      <c r="PB1" s="1" t="str">
        <v>23調査結果-建築物の内部-4（24）-改善（予定）年月-年（令和）</v>
      </c>
      <c r="PC1" s="1" t="str">
        <v>23調査結果-建築物の内部-4（24）-改善（予定）年月-月</v>
      </c>
      <c r="PD1" s="1" t="str">
        <v>23調査結果-建築物の内部-4（24）-改善（予定）年月-未定</v>
      </c>
      <c r="PE1" s="1" t="str">
        <v>23調査結果-建築物の内部-4（25）-調査結果</v>
      </c>
      <c r="PF1" s="1" t="str">
        <v>23調査結果-建築物の内部-4（25）-調査者番号</v>
      </c>
      <c r="PG1" s="1" t="str">
        <v>23調査結果-建築物の内部-4（25）-指摘の具体的内容等</v>
      </c>
      <c r="PH1" s="1" t="str">
        <v>23調査結果-建築物の内部-4（25）-改善策の具体的内容等</v>
      </c>
      <c r="PI1" s="1" t="str">
        <v>23調査結果-建築物の内部4（25）-改善（予定）年月-年（令和）</v>
      </c>
      <c r="PJ1" s="1" t="str">
        <v>23調査結果-建築物の内部-4（25）-改善（予定）年月-月</v>
      </c>
      <c r="PK1" s="1" t="str">
        <v>23調査結果-建築物の内部-4（25）-改善（予定）年月-未定</v>
      </c>
      <c r="PL1" s="1" t="str">
        <v>23調査結果-建築物の内部-4（26）-調査結果</v>
      </c>
      <c r="PM1" s="1" t="str">
        <v>23調査結果-建築物の内部-4（26）-調査者番号</v>
      </c>
      <c r="PN1" s="1" t="str">
        <v>23調査結果-建築物の内部-4（26）-指摘の具体的内容等</v>
      </c>
      <c r="PO1" s="1" t="str">
        <v>23調査結果-建築物の内部-4（26）-改善策の具体的内容等</v>
      </c>
      <c r="PP1" s="1" t="str">
        <v>23調査結果-建築物の内部-4（26）-改善（予定）年月-年（令和）</v>
      </c>
      <c r="PQ1" s="1" t="str">
        <v>23調査結果-建築物の内部4（26）-改善（予定）年月-月</v>
      </c>
      <c r="PR1" s="1" t="str">
        <v>23調査結果-建築物の内部-4（26）-改善（予定）年月-未定</v>
      </c>
      <c r="PS1" s="1" t="str">
        <v>23調査結果-建築物の内部-4（27）-調査結果</v>
      </c>
      <c r="PT1" s="1" t="str">
        <v>23調査結果-建築物の内部-4（27）-調査者番号</v>
      </c>
      <c r="PU1" s="1" t="str">
        <v>23調査結果-建築物の内部-4（27）-指摘の具体的内容等</v>
      </c>
      <c r="PV1" s="1" t="str">
        <v>23調査結果-建築物の内部-4（27）-改善策の具体的内容等</v>
      </c>
      <c r="PW1" s="1" t="str">
        <v>23調査結果-建築物の内部-4（27）-改善（予定）年月-年（令和）</v>
      </c>
      <c r="PX1" s="1" t="str">
        <v>23調査結果-建築物の内部-4（27）-改善（予定）年月-月</v>
      </c>
      <c r="PY1" s="1" t="str">
        <v>23調査結果-建築物の内部4（27）-改善（予定）年月-未定</v>
      </c>
      <c r="PZ1" s="1" t="str">
        <v>23調査結果-建築物の内部-4（28）-調査結果</v>
      </c>
      <c r="QA1" s="1" t="str">
        <v>23調査結果-建築物の内部-4（28）-調査者番号</v>
      </c>
      <c r="QB1" s="1" t="str">
        <v>23調査結果-建築物の内部-4（28）-指摘の具体的内容等</v>
      </c>
      <c r="QC1" s="1" t="str">
        <v>23調査結果-建築物の内部-4（28）-改善策の具体的内容等</v>
      </c>
      <c r="QD1" s="1" t="str">
        <v>23調査結果-建築物の内部-4（28）-改善（予定）年月-年（令和）</v>
      </c>
      <c r="QE1" s="1" t="str">
        <v>23調査結果-建築物の内部-4（28）-改善（予定）年月-月</v>
      </c>
      <c r="QF1" s="1" t="str">
        <v>23調査結果-建築物の内部-4（28）-改善（予定）年月-未定</v>
      </c>
      <c r="QG1" s="1" t="str">
        <v>23調査結果-建築物の内部4（29）-調査結果</v>
      </c>
      <c r="QH1" s="1" t="str">
        <v>23調査結果-建築物の内部-4（29）-調査者番号</v>
      </c>
      <c r="QI1" s="1" t="str">
        <v>23調査結果-建築物の内部-4（29）-指摘の具体的内容等</v>
      </c>
      <c r="QJ1" s="1" t="str">
        <v>23調査結果-建築物の内部-4（29）-改善策の具体的内容等</v>
      </c>
      <c r="QK1" s="1" t="str">
        <v>23調査結果-建築物の内部-4（29）-改善（予定）年月-年（令和）</v>
      </c>
      <c r="QL1" s="1" t="str">
        <v>23調査結果-建築物の内部-4（29）-改善（予定）年月-月</v>
      </c>
      <c r="QM1" s="1" t="str">
        <v>23調査結果-建築物の内部-4（29）-改善（予定）年月-未定</v>
      </c>
      <c r="QN1" s="1" t="str">
        <v>23調査結果-建築物の内部-4（30）-調査結果</v>
      </c>
      <c r="QO1" s="1" t="str">
        <v>23調査結果-建築物の内部4（30）-調査者番号</v>
      </c>
      <c r="QP1" s="1" t="str">
        <v>23調査結果-建築物の内部-4（30）-指摘の具体的内容等</v>
      </c>
      <c r="QQ1" s="1" t="str">
        <v>23調査結果-建築物の内部-4（30）-改善策の具体的内容等</v>
      </c>
      <c r="QR1" s="1" t="str">
        <v>23調査結果-建築物の内部-4（30）-改善（予定）年月-年（令和）</v>
      </c>
      <c r="QS1" s="1" t="str">
        <v>23調査結果-建築物の内部-4（30）-改善（予定）年月-月</v>
      </c>
      <c r="QT1" s="1" t="str">
        <v>23調査結果-建築物の内部-4（30）-改善（予定）年月-未定</v>
      </c>
      <c r="QU1" s="1" t="str">
        <v>23調査結果-建築物の内部-4（31）-調査結果</v>
      </c>
      <c r="QV1" s="1" t="str">
        <v>23調査結果-建築物の内部-4（31）-調査者番号</v>
      </c>
      <c r="QW1" s="1" t="str">
        <v>23調査結果-建築物の内部4（31）-指摘の具体的内容等</v>
      </c>
      <c r="QX1" s="1" t="str">
        <v>23調査結果-建築物の内部-4（31）-改善策の具体的内容等</v>
      </c>
      <c r="QY1" s="1" t="str">
        <v>23調査結果-建築物の内部-4（31）-改善（予定）年月-年（令和）</v>
      </c>
      <c r="QZ1" s="1" t="str">
        <v>23調査結果-建築物の内部-4（31）-改善（予定）年月-月</v>
      </c>
      <c r="RA1" s="1" t="str">
        <v>23調査結果-建築物の内部-4（31）-改善（予定）年月-未定</v>
      </c>
      <c r="RB1" s="1" t="str">
        <v>23調査結果-建築物の内部-4（32）-調査結果</v>
      </c>
      <c r="RC1" s="1" t="str">
        <v>23調査結果-建築物の内部-4（32）-調査者番号</v>
      </c>
      <c r="RD1" s="1" t="str">
        <v>23調査結果-建築物の内部-4（32）-指摘の具体的内容等</v>
      </c>
      <c r="RE1" s="1" t="str">
        <v>23調査結果-建築物の内部4（32）-改善策の具体的内容等</v>
      </c>
      <c r="RF1" s="1" t="str">
        <v>23調査結果-建築物の内部-4（32）-改善（予定）年月-年（令和）</v>
      </c>
      <c r="RG1" s="1" t="str">
        <v>23調査結果-建築物の内部-4（32）-改善（予定）年月-月</v>
      </c>
      <c r="RH1" s="1" t="str">
        <v>23調査結果-建築物の内部-4（32）-改善（予定）年月-未定</v>
      </c>
      <c r="RI1" s="1" t="str">
        <v>23調査結果-建築物の内部-4（33）-調査結果</v>
      </c>
      <c r="RJ1" s="1" t="str">
        <v>23調査結果-建築物の内部-4（33）-調査者番号</v>
      </c>
      <c r="RK1" s="1" t="str">
        <v>23調査結果-建築物の内部-4（33）-指摘の具体的内容等</v>
      </c>
      <c r="RL1" s="1" t="str">
        <v>23調査結果-建築物の内部-4（33）-改善策の具体的内容等</v>
      </c>
      <c r="RM1" s="1" t="str">
        <v>23調査結果-建築物の内部4（33）-改善（予定）年月-年（令和）</v>
      </c>
      <c r="RN1" s="1" t="str">
        <v>23調査結果-建築物の内部-4（33）-改善（予定）年月-月</v>
      </c>
      <c r="RO1" s="1" t="str">
        <v>23調査結果-建築物の内部-4（33）-改善（予定）年月-未定</v>
      </c>
      <c r="RP1" s="1" t="str">
        <v>23調査結果-建築物の内部-4（34）-調査結果</v>
      </c>
      <c r="RQ1" s="1" t="str">
        <v>23調査結果-建築物の内部-4（34）-調査者番号</v>
      </c>
      <c r="RR1" s="1" t="str">
        <v>23調査結果-建築物の内部-4（34）-指摘の具体的内容等</v>
      </c>
      <c r="RS1" s="1" t="str">
        <v>23調査結果-建築物の内部-4（34）-改善策の具体的内容等</v>
      </c>
      <c r="RT1" s="1" t="str">
        <v>23調査結果-建築物の内部-4（34）-改善（予定）年月-年（令和）</v>
      </c>
      <c r="RU1" s="1" t="str">
        <v>23調査結果-建築物の内部4（34）-改善（予定）年月-月</v>
      </c>
      <c r="RV1" s="1" t="str">
        <v>23調査結果-建築物の内部-4（34）-改善（予定）年月-未定</v>
      </c>
      <c r="RW1" s="1" t="str">
        <v>23調査結果-建築物の内部-4（35）-調査結果</v>
      </c>
      <c r="RX1" s="1" t="str">
        <v>23調査結果-建築物の内部-4（35）-調査者番号</v>
      </c>
      <c r="RY1" s="1" t="str">
        <v>23調査結果-建築物の内部-4（35）-指摘の具体的内容等</v>
      </c>
      <c r="RZ1" s="1" t="str">
        <v>23調査結果-建築物の内部-4（35）-改善策の具体的内容等</v>
      </c>
      <c r="SA1" s="1" t="str">
        <v>23調査結果-建築物の内部-4（35）-改善（予定）年月-年（令和）</v>
      </c>
      <c r="SB1" s="1" t="str">
        <v>23調査結果-建築物の内部-4（35）-改善（予定）年月-月</v>
      </c>
      <c r="SC1" s="1" t="str">
        <v>23調査結果-建築物の内部4（35）-改善（予定）年月-未定</v>
      </c>
      <c r="SD1" s="1" t="str">
        <v>23調査結果-建築物の内部-4（36）-調査結果</v>
      </c>
      <c r="SE1" s="1" t="str">
        <v>23調査結果-建築物の内部-4（36）-調査者番号</v>
      </c>
      <c r="SF1" s="1" t="str">
        <v>23調査結果-建築物の内部-4（36）-指摘の具体的内容等</v>
      </c>
      <c r="SG1" s="1" t="str">
        <v>23調査結果-建築物の内部-4（36）-改善策の具体的内容等</v>
      </c>
      <c r="SH1" s="1" t="str">
        <v>23調査結果-建築物の内部-4（36）-改善（予定）年月-年（令和）</v>
      </c>
      <c r="SI1" s="1" t="str">
        <v>23調査結果-建築物の内部-4（36）-改善（予定）年月-月</v>
      </c>
      <c r="SJ1" s="1" t="str">
        <v>23調査結果-建築物の内部-4（36）-改善（予定）年月-未定</v>
      </c>
      <c r="SK1" s="1" t="str">
        <v>23調査結果-建築物の内部-4（37）-調査結果</v>
      </c>
      <c r="SL1" s="1" t="str">
        <v>23調査結果-建築物の内部-4（37）-調査者番号</v>
      </c>
      <c r="SM1" s="1" t="str">
        <v>23調査結果-建築物の内部-4（37）-指摘の具体的内容等</v>
      </c>
      <c r="SN1" s="1" t="str">
        <v>23調査結果-建築物の内部-4（37）-改善策の具体的内容等</v>
      </c>
      <c r="SO1" s="1" t="str">
        <v>23調査結果-建築物の内部-4（37）-改善（予定）年月-年（令和）</v>
      </c>
      <c r="SP1" s="1" t="str">
        <v>23調査結果-建築物の内部-4（37）-改善（予定）年月-月</v>
      </c>
      <c r="SQ1" s="1" t="str">
        <v>23調査結果-建築物の内部-4（37）-改善（予定）年月-未定</v>
      </c>
      <c r="SR1" s="1" t="str">
        <v>23調査結果-建築物の内部-4（38）-調査結果</v>
      </c>
      <c r="SS1" s="1" t="str">
        <v>23調査結果-建築物の内部-4（38）-調査者番号</v>
      </c>
      <c r="ST1" s="1" t="str">
        <v>23調査結果-建築物の内部-4（38）-指摘の具体的内容等</v>
      </c>
      <c r="SU1" s="1" t="str">
        <v>23調査結果-建築物の内部-4（38）-改善策の具体的内容等</v>
      </c>
      <c r="SV1" s="1" t="str">
        <v>23調査結果-建築物の内部-4（38）-改善（予定）年月-年（令和）</v>
      </c>
      <c r="SW1" s="1" t="str">
        <v>23調査結果-建築物の内部-4（38）-改善（予定）年月-月</v>
      </c>
      <c r="SX1" s="1" t="str">
        <v>23調査結果-建築物の内部-4（38）-改善（予定）年月-未定</v>
      </c>
      <c r="SY1" s="1" t="str">
        <v>23調査結果-建築物の内部-4（39）-調査結果</v>
      </c>
      <c r="SZ1" s="1" t="str">
        <v>23調査結果-建築物の内部-4（39）-調査者番号</v>
      </c>
      <c r="TA1" s="1" t="str">
        <v>23調査結果-建築物の内部-4（39）-指摘の具体的内容等</v>
      </c>
      <c r="TB1" s="1" t="str">
        <v>23調査結果-建築物の内部-4（39）-改善策の具体的内容等</v>
      </c>
      <c r="TC1" s="1" t="str">
        <v>23調査結果-建築物の内部-4（39）-改善（予定）年月-年（令和）</v>
      </c>
      <c r="TD1" s="1" t="str">
        <v>23調査結果-建築物の内部-4（39）-改善（予定）年月-月</v>
      </c>
      <c r="TE1" s="1" t="str">
        <v>23調査結果-建築物の内部-4（39）-改善（予定）年月-未定</v>
      </c>
      <c r="TF1" s="1" t="str">
        <v>23調査結果-建築物の内部-4（40）-調査結果</v>
      </c>
      <c r="TG1" s="1" t="str">
        <v>23調査結果-建築物の内部-4（40）-調査者番号</v>
      </c>
      <c r="TH1" s="1" t="str">
        <v>23調査結果-建築物の内部-4（40）-指摘の具体的内容等</v>
      </c>
      <c r="TI1" s="1" t="str">
        <v>23調査結果-建築物の内部-4（40）-改善策の具体的内容等</v>
      </c>
      <c r="TJ1" s="1" t="str">
        <v>23調査結果-建築物の内部-4（40）-改善（予定）年月-年（令和）</v>
      </c>
      <c r="TK1" s="1" t="str">
        <v>23調査結果-建築物の内部-4（40）-改善（予定）年月-月</v>
      </c>
      <c r="TL1" s="1" t="str">
        <v>23調査結果-建築物の内部-4（40）-改善（予定）年月-未定</v>
      </c>
      <c r="TM1" s="1" t="str">
        <v>23調査結果-建築物の内部-4（41）-調査結果</v>
      </c>
      <c r="TN1" s="1" t="str">
        <v>23調査結果-建築物の内部-4（41）-調査者番号</v>
      </c>
      <c r="TO1" s="1" t="str">
        <v>23調査結果-建築物の内部-4（41）-指摘の具体的内容等</v>
      </c>
      <c r="TP1" s="1" t="str">
        <v>23調査結果-建築物の内部-4（41）-改善策の具体的内容等</v>
      </c>
      <c r="TQ1" s="1" t="str">
        <v>23調査結果-建築物の内部-4（41）-改善（予定）年月-年（令和）</v>
      </c>
      <c r="TR1" s="1" t="str">
        <v>23調査結果-建築物の内部-4（41）-改善（予定）年月-月</v>
      </c>
      <c r="TS1" s="1" t="str">
        <v>23調査結果-建築物の内部-4（41）-改善（予定）年月-未定</v>
      </c>
      <c r="TT1" s="1" t="str">
        <v>23調査結果-建築物の内部-4（42）-調査結果</v>
      </c>
      <c r="TU1" s="1" t="str">
        <v>23調査結果-建築物の内部-4（42）-調査者番号</v>
      </c>
      <c r="TV1" s="1" t="str">
        <v>23調査結果-建築物の内部-4（42）-指摘の具体的内容等</v>
      </c>
      <c r="TW1" s="1" t="str">
        <v>23調査結果-建築物の内部-4（42）-改善策の具体的内容等</v>
      </c>
      <c r="TX1" s="1" t="str">
        <v>23調査結果-建築物の内部-4（42）-改善（予定）年月-年（令和）</v>
      </c>
      <c r="TY1" s="1" t="str">
        <v>23調査結果-建築物の内部-4（42）-改善（予定）年月-月</v>
      </c>
      <c r="TZ1" s="1" t="str">
        <v>23調査結果-建築物の内部-4（42）-改善（予定）年月-未定</v>
      </c>
      <c r="UA1" s="1" t="str">
        <v>23調査結果-建築物の内部-4（43）-調査結果</v>
      </c>
      <c r="UB1" s="1" t="str">
        <v>23調査結果-建築物の内部-4（43）-調査者番号</v>
      </c>
      <c r="UC1" s="1" t="str">
        <v>23調査結果-建築物の内部-4（43）-指摘の具体的内容等</v>
      </c>
      <c r="UD1" s="1" t="str">
        <v>23調査結果-建築物の内部-4（43）-改善策の具体的内容等</v>
      </c>
      <c r="UE1" s="1" t="str">
        <v>23調査結果-建築物の内部-4（43）-改善（予定）年月-年（令和）</v>
      </c>
      <c r="UF1" s="1" t="str">
        <v>23調査結果-建築物の内部-4（43）-改善（予定）年月-月</v>
      </c>
      <c r="UG1" s="1" t="str">
        <v>23調査結果-建築物の内部-4（43）-改善（予定）年月-未定</v>
      </c>
      <c r="UH1" s="1" t="str">
        <v>23調査結果-建築物の内部-4（44）-調査結果</v>
      </c>
      <c r="UI1" s="1" t="str">
        <v>23調査結果-建築物の内部-4（44）-調査者番号</v>
      </c>
      <c r="UJ1" s="1" t="str">
        <v>23調査結果-建築物の内部-4（44）-指摘の具体的内容等</v>
      </c>
      <c r="UK1" s="1" t="str">
        <v>23調査結果-建築物の内部-4（44）-改善策の具体的内容等</v>
      </c>
      <c r="UL1" s="1" t="str">
        <v>23調査結果-建築物の内部-4（44）-改善（予定）年月-年（令和）</v>
      </c>
      <c r="UM1" s="1" t="str">
        <v>23調査結果-建築物の内部-4（44）-改善（予定）年月-月</v>
      </c>
      <c r="UN1" s="1" t="str">
        <v>23調査結果-建築物の内部-4（44）-改善（予定）年月-未定</v>
      </c>
      <c r="UO1" s="1" t="str">
        <v>23調査結果-建築物の内部-4（45）-調査結果</v>
      </c>
      <c r="UP1" s="1" t="str">
        <v>23調査結果-建築物の内部-4（45）-調査者番号</v>
      </c>
      <c r="UQ1" s="1" t="str">
        <v>23調査結果-建築物の内部-4（45）-指摘の具体的内容等</v>
      </c>
      <c r="UR1" s="1" t="str">
        <v>23調査結果-建築物の内部-4（45）-改善策の具体的内容等</v>
      </c>
      <c r="US1" s="1" t="str">
        <v>23調査結果-建築物の内部-4（45）-改善（予定）年月-年（令和）</v>
      </c>
      <c r="UT1" s="1" t="str">
        <v>23調査結果-建築物の内部-4（45）-改善（予定）年月-月</v>
      </c>
      <c r="UU1" s="1" t="str">
        <v>23調査結果-建築物の内部-4（45）-改善（予定）年月-未定</v>
      </c>
      <c r="UV1" s="1" t="str">
        <v>23調査結果-避難施設等-5（1）-調査結果</v>
      </c>
      <c r="UW1" s="1" t="str">
        <v>23調査結果-避難施設等-5（1）-調査者番号</v>
      </c>
      <c r="UX1" s="1" t="str">
        <v>23調査結果-避難施設等-5（1）-指摘の具体的内容等</v>
      </c>
      <c r="UY1" s="1" t="str">
        <v>23調査結果-避難施設等-5（1）-改善策の具体的内容等</v>
      </c>
      <c r="UZ1" s="1" t="str">
        <v>23調査結果-避難施設等-5（1）-改善（予定）年月-年（令和）</v>
      </c>
      <c r="VA1" s="1" t="str">
        <v>23調査結果-避難施設等-5（1）-改善（予定）年月-月</v>
      </c>
      <c r="VB1" s="1" t="str">
        <v>23調査結果-避難施設等-5（1）-改善（予定）年月-未定</v>
      </c>
      <c r="VC1" s="1" t="str">
        <v>23調査結果-避難施設等-5（2）-調査結果</v>
      </c>
      <c r="VD1" s="1" t="str">
        <v>23調査結果-避難施設等-5（2）-調査者番号</v>
      </c>
      <c r="VE1" s="1" t="str">
        <v>23調査結果-避難施設等-5（2）-指摘の具体的内容等</v>
      </c>
      <c r="VF1" s="1" t="str">
        <v>23調査結果-避難施設等-5（2）-改善策の具体的内容等</v>
      </c>
      <c r="VG1" s="1" t="str">
        <v>23調査結果-避難施設等-5（2）-改善（予定）年月-年（令和）</v>
      </c>
      <c r="VH1" s="1" t="str">
        <v>23調査結果-避難施設等-5（2）-改善（予定）年月-月</v>
      </c>
      <c r="VI1" s="1" t="str">
        <v>23調査結果-避難施設等-5（2）-改善（予定）年月-未定</v>
      </c>
      <c r="VJ1" s="1" t="str">
        <v>23調査結果-避難施設等-5（3）-調査結果</v>
      </c>
      <c r="VK1" s="1" t="str">
        <v>23調査結果-避難施設等-5（3）-調査者番号</v>
      </c>
      <c r="VL1" s="1" t="str">
        <v>23調査結果-避難施設等-5（3）-指摘の具体的内容等</v>
      </c>
      <c r="VM1" s="1" t="str">
        <v>23調査結果-避難施設等-5（3）-改善策の具体的内容等</v>
      </c>
      <c r="VN1" s="1" t="str">
        <v>23調査結果-避難施設等-5（3）-改善（予定）年月-年（令和）</v>
      </c>
      <c r="VO1" s="1" t="str">
        <v>23調査結果-避難施設等-5（3）-改善（予定）年月-月</v>
      </c>
      <c r="VP1" s="1" t="str">
        <v>23調査結果-避難施設等-5（3）-改善（予定）年月-未定</v>
      </c>
      <c r="VQ1" s="1" t="str">
        <v>23調査結果-避難施設等-5（4）-調査結果</v>
      </c>
      <c r="VR1" s="1" t="str">
        <v>23調査結果-避難施設等-5（4）-調査者番号</v>
      </c>
      <c r="VS1" s="1" t="str">
        <v>23調査結果-避難施設等-5（4）-指摘の具体的内容等</v>
      </c>
      <c r="VT1" s="1" t="str">
        <v>23調査結果-避難施設等-5（4）-改善策の具体的内容等</v>
      </c>
      <c r="VU1" s="1" t="str">
        <v>23調査結果-避難施設等-5（4）-改善（予定）年月-年（令和）</v>
      </c>
      <c r="VV1" s="1" t="str">
        <v>23調査結果-避難施設等-5（4）-改善（予定）年月-月</v>
      </c>
      <c r="VW1" s="1" t="str">
        <v>23調査結果-避難施設等-5（4）-改善（予定）年月-未定</v>
      </c>
      <c r="VX1" s="1" t="str">
        <v>23調査結果-避難施設等-5（5）-調査結果</v>
      </c>
      <c r="VY1" s="1" t="str">
        <v>23調査結果-避難施設等-5（5）-調査者番号</v>
      </c>
      <c r="VZ1" s="1" t="str">
        <v>23調査結果-避難施設等-5（5）-指摘の具体的内容等</v>
      </c>
      <c r="WA1" s="1" t="str">
        <v>23調査結果-避難施設等-5（5）-改善策の具体的内容等</v>
      </c>
      <c r="WB1" s="1" t="str">
        <v>23調査結果-避難施設等-5（5）-改善（予定）年月-年（令和）</v>
      </c>
      <c r="WC1" s="1" t="str">
        <v>23調査結果-避難施設等-5（5）-改善（予定）年月-月</v>
      </c>
      <c r="WD1" s="1" t="str">
        <v>23調査結果-避難施設等-5（5）-改善（予定）年月-未定</v>
      </c>
      <c r="WE1" s="1" t="str">
        <v>23調査結果-避難施設等-5（6）-調査結果</v>
      </c>
      <c r="WF1" s="1" t="str">
        <v>23調査結果-避難施設等-5（6）-調査者番号</v>
      </c>
      <c r="WG1" s="1" t="str">
        <v>23調査結果-避難施設等-5（6）-指摘の具体的内容等</v>
      </c>
      <c r="WH1" s="1" t="str">
        <v>23調査結果-避難施設等-5（6）-改善策の具体的内容等</v>
      </c>
      <c r="WI1" s="1" t="str">
        <v>23調査結果-避難施設等-5（6）-改善（予定）年月-年（令和）</v>
      </c>
      <c r="WJ1" s="1" t="str">
        <v>23調査結果-避難施設等-5（6）-改善（予定）年月-月</v>
      </c>
      <c r="WK1" s="1" t="str">
        <v>23調査結果-避難施設等-5（6）-改善（予定）年月-未定</v>
      </c>
      <c r="WL1" s="1" t="str">
        <v>23調査結果-避難施設等-5（7）-調査結果</v>
      </c>
      <c r="WM1" s="1" t="str">
        <v>23調査結果-避難施設等-5（7）-調査者番号</v>
      </c>
      <c r="WN1" s="1" t="str">
        <v>23調査結果-避難施設等-5（7）-指摘の具体的内容等</v>
      </c>
      <c r="WO1" s="1" t="str">
        <v>23調査結果-避難施設等-5（7）-改善策の具体的内容等</v>
      </c>
      <c r="WP1" s="1" t="str">
        <v>23調査結果-避難施設等-5（7）-改善（予定）年月-年（令和）</v>
      </c>
      <c r="WQ1" s="1" t="str">
        <v>23調査結果-避難施設等-5（7）-改善（予定）年月-月</v>
      </c>
      <c r="WR1" s="1" t="str">
        <v>23調査結果-避難施設等-5（7）-改善（予定）年月-未定</v>
      </c>
      <c r="WS1" s="1" t="str">
        <v>23調査結果-避難施設等-5（8）-調査結果</v>
      </c>
      <c r="WT1" s="1" t="str">
        <v>23調査結果-避難施設等-5（8）-調査者番号</v>
      </c>
      <c r="WU1" s="1" t="str">
        <v>23調査結果-避難施設等-5（8）-指摘の具体的内容等</v>
      </c>
      <c r="WV1" s="1" t="str">
        <v>23調査結果-避難施設等-5（8）-改善策の具体的内容等</v>
      </c>
      <c r="WW1" s="1" t="str">
        <v>23調査結果-避難施設等-5（8）-改善（予定）年月-年（令和）</v>
      </c>
      <c r="WX1" s="1" t="str">
        <v>23調査結果-避難施設等-5（8）-改善（予定）年月-月</v>
      </c>
      <c r="WY1" s="1" t="str">
        <v>23調査結果-避難施設等-5（8）-改善（予定）年月-未定</v>
      </c>
      <c r="WZ1" s="1" t="str">
        <v>23調査結果-避難施設等-5（9）-調査結果</v>
      </c>
      <c r="XA1" s="1" t="str">
        <v>23調査結果-避難施設等-5（9）-調査者番号</v>
      </c>
      <c r="XB1" s="1" t="str">
        <v>23調査結果-避難施設等-5（9）-指摘の具体的内容等</v>
      </c>
      <c r="XC1" s="1" t="str">
        <v>23調査結果-避難施設等-5（9）-改善策の具体的内容等</v>
      </c>
      <c r="XD1" s="1" t="str">
        <v>23調査結果-避難施設等-5（9）-改善（予定）年月-年（令和）</v>
      </c>
      <c r="XE1" s="1" t="str">
        <v>23調査結果-避難施設等-5（9）-改善（予定）年月-月</v>
      </c>
      <c r="XF1" s="1" t="str">
        <v>23調査結果-避難施設等-5（9）-改善（予定）年月-未定</v>
      </c>
      <c r="XG1" s="1" t="str">
        <v>23調査結果-避難施設等-5（10）-調査結果</v>
      </c>
      <c r="XH1" s="1" t="str">
        <v>23調査結果-避難施設等-5（10）-調査者番号</v>
      </c>
      <c r="XI1" s="1" t="str">
        <v>23調査結果-避難施設等-5（10）-指摘の具体的内容等</v>
      </c>
      <c r="XJ1" s="1" t="str">
        <v>23調査結果-避難施設等-5（10）-改善策の具体的内容等</v>
      </c>
      <c r="XK1" s="1" t="str">
        <v>23調査結果-避難施設等-5（10）-改善（予定）年月-年（令和）</v>
      </c>
      <c r="XL1" s="1" t="str">
        <v>23調査結果-避難施設等-5（10）-改善（予定）年月-月</v>
      </c>
      <c r="XM1" s="1" t="str">
        <v>23調査結果-避難施設等-5（10）-改善（予定）年月-未定</v>
      </c>
      <c r="XN1" s="1" t="str">
        <v>23調査結果-避難施設等-5（11）-調査結果</v>
      </c>
      <c r="XO1" s="1" t="str">
        <v>23調査結果-避難施設等-5（11）-調査者番号</v>
      </c>
      <c r="XP1" s="1" t="str">
        <v>23調査結果-避難施設等-5（11）-指摘の具体的内容等</v>
      </c>
      <c r="XQ1" s="1" t="str">
        <v>23調査結果-避難施設等-5（11）-改善策の具体的内容等</v>
      </c>
      <c r="XR1" s="1" t="str">
        <v>23調査結果-避難施設等-5（11）-改善（予定）年月-年（令和）</v>
      </c>
      <c r="XS1" s="1" t="str">
        <v>23調査結果-避難施設等-5（11）-改善（予定）年月-月</v>
      </c>
      <c r="XT1" s="1" t="str">
        <v>23調査結果-避難施設等-5（11）-改善（予定）年月-未定</v>
      </c>
      <c r="XU1" s="1" t="str">
        <v>23調査結果-避難施設等-5（12）-調査結果</v>
      </c>
      <c r="XV1" s="1" t="str">
        <v>23調査結果-避難施設等-5（12）-調査者番号</v>
      </c>
      <c r="XW1" s="1" t="str">
        <v>23調査結果-避難施設等-5（12）-指摘の具体的内容等</v>
      </c>
      <c r="XX1" s="1" t="str">
        <v>23調査結果-避難施設等-5（12）-改善策の具体的内容等</v>
      </c>
      <c r="XY1" s="1" t="str">
        <v>23調査結果-避難施設等-5（12）-改善（予定）年月-年（令和）</v>
      </c>
      <c r="XZ1" s="1" t="str">
        <v>23調査結果-避難施設等-5（12）-改善（予定）年月-月</v>
      </c>
      <c r="YA1" s="1" t="str">
        <v>23調査結果-避難施設等-5（12）-改善（予定）年月-未定</v>
      </c>
      <c r="YB1" s="1" t="str">
        <v>23調査結果-避難施設等-5（13）-調査結果</v>
      </c>
      <c r="YC1" s="1" t="str">
        <v>23調査結果-避難施設等-5（13）-調査者番号</v>
      </c>
      <c r="YD1" s="1" t="str">
        <v>23調査結果-避難施設等-5（13）-指摘の具体的内容等</v>
      </c>
      <c r="YE1" s="1" t="str">
        <v>23調査結果-避難施設等-5（13）-改善策の具体的内容等</v>
      </c>
      <c r="YF1" s="1" t="str">
        <v>23調査結果-避難施設等-5（13）-改善（予定）年月-年（令和）</v>
      </c>
      <c r="YG1" s="1" t="str">
        <v>23調査結果-避難施設等-5（13）-改善（予定）年月-月</v>
      </c>
      <c r="YH1" s="1" t="str">
        <v>23調査結果-避難施設等-5（13）-改善（予定）年月-未定</v>
      </c>
      <c r="YI1" s="1" t="str">
        <v>23調査結果-避難施設等-5（14）-調査結果</v>
      </c>
      <c r="YJ1" s="1" t="str">
        <v>23調査結果-避難施設等-5（14）-調査者番号</v>
      </c>
      <c r="YK1" s="1" t="str">
        <v>23調査結果-避難施設等-5（14）-指摘の具体的内容等</v>
      </c>
      <c r="YL1" s="1" t="str">
        <v>23調査結果-避難施設等-5（14）-改善策の具体的内容等</v>
      </c>
      <c r="YM1" s="1" t="str">
        <v>23調査結果-避難施設等-5（14）-改善（予定）年月-年（令和）</v>
      </c>
      <c r="YN1" s="1" t="str">
        <v>23調査結果-避難施設等-5（14）-改善（予定）年月-月</v>
      </c>
      <c r="YO1" s="1" t="str">
        <v>23調査結果-避難施設等-5（14）-改善（予定）年月-未定</v>
      </c>
      <c r="YP1" s="1" t="str">
        <v>23調査結果-避難施設等-5（15）-調査結果</v>
      </c>
      <c r="YQ1" s="1" t="str">
        <v>23調査結果-避難施設等-5（15）-調査者番号</v>
      </c>
      <c r="YR1" s="1" t="str">
        <v>23調査結果-避難施設等-5（15）-指摘の具体的内容等</v>
      </c>
      <c r="YS1" s="1" t="str">
        <v>23調査結果-避難施設等-5（15）-改善策の具体的内容等</v>
      </c>
      <c r="YT1" s="1" t="str">
        <v>23調査結果-避難施設等-5（15）-改善（予定）年月-年（令和）</v>
      </c>
      <c r="YU1" s="1" t="str">
        <v>23調査結果-避難施設等-5（15）-改善（予定）年月-月</v>
      </c>
      <c r="YV1" s="1" t="str">
        <v>23調査結果-避難施設等-5（15）-改善（予定）年月-未定</v>
      </c>
      <c r="YW1" s="1" t="str">
        <v>23調査結果-避難施設等-5（16）-調査結果</v>
      </c>
      <c r="YX1" s="1" t="str">
        <v>23調査結果-避難施設等-5（16）-調査者番号</v>
      </c>
      <c r="YY1" s="1" t="str">
        <v>23調査結果-避難施設等-5（16）-指摘の具体的内容等</v>
      </c>
      <c r="YZ1" s="1" t="str">
        <v>23調査結果-避難施設等-5（16）-改善策の具体的内容等</v>
      </c>
      <c r="ZA1" s="1" t="str">
        <v>23調査結果-避難施設等-5（16）-改善（予定）年月-年（令和）</v>
      </c>
      <c r="ZB1" s="1" t="str">
        <v>23調査結果-避難施設等-5（16）-改善（予定）年月-月</v>
      </c>
      <c r="ZC1" s="1" t="str">
        <v>23調査結果-避難施設等-5（16）-改善（予定）年月-未定</v>
      </c>
      <c r="ZD1" s="1" t="str">
        <v>23調査結果-避難施設等-5（17）-調査結果</v>
      </c>
      <c r="ZE1" s="1" t="str">
        <v>23調査結果-避難施設等-5（17）-調査者番号</v>
      </c>
      <c r="ZF1" s="1" t="str">
        <v>23調査結果-避難施設等-5（17）-指摘の具体的内容等</v>
      </c>
      <c r="ZG1" s="1" t="str">
        <v>23調査結果-避難施設等-5（17）-改善策の具体的内容等</v>
      </c>
      <c r="ZH1" s="1" t="str">
        <v>23調査結果-避難施設等-5（17）-改善（予定）年月-年（令和）</v>
      </c>
      <c r="ZI1" s="1" t="str">
        <v>23調査結果-避難施設等-5（17）-改善（予定）年月-月</v>
      </c>
      <c r="ZJ1" s="1" t="str">
        <v>23調査結果-避難施設等-5（17）-改善（予定）年月-未定</v>
      </c>
      <c r="ZK1" s="1" t="str">
        <v>23調査結果-避難施設等-5（18）-調査結果</v>
      </c>
      <c r="ZL1" s="1" t="str">
        <v>23調査結果-避難施設等-5（18）-調査者番号</v>
      </c>
      <c r="ZM1" s="1" t="str">
        <v>23調査結果-避難施設等-5（18）-指摘の具体的内容等</v>
      </c>
      <c r="ZN1" s="1" t="str">
        <v>23調査結果-避難施設等-5（18）-改善策の具体的内容等</v>
      </c>
      <c r="ZO1" s="1" t="str">
        <v>23調査結果-避難施設等-5（18）-改善（予定）年月-年（令和）</v>
      </c>
      <c r="ZP1" s="1" t="str">
        <v>23調査結果-避難施設等-5（18）-改善（予定）年月-月</v>
      </c>
      <c r="ZQ1" s="1" t="str">
        <v>23調査結果-避難施設等-5（18）-改善（予定）年月-未定</v>
      </c>
      <c r="ZR1" s="1" t="str">
        <v>23調査結果-避難施設等-5（19）-調査結果</v>
      </c>
      <c r="ZS1" s="1" t="str">
        <v>23調査結果-避難施設等-5（19）-調査者番号</v>
      </c>
      <c r="ZT1" s="1" t="str">
        <v>23調査結果-避難施設等-5（19）-指摘の具体的内容等</v>
      </c>
      <c r="ZU1" s="1" t="str">
        <v>23調査結果-避難施設等-5（19）-改善策の具体的内容等</v>
      </c>
      <c r="ZV1" s="1" t="str">
        <v>23調査結果-避難施設等-5（19）-改善（予定）年月-年（令和）</v>
      </c>
      <c r="ZW1" s="1" t="str">
        <v>23調査結果-避難施設等-5（19）-改善（予定）年月-月</v>
      </c>
      <c r="ZX1" s="1" t="str">
        <v>23調査結果-避難施設等-5（19）-改善（予定）年月-未定</v>
      </c>
      <c r="ZY1" s="1" t="str">
        <v>23調査結果-避難施設等-5（20）-調査結果</v>
      </c>
      <c r="ZZ1" s="1" t="str">
        <v>23調査結果-避難施設等-5（20）-調査者番号</v>
      </c>
      <c r="AAA1" s="1" t="str">
        <v>23調査結果-避難施設等-5（20）-指摘の具体的内容等</v>
      </c>
      <c r="AAB1" s="1" t="str">
        <v>23調査結果-避難施設等-5（20）-改善策の具体的内容等</v>
      </c>
      <c r="AAC1" s="1" t="str">
        <v>23調査結果-避難施設等-5（20）-改善（予定）年月-年（令和）</v>
      </c>
      <c r="AAD1" s="1" t="str">
        <v>23調査結果-避難施設等-5（20）-改善（予定）年月-月</v>
      </c>
      <c r="AAE1" s="1" t="str">
        <v>23調査結果-避難施設等-5（20）-改善（予定）年月-未定</v>
      </c>
      <c r="AAF1" s="1" t="str">
        <v>23調査結果-避難施設等-5（21）-調査結果</v>
      </c>
      <c r="AAG1" s="1" t="str">
        <v>23調査結果-避難施設等-5（21）-調査者番号</v>
      </c>
      <c r="AAH1" s="1" t="str">
        <v>23調査結果-避難施設等-5（21）-指摘の具体的内容等</v>
      </c>
      <c r="AAI1" s="1" t="str">
        <v>23調査結果-避難施設等-5（21）-改善策の具体的内容等</v>
      </c>
      <c r="AAJ1" s="1" t="str">
        <v>23調査結果-避難施設等-5（21）-改善（予定）年月-年（令和）</v>
      </c>
      <c r="AAK1" s="1" t="str">
        <v>23調査結果-避難施設等-5（21）-改善（予定）年月-月</v>
      </c>
      <c r="AAL1" s="1" t="str">
        <v>23調査結果-避難施設等-5（21）-改善（予定）年月-未定</v>
      </c>
      <c r="AAM1" s="1" t="str">
        <v>23調査結果-避難施設等-5（22）-調査結果</v>
      </c>
      <c r="AAN1" s="1" t="str">
        <v>23調査結果-避難施設等-5（22）-調査者番号</v>
      </c>
      <c r="AAO1" s="1" t="str">
        <v>23調査結果-避難施設等-5（22）-指摘の具体的内容等</v>
      </c>
      <c r="AAP1" s="1" t="str">
        <v>23調査結果-避難施設等-5（22）-改善策の具体的内容等</v>
      </c>
      <c r="AAQ1" s="1" t="str">
        <v>23調査結果-避難施設等-5（22）-改善（予定）年月-年（令和）</v>
      </c>
      <c r="AAR1" s="1" t="str">
        <v>23調査結果-避難施設等-5（22）-改善（予定）年月-月</v>
      </c>
      <c r="AAS1" s="1" t="str">
        <v>23調査結果-避難施設等-5（22）-改善（予定）年月-未定</v>
      </c>
      <c r="AAT1" s="1" t="str">
        <v>23調査結果-避難施設等-5（23）-調査結果</v>
      </c>
      <c r="AAU1" s="1" t="str">
        <v>23調査結果-避難施設等-5（23）-調査者番号</v>
      </c>
      <c r="AAV1" s="1" t="str">
        <v>23調査結果-避難施設等-5（23）-指摘の具体的内容等</v>
      </c>
      <c r="AAW1" s="1" t="str">
        <v>23調査結果-避難施設等-5（23）-改善策の具体的内容等</v>
      </c>
      <c r="AAX1" s="1" t="str">
        <v>23調査結果-避難施設等-5（23）-改善（予定）年月-年（令和）</v>
      </c>
      <c r="AAY1" s="1" t="str">
        <v>23調査結果-避難施設等-5（23）-改善（予定）年月-月</v>
      </c>
      <c r="AAZ1" s="1" t="str">
        <v>23調査結果-避難施設等-5（23）-改善（予定）年月-未定</v>
      </c>
      <c r="ABA1" s="1" t="str">
        <v>23調査結果-避難施設等-5（24）-調査結果</v>
      </c>
      <c r="ABB1" s="1" t="str">
        <v>23調査結果-避難施設等-5（24）-調査者番号</v>
      </c>
      <c r="ABC1" s="1" t="str">
        <v>23調査結果-避難施設等-5（24）-指摘の具体的内容等</v>
      </c>
      <c r="ABD1" s="1" t="str">
        <v>23調査結果-避難施設等-5（24）-改善策の具体的内容等</v>
      </c>
      <c r="ABE1" s="1" t="str">
        <v>23調査結果-避難施設等-5（24）-改善（予定）年月-年（令和）</v>
      </c>
      <c r="ABF1" s="1" t="str">
        <v>23調査結果-避難施設等-5（24）-改善（予定）年月-月</v>
      </c>
      <c r="ABG1" s="1" t="str">
        <v>23調査結果-避難施設等-5（24）-改善（予定）年月-未定</v>
      </c>
      <c r="ABH1" s="1" t="str">
        <v>23調査結果-避難施設等-5（25）-調査結果</v>
      </c>
      <c r="ABI1" s="1" t="str">
        <v>23調査結果-避難施設等-5（25）-調査者番号</v>
      </c>
      <c r="ABJ1" s="1" t="str">
        <v>23調査結果-避難施設等-5（25）-指摘の具体的内容等</v>
      </c>
      <c r="ABK1" s="1" t="str">
        <v>23調査結果-避難施設等-5（25）-改善策の具体的内容等</v>
      </c>
      <c r="ABL1" s="1" t="str">
        <v>23調査結果-避難施設等-5（25）-改善（予定）年月-年（令和）</v>
      </c>
      <c r="ABM1" s="1" t="str">
        <v>23調査結果-避難施設等-5（25）-改善（予定）年月-月</v>
      </c>
      <c r="ABN1" s="1" t="str">
        <v>23調査結果-避難施設等-5（25）-改善（予定）年月-未定</v>
      </c>
      <c r="ABO1" s="1" t="str">
        <v>23調査結果-避難施設等-5（26）-調査結果</v>
      </c>
      <c r="ABP1" s="1" t="str">
        <v>23調査結果-避難施設等-5（26）-調査者番号</v>
      </c>
      <c r="ABQ1" s="1" t="str">
        <v>23調査結果-避難施設等-5（26）-指摘の具体的内容等</v>
      </c>
      <c r="ABR1" s="1" t="str">
        <v>23調査結果-避難施設等-5（26）-改善策の具体的内容等</v>
      </c>
      <c r="ABS1" s="1" t="str">
        <v>23調査結果-避難施設等-5（26）-改善（予定）年月-年（令和）</v>
      </c>
      <c r="ABT1" s="1" t="str">
        <v>23調査結果-避難施設等-5（26）-改善（予定）年月-月</v>
      </c>
      <c r="ABU1" s="1" t="str">
        <v>23調査結果-避難施設等-5（26）-改善（予定）年月-未定</v>
      </c>
      <c r="ABV1" s="1" t="str">
        <v>23調査結果-避難施設等-5（27）-調査結果</v>
      </c>
      <c r="ABW1" s="1" t="str">
        <v>23調査結果-避難施設等-5（27）-調査者番号</v>
      </c>
      <c r="ABX1" s="1" t="str">
        <v>23調査結果-避難施設等-5（27）-指摘の具体的内容等</v>
      </c>
      <c r="ABY1" s="1" t="str">
        <v>23調査結果-避難施設等-5（27）-改善策の具体的内容等</v>
      </c>
      <c r="ABZ1" s="1" t="str">
        <v>23調査結果-避難施設等-5（27）-改善（予定）年月-年（令和）</v>
      </c>
      <c r="ACA1" s="1" t="str">
        <v>23調査結果-避難施設等-5（27）-改善（予定）年月-月</v>
      </c>
      <c r="ACB1" s="1" t="str">
        <v>23調査結果-避難施設等-5（27）-改善（予定）年月-未定</v>
      </c>
      <c r="ACC1" s="1" t="str">
        <v>23調査結果-避難施設等-5（28）-調査結果</v>
      </c>
      <c r="ACD1" s="1" t="str">
        <v>23調査結果-避難施設等-5（28）-調査者番号</v>
      </c>
      <c r="ACE1" s="1" t="str">
        <v>23調査結果-避難施設等-5（28）-指摘の具体的内容等</v>
      </c>
      <c r="ACF1" s="1" t="str">
        <v>23調査結果-避難施設等-5（28）-改善策の具体的内容等</v>
      </c>
      <c r="ACG1" s="1" t="str">
        <v>23調査結果-避難施設等-5（28）-改善（予定）年月-年（令和）</v>
      </c>
      <c r="ACH1" s="1" t="str">
        <v>23調査結果-避難施設等-5（28）-改善（予定）年月-月</v>
      </c>
      <c r="ACI1" s="1" t="str">
        <v>23調査結果-避難施設等-5（28）-改善（予定）年月-未定</v>
      </c>
      <c r="ACJ1" s="1" t="str">
        <v>23調査結果-避難施設等-5（29）-調査結果</v>
      </c>
      <c r="ACK1" s="1" t="str">
        <v>23調査結果-避難施設等-5（29）-調査者番号</v>
      </c>
      <c r="ACL1" s="1" t="str">
        <v>23調査結果-避難施設等-5（29）-指摘の具体的内容等</v>
      </c>
      <c r="ACM1" s="1" t="str">
        <v>23調査結果-避難施設等-5（29）-改善策の具体的内容等</v>
      </c>
      <c r="ACN1" s="1" t="str">
        <v>23調査結果-避難施設等-5（29）-改善（予定）年月-年（令和）</v>
      </c>
      <c r="ACO1" s="1" t="str">
        <v>23調査結果-避難施設等-5（29）-改善（予定）年月-月</v>
      </c>
      <c r="ACP1" s="1" t="str">
        <v>23調査結果-避難施設等-5（29）-改善（予定）年月-未定</v>
      </c>
      <c r="ACQ1" s="1" t="str">
        <v>23調査結果-避難施設等-5（30）-調査結果</v>
      </c>
      <c r="ACR1" s="1" t="str">
        <v>23調査結果-避難施設等-5（30）-調査者番号</v>
      </c>
      <c r="ACS1" s="1" t="str">
        <v>23調査結果-避難施設等-5（30）-指摘の具体的内容等</v>
      </c>
      <c r="ACT1" s="1" t="str">
        <v>23調査結果-避難施設等-5（30）-改善策の具体的内容等</v>
      </c>
      <c r="ACU1" s="1" t="str">
        <v>23調査結果-避難施設等-5（30）-改善（予定）年月-年（令和）</v>
      </c>
      <c r="ACV1" s="1" t="str">
        <v>23調査結果-避難施設等-5（30）-改善（予定）年月-月</v>
      </c>
      <c r="ACW1" s="1" t="str">
        <v>23調査結果-避難施設等-5（30）-改善（予定）年月-未定</v>
      </c>
      <c r="ACX1" s="1" t="str">
        <v>23調査結果-避難施設等-5（31）-調査結果</v>
      </c>
      <c r="ACY1" s="1" t="str">
        <v>23調査結果-避難施設等-5（31）-調査者番号</v>
      </c>
      <c r="ACZ1" s="1" t="str">
        <v>23調査結果-避難施設等-5（31）-指摘の具体的内容等</v>
      </c>
      <c r="ADA1" s="1" t="str">
        <v>23調査結果-避難施設等-5（31）-改善策の具体的内容等</v>
      </c>
      <c r="ADB1" s="1" t="str">
        <v>23調査結果-避難施設等-5（31）-改善（予定）年月-年（令和）</v>
      </c>
      <c r="ADC1" s="1" t="str">
        <v>23調査結果-避難施設等-5（31）-改善（予定）年月-月</v>
      </c>
      <c r="ADD1" s="1" t="str">
        <v>23調査結果-避難施設等-5（31）-改善（予定）年月-未定</v>
      </c>
      <c r="ADE1" s="1" t="str">
        <v>23調査結果-避難施設等-5（32）-調査結果</v>
      </c>
      <c r="ADF1" s="1" t="str">
        <v>23調査結果-避難施設等-5（32）-調査者番号</v>
      </c>
      <c r="ADG1" s="1" t="str">
        <v>23調査結果-避難施設等-5（32）-指摘の具体的内容等</v>
      </c>
      <c r="ADH1" s="1" t="str">
        <v>23調査結果-避難施設等-5（32）-改善策の具体的内容等</v>
      </c>
      <c r="ADI1" s="1" t="str">
        <v>23調査結果-避難施設等-5（32）-改善（予定）年月-年（令和）</v>
      </c>
      <c r="ADJ1" s="1" t="str">
        <v>23調査結果-避難施設等-5（32）-改善（予定）年月-月</v>
      </c>
      <c r="ADK1" s="1" t="str">
        <v>23調査結果-避難施設等-5（32）-改善（予定）年月-未定</v>
      </c>
      <c r="ADL1" s="1" t="str">
        <v>23調査結果-避難施設等-5（33）-調査結果</v>
      </c>
      <c r="ADM1" s="1" t="str">
        <v>23調査結果-避難施設等-5（33）-調査者番号</v>
      </c>
      <c r="ADN1" s="1" t="str">
        <v>23調査結果-避難施設等-5（33）-指摘の具体的内容等</v>
      </c>
      <c r="ADO1" s="1" t="str">
        <v>23調査結果-避難施設等-5（33）-改善策の具体的内容等</v>
      </c>
      <c r="ADP1" s="1" t="str">
        <v>23調査結果-避難施設等-5（33）-改善（予定）年月-年（令和）</v>
      </c>
      <c r="ADQ1" s="1" t="str">
        <v>23調査結果-避難施設等-5（33）-改善（予定）年月-月</v>
      </c>
      <c r="ADR1" s="1" t="str">
        <v>23調査結果-避難施設等-5（33）-改善（予定）年月-未定</v>
      </c>
      <c r="ADS1" s="1" t="str">
        <v>23調査結果-その他-6（1）-調査結果</v>
      </c>
      <c r="ADT1" s="1" t="str">
        <v>23調査結果-その他-6（1）-調査者番号</v>
      </c>
      <c r="ADU1" s="1" t="str">
        <v>23調査結果-その他-6（1）-指摘の具体的内容等</v>
      </c>
      <c r="ADV1" s="1" t="str">
        <v>23調査結果-その他-6（1）-改善策の具体的内容等</v>
      </c>
      <c r="ADW1" s="1" t="str">
        <v>23調査結果-その他-6（1）-改善（予定）年月-年（令和）</v>
      </c>
      <c r="ADX1" s="1" t="str">
        <v>23調査結果-その他-6（1）-改善（予定）年月-月</v>
      </c>
      <c r="ADY1" s="1" t="str">
        <v>23調査結果-その他-6（1）-改善（予定）年月-未定</v>
      </c>
      <c r="ADZ1" s="1" t="str">
        <v>23調査結果-その他-6（2）-調査結果</v>
      </c>
      <c r="AEA1" s="1" t="str">
        <v>23調査結果-その他-6（2）-調査者番号</v>
      </c>
      <c r="AEB1" s="1" t="str">
        <v>23調査結果-その他-6（2）-指摘の具体的内容等</v>
      </c>
      <c r="AEC1" s="1" t="str">
        <v>23調査結果-その他-6（2）-改善策の具体的内容等</v>
      </c>
      <c r="AED1" s="1" t="str">
        <v>23調査結果-その他-6（2）-改善（予定）年月-年（令和）</v>
      </c>
      <c r="AEE1" s="1" t="str">
        <v>23調査結果-その他-6（2）-改善（予定）年月-月</v>
      </c>
      <c r="AEF1" s="1" t="str">
        <v>23調査結果-その他-6（2）-改善（予定）年月-未定</v>
      </c>
      <c r="AEG1" s="1" t="str">
        <v>23調査結果-その他-6（3）-調査結果</v>
      </c>
      <c r="AEH1" s="1" t="str">
        <v>23調査結果-その他-6（3）-調査者番号</v>
      </c>
      <c r="AEI1" s="1" t="str">
        <v>23調査結果-その他-6（3）-指摘の具体的内容等</v>
      </c>
      <c r="AEJ1" s="1" t="str">
        <v>23調査結果-その他-6（3）-改善策の具体的内容等</v>
      </c>
      <c r="AEK1" s="1" t="str">
        <v>23調査結果-その他-6（3）-改善（予定）年月-年（令和）</v>
      </c>
      <c r="AEL1" s="1" t="str">
        <v>23調査結果-その他-6（3）-改善（予定）年月-月</v>
      </c>
      <c r="AEM1" s="1" t="str">
        <v>23調査結果-その他-6（3）-改善（予定）年月-未定</v>
      </c>
      <c r="AEN1" s="1" t="str">
        <v>23調査結果-その他-6（4）-調査結果</v>
      </c>
      <c r="AEO1" s="1" t="str">
        <v>23調査結果-その他-6（4）-調査者番号</v>
      </c>
      <c r="AEP1" s="1" t="str">
        <v>23調査結果-その他-6（4）-指摘の具体的内容等</v>
      </c>
      <c r="AEQ1" s="1" t="str">
        <v>23調査結果-その他-6（4）-改善策の具体的内容等</v>
      </c>
      <c r="AER1" s="1" t="str">
        <v>23調査結果-その他-6（4）-改善（予定）年月-年（令和）</v>
      </c>
      <c r="AES1" s="1" t="str">
        <v>23調査結果-その他-6（4）-改善（予定）年月-月</v>
      </c>
      <c r="AET1" s="1" t="str">
        <v>23調査結果-その他-6（4）-改善（予定）年月-未定</v>
      </c>
      <c r="AEU1" s="1" t="str">
        <v>23調査結果-その他-6（5）-調査結果</v>
      </c>
      <c r="AEV1" s="1" t="str">
        <v>23調査結果-その他-6（5）-調査者番号</v>
      </c>
      <c r="AEW1" s="1" t="str">
        <v>23調査結果-その他-6（5）-指摘の具体的内容等</v>
      </c>
      <c r="AEX1" s="1" t="str">
        <v>23調査結果-その他-6（5）-改善策の具体的内容等</v>
      </c>
      <c r="AEY1" s="1" t="str">
        <v>23調査結果-その他-6（5）-改善（予定）年月-年（令和）</v>
      </c>
      <c r="AEZ1" s="1" t="str">
        <v>23調査結果-その他-6（5）-改善（予定）年月-月</v>
      </c>
      <c r="AFA1" s="1" t="str">
        <v>23調査結果-その他-6（5）-改善（予定）年月-未定</v>
      </c>
      <c r="AFB1" s="1" t="str">
        <v>23調査結果-その他-6（6）-調査結果</v>
      </c>
      <c r="AFC1" s="1" t="str">
        <v>23調査結果-その他-6（6）-調査者番号</v>
      </c>
      <c r="AFD1" s="1" t="str">
        <v>23調査結果-その他-6（6）-指摘の具体的内容等</v>
      </c>
      <c r="AFE1" s="1" t="str">
        <v>23調査結果-その他-6（6）-改善策の具体的内容等</v>
      </c>
      <c r="AFF1" s="1" t="str">
        <v>23調査結果-その他-6（6）-改善（予定）年月-年（令和）</v>
      </c>
      <c r="AFG1" s="1" t="str">
        <v>23調査結果-その他-6（6）-改善（予定）年月-月</v>
      </c>
      <c r="AFH1" s="1" t="str">
        <v>23調査結果-その他-6（6）-改善（予定）年月-未定</v>
      </c>
      <c r="AFI1" s="1" t="str">
        <v>23調査結果-その他-6（7）-調査結果</v>
      </c>
      <c r="AFJ1" s="1" t="str">
        <v>23調査結果-その他-6（7）-調査者番号</v>
      </c>
      <c r="AFK1" s="1" t="str">
        <v>23調査結果-その他-6（7）-指摘の具体的内容等</v>
      </c>
      <c r="AFL1" s="1" t="str">
        <v>23調査結果-その他-6（7）-改善策の具体的内容等</v>
      </c>
      <c r="AFM1" s="1" t="str">
        <v>23調査結果-その他-6（7）-改善（予定）年月-年（令和）</v>
      </c>
      <c r="AFN1" s="1" t="str">
        <v>23調査結果-その他-6（7）-改善（予定）年月-月</v>
      </c>
      <c r="AFO1" s="1" t="str">
        <v>23調査結果-その他-6（7）-改善（予定）年月-未定</v>
      </c>
      <c r="AFP1" s="1" t="str">
        <v>23調査結果-その他-6（8）-調査結果</v>
      </c>
      <c r="AFQ1" s="1" t="str">
        <v>23調査結果-その他-6（8）-調査者番号</v>
      </c>
      <c r="AFR1" s="1" t="str">
        <v>23調査結果-その他-6（8）-指摘の具体的内容等</v>
      </c>
      <c r="AFS1" s="1" t="str">
        <v>23調査結果-その他-6（8）-改善策の具体的内容等</v>
      </c>
      <c r="AFT1" s="1" t="str">
        <v>23調査結果-その他-6（8）-改善（予定）年月-年（令和）</v>
      </c>
      <c r="AFU1" s="1" t="str">
        <v>23調査結果-その他-6（8）-改善（予定）年月-月</v>
      </c>
      <c r="AFV1" s="1" t="str">
        <v>23調査結果-その他-6（8）-改善（予定）年月-未定</v>
      </c>
      <c r="AFW1" s="1" t="str">
        <v>23調査結果-その他-6（9）-調査結果</v>
      </c>
      <c r="AFX1" s="1" t="str">
        <v>23調査結果-その他-6（9）-調査者番号</v>
      </c>
      <c r="AFY1" s="1" t="str">
        <v>23調査結果-その他-6（9）-指摘の具体的内容等</v>
      </c>
      <c r="AFZ1" s="1" t="str">
        <v>23調査結果-その他-6（9）-改善策の具体的内容等</v>
      </c>
      <c r="AGA1" s="1" t="str">
        <v>23調査結果-その他-6（9）-改善（予定）年月-年（令和）</v>
      </c>
      <c r="AGB1" s="1" t="str">
        <v>23調査結果-その他-6（9）-改善（予定）年月-月</v>
      </c>
      <c r="AGC1" s="1" t="str">
        <v>23調査結果-その他-6（9）-改善（予定）年月-未定</v>
      </c>
      <c r="AGD1" s="1" t="str">
        <v>23調査結果-上記以外の調査項目-7（1）-調査結果</v>
      </c>
      <c r="AGE1" s="1" t="str">
        <v>23調査結果-上記以外の調査項目-7（1）-調査者番号</v>
      </c>
      <c r="AGF1" s="1" t="str">
        <v>23調査結果-上記以外の調査項目-7（1）-指摘の具体的内容等</v>
      </c>
      <c r="AGG1" s="1" t="str">
        <v>23調査結果-上記以外の調査項目-7（1）-改善策の具体的内容等</v>
      </c>
      <c r="AGH1" s="1" t="str">
        <v>23調査結果-上記以外の調査項目-7（1）-改善（予定）年月-年（令和）</v>
      </c>
      <c r="AGI1" s="1" t="str">
        <v>23調査結果-上記以外の調査項目-7（1）-改善（予定）年月-月</v>
      </c>
      <c r="AGJ1" s="1" t="str">
        <v>23調査結果-上記以外の調査項目-7（1）-改善（予定）年月-未定</v>
      </c>
      <c r="AGK1" s="1" t="str">
        <v>23調査結果-上記以外の調査項目-7（2）-調査結果</v>
      </c>
      <c r="AGL1" s="1" t="str">
        <v>23調査結果-上記以外の調査項目-7（2）-調査者番号</v>
      </c>
      <c r="AGM1" s="1" t="str">
        <v>23調査結果-上記以外の調査項目-7（2）-指摘の具体的内容等</v>
      </c>
      <c r="AGN1" s="1" t="str">
        <v>23調査結果-上記以外の調査項目-7（2）-改善策の具体的内容等</v>
      </c>
      <c r="AGO1" s="1" t="str">
        <v>23調査結果-上記以外の調査項目-7（2）-改善（予定）年月-年（令和）</v>
      </c>
      <c r="AGP1" s="1" t="str">
        <v>23調査結果-上記以外の調査項目-7（2）-改善（予定）年月-月</v>
      </c>
      <c r="AGQ1" s="1" t="str">
        <v>23調査結果-上記以外の調査項目-7（2）-改善（予定）年月-未定</v>
      </c>
      <c r="AGR1" s="1" t="str">
        <v>23調査結果-上記以外の調査項目-7（3）-調査結果</v>
      </c>
      <c r="AGS1" s="1" t="str">
        <v>23調査結果-上記以外の調査項目-7（3）-調査者番号</v>
      </c>
      <c r="AGT1" s="1" t="str">
        <v>23調査結果-上記以外の調査項目-7（3）-指摘の具体的内容等</v>
      </c>
      <c r="AGU1" s="1" t="str">
        <v>23調査結果-上記以外の調査項目-7（3）-改善策の具体的内容等</v>
      </c>
      <c r="AGV1" s="1" t="str">
        <v>23調査結果-上記以外の調査項目-7（3）-改善（予定）年月-年（令和）</v>
      </c>
      <c r="AGW1" s="1" t="str">
        <v>23調査結果-上記以外の調査項目-7（3）-改善（予定）年月-月</v>
      </c>
      <c r="AGX1" s="1" t="str">
        <v>23調査結果-上記以外の調査項目-7（3）-改善（予定）年月-未定</v>
      </c>
      <c r="AGY1" s="1" t="str">
        <v>23調査結果-上記以外の調査項目-7（4）-調査結果</v>
      </c>
      <c r="AGZ1" s="1" t="str">
        <v>23調査結果-上記以外の調査項目-7（4）-調査者番号</v>
      </c>
      <c r="AHA1" s="1" t="str">
        <v>23調査結果-上記以外の調査項目-7（4）-指摘の具体的内容等</v>
      </c>
      <c r="AHB1" s="1" t="str">
        <v>23調査結果-上記以外の調査項目-7（4）-改善策の具体的内容等</v>
      </c>
      <c r="AHC1" s="1" t="str">
        <v>23調査結果-上記以外の調査項目-7（4）-改善（予定）年月-年（令和）</v>
      </c>
      <c r="AHD1" s="1" t="str">
        <v>23調査結果-上記以外の調査項目-7（4）-改善（予定）年月-月</v>
      </c>
      <c r="AHE1" s="1" t="str">
        <v>23調査結果-上記以外の調査項目-7（4）-改善（予定）年月-未定</v>
      </c>
      <c r="AHF1" s="1" t="str">
        <v>23調査結果-上記以外の調査項目-7（5）-調査結果</v>
      </c>
      <c r="AHG1" s="1" t="str">
        <v>23調査結果-上記以外の調査項目-7（5）-調査者番号</v>
      </c>
      <c r="AHH1" s="1" t="str">
        <v>23調査結果-上記以外の調査項目-7（5）-指摘の具体的内容等</v>
      </c>
      <c r="AHI1" s="1" t="str">
        <v>23調査結果-上記以外の調査項目-7（5）-改善策の具体的内容等</v>
      </c>
      <c r="AHJ1" s="1" t="str">
        <v>23調査結果-上記以外の調査項目-7（5）-改善（予定）年月-年（令和）</v>
      </c>
      <c r="AHK1" s="1" t="str">
        <v>23調査結果-上記以外の調査項目-7（5）-改善（予定）年月-月</v>
      </c>
      <c r="AHL1" s="1" t="str">
        <v>23調査結果-上記以外の調査項目-7（5）-改善（予定）年月-未定</v>
      </c>
      <c r="AHM1" s="1" t="str">
        <v>23調査結果-上記以外の調査項目-7（6）-調査結果</v>
      </c>
      <c r="AHN1" s="1" t="str">
        <v>23調査結果-上記以外の調査項目-7（6）-調査者番号</v>
      </c>
      <c r="AHO1" s="1" t="str">
        <v>23調査結果-上記以外の調査項目-7（6）-指摘の具体的内容等</v>
      </c>
      <c r="AHP1" s="1" t="str">
        <v>23調査結果-上記以外の調査項目-7（6）-改善策の具体的内容等</v>
      </c>
      <c r="AHQ1" s="1" t="str">
        <v>23調査結果-上記以外の調査項目-7（6）-改善（予定）年月-年（令和）</v>
      </c>
      <c r="AHR1" s="1" t="str">
        <v>23調査結果-上記以外の調査項目-7（6）-改善（予定）年月-月</v>
      </c>
      <c r="AHS1" s="1" t="str">
        <v>23調査結果-上記以外の調査項目-7（6）-改善（予定）年月-未定</v>
      </c>
      <c r="AHT1" s="1" t="str">
        <v>23調査結果-上記以外の調査項目-7（7）-調査結果</v>
      </c>
      <c r="AHU1" s="1" t="str">
        <v>23調査結果-上記以外の調査項目-7（7）-調査者番号</v>
      </c>
      <c r="AHV1" s="1" t="str">
        <v>23調査結果-上記以外の調査項目-7（7）-指摘の具体的内容等</v>
      </c>
      <c r="AHW1" s="1" t="str">
        <v>23調査結果-上記以外の調査項目-7（7）-改善策の具体的内容等</v>
      </c>
      <c r="AHX1" s="1" t="str">
        <v>23調査結果-上記以外の調査項目-7（7）-改善（予定）年月-年（令和）</v>
      </c>
      <c r="AHY1" s="1" t="str">
        <v>23調査結果-上記以外の調査項目-7（7）-改善（予定）年月-月</v>
      </c>
      <c r="AHZ1" s="1" t="str">
        <v>23調査結果-上記以外の調査項目-7（7）-改善（予定）年月-未定</v>
      </c>
      <c r="AIA1" s="1" t="str">
        <v>23調査結果-上記以外の調査項目-7（8）-調査結果</v>
      </c>
      <c r="AIB1" s="1" t="str">
        <v>23調査結果-上記以外の調査項目-7（8）-調査者番号</v>
      </c>
      <c r="AIC1" s="1" t="str">
        <v>23調査結果-上記以外の調査項目-7（8）-指摘の具体的内容等</v>
      </c>
      <c r="AID1" s="1" t="str">
        <v>23調査結果-上記以外の調査項目-7（8）-改善策の具体的内容等</v>
      </c>
      <c r="AIE1" s="1" t="str">
        <v>23調査結果-上記以外の調査項目-7（8）-改善（予定）年月-年（令和）</v>
      </c>
      <c r="AIF1" s="1" t="str">
        <v>23調査結果-上記以外の調査項目-7（8）-改善（予定）年月-月</v>
      </c>
      <c r="AIG1" s="1" t="str">
        <v>23調査結果-上記以外の調査項目-7（8）-改善（予定）年月-未定</v>
      </c>
      <c r="AIH1" s="1" t="str">
        <v>23調査結果-上記以外の調査項目-7（9）-調査結果</v>
      </c>
      <c r="AII1" s="1" t="str">
        <v>23調査結果-上記以外の調査項目-7（9）-調査者番号</v>
      </c>
      <c r="AIJ1" s="1" t="str">
        <v>23調査結果-上記以外の調査項目-7（9）-指摘の具体的内容等</v>
      </c>
      <c r="AIK1" s="1" t="str">
        <v>23調査結果-上記以外の調査項目-7（9）-改善策の具体的内容等</v>
      </c>
      <c r="AIL1" s="1" t="str">
        <v>23調査結果-上記以外の調査項目-7（9）-改善（予定）年月-年（令和）</v>
      </c>
      <c r="AIM1" s="1" t="str">
        <v>23調査結果-上記以外の調査項目-7（9）-改善（予定）年月-月</v>
      </c>
      <c r="AIN1" s="1" t="str">
        <v>23調査結果-上記以外の調査項目-7（9）-改善（予定）年月-未定</v>
      </c>
      <c r="AIO1" s="1" t="str">
        <v>23調査結果-上記以外の調査項目-7（10）-調査結果</v>
      </c>
      <c r="AIP1" s="1" t="str">
        <v>23調査結果-上記以外の調査項目-7（10）-調査者番号</v>
      </c>
      <c r="AIQ1" s="1" t="str">
        <v>23調査結果-上記以外の調査項目-7（10）-指摘の具体的内容等</v>
      </c>
      <c r="AIR1" s="1" t="str">
        <v>23調査結果-上記以外の調査項目-7（10）-改善策の具体的内容等</v>
      </c>
      <c r="AIS1" s="1" t="str">
        <v>23調査結果-上記以外の調査項目-7（10）-改善（予定）年月-年（令和）</v>
      </c>
      <c r="AIT1" s="1" t="str">
        <v>23調査結果-上記以外の調査項目-7（10）-改善（予定）年月-月</v>
      </c>
      <c r="AIU1" s="1" t="str">
        <v>23調査結果-上記以外の調査項目-7（10）-改善（予定）年月-未定</v>
      </c>
      <c r="AIV1" s="1" t="str">
        <v>23調査結果-上記以外の調査項目-7（11）-調査結果</v>
      </c>
      <c r="AIW1" s="1" t="str">
        <v>23調査結果-上記以外の調査項目-7（11）-調査者番号</v>
      </c>
      <c r="AIX1" s="1" t="str">
        <v>23調査結果-上記以外の調査項目-7（11）-指摘の具体的内容等</v>
      </c>
      <c r="AIY1" s="1" t="str">
        <v>23調査結果-上記以外の調査項目-7（11）-改善策の具体的内容等</v>
      </c>
      <c r="AIZ1" s="1" t="str">
        <v>23調査結果-上記以外の調査項目-7（11）-改善（予定）年月-年（令和）</v>
      </c>
      <c r="AJA1" s="1" t="str">
        <v>23調査結果-上記以外の調査項目-7（11）-改善（予定）年月-月</v>
      </c>
      <c r="AJB1" s="1" t="str">
        <v>23調査結果-上記以外の調査項目-7（11）-改善（予定）年月-未定</v>
      </c>
      <c r="AJC1" s="1" t="str">
        <v>23調査結果-上記以外の調査項目-7（12）-調査結果</v>
      </c>
      <c r="AJD1" s="1" t="str">
        <v>23調査結果-上記以外の調査項目-7（12）-調査者番号</v>
      </c>
      <c r="AJE1" s="1" t="str">
        <v>23調査結果-上記以外の調査項目-7（12）-指摘の具体的内容等</v>
      </c>
      <c r="AJF1" s="1" t="str">
        <v>23調査結果-上記以外の調査項目-7（12）-改善策の具体的内容等</v>
      </c>
      <c r="AJG1" s="1" t="str">
        <v>23調査結果-上記以外の調査項目-7（12）-改善（予定）年月-年（令和）</v>
      </c>
      <c r="AJH1" s="1" t="str">
        <v>23調査結果-上記以外の調査項目-7（12）-改善（予定）年月-月</v>
      </c>
      <c r="AJI1" s="1" t="str">
        <v>23調査結果-上記以外の調査項目-7（12）-改善（予定）年月-未定</v>
      </c>
      <c r="AJJ1" s="1" t="str">
        <v>23調査結果-上記以外の調査項目-7（13）-調査結果</v>
      </c>
      <c r="AJK1" s="1" t="str">
        <v>23調査結果-上記以外の調査項目-7（13）-調査者番号</v>
      </c>
      <c r="AJL1" s="1" t="str">
        <v>23調査結果-上記以外の調査項目-7（13）-指摘の具体的内容等</v>
      </c>
      <c r="AJM1" s="1" t="str">
        <v>23調査結果-上記以外の調査項目-7（13）-改善策の具体的内容等</v>
      </c>
      <c r="AJN1" s="1" t="str">
        <v>23調査結果-上記以外の調査項目-7（13）-改善（予定）年月-年（令和）</v>
      </c>
      <c r="AJO1" s="1" t="str">
        <v>23調査結果-上記以外の調査項目-7（13）-改善（予定）年月-月</v>
      </c>
      <c r="AJP1" s="1" t="str">
        <v>23調査結果-上記以外の調査項目-7（13）-改善（予定）年月-未定</v>
      </c>
      <c r="AJQ1" s="1" t="str">
        <v>23調査結果-上記以外の調査項目-7（14）-調査結果</v>
      </c>
      <c r="AJR1" s="1" t="str">
        <v>23調査結果-上記以外の調査項目-7（14）-調査者番号</v>
      </c>
      <c r="AJS1" s="1" t="str">
        <v>23調査結果-上記以外の調査項目-7（14）-指摘の具体的内容等</v>
      </c>
      <c r="AJT1" s="1" t="str">
        <v>23調査結果-上記以外の調査項目-7（14）-改善策の具体的内容等</v>
      </c>
      <c r="AJU1" s="1" t="str">
        <v>23調査結果-上記以外の調査項目-7（14）-改善（予定）年月-年（令和）</v>
      </c>
      <c r="AJV1" s="1" t="str">
        <v>23調査結果-上記以外の調査項目-7（14）-改善（予定）年月-月</v>
      </c>
      <c r="AJW1" s="1" t="str">
        <v>23調査結果-上記以外の調査項目-7（14）-改善（予定）年月-未定</v>
      </c>
      <c r="AJX1" s="1" t="str">
        <v>23調査結果-上記以外の調査項目-7（15）-調査結果</v>
      </c>
      <c r="AJY1" s="1" t="str">
        <v>23調査結果-上記以外の調査項目-7（15）-調査者番号</v>
      </c>
      <c r="AJZ1" s="1" t="str">
        <v>23調査結果-上記以外の調査項目-7（15）-指摘の具体的内容等</v>
      </c>
      <c r="AKA1" s="1" t="str">
        <v>23調査結果-上記以外の調査項目-7（15）-改善策の具体的内容等</v>
      </c>
      <c r="AKB1" s="1" t="str">
        <v>23調査結果-上記以外の調査項目-7（15）-改善（予定）年月-年（令和）</v>
      </c>
      <c r="AKC1" s="1" t="str">
        <v>23調査結果-上記以外の調査項目-7（15）-改善（予定）年月-月</v>
      </c>
      <c r="AKD1" s="1" t="str">
        <v>23調査結果-上記以外の調査項目-7（15）-改善（予定）年月-未定</v>
      </c>
      <c r="AKE1" s="1" t="str">
        <v>23調査結果-上記以外の調査項目-7（16）-調査結果</v>
      </c>
      <c r="AKF1" s="1" t="str">
        <v>23調査結果-上記以外の調査項目-7（16）-調査者番号</v>
      </c>
      <c r="AKG1" s="1" t="str">
        <v>23調査結果-上記以外の調査項目-7（16）-指摘の具体的内容等</v>
      </c>
      <c r="AKH1" s="1" t="str">
        <v>23調査結果-上記以外の調査項目-7（16）-改善策の具体的内容等</v>
      </c>
      <c r="AKI1" s="1" t="str">
        <v>23調査結果-上記以外の調査項目-7（16）-改善（予定）年月-年（令和）</v>
      </c>
      <c r="AKJ1" s="1" t="str">
        <v>23調査結果-上記以外の調査項目-7（16）-改善（予定）年月-月</v>
      </c>
      <c r="AKK1" s="1" t="str">
        <v>23調査結果-上記以外の調査項目-7（16）-改善（予定）年月-未定</v>
      </c>
      <c r="AKL1" s="1" t="str">
        <v>23調査結果-上記以外の調査項目-7（17）-調査結果</v>
      </c>
      <c r="AKM1" s="1" t="str">
        <v>23調査結果-上記以外の調査項目-7（17）-調査者番号</v>
      </c>
      <c r="AKN1" s="1" t="str">
        <v>23調査結果-上記以外の調査項目-7（17）-指摘の具体的内容等</v>
      </c>
      <c r="AKO1" s="1" t="str">
        <v>23調査結果-上記以外の調査項目-7（17）-改善策の具体的内容等</v>
      </c>
      <c r="AKP1" s="1" t="str">
        <v>23調査結果-上記以外の調査項目-7（17）-改善（予定）年月-年（令和）</v>
      </c>
      <c r="AKQ1" s="1" t="str">
        <v>23調査結果-上記以外の調査項目-7（17）-改善（予定）年月-月</v>
      </c>
      <c r="AKR1" s="1" t="str">
        <v>23調査結果-上記以外の調査項目-7（17）-改善（予定）年月-未定</v>
      </c>
      <c r="AKS1" s="1" t="str">
        <v>23調査結果-上記以外の調査項目-7（18）-調査結果</v>
      </c>
      <c r="AKT1" s="1" t="str">
        <v>23調査結果-上記以外の調査項目-7（18）-調査者番号</v>
      </c>
      <c r="AKU1" s="1" t="str">
        <v>23調査結果-上記以外の調査項目-7（18）-指摘の具体的内容等</v>
      </c>
      <c r="AKV1" s="1" t="str">
        <v>23調査結果-上記以外の調査項目-7（18）-改善策の具体的内容等</v>
      </c>
      <c r="AKW1" s="1" t="str">
        <v>23調査結果-上記以外の調査項目-7（18）-改善（予定）年月-年（令和）</v>
      </c>
      <c r="AKX1" s="1" t="str">
        <v>23調査結果-上記以外の調査項目-7（18）-改善（予定）年月-月</v>
      </c>
      <c r="AKY1" s="1" t="str">
        <v>23調査結果-上記以外の調査項目-7（18）-改善（予定）年月-未定</v>
      </c>
    </row>
    <row r="2" spans="1:987" x14ac:dyDescent="0.15">
      <c r="A2" s="1" t="str" cm="1">
        <f t="array" ref="A2:AKY2">TRANSPOSE(リンクシート_全て_調査結果のみ!G4:G990)</f>
        <v>0</v>
      </c>
      <c r="B2" s="1" t="str">
        <v>0</v>
      </c>
      <c r="C2" s="1" t="str">
        <v>0</v>
      </c>
      <c r="D2" s="1" t="str">
        <v>0</v>
      </c>
      <c r="E2" s="1" t="str">
        <v>0</v>
      </c>
      <c r="F2" s="1" t="str">
        <v>0</v>
      </c>
      <c r="G2" s="1" t="str">
        <v>0</v>
      </c>
      <c r="H2" s="1" t="str">
        <v>0</v>
      </c>
      <c r="I2" s="1" t="str">
        <v>0</v>
      </c>
      <c r="J2" s="1" t="str">
        <v>0</v>
      </c>
      <c r="K2" s="1" t="str">
        <v>0</v>
      </c>
      <c r="L2" s="1" t="str">
        <v>0</v>
      </c>
      <c r="M2" s="1" t="str">
        <v>0</v>
      </c>
      <c r="N2" s="1" t="str">
        <v>0</v>
      </c>
      <c r="O2" s="1" t="str">
        <v>0</v>
      </c>
      <c r="P2" s="1" t="str">
        <v>0</v>
      </c>
      <c r="Q2" s="1" t="str">
        <v>0</v>
      </c>
      <c r="R2" s="1" t="str">
        <v>0</v>
      </c>
      <c r="S2" s="1" t="str">
        <v>0</v>
      </c>
      <c r="T2" s="1" t="str">
        <v>0</v>
      </c>
      <c r="U2" s="1" t="str">
        <v>0</v>
      </c>
      <c r="V2" s="1" t="str">
        <v>0</v>
      </c>
      <c r="W2" s="1" t="str">
        <v>0</v>
      </c>
      <c r="X2" s="1" t="str">
        <v>0</v>
      </c>
      <c r="Y2" s="1" t="str">
        <v>0</v>
      </c>
      <c r="Z2" s="1" t="str">
        <v>0</v>
      </c>
      <c r="AA2" s="1" t="str">
        <v>0</v>
      </c>
      <c r="AB2" s="1" t="str">
        <v>0</v>
      </c>
      <c r="AC2" s="1" t="str">
        <v>0</v>
      </c>
      <c r="AD2" s="1" t="str">
        <v>0</v>
      </c>
      <c r="AE2" s="1" t="str">
        <v>0</v>
      </c>
      <c r="AF2" s="1" t="str">
        <v>0</v>
      </c>
      <c r="AG2" s="1" t="str">
        <v>0</v>
      </c>
      <c r="AH2" s="1" t="str">
        <v>0</v>
      </c>
      <c r="AI2" s="1" t="str">
        <v>0</v>
      </c>
      <c r="AJ2" s="1" t="str">
        <v>0</v>
      </c>
      <c r="AK2" s="1" t="str">
        <v>0</v>
      </c>
      <c r="AL2" s="1" t="str">
        <v>0</v>
      </c>
      <c r="AM2" s="1" t="str">
        <v>0</v>
      </c>
      <c r="AN2" s="1" t="str">
        <v>0</v>
      </c>
      <c r="AO2" s="1" t="str">
        <v>0</v>
      </c>
      <c r="AP2" s="1" t="str">
        <v>0</v>
      </c>
      <c r="AQ2" s="1" t="str">
        <v>0</v>
      </c>
      <c r="AR2" s="1" t="str">
        <v>0</v>
      </c>
      <c r="AS2" s="1" t="str">
        <v>0</v>
      </c>
      <c r="AT2" s="1" t="str">
        <v>0</v>
      </c>
      <c r="AU2" s="1" t="str">
        <v>0</v>
      </c>
      <c r="AV2" s="1" t="str">
        <v>0</v>
      </c>
      <c r="AW2" s="1" t="str">
        <v>0</v>
      </c>
      <c r="AX2" s="1" t="str">
        <v>0</v>
      </c>
      <c r="AY2" s="1" t="str">
        <v>0</v>
      </c>
      <c r="AZ2" s="1" t="str">
        <v>0</v>
      </c>
      <c r="BA2" s="1" t="str">
        <v>0</v>
      </c>
      <c r="BB2" s="1" t="str">
        <v>0</v>
      </c>
      <c r="BC2" s="1" t="str">
        <v>0</v>
      </c>
      <c r="BD2" s="1" t="str">
        <v>0</v>
      </c>
      <c r="BE2" s="1" t="str">
        <v>0</v>
      </c>
      <c r="BF2" s="1" t="str">
        <v>0</v>
      </c>
      <c r="BG2" s="1" t="str">
        <v>0</v>
      </c>
      <c r="BH2" s="1" t="str">
        <v>0</v>
      </c>
      <c r="BI2" s="1" t="str">
        <v>0</v>
      </c>
      <c r="BJ2" s="1" t="str">
        <v>0</v>
      </c>
      <c r="BK2" s="1" t="str">
        <v>0</v>
      </c>
      <c r="BL2" s="1" t="str">
        <v>0</v>
      </c>
      <c r="BM2" s="1" t="str">
        <v>0</v>
      </c>
      <c r="BN2" s="1" t="str">
        <v>0</v>
      </c>
      <c r="BO2" s="1" t="str">
        <v>0</v>
      </c>
      <c r="BP2" s="1" t="str">
        <v>0</v>
      </c>
      <c r="BQ2" s="1" t="str">
        <v>0</v>
      </c>
      <c r="BR2" s="1" t="str">
        <v>0</v>
      </c>
      <c r="BS2" s="1" t="str">
        <v>0</v>
      </c>
      <c r="BT2" s="1" t="str">
        <v>0</v>
      </c>
      <c r="BU2" s="1" t="str">
        <v>0</v>
      </c>
      <c r="BV2" s="1" t="str">
        <v>0</v>
      </c>
      <c r="BW2" s="1" t="str">
        <v>0</v>
      </c>
      <c r="BX2" s="1" t="str">
        <v>0</v>
      </c>
      <c r="BY2" s="1" t="str">
        <v>0</v>
      </c>
      <c r="BZ2" s="1" t="str">
        <v>0</v>
      </c>
      <c r="CA2" s="1" t="str">
        <v>0</v>
      </c>
      <c r="CB2" s="1" t="str">
        <v>0</v>
      </c>
      <c r="CC2" s="1" t="str">
        <v>0</v>
      </c>
      <c r="CD2" s="1" t="str">
        <v>0</v>
      </c>
      <c r="CE2" s="1" t="str">
        <v>0</v>
      </c>
      <c r="CF2" s="1" t="str">
        <v>0</v>
      </c>
      <c r="CG2" s="1" t="str">
        <v>0</v>
      </c>
      <c r="CH2" s="1" t="str">
        <v>0</v>
      </c>
      <c r="CI2" s="1" t="str">
        <v>0</v>
      </c>
      <c r="CJ2" s="1" t="str">
        <v>0</v>
      </c>
      <c r="CK2" s="1" t="str">
        <v>0</v>
      </c>
      <c r="CL2" s="1" t="str">
        <v>0</v>
      </c>
      <c r="CM2" s="1" t="str">
        <v>0</v>
      </c>
      <c r="CN2" s="1" t="str">
        <v>0</v>
      </c>
      <c r="CO2" s="1" t="str">
        <v>0</v>
      </c>
      <c r="CP2" s="1" t="str">
        <v>0</v>
      </c>
      <c r="CQ2" s="1" t="str">
        <v>0</v>
      </c>
      <c r="CR2" s="1" t="str">
        <v>0</v>
      </c>
      <c r="CS2" s="1" t="str">
        <v>0</v>
      </c>
      <c r="CT2" s="1" t="str">
        <v>0</v>
      </c>
      <c r="CU2" s="1" t="str">
        <v>0</v>
      </c>
      <c r="CV2" s="1" t="str">
        <v>0</v>
      </c>
      <c r="CW2" s="1" t="str">
        <v>0</v>
      </c>
      <c r="CX2" s="1" t="str">
        <v>0</v>
      </c>
      <c r="CY2" s="1" t="str">
        <v>0</v>
      </c>
      <c r="CZ2" s="1" t="str">
        <v>0</v>
      </c>
      <c r="DA2" s="1" t="str">
        <v>0</v>
      </c>
      <c r="DB2" s="1" t="str">
        <v>0</v>
      </c>
      <c r="DC2" s="1" t="str">
        <v>0</v>
      </c>
      <c r="DD2" s="1" t="str">
        <v>0</v>
      </c>
      <c r="DE2" s="1" t="str">
        <v>0</v>
      </c>
      <c r="DF2" s="1" t="str">
        <v>0</v>
      </c>
      <c r="DG2" s="1" t="str">
        <v>0</v>
      </c>
      <c r="DH2" s="1" t="str">
        <v>0</v>
      </c>
      <c r="DI2" s="1" t="str">
        <v>0</v>
      </c>
      <c r="DJ2" s="1" t="str">
        <v>0</v>
      </c>
      <c r="DK2" s="1" t="str">
        <v>0</v>
      </c>
      <c r="DL2" s="1" t="str">
        <v>0</v>
      </c>
      <c r="DM2" s="1" t="str">
        <v>0</v>
      </c>
      <c r="DN2" s="1" t="str">
        <v>0</v>
      </c>
      <c r="DO2" s="1" t="str">
        <v>0</v>
      </c>
      <c r="DP2" s="1" t="str">
        <v>0</v>
      </c>
      <c r="DQ2" s="1" t="str">
        <v>0</v>
      </c>
      <c r="DR2" s="1" t="str">
        <v>0</v>
      </c>
      <c r="DS2" s="1" t="str">
        <v>0</v>
      </c>
      <c r="DT2" s="1" t="str">
        <v>0</v>
      </c>
      <c r="DU2" s="1" t="str">
        <v>0</v>
      </c>
      <c r="DV2" s="1" t="str">
        <v>0</v>
      </c>
      <c r="DW2" s="1" t="str">
        <v>0</v>
      </c>
      <c r="DX2" s="1" t="str">
        <v>0</v>
      </c>
      <c r="DY2" s="1" t="str">
        <v>0</v>
      </c>
      <c r="DZ2" s="1" t="str">
        <v>0</v>
      </c>
      <c r="EA2" s="1" t="str">
        <v>0</v>
      </c>
      <c r="EB2" s="1" t="str">
        <v>0</v>
      </c>
      <c r="EC2" s="1" t="str">
        <v>0</v>
      </c>
      <c r="ED2" s="1" t="str">
        <v>0</v>
      </c>
      <c r="EE2" s="1" t="str">
        <v>0</v>
      </c>
      <c r="EF2" s="1" t="str">
        <v>0</v>
      </c>
      <c r="EG2" s="1" t="str">
        <v>0</v>
      </c>
      <c r="EH2" s="1" t="str">
        <v>0</v>
      </c>
      <c r="EI2" s="1" t="str">
        <v>0</v>
      </c>
      <c r="EJ2" s="1" t="str">
        <v>0</v>
      </c>
      <c r="EK2" s="1" t="str">
        <v>0</v>
      </c>
      <c r="EL2" s="1" t="str">
        <v>0</v>
      </c>
      <c r="EM2" s="1" t="str">
        <v>0</v>
      </c>
      <c r="EN2" s="1" t="str">
        <v>0</v>
      </c>
      <c r="EO2" s="1" t="str">
        <v>0</v>
      </c>
      <c r="EP2" s="1" t="str">
        <v>0</v>
      </c>
      <c r="EQ2" s="1" t="str">
        <v>0</v>
      </c>
      <c r="ER2" s="1" t="str">
        <v>0</v>
      </c>
      <c r="ES2" s="1" t="str">
        <v>0</v>
      </c>
      <c r="ET2" s="1" t="str">
        <v>0</v>
      </c>
      <c r="EU2" s="1" t="str">
        <v>0</v>
      </c>
      <c r="EV2" s="1" t="str">
        <v>0</v>
      </c>
      <c r="EW2" s="1" t="str">
        <v>0</v>
      </c>
      <c r="EX2" s="1" t="str">
        <v>0</v>
      </c>
      <c r="EY2" s="1" t="str">
        <v>0</v>
      </c>
      <c r="EZ2" s="1" t="str">
        <v>0</v>
      </c>
      <c r="FA2" s="1" t="str">
        <v>0</v>
      </c>
      <c r="FB2" s="1" t="str">
        <v>0</v>
      </c>
      <c r="FC2" s="1" t="str">
        <v>0</v>
      </c>
      <c r="FD2" s="1" t="str">
        <v>0</v>
      </c>
      <c r="FE2" s="1" t="str">
        <v>0</v>
      </c>
      <c r="FF2" s="1" t="str">
        <v>0</v>
      </c>
      <c r="FG2" s="1" t="str">
        <v>0</v>
      </c>
      <c r="FH2" s="1" t="str">
        <v>0</v>
      </c>
      <c r="FI2" s="1" t="str">
        <v>0</v>
      </c>
      <c r="FJ2" s="1" t="str">
        <v>0</v>
      </c>
      <c r="FK2" s="1" t="str">
        <v>0</v>
      </c>
      <c r="FL2" s="1" t="str">
        <v>0</v>
      </c>
      <c r="FM2" s="1" t="str">
        <v>0</v>
      </c>
      <c r="FN2" s="1" t="str">
        <v>0</v>
      </c>
      <c r="FO2" s="1" t="str">
        <v>0</v>
      </c>
      <c r="FP2" s="1" t="str">
        <v>0</v>
      </c>
      <c r="FQ2" s="1" t="str">
        <v>0</v>
      </c>
      <c r="FR2" s="1" t="str">
        <v>0</v>
      </c>
      <c r="FS2" s="1" t="str">
        <v>0</v>
      </c>
      <c r="FT2" s="1" t="str">
        <v>0</v>
      </c>
      <c r="FU2" s="1" t="str">
        <v>0</v>
      </c>
      <c r="FV2" s="1" t="str">
        <v>0</v>
      </c>
      <c r="FW2" s="1" t="str">
        <v>0</v>
      </c>
      <c r="FX2" s="1" t="str">
        <v>0</v>
      </c>
      <c r="FY2" s="1" t="str">
        <v>0</v>
      </c>
      <c r="FZ2" s="1" t="str">
        <v>0</v>
      </c>
      <c r="GA2" s="1" t="str">
        <v>0</v>
      </c>
      <c r="GB2" s="1" t="str">
        <v>0</v>
      </c>
      <c r="GC2" s="1" t="str">
        <v>0</v>
      </c>
      <c r="GD2" s="1" t="str">
        <v>0</v>
      </c>
      <c r="GE2" s="1" t="str">
        <v>0</v>
      </c>
      <c r="GF2" s="1" t="str">
        <v>0</v>
      </c>
      <c r="GG2" s="1" t="str">
        <v>0</v>
      </c>
      <c r="GH2" s="1" t="str">
        <v>0</v>
      </c>
      <c r="GI2" s="1" t="str">
        <v>0</v>
      </c>
      <c r="GJ2" s="1" t="str">
        <v>0</v>
      </c>
      <c r="GK2" s="1" t="str">
        <v>0</v>
      </c>
      <c r="GL2" s="1" t="str">
        <v>0</v>
      </c>
      <c r="GM2" s="1" t="str">
        <v>0</v>
      </c>
      <c r="GN2" s="1" t="str">
        <v>0</v>
      </c>
      <c r="GO2" s="1" t="str">
        <v>0</v>
      </c>
      <c r="GP2" s="1" t="str">
        <v>0</v>
      </c>
      <c r="GQ2" s="1" t="str">
        <v>0</v>
      </c>
      <c r="GR2" s="1" t="str">
        <v>0</v>
      </c>
      <c r="GS2" s="1" t="str">
        <v>0</v>
      </c>
      <c r="GT2" s="1" t="str">
        <v>0</v>
      </c>
      <c r="GU2" s="1" t="str">
        <v>0</v>
      </c>
      <c r="GV2" s="1" t="str">
        <v>0</v>
      </c>
      <c r="GW2" s="1" t="str">
        <v>0</v>
      </c>
      <c r="GX2" s="1" t="str">
        <v>0</v>
      </c>
      <c r="GY2" s="1" t="str">
        <v>0</v>
      </c>
      <c r="GZ2" s="1" t="str">
        <v>0</v>
      </c>
      <c r="HA2" s="1" t="str">
        <v>0</v>
      </c>
      <c r="HB2" s="1" t="str">
        <v>0</v>
      </c>
      <c r="HC2" s="1" t="str">
        <v>0</v>
      </c>
      <c r="HD2" s="1" t="str">
        <v>0</v>
      </c>
      <c r="HE2" s="1" t="str">
        <v>0</v>
      </c>
      <c r="HF2" s="1" t="str">
        <v>0</v>
      </c>
      <c r="HG2" s="1" t="str">
        <v>0</v>
      </c>
      <c r="HH2" s="1" t="str">
        <v>0</v>
      </c>
      <c r="HI2" s="1" t="str">
        <v>0</v>
      </c>
      <c r="HJ2" s="1" t="str">
        <v>0</v>
      </c>
      <c r="HK2" s="1" t="str">
        <v>0</v>
      </c>
      <c r="HL2" s="1" t="str">
        <v>0</v>
      </c>
      <c r="HM2" s="1" t="str">
        <v>0</v>
      </c>
      <c r="HN2" s="1" t="str">
        <v>0</v>
      </c>
      <c r="HO2" s="1" t="str">
        <v>0</v>
      </c>
      <c r="HP2" s="1" t="str">
        <v>0</v>
      </c>
      <c r="HQ2" s="1" t="str">
        <v>0</v>
      </c>
      <c r="HR2" s="1" t="str">
        <v>0</v>
      </c>
      <c r="HS2" s="1" t="str">
        <v>0</v>
      </c>
      <c r="HT2" s="1" t="str">
        <v>0</v>
      </c>
      <c r="HU2" s="1" t="str">
        <v>0</v>
      </c>
      <c r="HV2" s="1" t="str">
        <v>0</v>
      </c>
      <c r="HW2" s="1" t="str">
        <v>0</v>
      </c>
      <c r="HX2" s="1" t="str">
        <v>0</v>
      </c>
      <c r="HY2" s="1" t="str">
        <v>0</v>
      </c>
      <c r="HZ2" s="1" t="str">
        <v>0</v>
      </c>
      <c r="IA2" s="1" t="str">
        <v>0</v>
      </c>
      <c r="IB2" s="1" t="str">
        <v>0</v>
      </c>
      <c r="IC2" s="1" t="str">
        <v>0</v>
      </c>
      <c r="ID2" s="1" t="str">
        <v>0</v>
      </c>
      <c r="IE2" s="1" t="str">
        <v>0</v>
      </c>
      <c r="IF2" s="1" t="str">
        <v>0</v>
      </c>
      <c r="IG2" s="1" t="str">
        <v>0</v>
      </c>
      <c r="IH2" s="1" t="str">
        <v>0</v>
      </c>
      <c r="II2" s="1" t="str">
        <v>0</v>
      </c>
      <c r="IJ2" s="1" t="str">
        <v>0</v>
      </c>
      <c r="IK2" s="1" t="str">
        <v>0</v>
      </c>
      <c r="IL2" s="1" t="str">
        <v>0</v>
      </c>
      <c r="IM2" s="1" t="str">
        <v>0</v>
      </c>
      <c r="IN2" s="1" t="str">
        <v>0</v>
      </c>
      <c r="IO2" s="1" t="str">
        <v>0</v>
      </c>
      <c r="IP2" s="1" t="str">
        <v>0</v>
      </c>
      <c r="IQ2" s="1" t="str">
        <v>0</v>
      </c>
      <c r="IR2" s="1" t="str">
        <v>0</v>
      </c>
      <c r="IS2" s="1" t="str">
        <v>0</v>
      </c>
      <c r="IT2" s="1" t="str">
        <v>0</v>
      </c>
      <c r="IU2" s="1" t="str">
        <v>0</v>
      </c>
      <c r="IV2" s="1" t="str">
        <v>0</v>
      </c>
      <c r="IW2" s="1" t="str">
        <v>0</v>
      </c>
      <c r="IX2" s="1" t="str">
        <v>0</v>
      </c>
      <c r="IY2" s="1" t="str">
        <v>0</v>
      </c>
      <c r="IZ2" s="1" t="str">
        <v>0</v>
      </c>
      <c r="JA2" s="1" t="str">
        <v>0</v>
      </c>
      <c r="JB2" s="1" t="str">
        <v>0</v>
      </c>
      <c r="JC2" s="1" t="str">
        <v>0</v>
      </c>
      <c r="JD2" s="1" t="str">
        <v>0</v>
      </c>
      <c r="JE2" s="1" t="str">
        <v>0</v>
      </c>
      <c r="JF2" s="1" t="str">
        <v>0</v>
      </c>
      <c r="JG2" s="1" t="str">
        <v>0</v>
      </c>
      <c r="JH2" s="1" t="str">
        <v>0</v>
      </c>
      <c r="JI2" s="1" t="str">
        <v>0</v>
      </c>
      <c r="JJ2" s="1" t="str">
        <v>0</v>
      </c>
      <c r="JK2" s="1" t="str">
        <v>0</v>
      </c>
      <c r="JL2" s="1" t="str">
        <v>0</v>
      </c>
      <c r="JM2" s="1" t="str">
        <v>0</v>
      </c>
      <c r="JN2" s="1" t="str">
        <v>0</v>
      </c>
      <c r="JO2" s="1" t="str">
        <v>0</v>
      </c>
      <c r="JP2" s="1" t="str">
        <v>0</v>
      </c>
      <c r="JQ2" s="1" t="str">
        <v>0</v>
      </c>
      <c r="JR2" s="1" t="str">
        <v>0</v>
      </c>
      <c r="JS2" s="1" t="str">
        <v>0</v>
      </c>
      <c r="JT2" s="1" t="str">
        <v>0</v>
      </c>
      <c r="JU2" s="1" t="str">
        <v>0</v>
      </c>
      <c r="JV2" s="1" t="str">
        <v>0</v>
      </c>
      <c r="JW2" s="1" t="str">
        <v>0</v>
      </c>
      <c r="JX2" s="1" t="str">
        <v>0</v>
      </c>
      <c r="JY2" s="1" t="str">
        <v>0</v>
      </c>
      <c r="JZ2" s="1" t="str">
        <v>0</v>
      </c>
      <c r="KA2" s="1" t="str">
        <v>0</v>
      </c>
      <c r="KB2" s="1" t="str">
        <v>0</v>
      </c>
      <c r="KC2" s="1" t="str">
        <v>0</v>
      </c>
      <c r="KD2" s="1" t="str">
        <v>0</v>
      </c>
      <c r="KE2" s="1" t="str">
        <v>0</v>
      </c>
      <c r="KF2" s="1" t="str">
        <v>0</v>
      </c>
      <c r="KG2" s="1" t="str">
        <v>0</v>
      </c>
      <c r="KH2" s="1" t="str">
        <v>0</v>
      </c>
      <c r="KI2" s="1" t="str">
        <v>0</v>
      </c>
      <c r="KJ2" s="1" t="str">
        <v>0</v>
      </c>
      <c r="KK2" s="1" t="str">
        <v>0</v>
      </c>
      <c r="KL2" s="1" t="str">
        <v>0</v>
      </c>
      <c r="KM2" s="1" t="str">
        <v>0</v>
      </c>
      <c r="KN2" s="1" t="str">
        <v>0</v>
      </c>
      <c r="KO2" s="1" t="str">
        <v>0</v>
      </c>
      <c r="KP2" s="1" t="str">
        <v>0</v>
      </c>
      <c r="KQ2" s="1" t="str">
        <v>0</v>
      </c>
      <c r="KR2" s="1" t="str">
        <v>0</v>
      </c>
      <c r="KS2" s="1" t="str">
        <v>0</v>
      </c>
      <c r="KT2" s="1" t="str">
        <v>0</v>
      </c>
      <c r="KU2" s="1" t="str">
        <v>0</v>
      </c>
      <c r="KV2" s="1" t="str">
        <v>0</v>
      </c>
      <c r="KW2" s="1" t="str">
        <v>0</v>
      </c>
      <c r="KX2" s="1" t="str">
        <v>0</v>
      </c>
      <c r="KY2" s="1" t="str">
        <v>0</v>
      </c>
      <c r="KZ2" s="1" t="str">
        <v>0</v>
      </c>
      <c r="LA2" s="1" t="str">
        <v>0</v>
      </c>
      <c r="LB2" s="1" t="str">
        <v>0</v>
      </c>
      <c r="LC2" s="1" t="str">
        <v>0</v>
      </c>
      <c r="LD2" s="1" t="str">
        <v>0</v>
      </c>
      <c r="LE2" s="1" t="str">
        <v>0</v>
      </c>
      <c r="LF2" s="1" t="str">
        <v>0</v>
      </c>
      <c r="LG2" s="1" t="str">
        <v>0</v>
      </c>
      <c r="LH2" s="1" t="str">
        <v>0</v>
      </c>
      <c r="LI2" s="1" t="str">
        <v>0</v>
      </c>
      <c r="LJ2" s="1" t="str">
        <v>0</v>
      </c>
      <c r="LK2" s="1" t="str">
        <v>0</v>
      </c>
      <c r="LL2" s="1" t="str">
        <v>0</v>
      </c>
      <c r="LM2" s="1" t="str">
        <v>0</v>
      </c>
      <c r="LN2" s="1" t="str">
        <v>0</v>
      </c>
      <c r="LO2" s="1" t="str">
        <v>0</v>
      </c>
      <c r="LP2" s="1" t="str">
        <v>0</v>
      </c>
      <c r="LQ2" s="1" t="str">
        <v>0</v>
      </c>
      <c r="LR2" s="1" t="str">
        <v>0</v>
      </c>
      <c r="LS2" s="1" t="str">
        <v>0</v>
      </c>
      <c r="LT2" s="1" t="str">
        <v>0</v>
      </c>
      <c r="LU2" s="1" t="str">
        <v>0</v>
      </c>
      <c r="LV2" s="1" t="str">
        <v>0</v>
      </c>
      <c r="LW2" s="1" t="str">
        <v>0</v>
      </c>
      <c r="LX2" s="1" t="str">
        <v>0</v>
      </c>
      <c r="LY2" s="1" t="str">
        <v>0</v>
      </c>
      <c r="LZ2" s="1" t="str">
        <v>0</v>
      </c>
      <c r="MA2" s="1" t="str">
        <v>0</v>
      </c>
      <c r="MB2" s="1" t="str">
        <v>0</v>
      </c>
      <c r="MC2" s="1" t="str">
        <v>0</v>
      </c>
      <c r="MD2" s="1" t="str">
        <v>0</v>
      </c>
      <c r="ME2" s="1" t="str">
        <v>0</v>
      </c>
      <c r="MF2" s="1" t="str">
        <v>0</v>
      </c>
      <c r="MG2" s="1" t="str">
        <v>0</v>
      </c>
      <c r="MH2" s="1" t="str">
        <v>0</v>
      </c>
      <c r="MI2" s="1" t="str">
        <v>0</v>
      </c>
      <c r="MJ2" s="1" t="str">
        <v>0</v>
      </c>
      <c r="MK2" s="1" t="str">
        <v>0</v>
      </c>
      <c r="ML2" s="1" t="str">
        <v>0</v>
      </c>
      <c r="MM2" s="1" t="str">
        <v>0</v>
      </c>
      <c r="MN2" s="1" t="str">
        <v>0</v>
      </c>
      <c r="MO2" s="1" t="str">
        <v>0</v>
      </c>
      <c r="MP2" s="1" t="str">
        <v>0</v>
      </c>
      <c r="MQ2" s="1" t="str">
        <v>0</v>
      </c>
      <c r="MR2" s="1" t="str">
        <v>0</v>
      </c>
      <c r="MS2" s="1" t="str">
        <v>0</v>
      </c>
      <c r="MT2" s="1" t="str">
        <v>0</v>
      </c>
      <c r="MU2" s="1" t="str">
        <v>0</v>
      </c>
      <c r="MV2" s="1" t="str">
        <v>0</v>
      </c>
      <c r="MW2" s="1" t="str">
        <v>0</v>
      </c>
      <c r="MX2" s="1" t="str">
        <v>0</v>
      </c>
      <c r="MY2" s="1" t="str">
        <v>0</v>
      </c>
      <c r="MZ2" s="1" t="str">
        <v>0</v>
      </c>
      <c r="NA2" s="1" t="str">
        <v>0</v>
      </c>
      <c r="NB2" s="1" t="str">
        <v>0</v>
      </c>
      <c r="NC2" s="1" t="str">
        <v>0</v>
      </c>
      <c r="ND2" s="1" t="str">
        <v>0</v>
      </c>
      <c r="NE2" s="1" t="str">
        <v>0</v>
      </c>
      <c r="NF2" s="1" t="str">
        <v>0</v>
      </c>
      <c r="NG2" s="1" t="str">
        <v>0</v>
      </c>
      <c r="NH2" s="1" t="str">
        <v>0</v>
      </c>
      <c r="NI2" s="1" t="str">
        <v>0</v>
      </c>
      <c r="NJ2" s="1" t="str">
        <v>0</v>
      </c>
      <c r="NK2" s="1" t="str">
        <v>0</v>
      </c>
      <c r="NL2" s="1" t="str">
        <v>0</v>
      </c>
      <c r="NM2" s="1" t="str">
        <v>0</v>
      </c>
      <c r="NN2" s="1" t="str">
        <v>0</v>
      </c>
      <c r="NO2" s="1" t="str">
        <v>0</v>
      </c>
      <c r="NP2" s="1" t="str">
        <v>0</v>
      </c>
      <c r="NQ2" s="1" t="str">
        <v>0</v>
      </c>
      <c r="NR2" s="1" t="str">
        <v>0</v>
      </c>
      <c r="NS2" s="1" t="str">
        <v>0</v>
      </c>
      <c r="NT2" s="1" t="str">
        <v>0</v>
      </c>
      <c r="NU2" s="1" t="str">
        <v>0</v>
      </c>
      <c r="NV2" s="1" t="str">
        <v>0</v>
      </c>
      <c r="NW2" s="1" t="str">
        <v>0</v>
      </c>
      <c r="NX2" s="1" t="str">
        <v>0</v>
      </c>
      <c r="NY2" s="1" t="str">
        <v>0</v>
      </c>
      <c r="NZ2" s="1" t="str">
        <v>0</v>
      </c>
      <c r="OA2" s="1" t="str">
        <v>0</v>
      </c>
      <c r="OB2" s="1" t="str">
        <v>0</v>
      </c>
      <c r="OC2" s="1" t="str">
        <v>0</v>
      </c>
      <c r="OD2" s="1" t="str">
        <v>0</v>
      </c>
      <c r="OE2" s="1" t="str">
        <v>0</v>
      </c>
      <c r="OF2" s="1" t="str">
        <v>0</v>
      </c>
      <c r="OG2" s="1" t="str">
        <v>0</v>
      </c>
      <c r="OH2" s="1" t="str">
        <v>0</v>
      </c>
      <c r="OI2" s="1" t="str">
        <v>0</v>
      </c>
      <c r="OJ2" s="1" t="str">
        <v>0</v>
      </c>
      <c r="OK2" s="1" t="str">
        <v>0</v>
      </c>
      <c r="OL2" s="1" t="str">
        <v>0</v>
      </c>
      <c r="OM2" s="1" t="str">
        <v>0</v>
      </c>
      <c r="ON2" s="1" t="str">
        <v>0</v>
      </c>
      <c r="OO2" s="1" t="str">
        <v>0</v>
      </c>
      <c r="OP2" s="1" t="str">
        <v>0</v>
      </c>
      <c r="OQ2" s="1" t="str">
        <v>0</v>
      </c>
      <c r="OR2" s="1" t="str">
        <v>0</v>
      </c>
      <c r="OS2" s="1" t="str">
        <v>0</v>
      </c>
      <c r="OT2" s="1" t="str">
        <v>0</v>
      </c>
      <c r="OU2" s="1" t="str">
        <v>0</v>
      </c>
      <c r="OV2" s="1" t="str">
        <v>0</v>
      </c>
      <c r="OW2" s="1" t="str">
        <v>0</v>
      </c>
      <c r="OX2" s="1" t="str">
        <v>0</v>
      </c>
      <c r="OY2" s="1" t="str">
        <v>0</v>
      </c>
      <c r="OZ2" s="1" t="str">
        <v>0</v>
      </c>
      <c r="PA2" s="1" t="str">
        <v>0</v>
      </c>
      <c r="PB2" s="1" t="str">
        <v>0</v>
      </c>
      <c r="PC2" s="1" t="str">
        <v>0</v>
      </c>
      <c r="PD2" s="1" t="str">
        <v>0</v>
      </c>
      <c r="PE2" s="1" t="str">
        <v>0</v>
      </c>
      <c r="PF2" s="1" t="str">
        <v>0</v>
      </c>
      <c r="PG2" s="1" t="str">
        <v>0</v>
      </c>
      <c r="PH2" s="1" t="str">
        <v>0</v>
      </c>
      <c r="PI2" s="1" t="str">
        <v>0</v>
      </c>
      <c r="PJ2" s="1" t="str">
        <v>0</v>
      </c>
      <c r="PK2" s="1" t="str">
        <v>0</v>
      </c>
      <c r="PL2" s="1" t="str">
        <v>0</v>
      </c>
      <c r="PM2" s="1" t="str">
        <v>0</v>
      </c>
      <c r="PN2" s="1" t="str">
        <v>0</v>
      </c>
      <c r="PO2" s="1" t="str">
        <v>0</v>
      </c>
      <c r="PP2" s="1" t="str">
        <v>0</v>
      </c>
      <c r="PQ2" s="1" t="str">
        <v>0</v>
      </c>
      <c r="PR2" s="1" t="str">
        <v>0</v>
      </c>
      <c r="PS2" s="1" t="str">
        <v>0</v>
      </c>
      <c r="PT2" s="1" t="str">
        <v>0</v>
      </c>
      <c r="PU2" s="1" t="str">
        <v>0</v>
      </c>
      <c r="PV2" s="1" t="str">
        <v>0</v>
      </c>
      <c r="PW2" s="1" t="str">
        <v>0</v>
      </c>
      <c r="PX2" s="1" t="str">
        <v>0</v>
      </c>
      <c r="PY2" s="1" t="str">
        <v>0</v>
      </c>
      <c r="PZ2" s="1" t="str">
        <v>0</v>
      </c>
      <c r="QA2" s="1" t="str">
        <v>0</v>
      </c>
      <c r="QB2" s="1" t="str">
        <v>0</v>
      </c>
      <c r="QC2" s="1" t="str">
        <v>0</v>
      </c>
      <c r="QD2" s="1" t="str">
        <v>0</v>
      </c>
      <c r="QE2" s="1" t="str">
        <v>0</v>
      </c>
      <c r="QF2" s="1" t="str">
        <v>0</v>
      </c>
      <c r="QG2" s="1" t="str">
        <v>0</v>
      </c>
      <c r="QH2" s="1" t="str">
        <v>0</v>
      </c>
      <c r="QI2" s="1" t="str">
        <v>0</v>
      </c>
      <c r="QJ2" s="1" t="str">
        <v>0</v>
      </c>
      <c r="QK2" s="1" t="str">
        <v>0</v>
      </c>
      <c r="QL2" s="1" t="str">
        <v>0</v>
      </c>
      <c r="QM2" s="1" t="str">
        <v>0</v>
      </c>
      <c r="QN2" s="1" t="str">
        <v>0</v>
      </c>
      <c r="QO2" s="1" t="str">
        <v>0</v>
      </c>
      <c r="QP2" s="1" t="str">
        <v>0</v>
      </c>
      <c r="QQ2" s="1" t="str">
        <v>0</v>
      </c>
      <c r="QR2" s="1" t="str">
        <v>0</v>
      </c>
      <c r="QS2" s="1" t="str">
        <v>0</v>
      </c>
      <c r="QT2" s="1" t="str">
        <v>0</v>
      </c>
      <c r="QU2" s="1" t="str">
        <v>0</v>
      </c>
      <c r="QV2" s="1" t="str">
        <v>0</v>
      </c>
      <c r="QW2" s="1" t="str">
        <v>0</v>
      </c>
      <c r="QX2" s="1" t="str">
        <v>0</v>
      </c>
      <c r="QY2" s="1" t="str">
        <v>0</v>
      </c>
      <c r="QZ2" s="1" t="str">
        <v>0</v>
      </c>
      <c r="RA2" s="1" t="str">
        <v>0</v>
      </c>
      <c r="RB2" s="1" t="str">
        <v>0</v>
      </c>
      <c r="RC2" s="1" t="str">
        <v>0</v>
      </c>
      <c r="RD2" s="1" t="str">
        <v>0</v>
      </c>
      <c r="RE2" s="1" t="str">
        <v>0</v>
      </c>
      <c r="RF2" s="1" t="str">
        <v>0</v>
      </c>
      <c r="RG2" s="1" t="str">
        <v>0</v>
      </c>
      <c r="RH2" s="1" t="str">
        <v>0</v>
      </c>
      <c r="RI2" s="1" t="str">
        <v>0</v>
      </c>
      <c r="RJ2" s="1" t="str">
        <v>0</v>
      </c>
      <c r="RK2" s="1" t="str">
        <v>0</v>
      </c>
      <c r="RL2" s="1" t="str">
        <v>0</v>
      </c>
      <c r="RM2" s="1" t="str">
        <v>0</v>
      </c>
      <c r="RN2" s="1" t="str">
        <v>0</v>
      </c>
      <c r="RO2" s="1" t="str">
        <v>0</v>
      </c>
      <c r="RP2" s="1" t="str">
        <v>0</v>
      </c>
      <c r="RQ2" s="1" t="str">
        <v>0</v>
      </c>
      <c r="RR2" s="1" t="str">
        <v>0</v>
      </c>
      <c r="RS2" s="1" t="str">
        <v>0</v>
      </c>
      <c r="RT2" s="1" t="str">
        <v>0</v>
      </c>
      <c r="RU2" s="1" t="str">
        <v>0</v>
      </c>
      <c r="RV2" s="1" t="str">
        <v>0</v>
      </c>
      <c r="RW2" s="1" t="str">
        <v>0</v>
      </c>
      <c r="RX2" s="1" t="str">
        <v>0</v>
      </c>
      <c r="RY2" s="1" t="str">
        <v>0</v>
      </c>
      <c r="RZ2" s="1" t="str">
        <v>0</v>
      </c>
      <c r="SA2" s="1" t="str">
        <v>0</v>
      </c>
      <c r="SB2" s="1" t="str">
        <v>0</v>
      </c>
      <c r="SC2" s="1" t="str">
        <v>0</v>
      </c>
      <c r="SD2" s="1" t="str">
        <v>0</v>
      </c>
      <c r="SE2" s="1" t="str">
        <v>0</v>
      </c>
      <c r="SF2" s="1" t="str">
        <v>0</v>
      </c>
      <c r="SG2" s="1" t="str">
        <v>0</v>
      </c>
      <c r="SH2" s="1" t="str">
        <v>0</v>
      </c>
      <c r="SI2" s="1" t="str">
        <v>0</v>
      </c>
      <c r="SJ2" s="1" t="str">
        <v>0</v>
      </c>
      <c r="SK2" s="1" t="str">
        <v>0</v>
      </c>
      <c r="SL2" s="1" t="str">
        <v>0</v>
      </c>
      <c r="SM2" s="1" t="str">
        <v>0</v>
      </c>
      <c r="SN2" s="1" t="str">
        <v>0</v>
      </c>
      <c r="SO2" s="1" t="str">
        <v>0</v>
      </c>
      <c r="SP2" s="1" t="str">
        <v>0</v>
      </c>
      <c r="SQ2" s="1" t="str">
        <v>0</v>
      </c>
      <c r="SR2" s="1" t="str">
        <v>0</v>
      </c>
      <c r="SS2" s="1" t="str">
        <v>0</v>
      </c>
      <c r="ST2" s="1" t="str">
        <v>0</v>
      </c>
      <c r="SU2" s="1" t="str">
        <v>0</v>
      </c>
      <c r="SV2" s="1" t="str">
        <v>0</v>
      </c>
      <c r="SW2" s="1" t="str">
        <v>0</v>
      </c>
      <c r="SX2" s="1" t="str">
        <v>0</v>
      </c>
      <c r="SY2" s="1" t="str">
        <v>0</v>
      </c>
      <c r="SZ2" s="1" t="str">
        <v>0</v>
      </c>
      <c r="TA2" s="1" t="str">
        <v>0</v>
      </c>
      <c r="TB2" s="1" t="str">
        <v>0</v>
      </c>
      <c r="TC2" s="1" t="str">
        <v>0</v>
      </c>
      <c r="TD2" s="1" t="str">
        <v>0</v>
      </c>
      <c r="TE2" s="1" t="str">
        <v>0</v>
      </c>
      <c r="TF2" s="1" t="str">
        <v>0</v>
      </c>
      <c r="TG2" s="1" t="str">
        <v>0</v>
      </c>
      <c r="TH2" s="1" t="str">
        <v>0</v>
      </c>
      <c r="TI2" s="1" t="str">
        <v>0</v>
      </c>
      <c r="TJ2" s="1" t="str">
        <v>0</v>
      </c>
      <c r="TK2" s="1" t="str">
        <v>0</v>
      </c>
      <c r="TL2" s="1" t="str">
        <v>0</v>
      </c>
      <c r="TM2" s="1" t="str">
        <v>0</v>
      </c>
      <c r="TN2" s="1" t="str">
        <v>0</v>
      </c>
      <c r="TO2" s="1" t="str">
        <v>0</v>
      </c>
      <c r="TP2" s="1" t="str">
        <v>0</v>
      </c>
      <c r="TQ2" s="1" t="str">
        <v>0</v>
      </c>
      <c r="TR2" s="1" t="str">
        <v>0</v>
      </c>
      <c r="TS2" s="1" t="str">
        <v>0</v>
      </c>
      <c r="TT2" s="1" t="str">
        <v>0</v>
      </c>
      <c r="TU2" s="1" t="str">
        <v>0</v>
      </c>
      <c r="TV2" s="1" t="str">
        <v>0</v>
      </c>
      <c r="TW2" s="1" t="str">
        <v>0</v>
      </c>
      <c r="TX2" s="1" t="str">
        <v>0</v>
      </c>
      <c r="TY2" s="1" t="str">
        <v>0</v>
      </c>
      <c r="TZ2" s="1" t="str">
        <v>0</v>
      </c>
      <c r="UA2" s="1" t="str">
        <v>0</v>
      </c>
      <c r="UB2" s="1" t="str">
        <v>0</v>
      </c>
      <c r="UC2" s="1" t="str">
        <v>0</v>
      </c>
      <c r="UD2" s="1" t="str">
        <v>0</v>
      </c>
      <c r="UE2" s="1" t="str">
        <v>0</v>
      </c>
      <c r="UF2" s="1" t="str">
        <v>0</v>
      </c>
      <c r="UG2" s="1" t="str">
        <v>0</v>
      </c>
      <c r="UH2" s="1" t="str">
        <v>0</v>
      </c>
      <c r="UI2" s="1" t="str">
        <v>0</v>
      </c>
      <c r="UJ2" s="1" t="str">
        <v>0</v>
      </c>
      <c r="UK2" s="1" t="str">
        <v>0</v>
      </c>
      <c r="UL2" s="1" t="str">
        <v>0</v>
      </c>
      <c r="UM2" s="1" t="str">
        <v>0</v>
      </c>
      <c r="UN2" s="1" t="str">
        <v>0</v>
      </c>
      <c r="UO2" s="1" t="str">
        <v>0</v>
      </c>
      <c r="UP2" s="1" t="str">
        <v>0</v>
      </c>
      <c r="UQ2" s="1" t="str">
        <v>0</v>
      </c>
      <c r="UR2" s="1" t="str">
        <v>0</v>
      </c>
      <c r="US2" s="1" t="str">
        <v>0</v>
      </c>
      <c r="UT2" s="1" t="str">
        <v>0</v>
      </c>
      <c r="UU2" s="1" t="str">
        <v>0</v>
      </c>
      <c r="UV2" s="1" t="str">
        <v>0</v>
      </c>
      <c r="UW2" s="1" t="str">
        <v>0</v>
      </c>
      <c r="UX2" s="1" t="str">
        <v>0</v>
      </c>
      <c r="UY2" s="1" t="str">
        <v>0</v>
      </c>
      <c r="UZ2" s="1" t="str">
        <v>0</v>
      </c>
      <c r="VA2" s="1" t="str">
        <v>0</v>
      </c>
      <c r="VB2" s="1" t="str">
        <v>0</v>
      </c>
      <c r="VC2" s="1" t="str">
        <v>0</v>
      </c>
      <c r="VD2" s="1" t="str">
        <v>0</v>
      </c>
      <c r="VE2" s="1" t="str">
        <v>0</v>
      </c>
      <c r="VF2" s="1" t="str">
        <v>0</v>
      </c>
      <c r="VG2" s="1" t="str">
        <v>0</v>
      </c>
      <c r="VH2" s="1" t="str">
        <v>0</v>
      </c>
      <c r="VI2" s="1" t="str">
        <v>0</v>
      </c>
      <c r="VJ2" s="1" t="str">
        <v>0</v>
      </c>
      <c r="VK2" s="1" t="str">
        <v>0</v>
      </c>
      <c r="VL2" s="1" t="str">
        <v>0</v>
      </c>
      <c r="VM2" s="1" t="str">
        <v>0</v>
      </c>
      <c r="VN2" s="1" t="str">
        <v>0</v>
      </c>
      <c r="VO2" s="1" t="str">
        <v>0</v>
      </c>
      <c r="VP2" s="1" t="str">
        <v>0</v>
      </c>
      <c r="VQ2" s="1" t="str">
        <v>0</v>
      </c>
      <c r="VR2" s="1" t="str">
        <v>0</v>
      </c>
      <c r="VS2" s="1" t="str">
        <v>0</v>
      </c>
      <c r="VT2" s="1" t="str">
        <v>0</v>
      </c>
      <c r="VU2" s="1" t="str">
        <v>0</v>
      </c>
      <c r="VV2" s="1" t="str">
        <v>0</v>
      </c>
      <c r="VW2" s="1" t="str">
        <v>0</v>
      </c>
      <c r="VX2" s="1" t="str">
        <v>0</v>
      </c>
      <c r="VY2" s="1" t="str">
        <v>0</v>
      </c>
      <c r="VZ2" s="1" t="str">
        <v>0</v>
      </c>
      <c r="WA2" s="1" t="str">
        <v>0</v>
      </c>
      <c r="WB2" s="1" t="str">
        <v>0</v>
      </c>
      <c r="WC2" s="1" t="str">
        <v>0</v>
      </c>
      <c r="WD2" s="1" t="str">
        <v>0</v>
      </c>
      <c r="WE2" s="1" t="str">
        <v>0</v>
      </c>
      <c r="WF2" s="1" t="str">
        <v>0</v>
      </c>
      <c r="WG2" s="1" t="str">
        <v>0</v>
      </c>
      <c r="WH2" s="1" t="str">
        <v>0</v>
      </c>
      <c r="WI2" s="1" t="str">
        <v>0</v>
      </c>
      <c r="WJ2" s="1" t="str">
        <v>0</v>
      </c>
      <c r="WK2" s="1" t="str">
        <v>0</v>
      </c>
      <c r="WL2" s="1" t="str">
        <v>0</v>
      </c>
      <c r="WM2" s="1" t="str">
        <v>0</v>
      </c>
      <c r="WN2" s="1" t="str">
        <v>0</v>
      </c>
      <c r="WO2" s="1" t="str">
        <v>0</v>
      </c>
      <c r="WP2" s="1" t="str">
        <v>0</v>
      </c>
      <c r="WQ2" s="1" t="str">
        <v>0</v>
      </c>
      <c r="WR2" s="1" t="str">
        <v>0</v>
      </c>
      <c r="WS2" s="1" t="str">
        <v>0</v>
      </c>
      <c r="WT2" s="1" t="str">
        <v>0</v>
      </c>
      <c r="WU2" s="1" t="str">
        <v>0</v>
      </c>
      <c r="WV2" s="1" t="str">
        <v>0</v>
      </c>
      <c r="WW2" s="1" t="str">
        <v>0</v>
      </c>
      <c r="WX2" s="1" t="str">
        <v>0</v>
      </c>
      <c r="WY2" s="1" t="str">
        <v>0</v>
      </c>
      <c r="WZ2" s="1" t="str">
        <v>0</v>
      </c>
      <c r="XA2" s="1" t="str">
        <v>0</v>
      </c>
      <c r="XB2" s="1" t="str">
        <v>0</v>
      </c>
      <c r="XC2" s="1" t="str">
        <v>0</v>
      </c>
      <c r="XD2" s="1" t="str">
        <v>0</v>
      </c>
      <c r="XE2" s="1" t="str">
        <v>0</v>
      </c>
      <c r="XF2" s="1" t="str">
        <v>0</v>
      </c>
      <c r="XG2" s="1" t="str">
        <v>0</v>
      </c>
      <c r="XH2" s="1" t="str">
        <v>0</v>
      </c>
      <c r="XI2" s="1" t="str">
        <v>0</v>
      </c>
      <c r="XJ2" s="1" t="str">
        <v>0</v>
      </c>
      <c r="XK2" s="1" t="str">
        <v>0</v>
      </c>
      <c r="XL2" s="1" t="str">
        <v>0</v>
      </c>
      <c r="XM2" s="1" t="str">
        <v>0</v>
      </c>
      <c r="XN2" s="1" t="str">
        <v>0</v>
      </c>
      <c r="XO2" s="1" t="str">
        <v>0</v>
      </c>
      <c r="XP2" s="1" t="str">
        <v>0</v>
      </c>
      <c r="XQ2" s="1" t="str">
        <v>0</v>
      </c>
      <c r="XR2" s="1" t="str">
        <v>0</v>
      </c>
      <c r="XS2" s="1" t="str">
        <v>0</v>
      </c>
      <c r="XT2" s="1" t="str">
        <v>0</v>
      </c>
      <c r="XU2" s="1" t="str">
        <v>0</v>
      </c>
      <c r="XV2" s="1" t="str">
        <v>0</v>
      </c>
      <c r="XW2" s="1" t="str">
        <v>0</v>
      </c>
      <c r="XX2" s="1" t="str">
        <v>0</v>
      </c>
      <c r="XY2" s="1" t="str">
        <v>0</v>
      </c>
      <c r="XZ2" s="1" t="str">
        <v>0</v>
      </c>
      <c r="YA2" s="1" t="str">
        <v>0</v>
      </c>
      <c r="YB2" s="1" t="str">
        <v>0</v>
      </c>
      <c r="YC2" s="1" t="str">
        <v>0</v>
      </c>
      <c r="YD2" s="1" t="str">
        <v>0</v>
      </c>
      <c r="YE2" s="1" t="str">
        <v>0</v>
      </c>
      <c r="YF2" s="1" t="str">
        <v>0</v>
      </c>
      <c r="YG2" s="1" t="str">
        <v>0</v>
      </c>
      <c r="YH2" s="1" t="str">
        <v>0</v>
      </c>
      <c r="YI2" s="1" t="str">
        <v>0</v>
      </c>
      <c r="YJ2" s="1" t="str">
        <v>0</v>
      </c>
      <c r="YK2" s="1" t="str">
        <v>0</v>
      </c>
      <c r="YL2" s="1" t="str">
        <v>0</v>
      </c>
      <c r="YM2" s="1" t="str">
        <v>0</v>
      </c>
      <c r="YN2" s="1" t="str">
        <v>0</v>
      </c>
      <c r="YO2" s="1" t="str">
        <v>0</v>
      </c>
      <c r="YP2" s="1" t="str">
        <v>0</v>
      </c>
      <c r="YQ2" s="1" t="str">
        <v>0</v>
      </c>
      <c r="YR2" s="1" t="str">
        <v>0</v>
      </c>
      <c r="YS2" s="1" t="str">
        <v>0</v>
      </c>
      <c r="YT2" s="1" t="str">
        <v>0</v>
      </c>
      <c r="YU2" s="1" t="str">
        <v>0</v>
      </c>
      <c r="YV2" s="1" t="str">
        <v>0</v>
      </c>
      <c r="YW2" s="1" t="str">
        <v>0</v>
      </c>
      <c r="YX2" s="1" t="str">
        <v>0</v>
      </c>
      <c r="YY2" s="1" t="str">
        <v>0</v>
      </c>
      <c r="YZ2" s="1" t="str">
        <v>0</v>
      </c>
      <c r="ZA2" s="1" t="str">
        <v>0</v>
      </c>
      <c r="ZB2" s="1" t="str">
        <v>0</v>
      </c>
      <c r="ZC2" s="1" t="str">
        <v>0</v>
      </c>
      <c r="ZD2" s="1" t="str">
        <v>0</v>
      </c>
      <c r="ZE2" s="1" t="str">
        <v>0</v>
      </c>
      <c r="ZF2" s="1" t="str">
        <v>0</v>
      </c>
      <c r="ZG2" s="1" t="str">
        <v>0</v>
      </c>
      <c r="ZH2" s="1" t="str">
        <v>0</v>
      </c>
      <c r="ZI2" s="1" t="str">
        <v>0</v>
      </c>
      <c r="ZJ2" s="1" t="str">
        <v>0</v>
      </c>
      <c r="ZK2" s="1" t="str">
        <v>0</v>
      </c>
      <c r="ZL2" s="1" t="str">
        <v>0</v>
      </c>
      <c r="ZM2" s="1" t="str">
        <v>0</v>
      </c>
      <c r="ZN2" s="1" t="str">
        <v>0</v>
      </c>
      <c r="ZO2" s="1" t="str">
        <v>0</v>
      </c>
      <c r="ZP2" s="1" t="str">
        <v>0</v>
      </c>
      <c r="ZQ2" s="1" t="str">
        <v>0</v>
      </c>
      <c r="ZR2" s="1" t="str">
        <v>0</v>
      </c>
      <c r="ZS2" s="1" t="str">
        <v>0</v>
      </c>
      <c r="ZT2" s="1" t="str">
        <v>0</v>
      </c>
      <c r="ZU2" s="1" t="str">
        <v>0</v>
      </c>
      <c r="ZV2" s="1" t="str">
        <v>0</v>
      </c>
      <c r="ZW2" s="1" t="str">
        <v>0</v>
      </c>
      <c r="ZX2" s="1" t="str">
        <v>0</v>
      </c>
      <c r="ZY2" s="1" t="str">
        <v>0</v>
      </c>
      <c r="ZZ2" s="1" t="str">
        <v>0</v>
      </c>
      <c r="AAA2" s="1" t="str">
        <v>0</v>
      </c>
      <c r="AAB2" s="1" t="str">
        <v>0</v>
      </c>
      <c r="AAC2" s="1" t="str">
        <v>0</v>
      </c>
      <c r="AAD2" s="1" t="str">
        <v>0</v>
      </c>
      <c r="AAE2" s="1" t="str">
        <v>0</v>
      </c>
      <c r="AAF2" s="1" t="str">
        <v>0</v>
      </c>
      <c r="AAG2" s="1" t="str">
        <v>0</v>
      </c>
      <c r="AAH2" s="1" t="str">
        <v>0</v>
      </c>
      <c r="AAI2" s="1" t="str">
        <v>0</v>
      </c>
      <c r="AAJ2" s="1" t="str">
        <v>0</v>
      </c>
      <c r="AAK2" s="1" t="str">
        <v>0</v>
      </c>
      <c r="AAL2" s="1" t="str">
        <v>0</v>
      </c>
      <c r="AAM2" s="1" t="str">
        <v>0</v>
      </c>
      <c r="AAN2" s="1" t="str">
        <v>0</v>
      </c>
      <c r="AAO2" s="1" t="str">
        <v>0</v>
      </c>
      <c r="AAP2" s="1" t="str">
        <v>0</v>
      </c>
      <c r="AAQ2" s="1" t="str">
        <v>0</v>
      </c>
      <c r="AAR2" s="1" t="str">
        <v>0</v>
      </c>
      <c r="AAS2" s="1" t="str">
        <v>0</v>
      </c>
      <c r="AAT2" s="1" t="str">
        <v>0</v>
      </c>
      <c r="AAU2" s="1" t="str">
        <v>0</v>
      </c>
      <c r="AAV2" s="1" t="str">
        <v>0</v>
      </c>
      <c r="AAW2" s="1" t="str">
        <v>0</v>
      </c>
      <c r="AAX2" s="1" t="str">
        <v>0</v>
      </c>
      <c r="AAY2" s="1" t="str">
        <v>0</v>
      </c>
      <c r="AAZ2" s="1" t="str">
        <v>0</v>
      </c>
      <c r="ABA2" s="1" t="str">
        <v>0</v>
      </c>
      <c r="ABB2" s="1" t="str">
        <v>0</v>
      </c>
      <c r="ABC2" s="1" t="str">
        <v>0</v>
      </c>
      <c r="ABD2" s="1" t="str">
        <v>0</v>
      </c>
      <c r="ABE2" s="1" t="str">
        <v>0</v>
      </c>
      <c r="ABF2" s="1" t="str">
        <v>0</v>
      </c>
      <c r="ABG2" s="1" t="str">
        <v>0</v>
      </c>
      <c r="ABH2" s="1" t="str">
        <v>0</v>
      </c>
      <c r="ABI2" s="1" t="str">
        <v>0</v>
      </c>
      <c r="ABJ2" s="1" t="str">
        <v>0</v>
      </c>
      <c r="ABK2" s="1" t="str">
        <v>0</v>
      </c>
      <c r="ABL2" s="1" t="str">
        <v>0</v>
      </c>
      <c r="ABM2" s="1" t="str">
        <v>0</v>
      </c>
      <c r="ABN2" s="1" t="str">
        <v>0</v>
      </c>
      <c r="ABO2" s="1" t="str">
        <v>0</v>
      </c>
      <c r="ABP2" s="1" t="str">
        <v>0</v>
      </c>
      <c r="ABQ2" s="1" t="str">
        <v>0</v>
      </c>
      <c r="ABR2" s="1" t="str">
        <v>0</v>
      </c>
      <c r="ABS2" s="1" t="str">
        <v>0</v>
      </c>
      <c r="ABT2" s="1" t="str">
        <v>0</v>
      </c>
      <c r="ABU2" s="1" t="str">
        <v>0</v>
      </c>
      <c r="ABV2" s="1" t="str">
        <v>0</v>
      </c>
      <c r="ABW2" s="1" t="str">
        <v>0</v>
      </c>
      <c r="ABX2" s="1" t="str">
        <v>0</v>
      </c>
      <c r="ABY2" s="1" t="str">
        <v>0</v>
      </c>
      <c r="ABZ2" s="1" t="str">
        <v>0</v>
      </c>
      <c r="ACA2" s="1" t="str">
        <v>0</v>
      </c>
      <c r="ACB2" s="1" t="str">
        <v>0</v>
      </c>
      <c r="ACC2" s="1" t="str">
        <v>0</v>
      </c>
      <c r="ACD2" s="1" t="str">
        <v>0</v>
      </c>
      <c r="ACE2" s="1" t="str">
        <v>0</v>
      </c>
      <c r="ACF2" s="1" t="str">
        <v>0</v>
      </c>
      <c r="ACG2" s="1" t="str">
        <v>0</v>
      </c>
      <c r="ACH2" s="1" t="str">
        <v>0</v>
      </c>
      <c r="ACI2" s="1" t="str">
        <v>0</v>
      </c>
      <c r="ACJ2" s="1" t="str">
        <v>0</v>
      </c>
      <c r="ACK2" s="1" t="str">
        <v>0</v>
      </c>
      <c r="ACL2" s="1" t="str">
        <v>0</v>
      </c>
      <c r="ACM2" s="1" t="str">
        <v>0</v>
      </c>
      <c r="ACN2" s="1" t="str">
        <v>0</v>
      </c>
      <c r="ACO2" s="1" t="str">
        <v>0</v>
      </c>
      <c r="ACP2" s="1" t="str">
        <v>0</v>
      </c>
      <c r="ACQ2" s="1" t="str">
        <v>0</v>
      </c>
      <c r="ACR2" s="1" t="str">
        <v>0</v>
      </c>
      <c r="ACS2" s="1" t="str">
        <v>0</v>
      </c>
      <c r="ACT2" s="1" t="str">
        <v>0</v>
      </c>
      <c r="ACU2" s="1" t="str">
        <v>0</v>
      </c>
      <c r="ACV2" s="1" t="str">
        <v>0</v>
      </c>
      <c r="ACW2" s="1" t="str">
        <v>0</v>
      </c>
      <c r="ACX2" s="1" t="str">
        <v>0</v>
      </c>
      <c r="ACY2" s="1" t="str">
        <v>0</v>
      </c>
      <c r="ACZ2" s="1" t="str">
        <v>0</v>
      </c>
      <c r="ADA2" s="1" t="str">
        <v>0</v>
      </c>
      <c r="ADB2" s="1" t="str">
        <v>0</v>
      </c>
      <c r="ADC2" s="1" t="str">
        <v>0</v>
      </c>
      <c r="ADD2" s="1" t="str">
        <v>0</v>
      </c>
      <c r="ADE2" s="1" t="str">
        <v>0</v>
      </c>
      <c r="ADF2" s="1" t="str">
        <v>0</v>
      </c>
      <c r="ADG2" s="1" t="str">
        <v>0</v>
      </c>
      <c r="ADH2" s="1" t="str">
        <v>0</v>
      </c>
      <c r="ADI2" s="1" t="str">
        <v>0</v>
      </c>
      <c r="ADJ2" s="1" t="str">
        <v>0</v>
      </c>
      <c r="ADK2" s="1" t="str">
        <v>0</v>
      </c>
      <c r="ADL2" s="1" t="str">
        <v>0</v>
      </c>
      <c r="ADM2" s="1" t="str">
        <v>0</v>
      </c>
      <c r="ADN2" s="1" t="str">
        <v>0</v>
      </c>
      <c r="ADO2" s="1" t="str">
        <v>0</v>
      </c>
      <c r="ADP2" s="1" t="str">
        <v>0</v>
      </c>
      <c r="ADQ2" s="1" t="str">
        <v>0</v>
      </c>
      <c r="ADR2" s="1" t="str">
        <v>0</v>
      </c>
      <c r="ADS2" s="1" t="str">
        <v>0</v>
      </c>
      <c r="ADT2" s="1" t="str">
        <v>0</v>
      </c>
      <c r="ADU2" s="1" t="str">
        <v>0</v>
      </c>
      <c r="ADV2" s="1" t="str">
        <v>0</v>
      </c>
      <c r="ADW2" s="1" t="str">
        <v>0</v>
      </c>
      <c r="ADX2" s="1" t="str">
        <v>0</v>
      </c>
      <c r="ADY2" s="1" t="str">
        <v>0</v>
      </c>
      <c r="ADZ2" s="1" t="str">
        <v>0</v>
      </c>
      <c r="AEA2" s="1" t="str">
        <v>0</v>
      </c>
      <c r="AEB2" s="1" t="str">
        <v>0</v>
      </c>
      <c r="AEC2" s="1" t="str">
        <v>0</v>
      </c>
      <c r="AED2" s="1" t="str">
        <v>0</v>
      </c>
      <c r="AEE2" s="1" t="str">
        <v>0</v>
      </c>
      <c r="AEF2" s="1" t="str">
        <v>0</v>
      </c>
      <c r="AEG2" s="1" t="str">
        <v>0</v>
      </c>
      <c r="AEH2" s="1" t="str">
        <v>0</v>
      </c>
      <c r="AEI2" s="1" t="str">
        <v>0</v>
      </c>
      <c r="AEJ2" s="1" t="str">
        <v>0</v>
      </c>
      <c r="AEK2" s="1" t="str">
        <v>0</v>
      </c>
      <c r="AEL2" s="1" t="str">
        <v>0</v>
      </c>
      <c r="AEM2" s="1" t="str">
        <v>0</v>
      </c>
      <c r="AEN2" s="1" t="str">
        <v>0</v>
      </c>
      <c r="AEO2" s="1" t="str">
        <v>0</v>
      </c>
      <c r="AEP2" s="1" t="str">
        <v>0</v>
      </c>
      <c r="AEQ2" s="1" t="str">
        <v>0</v>
      </c>
      <c r="AER2" s="1" t="str">
        <v>0</v>
      </c>
      <c r="AES2" s="1" t="str">
        <v>0</v>
      </c>
      <c r="AET2" s="1" t="str">
        <v>0</v>
      </c>
      <c r="AEU2" s="1" t="str">
        <v>0</v>
      </c>
      <c r="AEV2" s="1" t="str">
        <v>0</v>
      </c>
      <c r="AEW2" s="1" t="str">
        <v>0</v>
      </c>
      <c r="AEX2" s="1" t="str">
        <v>0</v>
      </c>
      <c r="AEY2" s="1" t="str">
        <v>0</v>
      </c>
      <c r="AEZ2" s="1" t="str">
        <v>0</v>
      </c>
      <c r="AFA2" s="1" t="str">
        <v>0</v>
      </c>
      <c r="AFB2" s="1" t="str">
        <v>0</v>
      </c>
      <c r="AFC2" s="1" t="str">
        <v>0</v>
      </c>
      <c r="AFD2" s="1" t="str">
        <v>0</v>
      </c>
      <c r="AFE2" s="1" t="str">
        <v>0</v>
      </c>
      <c r="AFF2" s="1" t="str">
        <v>0</v>
      </c>
      <c r="AFG2" s="1" t="str">
        <v>0</v>
      </c>
      <c r="AFH2" s="1" t="str">
        <v>0</v>
      </c>
      <c r="AFI2" s="1" t="str">
        <v>0</v>
      </c>
      <c r="AFJ2" s="1" t="str">
        <v>0</v>
      </c>
      <c r="AFK2" s="1" t="str">
        <v>0</v>
      </c>
      <c r="AFL2" s="1" t="str">
        <v>0</v>
      </c>
      <c r="AFM2" s="1" t="str">
        <v>0</v>
      </c>
      <c r="AFN2" s="1" t="str">
        <v>0</v>
      </c>
      <c r="AFO2" s="1" t="str">
        <v>0</v>
      </c>
      <c r="AFP2" s="1" t="str">
        <v>0</v>
      </c>
      <c r="AFQ2" s="1" t="str">
        <v>0</v>
      </c>
      <c r="AFR2" s="1" t="str">
        <v>0</v>
      </c>
      <c r="AFS2" s="1" t="str">
        <v>0</v>
      </c>
      <c r="AFT2" s="1" t="str">
        <v>0</v>
      </c>
      <c r="AFU2" s="1" t="str">
        <v>0</v>
      </c>
      <c r="AFV2" s="1" t="str">
        <v>0</v>
      </c>
      <c r="AFW2" s="1" t="str">
        <v>0</v>
      </c>
      <c r="AFX2" s="1" t="str">
        <v>0</v>
      </c>
      <c r="AFY2" s="1" t="str">
        <v>0</v>
      </c>
      <c r="AFZ2" s="1" t="str">
        <v>0</v>
      </c>
      <c r="AGA2" s="1" t="str">
        <v>0</v>
      </c>
      <c r="AGB2" s="1" t="str">
        <v>0</v>
      </c>
      <c r="AGC2" s="1" t="str">
        <v>0</v>
      </c>
      <c r="AGD2" s="1" t="str">
        <v>0</v>
      </c>
      <c r="AGE2" s="1" t="str">
        <v>0</v>
      </c>
      <c r="AGF2" s="1" t="str">
        <v>0</v>
      </c>
      <c r="AGG2" s="1" t="str">
        <v>0</v>
      </c>
      <c r="AGH2" s="1" t="str">
        <v>0</v>
      </c>
      <c r="AGI2" s="1" t="str">
        <v>0</v>
      </c>
      <c r="AGJ2" s="1" t="str">
        <v>0</v>
      </c>
      <c r="AGK2" s="1" t="str">
        <v>0</v>
      </c>
      <c r="AGL2" s="1" t="str">
        <v>0</v>
      </c>
      <c r="AGM2" s="1" t="str">
        <v>0</v>
      </c>
      <c r="AGN2" s="1" t="str">
        <v>0</v>
      </c>
      <c r="AGO2" s="1" t="str">
        <v>0</v>
      </c>
      <c r="AGP2" s="1" t="str">
        <v>0</v>
      </c>
      <c r="AGQ2" s="1" t="str">
        <v>0</v>
      </c>
      <c r="AGR2" s="1" t="str">
        <v>0</v>
      </c>
      <c r="AGS2" s="1" t="str">
        <v>0</v>
      </c>
      <c r="AGT2" s="1" t="str">
        <v>0</v>
      </c>
      <c r="AGU2" s="1" t="str">
        <v>0</v>
      </c>
      <c r="AGV2" s="1" t="str">
        <v>0</v>
      </c>
      <c r="AGW2" s="1" t="str">
        <v>0</v>
      </c>
      <c r="AGX2" s="1" t="str">
        <v>0</v>
      </c>
      <c r="AGY2" s="1" t="str">
        <v>0</v>
      </c>
      <c r="AGZ2" s="1" t="str">
        <v>0</v>
      </c>
      <c r="AHA2" s="1" t="str">
        <v>0</v>
      </c>
      <c r="AHB2" s="1" t="str">
        <v>0</v>
      </c>
      <c r="AHC2" s="1" t="str">
        <v>0</v>
      </c>
      <c r="AHD2" s="1" t="str">
        <v>0</v>
      </c>
      <c r="AHE2" s="1" t="str">
        <v>0</v>
      </c>
      <c r="AHF2" s="1" t="str">
        <v>0</v>
      </c>
      <c r="AHG2" s="1" t="str">
        <v>0</v>
      </c>
      <c r="AHH2" s="1" t="str">
        <v>0</v>
      </c>
      <c r="AHI2" s="1" t="str">
        <v>0</v>
      </c>
      <c r="AHJ2" s="1" t="str">
        <v>0</v>
      </c>
      <c r="AHK2" s="1" t="str">
        <v>0</v>
      </c>
      <c r="AHL2" s="1" t="str">
        <v>0</v>
      </c>
      <c r="AHM2" s="1" t="str">
        <v>0</v>
      </c>
      <c r="AHN2" s="1" t="str">
        <v>0</v>
      </c>
      <c r="AHO2" s="1" t="str">
        <v>0</v>
      </c>
      <c r="AHP2" s="1" t="str">
        <v>0</v>
      </c>
      <c r="AHQ2" s="1" t="str">
        <v>0</v>
      </c>
      <c r="AHR2" s="1" t="str">
        <v>0</v>
      </c>
      <c r="AHS2" s="1" t="str">
        <v>0</v>
      </c>
      <c r="AHT2" s="1" t="str">
        <v>0</v>
      </c>
      <c r="AHU2" s="1" t="str">
        <v>0</v>
      </c>
      <c r="AHV2" s="1" t="str">
        <v>0</v>
      </c>
      <c r="AHW2" s="1" t="str">
        <v>0</v>
      </c>
      <c r="AHX2" s="1" t="str">
        <v>0</v>
      </c>
      <c r="AHY2" s="1" t="str">
        <v>0</v>
      </c>
      <c r="AHZ2" s="1" t="str">
        <v>0</v>
      </c>
      <c r="AIA2" s="1" t="str">
        <v>0</v>
      </c>
      <c r="AIB2" s="1" t="str">
        <v>0</v>
      </c>
      <c r="AIC2" s="1" t="str">
        <v>0</v>
      </c>
      <c r="AID2" s="1" t="str">
        <v>0</v>
      </c>
      <c r="AIE2" s="1" t="str">
        <v>0</v>
      </c>
      <c r="AIF2" s="1" t="str">
        <v>0</v>
      </c>
      <c r="AIG2" s="1" t="str">
        <v>0</v>
      </c>
      <c r="AIH2" s="1" t="str">
        <v>0</v>
      </c>
      <c r="AII2" s="1" t="str">
        <v>0</v>
      </c>
      <c r="AIJ2" s="1" t="str">
        <v>0</v>
      </c>
      <c r="AIK2" s="1" t="str">
        <v>0</v>
      </c>
      <c r="AIL2" s="1" t="str">
        <v>0</v>
      </c>
      <c r="AIM2" s="1" t="str">
        <v>0</v>
      </c>
      <c r="AIN2" s="1" t="str">
        <v>0</v>
      </c>
      <c r="AIO2" s="1" t="str">
        <v>0</v>
      </c>
      <c r="AIP2" s="1" t="str">
        <v>0</v>
      </c>
      <c r="AIQ2" s="1" t="str">
        <v>0</v>
      </c>
      <c r="AIR2" s="1" t="str">
        <v>0</v>
      </c>
      <c r="AIS2" s="1" t="str">
        <v>0</v>
      </c>
      <c r="AIT2" s="1" t="str">
        <v>0</v>
      </c>
      <c r="AIU2" s="1" t="str">
        <v>0</v>
      </c>
      <c r="AIV2" s="1" t="str">
        <v>0</v>
      </c>
      <c r="AIW2" s="1" t="str">
        <v>0</v>
      </c>
      <c r="AIX2" s="1" t="str">
        <v>0</v>
      </c>
      <c r="AIY2" s="1" t="str">
        <v>0</v>
      </c>
      <c r="AIZ2" s="1" t="str">
        <v>0</v>
      </c>
      <c r="AJA2" s="1" t="str">
        <v>0</v>
      </c>
      <c r="AJB2" s="1" t="str">
        <v>0</v>
      </c>
      <c r="AJC2" s="1" t="str">
        <v>0</v>
      </c>
      <c r="AJD2" s="1" t="str">
        <v>0</v>
      </c>
      <c r="AJE2" s="1" t="str">
        <v>0</v>
      </c>
      <c r="AJF2" s="1" t="str">
        <v>0</v>
      </c>
      <c r="AJG2" s="1" t="str">
        <v>0</v>
      </c>
      <c r="AJH2" s="1" t="str">
        <v>0</v>
      </c>
      <c r="AJI2" s="1" t="str">
        <v>0</v>
      </c>
      <c r="AJJ2" s="1" t="str">
        <v>0</v>
      </c>
      <c r="AJK2" s="1" t="str">
        <v>0</v>
      </c>
      <c r="AJL2" s="1" t="str">
        <v>0</v>
      </c>
      <c r="AJM2" s="1" t="str">
        <v>0</v>
      </c>
      <c r="AJN2" s="1" t="str">
        <v>0</v>
      </c>
      <c r="AJO2" s="1" t="str">
        <v>0</v>
      </c>
      <c r="AJP2" s="1" t="str">
        <v>0</v>
      </c>
      <c r="AJQ2" s="1" t="str">
        <v>0</v>
      </c>
      <c r="AJR2" s="1" t="str">
        <v>0</v>
      </c>
      <c r="AJS2" s="1" t="str">
        <v>0</v>
      </c>
      <c r="AJT2" s="1" t="str">
        <v>0</v>
      </c>
      <c r="AJU2" s="1" t="str">
        <v>0</v>
      </c>
      <c r="AJV2" s="1" t="str">
        <v>0</v>
      </c>
      <c r="AJW2" s="1" t="str">
        <v>0</v>
      </c>
      <c r="AJX2" s="1" t="str">
        <v>0</v>
      </c>
      <c r="AJY2" s="1" t="str">
        <v>0</v>
      </c>
      <c r="AJZ2" s="1" t="str">
        <v>0</v>
      </c>
      <c r="AKA2" s="1" t="str">
        <v>0</v>
      </c>
      <c r="AKB2" s="1" t="str">
        <v>0</v>
      </c>
      <c r="AKC2" s="1" t="str">
        <v>0</v>
      </c>
      <c r="AKD2" s="1" t="str">
        <v>0</v>
      </c>
      <c r="AKE2" s="1" t="str">
        <v>0</v>
      </c>
      <c r="AKF2" s="1" t="str">
        <v>0</v>
      </c>
      <c r="AKG2" s="1" t="str">
        <v>0</v>
      </c>
      <c r="AKH2" s="1" t="str">
        <v>0</v>
      </c>
      <c r="AKI2" s="1" t="str">
        <v>0</v>
      </c>
      <c r="AKJ2" s="1" t="str">
        <v>0</v>
      </c>
      <c r="AKK2" s="1" t="str">
        <v>0</v>
      </c>
      <c r="AKL2" s="1" t="str">
        <v>0</v>
      </c>
      <c r="AKM2" s="1" t="str">
        <v>0</v>
      </c>
      <c r="AKN2" s="1" t="str">
        <v>0</v>
      </c>
      <c r="AKO2" s="1" t="str">
        <v>0</v>
      </c>
      <c r="AKP2" s="1" t="str">
        <v>0</v>
      </c>
      <c r="AKQ2" s="1" t="str">
        <v>0</v>
      </c>
      <c r="AKR2" s="1" t="str">
        <v>0</v>
      </c>
      <c r="AKS2" s="1" t="str">
        <v>0</v>
      </c>
      <c r="AKT2" s="1" t="str">
        <v>0</v>
      </c>
      <c r="AKU2" s="1" t="str">
        <v>0</v>
      </c>
      <c r="AKV2" s="1" t="str">
        <v>0</v>
      </c>
      <c r="AKW2" s="1" t="str">
        <v>0</v>
      </c>
      <c r="AKX2" s="1" t="str">
        <v>0</v>
      </c>
      <c r="AKY2" s="1" t="str">
        <v>0</v>
      </c>
    </row>
  </sheetData>
  <phoneticPr fontId="3"/>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31CC7-93F6-44D2-88E8-4B3E0FD74833}">
  <dimension ref="B1:T199"/>
  <sheetViews>
    <sheetView workbookViewId="0">
      <pane ySplit="5295" topLeftCell="A171"/>
      <selection pane="bottomLeft"/>
    </sheetView>
  </sheetViews>
  <sheetFormatPr defaultRowHeight="21.75" customHeight="1" x14ac:dyDescent="0.15"/>
  <cols>
    <col min="1" max="2" width="9" style="1374"/>
    <col min="3" max="3" width="14.125" style="1374" customWidth="1"/>
    <col min="4" max="12" width="9" style="1374"/>
    <col min="13" max="15" width="10.625" style="1374" customWidth="1"/>
    <col min="16" max="17" width="9" style="1374"/>
    <col min="18" max="18" width="7" style="1374" customWidth="1"/>
    <col min="19" max="19" width="8.375" style="1374" customWidth="1"/>
    <col min="20" max="16384" width="9" style="1374"/>
  </cols>
  <sheetData>
    <row r="1" spans="2:20" ht="21.75" customHeight="1" x14ac:dyDescent="0.15">
      <c r="B1" s="1811" t="s">
        <v>3244</v>
      </c>
      <c r="C1" s="1811"/>
      <c r="D1" s="1811"/>
      <c r="F1" s="1814" t="s">
        <v>3257</v>
      </c>
      <c r="G1" s="1814"/>
      <c r="H1" s="1814"/>
      <c r="I1" s="1814"/>
      <c r="J1" s="1814"/>
      <c r="K1" s="1814"/>
      <c r="M1" s="1814" t="s">
        <v>3261</v>
      </c>
      <c r="N1" s="1814"/>
      <c r="O1" s="1814"/>
      <c r="P1" s="1814"/>
      <c r="R1" s="1374" t="s">
        <v>3262</v>
      </c>
    </row>
    <row r="2" spans="2:20" ht="21.75" customHeight="1" x14ac:dyDescent="0.15">
      <c r="B2" s="1811"/>
      <c r="C2" s="1811"/>
      <c r="D2" s="1811"/>
      <c r="F2" s="1814" t="s">
        <v>3249</v>
      </c>
      <c r="G2" s="1814" t="s">
        <v>3251</v>
      </c>
      <c r="H2" s="1814" t="s">
        <v>3252</v>
      </c>
      <c r="I2" s="1814" t="s">
        <v>3254</v>
      </c>
      <c r="J2" s="1814" t="s">
        <v>3256</v>
      </c>
      <c r="K2" s="1814"/>
      <c r="M2" s="1814"/>
      <c r="N2" s="1814"/>
      <c r="O2" s="1814"/>
      <c r="P2" s="1814"/>
    </row>
    <row r="3" spans="2:20" ht="55.5" customHeight="1" x14ac:dyDescent="0.15">
      <c r="B3" s="1380" t="s">
        <v>3242</v>
      </c>
      <c r="C3" s="1380" t="s">
        <v>33</v>
      </c>
      <c r="D3" s="1380" t="s">
        <v>3243</v>
      </c>
      <c r="F3" s="1812" t="s">
        <v>3245</v>
      </c>
      <c r="G3" s="1812" t="s">
        <v>1290</v>
      </c>
      <c r="H3" s="1812" t="s">
        <v>1293</v>
      </c>
      <c r="I3" s="1812" t="s">
        <v>1291</v>
      </c>
      <c r="J3" s="1812" t="s">
        <v>1292</v>
      </c>
      <c r="K3" s="1813" t="s">
        <v>3247</v>
      </c>
      <c r="M3" s="1812" t="s">
        <v>3258</v>
      </c>
      <c r="N3" s="1812" t="s">
        <v>3259</v>
      </c>
      <c r="O3" s="1812" t="s">
        <v>640</v>
      </c>
      <c r="P3" s="1813" t="s">
        <v>3260</v>
      </c>
      <c r="R3" s="1824" t="s">
        <v>3267</v>
      </c>
      <c r="S3" s="1825" t="s">
        <v>3268</v>
      </c>
      <c r="T3" s="1826" t="s">
        <v>3269</v>
      </c>
    </row>
    <row r="4" spans="2:20" ht="21.75" customHeight="1" x14ac:dyDescent="0.15">
      <c r="B4" s="1380" t="str">
        <f>'1_入力シート【基本情報】'!DQ319</f>
        <v>1(1)</v>
      </c>
      <c r="C4" s="1380" t="str">
        <f>'1_入力シート【基本情報】'!AF319&amp;""</f>
        <v/>
      </c>
      <c r="D4" s="1380" t="str">
        <f>'1_入力シート【基本情報】'!BY319&amp;""</f>
        <v/>
      </c>
      <c r="F4" s="1380" t="b">
        <f>C4=""</f>
        <v>1</v>
      </c>
      <c r="G4" s="1380" t="b">
        <f>C4=$G$3</f>
        <v>0</v>
      </c>
      <c r="H4" s="1380" t="b">
        <f>C4=$H$3</f>
        <v>0</v>
      </c>
      <c r="I4" s="1380" t="b">
        <f>C4=$I$3</f>
        <v>0</v>
      </c>
      <c r="J4" s="1380" t="b">
        <f>C4=$J$3</f>
        <v>0</v>
      </c>
      <c r="K4" s="1380" t="str">
        <f>IF(J4,$J$2,IF(I4,$I$2,IF(H4,$H$2,IF(G4,$G$2,IF(F4,$F$2,"エラー")))))</f>
        <v>？</v>
      </c>
      <c r="M4" s="1380" t="b">
        <f>D4=$M$3</f>
        <v>0</v>
      </c>
      <c r="N4" s="1380" t="b">
        <f>D4=$N$3</f>
        <v>0</v>
      </c>
      <c r="O4" s="1380" t="b">
        <f>D4=$O$3</f>
        <v>0</v>
      </c>
      <c r="P4" s="1380">
        <f>-(M4*4+N4*2+O4)</f>
        <v>0</v>
      </c>
      <c r="R4" s="1380" t="str">
        <f t="shared" ref="R4:R35" si="0">INDEX($H$192:$M$199,MATCH(P4,$F$192:$F$199,0),MATCH(K4,$H$191:$M$191,0))</f>
        <v>？</v>
      </c>
      <c r="S4" s="1827">
        <v>1</v>
      </c>
      <c r="T4" s="1380" t="str">
        <f>IF(S4=1,R4,"")</f>
        <v>？</v>
      </c>
    </row>
    <row r="5" spans="2:20" ht="21.75" customHeight="1" x14ac:dyDescent="0.15">
      <c r="B5" s="1380" t="str">
        <f>'1_入力シート【基本情報】'!DQ320</f>
        <v>1(2)</v>
      </c>
      <c r="C5" s="1380" t="str">
        <f>'1_入力シート【基本情報】'!AF320&amp;""</f>
        <v/>
      </c>
      <c r="D5" s="1380" t="str">
        <f>'1_入力シート【基本情報】'!BY320&amp;""</f>
        <v/>
      </c>
      <c r="F5" s="1380" t="b">
        <f t="shared" ref="F5:F56" si="1">C5=""</f>
        <v>1</v>
      </c>
      <c r="G5" s="1380" t="b">
        <f t="shared" ref="G5:G56" si="2">C5=$G$3</f>
        <v>0</v>
      </c>
      <c r="H5" s="1380" t="b">
        <f t="shared" ref="H5:H56" si="3">C5=$H$3</f>
        <v>0</v>
      </c>
      <c r="I5" s="1380" t="b">
        <f t="shared" ref="I5:I56" si="4">C5=$I$3</f>
        <v>0</v>
      </c>
      <c r="J5" s="1380" t="b">
        <f t="shared" ref="J5:J56" si="5">C5=$J$3</f>
        <v>0</v>
      </c>
      <c r="K5" s="1380" t="str">
        <f t="shared" ref="K5:K56" si="6">IF(J5,$J$2,IF(I5,$I$2,IF(H5,$H$2,IF(G5,$G$2,IF(F5,$F$2,"エラー")))))</f>
        <v>？</v>
      </c>
      <c r="M5" s="1380" t="b">
        <f t="shared" ref="M5:M56" si="7">D5=$M$3</f>
        <v>0</v>
      </c>
      <c r="N5" s="1380" t="b">
        <f t="shared" ref="N5:N56" si="8">D5=$N$3</f>
        <v>0</v>
      </c>
      <c r="O5" s="1380" t="b">
        <f t="shared" ref="O5:O56" si="9">D5=$O$3</f>
        <v>0</v>
      </c>
      <c r="P5" s="1380">
        <f t="shared" ref="P5:P56" si="10">-(M5*4+N5*2+O5)</f>
        <v>0</v>
      </c>
      <c r="R5" s="1380" t="str">
        <f t="shared" si="0"/>
        <v>？</v>
      </c>
      <c r="S5" s="1827">
        <v>1</v>
      </c>
      <c r="T5" s="1380" t="str">
        <f t="shared" ref="T5:T68" si="11">IF(S5=1,R5,"")</f>
        <v>？</v>
      </c>
    </row>
    <row r="6" spans="2:20" ht="21.75" customHeight="1" x14ac:dyDescent="0.15">
      <c r="B6" s="1380" t="str">
        <f>'1_入力シート【基本情報】'!DQ321</f>
        <v>1(3)</v>
      </c>
      <c r="C6" s="1380" t="str">
        <f>'1_入力シート【基本情報】'!AF321&amp;""</f>
        <v/>
      </c>
      <c r="D6" s="1380" t="str">
        <f>'1_入力シート【基本情報】'!BY321&amp;""</f>
        <v/>
      </c>
      <c r="F6" s="1380" t="b">
        <f t="shared" si="1"/>
        <v>1</v>
      </c>
      <c r="G6" s="1380" t="b">
        <f t="shared" si="2"/>
        <v>0</v>
      </c>
      <c r="H6" s="1380" t="b">
        <f t="shared" si="3"/>
        <v>0</v>
      </c>
      <c r="I6" s="1380" t="b">
        <f t="shared" si="4"/>
        <v>0</v>
      </c>
      <c r="J6" s="1380" t="b">
        <f t="shared" si="5"/>
        <v>0</v>
      </c>
      <c r="K6" s="1380" t="str">
        <f t="shared" si="6"/>
        <v>？</v>
      </c>
      <c r="M6" s="1380" t="b">
        <f t="shared" si="7"/>
        <v>0</v>
      </c>
      <c r="N6" s="1380" t="b">
        <f t="shared" si="8"/>
        <v>0</v>
      </c>
      <c r="O6" s="1380" t="b">
        <f t="shared" si="9"/>
        <v>0</v>
      </c>
      <c r="P6" s="1380">
        <f t="shared" si="10"/>
        <v>0</v>
      </c>
      <c r="R6" s="1380" t="str">
        <f t="shared" si="0"/>
        <v>？</v>
      </c>
      <c r="S6" s="1827">
        <v>1</v>
      </c>
      <c r="T6" s="1380" t="str">
        <f t="shared" si="11"/>
        <v>？</v>
      </c>
    </row>
    <row r="7" spans="2:20" ht="21.75" customHeight="1" x14ac:dyDescent="0.15">
      <c r="B7" s="1380" t="str">
        <f>'1_入力シート【基本情報】'!DQ322</f>
        <v>1(4)</v>
      </c>
      <c r="C7" s="1380" t="str">
        <f>'1_入力シート【基本情報】'!AF322&amp;""</f>
        <v/>
      </c>
      <c r="D7" s="1380" t="str">
        <f>'1_入力シート【基本情報】'!BY322&amp;""</f>
        <v/>
      </c>
      <c r="F7" s="1380" t="b">
        <f t="shared" si="1"/>
        <v>1</v>
      </c>
      <c r="G7" s="1380" t="b">
        <f t="shared" si="2"/>
        <v>0</v>
      </c>
      <c r="H7" s="1380" t="b">
        <f t="shared" si="3"/>
        <v>0</v>
      </c>
      <c r="I7" s="1380" t="b">
        <f t="shared" si="4"/>
        <v>0</v>
      </c>
      <c r="J7" s="1380" t="b">
        <f t="shared" si="5"/>
        <v>0</v>
      </c>
      <c r="K7" s="1380" t="str">
        <f t="shared" si="6"/>
        <v>？</v>
      </c>
      <c r="M7" s="1380" t="b">
        <f t="shared" si="7"/>
        <v>0</v>
      </c>
      <c r="N7" s="1380" t="b">
        <f t="shared" si="8"/>
        <v>0</v>
      </c>
      <c r="O7" s="1380" t="b">
        <f t="shared" si="9"/>
        <v>0</v>
      </c>
      <c r="P7" s="1380">
        <f t="shared" si="10"/>
        <v>0</v>
      </c>
      <c r="R7" s="1380" t="str">
        <f t="shared" si="0"/>
        <v>？</v>
      </c>
      <c r="S7" s="1827">
        <v>1</v>
      </c>
      <c r="T7" s="1380" t="str">
        <f t="shared" si="11"/>
        <v>？</v>
      </c>
    </row>
    <row r="8" spans="2:20" ht="21.75" customHeight="1" x14ac:dyDescent="0.15">
      <c r="B8" s="1380" t="str">
        <f>'1_入力シート【基本情報】'!DQ323</f>
        <v>1(5)</v>
      </c>
      <c r="C8" s="1380" t="str">
        <f>'1_入力シート【基本情報】'!AF323&amp;""</f>
        <v/>
      </c>
      <c r="D8" s="1380" t="str">
        <f>'1_入力シート【基本情報】'!BY323&amp;""</f>
        <v/>
      </c>
      <c r="F8" s="1380" t="b">
        <f t="shared" si="1"/>
        <v>1</v>
      </c>
      <c r="G8" s="1380" t="b">
        <f t="shared" si="2"/>
        <v>0</v>
      </c>
      <c r="H8" s="1380" t="b">
        <f t="shared" si="3"/>
        <v>0</v>
      </c>
      <c r="I8" s="1380" t="b">
        <f t="shared" si="4"/>
        <v>0</v>
      </c>
      <c r="J8" s="1380" t="b">
        <f t="shared" si="5"/>
        <v>0</v>
      </c>
      <c r="K8" s="1380" t="str">
        <f t="shared" si="6"/>
        <v>？</v>
      </c>
      <c r="M8" s="1380" t="b">
        <f t="shared" si="7"/>
        <v>0</v>
      </c>
      <c r="N8" s="1380" t="b">
        <f t="shared" si="8"/>
        <v>0</v>
      </c>
      <c r="O8" s="1380" t="b">
        <f t="shared" si="9"/>
        <v>0</v>
      </c>
      <c r="P8" s="1380">
        <f t="shared" si="10"/>
        <v>0</v>
      </c>
      <c r="R8" s="1380" t="str">
        <f t="shared" si="0"/>
        <v>？</v>
      </c>
      <c r="S8" s="1827">
        <v>1</v>
      </c>
      <c r="T8" s="1380" t="str">
        <f t="shared" si="11"/>
        <v>？</v>
      </c>
    </row>
    <row r="9" spans="2:20" ht="21.75" customHeight="1" x14ac:dyDescent="0.15">
      <c r="B9" s="1380" t="str">
        <f>'1_入力シート【基本情報】'!DQ324</f>
        <v>1(6)</v>
      </c>
      <c r="C9" s="1380" t="str">
        <f>'1_入力シート【基本情報】'!AF324&amp;""</f>
        <v/>
      </c>
      <c r="D9" s="1380" t="str">
        <f>'1_入力シート【基本情報】'!BY324&amp;""</f>
        <v/>
      </c>
      <c r="F9" s="1380" t="b">
        <f t="shared" si="1"/>
        <v>1</v>
      </c>
      <c r="G9" s="1380" t="b">
        <f t="shared" si="2"/>
        <v>0</v>
      </c>
      <c r="H9" s="1380" t="b">
        <f t="shared" si="3"/>
        <v>0</v>
      </c>
      <c r="I9" s="1380" t="b">
        <f t="shared" si="4"/>
        <v>0</v>
      </c>
      <c r="J9" s="1380" t="b">
        <f t="shared" si="5"/>
        <v>0</v>
      </c>
      <c r="K9" s="1380" t="str">
        <f t="shared" si="6"/>
        <v>？</v>
      </c>
      <c r="M9" s="1380" t="b">
        <f t="shared" si="7"/>
        <v>0</v>
      </c>
      <c r="N9" s="1380" t="b">
        <f t="shared" si="8"/>
        <v>0</v>
      </c>
      <c r="O9" s="1380" t="b">
        <f t="shared" si="9"/>
        <v>0</v>
      </c>
      <c r="P9" s="1380">
        <f t="shared" si="10"/>
        <v>0</v>
      </c>
      <c r="R9" s="1380" t="str">
        <f t="shared" si="0"/>
        <v>？</v>
      </c>
      <c r="S9" s="1827">
        <v>1</v>
      </c>
      <c r="T9" s="1380" t="str">
        <f t="shared" si="11"/>
        <v>？</v>
      </c>
    </row>
    <row r="10" spans="2:20" ht="21.75" customHeight="1" x14ac:dyDescent="0.15">
      <c r="B10" s="1380" t="str">
        <f>'1_入力シート【基本情報】'!DQ325</f>
        <v>1(7)</v>
      </c>
      <c r="C10" s="1380" t="str">
        <f>'1_入力シート【基本情報】'!AF325&amp;""</f>
        <v/>
      </c>
      <c r="D10" s="1380" t="str">
        <f>'1_入力シート【基本情報】'!BY325&amp;""</f>
        <v/>
      </c>
      <c r="F10" s="1380" t="b">
        <f t="shared" si="1"/>
        <v>1</v>
      </c>
      <c r="G10" s="1380" t="b">
        <f t="shared" si="2"/>
        <v>0</v>
      </c>
      <c r="H10" s="1380" t="b">
        <f t="shared" si="3"/>
        <v>0</v>
      </c>
      <c r="I10" s="1380" t="b">
        <f t="shared" si="4"/>
        <v>0</v>
      </c>
      <c r="J10" s="1380" t="b">
        <f t="shared" si="5"/>
        <v>0</v>
      </c>
      <c r="K10" s="1380" t="str">
        <f t="shared" si="6"/>
        <v>？</v>
      </c>
      <c r="M10" s="1380" t="b">
        <f t="shared" si="7"/>
        <v>0</v>
      </c>
      <c r="N10" s="1380" t="b">
        <f t="shared" si="8"/>
        <v>0</v>
      </c>
      <c r="O10" s="1380" t="b">
        <f t="shared" si="9"/>
        <v>0</v>
      </c>
      <c r="P10" s="1380">
        <f t="shared" si="10"/>
        <v>0</v>
      </c>
      <c r="R10" s="1380" t="str">
        <f t="shared" si="0"/>
        <v>？</v>
      </c>
      <c r="S10" s="1827">
        <v>1</v>
      </c>
      <c r="T10" s="1380" t="str">
        <f t="shared" si="11"/>
        <v>？</v>
      </c>
    </row>
    <row r="11" spans="2:20" ht="21.75" customHeight="1" x14ac:dyDescent="0.15">
      <c r="B11" s="1380" t="str">
        <f>'1_入力シート【基本情報】'!DQ326</f>
        <v>1(8)</v>
      </c>
      <c r="C11" s="1380" t="str">
        <f>'1_入力シート【基本情報】'!AF326&amp;""</f>
        <v/>
      </c>
      <c r="D11" s="1380" t="str">
        <f>'1_入力シート【基本情報】'!BY326&amp;""</f>
        <v/>
      </c>
      <c r="F11" s="1380" t="b">
        <f t="shared" si="1"/>
        <v>1</v>
      </c>
      <c r="G11" s="1380" t="b">
        <f t="shared" si="2"/>
        <v>0</v>
      </c>
      <c r="H11" s="1380" t="b">
        <f t="shared" si="3"/>
        <v>0</v>
      </c>
      <c r="I11" s="1380" t="b">
        <f t="shared" si="4"/>
        <v>0</v>
      </c>
      <c r="J11" s="1380" t="b">
        <f t="shared" si="5"/>
        <v>0</v>
      </c>
      <c r="K11" s="1380" t="str">
        <f t="shared" si="6"/>
        <v>？</v>
      </c>
      <c r="M11" s="1380" t="b">
        <f t="shared" si="7"/>
        <v>0</v>
      </c>
      <c r="N11" s="1380" t="b">
        <f t="shared" si="8"/>
        <v>0</v>
      </c>
      <c r="O11" s="1380" t="b">
        <f t="shared" si="9"/>
        <v>0</v>
      </c>
      <c r="P11" s="1380">
        <f t="shared" si="10"/>
        <v>0</v>
      </c>
      <c r="R11" s="1380" t="str">
        <f t="shared" si="0"/>
        <v>？</v>
      </c>
      <c r="S11" s="1827">
        <v>1</v>
      </c>
      <c r="T11" s="1380" t="str">
        <f t="shared" si="11"/>
        <v>？</v>
      </c>
    </row>
    <row r="12" spans="2:20" ht="21.75" customHeight="1" x14ac:dyDescent="0.15">
      <c r="B12" s="1380" t="str">
        <f>'1_入力シート【基本情報】'!DQ327</f>
        <v>1(9)</v>
      </c>
      <c r="C12" s="1380" t="str">
        <f>'1_入力シート【基本情報】'!AF327&amp;""</f>
        <v/>
      </c>
      <c r="D12" s="1380" t="str">
        <f>'1_入力シート【基本情報】'!BY327&amp;""</f>
        <v/>
      </c>
      <c r="F12" s="1380" t="b">
        <f t="shared" si="1"/>
        <v>1</v>
      </c>
      <c r="G12" s="1380" t="b">
        <f t="shared" si="2"/>
        <v>0</v>
      </c>
      <c r="H12" s="1380" t="b">
        <f t="shared" si="3"/>
        <v>0</v>
      </c>
      <c r="I12" s="1380" t="b">
        <f t="shared" si="4"/>
        <v>0</v>
      </c>
      <c r="J12" s="1380" t="b">
        <f t="shared" si="5"/>
        <v>0</v>
      </c>
      <c r="K12" s="1380" t="str">
        <f t="shared" si="6"/>
        <v>？</v>
      </c>
      <c r="M12" s="1380" t="b">
        <f t="shared" si="7"/>
        <v>0</v>
      </c>
      <c r="N12" s="1380" t="b">
        <f t="shared" si="8"/>
        <v>0</v>
      </c>
      <c r="O12" s="1380" t="b">
        <f t="shared" si="9"/>
        <v>0</v>
      </c>
      <c r="P12" s="1380">
        <f t="shared" si="10"/>
        <v>0</v>
      </c>
      <c r="R12" s="1380" t="str">
        <f t="shared" si="0"/>
        <v>？</v>
      </c>
      <c r="S12" s="1827">
        <v>1</v>
      </c>
      <c r="T12" s="1380" t="str">
        <f t="shared" si="11"/>
        <v>？</v>
      </c>
    </row>
    <row r="13" spans="2:20" ht="21.75" customHeight="1" x14ac:dyDescent="0.15">
      <c r="B13" s="1380" t="str">
        <f>'1_入力シート【基本情報】'!DQ328</f>
        <v>1(10)</v>
      </c>
      <c r="C13" s="1380" t="str">
        <f>'1_入力シート【基本情報】'!AF328&amp;""</f>
        <v/>
      </c>
      <c r="D13" s="1380" t="str">
        <f>'1_入力シート【基本情報】'!BY328&amp;""</f>
        <v/>
      </c>
      <c r="F13" s="1380" t="b">
        <f t="shared" si="1"/>
        <v>1</v>
      </c>
      <c r="G13" s="1380" t="b">
        <f t="shared" si="2"/>
        <v>0</v>
      </c>
      <c r="H13" s="1380" t="b">
        <f t="shared" si="3"/>
        <v>0</v>
      </c>
      <c r="I13" s="1380" t="b">
        <f t="shared" si="4"/>
        <v>0</v>
      </c>
      <c r="J13" s="1380" t="b">
        <f t="shared" si="5"/>
        <v>0</v>
      </c>
      <c r="K13" s="1380" t="str">
        <f t="shared" si="6"/>
        <v>？</v>
      </c>
      <c r="M13" s="1380" t="b">
        <f t="shared" si="7"/>
        <v>0</v>
      </c>
      <c r="N13" s="1380" t="b">
        <f t="shared" si="8"/>
        <v>0</v>
      </c>
      <c r="O13" s="1380" t="b">
        <f t="shared" si="9"/>
        <v>0</v>
      </c>
      <c r="P13" s="1380">
        <f t="shared" si="10"/>
        <v>0</v>
      </c>
      <c r="R13" s="1380" t="str">
        <f t="shared" si="0"/>
        <v>？</v>
      </c>
      <c r="S13" s="1827"/>
      <c r="T13" s="1380" t="str">
        <f t="shared" si="11"/>
        <v/>
      </c>
    </row>
    <row r="14" spans="2:20" ht="21.75" customHeight="1" x14ac:dyDescent="0.15">
      <c r="B14" s="1380" t="str">
        <f>'1_入力シート【基本情報】'!DQ329</f>
        <v>1(11)</v>
      </c>
      <c r="C14" s="1380" t="str">
        <f>'1_入力シート【基本情報】'!AF329&amp;""</f>
        <v/>
      </c>
      <c r="D14" s="1380" t="str">
        <f>'1_入力シート【基本情報】'!BY329&amp;""</f>
        <v/>
      </c>
      <c r="F14" s="1380" t="b">
        <f t="shared" si="1"/>
        <v>1</v>
      </c>
      <c r="G14" s="1380" t="b">
        <f t="shared" si="2"/>
        <v>0</v>
      </c>
      <c r="H14" s="1380" t="b">
        <f t="shared" si="3"/>
        <v>0</v>
      </c>
      <c r="I14" s="1380" t="b">
        <f t="shared" si="4"/>
        <v>0</v>
      </c>
      <c r="J14" s="1380" t="b">
        <f t="shared" si="5"/>
        <v>0</v>
      </c>
      <c r="K14" s="1380" t="str">
        <f t="shared" si="6"/>
        <v>？</v>
      </c>
      <c r="M14" s="1380" t="b">
        <f t="shared" si="7"/>
        <v>0</v>
      </c>
      <c r="N14" s="1380" t="b">
        <f t="shared" si="8"/>
        <v>0</v>
      </c>
      <c r="O14" s="1380" t="b">
        <f t="shared" si="9"/>
        <v>0</v>
      </c>
      <c r="P14" s="1380">
        <f t="shared" si="10"/>
        <v>0</v>
      </c>
      <c r="R14" s="1380" t="str">
        <f t="shared" si="0"/>
        <v>？</v>
      </c>
      <c r="S14" s="1827"/>
      <c r="T14" s="1380" t="str">
        <f t="shared" si="11"/>
        <v/>
      </c>
    </row>
    <row r="15" spans="2:20" ht="21.75" customHeight="1" x14ac:dyDescent="0.15">
      <c r="B15" s="1380" t="str">
        <f>'1_入力シート【基本情報】'!DQ330</f>
        <v>1(12)</v>
      </c>
      <c r="C15" s="1380" t="str">
        <f>'1_入力シート【基本情報】'!AF330&amp;""</f>
        <v/>
      </c>
      <c r="D15" s="1380" t="str">
        <f>'1_入力シート【基本情報】'!BY330&amp;""</f>
        <v/>
      </c>
      <c r="F15" s="1380" t="b">
        <f t="shared" si="1"/>
        <v>1</v>
      </c>
      <c r="G15" s="1380" t="b">
        <f t="shared" si="2"/>
        <v>0</v>
      </c>
      <c r="H15" s="1380" t="b">
        <f t="shared" si="3"/>
        <v>0</v>
      </c>
      <c r="I15" s="1380" t="b">
        <f t="shared" si="4"/>
        <v>0</v>
      </c>
      <c r="J15" s="1380" t="b">
        <f t="shared" si="5"/>
        <v>0</v>
      </c>
      <c r="K15" s="1380" t="str">
        <f t="shared" si="6"/>
        <v>？</v>
      </c>
      <c r="M15" s="1380" t="b">
        <f t="shared" si="7"/>
        <v>0</v>
      </c>
      <c r="N15" s="1380" t="b">
        <f t="shared" si="8"/>
        <v>0</v>
      </c>
      <c r="O15" s="1380" t="b">
        <f t="shared" si="9"/>
        <v>0</v>
      </c>
      <c r="P15" s="1380">
        <f t="shared" si="10"/>
        <v>0</v>
      </c>
      <c r="R15" s="1380" t="str">
        <f t="shared" si="0"/>
        <v>？</v>
      </c>
      <c r="S15" s="1827"/>
      <c r="T15" s="1380" t="str">
        <f t="shared" si="11"/>
        <v/>
      </c>
    </row>
    <row r="16" spans="2:20" ht="21.75" customHeight="1" x14ac:dyDescent="0.15">
      <c r="B16" s="1380" t="str">
        <f>'1_入力シート【基本情報】'!DQ331</f>
        <v>1(13)</v>
      </c>
      <c r="C16" s="1380" t="str">
        <f>'1_入力シート【基本情報】'!AF331&amp;""</f>
        <v/>
      </c>
      <c r="D16" s="1380" t="str">
        <f>'1_入力シート【基本情報】'!BY331&amp;""</f>
        <v/>
      </c>
      <c r="F16" s="1380" t="b">
        <f t="shared" si="1"/>
        <v>1</v>
      </c>
      <c r="G16" s="1380" t="b">
        <f t="shared" si="2"/>
        <v>0</v>
      </c>
      <c r="H16" s="1380" t="b">
        <f t="shared" si="3"/>
        <v>0</v>
      </c>
      <c r="I16" s="1380" t="b">
        <f t="shared" si="4"/>
        <v>0</v>
      </c>
      <c r="J16" s="1380" t="b">
        <f t="shared" si="5"/>
        <v>0</v>
      </c>
      <c r="K16" s="1380" t="str">
        <f t="shared" si="6"/>
        <v>？</v>
      </c>
      <c r="M16" s="1380" t="b">
        <f t="shared" si="7"/>
        <v>0</v>
      </c>
      <c r="N16" s="1380" t="b">
        <f t="shared" si="8"/>
        <v>0</v>
      </c>
      <c r="O16" s="1380" t="b">
        <f t="shared" si="9"/>
        <v>0</v>
      </c>
      <c r="P16" s="1380">
        <f t="shared" si="10"/>
        <v>0</v>
      </c>
      <c r="R16" s="1380" t="str">
        <f t="shared" si="0"/>
        <v>？</v>
      </c>
      <c r="S16" s="1827"/>
      <c r="T16" s="1380" t="str">
        <f t="shared" si="11"/>
        <v/>
      </c>
    </row>
    <row r="17" spans="2:20" ht="21.75" customHeight="1" x14ac:dyDescent="0.15">
      <c r="B17" s="1380" t="str">
        <f>'1_入力シート【基本情報】'!DQ332</f>
        <v>1(14)</v>
      </c>
      <c r="C17" s="1380" t="str">
        <f>'1_入力シート【基本情報】'!AF332&amp;""</f>
        <v/>
      </c>
      <c r="D17" s="1380" t="str">
        <f>'1_入力シート【基本情報】'!BY332&amp;""</f>
        <v/>
      </c>
      <c r="F17" s="1380" t="b">
        <f t="shared" si="1"/>
        <v>1</v>
      </c>
      <c r="G17" s="1380" t="b">
        <f t="shared" si="2"/>
        <v>0</v>
      </c>
      <c r="H17" s="1380" t="b">
        <f t="shared" si="3"/>
        <v>0</v>
      </c>
      <c r="I17" s="1380" t="b">
        <f t="shared" si="4"/>
        <v>0</v>
      </c>
      <c r="J17" s="1380" t="b">
        <f t="shared" si="5"/>
        <v>0</v>
      </c>
      <c r="K17" s="1380" t="str">
        <f t="shared" si="6"/>
        <v>？</v>
      </c>
      <c r="M17" s="1380" t="b">
        <f t="shared" si="7"/>
        <v>0</v>
      </c>
      <c r="N17" s="1380" t="b">
        <f t="shared" si="8"/>
        <v>0</v>
      </c>
      <c r="O17" s="1380" t="b">
        <f t="shared" si="9"/>
        <v>0</v>
      </c>
      <c r="P17" s="1380">
        <f t="shared" si="10"/>
        <v>0</v>
      </c>
      <c r="R17" s="1380" t="str">
        <f t="shared" si="0"/>
        <v>？</v>
      </c>
      <c r="S17" s="1827"/>
      <c r="T17" s="1380" t="str">
        <f t="shared" si="11"/>
        <v/>
      </c>
    </row>
    <row r="18" spans="2:20" ht="21.75" customHeight="1" x14ac:dyDescent="0.15">
      <c r="B18" s="1380" t="str">
        <f>'1_入力シート【基本情報】'!DQ337</f>
        <v>2(1)</v>
      </c>
      <c r="C18" s="1380" t="str">
        <f>'1_入力シート【基本情報】'!AF337&amp;""</f>
        <v/>
      </c>
      <c r="D18" s="1380" t="str">
        <f>'1_入力シート【基本情報】'!BY337&amp;""</f>
        <v/>
      </c>
      <c r="F18" s="1380" t="b">
        <f t="shared" si="1"/>
        <v>1</v>
      </c>
      <c r="G18" s="1380" t="b">
        <f t="shared" si="2"/>
        <v>0</v>
      </c>
      <c r="H18" s="1380" t="b">
        <f t="shared" si="3"/>
        <v>0</v>
      </c>
      <c r="I18" s="1380" t="b">
        <f t="shared" si="4"/>
        <v>0</v>
      </c>
      <c r="J18" s="1380" t="b">
        <f t="shared" si="5"/>
        <v>0</v>
      </c>
      <c r="K18" s="1380" t="str">
        <f t="shared" si="6"/>
        <v>？</v>
      </c>
      <c r="M18" s="1380" t="b">
        <f t="shared" si="7"/>
        <v>0</v>
      </c>
      <c r="N18" s="1380" t="b">
        <f t="shared" si="8"/>
        <v>0</v>
      </c>
      <c r="O18" s="1380" t="b">
        <f t="shared" si="9"/>
        <v>0</v>
      </c>
      <c r="P18" s="1380">
        <f t="shared" si="10"/>
        <v>0</v>
      </c>
      <c r="R18" s="1380" t="str">
        <f t="shared" si="0"/>
        <v>？</v>
      </c>
      <c r="S18" s="1827">
        <v>1</v>
      </c>
      <c r="T18" s="1380" t="str">
        <f t="shared" si="11"/>
        <v>？</v>
      </c>
    </row>
    <row r="19" spans="2:20" ht="21.75" customHeight="1" x14ac:dyDescent="0.15">
      <c r="B19" s="1380" t="str">
        <f>'1_入力シート【基本情報】'!DQ338</f>
        <v>2(2)</v>
      </c>
      <c r="C19" s="1380" t="str">
        <f>'1_入力シート【基本情報】'!AF338&amp;""</f>
        <v/>
      </c>
      <c r="D19" s="1380" t="str">
        <f>'1_入力シート【基本情報】'!BY338&amp;""</f>
        <v/>
      </c>
      <c r="F19" s="1380" t="b">
        <f t="shared" si="1"/>
        <v>1</v>
      </c>
      <c r="G19" s="1380" t="b">
        <f t="shared" si="2"/>
        <v>0</v>
      </c>
      <c r="H19" s="1380" t="b">
        <f t="shared" si="3"/>
        <v>0</v>
      </c>
      <c r="I19" s="1380" t="b">
        <f t="shared" si="4"/>
        <v>0</v>
      </c>
      <c r="J19" s="1380" t="b">
        <f t="shared" si="5"/>
        <v>0</v>
      </c>
      <c r="K19" s="1380" t="str">
        <f t="shared" si="6"/>
        <v>？</v>
      </c>
      <c r="M19" s="1380" t="b">
        <f t="shared" si="7"/>
        <v>0</v>
      </c>
      <c r="N19" s="1380" t="b">
        <f t="shared" si="8"/>
        <v>0</v>
      </c>
      <c r="O19" s="1380" t="b">
        <f t="shared" si="9"/>
        <v>0</v>
      </c>
      <c r="P19" s="1380">
        <f t="shared" si="10"/>
        <v>0</v>
      </c>
      <c r="R19" s="1380" t="str">
        <f t="shared" si="0"/>
        <v>？</v>
      </c>
      <c r="S19" s="1827">
        <v>1</v>
      </c>
      <c r="T19" s="1380" t="str">
        <f t="shared" si="11"/>
        <v>？</v>
      </c>
    </row>
    <row r="20" spans="2:20" ht="21.75" customHeight="1" x14ac:dyDescent="0.15">
      <c r="B20" s="1380" t="str">
        <f>'1_入力シート【基本情報】'!DQ339</f>
        <v>2(3)</v>
      </c>
      <c r="C20" s="1380" t="str">
        <f>'1_入力シート【基本情報】'!AF339&amp;""</f>
        <v/>
      </c>
      <c r="D20" s="1380" t="str">
        <f>'1_入力シート【基本情報】'!BY339&amp;""</f>
        <v/>
      </c>
      <c r="F20" s="1380" t="b">
        <f t="shared" si="1"/>
        <v>1</v>
      </c>
      <c r="G20" s="1380" t="b">
        <f t="shared" si="2"/>
        <v>0</v>
      </c>
      <c r="H20" s="1380" t="b">
        <f t="shared" si="3"/>
        <v>0</v>
      </c>
      <c r="I20" s="1380" t="b">
        <f t="shared" si="4"/>
        <v>0</v>
      </c>
      <c r="J20" s="1380" t="b">
        <f t="shared" si="5"/>
        <v>0</v>
      </c>
      <c r="K20" s="1380" t="str">
        <f t="shared" si="6"/>
        <v>？</v>
      </c>
      <c r="M20" s="1380" t="b">
        <f t="shared" si="7"/>
        <v>0</v>
      </c>
      <c r="N20" s="1380" t="b">
        <f t="shared" si="8"/>
        <v>0</v>
      </c>
      <c r="O20" s="1380" t="b">
        <f t="shared" si="9"/>
        <v>0</v>
      </c>
      <c r="P20" s="1380">
        <f t="shared" si="10"/>
        <v>0</v>
      </c>
      <c r="R20" s="1380" t="str">
        <f t="shared" si="0"/>
        <v>？</v>
      </c>
      <c r="S20" s="1827">
        <v>1</v>
      </c>
      <c r="T20" s="1380" t="str">
        <f t="shared" si="11"/>
        <v>？</v>
      </c>
    </row>
    <row r="21" spans="2:20" ht="21.75" customHeight="1" x14ac:dyDescent="0.15">
      <c r="B21" s="1380" t="str">
        <f>'1_入力シート【基本情報】'!DQ340</f>
        <v>2(4)</v>
      </c>
      <c r="C21" s="1380" t="str">
        <f>'1_入力シート【基本情報】'!AF340&amp;""</f>
        <v/>
      </c>
      <c r="D21" s="1380" t="str">
        <f>'1_入力シート【基本情報】'!BY340&amp;""</f>
        <v/>
      </c>
      <c r="F21" s="1380" t="b">
        <f t="shared" si="1"/>
        <v>1</v>
      </c>
      <c r="G21" s="1380" t="b">
        <f t="shared" si="2"/>
        <v>0</v>
      </c>
      <c r="H21" s="1380" t="b">
        <f t="shared" si="3"/>
        <v>0</v>
      </c>
      <c r="I21" s="1380" t="b">
        <f t="shared" si="4"/>
        <v>0</v>
      </c>
      <c r="J21" s="1380" t="b">
        <f t="shared" si="5"/>
        <v>0</v>
      </c>
      <c r="K21" s="1380" t="str">
        <f t="shared" si="6"/>
        <v>？</v>
      </c>
      <c r="M21" s="1380" t="b">
        <f t="shared" si="7"/>
        <v>0</v>
      </c>
      <c r="N21" s="1380" t="b">
        <f t="shared" si="8"/>
        <v>0</v>
      </c>
      <c r="O21" s="1380" t="b">
        <f t="shared" si="9"/>
        <v>0</v>
      </c>
      <c r="P21" s="1380">
        <f t="shared" si="10"/>
        <v>0</v>
      </c>
      <c r="R21" s="1380" t="str">
        <f t="shared" si="0"/>
        <v>？</v>
      </c>
      <c r="S21" s="1827">
        <v>1</v>
      </c>
      <c r="T21" s="1380" t="str">
        <f t="shared" si="11"/>
        <v>？</v>
      </c>
    </row>
    <row r="22" spans="2:20" ht="21.75" customHeight="1" x14ac:dyDescent="0.15">
      <c r="B22" s="1380" t="str">
        <f>'1_入力シート【基本情報】'!DQ341</f>
        <v>2(5)</v>
      </c>
      <c r="C22" s="1380" t="str">
        <f>'1_入力シート【基本情報】'!AF341&amp;""</f>
        <v/>
      </c>
      <c r="D22" s="1380" t="str">
        <f>'1_入力シート【基本情報】'!BY341&amp;""</f>
        <v/>
      </c>
      <c r="F22" s="1380" t="b">
        <f t="shared" si="1"/>
        <v>1</v>
      </c>
      <c r="G22" s="1380" t="b">
        <f t="shared" si="2"/>
        <v>0</v>
      </c>
      <c r="H22" s="1380" t="b">
        <f t="shared" si="3"/>
        <v>0</v>
      </c>
      <c r="I22" s="1380" t="b">
        <f t="shared" si="4"/>
        <v>0</v>
      </c>
      <c r="J22" s="1380" t="b">
        <f t="shared" si="5"/>
        <v>0</v>
      </c>
      <c r="K22" s="1380" t="str">
        <f t="shared" si="6"/>
        <v>？</v>
      </c>
      <c r="M22" s="1380" t="b">
        <f t="shared" si="7"/>
        <v>0</v>
      </c>
      <c r="N22" s="1380" t="b">
        <f t="shared" si="8"/>
        <v>0</v>
      </c>
      <c r="O22" s="1380" t="b">
        <f t="shared" si="9"/>
        <v>0</v>
      </c>
      <c r="P22" s="1380">
        <f t="shared" si="10"/>
        <v>0</v>
      </c>
      <c r="R22" s="1380" t="str">
        <f t="shared" si="0"/>
        <v>？</v>
      </c>
      <c r="S22" s="1827">
        <v>1</v>
      </c>
      <c r="T22" s="1380" t="str">
        <f t="shared" si="11"/>
        <v>？</v>
      </c>
    </row>
    <row r="23" spans="2:20" ht="21.75" customHeight="1" x14ac:dyDescent="0.15">
      <c r="B23" s="1380" t="str">
        <f>'1_入力シート【基本情報】'!DQ342</f>
        <v>2(6)</v>
      </c>
      <c r="C23" s="1380" t="str">
        <f>'1_入力シート【基本情報】'!AF342&amp;""</f>
        <v/>
      </c>
      <c r="D23" s="1380" t="str">
        <f>'1_入力シート【基本情報】'!BY342&amp;""</f>
        <v/>
      </c>
      <c r="F23" s="1380" t="b">
        <f t="shared" si="1"/>
        <v>1</v>
      </c>
      <c r="G23" s="1380" t="b">
        <f t="shared" si="2"/>
        <v>0</v>
      </c>
      <c r="H23" s="1380" t="b">
        <f t="shared" si="3"/>
        <v>0</v>
      </c>
      <c r="I23" s="1380" t="b">
        <f t="shared" si="4"/>
        <v>0</v>
      </c>
      <c r="J23" s="1380" t="b">
        <f t="shared" si="5"/>
        <v>0</v>
      </c>
      <c r="K23" s="1380" t="str">
        <f t="shared" si="6"/>
        <v>？</v>
      </c>
      <c r="M23" s="1380" t="b">
        <f t="shared" si="7"/>
        <v>0</v>
      </c>
      <c r="N23" s="1380" t="b">
        <f t="shared" si="8"/>
        <v>0</v>
      </c>
      <c r="O23" s="1380" t="b">
        <f t="shared" si="9"/>
        <v>0</v>
      </c>
      <c r="P23" s="1380">
        <f t="shared" si="10"/>
        <v>0</v>
      </c>
      <c r="R23" s="1380" t="str">
        <f t="shared" si="0"/>
        <v>？</v>
      </c>
      <c r="S23" s="1827">
        <v>1</v>
      </c>
      <c r="T23" s="1380" t="str">
        <f t="shared" si="11"/>
        <v>？</v>
      </c>
    </row>
    <row r="24" spans="2:20" ht="21.75" customHeight="1" x14ac:dyDescent="0.15">
      <c r="B24" s="1380" t="str">
        <f>'1_入力シート【基本情報】'!DQ343</f>
        <v>2(7)</v>
      </c>
      <c r="C24" s="1380" t="str">
        <f>'1_入力シート【基本情報】'!AF343&amp;""</f>
        <v/>
      </c>
      <c r="D24" s="1380" t="str">
        <f>'1_入力シート【基本情報】'!BY343&amp;""</f>
        <v/>
      </c>
      <c r="F24" s="1380" t="b">
        <f t="shared" si="1"/>
        <v>1</v>
      </c>
      <c r="G24" s="1380" t="b">
        <f t="shared" si="2"/>
        <v>0</v>
      </c>
      <c r="H24" s="1380" t="b">
        <f t="shared" si="3"/>
        <v>0</v>
      </c>
      <c r="I24" s="1380" t="b">
        <f t="shared" si="4"/>
        <v>0</v>
      </c>
      <c r="J24" s="1380" t="b">
        <f t="shared" si="5"/>
        <v>0</v>
      </c>
      <c r="K24" s="1380" t="str">
        <f t="shared" si="6"/>
        <v>？</v>
      </c>
      <c r="M24" s="1380" t="b">
        <f t="shared" si="7"/>
        <v>0</v>
      </c>
      <c r="N24" s="1380" t="b">
        <f t="shared" si="8"/>
        <v>0</v>
      </c>
      <c r="O24" s="1380" t="b">
        <f t="shared" si="9"/>
        <v>0</v>
      </c>
      <c r="P24" s="1380">
        <f t="shared" si="10"/>
        <v>0</v>
      </c>
      <c r="R24" s="1380" t="str">
        <f t="shared" si="0"/>
        <v>？</v>
      </c>
      <c r="S24" s="1827">
        <v>1</v>
      </c>
      <c r="T24" s="1380" t="str">
        <f t="shared" si="11"/>
        <v>？</v>
      </c>
    </row>
    <row r="25" spans="2:20" ht="21.75" customHeight="1" x14ac:dyDescent="0.15">
      <c r="B25" s="1380" t="str">
        <f>'1_入力シート【基本情報】'!DQ344</f>
        <v>2(8)</v>
      </c>
      <c r="C25" s="1380" t="str">
        <f>'1_入力シート【基本情報】'!AF344&amp;""</f>
        <v/>
      </c>
      <c r="D25" s="1380" t="str">
        <f>'1_入力シート【基本情報】'!BY344&amp;""</f>
        <v/>
      </c>
      <c r="F25" s="1380" t="b">
        <f t="shared" si="1"/>
        <v>1</v>
      </c>
      <c r="G25" s="1380" t="b">
        <f t="shared" si="2"/>
        <v>0</v>
      </c>
      <c r="H25" s="1380" t="b">
        <f t="shared" si="3"/>
        <v>0</v>
      </c>
      <c r="I25" s="1380" t="b">
        <f t="shared" si="4"/>
        <v>0</v>
      </c>
      <c r="J25" s="1380" t="b">
        <f t="shared" si="5"/>
        <v>0</v>
      </c>
      <c r="K25" s="1380" t="str">
        <f t="shared" si="6"/>
        <v>？</v>
      </c>
      <c r="M25" s="1380" t="b">
        <f t="shared" si="7"/>
        <v>0</v>
      </c>
      <c r="N25" s="1380" t="b">
        <f t="shared" si="8"/>
        <v>0</v>
      </c>
      <c r="O25" s="1380" t="b">
        <f t="shared" si="9"/>
        <v>0</v>
      </c>
      <c r="P25" s="1380">
        <f t="shared" si="10"/>
        <v>0</v>
      </c>
      <c r="R25" s="1380" t="str">
        <f t="shared" si="0"/>
        <v>？</v>
      </c>
      <c r="S25" s="1827">
        <v>1</v>
      </c>
      <c r="T25" s="1380" t="str">
        <f t="shared" si="11"/>
        <v>？</v>
      </c>
    </row>
    <row r="26" spans="2:20" ht="21.75" customHeight="1" x14ac:dyDescent="0.15">
      <c r="B26" s="1380" t="str">
        <f>'1_入力シート【基本情報】'!DQ345</f>
        <v>2(9)</v>
      </c>
      <c r="C26" s="1380" t="str">
        <f>'1_入力シート【基本情報】'!AF345&amp;""</f>
        <v/>
      </c>
      <c r="D26" s="1380" t="str">
        <f>'1_入力シート【基本情報】'!BY345&amp;""</f>
        <v/>
      </c>
      <c r="F26" s="1380" t="b">
        <f t="shared" si="1"/>
        <v>1</v>
      </c>
      <c r="G26" s="1380" t="b">
        <f t="shared" si="2"/>
        <v>0</v>
      </c>
      <c r="H26" s="1380" t="b">
        <f t="shared" si="3"/>
        <v>0</v>
      </c>
      <c r="I26" s="1380" t="b">
        <f t="shared" si="4"/>
        <v>0</v>
      </c>
      <c r="J26" s="1380" t="b">
        <f t="shared" si="5"/>
        <v>0</v>
      </c>
      <c r="K26" s="1380" t="str">
        <f t="shared" si="6"/>
        <v>？</v>
      </c>
      <c r="M26" s="1380" t="b">
        <f t="shared" si="7"/>
        <v>0</v>
      </c>
      <c r="N26" s="1380" t="b">
        <f t="shared" si="8"/>
        <v>0</v>
      </c>
      <c r="O26" s="1380" t="b">
        <f t="shared" si="9"/>
        <v>0</v>
      </c>
      <c r="P26" s="1380">
        <f t="shared" si="10"/>
        <v>0</v>
      </c>
      <c r="R26" s="1380" t="str">
        <f t="shared" si="0"/>
        <v>？</v>
      </c>
      <c r="S26" s="1827">
        <v>1</v>
      </c>
      <c r="T26" s="1380" t="str">
        <f t="shared" si="11"/>
        <v>？</v>
      </c>
    </row>
    <row r="27" spans="2:20" ht="21.75" customHeight="1" x14ac:dyDescent="0.15">
      <c r="B27" s="1380" t="str">
        <f>'1_入力シート【基本情報】'!DQ346</f>
        <v>2(10)</v>
      </c>
      <c r="C27" s="1380" t="str">
        <f>'1_入力シート【基本情報】'!AF346&amp;""</f>
        <v/>
      </c>
      <c r="D27" s="1380" t="str">
        <f>'1_入力シート【基本情報】'!BY346&amp;""</f>
        <v/>
      </c>
      <c r="F27" s="1380" t="b">
        <f t="shared" si="1"/>
        <v>1</v>
      </c>
      <c r="G27" s="1380" t="b">
        <f t="shared" si="2"/>
        <v>0</v>
      </c>
      <c r="H27" s="1380" t="b">
        <f t="shared" si="3"/>
        <v>0</v>
      </c>
      <c r="I27" s="1380" t="b">
        <f t="shared" si="4"/>
        <v>0</v>
      </c>
      <c r="J27" s="1380" t="b">
        <f t="shared" si="5"/>
        <v>0</v>
      </c>
      <c r="K27" s="1380" t="str">
        <f t="shared" si="6"/>
        <v>？</v>
      </c>
      <c r="M27" s="1380" t="b">
        <f t="shared" si="7"/>
        <v>0</v>
      </c>
      <c r="N27" s="1380" t="b">
        <f t="shared" si="8"/>
        <v>0</v>
      </c>
      <c r="O27" s="1380" t="b">
        <f t="shared" si="9"/>
        <v>0</v>
      </c>
      <c r="P27" s="1380">
        <f t="shared" si="10"/>
        <v>0</v>
      </c>
      <c r="R27" s="1380" t="str">
        <f t="shared" si="0"/>
        <v>？</v>
      </c>
      <c r="S27" s="1827">
        <v>1</v>
      </c>
      <c r="T27" s="1380" t="str">
        <f t="shared" si="11"/>
        <v>？</v>
      </c>
    </row>
    <row r="28" spans="2:20" ht="21.75" customHeight="1" x14ac:dyDescent="0.15">
      <c r="B28" s="1380" t="str">
        <f>'1_入力シート【基本情報】'!DQ347</f>
        <v>2(11)</v>
      </c>
      <c r="C28" s="1380" t="str">
        <f>'1_入力シート【基本情報】'!AF347&amp;""</f>
        <v/>
      </c>
      <c r="D28" s="1380" t="str">
        <f>'1_入力シート【基本情報】'!BY347&amp;""</f>
        <v/>
      </c>
      <c r="F28" s="1380" t="b">
        <f t="shared" si="1"/>
        <v>1</v>
      </c>
      <c r="G28" s="1380" t="b">
        <f t="shared" si="2"/>
        <v>0</v>
      </c>
      <c r="H28" s="1380" t="b">
        <f t="shared" si="3"/>
        <v>0</v>
      </c>
      <c r="I28" s="1380" t="b">
        <f t="shared" si="4"/>
        <v>0</v>
      </c>
      <c r="J28" s="1380" t="b">
        <f t="shared" si="5"/>
        <v>0</v>
      </c>
      <c r="K28" s="1380" t="str">
        <f t="shared" si="6"/>
        <v>？</v>
      </c>
      <c r="M28" s="1380" t="b">
        <f t="shared" si="7"/>
        <v>0</v>
      </c>
      <c r="N28" s="1380" t="b">
        <f t="shared" si="8"/>
        <v>0</v>
      </c>
      <c r="O28" s="1380" t="b">
        <f t="shared" si="9"/>
        <v>0</v>
      </c>
      <c r="P28" s="1380">
        <f t="shared" si="10"/>
        <v>0</v>
      </c>
      <c r="R28" s="1380" t="str">
        <f t="shared" si="0"/>
        <v>？</v>
      </c>
      <c r="S28" s="1827">
        <v>1</v>
      </c>
      <c r="T28" s="1380" t="str">
        <f t="shared" si="11"/>
        <v>？</v>
      </c>
    </row>
    <row r="29" spans="2:20" ht="21.75" customHeight="1" x14ac:dyDescent="0.15">
      <c r="B29" s="1380" t="str">
        <f>'1_入力シート【基本情報】'!DQ348</f>
        <v>2(12)</v>
      </c>
      <c r="C29" s="1380" t="str">
        <f>'1_入力シート【基本情報】'!AF348&amp;""</f>
        <v/>
      </c>
      <c r="D29" s="1380" t="str">
        <f>'1_入力シート【基本情報】'!BY348&amp;""</f>
        <v/>
      </c>
      <c r="F29" s="1380" t="b">
        <f t="shared" si="1"/>
        <v>1</v>
      </c>
      <c r="G29" s="1380" t="b">
        <f t="shared" si="2"/>
        <v>0</v>
      </c>
      <c r="H29" s="1380" t="b">
        <f t="shared" si="3"/>
        <v>0</v>
      </c>
      <c r="I29" s="1380" t="b">
        <f t="shared" si="4"/>
        <v>0</v>
      </c>
      <c r="J29" s="1380" t="b">
        <f t="shared" si="5"/>
        <v>0</v>
      </c>
      <c r="K29" s="1380" t="str">
        <f t="shared" si="6"/>
        <v>？</v>
      </c>
      <c r="M29" s="1380" t="b">
        <f t="shared" si="7"/>
        <v>0</v>
      </c>
      <c r="N29" s="1380" t="b">
        <f t="shared" si="8"/>
        <v>0</v>
      </c>
      <c r="O29" s="1380" t="b">
        <f t="shared" si="9"/>
        <v>0</v>
      </c>
      <c r="P29" s="1380">
        <f t="shared" si="10"/>
        <v>0</v>
      </c>
      <c r="R29" s="1380" t="str">
        <f t="shared" si="0"/>
        <v>？</v>
      </c>
      <c r="S29" s="1827">
        <v>1</v>
      </c>
      <c r="T29" s="1380" t="str">
        <f t="shared" si="11"/>
        <v>？</v>
      </c>
    </row>
    <row r="30" spans="2:20" ht="21.75" customHeight="1" x14ac:dyDescent="0.15">
      <c r="B30" s="1380" t="str">
        <f>'1_入力シート【基本情報】'!DQ349</f>
        <v>2(13)</v>
      </c>
      <c r="C30" s="1380" t="str">
        <f>'1_入力シート【基本情報】'!AF349&amp;""</f>
        <v/>
      </c>
      <c r="D30" s="1380" t="str">
        <f>'1_入力シート【基本情報】'!BY349&amp;""</f>
        <v/>
      </c>
      <c r="F30" s="1380" t="b">
        <f t="shared" si="1"/>
        <v>1</v>
      </c>
      <c r="G30" s="1380" t="b">
        <f t="shared" si="2"/>
        <v>0</v>
      </c>
      <c r="H30" s="1380" t="b">
        <f t="shared" si="3"/>
        <v>0</v>
      </c>
      <c r="I30" s="1380" t="b">
        <f t="shared" si="4"/>
        <v>0</v>
      </c>
      <c r="J30" s="1380" t="b">
        <f t="shared" si="5"/>
        <v>0</v>
      </c>
      <c r="K30" s="1380" t="str">
        <f t="shared" si="6"/>
        <v>？</v>
      </c>
      <c r="M30" s="1380" t="b">
        <f t="shared" si="7"/>
        <v>0</v>
      </c>
      <c r="N30" s="1380" t="b">
        <f t="shared" si="8"/>
        <v>0</v>
      </c>
      <c r="O30" s="1380" t="b">
        <f t="shared" si="9"/>
        <v>0</v>
      </c>
      <c r="P30" s="1380">
        <f t="shared" si="10"/>
        <v>0</v>
      </c>
      <c r="R30" s="1380" t="str">
        <f t="shared" si="0"/>
        <v>？</v>
      </c>
      <c r="S30" s="1827">
        <v>1</v>
      </c>
      <c r="T30" s="1380" t="str">
        <f t="shared" si="11"/>
        <v>？</v>
      </c>
    </row>
    <row r="31" spans="2:20" ht="21.75" customHeight="1" x14ac:dyDescent="0.15">
      <c r="B31" s="1380" t="str">
        <f>'1_入力シート【基本情報】'!DQ350</f>
        <v>2(14)</v>
      </c>
      <c r="C31" s="1380" t="str">
        <f>'1_入力シート【基本情報】'!AF350&amp;""</f>
        <v/>
      </c>
      <c r="D31" s="1380" t="str">
        <f>'1_入力シート【基本情報】'!BY350&amp;""</f>
        <v/>
      </c>
      <c r="F31" s="1380" t="b">
        <f t="shared" si="1"/>
        <v>1</v>
      </c>
      <c r="G31" s="1380" t="b">
        <f t="shared" si="2"/>
        <v>0</v>
      </c>
      <c r="H31" s="1380" t="b">
        <f t="shared" si="3"/>
        <v>0</v>
      </c>
      <c r="I31" s="1380" t="b">
        <f t="shared" si="4"/>
        <v>0</v>
      </c>
      <c r="J31" s="1380" t="b">
        <f t="shared" si="5"/>
        <v>0</v>
      </c>
      <c r="K31" s="1380" t="str">
        <f t="shared" si="6"/>
        <v>？</v>
      </c>
      <c r="M31" s="1380" t="b">
        <f t="shared" si="7"/>
        <v>0</v>
      </c>
      <c r="N31" s="1380" t="b">
        <f t="shared" si="8"/>
        <v>0</v>
      </c>
      <c r="O31" s="1380" t="b">
        <f t="shared" si="9"/>
        <v>0</v>
      </c>
      <c r="P31" s="1380">
        <f t="shared" si="10"/>
        <v>0</v>
      </c>
      <c r="R31" s="1380" t="str">
        <f t="shared" si="0"/>
        <v>？</v>
      </c>
      <c r="S31" s="1827">
        <v>1</v>
      </c>
      <c r="T31" s="1380" t="str">
        <f t="shared" si="11"/>
        <v>？</v>
      </c>
    </row>
    <row r="32" spans="2:20" ht="21.75" customHeight="1" x14ac:dyDescent="0.15">
      <c r="B32" s="1380" t="str">
        <f>'1_入力シート【基本情報】'!DQ351</f>
        <v>2(15)</v>
      </c>
      <c r="C32" s="1380" t="str">
        <f>'1_入力シート【基本情報】'!AF351&amp;""</f>
        <v/>
      </c>
      <c r="D32" s="1380" t="str">
        <f>'1_入力シート【基本情報】'!BY351&amp;""</f>
        <v/>
      </c>
      <c r="F32" s="1380" t="b">
        <f t="shared" si="1"/>
        <v>1</v>
      </c>
      <c r="G32" s="1380" t="b">
        <f t="shared" si="2"/>
        <v>0</v>
      </c>
      <c r="H32" s="1380" t="b">
        <f t="shared" si="3"/>
        <v>0</v>
      </c>
      <c r="I32" s="1380" t="b">
        <f t="shared" si="4"/>
        <v>0</v>
      </c>
      <c r="J32" s="1380" t="b">
        <f t="shared" si="5"/>
        <v>0</v>
      </c>
      <c r="K32" s="1380" t="str">
        <f t="shared" si="6"/>
        <v>？</v>
      </c>
      <c r="M32" s="1380" t="b">
        <f t="shared" si="7"/>
        <v>0</v>
      </c>
      <c r="N32" s="1380" t="b">
        <f t="shared" si="8"/>
        <v>0</v>
      </c>
      <c r="O32" s="1380" t="b">
        <f t="shared" si="9"/>
        <v>0</v>
      </c>
      <c r="P32" s="1380">
        <f t="shared" si="10"/>
        <v>0</v>
      </c>
      <c r="R32" s="1380" t="str">
        <f t="shared" si="0"/>
        <v>？</v>
      </c>
      <c r="S32" s="1827">
        <v>1</v>
      </c>
      <c r="T32" s="1380" t="str">
        <f t="shared" si="11"/>
        <v>？</v>
      </c>
    </row>
    <row r="33" spans="2:20" ht="21.75" customHeight="1" x14ac:dyDescent="0.15">
      <c r="B33" s="1380" t="str">
        <f>'1_入力シート【基本情報】'!DQ352</f>
        <v>2(16)</v>
      </c>
      <c r="C33" s="1380" t="str">
        <f>'1_入力シート【基本情報】'!AF352&amp;""</f>
        <v/>
      </c>
      <c r="D33" s="1380" t="str">
        <f>'1_入力シート【基本情報】'!BY352&amp;""</f>
        <v/>
      </c>
      <c r="F33" s="1380" t="b">
        <f t="shared" si="1"/>
        <v>1</v>
      </c>
      <c r="G33" s="1380" t="b">
        <f t="shared" si="2"/>
        <v>0</v>
      </c>
      <c r="H33" s="1380" t="b">
        <f t="shared" si="3"/>
        <v>0</v>
      </c>
      <c r="I33" s="1380" t="b">
        <f t="shared" si="4"/>
        <v>0</v>
      </c>
      <c r="J33" s="1380" t="b">
        <f t="shared" si="5"/>
        <v>0</v>
      </c>
      <c r="K33" s="1380" t="str">
        <f t="shared" si="6"/>
        <v>？</v>
      </c>
      <c r="M33" s="1380" t="b">
        <f t="shared" si="7"/>
        <v>0</v>
      </c>
      <c r="N33" s="1380" t="b">
        <f t="shared" si="8"/>
        <v>0</v>
      </c>
      <c r="O33" s="1380" t="b">
        <f t="shared" si="9"/>
        <v>0</v>
      </c>
      <c r="P33" s="1380">
        <f t="shared" si="10"/>
        <v>0</v>
      </c>
      <c r="R33" s="1380" t="str">
        <f t="shared" si="0"/>
        <v>？</v>
      </c>
      <c r="S33" s="1827">
        <v>1</v>
      </c>
      <c r="T33" s="1380" t="str">
        <f t="shared" si="11"/>
        <v>？</v>
      </c>
    </row>
    <row r="34" spans="2:20" ht="21.75" customHeight="1" x14ac:dyDescent="0.15">
      <c r="B34" s="1380" t="str">
        <f>'1_入力シート【基本情報】'!DQ353</f>
        <v>2(17)</v>
      </c>
      <c r="C34" s="1380" t="str">
        <f>'1_入力シート【基本情報】'!AF353&amp;""</f>
        <v/>
      </c>
      <c r="D34" s="1380" t="str">
        <f>'1_入力シート【基本情報】'!BY353&amp;""</f>
        <v/>
      </c>
      <c r="F34" s="1380" t="b">
        <f t="shared" si="1"/>
        <v>1</v>
      </c>
      <c r="G34" s="1380" t="b">
        <f t="shared" si="2"/>
        <v>0</v>
      </c>
      <c r="H34" s="1380" t="b">
        <f t="shared" si="3"/>
        <v>0</v>
      </c>
      <c r="I34" s="1380" t="b">
        <f t="shared" si="4"/>
        <v>0</v>
      </c>
      <c r="J34" s="1380" t="b">
        <f t="shared" si="5"/>
        <v>0</v>
      </c>
      <c r="K34" s="1380" t="str">
        <f t="shared" si="6"/>
        <v>？</v>
      </c>
      <c r="M34" s="1380" t="b">
        <f t="shared" si="7"/>
        <v>0</v>
      </c>
      <c r="N34" s="1380" t="b">
        <f t="shared" si="8"/>
        <v>0</v>
      </c>
      <c r="O34" s="1380" t="b">
        <f t="shared" si="9"/>
        <v>0</v>
      </c>
      <c r="P34" s="1380">
        <f t="shared" si="10"/>
        <v>0</v>
      </c>
      <c r="R34" s="1380" t="str">
        <f t="shared" si="0"/>
        <v>？</v>
      </c>
      <c r="S34" s="1827">
        <v>1</v>
      </c>
      <c r="T34" s="1380" t="str">
        <f t="shared" si="11"/>
        <v>？</v>
      </c>
    </row>
    <row r="35" spans="2:20" ht="21.75" customHeight="1" x14ac:dyDescent="0.15">
      <c r="B35" s="1380" t="str">
        <f>'1_入力シート【基本情報】'!DQ354</f>
        <v>2(18)</v>
      </c>
      <c r="C35" s="1380" t="str">
        <f>'1_入力シート【基本情報】'!AF354&amp;""</f>
        <v/>
      </c>
      <c r="D35" s="1380" t="str">
        <f>'1_入力シート【基本情報】'!BY354&amp;""</f>
        <v/>
      </c>
      <c r="F35" s="1380" t="b">
        <f t="shared" si="1"/>
        <v>1</v>
      </c>
      <c r="G35" s="1380" t="b">
        <f t="shared" si="2"/>
        <v>0</v>
      </c>
      <c r="H35" s="1380" t="b">
        <f t="shared" si="3"/>
        <v>0</v>
      </c>
      <c r="I35" s="1380" t="b">
        <f t="shared" si="4"/>
        <v>0</v>
      </c>
      <c r="J35" s="1380" t="b">
        <f t="shared" si="5"/>
        <v>0</v>
      </c>
      <c r="K35" s="1380" t="str">
        <f t="shared" si="6"/>
        <v>？</v>
      </c>
      <c r="M35" s="1380" t="b">
        <f t="shared" si="7"/>
        <v>0</v>
      </c>
      <c r="N35" s="1380" t="b">
        <f t="shared" si="8"/>
        <v>0</v>
      </c>
      <c r="O35" s="1380" t="b">
        <f t="shared" si="9"/>
        <v>0</v>
      </c>
      <c r="P35" s="1380">
        <f t="shared" si="10"/>
        <v>0</v>
      </c>
      <c r="R35" s="1380" t="str">
        <f t="shared" si="0"/>
        <v>？</v>
      </c>
      <c r="S35" s="1827">
        <v>1</v>
      </c>
      <c r="T35" s="1380" t="str">
        <f t="shared" si="11"/>
        <v>？</v>
      </c>
    </row>
    <row r="36" spans="2:20" ht="21.75" customHeight="1" x14ac:dyDescent="0.15">
      <c r="B36" s="1380" t="str">
        <f>'1_入力シート【基本情報】'!DQ355</f>
        <v>2(19)</v>
      </c>
      <c r="C36" s="1380" t="str">
        <f>'1_入力シート【基本情報】'!AF355&amp;""</f>
        <v/>
      </c>
      <c r="D36" s="1380" t="str">
        <f>'1_入力シート【基本情報】'!BY355&amp;""</f>
        <v/>
      </c>
      <c r="F36" s="1380" t="b">
        <f t="shared" si="1"/>
        <v>1</v>
      </c>
      <c r="G36" s="1380" t="b">
        <f t="shared" si="2"/>
        <v>0</v>
      </c>
      <c r="H36" s="1380" t="b">
        <f t="shared" si="3"/>
        <v>0</v>
      </c>
      <c r="I36" s="1380" t="b">
        <f t="shared" si="4"/>
        <v>0</v>
      </c>
      <c r="J36" s="1380" t="b">
        <f t="shared" si="5"/>
        <v>0</v>
      </c>
      <c r="K36" s="1380" t="str">
        <f t="shared" si="6"/>
        <v>？</v>
      </c>
      <c r="M36" s="1380" t="b">
        <f t="shared" si="7"/>
        <v>0</v>
      </c>
      <c r="N36" s="1380" t="b">
        <f t="shared" si="8"/>
        <v>0</v>
      </c>
      <c r="O36" s="1380" t="b">
        <f t="shared" si="9"/>
        <v>0</v>
      </c>
      <c r="P36" s="1380">
        <f t="shared" si="10"/>
        <v>0</v>
      </c>
      <c r="R36" s="1380" t="str">
        <f t="shared" ref="R36:R67" si="12">INDEX($H$192:$M$199,MATCH(P36,$F$192:$F$199,0),MATCH(K36,$H$191:$M$191,0))</f>
        <v>？</v>
      </c>
      <c r="S36" s="1827"/>
      <c r="T36" s="1380" t="str">
        <f t="shared" si="11"/>
        <v/>
      </c>
    </row>
    <row r="37" spans="2:20" ht="21.75" customHeight="1" x14ac:dyDescent="0.15">
      <c r="B37" s="1380" t="str">
        <f>'1_入力シート【基本情報】'!DQ356</f>
        <v>2(20)</v>
      </c>
      <c r="C37" s="1380" t="str">
        <f>'1_入力シート【基本情報】'!AF356&amp;""</f>
        <v/>
      </c>
      <c r="D37" s="1380" t="str">
        <f>'1_入力シート【基本情報】'!BY356&amp;""</f>
        <v/>
      </c>
      <c r="F37" s="1380" t="b">
        <f t="shared" si="1"/>
        <v>1</v>
      </c>
      <c r="G37" s="1380" t="b">
        <f t="shared" si="2"/>
        <v>0</v>
      </c>
      <c r="H37" s="1380" t="b">
        <f t="shared" si="3"/>
        <v>0</v>
      </c>
      <c r="I37" s="1380" t="b">
        <f t="shared" si="4"/>
        <v>0</v>
      </c>
      <c r="J37" s="1380" t="b">
        <f t="shared" si="5"/>
        <v>0</v>
      </c>
      <c r="K37" s="1380" t="str">
        <f t="shared" si="6"/>
        <v>？</v>
      </c>
      <c r="M37" s="1380" t="b">
        <f t="shared" si="7"/>
        <v>0</v>
      </c>
      <c r="N37" s="1380" t="b">
        <f t="shared" si="8"/>
        <v>0</v>
      </c>
      <c r="O37" s="1380" t="b">
        <f t="shared" si="9"/>
        <v>0</v>
      </c>
      <c r="P37" s="1380">
        <f t="shared" si="10"/>
        <v>0</v>
      </c>
      <c r="R37" s="1380" t="str">
        <f t="shared" si="12"/>
        <v>？</v>
      </c>
      <c r="S37" s="1827"/>
      <c r="T37" s="1380" t="str">
        <f t="shared" si="11"/>
        <v/>
      </c>
    </row>
    <row r="38" spans="2:20" ht="21.75" customHeight="1" x14ac:dyDescent="0.15">
      <c r="B38" s="1380" t="str">
        <f>'1_入力シート【基本情報】'!DQ357</f>
        <v>2(21)</v>
      </c>
      <c r="C38" s="1380" t="str">
        <f>'1_入力シート【基本情報】'!AF357&amp;""</f>
        <v/>
      </c>
      <c r="D38" s="1380" t="str">
        <f>'1_入力シート【基本情報】'!BY357&amp;""</f>
        <v/>
      </c>
      <c r="F38" s="1380" t="b">
        <f t="shared" si="1"/>
        <v>1</v>
      </c>
      <c r="G38" s="1380" t="b">
        <f t="shared" si="2"/>
        <v>0</v>
      </c>
      <c r="H38" s="1380" t="b">
        <f t="shared" si="3"/>
        <v>0</v>
      </c>
      <c r="I38" s="1380" t="b">
        <f t="shared" si="4"/>
        <v>0</v>
      </c>
      <c r="J38" s="1380" t="b">
        <f t="shared" si="5"/>
        <v>0</v>
      </c>
      <c r="K38" s="1380" t="str">
        <f t="shared" si="6"/>
        <v>？</v>
      </c>
      <c r="M38" s="1380" t="b">
        <f t="shared" si="7"/>
        <v>0</v>
      </c>
      <c r="N38" s="1380" t="b">
        <f t="shared" si="8"/>
        <v>0</v>
      </c>
      <c r="O38" s="1380" t="b">
        <f t="shared" si="9"/>
        <v>0</v>
      </c>
      <c r="P38" s="1380">
        <f t="shared" si="10"/>
        <v>0</v>
      </c>
      <c r="R38" s="1380" t="str">
        <f t="shared" si="12"/>
        <v>？</v>
      </c>
      <c r="S38" s="1827"/>
      <c r="T38" s="1380" t="str">
        <f t="shared" si="11"/>
        <v/>
      </c>
    </row>
    <row r="39" spans="2:20" ht="21.75" customHeight="1" x14ac:dyDescent="0.15">
      <c r="B39" s="1380" t="str">
        <f>'1_入力シート【基本情報】'!DQ358</f>
        <v>2(22)</v>
      </c>
      <c r="C39" s="1380" t="str">
        <f>'1_入力シート【基本情報】'!AF358&amp;""</f>
        <v/>
      </c>
      <c r="D39" s="1380" t="str">
        <f>'1_入力シート【基本情報】'!BY358&amp;""</f>
        <v/>
      </c>
      <c r="F39" s="1380" t="b">
        <f t="shared" si="1"/>
        <v>1</v>
      </c>
      <c r="G39" s="1380" t="b">
        <f t="shared" si="2"/>
        <v>0</v>
      </c>
      <c r="H39" s="1380" t="b">
        <f t="shared" si="3"/>
        <v>0</v>
      </c>
      <c r="I39" s="1380" t="b">
        <f t="shared" si="4"/>
        <v>0</v>
      </c>
      <c r="J39" s="1380" t="b">
        <f t="shared" si="5"/>
        <v>0</v>
      </c>
      <c r="K39" s="1380" t="str">
        <f t="shared" si="6"/>
        <v>？</v>
      </c>
      <c r="M39" s="1380" t="b">
        <f t="shared" si="7"/>
        <v>0</v>
      </c>
      <c r="N39" s="1380" t="b">
        <f t="shared" si="8"/>
        <v>0</v>
      </c>
      <c r="O39" s="1380" t="b">
        <f t="shared" si="9"/>
        <v>0</v>
      </c>
      <c r="P39" s="1380">
        <f t="shared" si="10"/>
        <v>0</v>
      </c>
      <c r="R39" s="1380" t="str">
        <f t="shared" si="12"/>
        <v>？</v>
      </c>
      <c r="S39" s="1827"/>
      <c r="T39" s="1380" t="str">
        <f t="shared" si="11"/>
        <v/>
      </c>
    </row>
    <row r="40" spans="2:20" ht="21.75" customHeight="1" x14ac:dyDescent="0.15">
      <c r="B40" s="1380" t="str">
        <f>'1_入力シート【基本情報】'!DQ359</f>
        <v>2(23)</v>
      </c>
      <c r="C40" s="1380" t="str">
        <f>'1_入力シート【基本情報】'!AF359&amp;""</f>
        <v/>
      </c>
      <c r="D40" s="1380" t="str">
        <f>'1_入力シート【基本情報】'!BY359&amp;""</f>
        <v/>
      </c>
      <c r="F40" s="1380" t="b">
        <f t="shared" si="1"/>
        <v>1</v>
      </c>
      <c r="G40" s="1380" t="b">
        <f t="shared" si="2"/>
        <v>0</v>
      </c>
      <c r="H40" s="1380" t="b">
        <f t="shared" si="3"/>
        <v>0</v>
      </c>
      <c r="I40" s="1380" t="b">
        <f t="shared" si="4"/>
        <v>0</v>
      </c>
      <c r="J40" s="1380" t="b">
        <f t="shared" si="5"/>
        <v>0</v>
      </c>
      <c r="K40" s="1380" t="str">
        <f t="shared" si="6"/>
        <v>？</v>
      </c>
      <c r="M40" s="1380" t="b">
        <f t="shared" si="7"/>
        <v>0</v>
      </c>
      <c r="N40" s="1380" t="b">
        <f t="shared" si="8"/>
        <v>0</v>
      </c>
      <c r="O40" s="1380" t="b">
        <f t="shared" si="9"/>
        <v>0</v>
      </c>
      <c r="P40" s="1380">
        <f t="shared" si="10"/>
        <v>0</v>
      </c>
      <c r="R40" s="1380" t="str">
        <f t="shared" si="12"/>
        <v>？</v>
      </c>
      <c r="S40" s="1827"/>
      <c r="T40" s="1380" t="str">
        <f t="shared" si="11"/>
        <v/>
      </c>
    </row>
    <row r="41" spans="2:20" ht="21.75" customHeight="1" x14ac:dyDescent="0.15">
      <c r="B41" s="1380" t="str">
        <f>'1_入力シート【基本情報】'!DQ364</f>
        <v>3(1)</v>
      </c>
      <c r="C41" s="1380" t="str">
        <f>'1_入力シート【基本情報】'!AF364&amp;""</f>
        <v/>
      </c>
      <c r="D41" s="1380" t="str">
        <f>'1_入力シート【基本情報】'!BY364&amp;""</f>
        <v/>
      </c>
      <c r="F41" s="1380" t="b">
        <f t="shared" si="1"/>
        <v>1</v>
      </c>
      <c r="G41" s="1380" t="b">
        <f t="shared" si="2"/>
        <v>0</v>
      </c>
      <c r="H41" s="1380" t="b">
        <f t="shared" si="3"/>
        <v>0</v>
      </c>
      <c r="I41" s="1380" t="b">
        <f t="shared" si="4"/>
        <v>0</v>
      </c>
      <c r="J41" s="1380" t="b">
        <f t="shared" si="5"/>
        <v>0</v>
      </c>
      <c r="K41" s="1380" t="str">
        <f t="shared" si="6"/>
        <v>？</v>
      </c>
      <c r="M41" s="1380" t="b">
        <f t="shared" si="7"/>
        <v>0</v>
      </c>
      <c r="N41" s="1380" t="b">
        <f t="shared" si="8"/>
        <v>0</v>
      </c>
      <c r="O41" s="1380" t="b">
        <f t="shared" si="9"/>
        <v>0</v>
      </c>
      <c r="P41" s="1380">
        <f t="shared" si="10"/>
        <v>0</v>
      </c>
      <c r="R41" s="1380" t="str">
        <f t="shared" si="12"/>
        <v>？</v>
      </c>
      <c r="S41" s="1827">
        <v>1</v>
      </c>
      <c r="T41" s="1380" t="str">
        <f t="shared" si="11"/>
        <v>？</v>
      </c>
    </row>
    <row r="42" spans="2:20" ht="21.75" customHeight="1" x14ac:dyDescent="0.15">
      <c r="B42" s="1380" t="str">
        <f>'1_入力シート【基本情報】'!DQ365</f>
        <v>3(2)</v>
      </c>
      <c r="C42" s="1380" t="str">
        <f>'1_入力シート【基本情報】'!AF365&amp;""</f>
        <v/>
      </c>
      <c r="D42" s="1380" t="str">
        <f>'1_入力シート【基本情報】'!BY365&amp;""</f>
        <v/>
      </c>
      <c r="F42" s="1380" t="b">
        <f t="shared" si="1"/>
        <v>1</v>
      </c>
      <c r="G42" s="1380" t="b">
        <f t="shared" si="2"/>
        <v>0</v>
      </c>
      <c r="H42" s="1380" t="b">
        <f t="shared" si="3"/>
        <v>0</v>
      </c>
      <c r="I42" s="1380" t="b">
        <f t="shared" si="4"/>
        <v>0</v>
      </c>
      <c r="J42" s="1380" t="b">
        <f t="shared" si="5"/>
        <v>0</v>
      </c>
      <c r="K42" s="1380" t="str">
        <f t="shared" si="6"/>
        <v>？</v>
      </c>
      <c r="M42" s="1380" t="b">
        <f t="shared" si="7"/>
        <v>0</v>
      </c>
      <c r="N42" s="1380" t="b">
        <f t="shared" si="8"/>
        <v>0</v>
      </c>
      <c r="O42" s="1380" t="b">
        <f t="shared" si="9"/>
        <v>0</v>
      </c>
      <c r="P42" s="1380">
        <f t="shared" si="10"/>
        <v>0</v>
      </c>
      <c r="R42" s="1380" t="str">
        <f t="shared" si="12"/>
        <v>？</v>
      </c>
      <c r="S42" s="1827">
        <v>1</v>
      </c>
      <c r="T42" s="1380" t="str">
        <f t="shared" si="11"/>
        <v>？</v>
      </c>
    </row>
    <row r="43" spans="2:20" ht="21.75" customHeight="1" x14ac:dyDescent="0.15">
      <c r="B43" s="1380" t="str">
        <f>'1_入力シート【基本情報】'!DQ366</f>
        <v>3(3)</v>
      </c>
      <c r="C43" s="1380" t="str">
        <f>'1_入力シート【基本情報】'!AF366&amp;""</f>
        <v/>
      </c>
      <c r="D43" s="1380" t="str">
        <f>'1_入力シート【基本情報】'!BY366&amp;""</f>
        <v/>
      </c>
      <c r="F43" s="1380" t="b">
        <f t="shared" si="1"/>
        <v>1</v>
      </c>
      <c r="G43" s="1380" t="b">
        <f t="shared" si="2"/>
        <v>0</v>
      </c>
      <c r="H43" s="1380" t="b">
        <f t="shared" si="3"/>
        <v>0</v>
      </c>
      <c r="I43" s="1380" t="b">
        <f t="shared" si="4"/>
        <v>0</v>
      </c>
      <c r="J43" s="1380" t="b">
        <f t="shared" si="5"/>
        <v>0</v>
      </c>
      <c r="K43" s="1380" t="str">
        <f t="shared" si="6"/>
        <v>？</v>
      </c>
      <c r="M43" s="1380" t="b">
        <f t="shared" si="7"/>
        <v>0</v>
      </c>
      <c r="N43" s="1380" t="b">
        <f t="shared" si="8"/>
        <v>0</v>
      </c>
      <c r="O43" s="1380" t="b">
        <f t="shared" si="9"/>
        <v>0</v>
      </c>
      <c r="P43" s="1380">
        <f t="shared" si="10"/>
        <v>0</v>
      </c>
      <c r="R43" s="1380" t="str">
        <f t="shared" si="12"/>
        <v>？</v>
      </c>
      <c r="S43" s="1827">
        <v>1</v>
      </c>
      <c r="T43" s="1380" t="str">
        <f t="shared" si="11"/>
        <v>？</v>
      </c>
    </row>
    <row r="44" spans="2:20" ht="21.75" customHeight="1" x14ac:dyDescent="0.15">
      <c r="B44" s="1380" t="str">
        <f>'1_入力シート【基本情報】'!DQ367</f>
        <v>3(4)</v>
      </c>
      <c r="C44" s="1380" t="str">
        <f>'1_入力シート【基本情報】'!AF367&amp;""</f>
        <v/>
      </c>
      <c r="D44" s="1380" t="str">
        <f>'1_入力シート【基本情報】'!BY367&amp;""</f>
        <v/>
      </c>
      <c r="F44" s="1380" t="b">
        <f t="shared" si="1"/>
        <v>1</v>
      </c>
      <c r="G44" s="1380" t="b">
        <f t="shared" si="2"/>
        <v>0</v>
      </c>
      <c r="H44" s="1380" t="b">
        <f t="shared" si="3"/>
        <v>0</v>
      </c>
      <c r="I44" s="1380" t="b">
        <f t="shared" si="4"/>
        <v>0</v>
      </c>
      <c r="J44" s="1380" t="b">
        <f t="shared" si="5"/>
        <v>0</v>
      </c>
      <c r="K44" s="1380" t="str">
        <f t="shared" si="6"/>
        <v>？</v>
      </c>
      <c r="M44" s="1380" t="b">
        <f t="shared" si="7"/>
        <v>0</v>
      </c>
      <c r="N44" s="1380" t="b">
        <f t="shared" si="8"/>
        <v>0</v>
      </c>
      <c r="O44" s="1380" t="b">
        <f t="shared" si="9"/>
        <v>0</v>
      </c>
      <c r="P44" s="1380">
        <f t="shared" si="10"/>
        <v>0</v>
      </c>
      <c r="R44" s="1380" t="str">
        <f t="shared" si="12"/>
        <v>？</v>
      </c>
      <c r="S44" s="1827">
        <v>1</v>
      </c>
      <c r="T44" s="1380" t="str">
        <f t="shared" si="11"/>
        <v>？</v>
      </c>
    </row>
    <row r="45" spans="2:20" ht="21.75" customHeight="1" x14ac:dyDescent="0.15">
      <c r="B45" s="1380" t="str">
        <f>'1_入力シート【基本情報】'!DQ368</f>
        <v>3(5)</v>
      </c>
      <c r="C45" s="1380" t="str">
        <f>'1_入力シート【基本情報】'!AF368&amp;""</f>
        <v/>
      </c>
      <c r="D45" s="1380" t="str">
        <f>'1_入力シート【基本情報】'!BY368&amp;""</f>
        <v/>
      </c>
      <c r="F45" s="1380" t="b">
        <f t="shared" si="1"/>
        <v>1</v>
      </c>
      <c r="G45" s="1380" t="b">
        <f t="shared" si="2"/>
        <v>0</v>
      </c>
      <c r="H45" s="1380" t="b">
        <f t="shared" si="3"/>
        <v>0</v>
      </c>
      <c r="I45" s="1380" t="b">
        <f t="shared" si="4"/>
        <v>0</v>
      </c>
      <c r="J45" s="1380" t="b">
        <f t="shared" si="5"/>
        <v>0</v>
      </c>
      <c r="K45" s="1380" t="str">
        <f t="shared" si="6"/>
        <v>？</v>
      </c>
      <c r="M45" s="1380" t="b">
        <f t="shared" si="7"/>
        <v>0</v>
      </c>
      <c r="N45" s="1380" t="b">
        <f t="shared" si="8"/>
        <v>0</v>
      </c>
      <c r="O45" s="1380" t="b">
        <f t="shared" si="9"/>
        <v>0</v>
      </c>
      <c r="P45" s="1380">
        <f t="shared" si="10"/>
        <v>0</v>
      </c>
      <c r="R45" s="1380" t="str">
        <f t="shared" si="12"/>
        <v>？</v>
      </c>
      <c r="S45" s="1827">
        <v>1</v>
      </c>
      <c r="T45" s="1380" t="str">
        <f t="shared" si="11"/>
        <v>？</v>
      </c>
    </row>
    <row r="46" spans="2:20" ht="21.75" customHeight="1" x14ac:dyDescent="0.15">
      <c r="B46" s="1380" t="str">
        <f>'1_入力シート【基本情報】'!DQ369</f>
        <v>3(6)</v>
      </c>
      <c r="C46" s="1380" t="str">
        <f>'1_入力シート【基本情報】'!AF369&amp;""</f>
        <v/>
      </c>
      <c r="D46" s="1380" t="str">
        <f>'1_入力シート【基本情報】'!BY369&amp;""</f>
        <v/>
      </c>
      <c r="F46" s="1380" t="b">
        <f t="shared" si="1"/>
        <v>1</v>
      </c>
      <c r="G46" s="1380" t="b">
        <f t="shared" si="2"/>
        <v>0</v>
      </c>
      <c r="H46" s="1380" t="b">
        <f t="shared" si="3"/>
        <v>0</v>
      </c>
      <c r="I46" s="1380" t="b">
        <f t="shared" si="4"/>
        <v>0</v>
      </c>
      <c r="J46" s="1380" t="b">
        <f t="shared" si="5"/>
        <v>0</v>
      </c>
      <c r="K46" s="1380" t="str">
        <f t="shared" si="6"/>
        <v>？</v>
      </c>
      <c r="M46" s="1380" t="b">
        <f t="shared" si="7"/>
        <v>0</v>
      </c>
      <c r="N46" s="1380" t="b">
        <f t="shared" si="8"/>
        <v>0</v>
      </c>
      <c r="O46" s="1380" t="b">
        <f t="shared" si="9"/>
        <v>0</v>
      </c>
      <c r="P46" s="1380">
        <f t="shared" si="10"/>
        <v>0</v>
      </c>
      <c r="R46" s="1380" t="str">
        <f t="shared" si="12"/>
        <v>？</v>
      </c>
      <c r="S46" s="1827">
        <v>1</v>
      </c>
      <c r="T46" s="1380" t="str">
        <f t="shared" si="11"/>
        <v>？</v>
      </c>
    </row>
    <row r="47" spans="2:20" ht="21.75" customHeight="1" x14ac:dyDescent="0.15">
      <c r="B47" s="1380" t="str">
        <f>'1_入力シート【基本情報】'!DQ370</f>
        <v>3(7)</v>
      </c>
      <c r="C47" s="1380" t="str">
        <f>'1_入力シート【基本情報】'!AF370&amp;""</f>
        <v/>
      </c>
      <c r="D47" s="1380" t="str">
        <f>'1_入力シート【基本情報】'!BY370&amp;""</f>
        <v/>
      </c>
      <c r="F47" s="1380" t="b">
        <f t="shared" si="1"/>
        <v>1</v>
      </c>
      <c r="G47" s="1380" t="b">
        <f t="shared" si="2"/>
        <v>0</v>
      </c>
      <c r="H47" s="1380" t="b">
        <f t="shared" si="3"/>
        <v>0</v>
      </c>
      <c r="I47" s="1380" t="b">
        <f t="shared" si="4"/>
        <v>0</v>
      </c>
      <c r="J47" s="1380" t="b">
        <f t="shared" si="5"/>
        <v>0</v>
      </c>
      <c r="K47" s="1380" t="str">
        <f t="shared" si="6"/>
        <v>？</v>
      </c>
      <c r="M47" s="1380" t="b">
        <f t="shared" si="7"/>
        <v>0</v>
      </c>
      <c r="N47" s="1380" t="b">
        <f t="shared" si="8"/>
        <v>0</v>
      </c>
      <c r="O47" s="1380" t="b">
        <f t="shared" si="9"/>
        <v>0</v>
      </c>
      <c r="P47" s="1380">
        <f t="shared" si="10"/>
        <v>0</v>
      </c>
      <c r="R47" s="1380" t="str">
        <f t="shared" si="12"/>
        <v>？</v>
      </c>
      <c r="S47" s="1827">
        <v>1</v>
      </c>
      <c r="T47" s="1380" t="str">
        <f t="shared" si="11"/>
        <v>？</v>
      </c>
    </row>
    <row r="48" spans="2:20" ht="21.75" customHeight="1" x14ac:dyDescent="0.15">
      <c r="B48" s="1380" t="str">
        <f>'1_入力シート【基本情報】'!DQ371</f>
        <v>3(8)</v>
      </c>
      <c r="C48" s="1380" t="str">
        <f>'1_入力シート【基本情報】'!AF371&amp;""</f>
        <v/>
      </c>
      <c r="D48" s="1380" t="str">
        <f>'1_入力シート【基本情報】'!BY371&amp;""</f>
        <v/>
      </c>
      <c r="F48" s="1380" t="b">
        <f t="shared" si="1"/>
        <v>1</v>
      </c>
      <c r="G48" s="1380" t="b">
        <f t="shared" si="2"/>
        <v>0</v>
      </c>
      <c r="H48" s="1380" t="b">
        <f t="shared" si="3"/>
        <v>0</v>
      </c>
      <c r="I48" s="1380" t="b">
        <f t="shared" si="4"/>
        <v>0</v>
      </c>
      <c r="J48" s="1380" t="b">
        <f t="shared" si="5"/>
        <v>0</v>
      </c>
      <c r="K48" s="1380" t="str">
        <f t="shared" si="6"/>
        <v>？</v>
      </c>
      <c r="M48" s="1380" t="b">
        <f t="shared" si="7"/>
        <v>0</v>
      </c>
      <c r="N48" s="1380" t="b">
        <f t="shared" si="8"/>
        <v>0</v>
      </c>
      <c r="O48" s="1380" t="b">
        <f t="shared" si="9"/>
        <v>0</v>
      </c>
      <c r="P48" s="1380">
        <f t="shared" si="10"/>
        <v>0</v>
      </c>
      <c r="R48" s="1380" t="str">
        <f t="shared" si="12"/>
        <v>？</v>
      </c>
      <c r="S48" s="1827">
        <v>1</v>
      </c>
      <c r="T48" s="1380" t="str">
        <f t="shared" si="11"/>
        <v>？</v>
      </c>
    </row>
    <row r="49" spans="2:20" ht="21.75" customHeight="1" x14ac:dyDescent="0.15">
      <c r="B49" s="1380" t="str">
        <f>'1_入力シート【基本情報】'!DQ372</f>
        <v>3(9)</v>
      </c>
      <c r="C49" s="1380" t="str">
        <f>'1_入力シート【基本情報】'!AF372&amp;""</f>
        <v/>
      </c>
      <c r="D49" s="1380" t="str">
        <f>'1_入力シート【基本情報】'!BY372&amp;""</f>
        <v/>
      </c>
      <c r="F49" s="1380" t="b">
        <f t="shared" si="1"/>
        <v>1</v>
      </c>
      <c r="G49" s="1380" t="b">
        <f t="shared" si="2"/>
        <v>0</v>
      </c>
      <c r="H49" s="1380" t="b">
        <f t="shared" si="3"/>
        <v>0</v>
      </c>
      <c r="I49" s="1380" t="b">
        <f t="shared" si="4"/>
        <v>0</v>
      </c>
      <c r="J49" s="1380" t="b">
        <f t="shared" si="5"/>
        <v>0</v>
      </c>
      <c r="K49" s="1380" t="str">
        <f t="shared" si="6"/>
        <v>？</v>
      </c>
      <c r="M49" s="1380" t="b">
        <f t="shared" si="7"/>
        <v>0</v>
      </c>
      <c r="N49" s="1380" t="b">
        <f t="shared" si="8"/>
        <v>0</v>
      </c>
      <c r="O49" s="1380" t="b">
        <f t="shared" si="9"/>
        <v>0</v>
      </c>
      <c r="P49" s="1380">
        <f t="shared" si="10"/>
        <v>0</v>
      </c>
      <c r="R49" s="1380" t="str">
        <f t="shared" si="12"/>
        <v>？</v>
      </c>
      <c r="S49" s="1827">
        <v>1</v>
      </c>
      <c r="T49" s="1380" t="str">
        <f t="shared" si="11"/>
        <v>？</v>
      </c>
    </row>
    <row r="50" spans="2:20" ht="21.75" customHeight="1" x14ac:dyDescent="0.15">
      <c r="B50" s="1380" t="str">
        <f>'1_入力シート【基本情報】'!DQ373</f>
        <v>3(10)</v>
      </c>
      <c r="C50" s="1380" t="str">
        <f>'1_入力シート【基本情報】'!AF373&amp;""</f>
        <v/>
      </c>
      <c r="D50" s="1380" t="str">
        <f>'1_入力シート【基本情報】'!BY373&amp;""</f>
        <v/>
      </c>
      <c r="F50" s="1380" t="b">
        <f t="shared" si="1"/>
        <v>1</v>
      </c>
      <c r="G50" s="1380" t="b">
        <f t="shared" si="2"/>
        <v>0</v>
      </c>
      <c r="H50" s="1380" t="b">
        <f t="shared" si="3"/>
        <v>0</v>
      </c>
      <c r="I50" s="1380" t="b">
        <f t="shared" si="4"/>
        <v>0</v>
      </c>
      <c r="J50" s="1380" t="b">
        <f t="shared" si="5"/>
        <v>0</v>
      </c>
      <c r="K50" s="1380" t="str">
        <f t="shared" si="6"/>
        <v>？</v>
      </c>
      <c r="M50" s="1380" t="b">
        <f t="shared" si="7"/>
        <v>0</v>
      </c>
      <c r="N50" s="1380" t="b">
        <f t="shared" si="8"/>
        <v>0</v>
      </c>
      <c r="O50" s="1380" t="b">
        <f t="shared" si="9"/>
        <v>0</v>
      </c>
      <c r="P50" s="1380">
        <f t="shared" si="10"/>
        <v>0</v>
      </c>
      <c r="R50" s="1380" t="str">
        <f t="shared" si="12"/>
        <v>？</v>
      </c>
      <c r="S50" s="1827"/>
      <c r="T50" s="1380" t="str">
        <f t="shared" si="11"/>
        <v/>
      </c>
    </row>
    <row r="51" spans="2:20" ht="21.75" customHeight="1" x14ac:dyDescent="0.15">
      <c r="B51" s="1380" t="str">
        <f>'1_入力シート【基本情報】'!DQ374</f>
        <v>3(11)</v>
      </c>
      <c r="C51" s="1380" t="str">
        <f>'1_入力シート【基本情報】'!AF374&amp;""</f>
        <v/>
      </c>
      <c r="D51" s="1380" t="str">
        <f>'1_入力シート【基本情報】'!BY374&amp;""</f>
        <v/>
      </c>
      <c r="F51" s="1380" t="b">
        <f t="shared" si="1"/>
        <v>1</v>
      </c>
      <c r="G51" s="1380" t="b">
        <f t="shared" si="2"/>
        <v>0</v>
      </c>
      <c r="H51" s="1380" t="b">
        <f t="shared" si="3"/>
        <v>0</v>
      </c>
      <c r="I51" s="1380" t="b">
        <f t="shared" si="4"/>
        <v>0</v>
      </c>
      <c r="J51" s="1380" t="b">
        <f t="shared" si="5"/>
        <v>0</v>
      </c>
      <c r="K51" s="1380" t="str">
        <f t="shared" si="6"/>
        <v>？</v>
      </c>
      <c r="M51" s="1380" t="b">
        <f t="shared" si="7"/>
        <v>0</v>
      </c>
      <c r="N51" s="1380" t="b">
        <f t="shared" si="8"/>
        <v>0</v>
      </c>
      <c r="O51" s="1380" t="b">
        <f t="shared" si="9"/>
        <v>0</v>
      </c>
      <c r="P51" s="1380">
        <f t="shared" si="10"/>
        <v>0</v>
      </c>
      <c r="R51" s="1380" t="str">
        <f t="shared" si="12"/>
        <v>？</v>
      </c>
      <c r="S51" s="1827"/>
      <c r="T51" s="1380" t="str">
        <f t="shared" si="11"/>
        <v/>
      </c>
    </row>
    <row r="52" spans="2:20" ht="21.75" customHeight="1" x14ac:dyDescent="0.15">
      <c r="B52" s="1380" t="str">
        <f>'1_入力シート【基本情報】'!DQ375</f>
        <v>3(12)</v>
      </c>
      <c r="C52" s="1380" t="str">
        <f>'1_入力シート【基本情報】'!AF375&amp;""</f>
        <v/>
      </c>
      <c r="D52" s="1380" t="str">
        <f>'1_入力シート【基本情報】'!BY375&amp;""</f>
        <v/>
      </c>
      <c r="F52" s="1380" t="b">
        <f t="shared" si="1"/>
        <v>1</v>
      </c>
      <c r="G52" s="1380" t="b">
        <f t="shared" si="2"/>
        <v>0</v>
      </c>
      <c r="H52" s="1380" t="b">
        <f t="shared" si="3"/>
        <v>0</v>
      </c>
      <c r="I52" s="1380" t="b">
        <f t="shared" si="4"/>
        <v>0</v>
      </c>
      <c r="J52" s="1380" t="b">
        <f t="shared" si="5"/>
        <v>0</v>
      </c>
      <c r="K52" s="1380" t="str">
        <f t="shared" si="6"/>
        <v>？</v>
      </c>
      <c r="M52" s="1380" t="b">
        <f t="shared" si="7"/>
        <v>0</v>
      </c>
      <c r="N52" s="1380" t="b">
        <f t="shared" si="8"/>
        <v>0</v>
      </c>
      <c r="O52" s="1380" t="b">
        <f t="shared" si="9"/>
        <v>0</v>
      </c>
      <c r="P52" s="1380">
        <f t="shared" si="10"/>
        <v>0</v>
      </c>
      <c r="R52" s="1380" t="str">
        <f t="shared" si="12"/>
        <v>？</v>
      </c>
      <c r="S52" s="1827"/>
      <c r="T52" s="1380" t="str">
        <f t="shared" si="11"/>
        <v/>
      </c>
    </row>
    <row r="53" spans="2:20" ht="21.75" customHeight="1" x14ac:dyDescent="0.15">
      <c r="B53" s="1380" t="str">
        <f>'1_入力シート【基本情報】'!DQ376</f>
        <v>3(13)</v>
      </c>
      <c r="C53" s="1380" t="str">
        <f>'1_入力シート【基本情報】'!AF376&amp;""</f>
        <v/>
      </c>
      <c r="D53" s="1380" t="str">
        <f>'1_入力シート【基本情報】'!BY376&amp;""</f>
        <v/>
      </c>
      <c r="F53" s="1380" t="b">
        <f t="shared" si="1"/>
        <v>1</v>
      </c>
      <c r="G53" s="1380" t="b">
        <f t="shared" si="2"/>
        <v>0</v>
      </c>
      <c r="H53" s="1380" t="b">
        <f t="shared" si="3"/>
        <v>0</v>
      </c>
      <c r="I53" s="1380" t="b">
        <f t="shared" si="4"/>
        <v>0</v>
      </c>
      <c r="J53" s="1380" t="b">
        <f t="shared" si="5"/>
        <v>0</v>
      </c>
      <c r="K53" s="1380" t="str">
        <f t="shared" si="6"/>
        <v>？</v>
      </c>
      <c r="M53" s="1380" t="b">
        <f t="shared" si="7"/>
        <v>0</v>
      </c>
      <c r="N53" s="1380" t="b">
        <f t="shared" si="8"/>
        <v>0</v>
      </c>
      <c r="O53" s="1380" t="b">
        <f t="shared" si="9"/>
        <v>0</v>
      </c>
      <c r="P53" s="1380">
        <f t="shared" si="10"/>
        <v>0</v>
      </c>
      <c r="R53" s="1380" t="str">
        <f t="shared" si="12"/>
        <v>？</v>
      </c>
      <c r="S53" s="1827"/>
      <c r="T53" s="1380" t="str">
        <f t="shared" si="11"/>
        <v/>
      </c>
    </row>
    <row r="54" spans="2:20" ht="21.75" customHeight="1" x14ac:dyDescent="0.15">
      <c r="B54" s="1380" t="str">
        <f>'1_入力シート【基本情報】'!DQ377</f>
        <v>3(14)</v>
      </c>
      <c r="C54" s="1380" t="str">
        <f>'1_入力シート【基本情報】'!AF377&amp;""</f>
        <v/>
      </c>
      <c r="D54" s="1380" t="str">
        <f>'1_入力シート【基本情報】'!BY377&amp;""</f>
        <v/>
      </c>
      <c r="F54" s="1380" t="b">
        <f t="shared" si="1"/>
        <v>1</v>
      </c>
      <c r="G54" s="1380" t="b">
        <f t="shared" si="2"/>
        <v>0</v>
      </c>
      <c r="H54" s="1380" t="b">
        <f t="shared" si="3"/>
        <v>0</v>
      </c>
      <c r="I54" s="1380" t="b">
        <f t="shared" si="4"/>
        <v>0</v>
      </c>
      <c r="J54" s="1380" t="b">
        <f t="shared" si="5"/>
        <v>0</v>
      </c>
      <c r="K54" s="1380" t="str">
        <f t="shared" si="6"/>
        <v>？</v>
      </c>
      <c r="M54" s="1380" t="b">
        <f t="shared" si="7"/>
        <v>0</v>
      </c>
      <c r="N54" s="1380" t="b">
        <f t="shared" si="8"/>
        <v>0</v>
      </c>
      <c r="O54" s="1380" t="b">
        <f t="shared" si="9"/>
        <v>0</v>
      </c>
      <c r="P54" s="1380">
        <f t="shared" si="10"/>
        <v>0</v>
      </c>
      <c r="R54" s="1380" t="str">
        <f t="shared" si="12"/>
        <v>？</v>
      </c>
      <c r="S54" s="1827"/>
      <c r="T54" s="1380" t="str">
        <f t="shared" si="11"/>
        <v/>
      </c>
    </row>
    <row r="55" spans="2:20" ht="21.75" customHeight="1" x14ac:dyDescent="0.15">
      <c r="B55" s="1380" t="str">
        <f>'1_入力シート【基本情報】'!DQ382</f>
        <v>4(1)</v>
      </c>
      <c r="C55" s="1380" t="str">
        <f>'1_入力シート【基本情報】'!AF382&amp;""</f>
        <v/>
      </c>
      <c r="D55" s="1380" t="str">
        <f>'1_入力シート【基本情報】'!BY382&amp;""</f>
        <v/>
      </c>
      <c r="F55" s="1380" t="b">
        <f t="shared" si="1"/>
        <v>1</v>
      </c>
      <c r="G55" s="1380" t="b">
        <f t="shared" si="2"/>
        <v>0</v>
      </c>
      <c r="H55" s="1380" t="b">
        <f t="shared" si="3"/>
        <v>0</v>
      </c>
      <c r="I55" s="1380" t="b">
        <f t="shared" si="4"/>
        <v>0</v>
      </c>
      <c r="J55" s="1380" t="b">
        <f t="shared" si="5"/>
        <v>0</v>
      </c>
      <c r="K55" s="1380" t="str">
        <f t="shared" si="6"/>
        <v>？</v>
      </c>
      <c r="M55" s="1380" t="b">
        <f t="shared" si="7"/>
        <v>0</v>
      </c>
      <c r="N55" s="1380" t="b">
        <f t="shared" si="8"/>
        <v>0</v>
      </c>
      <c r="O55" s="1380" t="b">
        <f t="shared" si="9"/>
        <v>0</v>
      </c>
      <c r="P55" s="1380">
        <f t="shared" si="10"/>
        <v>0</v>
      </c>
      <c r="R55" s="1380" t="str">
        <f t="shared" si="12"/>
        <v>？</v>
      </c>
      <c r="S55" s="1827">
        <v>1</v>
      </c>
      <c r="T55" s="1380" t="str">
        <f t="shared" si="11"/>
        <v>？</v>
      </c>
    </row>
    <row r="56" spans="2:20" ht="21.75" customHeight="1" x14ac:dyDescent="0.15">
      <c r="B56" s="1380" t="str">
        <f>'1_入力シート【基本情報】'!DQ383</f>
        <v>4(2)</v>
      </c>
      <c r="C56" s="1380" t="str">
        <f>'1_入力シート【基本情報】'!AF383&amp;""</f>
        <v/>
      </c>
      <c r="D56" s="1380" t="str">
        <f>'1_入力シート【基本情報】'!BY383&amp;""</f>
        <v/>
      </c>
      <c r="F56" s="1380" t="b">
        <f t="shared" si="1"/>
        <v>1</v>
      </c>
      <c r="G56" s="1380" t="b">
        <f t="shared" si="2"/>
        <v>0</v>
      </c>
      <c r="H56" s="1380" t="b">
        <f t="shared" si="3"/>
        <v>0</v>
      </c>
      <c r="I56" s="1380" t="b">
        <f t="shared" si="4"/>
        <v>0</v>
      </c>
      <c r="J56" s="1380" t="b">
        <f t="shared" si="5"/>
        <v>0</v>
      </c>
      <c r="K56" s="1380" t="str">
        <f t="shared" si="6"/>
        <v>？</v>
      </c>
      <c r="M56" s="1380" t="b">
        <f t="shared" si="7"/>
        <v>0</v>
      </c>
      <c r="N56" s="1380" t="b">
        <f t="shared" si="8"/>
        <v>0</v>
      </c>
      <c r="O56" s="1380" t="b">
        <f t="shared" si="9"/>
        <v>0</v>
      </c>
      <c r="P56" s="1380">
        <f t="shared" si="10"/>
        <v>0</v>
      </c>
      <c r="R56" s="1380" t="str">
        <f t="shared" si="12"/>
        <v>？</v>
      </c>
      <c r="S56" s="1827">
        <v>1</v>
      </c>
      <c r="T56" s="1380" t="str">
        <f t="shared" si="11"/>
        <v>？</v>
      </c>
    </row>
    <row r="57" spans="2:20" ht="21.75" customHeight="1" x14ac:dyDescent="0.15">
      <c r="B57" s="1380" t="str">
        <f>'1_入力シート【基本情報】'!DQ384</f>
        <v>4(3)</v>
      </c>
      <c r="C57" s="1380" t="str">
        <f>'1_入力シート【基本情報】'!AF384&amp;""</f>
        <v/>
      </c>
      <c r="D57" s="1380" t="str">
        <f>'1_入力シート【基本情報】'!BY384&amp;""</f>
        <v/>
      </c>
      <c r="F57" s="1380" t="b">
        <f t="shared" ref="F57:F116" si="13">C57=""</f>
        <v>1</v>
      </c>
      <c r="G57" s="1380" t="b">
        <f t="shared" ref="G57:G116" si="14">C57=$G$3</f>
        <v>0</v>
      </c>
      <c r="H57" s="1380" t="b">
        <f t="shared" ref="H57:H116" si="15">C57=$H$3</f>
        <v>0</v>
      </c>
      <c r="I57" s="1380" t="b">
        <f t="shared" ref="I57:I116" si="16">C57=$I$3</f>
        <v>0</v>
      </c>
      <c r="J57" s="1380" t="b">
        <f t="shared" ref="J57:J116" si="17">C57=$J$3</f>
        <v>0</v>
      </c>
      <c r="K57" s="1380" t="str">
        <f t="shared" ref="K57:K116" si="18">IF(J57,$J$2,IF(I57,$I$2,IF(H57,$H$2,IF(G57,$G$2,IF(F57,$F$2,"エラー")))))</f>
        <v>？</v>
      </c>
      <c r="M57" s="1380" t="b">
        <f t="shared" ref="M57:M116" si="19">D57=$M$3</f>
        <v>0</v>
      </c>
      <c r="N57" s="1380" t="b">
        <f t="shared" ref="N57:N116" si="20">D57=$N$3</f>
        <v>0</v>
      </c>
      <c r="O57" s="1380" t="b">
        <f t="shared" ref="O57:O116" si="21">D57=$O$3</f>
        <v>0</v>
      </c>
      <c r="P57" s="1380">
        <f t="shared" ref="P57:P116" si="22">-(M57*4+N57*2+O57)</f>
        <v>0</v>
      </c>
      <c r="R57" s="1380" t="str">
        <f t="shared" si="12"/>
        <v>？</v>
      </c>
      <c r="S57" s="1827">
        <v>1</v>
      </c>
      <c r="T57" s="1380" t="str">
        <f t="shared" si="11"/>
        <v>？</v>
      </c>
    </row>
    <row r="58" spans="2:20" ht="21.75" customHeight="1" x14ac:dyDescent="0.15">
      <c r="B58" s="1380" t="str">
        <f>'1_入力シート【基本情報】'!DQ385</f>
        <v>4(4)</v>
      </c>
      <c r="C58" s="1380" t="str">
        <f>'1_入力シート【基本情報】'!AF385&amp;""</f>
        <v/>
      </c>
      <c r="D58" s="1380" t="str">
        <f>'1_入力シート【基本情報】'!BY385&amp;""</f>
        <v/>
      </c>
      <c r="F58" s="1380" t="b">
        <f t="shared" si="13"/>
        <v>1</v>
      </c>
      <c r="G58" s="1380" t="b">
        <f t="shared" si="14"/>
        <v>0</v>
      </c>
      <c r="H58" s="1380" t="b">
        <f t="shared" si="15"/>
        <v>0</v>
      </c>
      <c r="I58" s="1380" t="b">
        <f t="shared" si="16"/>
        <v>0</v>
      </c>
      <c r="J58" s="1380" t="b">
        <f t="shared" si="17"/>
        <v>0</v>
      </c>
      <c r="K58" s="1380" t="str">
        <f t="shared" si="18"/>
        <v>？</v>
      </c>
      <c r="M58" s="1380" t="b">
        <f t="shared" si="19"/>
        <v>0</v>
      </c>
      <c r="N58" s="1380" t="b">
        <f t="shared" si="20"/>
        <v>0</v>
      </c>
      <c r="O58" s="1380" t="b">
        <f t="shared" si="21"/>
        <v>0</v>
      </c>
      <c r="P58" s="1380">
        <f t="shared" si="22"/>
        <v>0</v>
      </c>
      <c r="R58" s="1380" t="str">
        <f t="shared" si="12"/>
        <v>？</v>
      </c>
      <c r="S58" s="1827">
        <v>1</v>
      </c>
      <c r="T58" s="1380" t="str">
        <f t="shared" si="11"/>
        <v>？</v>
      </c>
    </row>
    <row r="59" spans="2:20" ht="21.75" customHeight="1" x14ac:dyDescent="0.15">
      <c r="B59" s="1380" t="str">
        <f>'1_入力シート【基本情報】'!DQ386</f>
        <v>4(5)</v>
      </c>
      <c r="C59" s="1380" t="str">
        <f>'1_入力シート【基本情報】'!AF386&amp;""</f>
        <v/>
      </c>
      <c r="D59" s="1380" t="str">
        <f>'1_入力シート【基本情報】'!BY386&amp;""</f>
        <v/>
      </c>
      <c r="F59" s="1380" t="b">
        <f t="shared" si="13"/>
        <v>1</v>
      </c>
      <c r="G59" s="1380" t="b">
        <f t="shared" si="14"/>
        <v>0</v>
      </c>
      <c r="H59" s="1380" t="b">
        <f t="shared" si="15"/>
        <v>0</v>
      </c>
      <c r="I59" s="1380" t="b">
        <f t="shared" si="16"/>
        <v>0</v>
      </c>
      <c r="J59" s="1380" t="b">
        <f t="shared" si="17"/>
        <v>0</v>
      </c>
      <c r="K59" s="1380" t="str">
        <f t="shared" si="18"/>
        <v>？</v>
      </c>
      <c r="M59" s="1380" t="b">
        <f t="shared" si="19"/>
        <v>0</v>
      </c>
      <c r="N59" s="1380" t="b">
        <f t="shared" si="20"/>
        <v>0</v>
      </c>
      <c r="O59" s="1380" t="b">
        <f t="shared" si="21"/>
        <v>0</v>
      </c>
      <c r="P59" s="1380">
        <f t="shared" si="22"/>
        <v>0</v>
      </c>
      <c r="R59" s="1380" t="str">
        <f t="shared" si="12"/>
        <v>？</v>
      </c>
      <c r="S59" s="1827">
        <v>1</v>
      </c>
      <c r="T59" s="1380" t="str">
        <f t="shared" si="11"/>
        <v>？</v>
      </c>
    </row>
    <row r="60" spans="2:20" ht="21.75" customHeight="1" x14ac:dyDescent="0.15">
      <c r="B60" s="1380" t="str">
        <f>'1_入力シート【基本情報】'!DQ387</f>
        <v>4(6)</v>
      </c>
      <c r="C60" s="1380" t="str">
        <f>'1_入力シート【基本情報】'!AF387&amp;""</f>
        <v/>
      </c>
      <c r="D60" s="1380" t="str">
        <f>'1_入力シート【基本情報】'!BY387&amp;""</f>
        <v/>
      </c>
      <c r="F60" s="1380" t="b">
        <f t="shared" si="13"/>
        <v>1</v>
      </c>
      <c r="G60" s="1380" t="b">
        <f t="shared" si="14"/>
        <v>0</v>
      </c>
      <c r="H60" s="1380" t="b">
        <f t="shared" si="15"/>
        <v>0</v>
      </c>
      <c r="I60" s="1380" t="b">
        <f t="shared" si="16"/>
        <v>0</v>
      </c>
      <c r="J60" s="1380" t="b">
        <f t="shared" si="17"/>
        <v>0</v>
      </c>
      <c r="K60" s="1380" t="str">
        <f t="shared" si="18"/>
        <v>？</v>
      </c>
      <c r="M60" s="1380" t="b">
        <f t="shared" si="19"/>
        <v>0</v>
      </c>
      <c r="N60" s="1380" t="b">
        <f t="shared" si="20"/>
        <v>0</v>
      </c>
      <c r="O60" s="1380" t="b">
        <f t="shared" si="21"/>
        <v>0</v>
      </c>
      <c r="P60" s="1380">
        <f t="shared" si="22"/>
        <v>0</v>
      </c>
      <c r="R60" s="1380" t="str">
        <f t="shared" si="12"/>
        <v>？</v>
      </c>
      <c r="S60" s="1827">
        <v>1</v>
      </c>
      <c r="T60" s="1380" t="str">
        <f t="shared" si="11"/>
        <v>？</v>
      </c>
    </row>
    <row r="61" spans="2:20" ht="21.75" customHeight="1" x14ac:dyDescent="0.15">
      <c r="B61" s="1380" t="str">
        <f>'1_入力シート【基本情報】'!DQ388</f>
        <v>4(7)</v>
      </c>
      <c r="C61" s="1380" t="str">
        <f>'1_入力シート【基本情報】'!AF388&amp;""</f>
        <v/>
      </c>
      <c r="D61" s="1380" t="str">
        <f>'1_入力シート【基本情報】'!BY388&amp;""</f>
        <v/>
      </c>
      <c r="F61" s="1380" t="b">
        <f t="shared" si="13"/>
        <v>1</v>
      </c>
      <c r="G61" s="1380" t="b">
        <f t="shared" si="14"/>
        <v>0</v>
      </c>
      <c r="H61" s="1380" t="b">
        <f t="shared" si="15"/>
        <v>0</v>
      </c>
      <c r="I61" s="1380" t="b">
        <f t="shared" si="16"/>
        <v>0</v>
      </c>
      <c r="J61" s="1380" t="b">
        <f t="shared" si="17"/>
        <v>0</v>
      </c>
      <c r="K61" s="1380" t="str">
        <f t="shared" si="18"/>
        <v>？</v>
      </c>
      <c r="M61" s="1380" t="b">
        <f t="shared" si="19"/>
        <v>0</v>
      </c>
      <c r="N61" s="1380" t="b">
        <f t="shared" si="20"/>
        <v>0</v>
      </c>
      <c r="O61" s="1380" t="b">
        <f t="shared" si="21"/>
        <v>0</v>
      </c>
      <c r="P61" s="1380">
        <f t="shared" si="22"/>
        <v>0</v>
      </c>
      <c r="R61" s="1380" t="str">
        <f t="shared" si="12"/>
        <v>？</v>
      </c>
      <c r="S61" s="1827">
        <v>1</v>
      </c>
      <c r="T61" s="1380" t="str">
        <f t="shared" si="11"/>
        <v>？</v>
      </c>
    </row>
    <row r="62" spans="2:20" ht="21.75" customHeight="1" x14ac:dyDescent="0.15">
      <c r="B62" s="1380" t="str">
        <f>'1_入力シート【基本情報】'!DQ389</f>
        <v>4(8)</v>
      </c>
      <c r="C62" s="1380" t="str">
        <f>'1_入力シート【基本情報】'!AF389&amp;""</f>
        <v/>
      </c>
      <c r="D62" s="1380" t="str">
        <f>'1_入力シート【基本情報】'!BY389&amp;""</f>
        <v/>
      </c>
      <c r="F62" s="1380" t="b">
        <f t="shared" si="13"/>
        <v>1</v>
      </c>
      <c r="G62" s="1380" t="b">
        <f t="shared" si="14"/>
        <v>0</v>
      </c>
      <c r="H62" s="1380" t="b">
        <f t="shared" si="15"/>
        <v>0</v>
      </c>
      <c r="I62" s="1380" t="b">
        <f t="shared" si="16"/>
        <v>0</v>
      </c>
      <c r="J62" s="1380" t="b">
        <f t="shared" si="17"/>
        <v>0</v>
      </c>
      <c r="K62" s="1380" t="str">
        <f t="shared" si="18"/>
        <v>？</v>
      </c>
      <c r="M62" s="1380" t="b">
        <f t="shared" si="19"/>
        <v>0</v>
      </c>
      <c r="N62" s="1380" t="b">
        <f t="shared" si="20"/>
        <v>0</v>
      </c>
      <c r="O62" s="1380" t="b">
        <f t="shared" si="21"/>
        <v>0</v>
      </c>
      <c r="P62" s="1380">
        <f t="shared" si="22"/>
        <v>0</v>
      </c>
      <c r="R62" s="1380" t="str">
        <f t="shared" si="12"/>
        <v>？</v>
      </c>
      <c r="S62" s="1827">
        <v>1</v>
      </c>
      <c r="T62" s="1380" t="str">
        <f t="shared" si="11"/>
        <v>？</v>
      </c>
    </row>
    <row r="63" spans="2:20" ht="21.75" customHeight="1" x14ac:dyDescent="0.15">
      <c r="B63" s="1380" t="str">
        <f>'1_入力シート【基本情報】'!DQ390</f>
        <v>4(9)</v>
      </c>
      <c r="C63" s="1380" t="str">
        <f>'1_入力シート【基本情報】'!AF390&amp;""</f>
        <v/>
      </c>
      <c r="D63" s="1380" t="str">
        <f>'1_入力シート【基本情報】'!BY390&amp;""</f>
        <v/>
      </c>
      <c r="F63" s="1380" t="b">
        <f t="shared" si="13"/>
        <v>1</v>
      </c>
      <c r="G63" s="1380" t="b">
        <f t="shared" si="14"/>
        <v>0</v>
      </c>
      <c r="H63" s="1380" t="b">
        <f t="shared" si="15"/>
        <v>0</v>
      </c>
      <c r="I63" s="1380" t="b">
        <f t="shared" si="16"/>
        <v>0</v>
      </c>
      <c r="J63" s="1380" t="b">
        <f t="shared" si="17"/>
        <v>0</v>
      </c>
      <c r="K63" s="1380" t="str">
        <f t="shared" si="18"/>
        <v>？</v>
      </c>
      <c r="M63" s="1380" t="b">
        <f t="shared" si="19"/>
        <v>0</v>
      </c>
      <c r="N63" s="1380" t="b">
        <f t="shared" si="20"/>
        <v>0</v>
      </c>
      <c r="O63" s="1380" t="b">
        <f t="shared" si="21"/>
        <v>0</v>
      </c>
      <c r="P63" s="1380">
        <f t="shared" si="22"/>
        <v>0</v>
      </c>
      <c r="R63" s="1380" t="str">
        <f t="shared" si="12"/>
        <v>？</v>
      </c>
      <c r="S63" s="1827">
        <v>1</v>
      </c>
      <c r="T63" s="1380" t="str">
        <f t="shared" si="11"/>
        <v>？</v>
      </c>
    </row>
    <row r="64" spans="2:20" ht="21.75" customHeight="1" x14ac:dyDescent="0.15">
      <c r="B64" s="1380" t="str">
        <f>'1_入力シート【基本情報】'!DQ391</f>
        <v>4(10)</v>
      </c>
      <c r="C64" s="1380" t="str">
        <f>'1_入力シート【基本情報】'!AF391&amp;""</f>
        <v/>
      </c>
      <c r="D64" s="1380" t="str">
        <f>'1_入力シート【基本情報】'!BY391&amp;""</f>
        <v/>
      </c>
      <c r="F64" s="1380" t="b">
        <f t="shared" si="13"/>
        <v>1</v>
      </c>
      <c r="G64" s="1380" t="b">
        <f t="shared" si="14"/>
        <v>0</v>
      </c>
      <c r="H64" s="1380" t="b">
        <f t="shared" si="15"/>
        <v>0</v>
      </c>
      <c r="I64" s="1380" t="b">
        <f t="shared" si="16"/>
        <v>0</v>
      </c>
      <c r="J64" s="1380" t="b">
        <f t="shared" si="17"/>
        <v>0</v>
      </c>
      <c r="K64" s="1380" t="str">
        <f t="shared" si="18"/>
        <v>？</v>
      </c>
      <c r="M64" s="1380" t="b">
        <f t="shared" si="19"/>
        <v>0</v>
      </c>
      <c r="N64" s="1380" t="b">
        <f t="shared" si="20"/>
        <v>0</v>
      </c>
      <c r="O64" s="1380" t="b">
        <f t="shared" si="21"/>
        <v>0</v>
      </c>
      <c r="P64" s="1380">
        <f t="shared" si="22"/>
        <v>0</v>
      </c>
      <c r="R64" s="1380" t="str">
        <f t="shared" si="12"/>
        <v>？</v>
      </c>
      <c r="S64" s="1827">
        <v>1</v>
      </c>
      <c r="T64" s="1380" t="str">
        <f t="shared" si="11"/>
        <v>？</v>
      </c>
    </row>
    <row r="65" spans="2:20" ht="21.75" customHeight="1" x14ac:dyDescent="0.15">
      <c r="B65" s="1380" t="str">
        <f>'1_入力シート【基本情報】'!DQ392</f>
        <v>4(11)</v>
      </c>
      <c r="C65" s="1380" t="str">
        <f>'1_入力シート【基本情報】'!AF392&amp;""</f>
        <v/>
      </c>
      <c r="D65" s="1380" t="str">
        <f>'1_入力シート【基本情報】'!BY392&amp;""</f>
        <v/>
      </c>
      <c r="F65" s="1380" t="b">
        <f t="shared" si="13"/>
        <v>1</v>
      </c>
      <c r="G65" s="1380" t="b">
        <f t="shared" si="14"/>
        <v>0</v>
      </c>
      <c r="H65" s="1380" t="b">
        <f t="shared" si="15"/>
        <v>0</v>
      </c>
      <c r="I65" s="1380" t="b">
        <f t="shared" si="16"/>
        <v>0</v>
      </c>
      <c r="J65" s="1380" t="b">
        <f t="shared" si="17"/>
        <v>0</v>
      </c>
      <c r="K65" s="1380" t="str">
        <f t="shared" si="18"/>
        <v>？</v>
      </c>
      <c r="M65" s="1380" t="b">
        <f t="shared" si="19"/>
        <v>0</v>
      </c>
      <c r="N65" s="1380" t="b">
        <f t="shared" si="20"/>
        <v>0</v>
      </c>
      <c r="O65" s="1380" t="b">
        <f t="shared" si="21"/>
        <v>0</v>
      </c>
      <c r="P65" s="1380">
        <f t="shared" si="22"/>
        <v>0</v>
      </c>
      <c r="R65" s="1380" t="str">
        <f t="shared" si="12"/>
        <v>？</v>
      </c>
      <c r="S65" s="1827">
        <v>1</v>
      </c>
      <c r="T65" s="1380" t="str">
        <f t="shared" si="11"/>
        <v>？</v>
      </c>
    </row>
    <row r="66" spans="2:20" ht="21.75" customHeight="1" x14ac:dyDescent="0.15">
      <c r="B66" s="1380" t="str">
        <f>'1_入力シート【基本情報】'!DQ393</f>
        <v>4(12)</v>
      </c>
      <c r="C66" s="1380" t="str">
        <f>'1_入力シート【基本情報】'!AF393&amp;""</f>
        <v/>
      </c>
      <c r="D66" s="1380" t="str">
        <f>'1_入力シート【基本情報】'!BY393&amp;""</f>
        <v/>
      </c>
      <c r="F66" s="1380" t="b">
        <f t="shared" si="13"/>
        <v>1</v>
      </c>
      <c r="G66" s="1380" t="b">
        <f t="shared" si="14"/>
        <v>0</v>
      </c>
      <c r="H66" s="1380" t="b">
        <f t="shared" si="15"/>
        <v>0</v>
      </c>
      <c r="I66" s="1380" t="b">
        <f t="shared" si="16"/>
        <v>0</v>
      </c>
      <c r="J66" s="1380" t="b">
        <f t="shared" si="17"/>
        <v>0</v>
      </c>
      <c r="K66" s="1380" t="str">
        <f t="shared" si="18"/>
        <v>？</v>
      </c>
      <c r="M66" s="1380" t="b">
        <f t="shared" si="19"/>
        <v>0</v>
      </c>
      <c r="N66" s="1380" t="b">
        <f t="shared" si="20"/>
        <v>0</v>
      </c>
      <c r="O66" s="1380" t="b">
        <f t="shared" si="21"/>
        <v>0</v>
      </c>
      <c r="P66" s="1380">
        <f t="shared" si="22"/>
        <v>0</v>
      </c>
      <c r="R66" s="1380" t="str">
        <f t="shared" si="12"/>
        <v>？</v>
      </c>
      <c r="S66" s="1827">
        <v>1</v>
      </c>
      <c r="T66" s="1380" t="str">
        <f t="shared" si="11"/>
        <v>？</v>
      </c>
    </row>
    <row r="67" spans="2:20" ht="21.75" customHeight="1" x14ac:dyDescent="0.15">
      <c r="B67" s="1380" t="str">
        <f>'1_入力シート【基本情報】'!DQ394</f>
        <v>4(13)</v>
      </c>
      <c r="C67" s="1380" t="str">
        <f>'1_入力シート【基本情報】'!AF394&amp;""</f>
        <v/>
      </c>
      <c r="D67" s="1380" t="str">
        <f>'1_入力シート【基本情報】'!BY394&amp;""</f>
        <v/>
      </c>
      <c r="F67" s="1380" t="b">
        <f t="shared" si="13"/>
        <v>1</v>
      </c>
      <c r="G67" s="1380" t="b">
        <f t="shared" si="14"/>
        <v>0</v>
      </c>
      <c r="H67" s="1380" t="b">
        <f t="shared" si="15"/>
        <v>0</v>
      </c>
      <c r="I67" s="1380" t="b">
        <f t="shared" si="16"/>
        <v>0</v>
      </c>
      <c r="J67" s="1380" t="b">
        <f t="shared" si="17"/>
        <v>0</v>
      </c>
      <c r="K67" s="1380" t="str">
        <f t="shared" si="18"/>
        <v>？</v>
      </c>
      <c r="M67" s="1380" t="b">
        <f t="shared" si="19"/>
        <v>0</v>
      </c>
      <c r="N67" s="1380" t="b">
        <f t="shared" si="20"/>
        <v>0</v>
      </c>
      <c r="O67" s="1380" t="b">
        <f t="shared" si="21"/>
        <v>0</v>
      </c>
      <c r="P67" s="1380">
        <f t="shared" si="22"/>
        <v>0</v>
      </c>
      <c r="R67" s="1380" t="str">
        <f t="shared" si="12"/>
        <v>？</v>
      </c>
      <c r="S67" s="1827">
        <v>1</v>
      </c>
      <c r="T67" s="1380" t="str">
        <f t="shared" si="11"/>
        <v>？</v>
      </c>
    </row>
    <row r="68" spans="2:20" ht="21.75" customHeight="1" x14ac:dyDescent="0.15">
      <c r="B68" s="1380" t="str">
        <f>'1_入力シート【基本情報】'!DQ395</f>
        <v>4(14)</v>
      </c>
      <c r="C68" s="1380" t="str">
        <f>'1_入力シート【基本情報】'!AF395&amp;""</f>
        <v/>
      </c>
      <c r="D68" s="1380" t="str">
        <f>'1_入力シート【基本情報】'!BY395&amp;""</f>
        <v/>
      </c>
      <c r="F68" s="1380" t="b">
        <f t="shared" si="13"/>
        <v>1</v>
      </c>
      <c r="G68" s="1380" t="b">
        <f t="shared" si="14"/>
        <v>0</v>
      </c>
      <c r="H68" s="1380" t="b">
        <f t="shared" si="15"/>
        <v>0</v>
      </c>
      <c r="I68" s="1380" t="b">
        <f t="shared" si="16"/>
        <v>0</v>
      </c>
      <c r="J68" s="1380" t="b">
        <f t="shared" si="17"/>
        <v>0</v>
      </c>
      <c r="K68" s="1380" t="str">
        <f t="shared" si="18"/>
        <v>？</v>
      </c>
      <c r="M68" s="1380" t="b">
        <f t="shared" si="19"/>
        <v>0</v>
      </c>
      <c r="N68" s="1380" t="b">
        <f t="shared" si="20"/>
        <v>0</v>
      </c>
      <c r="O68" s="1380" t="b">
        <f t="shared" si="21"/>
        <v>0</v>
      </c>
      <c r="P68" s="1380">
        <f t="shared" si="22"/>
        <v>0</v>
      </c>
      <c r="R68" s="1380" t="str">
        <f t="shared" ref="R68:R99" si="23">INDEX($H$192:$M$199,MATCH(P68,$F$192:$F$199,0),MATCH(K68,$H$191:$M$191,0))</f>
        <v>？</v>
      </c>
      <c r="S68" s="1827">
        <v>1</v>
      </c>
      <c r="T68" s="1380" t="str">
        <f t="shared" si="11"/>
        <v>？</v>
      </c>
    </row>
    <row r="69" spans="2:20" ht="21.75" customHeight="1" x14ac:dyDescent="0.15">
      <c r="B69" s="1380" t="str">
        <f>'1_入力シート【基本情報】'!DQ396</f>
        <v>4(15)</v>
      </c>
      <c r="C69" s="1380" t="str">
        <f>'1_入力シート【基本情報】'!AF396&amp;""</f>
        <v/>
      </c>
      <c r="D69" s="1380" t="str">
        <f>'1_入力シート【基本情報】'!BY396&amp;""</f>
        <v/>
      </c>
      <c r="F69" s="1380" t="b">
        <f t="shared" si="13"/>
        <v>1</v>
      </c>
      <c r="G69" s="1380" t="b">
        <f t="shared" si="14"/>
        <v>0</v>
      </c>
      <c r="H69" s="1380" t="b">
        <f t="shared" si="15"/>
        <v>0</v>
      </c>
      <c r="I69" s="1380" t="b">
        <f t="shared" si="16"/>
        <v>0</v>
      </c>
      <c r="J69" s="1380" t="b">
        <f t="shared" si="17"/>
        <v>0</v>
      </c>
      <c r="K69" s="1380" t="str">
        <f t="shared" si="18"/>
        <v>？</v>
      </c>
      <c r="M69" s="1380" t="b">
        <f t="shared" si="19"/>
        <v>0</v>
      </c>
      <c r="N69" s="1380" t="b">
        <f t="shared" si="20"/>
        <v>0</v>
      </c>
      <c r="O69" s="1380" t="b">
        <f t="shared" si="21"/>
        <v>0</v>
      </c>
      <c r="P69" s="1380">
        <f t="shared" si="22"/>
        <v>0</v>
      </c>
      <c r="R69" s="1380" t="str">
        <f t="shared" si="23"/>
        <v>？</v>
      </c>
      <c r="S69" s="1827">
        <v>1</v>
      </c>
      <c r="T69" s="1380" t="str">
        <f t="shared" ref="T69:T132" si="24">IF(S69=1,R69,"")</f>
        <v>？</v>
      </c>
    </row>
    <row r="70" spans="2:20" ht="21.75" customHeight="1" x14ac:dyDescent="0.15">
      <c r="B70" s="1380" t="str">
        <f>'1_入力シート【基本情報】'!DQ397</f>
        <v>4(16)</v>
      </c>
      <c r="C70" s="1380" t="str">
        <f>'1_入力シート【基本情報】'!AF397&amp;""</f>
        <v/>
      </c>
      <c r="D70" s="1380" t="str">
        <f>'1_入力シート【基本情報】'!BY397&amp;""</f>
        <v/>
      </c>
      <c r="F70" s="1380" t="b">
        <f t="shared" si="13"/>
        <v>1</v>
      </c>
      <c r="G70" s="1380" t="b">
        <f t="shared" si="14"/>
        <v>0</v>
      </c>
      <c r="H70" s="1380" t="b">
        <f t="shared" si="15"/>
        <v>0</v>
      </c>
      <c r="I70" s="1380" t="b">
        <f t="shared" si="16"/>
        <v>0</v>
      </c>
      <c r="J70" s="1380" t="b">
        <f t="shared" si="17"/>
        <v>0</v>
      </c>
      <c r="K70" s="1380" t="str">
        <f t="shared" si="18"/>
        <v>？</v>
      </c>
      <c r="M70" s="1380" t="b">
        <f t="shared" si="19"/>
        <v>0</v>
      </c>
      <c r="N70" s="1380" t="b">
        <f t="shared" si="20"/>
        <v>0</v>
      </c>
      <c r="O70" s="1380" t="b">
        <f t="shared" si="21"/>
        <v>0</v>
      </c>
      <c r="P70" s="1380">
        <f t="shared" si="22"/>
        <v>0</v>
      </c>
      <c r="R70" s="1380" t="str">
        <f t="shared" si="23"/>
        <v>？</v>
      </c>
      <c r="S70" s="1827">
        <v>1</v>
      </c>
      <c r="T70" s="1380" t="str">
        <f t="shared" si="24"/>
        <v>？</v>
      </c>
    </row>
    <row r="71" spans="2:20" ht="21.75" customHeight="1" x14ac:dyDescent="0.15">
      <c r="B71" s="1380" t="str">
        <f>'1_入力シート【基本情報】'!DQ398</f>
        <v>4(17)</v>
      </c>
      <c r="C71" s="1380" t="str">
        <f>'1_入力シート【基本情報】'!AF398&amp;""</f>
        <v/>
      </c>
      <c r="D71" s="1380" t="str">
        <f>'1_入力シート【基本情報】'!BY398&amp;""</f>
        <v/>
      </c>
      <c r="F71" s="1380" t="b">
        <f t="shared" si="13"/>
        <v>1</v>
      </c>
      <c r="G71" s="1380" t="b">
        <f t="shared" si="14"/>
        <v>0</v>
      </c>
      <c r="H71" s="1380" t="b">
        <f t="shared" si="15"/>
        <v>0</v>
      </c>
      <c r="I71" s="1380" t="b">
        <f t="shared" si="16"/>
        <v>0</v>
      </c>
      <c r="J71" s="1380" t="b">
        <f t="shared" si="17"/>
        <v>0</v>
      </c>
      <c r="K71" s="1380" t="str">
        <f t="shared" si="18"/>
        <v>？</v>
      </c>
      <c r="M71" s="1380" t="b">
        <f t="shared" si="19"/>
        <v>0</v>
      </c>
      <c r="N71" s="1380" t="b">
        <f t="shared" si="20"/>
        <v>0</v>
      </c>
      <c r="O71" s="1380" t="b">
        <f t="shared" si="21"/>
        <v>0</v>
      </c>
      <c r="P71" s="1380">
        <f t="shared" si="22"/>
        <v>0</v>
      </c>
      <c r="R71" s="1380" t="str">
        <f t="shared" si="23"/>
        <v>？</v>
      </c>
      <c r="S71" s="1827">
        <v>1</v>
      </c>
      <c r="T71" s="1380" t="str">
        <f t="shared" si="24"/>
        <v>？</v>
      </c>
    </row>
    <row r="72" spans="2:20" ht="21.75" customHeight="1" x14ac:dyDescent="0.15">
      <c r="B72" s="1380" t="str">
        <f>'1_入力シート【基本情報】'!DQ399</f>
        <v>4(18)</v>
      </c>
      <c r="C72" s="1380" t="str">
        <f>'1_入力シート【基本情報】'!AF399&amp;""</f>
        <v/>
      </c>
      <c r="D72" s="1380" t="str">
        <f>'1_入力シート【基本情報】'!BY399&amp;""</f>
        <v/>
      </c>
      <c r="F72" s="1380" t="b">
        <f t="shared" si="13"/>
        <v>1</v>
      </c>
      <c r="G72" s="1380" t="b">
        <f t="shared" si="14"/>
        <v>0</v>
      </c>
      <c r="H72" s="1380" t="b">
        <f t="shared" si="15"/>
        <v>0</v>
      </c>
      <c r="I72" s="1380" t="b">
        <f t="shared" si="16"/>
        <v>0</v>
      </c>
      <c r="J72" s="1380" t="b">
        <f t="shared" si="17"/>
        <v>0</v>
      </c>
      <c r="K72" s="1380" t="str">
        <f t="shared" si="18"/>
        <v>？</v>
      </c>
      <c r="M72" s="1380" t="b">
        <f t="shared" si="19"/>
        <v>0</v>
      </c>
      <c r="N72" s="1380" t="b">
        <f t="shared" si="20"/>
        <v>0</v>
      </c>
      <c r="O72" s="1380" t="b">
        <f t="shared" si="21"/>
        <v>0</v>
      </c>
      <c r="P72" s="1380">
        <f t="shared" si="22"/>
        <v>0</v>
      </c>
      <c r="R72" s="1380" t="str">
        <f t="shared" si="23"/>
        <v>？</v>
      </c>
      <c r="S72" s="1827">
        <v>1</v>
      </c>
      <c r="T72" s="1380" t="str">
        <f t="shared" si="24"/>
        <v>？</v>
      </c>
    </row>
    <row r="73" spans="2:20" ht="21.75" customHeight="1" x14ac:dyDescent="0.15">
      <c r="B73" s="1380" t="str">
        <f>'1_入力シート【基本情報】'!DQ400</f>
        <v>4(19)</v>
      </c>
      <c r="C73" s="1380" t="str">
        <f>'1_入力シート【基本情報】'!AF400&amp;""</f>
        <v/>
      </c>
      <c r="D73" s="1380" t="str">
        <f>'1_入力シート【基本情報】'!BY400&amp;""</f>
        <v/>
      </c>
      <c r="F73" s="1380" t="b">
        <f t="shared" si="13"/>
        <v>1</v>
      </c>
      <c r="G73" s="1380" t="b">
        <f t="shared" si="14"/>
        <v>0</v>
      </c>
      <c r="H73" s="1380" t="b">
        <f t="shared" si="15"/>
        <v>0</v>
      </c>
      <c r="I73" s="1380" t="b">
        <f t="shared" si="16"/>
        <v>0</v>
      </c>
      <c r="J73" s="1380" t="b">
        <f t="shared" si="17"/>
        <v>0</v>
      </c>
      <c r="K73" s="1380" t="str">
        <f t="shared" si="18"/>
        <v>？</v>
      </c>
      <c r="M73" s="1380" t="b">
        <f t="shared" si="19"/>
        <v>0</v>
      </c>
      <c r="N73" s="1380" t="b">
        <f t="shared" si="20"/>
        <v>0</v>
      </c>
      <c r="O73" s="1380" t="b">
        <f t="shared" si="21"/>
        <v>0</v>
      </c>
      <c r="P73" s="1380">
        <f t="shared" si="22"/>
        <v>0</v>
      </c>
      <c r="R73" s="1380" t="str">
        <f t="shared" si="23"/>
        <v>？</v>
      </c>
      <c r="S73" s="1827">
        <v>1</v>
      </c>
      <c r="T73" s="1380" t="str">
        <f t="shared" si="24"/>
        <v>？</v>
      </c>
    </row>
    <row r="74" spans="2:20" ht="21.75" customHeight="1" x14ac:dyDescent="0.15">
      <c r="B74" s="1380" t="str">
        <f>'1_入力シート【基本情報】'!DQ401</f>
        <v>4(20)</v>
      </c>
      <c r="C74" s="1380" t="str">
        <f>'1_入力シート【基本情報】'!AF401&amp;""</f>
        <v/>
      </c>
      <c r="D74" s="1380" t="str">
        <f>'1_入力シート【基本情報】'!BY401&amp;""</f>
        <v/>
      </c>
      <c r="F74" s="1380" t="b">
        <f t="shared" si="13"/>
        <v>1</v>
      </c>
      <c r="G74" s="1380" t="b">
        <f t="shared" si="14"/>
        <v>0</v>
      </c>
      <c r="H74" s="1380" t="b">
        <f t="shared" si="15"/>
        <v>0</v>
      </c>
      <c r="I74" s="1380" t="b">
        <f t="shared" si="16"/>
        <v>0</v>
      </c>
      <c r="J74" s="1380" t="b">
        <f t="shared" si="17"/>
        <v>0</v>
      </c>
      <c r="K74" s="1380" t="str">
        <f t="shared" si="18"/>
        <v>？</v>
      </c>
      <c r="M74" s="1380" t="b">
        <f t="shared" si="19"/>
        <v>0</v>
      </c>
      <c r="N74" s="1380" t="b">
        <f t="shared" si="20"/>
        <v>0</v>
      </c>
      <c r="O74" s="1380" t="b">
        <f t="shared" si="21"/>
        <v>0</v>
      </c>
      <c r="P74" s="1380">
        <f t="shared" si="22"/>
        <v>0</v>
      </c>
      <c r="R74" s="1380" t="str">
        <f t="shared" si="23"/>
        <v>？</v>
      </c>
      <c r="S74" s="1827">
        <v>1</v>
      </c>
      <c r="T74" s="1380" t="str">
        <f t="shared" si="24"/>
        <v>？</v>
      </c>
    </row>
    <row r="75" spans="2:20" ht="21.75" customHeight="1" x14ac:dyDescent="0.15">
      <c r="B75" s="1380" t="str">
        <f>'1_入力シート【基本情報】'!DQ402</f>
        <v>4(21)</v>
      </c>
      <c r="C75" s="1380" t="str">
        <f>'1_入力シート【基本情報】'!AF402&amp;""</f>
        <v/>
      </c>
      <c r="D75" s="1380" t="str">
        <f>'1_入力シート【基本情報】'!BY402&amp;""</f>
        <v/>
      </c>
      <c r="F75" s="1380" t="b">
        <f t="shared" si="13"/>
        <v>1</v>
      </c>
      <c r="G75" s="1380" t="b">
        <f t="shared" si="14"/>
        <v>0</v>
      </c>
      <c r="H75" s="1380" t="b">
        <f t="shared" si="15"/>
        <v>0</v>
      </c>
      <c r="I75" s="1380" t="b">
        <f t="shared" si="16"/>
        <v>0</v>
      </c>
      <c r="J75" s="1380" t="b">
        <f t="shared" si="17"/>
        <v>0</v>
      </c>
      <c r="K75" s="1380" t="str">
        <f t="shared" si="18"/>
        <v>？</v>
      </c>
      <c r="M75" s="1380" t="b">
        <f t="shared" si="19"/>
        <v>0</v>
      </c>
      <c r="N75" s="1380" t="b">
        <f t="shared" si="20"/>
        <v>0</v>
      </c>
      <c r="O75" s="1380" t="b">
        <f t="shared" si="21"/>
        <v>0</v>
      </c>
      <c r="P75" s="1380">
        <f t="shared" si="22"/>
        <v>0</v>
      </c>
      <c r="R75" s="1380" t="str">
        <f t="shared" si="23"/>
        <v>？</v>
      </c>
      <c r="S75" s="1827">
        <v>1</v>
      </c>
      <c r="T75" s="1380" t="str">
        <f t="shared" si="24"/>
        <v>？</v>
      </c>
    </row>
    <row r="76" spans="2:20" ht="21.75" customHeight="1" x14ac:dyDescent="0.15">
      <c r="B76" s="1380" t="str">
        <f>'1_入力シート【基本情報】'!DQ403</f>
        <v>4(22)</v>
      </c>
      <c r="C76" s="1380" t="str">
        <f>'1_入力シート【基本情報】'!AF403&amp;""</f>
        <v/>
      </c>
      <c r="D76" s="1380" t="str">
        <f>'1_入力シート【基本情報】'!BY403&amp;""</f>
        <v/>
      </c>
      <c r="F76" s="1380" t="b">
        <f t="shared" si="13"/>
        <v>1</v>
      </c>
      <c r="G76" s="1380" t="b">
        <f t="shared" si="14"/>
        <v>0</v>
      </c>
      <c r="H76" s="1380" t="b">
        <f t="shared" si="15"/>
        <v>0</v>
      </c>
      <c r="I76" s="1380" t="b">
        <f t="shared" si="16"/>
        <v>0</v>
      </c>
      <c r="J76" s="1380" t="b">
        <f t="shared" si="17"/>
        <v>0</v>
      </c>
      <c r="K76" s="1380" t="str">
        <f t="shared" si="18"/>
        <v>？</v>
      </c>
      <c r="M76" s="1380" t="b">
        <f t="shared" si="19"/>
        <v>0</v>
      </c>
      <c r="N76" s="1380" t="b">
        <f t="shared" si="20"/>
        <v>0</v>
      </c>
      <c r="O76" s="1380" t="b">
        <f t="shared" si="21"/>
        <v>0</v>
      </c>
      <c r="P76" s="1380">
        <f t="shared" si="22"/>
        <v>0</v>
      </c>
      <c r="R76" s="1380" t="str">
        <f t="shared" si="23"/>
        <v>？</v>
      </c>
      <c r="S76" s="1827">
        <v>1</v>
      </c>
      <c r="T76" s="1380" t="str">
        <f t="shared" si="24"/>
        <v>？</v>
      </c>
    </row>
    <row r="77" spans="2:20" ht="21.75" customHeight="1" x14ac:dyDescent="0.15">
      <c r="B77" s="1380" t="str">
        <f>'1_入力シート【基本情報】'!DQ404</f>
        <v>4(23)</v>
      </c>
      <c r="C77" s="1380" t="str">
        <f>'1_入力シート【基本情報】'!AF404&amp;""</f>
        <v/>
      </c>
      <c r="D77" s="1380" t="str">
        <f>'1_入力シート【基本情報】'!BY404&amp;""</f>
        <v/>
      </c>
      <c r="F77" s="1380" t="b">
        <f t="shared" si="13"/>
        <v>1</v>
      </c>
      <c r="G77" s="1380" t="b">
        <f t="shared" si="14"/>
        <v>0</v>
      </c>
      <c r="H77" s="1380" t="b">
        <f t="shared" si="15"/>
        <v>0</v>
      </c>
      <c r="I77" s="1380" t="b">
        <f t="shared" si="16"/>
        <v>0</v>
      </c>
      <c r="J77" s="1380" t="b">
        <f t="shared" si="17"/>
        <v>0</v>
      </c>
      <c r="K77" s="1380" t="str">
        <f t="shared" si="18"/>
        <v>？</v>
      </c>
      <c r="M77" s="1380" t="b">
        <f t="shared" si="19"/>
        <v>0</v>
      </c>
      <c r="N77" s="1380" t="b">
        <f t="shared" si="20"/>
        <v>0</v>
      </c>
      <c r="O77" s="1380" t="b">
        <f t="shared" si="21"/>
        <v>0</v>
      </c>
      <c r="P77" s="1380">
        <f t="shared" si="22"/>
        <v>0</v>
      </c>
      <c r="R77" s="1380" t="str">
        <f t="shared" si="23"/>
        <v>？</v>
      </c>
      <c r="S77" s="1827">
        <v>1</v>
      </c>
      <c r="T77" s="1380" t="str">
        <f t="shared" si="24"/>
        <v>？</v>
      </c>
    </row>
    <row r="78" spans="2:20" ht="21.75" customHeight="1" x14ac:dyDescent="0.15">
      <c r="B78" s="1380" t="str">
        <f>'1_入力シート【基本情報】'!DQ405</f>
        <v>4(24)</v>
      </c>
      <c r="C78" s="1380" t="str">
        <f>'1_入力シート【基本情報】'!AF405&amp;""</f>
        <v/>
      </c>
      <c r="D78" s="1380" t="str">
        <f>'1_入力シート【基本情報】'!BY405&amp;""</f>
        <v/>
      </c>
      <c r="F78" s="1380" t="b">
        <f t="shared" si="13"/>
        <v>1</v>
      </c>
      <c r="G78" s="1380" t="b">
        <f t="shared" si="14"/>
        <v>0</v>
      </c>
      <c r="H78" s="1380" t="b">
        <f t="shared" si="15"/>
        <v>0</v>
      </c>
      <c r="I78" s="1380" t="b">
        <f t="shared" si="16"/>
        <v>0</v>
      </c>
      <c r="J78" s="1380" t="b">
        <f t="shared" si="17"/>
        <v>0</v>
      </c>
      <c r="K78" s="1380" t="str">
        <f t="shared" si="18"/>
        <v>？</v>
      </c>
      <c r="M78" s="1380" t="b">
        <f t="shared" si="19"/>
        <v>0</v>
      </c>
      <c r="N78" s="1380" t="b">
        <f t="shared" si="20"/>
        <v>0</v>
      </c>
      <c r="O78" s="1380" t="b">
        <f t="shared" si="21"/>
        <v>0</v>
      </c>
      <c r="P78" s="1380">
        <f t="shared" si="22"/>
        <v>0</v>
      </c>
      <c r="R78" s="1380" t="str">
        <f t="shared" si="23"/>
        <v>？</v>
      </c>
      <c r="S78" s="1827">
        <v>1</v>
      </c>
      <c r="T78" s="1380" t="str">
        <f t="shared" si="24"/>
        <v>？</v>
      </c>
    </row>
    <row r="79" spans="2:20" ht="21.75" customHeight="1" x14ac:dyDescent="0.15">
      <c r="B79" s="1380" t="str">
        <f>'1_入力シート【基本情報】'!DQ406</f>
        <v>4(25)</v>
      </c>
      <c r="C79" s="1380" t="str">
        <f>'1_入力シート【基本情報】'!AF406&amp;""</f>
        <v/>
      </c>
      <c r="D79" s="1380" t="str">
        <f>'1_入力シート【基本情報】'!BY406&amp;""</f>
        <v/>
      </c>
      <c r="F79" s="1380" t="b">
        <f t="shared" si="13"/>
        <v>1</v>
      </c>
      <c r="G79" s="1380" t="b">
        <f t="shared" si="14"/>
        <v>0</v>
      </c>
      <c r="H79" s="1380" t="b">
        <f t="shared" si="15"/>
        <v>0</v>
      </c>
      <c r="I79" s="1380" t="b">
        <f t="shared" si="16"/>
        <v>0</v>
      </c>
      <c r="J79" s="1380" t="b">
        <f t="shared" si="17"/>
        <v>0</v>
      </c>
      <c r="K79" s="1380" t="str">
        <f t="shared" si="18"/>
        <v>？</v>
      </c>
      <c r="M79" s="1380" t="b">
        <f t="shared" si="19"/>
        <v>0</v>
      </c>
      <c r="N79" s="1380" t="b">
        <f t="shared" si="20"/>
        <v>0</v>
      </c>
      <c r="O79" s="1380" t="b">
        <f t="shared" si="21"/>
        <v>0</v>
      </c>
      <c r="P79" s="1380">
        <f t="shared" si="22"/>
        <v>0</v>
      </c>
      <c r="R79" s="1380" t="str">
        <f t="shared" si="23"/>
        <v>？</v>
      </c>
      <c r="S79" s="1827">
        <v>1</v>
      </c>
      <c r="T79" s="1380" t="str">
        <f t="shared" si="24"/>
        <v>？</v>
      </c>
    </row>
    <row r="80" spans="2:20" ht="21.75" customHeight="1" x14ac:dyDescent="0.15">
      <c r="B80" s="1380" t="str">
        <f>'1_入力シート【基本情報】'!DQ407</f>
        <v>4(26)</v>
      </c>
      <c r="C80" s="1380" t="str">
        <f>'1_入力シート【基本情報】'!AF407&amp;""</f>
        <v/>
      </c>
      <c r="D80" s="1380" t="str">
        <f>'1_入力シート【基本情報】'!BY407&amp;""</f>
        <v/>
      </c>
      <c r="F80" s="1380" t="b">
        <f t="shared" si="13"/>
        <v>1</v>
      </c>
      <c r="G80" s="1380" t="b">
        <f t="shared" si="14"/>
        <v>0</v>
      </c>
      <c r="H80" s="1380" t="b">
        <f t="shared" si="15"/>
        <v>0</v>
      </c>
      <c r="I80" s="1380" t="b">
        <f t="shared" si="16"/>
        <v>0</v>
      </c>
      <c r="J80" s="1380" t="b">
        <f t="shared" si="17"/>
        <v>0</v>
      </c>
      <c r="K80" s="1380" t="str">
        <f t="shared" si="18"/>
        <v>？</v>
      </c>
      <c r="M80" s="1380" t="b">
        <f t="shared" si="19"/>
        <v>0</v>
      </c>
      <c r="N80" s="1380" t="b">
        <f t="shared" si="20"/>
        <v>0</v>
      </c>
      <c r="O80" s="1380" t="b">
        <f t="shared" si="21"/>
        <v>0</v>
      </c>
      <c r="P80" s="1380">
        <f t="shared" si="22"/>
        <v>0</v>
      </c>
      <c r="R80" s="1380" t="str">
        <f t="shared" si="23"/>
        <v>？</v>
      </c>
      <c r="S80" s="1827">
        <v>1</v>
      </c>
      <c r="T80" s="1380" t="str">
        <f t="shared" si="24"/>
        <v>？</v>
      </c>
    </row>
    <row r="81" spans="2:20" ht="21.75" customHeight="1" x14ac:dyDescent="0.15">
      <c r="B81" s="1380" t="str">
        <f>'1_入力シート【基本情報】'!DQ408</f>
        <v>4(27)</v>
      </c>
      <c r="C81" s="1380" t="str">
        <f>'1_入力シート【基本情報】'!AF408&amp;""</f>
        <v/>
      </c>
      <c r="D81" s="1380" t="str">
        <f>'1_入力シート【基本情報】'!BY408&amp;""</f>
        <v/>
      </c>
      <c r="F81" s="1380" t="b">
        <f t="shared" si="13"/>
        <v>1</v>
      </c>
      <c r="G81" s="1380" t="b">
        <f t="shared" si="14"/>
        <v>0</v>
      </c>
      <c r="H81" s="1380" t="b">
        <f t="shared" si="15"/>
        <v>0</v>
      </c>
      <c r="I81" s="1380" t="b">
        <f t="shared" si="16"/>
        <v>0</v>
      </c>
      <c r="J81" s="1380" t="b">
        <f t="shared" si="17"/>
        <v>0</v>
      </c>
      <c r="K81" s="1380" t="str">
        <f t="shared" si="18"/>
        <v>？</v>
      </c>
      <c r="M81" s="1380" t="b">
        <f t="shared" si="19"/>
        <v>0</v>
      </c>
      <c r="N81" s="1380" t="b">
        <f t="shared" si="20"/>
        <v>0</v>
      </c>
      <c r="O81" s="1380" t="b">
        <f t="shared" si="21"/>
        <v>0</v>
      </c>
      <c r="P81" s="1380">
        <f t="shared" si="22"/>
        <v>0</v>
      </c>
      <c r="R81" s="1380" t="str">
        <f t="shared" si="23"/>
        <v>？</v>
      </c>
      <c r="S81" s="1827">
        <v>1</v>
      </c>
      <c r="T81" s="1380" t="str">
        <f t="shared" si="24"/>
        <v>？</v>
      </c>
    </row>
    <row r="82" spans="2:20" ht="21.75" customHeight="1" x14ac:dyDescent="0.15">
      <c r="B82" s="1380" t="str">
        <f>'1_入力シート【基本情報】'!DQ409</f>
        <v>4(28)</v>
      </c>
      <c r="C82" s="1380" t="str">
        <f>'1_入力シート【基本情報】'!AF409&amp;""</f>
        <v/>
      </c>
      <c r="D82" s="1380" t="str">
        <f>'1_入力シート【基本情報】'!BY409&amp;""</f>
        <v/>
      </c>
      <c r="F82" s="1380" t="b">
        <f t="shared" si="13"/>
        <v>1</v>
      </c>
      <c r="G82" s="1380" t="b">
        <f t="shared" si="14"/>
        <v>0</v>
      </c>
      <c r="H82" s="1380" t="b">
        <f t="shared" si="15"/>
        <v>0</v>
      </c>
      <c r="I82" s="1380" t="b">
        <f t="shared" si="16"/>
        <v>0</v>
      </c>
      <c r="J82" s="1380" t="b">
        <f t="shared" si="17"/>
        <v>0</v>
      </c>
      <c r="K82" s="1380" t="str">
        <f t="shared" si="18"/>
        <v>？</v>
      </c>
      <c r="M82" s="1380" t="b">
        <f t="shared" si="19"/>
        <v>0</v>
      </c>
      <c r="N82" s="1380" t="b">
        <f t="shared" si="20"/>
        <v>0</v>
      </c>
      <c r="O82" s="1380" t="b">
        <f t="shared" si="21"/>
        <v>0</v>
      </c>
      <c r="P82" s="1380">
        <f t="shared" si="22"/>
        <v>0</v>
      </c>
      <c r="R82" s="1380" t="str">
        <f t="shared" si="23"/>
        <v>？</v>
      </c>
      <c r="S82" s="1827">
        <v>1</v>
      </c>
      <c r="T82" s="1380" t="str">
        <f t="shared" si="24"/>
        <v>？</v>
      </c>
    </row>
    <row r="83" spans="2:20" ht="21.75" customHeight="1" x14ac:dyDescent="0.15">
      <c r="B83" s="1380" t="str">
        <f>'1_入力シート【基本情報】'!DQ410</f>
        <v>4(29)</v>
      </c>
      <c r="C83" s="1380" t="str">
        <f>'1_入力シート【基本情報】'!AF410&amp;""</f>
        <v/>
      </c>
      <c r="D83" s="1380" t="str">
        <f>'1_入力シート【基本情報】'!BY410&amp;""</f>
        <v/>
      </c>
      <c r="F83" s="1380" t="b">
        <f t="shared" si="13"/>
        <v>1</v>
      </c>
      <c r="G83" s="1380" t="b">
        <f t="shared" si="14"/>
        <v>0</v>
      </c>
      <c r="H83" s="1380" t="b">
        <f t="shared" si="15"/>
        <v>0</v>
      </c>
      <c r="I83" s="1380" t="b">
        <f t="shared" si="16"/>
        <v>0</v>
      </c>
      <c r="J83" s="1380" t="b">
        <f t="shared" si="17"/>
        <v>0</v>
      </c>
      <c r="K83" s="1380" t="str">
        <f t="shared" si="18"/>
        <v>？</v>
      </c>
      <c r="M83" s="1380" t="b">
        <f t="shared" si="19"/>
        <v>0</v>
      </c>
      <c r="N83" s="1380" t="b">
        <f t="shared" si="20"/>
        <v>0</v>
      </c>
      <c r="O83" s="1380" t="b">
        <f t="shared" si="21"/>
        <v>0</v>
      </c>
      <c r="P83" s="1380">
        <f t="shared" si="22"/>
        <v>0</v>
      </c>
      <c r="R83" s="1380" t="str">
        <f t="shared" si="23"/>
        <v>？</v>
      </c>
      <c r="S83" s="1827">
        <v>1</v>
      </c>
      <c r="T83" s="1380" t="str">
        <f t="shared" si="24"/>
        <v>？</v>
      </c>
    </row>
    <row r="84" spans="2:20" ht="21.75" customHeight="1" x14ac:dyDescent="0.15">
      <c r="B84" s="1380" t="str">
        <f>'1_入力シート【基本情報】'!DQ411</f>
        <v>4(30)</v>
      </c>
      <c r="C84" s="1380" t="str">
        <f>'1_入力シート【基本情報】'!AF411&amp;""</f>
        <v/>
      </c>
      <c r="D84" s="1380" t="str">
        <f>'1_入力シート【基本情報】'!BY411&amp;""</f>
        <v/>
      </c>
      <c r="F84" s="1380" t="b">
        <f t="shared" si="13"/>
        <v>1</v>
      </c>
      <c r="G84" s="1380" t="b">
        <f t="shared" si="14"/>
        <v>0</v>
      </c>
      <c r="H84" s="1380" t="b">
        <f t="shared" si="15"/>
        <v>0</v>
      </c>
      <c r="I84" s="1380" t="b">
        <f t="shared" si="16"/>
        <v>0</v>
      </c>
      <c r="J84" s="1380" t="b">
        <f t="shared" si="17"/>
        <v>0</v>
      </c>
      <c r="K84" s="1380" t="str">
        <f t="shared" si="18"/>
        <v>？</v>
      </c>
      <c r="M84" s="1380" t="b">
        <f t="shared" si="19"/>
        <v>0</v>
      </c>
      <c r="N84" s="1380" t="b">
        <f t="shared" si="20"/>
        <v>0</v>
      </c>
      <c r="O84" s="1380" t="b">
        <f t="shared" si="21"/>
        <v>0</v>
      </c>
      <c r="P84" s="1380">
        <f t="shared" si="22"/>
        <v>0</v>
      </c>
      <c r="R84" s="1380" t="str">
        <f t="shared" si="23"/>
        <v>？</v>
      </c>
      <c r="S84" s="1827">
        <v>1</v>
      </c>
      <c r="T84" s="1380" t="str">
        <f t="shared" si="24"/>
        <v>？</v>
      </c>
    </row>
    <row r="85" spans="2:20" ht="21.75" customHeight="1" x14ac:dyDescent="0.15">
      <c r="B85" s="1380" t="str">
        <f>'1_入力シート【基本情報】'!DQ412</f>
        <v>4(31)</v>
      </c>
      <c r="C85" s="1380" t="str">
        <f>'1_入力シート【基本情報】'!AF412&amp;""</f>
        <v/>
      </c>
      <c r="D85" s="1380" t="str">
        <f>'1_入力シート【基本情報】'!BY412&amp;""</f>
        <v/>
      </c>
      <c r="F85" s="1380" t="b">
        <f t="shared" si="13"/>
        <v>1</v>
      </c>
      <c r="G85" s="1380" t="b">
        <f t="shared" si="14"/>
        <v>0</v>
      </c>
      <c r="H85" s="1380" t="b">
        <f t="shared" si="15"/>
        <v>0</v>
      </c>
      <c r="I85" s="1380" t="b">
        <f t="shared" si="16"/>
        <v>0</v>
      </c>
      <c r="J85" s="1380" t="b">
        <f t="shared" si="17"/>
        <v>0</v>
      </c>
      <c r="K85" s="1380" t="str">
        <f t="shared" si="18"/>
        <v>？</v>
      </c>
      <c r="M85" s="1380" t="b">
        <f t="shared" si="19"/>
        <v>0</v>
      </c>
      <c r="N85" s="1380" t="b">
        <f t="shared" si="20"/>
        <v>0</v>
      </c>
      <c r="O85" s="1380" t="b">
        <f t="shared" si="21"/>
        <v>0</v>
      </c>
      <c r="P85" s="1380">
        <f t="shared" si="22"/>
        <v>0</v>
      </c>
      <c r="R85" s="1380" t="str">
        <f t="shared" si="23"/>
        <v>？</v>
      </c>
      <c r="S85" s="1827">
        <v>1</v>
      </c>
      <c r="T85" s="1380" t="str">
        <f t="shared" si="24"/>
        <v>？</v>
      </c>
    </row>
    <row r="86" spans="2:20" ht="21.75" customHeight="1" x14ac:dyDescent="0.15">
      <c r="B86" s="1380" t="str">
        <f>'1_入力シート【基本情報】'!DQ413</f>
        <v>4(32)</v>
      </c>
      <c r="C86" s="1380" t="str">
        <f>'1_入力シート【基本情報】'!AF413&amp;""</f>
        <v/>
      </c>
      <c r="D86" s="1380" t="str">
        <f>'1_入力シート【基本情報】'!BY413&amp;""</f>
        <v/>
      </c>
      <c r="F86" s="1380" t="b">
        <f t="shared" si="13"/>
        <v>1</v>
      </c>
      <c r="G86" s="1380" t="b">
        <f t="shared" si="14"/>
        <v>0</v>
      </c>
      <c r="H86" s="1380" t="b">
        <f t="shared" si="15"/>
        <v>0</v>
      </c>
      <c r="I86" s="1380" t="b">
        <f t="shared" si="16"/>
        <v>0</v>
      </c>
      <c r="J86" s="1380" t="b">
        <f t="shared" si="17"/>
        <v>0</v>
      </c>
      <c r="K86" s="1380" t="str">
        <f t="shared" si="18"/>
        <v>？</v>
      </c>
      <c r="M86" s="1380" t="b">
        <f t="shared" si="19"/>
        <v>0</v>
      </c>
      <c r="N86" s="1380" t="b">
        <f t="shared" si="20"/>
        <v>0</v>
      </c>
      <c r="O86" s="1380" t="b">
        <f t="shared" si="21"/>
        <v>0</v>
      </c>
      <c r="P86" s="1380">
        <f t="shared" si="22"/>
        <v>0</v>
      </c>
      <c r="R86" s="1380" t="str">
        <f t="shared" si="23"/>
        <v>？</v>
      </c>
      <c r="S86" s="1827">
        <v>1</v>
      </c>
      <c r="T86" s="1380" t="str">
        <f t="shared" si="24"/>
        <v>？</v>
      </c>
    </row>
    <row r="87" spans="2:20" ht="21.75" customHeight="1" x14ac:dyDescent="0.15">
      <c r="B87" s="1380" t="str">
        <f>'1_入力シート【基本情報】'!DQ414</f>
        <v>4(33)</v>
      </c>
      <c r="C87" s="1380" t="str">
        <f>'1_入力シート【基本情報】'!AF414&amp;""</f>
        <v/>
      </c>
      <c r="D87" s="1380" t="str">
        <f>'1_入力シート【基本情報】'!BY414&amp;""</f>
        <v/>
      </c>
      <c r="F87" s="1380" t="b">
        <f t="shared" si="13"/>
        <v>1</v>
      </c>
      <c r="G87" s="1380" t="b">
        <f t="shared" si="14"/>
        <v>0</v>
      </c>
      <c r="H87" s="1380" t="b">
        <f t="shared" si="15"/>
        <v>0</v>
      </c>
      <c r="I87" s="1380" t="b">
        <f t="shared" si="16"/>
        <v>0</v>
      </c>
      <c r="J87" s="1380" t="b">
        <f t="shared" si="17"/>
        <v>0</v>
      </c>
      <c r="K87" s="1380" t="str">
        <f t="shared" si="18"/>
        <v>？</v>
      </c>
      <c r="M87" s="1380" t="b">
        <f t="shared" si="19"/>
        <v>0</v>
      </c>
      <c r="N87" s="1380" t="b">
        <f t="shared" si="20"/>
        <v>0</v>
      </c>
      <c r="O87" s="1380" t="b">
        <f t="shared" si="21"/>
        <v>0</v>
      </c>
      <c r="P87" s="1380">
        <f t="shared" si="22"/>
        <v>0</v>
      </c>
      <c r="R87" s="1380" t="str">
        <f t="shared" si="23"/>
        <v>？</v>
      </c>
      <c r="S87" s="1827">
        <v>1</v>
      </c>
      <c r="T87" s="1380" t="str">
        <f t="shared" si="24"/>
        <v>？</v>
      </c>
    </row>
    <row r="88" spans="2:20" ht="21.75" customHeight="1" x14ac:dyDescent="0.15">
      <c r="B88" s="1380" t="str">
        <f>'1_入力シート【基本情報】'!DQ415</f>
        <v>4(34)</v>
      </c>
      <c r="C88" s="1380" t="str">
        <f>'1_入力シート【基本情報】'!AF415&amp;""</f>
        <v/>
      </c>
      <c r="D88" s="1380" t="str">
        <f>'1_入力シート【基本情報】'!BY415&amp;""</f>
        <v/>
      </c>
      <c r="F88" s="1380" t="b">
        <f t="shared" si="13"/>
        <v>1</v>
      </c>
      <c r="G88" s="1380" t="b">
        <f t="shared" si="14"/>
        <v>0</v>
      </c>
      <c r="H88" s="1380" t="b">
        <f t="shared" si="15"/>
        <v>0</v>
      </c>
      <c r="I88" s="1380" t="b">
        <f t="shared" si="16"/>
        <v>0</v>
      </c>
      <c r="J88" s="1380" t="b">
        <f t="shared" si="17"/>
        <v>0</v>
      </c>
      <c r="K88" s="1380" t="str">
        <f t="shared" si="18"/>
        <v>？</v>
      </c>
      <c r="M88" s="1380" t="b">
        <f t="shared" si="19"/>
        <v>0</v>
      </c>
      <c r="N88" s="1380" t="b">
        <f t="shared" si="20"/>
        <v>0</v>
      </c>
      <c r="O88" s="1380" t="b">
        <f t="shared" si="21"/>
        <v>0</v>
      </c>
      <c r="P88" s="1380">
        <f t="shared" si="22"/>
        <v>0</v>
      </c>
      <c r="R88" s="1380" t="str">
        <f t="shared" si="23"/>
        <v>？</v>
      </c>
      <c r="S88" s="1827">
        <v>1</v>
      </c>
      <c r="T88" s="1380" t="str">
        <f t="shared" si="24"/>
        <v>？</v>
      </c>
    </row>
    <row r="89" spans="2:20" ht="21.75" customHeight="1" x14ac:dyDescent="0.15">
      <c r="B89" s="1380" t="str">
        <f>'1_入力シート【基本情報】'!DQ416</f>
        <v>4(35)</v>
      </c>
      <c r="C89" s="1380" t="str">
        <f>'1_入力シート【基本情報】'!AF416&amp;""</f>
        <v/>
      </c>
      <c r="D89" s="1380" t="str">
        <f>'1_入力シート【基本情報】'!BY416&amp;""</f>
        <v/>
      </c>
      <c r="F89" s="1380" t="b">
        <f t="shared" si="13"/>
        <v>1</v>
      </c>
      <c r="G89" s="1380" t="b">
        <f t="shared" si="14"/>
        <v>0</v>
      </c>
      <c r="H89" s="1380" t="b">
        <f t="shared" si="15"/>
        <v>0</v>
      </c>
      <c r="I89" s="1380" t="b">
        <f t="shared" si="16"/>
        <v>0</v>
      </c>
      <c r="J89" s="1380" t="b">
        <f t="shared" si="17"/>
        <v>0</v>
      </c>
      <c r="K89" s="1380" t="str">
        <f t="shared" si="18"/>
        <v>？</v>
      </c>
      <c r="M89" s="1380" t="b">
        <f t="shared" si="19"/>
        <v>0</v>
      </c>
      <c r="N89" s="1380" t="b">
        <f t="shared" si="20"/>
        <v>0</v>
      </c>
      <c r="O89" s="1380" t="b">
        <f t="shared" si="21"/>
        <v>0</v>
      </c>
      <c r="P89" s="1380">
        <f t="shared" si="22"/>
        <v>0</v>
      </c>
      <c r="R89" s="1380" t="str">
        <f t="shared" si="23"/>
        <v>？</v>
      </c>
      <c r="S89" s="1827">
        <v>1</v>
      </c>
      <c r="T89" s="1380" t="str">
        <f t="shared" si="24"/>
        <v>？</v>
      </c>
    </row>
    <row r="90" spans="2:20" ht="21.75" customHeight="1" x14ac:dyDescent="0.15">
      <c r="B90" s="1380" t="str">
        <f>'1_入力シート【基本情報】'!DQ417</f>
        <v>4(36)</v>
      </c>
      <c r="C90" s="1380" t="str">
        <f>'1_入力シート【基本情報】'!AF417&amp;""</f>
        <v/>
      </c>
      <c r="D90" s="1380" t="str">
        <f>'1_入力シート【基本情報】'!BY417&amp;""</f>
        <v/>
      </c>
      <c r="F90" s="1380" t="b">
        <f t="shared" si="13"/>
        <v>1</v>
      </c>
      <c r="G90" s="1380" t="b">
        <f t="shared" si="14"/>
        <v>0</v>
      </c>
      <c r="H90" s="1380" t="b">
        <f t="shared" si="15"/>
        <v>0</v>
      </c>
      <c r="I90" s="1380" t="b">
        <f t="shared" si="16"/>
        <v>0</v>
      </c>
      <c r="J90" s="1380" t="b">
        <f t="shared" si="17"/>
        <v>0</v>
      </c>
      <c r="K90" s="1380" t="str">
        <f t="shared" si="18"/>
        <v>？</v>
      </c>
      <c r="M90" s="1380" t="b">
        <f t="shared" si="19"/>
        <v>0</v>
      </c>
      <c r="N90" s="1380" t="b">
        <f t="shared" si="20"/>
        <v>0</v>
      </c>
      <c r="O90" s="1380" t="b">
        <f t="shared" si="21"/>
        <v>0</v>
      </c>
      <c r="P90" s="1380">
        <f t="shared" si="22"/>
        <v>0</v>
      </c>
      <c r="R90" s="1380" t="str">
        <f t="shared" si="23"/>
        <v>？</v>
      </c>
      <c r="S90" s="1827">
        <v>1</v>
      </c>
      <c r="T90" s="1380" t="str">
        <f t="shared" si="24"/>
        <v>？</v>
      </c>
    </row>
    <row r="91" spans="2:20" ht="21.75" customHeight="1" x14ac:dyDescent="0.15">
      <c r="B91" s="1380" t="str">
        <f>'1_入力シート【基本情報】'!DQ418</f>
        <v>4(37)</v>
      </c>
      <c r="C91" s="1380" t="str">
        <f>'1_入力シート【基本情報】'!AF418&amp;""</f>
        <v/>
      </c>
      <c r="D91" s="1380" t="str">
        <f>'1_入力シート【基本情報】'!BY418&amp;""</f>
        <v/>
      </c>
      <c r="F91" s="1380" t="b">
        <f t="shared" si="13"/>
        <v>1</v>
      </c>
      <c r="G91" s="1380" t="b">
        <f t="shared" si="14"/>
        <v>0</v>
      </c>
      <c r="H91" s="1380" t="b">
        <f t="shared" si="15"/>
        <v>0</v>
      </c>
      <c r="I91" s="1380" t="b">
        <f t="shared" si="16"/>
        <v>0</v>
      </c>
      <c r="J91" s="1380" t="b">
        <f t="shared" si="17"/>
        <v>0</v>
      </c>
      <c r="K91" s="1380" t="str">
        <f t="shared" si="18"/>
        <v>？</v>
      </c>
      <c r="M91" s="1380" t="b">
        <f t="shared" si="19"/>
        <v>0</v>
      </c>
      <c r="N91" s="1380" t="b">
        <f t="shared" si="20"/>
        <v>0</v>
      </c>
      <c r="O91" s="1380" t="b">
        <f t="shared" si="21"/>
        <v>0</v>
      </c>
      <c r="P91" s="1380">
        <f t="shared" si="22"/>
        <v>0</v>
      </c>
      <c r="R91" s="1380" t="str">
        <f t="shared" si="23"/>
        <v>？</v>
      </c>
      <c r="S91" s="1827">
        <v>1</v>
      </c>
      <c r="T91" s="1380" t="str">
        <f t="shared" si="24"/>
        <v>？</v>
      </c>
    </row>
    <row r="92" spans="2:20" ht="21.75" customHeight="1" x14ac:dyDescent="0.15">
      <c r="B92" s="1380" t="str">
        <f>'1_入力シート【基本情報】'!DQ419</f>
        <v>4(38)</v>
      </c>
      <c r="C92" s="1380" t="str">
        <f>'1_入力シート【基本情報】'!AF419&amp;""</f>
        <v/>
      </c>
      <c r="D92" s="1380" t="str">
        <f>'1_入力シート【基本情報】'!BY419&amp;""</f>
        <v/>
      </c>
      <c r="F92" s="1380" t="b">
        <f t="shared" si="13"/>
        <v>1</v>
      </c>
      <c r="G92" s="1380" t="b">
        <f t="shared" si="14"/>
        <v>0</v>
      </c>
      <c r="H92" s="1380" t="b">
        <f t="shared" si="15"/>
        <v>0</v>
      </c>
      <c r="I92" s="1380" t="b">
        <f t="shared" si="16"/>
        <v>0</v>
      </c>
      <c r="J92" s="1380" t="b">
        <f t="shared" si="17"/>
        <v>0</v>
      </c>
      <c r="K92" s="1380" t="str">
        <f t="shared" si="18"/>
        <v>？</v>
      </c>
      <c r="M92" s="1380" t="b">
        <f t="shared" si="19"/>
        <v>0</v>
      </c>
      <c r="N92" s="1380" t="b">
        <f t="shared" si="20"/>
        <v>0</v>
      </c>
      <c r="O92" s="1380" t="b">
        <f t="shared" si="21"/>
        <v>0</v>
      </c>
      <c r="P92" s="1380">
        <f t="shared" si="22"/>
        <v>0</v>
      </c>
      <c r="R92" s="1380" t="str">
        <f t="shared" si="23"/>
        <v>？</v>
      </c>
      <c r="S92" s="1827">
        <v>1</v>
      </c>
      <c r="T92" s="1380" t="str">
        <f t="shared" si="24"/>
        <v>？</v>
      </c>
    </row>
    <row r="93" spans="2:20" ht="21.75" customHeight="1" x14ac:dyDescent="0.15">
      <c r="B93" s="1380" t="str">
        <f>'1_入力シート【基本情報】'!DQ420</f>
        <v>4(39)</v>
      </c>
      <c r="C93" s="1380" t="str">
        <f>'1_入力シート【基本情報】'!AF420&amp;""</f>
        <v/>
      </c>
      <c r="D93" s="1380" t="str">
        <f>'1_入力シート【基本情報】'!BY420&amp;""</f>
        <v/>
      </c>
      <c r="F93" s="1380" t="b">
        <f t="shared" si="13"/>
        <v>1</v>
      </c>
      <c r="G93" s="1380" t="b">
        <f t="shared" si="14"/>
        <v>0</v>
      </c>
      <c r="H93" s="1380" t="b">
        <f t="shared" si="15"/>
        <v>0</v>
      </c>
      <c r="I93" s="1380" t="b">
        <f t="shared" si="16"/>
        <v>0</v>
      </c>
      <c r="J93" s="1380" t="b">
        <f t="shared" si="17"/>
        <v>0</v>
      </c>
      <c r="K93" s="1380" t="str">
        <f t="shared" si="18"/>
        <v>？</v>
      </c>
      <c r="M93" s="1380" t="b">
        <f t="shared" si="19"/>
        <v>0</v>
      </c>
      <c r="N93" s="1380" t="b">
        <f t="shared" si="20"/>
        <v>0</v>
      </c>
      <c r="O93" s="1380" t="b">
        <f t="shared" si="21"/>
        <v>0</v>
      </c>
      <c r="P93" s="1380">
        <f t="shared" si="22"/>
        <v>0</v>
      </c>
      <c r="R93" s="1380" t="str">
        <f t="shared" si="23"/>
        <v>？</v>
      </c>
      <c r="S93" s="1827">
        <v>1</v>
      </c>
      <c r="T93" s="1380" t="str">
        <f t="shared" si="24"/>
        <v>？</v>
      </c>
    </row>
    <row r="94" spans="2:20" ht="21.75" customHeight="1" x14ac:dyDescent="0.15">
      <c r="B94" s="1380" t="str">
        <f>'1_入力シート【基本情報】'!DQ421</f>
        <v>4(40)</v>
      </c>
      <c r="C94" s="1380" t="str">
        <f>'1_入力シート【基本情報】'!AF421&amp;""</f>
        <v/>
      </c>
      <c r="D94" s="1380" t="str">
        <f>'1_入力シート【基本情報】'!BY421&amp;""</f>
        <v/>
      </c>
      <c r="F94" s="1380" t="b">
        <f t="shared" si="13"/>
        <v>1</v>
      </c>
      <c r="G94" s="1380" t="b">
        <f t="shared" si="14"/>
        <v>0</v>
      </c>
      <c r="H94" s="1380" t="b">
        <f t="shared" si="15"/>
        <v>0</v>
      </c>
      <c r="I94" s="1380" t="b">
        <f t="shared" si="16"/>
        <v>0</v>
      </c>
      <c r="J94" s="1380" t="b">
        <f t="shared" si="17"/>
        <v>0</v>
      </c>
      <c r="K94" s="1380" t="str">
        <f t="shared" si="18"/>
        <v>？</v>
      </c>
      <c r="M94" s="1380" t="b">
        <f t="shared" si="19"/>
        <v>0</v>
      </c>
      <c r="N94" s="1380" t="b">
        <f t="shared" si="20"/>
        <v>0</v>
      </c>
      <c r="O94" s="1380" t="b">
        <f t="shared" si="21"/>
        <v>0</v>
      </c>
      <c r="P94" s="1380">
        <f t="shared" si="22"/>
        <v>0</v>
      </c>
      <c r="R94" s="1380" t="str">
        <f t="shared" si="23"/>
        <v>？</v>
      </c>
      <c r="S94" s="1827">
        <v>1</v>
      </c>
      <c r="T94" s="1380" t="str">
        <f t="shared" si="24"/>
        <v>？</v>
      </c>
    </row>
    <row r="95" spans="2:20" ht="21.75" customHeight="1" x14ac:dyDescent="0.15">
      <c r="B95" s="1380" t="str">
        <f>'1_入力シート【基本情報】'!DQ422</f>
        <v>4(41)</v>
      </c>
      <c r="C95" s="1380" t="str">
        <f>'1_入力シート【基本情報】'!AF422&amp;""</f>
        <v/>
      </c>
      <c r="D95" s="1380" t="str">
        <f>'1_入力シート【基本情報】'!BY422&amp;""</f>
        <v/>
      </c>
      <c r="F95" s="1380" t="b">
        <f t="shared" si="13"/>
        <v>1</v>
      </c>
      <c r="G95" s="1380" t="b">
        <f t="shared" si="14"/>
        <v>0</v>
      </c>
      <c r="H95" s="1380" t="b">
        <f t="shared" si="15"/>
        <v>0</v>
      </c>
      <c r="I95" s="1380" t="b">
        <f t="shared" si="16"/>
        <v>0</v>
      </c>
      <c r="J95" s="1380" t="b">
        <f t="shared" si="17"/>
        <v>0</v>
      </c>
      <c r="K95" s="1380" t="str">
        <f t="shared" si="18"/>
        <v>？</v>
      </c>
      <c r="M95" s="1380" t="b">
        <f t="shared" si="19"/>
        <v>0</v>
      </c>
      <c r="N95" s="1380" t="b">
        <f t="shared" si="20"/>
        <v>0</v>
      </c>
      <c r="O95" s="1380" t="b">
        <f t="shared" si="21"/>
        <v>0</v>
      </c>
      <c r="P95" s="1380">
        <f t="shared" si="22"/>
        <v>0</v>
      </c>
      <c r="R95" s="1380" t="str">
        <f t="shared" si="23"/>
        <v>？</v>
      </c>
      <c r="S95" s="1827">
        <v>1</v>
      </c>
      <c r="T95" s="1380" t="str">
        <f t="shared" si="24"/>
        <v>？</v>
      </c>
    </row>
    <row r="96" spans="2:20" ht="21.75" customHeight="1" x14ac:dyDescent="0.15">
      <c r="B96" s="1380" t="str">
        <f>'1_入力シート【基本情報】'!DQ423</f>
        <v>4(42)</v>
      </c>
      <c r="C96" s="1380" t="str">
        <f>'1_入力シート【基本情報】'!AF423&amp;""</f>
        <v/>
      </c>
      <c r="D96" s="1380" t="str">
        <f>'1_入力シート【基本情報】'!BY423&amp;""</f>
        <v/>
      </c>
      <c r="F96" s="1380" t="b">
        <f t="shared" si="13"/>
        <v>1</v>
      </c>
      <c r="G96" s="1380" t="b">
        <f t="shared" si="14"/>
        <v>0</v>
      </c>
      <c r="H96" s="1380" t="b">
        <f t="shared" si="15"/>
        <v>0</v>
      </c>
      <c r="I96" s="1380" t="b">
        <f t="shared" si="16"/>
        <v>0</v>
      </c>
      <c r="J96" s="1380" t="b">
        <f t="shared" si="17"/>
        <v>0</v>
      </c>
      <c r="K96" s="1380" t="str">
        <f t="shared" si="18"/>
        <v>？</v>
      </c>
      <c r="M96" s="1380" t="b">
        <f t="shared" si="19"/>
        <v>0</v>
      </c>
      <c r="N96" s="1380" t="b">
        <f t="shared" si="20"/>
        <v>0</v>
      </c>
      <c r="O96" s="1380" t="b">
        <f t="shared" si="21"/>
        <v>0</v>
      </c>
      <c r="P96" s="1380">
        <f t="shared" si="22"/>
        <v>0</v>
      </c>
      <c r="R96" s="1380" t="str">
        <f t="shared" si="23"/>
        <v>？</v>
      </c>
      <c r="S96" s="1827">
        <v>1</v>
      </c>
      <c r="T96" s="1380" t="str">
        <f t="shared" si="24"/>
        <v>？</v>
      </c>
    </row>
    <row r="97" spans="2:20" ht="21.75" customHeight="1" x14ac:dyDescent="0.15">
      <c r="B97" s="1380" t="str">
        <f>'1_入力シート【基本情報】'!DQ424</f>
        <v>4(43)</v>
      </c>
      <c r="C97" s="1380" t="str">
        <f>'1_入力シート【基本情報】'!AF424&amp;""</f>
        <v/>
      </c>
      <c r="D97" s="1380" t="str">
        <f>'1_入力シート【基本情報】'!BY424&amp;""</f>
        <v/>
      </c>
      <c r="F97" s="1380" t="b">
        <f t="shared" si="13"/>
        <v>1</v>
      </c>
      <c r="G97" s="1380" t="b">
        <f t="shared" si="14"/>
        <v>0</v>
      </c>
      <c r="H97" s="1380" t="b">
        <f t="shared" si="15"/>
        <v>0</v>
      </c>
      <c r="I97" s="1380" t="b">
        <f t="shared" si="16"/>
        <v>0</v>
      </c>
      <c r="J97" s="1380" t="b">
        <f t="shared" si="17"/>
        <v>0</v>
      </c>
      <c r="K97" s="1380" t="str">
        <f t="shared" si="18"/>
        <v>？</v>
      </c>
      <c r="M97" s="1380" t="b">
        <f t="shared" si="19"/>
        <v>0</v>
      </c>
      <c r="N97" s="1380" t="b">
        <f t="shared" si="20"/>
        <v>0</v>
      </c>
      <c r="O97" s="1380" t="b">
        <f t="shared" si="21"/>
        <v>0</v>
      </c>
      <c r="P97" s="1380">
        <f t="shared" si="22"/>
        <v>0</v>
      </c>
      <c r="R97" s="1380" t="str">
        <f t="shared" si="23"/>
        <v>？</v>
      </c>
      <c r="S97" s="1827">
        <v>1</v>
      </c>
      <c r="T97" s="1380" t="str">
        <f t="shared" si="24"/>
        <v>？</v>
      </c>
    </row>
    <row r="98" spans="2:20" ht="21.75" customHeight="1" x14ac:dyDescent="0.15">
      <c r="B98" s="1380" t="str">
        <f>'1_入力シート【基本情報】'!DQ425</f>
        <v>4(44)</v>
      </c>
      <c r="C98" s="1380" t="str">
        <f>'1_入力シート【基本情報】'!AF425&amp;""</f>
        <v/>
      </c>
      <c r="D98" s="1380" t="str">
        <f>'1_入力シート【基本情報】'!BY425&amp;""</f>
        <v/>
      </c>
      <c r="F98" s="1380" t="b">
        <f t="shared" si="13"/>
        <v>1</v>
      </c>
      <c r="G98" s="1380" t="b">
        <f t="shared" si="14"/>
        <v>0</v>
      </c>
      <c r="H98" s="1380" t="b">
        <f t="shared" si="15"/>
        <v>0</v>
      </c>
      <c r="I98" s="1380" t="b">
        <f t="shared" si="16"/>
        <v>0</v>
      </c>
      <c r="J98" s="1380" t="b">
        <f t="shared" si="17"/>
        <v>0</v>
      </c>
      <c r="K98" s="1380" t="str">
        <f t="shared" si="18"/>
        <v>？</v>
      </c>
      <c r="M98" s="1380" t="b">
        <f t="shared" si="19"/>
        <v>0</v>
      </c>
      <c r="N98" s="1380" t="b">
        <f t="shared" si="20"/>
        <v>0</v>
      </c>
      <c r="O98" s="1380" t="b">
        <f t="shared" si="21"/>
        <v>0</v>
      </c>
      <c r="P98" s="1380">
        <f t="shared" si="22"/>
        <v>0</v>
      </c>
      <c r="R98" s="1380" t="str">
        <f t="shared" si="23"/>
        <v>？</v>
      </c>
      <c r="S98" s="1827">
        <v>1</v>
      </c>
      <c r="T98" s="1380" t="str">
        <f t="shared" si="24"/>
        <v>？</v>
      </c>
    </row>
    <row r="99" spans="2:20" ht="21.75" customHeight="1" x14ac:dyDescent="0.15">
      <c r="B99" s="1380" t="str">
        <f>'1_入力シート【基本情報】'!DQ426</f>
        <v>4(45)</v>
      </c>
      <c r="C99" s="1380" t="str">
        <f>'1_入力シート【基本情報】'!AF426&amp;""</f>
        <v/>
      </c>
      <c r="D99" s="1380" t="str">
        <f>'1_入力シート【基本情報】'!BY426&amp;""</f>
        <v/>
      </c>
      <c r="F99" s="1380" t="b">
        <f t="shared" si="13"/>
        <v>1</v>
      </c>
      <c r="G99" s="1380" t="b">
        <f t="shared" si="14"/>
        <v>0</v>
      </c>
      <c r="H99" s="1380" t="b">
        <f t="shared" si="15"/>
        <v>0</v>
      </c>
      <c r="I99" s="1380" t="b">
        <f t="shared" si="16"/>
        <v>0</v>
      </c>
      <c r="J99" s="1380" t="b">
        <f t="shared" si="17"/>
        <v>0</v>
      </c>
      <c r="K99" s="1380" t="str">
        <f t="shared" si="18"/>
        <v>？</v>
      </c>
      <c r="M99" s="1380" t="b">
        <f t="shared" si="19"/>
        <v>0</v>
      </c>
      <c r="N99" s="1380" t="b">
        <f t="shared" si="20"/>
        <v>0</v>
      </c>
      <c r="O99" s="1380" t="b">
        <f t="shared" si="21"/>
        <v>0</v>
      </c>
      <c r="P99" s="1380">
        <f t="shared" si="22"/>
        <v>0</v>
      </c>
      <c r="R99" s="1380" t="str">
        <f t="shared" si="23"/>
        <v>？</v>
      </c>
      <c r="S99" s="1827">
        <v>1</v>
      </c>
      <c r="T99" s="1380" t="str">
        <f t="shared" si="24"/>
        <v>？</v>
      </c>
    </row>
    <row r="100" spans="2:20" ht="21.75" customHeight="1" x14ac:dyDescent="0.15">
      <c r="B100" s="1380" t="str">
        <f>'1_入力シート【基本情報】'!DQ427</f>
        <v>4(46)</v>
      </c>
      <c r="C100" s="1380" t="str">
        <f>'1_入力シート【基本情報】'!AF427&amp;""</f>
        <v/>
      </c>
      <c r="D100" s="1380" t="str">
        <f>'1_入力シート【基本情報】'!BY427&amp;""</f>
        <v/>
      </c>
      <c r="F100" s="1380" t="b">
        <f t="shared" si="13"/>
        <v>1</v>
      </c>
      <c r="G100" s="1380" t="b">
        <f t="shared" si="14"/>
        <v>0</v>
      </c>
      <c r="H100" s="1380" t="b">
        <f t="shared" si="15"/>
        <v>0</v>
      </c>
      <c r="I100" s="1380" t="b">
        <f t="shared" si="16"/>
        <v>0</v>
      </c>
      <c r="J100" s="1380" t="b">
        <f t="shared" si="17"/>
        <v>0</v>
      </c>
      <c r="K100" s="1380" t="str">
        <f t="shared" si="18"/>
        <v>？</v>
      </c>
      <c r="M100" s="1380" t="b">
        <f t="shared" si="19"/>
        <v>0</v>
      </c>
      <c r="N100" s="1380" t="b">
        <f t="shared" si="20"/>
        <v>0</v>
      </c>
      <c r="O100" s="1380" t="b">
        <f t="shared" si="21"/>
        <v>0</v>
      </c>
      <c r="P100" s="1380">
        <f t="shared" si="22"/>
        <v>0</v>
      </c>
      <c r="R100" s="1380" t="str">
        <f t="shared" ref="R100:R131" si="25">INDEX($H$192:$M$199,MATCH(P100,$F$192:$F$199,0),MATCH(K100,$H$191:$M$191,0))</f>
        <v>？</v>
      </c>
      <c r="S100" s="1827"/>
      <c r="T100" s="1380" t="str">
        <f t="shared" si="24"/>
        <v/>
      </c>
    </row>
    <row r="101" spans="2:20" ht="21.75" customHeight="1" x14ac:dyDescent="0.15">
      <c r="B101" s="1380" t="str">
        <f>'1_入力シート【基本情報】'!DQ428</f>
        <v>4(47)</v>
      </c>
      <c r="C101" s="1380" t="str">
        <f>'1_入力シート【基本情報】'!AF428&amp;""</f>
        <v/>
      </c>
      <c r="D101" s="1380" t="str">
        <f>'1_入力シート【基本情報】'!BY428&amp;""</f>
        <v/>
      </c>
      <c r="F101" s="1380" t="b">
        <f t="shared" si="13"/>
        <v>1</v>
      </c>
      <c r="G101" s="1380" t="b">
        <f t="shared" si="14"/>
        <v>0</v>
      </c>
      <c r="H101" s="1380" t="b">
        <f t="shared" si="15"/>
        <v>0</v>
      </c>
      <c r="I101" s="1380" t="b">
        <f t="shared" si="16"/>
        <v>0</v>
      </c>
      <c r="J101" s="1380" t="b">
        <f t="shared" si="17"/>
        <v>0</v>
      </c>
      <c r="K101" s="1380" t="str">
        <f t="shared" si="18"/>
        <v>？</v>
      </c>
      <c r="M101" s="1380" t="b">
        <f t="shared" si="19"/>
        <v>0</v>
      </c>
      <c r="N101" s="1380" t="b">
        <f t="shared" si="20"/>
        <v>0</v>
      </c>
      <c r="O101" s="1380" t="b">
        <f t="shared" si="21"/>
        <v>0</v>
      </c>
      <c r="P101" s="1380">
        <f t="shared" si="22"/>
        <v>0</v>
      </c>
      <c r="R101" s="1380" t="str">
        <f t="shared" si="25"/>
        <v>？</v>
      </c>
      <c r="S101" s="1827"/>
      <c r="T101" s="1380" t="str">
        <f t="shared" si="24"/>
        <v/>
      </c>
    </row>
    <row r="102" spans="2:20" ht="21.75" customHeight="1" x14ac:dyDescent="0.15">
      <c r="B102" s="1380" t="str">
        <f>'1_入力シート【基本情報】'!DQ429</f>
        <v>4(48)</v>
      </c>
      <c r="C102" s="1380" t="str">
        <f>'1_入力シート【基本情報】'!AF429&amp;""</f>
        <v/>
      </c>
      <c r="D102" s="1380" t="str">
        <f>'1_入力シート【基本情報】'!BY429&amp;""</f>
        <v/>
      </c>
      <c r="F102" s="1380" t="b">
        <f t="shared" si="13"/>
        <v>1</v>
      </c>
      <c r="G102" s="1380" t="b">
        <f t="shared" si="14"/>
        <v>0</v>
      </c>
      <c r="H102" s="1380" t="b">
        <f t="shared" si="15"/>
        <v>0</v>
      </c>
      <c r="I102" s="1380" t="b">
        <f t="shared" si="16"/>
        <v>0</v>
      </c>
      <c r="J102" s="1380" t="b">
        <f t="shared" si="17"/>
        <v>0</v>
      </c>
      <c r="K102" s="1380" t="str">
        <f t="shared" si="18"/>
        <v>？</v>
      </c>
      <c r="M102" s="1380" t="b">
        <f t="shared" si="19"/>
        <v>0</v>
      </c>
      <c r="N102" s="1380" t="b">
        <f t="shared" si="20"/>
        <v>0</v>
      </c>
      <c r="O102" s="1380" t="b">
        <f t="shared" si="21"/>
        <v>0</v>
      </c>
      <c r="P102" s="1380">
        <f t="shared" si="22"/>
        <v>0</v>
      </c>
      <c r="R102" s="1380" t="str">
        <f t="shared" si="25"/>
        <v>？</v>
      </c>
      <c r="S102" s="1827"/>
      <c r="T102" s="1380" t="str">
        <f t="shared" si="24"/>
        <v/>
      </c>
    </row>
    <row r="103" spans="2:20" ht="21.75" customHeight="1" x14ac:dyDescent="0.15">
      <c r="B103" s="1380" t="str">
        <f>'1_入力シート【基本情報】'!DQ430</f>
        <v>4(49)</v>
      </c>
      <c r="C103" s="1380" t="str">
        <f>'1_入力シート【基本情報】'!AF430&amp;""</f>
        <v/>
      </c>
      <c r="D103" s="1380" t="str">
        <f>'1_入力シート【基本情報】'!BY430&amp;""</f>
        <v/>
      </c>
      <c r="F103" s="1380" t="b">
        <f t="shared" si="13"/>
        <v>1</v>
      </c>
      <c r="G103" s="1380" t="b">
        <f t="shared" si="14"/>
        <v>0</v>
      </c>
      <c r="H103" s="1380" t="b">
        <f t="shared" si="15"/>
        <v>0</v>
      </c>
      <c r="I103" s="1380" t="b">
        <f t="shared" si="16"/>
        <v>0</v>
      </c>
      <c r="J103" s="1380" t="b">
        <f t="shared" si="17"/>
        <v>0</v>
      </c>
      <c r="K103" s="1380" t="str">
        <f t="shared" si="18"/>
        <v>？</v>
      </c>
      <c r="M103" s="1380" t="b">
        <f t="shared" si="19"/>
        <v>0</v>
      </c>
      <c r="N103" s="1380" t="b">
        <f t="shared" si="20"/>
        <v>0</v>
      </c>
      <c r="O103" s="1380" t="b">
        <f t="shared" si="21"/>
        <v>0</v>
      </c>
      <c r="P103" s="1380">
        <f t="shared" si="22"/>
        <v>0</v>
      </c>
      <c r="R103" s="1380" t="str">
        <f t="shared" si="25"/>
        <v>？</v>
      </c>
      <c r="S103" s="1827"/>
      <c r="T103" s="1380" t="str">
        <f t="shared" si="24"/>
        <v/>
      </c>
    </row>
    <row r="104" spans="2:20" ht="21.75" customHeight="1" x14ac:dyDescent="0.15">
      <c r="B104" s="1380" t="str">
        <f>'1_入力シート【基本情報】'!DQ431</f>
        <v>4(50)</v>
      </c>
      <c r="C104" s="1380" t="str">
        <f>'1_入力シート【基本情報】'!AF431&amp;""</f>
        <v/>
      </c>
      <c r="D104" s="1380" t="str">
        <f>'1_入力シート【基本情報】'!BY431&amp;""</f>
        <v/>
      </c>
      <c r="F104" s="1380" t="b">
        <f t="shared" si="13"/>
        <v>1</v>
      </c>
      <c r="G104" s="1380" t="b">
        <f t="shared" si="14"/>
        <v>0</v>
      </c>
      <c r="H104" s="1380" t="b">
        <f t="shared" si="15"/>
        <v>0</v>
      </c>
      <c r="I104" s="1380" t="b">
        <f t="shared" si="16"/>
        <v>0</v>
      </c>
      <c r="J104" s="1380" t="b">
        <f t="shared" si="17"/>
        <v>0</v>
      </c>
      <c r="K104" s="1380" t="str">
        <f t="shared" si="18"/>
        <v>？</v>
      </c>
      <c r="M104" s="1380" t="b">
        <f t="shared" si="19"/>
        <v>0</v>
      </c>
      <c r="N104" s="1380" t="b">
        <f t="shared" si="20"/>
        <v>0</v>
      </c>
      <c r="O104" s="1380" t="b">
        <f t="shared" si="21"/>
        <v>0</v>
      </c>
      <c r="P104" s="1380">
        <f t="shared" si="22"/>
        <v>0</v>
      </c>
      <c r="R104" s="1380" t="str">
        <f t="shared" si="25"/>
        <v>？</v>
      </c>
      <c r="S104" s="1827"/>
      <c r="T104" s="1380" t="str">
        <f t="shared" si="24"/>
        <v/>
      </c>
    </row>
    <row r="105" spans="2:20" ht="21.75" customHeight="1" x14ac:dyDescent="0.15">
      <c r="B105" s="1380" t="str">
        <f>'1_入力シート【基本情報】'!DQ436</f>
        <v>5(1)</v>
      </c>
      <c r="C105" s="1380" t="str">
        <f>'1_入力シート【基本情報】'!AF436&amp;""</f>
        <v/>
      </c>
      <c r="D105" s="1380" t="str">
        <f>'1_入力シート【基本情報】'!BY436&amp;""</f>
        <v/>
      </c>
      <c r="F105" s="1380" t="b">
        <f t="shared" si="13"/>
        <v>1</v>
      </c>
      <c r="G105" s="1380" t="b">
        <f t="shared" si="14"/>
        <v>0</v>
      </c>
      <c r="H105" s="1380" t="b">
        <f t="shared" si="15"/>
        <v>0</v>
      </c>
      <c r="I105" s="1380" t="b">
        <f t="shared" si="16"/>
        <v>0</v>
      </c>
      <c r="J105" s="1380" t="b">
        <f t="shared" si="17"/>
        <v>0</v>
      </c>
      <c r="K105" s="1380" t="str">
        <f t="shared" si="18"/>
        <v>？</v>
      </c>
      <c r="M105" s="1380" t="b">
        <f t="shared" si="19"/>
        <v>0</v>
      </c>
      <c r="N105" s="1380" t="b">
        <f t="shared" si="20"/>
        <v>0</v>
      </c>
      <c r="O105" s="1380" t="b">
        <f t="shared" si="21"/>
        <v>0</v>
      </c>
      <c r="P105" s="1380">
        <f t="shared" si="22"/>
        <v>0</v>
      </c>
      <c r="R105" s="1380" t="str">
        <f t="shared" si="25"/>
        <v>？</v>
      </c>
      <c r="S105" s="1827">
        <v>1</v>
      </c>
      <c r="T105" s="1380" t="str">
        <f t="shared" si="24"/>
        <v>？</v>
      </c>
    </row>
    <row r="106" spans="2:20" ht="21.75" customHeight="1" x14ac:dyDescent="0.15">
      <c r="B106" s="1380" t="str">
        <f>'1_入力シート【基本情報】'!DQ437</f>
        <v>5(2)</v>
      </c>
      <c r="C106" s="1380" t="str">
        <f>'1_入力シート【基本情報】'!AF437&amp;""</f>
        <v/>
      </c>
      <c r="D106" s="1380" t="str">
        <f>'1_入力シート【基本情報】'!BY437&amp;""</f>
        <v/>
      </c>
      <c r="F106" s="1380" t="b">
        <f t="shared" si="13"/>
        <v>1</v>
      </c>
      <c r="G106" s="1380" t="b">
        <f t="shared" si="14"/>
        <v>0</v>
      </c>
      <c r="H106" s="1380" t="b">
        <f t="shared" si="15"/>
        <v>0</v>
      </c>
      <c r="I106" s="1380" t="b">
        <f t="shared" si="16"/>
        <v>0</v>
      </c>
      <c r="J106" s="1380" t="b">
        <f t="shared" si="17"/>
        <v>0</v>
      </c>
      <c r="K106" s="1380" t="str">
        <f t="shared" si="18"/>
        <v>？</v>
      </c>
      <c r="M106" s="1380" t="b">
        <f t="shared" si="19"/>
        <v>0</v>
      </c>
      <c r="N106" s="1380" t="b">
        <f t="shared" si="20"/>
        <v>0</v>
      </c>
      <c r="O106" s="1380" t="b">
        <f t="shared" si="21"/>
        <v>0</v>
      </c>
      <c r="P106" s="1380">
        <f t="shared" si="22"/>
        <v>0</v>
      </c>
      <c r="R106" s="1380" t="str">
        <f t="shared" si="25"/>
        <v>？</v>
      </c>
      <c r="S106" s="1827">
        <v>1</v>
      </c>
      <c r="T106" s="1380" t="str">
        <f t="shared" si="24"/>
        <v>？</v>
      </c>
    </row>
    <row r="107" spans="2:20" ht="21.75" customHeight="1" x14ac:dyDescent="0.15">
      <c r="B107" s="1380" t="str">
        <f>'1_入力シート【基本情報】'!DQ438</f>
        <v>5(3)</v>
      </c>
      <c r="C107" s="1380" t="str">
        <f>'1_入力シート【基本情報】'!AF438&amp;""</f>
        <v/>
      </c>
      <c r="D107" s="1380" t="str">
        <f>'1_入力シート【基本情報】'!BY438&amp;""</f>
        <v/>
      </c>
      <c r="F107" s="1380" t="b">
        <f t="shared" si="13"/>
        <v>1</v>
      </c>
      <c r="G107" s="1380" t="b">
        <f t="shared" si="14"/>
        <v>0</v>
      </c>
      <c r="H107" s="1380" t="b">
        <f t="shared" si="15"/>
        <v>0</v>
      </c>
      <c r="I107" s="1380" t="b">
        <f t="shared" si="16"/>
        <v>0</v>
      </c>
      <c r="J107" s="1380" t="b">
        <f t="shared" si="17"/>
        <v>0</v>
      </c>
      <c r="K107" s="1380" t="str">
        <f t="shared" si="18"/>
        <v>？</v>
      </c>
      <c r="M107" s="1380" t="b">
        <f t="shared" si="19"/>
        <v>0</v>
      </c>
      <c r="N107" s="1380" t="b">
        <f t="shared" si="20"/>
        <v>0</v>
      </c>
      <c r="O107" s="1380" t="b">
        <f t="shared" si="21"/>
        <v>0</v>
      </c>
      <c r="P107" s="1380">
        <f t="shared" si="22"/>
        <v>0</v>
      </c>
      <c r="R107" s="1380" t="str">
        <f t="shared" si="25"/>
        <v>？</v>
      </c>
      <c r="S107" s="1827">
        <v>1</v>
      </c>
      <c r="T107" s="1380" t="str">
        <f t="shared" si="24"/>
        <v>？</v>
      </c>
    </row>
    <row r="108" spans="2:20" ht="21.75" customHeight="1" x14ac:dyDescent="0.15">
      <c r="B108" s="1380" t="str">
        <f>'1_入力シート【基本情報】'!DQ439</f>
        <v>5(4)</v>
      </c>
      <c r="C108" s="1380" t="str">
        <f>'1_入力シート【基本情報】'!AF439&amp;""</f>
        <v/>
      </c>
      <c r="D108" s="1380" t="str">
        <f>'1_入力シート【基本情報】'!BY439&amp;""</f>
        <v/>
      </c>
      <c r="F108" s="1380" t="b">
        <f t="shared" si="13"/>
        <v>1</v>
      </c>
      <c r="G108" s="1380" t="b">
        <f t="shared" si="14"/>
        <v>0</v>
      </c>
      <c r="H108" s="1380" t="b">
        <f t="shared" si="15"/>
        <v>0</v>
      </c>
      <c r="I108" s="1380" t="b">
        <f t="shared" si="16"/>
        <v>0</v>
      </c>
      <c r="J108" s="1380" t="b">
        <f t="shared" si="17"/>
        <v>0</v>
      </c>
      <c r="K108" s="1380" t="str">
        <f t="shared" si="18"/>
        <v>？</v>
      </c>
      <c r="M108" s="1380" t="b">
        <f t="shared" si="19"/>
        <v>0</v>
      </c>
      <c r="N108" s="1380" t="b">
        <f t="shared" si="20"/>
        <v>0</v>
      </c>
      <c r="O108" s="1380" t="b">
        <f t="shared" si="21"/>
        <v>0</v>
      </c>
      <c r="P108" s="1380">
        <f t="shared" si="22"/>
        <v>0</v>
      </c>
      <c r="R108" s="1380" t="str">
        <f t="shared" si="25"/>
        <v>？</v>
      </c>
      <c r="S108" s="1827">
        <v>1</v>
      </c>
      <c r="T108" s="1380" t="str">
        <f t="shared" si="24"/>
        <v>？</v>
      </c>
    </row>
    <row r="109" spans="2:20" ht="21.75" customHeight="1" x14ac:dyDescent="0.15">
      <c r="B109" s="1380" t="str">
        <f>'1_入力シート【基本情報】'!DQ440</f>
        <v>5(5)</v>
      </c>
      <c r="C109" s="1380" t="str">
        <f>'1_入力シート【基本情報】'!AF440&amp;""</f>
        <v/>
      </c>
      <c r="D109" s="1380" t="str">
        <f>'1_入力シート【基本情報】'!BY440&amp;""</f>
        <v/>
      </c>
      <c r="F109" s="1380" t="b">
        <f t="shared" si="13"/>
        <v>1</v>
      </c>
      <c r="G109" s="1380" t="b">
        <f t="shared" si="14"/>
        <v>0</v>
      </c>
      <c r="H109" s="1380" t="b">
        <f t="shared" si="15"/>
        <v>0</v>
      </c>
      <c r="I109" s="1380" t="b">
        <f t="shared" si="16"/>
        <v>0</v>
      </c>
      <c r="J109" s="1380" t="b">
        <f t="shared" si="17"/>
        <v>0</v>
      </c>
      <c r="K109" s="1380" t="str">
        <f t="shared" si="18"/>
        <v>？</v>
      </c>
      <c r="M109" s="1380" t="b">
        <f t="shared" si="19"/>
        <v>0</v>
      </c>
      <c r="N109" s="1380" t="b">
        <f t="shared" si="20"/>
        <v>0</v>
      </c>
      <c r="O109" s="1380" t="b">
        <f t="shared" si="21"/>
        <v>0</v>
      </c>
      <c r="P109" s="1380">
        <f t="shared" si="22"/>
        <v>0</v>
      </c>
      <c r="R109" s="1380" t="str">
        <f t="shared" si="25"/>
        <v>？</v>
      </c>
      <c r="S109" s="1827">
        <v>1</v>
      </c>
      <c r="T109" s="1380" t="str">
        <f t="shared" si="24"/>
        <v>？</v>
      </c>
    </row>
    <row r="110" spans="2:20" ht="21.75" customHeight="1" x14ac:dyDescent="0.15">
      <c r="B110" s="1380" t="str">
        <f>'1_入力シート【基本情報】'!DQ441</f>
        <v>5(6)</v>
      </c>
      <c r="C110" s="1380" t="str">
        <f>'1_入力シート【基本情報】'!AF441&amp;""</f>
        <v/>
      </c>
      <c r="D110" s="1380" t="str">
        <f>'1_入力シート【基本情報】'!BY441&amp;""</f>
        <v/>
      </c>
      <c r="F110" s="1380" t="b">
        <f t="shared" si="13"/>
        <v>1</v>
      </c>
      <c r="G110" s="1380" t="b">
        <f t="shared" si="14"/>
        <v>0</v>
      </c>
      <c r="H110" s="1380" t="b">
        <f t="shared" si="15"/>
        <v>0</v>
      </c>
      <c r="I110" s="1380" t="b">
        <f t="shared" si="16"/>
        <v>0</v>
      </c>
      <c r="J110" s="1380" t="b">
        <f t="shared" si="17"/>
        <v>0</v>
      </c>
      <c r="K110" s="1380" t="str">
        <f t="shared" si="18"/>
        <v>？</v>
      </c>
      <c r="M110" s="1380" t="b">
        <f t="shared" si="19"/>
        <v>0</v>
      </c>
      <c r="N110" s="1380" t="b">
        <f t="shared" si="20"/>
        <v>0</v>
      </c>
      <c r="O110" s="1380" t="b">
        <f t="shared" si="21"/>
        <v>0</v>
      </c>
      <c r="P110" s="1380">
        <f t="shared" si="22"/>
        <v>0</v>
      </c>
      <c r="R110" s="1380" t="str">
        <f t="shared" si="25"/>
        <v>？</v>
      </c>
      <c r="S110" s="1827">
        <v>1</v>
      </c>
      <c r="T110" s="1380" t="str">
        <f t="shared" si="24"/>
        <v>？</v>
      </c>
    </row>
    <row r="111" spans="2:20" ht="21.75" customHeight="1" x14ac:dyDescent="0.15">
      <c r="B111" s="1380" t="str">
        <f>'1_入力シート【基本情報】'!DQ442</f>
        <v>5(7)</v>
      </c>
      <c r="C111" s="1380" t="str">
        <f>'1_入力シート【基本情報】'!AF442&amp;""</f>
        <v/>
      </c>
      <c r="D111" s="1380" t="str">
        <f>'1_入力シート【基本情報】'!BY442&amp;""</f>
        <v/>
      </c>
      <c r="F111" s="1380" t="b">
        <f t="shared" si="13"/>
        <v>1</v>
      </c>
      <c r="G111" s="1380" t="b">
        <f t="shared" si="14"/>
        <v>0</v>
      </c>
      <c r="H111" s="1380" t="b">
        <f t="shared" si="15"/>
        <v>0</v>
      </c>
      <c r="I111" s="1380" t="b">
        <f t="shared" si="16"/>
        <v>0</v>
      </c>
      <c r="J111" s="1380" t="b">
        <f t="shared" si="17"/>
        <v>0</v>
      </c>
      <c r="K111" s="1380" t="str">
        <f t="shared" si="18"/>
        <v>？</v>
      </c>
      <c r="M111" s="1380" t="b">
        <f t="shared" si="19"/>
        <v>0</v>
      </c>
      <c r="N111" s="1380" t="b">
        <f t="shared" si="20"/>
        <v>0</v>
      </c>
      <c r="O111" s="1380" t="b">
        <f t="shared" si="21"/>
        <v>0</v>
      </c>
      <c r="P111" s="1380">
        <f t="shared" si="22"/>
        <v>0</v>
      </c>
      <c r="R111" s="1380" t="str">
        <f t="shared" si="25"/>
        <v>？</v>
      </c>
      <c r="S111" s="1827">
        <v>1</v>
      </c>
      <c r="T111" s="1380" t="str">
        <f t="shared" si="24"/>
        <v>？</v>
      </c>
    </row>
    <row r="112" spans="2:20" ht="21.75" customHeight="1" x14ac:dyDescent="0.15">
      <c r="B112" s="1380" t="str">
        <f>'1_入力シート【基本情報】'!DQ443</f>
        <v>5(8)</v>
      </c>
      <c r="C112" s="1380" t="str">
        <f>'1_入力シート【基本情報】'!AF443&amp;""</f>
        <v/>
      </c>
      <c r="D112" s="1380" t="str">
        <f>'1_入力シート【基本情報】'!BY443&amp;""</f>
        <v/>
      </c>
      <c r="F112" s="1380" t="b">
        <f t="shared" si="13"/>
        <v>1</v>
      </c>
      <c r="G112" s="1380" t="b">
        <f t="shared" si="14"/>
        <v>0</v>
      </c>
      <c r="H112" s="1380" t="b">
        <f t="shared" si="15"/>
        <v>0</v>
      </c>
      <c r="I112" s="1380" t="b">
        <f t="shared" si="16"/>
        <v>0</v>
      </c>
      <c r="J112" s="1380" t="b">
        <f t="shared" si="17"/>
        <v>0</v>
      </c>
      <c r="K112" s="1380" t="str">
        <f t="shared" si="18"/>
        <v>？</v>
      </c>
      <c r="M112" s="1380" t="b">
        <f t="shared" si="19"/>
        <v>0</v>
      </c>
      <c r="N112" s="1380" t="b">
        <f t="shared" si="20"/>
        <v>0</v>
      </c>
      <c r="O112" s="1380" t="b">
        <f t="shared" si="21"/>
        <v>0</v>
      </c>
      <c r="P112" s="1380">
        <f t="shared" si="22"/>
        <v>0</v>
      </c>
      <c r="R112" s="1380" t="str">
        <f t="shared" si="25"/>
        <v>？</v>
      </c>
      <c r="S112" s="1827">
        <v>1</v>
      </c>
      <c r="T112" s="1380" t="str">
        <f t="shared" si="24"/>
        <v>？</v>
      </c>
    </row>
    <row r="113" spans="2:20" ht="21.75" customHeight="1" x14ac:dyDescent="0.15">
      <c r="B113" s="1380" t="str">
        <f>'1_入力シート【基本情報】'!DQ444</f>
        <v>5(9)</v>
      </c>
      <c r="C113" s="1380" t="str">
        <f>'1_入力シート【基本情報】'!AF444&amp;""</f>
        <v/>
      </c>
      <c r="D113" s="1380" t="str">
        <f>'1_入力シート【基本情報】'!BY444&amp;""</f>
        <v/>
      </c>
      <c r="F113" s="1380" t="b">
        <f t="shared" si="13"/>
        <v>1</v>
      </c>
      <c r="G113" s="1380" t="b">
        <f t="shared" si="14"/>
        <v>0</v>
      </c>
      <c r="H113" s="1380" t="b">
        <f t="shared" si="15"/>
        <v>0</v>
      </c>
      <c r="I113" s="1380" t="b">
        <f t="shared" si="16"/>
        <v>0</v>
      </c>
      <c r="J113" s="1380" t="b">
        <f t="shared" si="17"/>
        <v>0</v>
      </c>
      <c r="K113" s="1380" t="str">
        <f t="shared" si="18"/>
        <v>？</v>
      </c>
      <c r="M113" s="1380" t="b">
        <f t="shared" si="19"/>
        <v>0</v>
      </c>
      <c r="N113" s="1380" t="b">
        <f t="shared" si="20"/>
        <v>0</v>
      </c>
      <c r="O113" s="1380" t="b">
        <f t="shared" si="21"/>
        <v>0</v>
      </c>
      <c r="P113" s="1380">
        <f t="shared" si="22"/>
        <v>0</v>
      </c>
      <c r="R113" s="1380" t="str">
        <f t="shared" si="25"/>
        <v>？</v>
      </c>
      <c r="S113" s="1827">
        <v>1</v>
      </c>
      <c r="T113" s="1380" t="str">
        <f t="shared" si="24"/>
        <v>？</v>
      </c>
    </row>
    <row r="114" spans="2:20" ht="21.75" customHeight="1" x14ac:dyDescent="0.15">
      <c r="B114" s="1380" t="str">
        <f>'1_入力シート【基本情報】'!DQ445</f>
        <v>5(10)</v>
      </c>
      <c r="C114" s="1380" t="str">
        <f>'1_入力シート【基本情報】'!AF445&amp;""</f>
        <v/>
      </c>
      <c r="D114" s="1380" t="str">
        <f>'1_入力シート【基本情報】'!BY445&amp;""</f>
        <v/>
      </c>
      <c r="F114" s="1380" t="b">
        <f t="shared" si="13"/>
        <v>1</v>
      </c>
      <c r="G114" s="1380" t="b">
        <f t="shared" si="14"/>
        <v>0</v>
      </c>
      <c r="H114" s="1380" t="b">
        <f t="shared" si="15"/>
        <v>0</v>
      </c>
      <c r="I114" s="1380" t="b">
        <f t="shared" si="16"/>
        <v>0</v>
      </c>
      <c r="J114" s="1380" t="b">
        <f t="shared" si="17"/>
        <v>0</v>
      </c>
      <c r="K114" s="1380" t="str">
        <f t="shared" si="18"/>
        <v>？</v>
      </c>
      <c r="M114" s="1380" t="b">
        <f t="shared" si="19"/>
        <v>0</v>
      </c>
      <c r="N114" s="1380" t="b">
        <f t="shared" si="20"/>
        <v>0</v>
      </c>
      <c r="O114" s="1380" t="b">
        <f t="shared" si="21"/>
        <v>0</v>
      </c>
      <c r="P114" s="1380">
        <f t="shared" si="22"/>
        <v>0</v>
      </c>
      <c r="R114" s="1380" t="str">
        <f t="shared" si="25"/>
        <v>？</v>
      </c>
      <c r="S114" s="1827">
        <v>1</v>
      </c>
      <c r="T114" s="1380" t="str">
        <f t="shared" si="24"/>
        <v>？</v>
      </c>
    </row>
    <row r="115" spans="2:20" ht="21.75" customHeight="1" x14ac:dyDescent="0.15">
      <c r="B115" s="1380" t="str">
        <f>'1_入力シート【基本情報】'!DQ446</f>
        <v>5(11)</v>
      </c>
      <c r="C115" s="1380" t="str">
        <f>'1_入力シート【基本情報】'!AF446&amp;""</f>
        <v/>
      </c>
      <c r="D115" s="1380" t="str">
        <f>'1_入力シート【基本情報】'!BY446&amp;""</f>
        <v/>
      </c>
      <c r="F115" s="1380" t="b">
        <f t="shared" si="13"/>
        <v>1</v>
      </c>
      <c r="G115" s="1380" t="b">
        <f t="shared" si="14"/>
        <v>0</v>
      </c>
      <c r="H115" s="1380" t="b">
        <f t="shared" si="15"/>
        <v>0</v>
      </c>
      <c r="I115" s="1380" t="b">
        <f t="shared" si="16"/>
        <v>0</v>
      </c>
      <c r="J115" s="1380" t="b">
        <f t="shared" si="17"/>
        <v>0</v>
      </c>
      <c r="K115" s="1380" t="str">
        <f t="shared" si="18"/>
        <v>？</v>
      </c>
      <c r="M115" s="1380" t="b">
        <f t="shared" si="19"/>
        <v>0</v>
      </c>
      <c r="N115" s="1380" t="b">
        <f t="shared" si="20"/>
        <v>0</v>
      </c>
      <c r="O115" s="1380" t="b">
        <f t="shared" si="21"/>
        <v>0</v>
      </c>
      <c r="P115" s="1380">
        <f t="shared" si="22"/>
        <v>0</v>
      </c>
      <c r="R115" s="1380" t="str">
        <f t="shared" si="25"/>
        <v>？</v>
      </c>
      <c r="S115" s="1827">
        <v>1</v>
      </c>
      <c r="T115" s="1380" t="str">
        <f t="shared" si="24"/>
        <v>？</v>
      </c>
    </row>
    <row r="116" spans="2:20" ht="21.75" customHeight="1" x14ac:dyDescent="0.15">
      <c r="B116" s="1380" t="str">
        <f>'1_入力シート【基本情報】'!DQ447</f>
        <v>5(12)</v>
      </c>
      <c r="C116" s="1380" t="str">
        <f>'1_入力シート【基本情報】'!AF447&amp;""</f>
        <v/>
      </c>
      <c r="D116" s="1380" t="str">
        <f>'1_入力シート【基本情報】'!BY447&amp;""</f>
        <v/>
      </c>
      <c r="F116" s="1380" t="b">
        <f t="shared" si="13"/>
        <v>1</v>
      </c>
      <c r="G116" s="1380" t="b">
        <f t="shared" si="14"/>
        <v>0</v>
      </c>
      <c r="H116" s="1380" t="b">
        <f t="shared" si="15"/>
        <v>0</v>
      </c>
      <c r="I116" s="1380" t="b">
        <f t="shared" si="16"/>
        <v>0</v>
      </c>
      <c r="J116" s="1380" t="b">
        <f t="shared" si="17"/>
        <v>0</v>
      </c>
      <c r="K116" s="1380" t="str">
        <f t="shared" si="18"/>
        <v>？</v>
      </c>
      <c r="M116" s="1380" t="b">
        <f t="shared" si="19"/>
        <v>0</v>
      </c>
      <c r="N116" s="1380" t="b">
        <f t="shared" si="20"/>
        <v>0</v>
      </c>
      <c r="O116" s="1380" t="b">
        <f t="shared" si="21"/>
        <v>0</v>
      </c>
      <c r="P116" s="1380">
        <f t="shared" si="22"/>
        <v>0</v>
      </c>
      <c r="R116" s="1380" t="str">
        <f t="shared" si="25"/>
        <v>？</v>
      </c>
      <c r="S116" s="1827">
        <v>1</v>
      </c>
      <c r="T116" s="1380" t="str">
        <f t="shared" si="24"/>
        <v>？</v>
      </c>
    </row>
    <row r="117" spans="2:20" ht="21.75" customHeight="1" x14ac:dyDescent="0.15">
      <c r="B117" s="1380" t="str">
        <f>'1_入力シート【基本情報】'!DQ448</f>
        <v>5(13)</v>
      </c>
      <c r="C117" s="1380" t="str">
        <f>'1_入力シート【基本情報】'!AF448&amp;""</f>
        <v/>
      </c>
      <c r="D117" s="1380" t="str">
        <f>'1_入力シート【基本情報】'!BY448&amp;""</f>
        <v/>
      </c>
      <c r="F117" s="1380" t="b">
        <f t="shared" ref="F117:F172" si="26">C117=""</f>
        <v>1</v>
      </c>
      <c r="G117" s="1380" t="b">
        <f t="shared" ref="G117:G172" si="27">C117=$G$3</f>
        <v>0</v>
      </c>
      <c r="H117" s="1380" t="b">
        <f t="shared" ref="H117:H172" si="28">C117=$H$3</f>
        <v>0</v>
      </c>
      <c r="I117" s="1380" t="b">
        <f t="shared" ref="I117:I172" si="29">C117=$I$3</f>
        <v>0</v>
      </c>
      <c r="J117" s="1380" t="b">
        <f t="shared" ref="J117:J172" si="30">C117=$J$3</f>
        <v>0</v>
      </c>
      <c r="K117" s="1380" t="str">
        <f t="shared" ref="K117:K172" si="31">IF(J117,$J$2,IF(I117,$I$2,IF(H117,$H$2,IF(G117,$G$2,IF(F117,$F$2,"エラー")))))</f>
        <v>？</v>
      </c>
      <c r="M117" s="1380" t="b">
        <f t="shared" ref="M117:M172" si="32">D117=$M$3</f>
        <v>0</v>
      </c>
      <c r="N117" s="1380" t="b">
        <f t="shared" ref="N117:N172" si="33">D117=$N$3</f>
        <v>0</v>
      </c>
      <c r="O117" s="1380" t="b">
        <f t="shared" ref="O117:O172" si="34">D117=$O$3</f>
        <v>0</v>
      </c>
      <c r="P117" s="1380">
        <f t="shared" ref="P117:P172" si="35">-(M117*4+N117*2+O117)</f>
        <v>0</v>
      </c>
      <c r="R117" s="1380" t="str">
        <f t="shared" si="25"/>
        <v>？</v>
      </c>
      <c r="S117" s="1827">
        <v>1</v>
      </c>
      <c r="T117" s="1380" t="str">
        <f t="shared" si="24"/>
        <v>？</v>
      </c>
    </row>
    <row r="118" spans="2:20" ht="21.75" customHeight="1" x14ac:dyDescent="0.15">
      <c r="B118" s="1380" t="str">
        <f>'1_入力シート【基本情報】'!DQ449</f>
        <v>5(14)</v>
      </c>
      <c r="C118" s="1380" t="str">
        <f>'1_入力シート【基本情報】'!AF449&amp;""</f>
        <v/>
      </c>
      <c r="D118" s="1380" t="str">
        <f>'1_入力シート【基本情報】'!BY449&amp;""</f>
        <v/>
      </c>
      <c r="F118" s="1380" t="b">
        <f t="shared" si="26"/>
        <v>1</v>
      </c>
      <c r="G118" s="1380" t="b">
        <f t="shared" si="27"/>
        <v>0</v>
      </c>
      <c r="H118" s="1380" t="b">
        <f t="shared" si="28"/>
        <v>0</v>
      </c>
      <c r="I118" s="1380" t="b">
        <f t="shared" si="29"/>
        <v>0</v>
      </c>
      <c r="J118" s="1380" t="b">
        <f t="shared" si="30"/>
        <v>0</v>
      </c>
      <c r="K118" s="1380" t="str">
        <f t="shared" si="31"/>
        <v>？</v>
      </c>
      <c r="M118" s="1380" t="b">
        <f t="shared" si="32"/>
        <v>0</v>
      </c>
      <c r="N118" s="1380" t="b">
        <f t="shared" si="33"/>
        <v>0</v>
      </c>
      <c r="O118" s="1380" t="b">
        <f t="shared" si="34"/>
        <v>0</v>
      </c>
      <c r="P118" s="1380">
        <f t="shared" si="35"/>
        <v>0</v>
      </c>
      <c r="R118" s="1380" t="str">
        <f t="shared" si="25"/>
        <v>？</v>
      </c>
      <c r="S118" s="1827">
        <v>1</v>
      </c>
      <c r="T118" s="1380" t="str">
        <f t="shared" si="24"/>
        <v>？</v>
      </c>
    </row>
    <row r="119" spans="2:20" ht="21.75" customHeight="1" x14ac:dyDescent="0.15">
      <c r="B119" s="1380" t="str">
        <f>'1_入力シート【基本情報】'!DQ450</f>
        <v>5(15)</v>
      </c>
      <c r="C119" s="1380" t="str">
        <f>'1_入力シート【基本情報】'!AF450&amp;""</f>
        <v/>
      </c>
      <c r="D119" s="1380" t="str">
        <f>'1_入力シート【基本情報】'!BY450&amp;""</f>
        <v/>
      </c>
      <c r="F119" s="1380" t="b">
        <f t="shared" si="26"/>
        <v>1</v>
      </c>
      <c r="G119" s="1380" t="b">
        <f t="shared" si="27"/>
        <v>0</v>
      </c>
      <c r="H119" s="1380" t="b">
        <f t="shared" si="28"/>
        <v>0</v>
      </c>
      <c r="I119" s="1380" t="b">
        <f t="shared" si="29"/>
        <v>0</v>
      </c>
      <c r="J119" s="1380" t="b">
        <f t="shared" si="30"/>
        <v>0</v>
      </c>
      <c r="K119" s="1380" t="str">
        <f t="shared" si="31"/>
        <v>？</v>
      </c>
      <c r="M119" s="1380" t="b">
        <f t="shared" si="32"/>
        <v>0</v>
      </c>
      <c r="N119" s="1380" t="b">
        <f t="shared" si="33"/>
        <v>0</v>
      </c>
      <c r="O119" s="1380" t="b">
        <f t="shared" si="34"/>
        <v>0</v>
      </c>
      <c r="P119" s="1380">
        <f t="shared" si="35"/>
        <v>0</v>
      </c>
      <c r="R119" s="1380" t="str">
        <f t="shared" si="25"/>
        <v>？</v>
      </c>
      <c r="S119" s="1827">
        <v>1</v>
      </c>
      <c r="T119" s="1380" t="str">
        <f t="shared" si="24"/>
        <v>？</v>
      </c>
    </row>
    <row r="120" spans="2:20" ht="21.75" customHeight="1" x14ac:dyDescent="0.15">
      <c r="B120" s="1380" t="str">
        <f>'1_入力シート【基本情報】'!DQ451</f>
        <v>5(16)</v>
      </c>
      <c r="C120" s="1380" t="str">
        <f>'1_入力シート【基本情報】'!AF451&amp;""</f>
        <v/>
      </c>
      <c r="D120" s="1380" t="str">
        <f>'1_入力シート【基本情報】'!BY451&amp;""</f>
        <v/>
      </c>
      <c r="F120" s="1380" t="b">
        <f t="shared" si="26"/>
        <v>1</v>
      </c>
      <c r="G120" s="1380" t="b">
        <f t="shared" si="27"/>
        <v>0</v>
      </c>
      <c r="H120" s="1380" t="b">
        <f t="shared" si="28"/>
        <v>0</v>
      </c>
      <c r="I120" s="1380" t="b">
        <f t="shared" si="29"/>
        <v>0</v>
      </c>
      <c r="J120" s="1380" t="b">
        <f t="shared" si="30"/>
        <v>0</v>
      </c>
      <c r="K120" s="1380" t="str">
        <f t="shared" si="31"/>
        <v>？</v>
      </c>
      <c r="M120" s="1380" t="b">
        <f t="shared" si="32"/>
        <v>0</v>
      </c>
      <c r="N120" s="1380" t="b">
        <f t="shared" si="33"/>
        <v>0</v>
      </c>
      <c r="O120" s="1380" t="b">
        <f t="shared" si="34"/>
        <v>0</v>
      </c>
      <c r="P120" s="1380">
        <f t="shared" si="35"/>
        <v>0</v>
      </c>
      <c r="R120" s="1380" t="str">
        <f t="shared" si="25"/>
        <v>？</v>
      </c>
      <c r="S120" s="1827">
        <v>1</v>
      </c>
      <c r="T120" s="1380" t="str">
        <f t="shared" si="24"/>
        <v>？</v>
      </c>
    </row>
    <row r="121" spans="2:20" ht="21.75" customHeight="1" x14ac:dyDescent="0.15">
      <c r="B121" s="1380" t="str">
        <f>'1_入力シート【基本情報】'!DQ452</f>
        <v>5(17)</v>
      </c>
      <c r="C121" s="1380" t="str">
        <f>'1_入力シート【基本情報】'!AF452&amp;""</f>
        <v/>
      </c>
      <c r="D121" s="1380" t="str">
        <f>'1_入力シート【基本情報】'!BY452&amp;""</f>
        <v/>
      </c>
      <c r="F121" s="1380" t="b">
        <f t="shared" si="26"/>
        <v>1</v>
      </c>
      <c r="G121" s="1380" t="b">
        <f t="shared" si="27"/>
        <v>0</v>
      </c>
      <c r="H121" s="1380" t="b">
        <f t="shared" si="28"/>
        <v>0</v>
      </c>
      <c r="I121" s="1380" t="b">
        <f t="shared" si="29"/>
        <v>0</v>
      </c>
      <c r="J121" s="1380" t="b">
        <f t="shared" si="30"/>
        <v>0</v>
      </c>
      <c r="K121" s="1380" t="str">
        <f t="shared" si="31"/>
        <v>？</v>
      </c>
      <c r="M121" s="1380" t="b">
        <f t="shared" si="32"/>
        <v>0</v>
      </c>
      <c r="N121" s="1380" t="b">
        <f t="shared" si="33"/>
        <v>0</v>
      </c>
      <c r="O121" s="1380" t="b">
        <f t="shared" si="34"/>
        <v>0</v>
      </c>
      <c r="P121" s="1380">
        <f t="shared" si="35"/>
        <v>0</v>
      </c>
      <c r="R121" s="1380" t="str">
        <f t="shared" si="25"/>
        <v>？</v>
      </c>
      <c r="S121" s="1827">
        <v>1</v>
      </c>
      <c r="T121" s="1380" t="str">
        <f t="shared" si="24"/>
        <v>？</v>
      </c>
    </row>
    <row r="122" spans="2:20" ht="21.75" customHeight="1" x14ac:dyDescent="0.15">
      <c r="B122" s="1380" t="str">
        <f>'1_入力シート【基本情報】'!DQ453</f>
        <v>5(18)</v>
      </c>
      <c r="C122" s="1380" t="str">
        <f>'1_入力シート【基本情報】'!AF453&amp;""</f>
        <v/>
      </c>
      <c r="D122" s="1380" t="str">
        <f>'1_入力シート【基本情報】'!BY453&amp;""</f>
        <v/>
      </c>
      <c r="F122" s="1380" t="b">
        <f t="shared" si="26"/>
        <v>1</v>
      </c>
      <c r="G122" s="1380" t="b">
        <f t="shared" si="27"/>
        <v>0</v>
      </c>
      <c r="H122" s="1380" t="b">
        <f t="shared" si="28"/>
        <v>0</v>
      </c>
      <c r="I122" s="1380" t="b">
        <f t="shared" si="29"/>
        <v>0</v>
      </c>
      <c r="J122" s="1380" t="b">
        <f t="shared" si="30"/>
        <v>0</v>
      </c>
      <c r="K122" s="1380" t="str">
        <f t="shared" si="31"/>
        <v>？</v>
      </c>
      <c r="M122" s="1380" t="b">
        <f t="shared" si="32"/>
        <v>0</v>
      </c>
      <c r="N122" s="1380" t="b">
        <f t="shared" si="33"/>
        <v>0</v>
      </c>
      <c r="O122" s="1380" t="b">
        <f t="shared" si="34"/>
        <v>0</v>
      </c>
      <c r="P122" s="1380">
        <f t="shared" si="35"/>
        <v>0</v>
      </c>
      <c r="R122" s="1380" t="str">
        <f t="shared" si="25"/>
        <v>？</v>
      </c>
      <c r="S122" s="1827">
        <v>1</v>
      </c>
      <c r="T122" s="1380" t="str">
        <f t="shared" si="24"/>
        <v>？</v>
      </c>
    </row>
    <row r="123" spans="2:20" ht="21.75" customHeight="1" x14ac:dyDescent="0.15">
      <c r="B123" s="1380" t="str">
        <f>'1_入力シート【基本情報】'!DQ454</f>
        <v>5(19)</v>
      </c>
      <c r="C123" s="1380" t="str">
        <f>'1_入力シート【基本情報】'!AF454&amp;""</f>
        <v/>
      </c>
      <c r="D123" s="1380" t="str">
        <f>'1_入力シート【基本情報】'!BY454&amp;""</f>
        <v/>
      </c>
      <c r="F123" s="1380" t="b">
        <f t="shared" si="26"/>
        <v>1</v>
      </c>
      <c r="G123" s="1380" t="b">
        <f t="shared" si="27"/>
        <v>0</v>
      </c>
      <c r="H123" s="1380" t="b">
        <f t="shared" si="28"/>
        <v>0</v>
      </c>
      <c r="I123" s="1380" t="b">
        <f t="shared" si="29"/>
        <v>0</v>
      </c>
      <c r="J123" s="1380" t="b">
        <f t="shared" si="30"/>
        <v>0</v>
      </c>
      <c r="K123" s="1380" t="str">
        <f t="shared" si="31"/>
        <v>？</v>
      </c>
      <c r="M123" s="1380" t="b">
        <f t="shared" si="32"/>
        <v>0</v>
      </c>
      <c r="N123" s="1380" t="b">
        <f t="shared" si="33"/>
        <v>0</v>
      </c>
      <c r="O123" s="1380" t="b">
        <f t="shared" si="34"/>
        <v>0</v>
      </c>
      <c r="P123" s="1380">
        <f t="shared" si="35"/>
        <v>0</v>
      </c>
      <c r="R123" s="1380" t="str">
        <f t="shared" si="25"/>
        <v>？</v>
      </c>
      <c r="S123" s="1827">
        <v>1</v>
      </c>
      <c r="T123" s="1380" t="str">
        <f t="shared" si="24"/>
        <v>？</v>
      </c>
    </row>
    <row r="124" spans="2:20" ht="21.75" customHeight="1" x14ac:dyDescent="0.15">
      <c r="B124" s="1380" t="str">
        <f>'1_入力シート【基本情報】'!DQ455</f>
        <v>5(20)</v>
      </c>
      <c r="C124" s="1380" t="str">
        <f>'1_入力シート【基本情報】'!AF455&amp;""</f>
        <v/>
      </c>
      <c r="D124" s="1380" t="str">
        <f>'1_入力シート【基本情報】'!BY455&amp;""</f>
        <v/>
      </c>
      <c r="F124" s="1380" t="b">
        <f t="shared" si="26"/>
        <v>1</v>
      </c>
      <c r="G124" s="1380" t="b">
        <f t="shared" si="27"/>
        <v>0</v>
      </c>
      <c r="H124" s="1380" t="b">
        <f t="shared" si="28"/>
        <v>0</v>
      </c>
      <c r="I124" s="1380" t="b">
        <f t="shared" si="29"/>
        <v>0</v>
      </c>
      <c r="J124" s="1380" t="b">
        <f t="shared" si="30"/>
        <v>0</v>
      </c>
      <c r="K124" s="1380" t="str">
        <f t="shared" si="31"/>
        <v>？</v>
      </c>
      <c r="M124" s="1380" t="b">
        <f t="shared" si="32"/>
        <v>0</v>
      </c>
      <c r="N124" s="1380" t="b">
        <f t="shared" si="33"/>
        <v>0</v>
      </c>
      <c r="O124" s="1380" t="b">
        <f t="shared" si="34"/>
        <v>0</v>
      </c>
      <c r="P124" s="1380">
        <f t="shared" si="35"/>
        <v>0</v>
      </c>
      <c r="R124" s="1380" t="str">
        <f t="shared" si="25"/>
        <v>？</v>
      </c>
      <c r="S124" s="1827">
        <v>1</v>
      </c>
      <c r="T124" s="1380" t="str">
        <f t="shared" si="24"/>
        <v>？</v>
      </c>
    </row>
    <row r="125" spans="2:20" ht="21.75" customHeight="1" x14ac:dyDescent="0.15">
      <c r="B125" s="1380" t="str">
        <f>'1_入力シート【基本情報】'!DQ456</f>
        <v>5(21)</v>
      </c>
      <c r="C125" s="1380" t="str">
        <f>'1_入力シート【基本情報】'!AF456&amp;""</f>
        <v/>
      </c>
      <c r="D125" s="1380" t="str">
        <f>'1_入力シート【基本情報】'!BY456&amp;""</f>
        <v/>
      </c>
      <c r="F125" s="1380" t="b">
        <f t="shared" si="26"/>
        <v>1</v>
      </c>
      <c r="G125" s="1380" t="b">
        <f t="shared" si="27"/>
        <v>0</v>
      </c>
      <c r="H125" s="1380" t="b">
        <f t="shared" si="28"/>
        <v>0</v>
      </c>
      <c r="I125" s="1380" t="b">
        <f t="shared" si="29"/>
        <v>0</v>
      </c>
      <c r="J125" s="1380" t="b">
        <f t="shared" si="30"/>
        <v>0</v>
      </c>
      <c r="K125" s="1380" t="str">
        <f t="shared" si="31"/>
        <v>？</v>
      </c>
      <c r="M125" s="1380" t="b">
        <f t="shared" si="32"/>
        <v>0</v>
      </c>
      <c r="N125" s="1380" t="b">
        <f t="shared" si="33"/>
        <v>0</v>
      </c>
      <c r="O125" s="1380" t="b">
        <f t="shared" si="34"/>
        <v>0</v>
      </c>
      <c r="P125" s="1380">
        <f t="shared" si="35"/>
        <v>0</v>
      </c>
      <c r="R125" s="1380" t="str">
        <f t="shared" si="25"/>
        <v>？</v>
      </c>
      <c r="S125" s="1827">
        <v>1</v>
      </c>
      <c r="T125" s="1380" t="str">
        <f t="shared" si="24"/>
        <v>？</v>
      </c>
    </row>
    <row r="126" spans="2:20" ht="21.75" customHeight="1" x14ac:dyDescent="0.15">
      <c r="B126" s="1380" t="str">
        <f>'1_入力シート【基本情報】'!DQ457</f>
        <v>5(22)</v>
      </c>
      <c r="C126" s="1380" t="str">
        <f>'1_入力シート【基本情報】'!AF457&amp;""</f>
        <v/>
      </c>
      <c r="D126" s="1380" t="str">
        <f>'1_入力シート【基本情報】'!BY457&amp;""</f>
        <v/>
      </c>
      <c r="F126" s="1380" t="b">
        <f t="shared" si="26"/>
        <v>1</v>
      </c>
      <c r="G126" s="1380" t="b">
        <f t="shared" si="27"/>
        <v>0</v>
      </c>
      <c r="H126" s="1380" t="b">
        <f t="shared" si="28"/>
        <v>0</v>
      </c>
      <c r="I126" s="1380" t="b">
        <f t="shared" si="29"/>
        <v>0</v>
      </c>
      <c r="J126" s="1380" t="b">
        <f t="shared" si="30"/>
        <v>0</v>
      </c>
      <c r="K126" s="1380" t="str">
        <f t="shared" si="31"/>
        <v>？</v>
      </c>
      <c r="M126" s="1380" t="b">
        <f t="shared" si="32"/>
        <v>0</v>
      </c>
      <c r="N126" s="1380" t="b">
        <f t="shared" si="33"/>
        <v>0</v>
      </c>
      <c r="O126" s="1380" t="b">
        <f t="shared" si="34"/>
        <v>0</v>
      </c>
      <c r="P126" s="1380">
        <f t="shared" si="35"/>
        <v>0</v>
      </c>
      <c r="R126" s="1380" t="str">
        <f t="shared" si="25"/>
        <v>？</v>
      </c>
      <c r="S126" s="1827">
        <v>1</v>
      </c>
      <c r="T126" s="1380" t="str">
        <f t="shared" si="24"/>
        <v>？</v>
      </c>
    </row>
    <row r="127" spans="2:20" ht="21.75" customHeight="1" x14ac:dyDescent="0.15">
      <c r="B127" s="1380" t="str">
        <f>'1_入力シート【基本情報】'!DQ458</f>
        <v>5(23)</v>
      </c>
      <c r="C127" s="1380" t="str">
        <f>'1_入力シート【基本情報】'!AF458&amp;""</f>
        <v/>
      </c>
      <c r="D127" s="1380" t="str">
        <f>'1_入力シート【基本情報】'!BY458&amp;""</f>
        <v/>
      </c>
      <c r="F127" s="1380" t="b">
        <f t="shared" si="26"/>
        <v>1</v>
      </c>
      <c r="G127" s="1380" t="b">
        <f t="shared" si="27"/>
        <v>0</v>
      </c>
      <c r="H127" s="1380" t="b">
        <f t="shared" si="28"/>
        <v>0</v>
      </c>
      <c r="I127" s="1380" t="b">
        <f t="shared" si="29"/>
        <v>0</v>
      </c>
      <c r="J127" s="1380" t="b">
        <f t="shared" si="30"/>
        <v>0</v>
      </c>
      <c r="K127" s="1380" t="str">
        <f t="shared" si="31"/>
        <v>？</v>
      </c>
      <c r="M127" s="1380" t="b">
        <f t="shared" si="32"/>
        <v>0</v>
      </c>
      <c r="N127" s="1380" t="b">
        <f t="shared" si="33"/>
        <v>0</v>
      </c>
      <c r="O127" s="1380" t="b">
        <f t="shared" si="34"/>
        <v>0</v>
      </c>
      <c r="P127" s="1380">
        <f t="shared" si="35"/>
        <v>0</v>
      </c>
      <c r="R127" s="1380" t="str">
        <f t="shared" si="25"/>
        <v>？</v>
      </c>
      <c r="S127" s="1827">
        <v>1</v>
      </c>
      <c r="T127" s="1380" t="str">
        <f t="shared" si="24"/>
        <v>？</v>
      </c>
    </row>
    <row r="128" spans="2:20" ht="21.75" customHeight="1" x14ac:dyDescent="0.15">
      <c r="B128" s="1380" t="str">
        <f>'1_入力シート【基本情報】'!DQ459</f>
        <v>5(24)</v>
      </c>
      <c r="C128" s="1380" t="str">
        <f>'1_入力シート【基本情報】'!AF459&amp;""</f>
        <v/>
      </c>
      <c r="D128" s="1380" t="str">
        <f>'1_入力シート【基本情報】'!BY459&amp;""</f>
        <v/>
      </c>
      <c r="F128" s="1380" t="b">
        <f t="shared" si="26"/>
        <v>1</v>
      </c>
      <c r="G128" s="1380" t="b">
        <f t="shared" si="27"/>
        <v>0</v>
      </c>
      <c r="H128" s="1380" t="b">
        <f t="shared" si="28"/>
        <v>0</v>
      </c>
      <c r="I128" s="1380" t="b">
        <f t="shared" si="29"/>
        <v>0</v>
      </c>
      <c r="J128" s="1380" t="b">
        <f t="shared" si="30"/>
        <v>0</v>
      </c>
      <c r="K128" s="1380" t="str">
        <f t="shared" si="31"/>
        <v>？</v>
      </c>
      <c r="M128" s="1380" t="b">
        <f t="shared" si="32"/>
        <v>0</v>
      </c>
      <c r="N128" s="1380" t="b">
        <f t="shared" si="33"/>
        <v>0</v>
      </c>
      <c r="O128" s="1380" t="b">
        <f t="shared" si="34"/>
        <v>0</v>
      </c>
      <c r="P128" s="1380">
        <f t="shared" si="35"/>
        <v>0</v>
      </c>
      <c r="R128" s="1380" t="str">
        <f t="shared" si="25"/>
        <v>？</v>
      </c>
      <c r="S128" s="1827">
        <v>1</v>
      </c>
      <c r="T128" s="1380" t="str">
        <f t="shared" si="24"/>
        <v>？</v>
      </c>
    </row>
    <row r="129" spans="2:20" ht="21.75" customHeight="1" x14ac:dyDescent="0.15">
      <c r="B129" s="1380" t="str">
        <f>'1_入力シート【基本情報】'!DQ460</f>
        <v>5(25)</v>
      </c>
      <c r="C129" s="1380" t="str">
        <f>'1_入力シート【基本情報】'!AF460&amp;""</f>
        <v/>
      </c>
      <c r="D129" s="1380" t="str">
        <f>'1_入力シート【基本情報】'!BY460&amp;""</f>
        <v/>
      </c>
      <c r="F129" s="1380" t="b">
        <f t="shared" si="26"/>
        <v>1</v>
      </c>
      <c r="G129" s="1380" t="b">
        <f t="shared" si="27"/>
        <v>0</v>
      </c>
      <c r="H129" s="1380" t="b">
        <f t="shared" si="28"/>
        <v>0</v>
      </c>
      <c r="I129" s="1380" t="b">
        <f t="shared" si="29"/>
        <v>0</v>
      </c>
      <c r="J129" s="1380" t="b">
        <f t="shared" si="30"/>
        <v>0</v>
      </c>
      <c r="K129" s="1380" t="str">
        <f t="shared" si="31"/>
        <v>？</v>
      </c>
      <c r="M129" s="1380" t="b">
        <f t="shared" si="32"/>
        <v>0</v>
      </c>
      <c r="N129" s="1380" t="b">
        <f t="shared" si="33"/>
        <v>0</v>
      </c>
      <c r="O129" s="1380" t="b">
        <f t="shared" si="34"/>
        <v>0</v>
      </c>
      <c r="P129" s="1380">
        <f t="shared" si="35"/>
        <v>0</v>
      </c>
      <c r="R129" s="1380" t="str">
        <f t="shared" si="25"/>
        <v>？</v>
      </c>
      <c r="S129" s="1827">
        <v>1</v>
      </c>
      <c r="T129" s="1380" t="str">
        <f t="shared" si="24"/>
        <v>？</v>
      </c>
    </row>
    <row r="130" spans="2:20" ht="21.75" customHeight="1" x14ac:dyDescent="0.15">
      <c r="B130" s="1380" t="str">
        <f>'1_入力シート【基本情報】'!DQ461</f>
        <v>5(26)</v>
      </c>
      <c r="C130" s="1380" t="str">
        <f>'1_入力シート【基本情報】'!AF461&amp;""</f>
        <v/>
      </c>
      <c r="D130" s="1380" t="str">
        <f>'1_入力シート【基本情報】'!BY461&amp;""</f>
        <v/>
      </c>
      <c r="F130" s="1380" t="b">
        <f t="shared" si="26"/>
        <v>1</v>
      </c>
      <c r="G130" s="1380" t="b">
        <f t="shared" si="27"/>
        <v>0</v>
      </c>
      <c r="H130" s="1380" t="b">
        <f t="shared" si="28"/>
        <v>0</v>
      </c>
      <c r="I130" s="1380" t="b">
        <f t="shared" si="29"/>
        <v>0</v>
      </c>
      <c r="J130" s="1380" t="b">
        <f t="shared" si="30"/>
        <v>0</v>
      </c>
      <c r="K130" s="1380" t="str">
        <f t="shared" si="31"/>
        <v>？</v>
      </c>
      <c r="M130" s="1380" t="b">
        <f t="shared" si="32"/>
        <v>0</v>
      </c>
      <c r="N130" s="1380" t="b">
        <f t="shared" si="33"/>
        <v>0</v>
      </c>
      <c r="O130" s="1380" t="b">
        <f t="shared" si="34"/>
        <v>0</v>
      </c>
      <c r="P130" s="1380">
        <f t="shared" si="35"/>
        <v>0</v>
      </c>
      <c r="R130" s="1380" t="str">
        <f t="shared" si="25"/>
        <v>？</v>
      </c>
      <c r="S130" s="1827">
        <v>1</v>
      </c>
      <c r="T130" s="1380" t="str">
        <f t="shared" si="24"/>
        <v>？</v>
      </c>
    </row>
    <row r="131" spans="2:20" ht="21.75" customHeight="1" x14ac:dyDescent="0.15">
      <c r="B131" s="1380" t="str">
        <f>'1_入力シート【基本情報】'!DQ462</f>
        <v>5(27)</v>
      </c>
      <c r="C131" s="1380" t="str">
        <f>'1_入力シート【基本情報】'!AF462&amp;""</f>
        <v/>
      </c>
      <c r="D131" s="1380" t="str">
        <f>'1_入力シート【基本情報】'!BY462&amp;""</f>
        <v/>
      </c>
      <c r="F131" s="1380" t="b">
        <f t="shared" si="26"/>
        <v>1</v>
      </c>
      <c r="G131" s="1380" t="b">
        <f t="shared" si="27"/>
        <v>0</v>
      </c>
      <c r="H131" s="1380" t="b">
        <f t="shared" si="28"/>
        <v>0</v>
      </c>
      <c r="I131" s="1380" t="b">
        <f t="shared" si="29"/>
        <v>0</v>
      </c>
      <c r="J131" s="1380" t="b">
        <f t="shared" si="30"/>
        <v>0</v>
      </c>
      <c r="K131" s="1380" t="str">
        <f t="shared" si="31"/>
        <v>？</v>
      </c>
      <c r="M131" s="1380" t="b">
        <f t="shared" si="32"/>
        <v>0</v>
      </c>
      <c r="N131" s="1380" t="b">
        <f t="shared" si="33"/>
        <v>0</v>
      </c>
      <c r="O131" s="1380" t="b">
        <f t="shared" si="34"/>
        <v>0</v>
      </c>
      <c r="P131" s="1380">
        <f t="shared" si="35"/>
        <v>0</v>
      </c>
      <c r="R131" s="1380" t="str">
        <f t="shared" si="25"/>
        <v>？</v>
      </c>
      <c r="S131" s="1827">
        <v>1</v>
      </c>
      <c r="T131" s="1380" t="str">
        <f t="shared" si="24"/>
        <v>？</v>
      </c>
    </row>
    <row r="132" spans="2:20" ht="21.75" customHeight="1" x14ac:dyDescent="0.15">
      <c r="B132" s="1380" t="str">
        <f>'1_入力シート【基本情報】'!DQ463</f>
        <v>5(28)</v>
      </c>
      <c r="C132" s="1380" t="str">
        <f>'1_入力シート【基本情報】'!AF463&amp;""</f>
        <v/>
      </c>
      <c r="D132" s="1380" t="str">
        <f>'1_入力シート【基本情報】'!BY463&amp;""</f>
        <v/>
      </c>
      <c r="F132" s="1380" t="b">
        <f t="shared" si="26"/>
        <v>1</v>
      </c>
      <c r="G132" s="1380" t="b">
        <f t="shared" si="27"/>
        <v>0</v>
      </c>
      <c r="H132" s="1380" t="b">
        <f t="shared" si="28"/>
        <v>0</v>
      </c>
      <c r="I132" s="1380" t="b">
        <f t="shared" si="29"/>
        <v>0</v>
      </c>
      <c r="J132" s="1380" t="b">
        <f t="shared" si="30"/>
        <v>0</v>
      </c>
      <c r="K132" s="1380" t="str">
        <f t="shared" si="31"/>
        <v>？</v>
      </c>
      <c r="M132" s="1380" t="b">
        <f t="shared" si="32"/>
        <v>0</v>
      </c>
      <c r="N132" s="1380" t="b">
        <f t="shared" si="33"/>
        <v>0</v>
      </c>
      <c r="O132" s="1380" t="b">
        <f t="shared" si="34"/>
        <v>0</v>
      </c>
      <c r="P132" s="1380">
        <f t="shared" si="35"/>
        <v>0</v>
      </c>
      <c r="R132" s="1380" t="str">
        <f t="shared" ref="R132:R163" si="36">INDEX($H$192:$M$199,MATCH(P132,$F$192:$F$199,0),MATCH(K132,$H$191:$M$191,0))</f>
        <v>？</v>
      </c>
      <c r="S132" s="1827">
        <v>1</v>
      </c>
      <c r="T132" s="1380" t="str">
        <f t="shared" si="24"/>
        <v>？</v>
      </c>
    </row>
    <row r="133" spans="2:20" ht="21.75" customHeight="1" x14ac:dyDescent="0.15">
      <c r="B133" s="1380" t="str">
        <f>'1_入力シート【基本情報】'!DQ464</f>
        <v>5(29)</v>
      </c>
      <c r="C133" s="1380" t="str">
        <f>'1_入力シート【基本情報】'!AF464&amp;""</f>
        <v/>
      </c>
      <c r="D133" s="1380" t="str">
        <f>'1_入力シート【基本情報】'!BY464&amp;""</f>
        <v/>
      </c>
      <c r="F133" s="1380" t="b">
        <f t="shared" si="26"/>
        <v>1</v>
      </c>
      <c r="G133" s="1380" t="b">
        <f t="shared" si="27"/>
        <v>0</v>
      </c>
      <c r="H133" s="1380" t="b">
        <f t="shared" si="28"/>
        <v>0</v>
      </c>
      <c r="I133" s="1380" t="b">
        <f t="shared" si="29"/>
        <v>0</v>
      </c>
      <c r="J133" s="1380" t="b">
        <f t="shared" si="30"/>
        <v>0</v>
      </c>
      <c r="K133" s="1380" t="str">
        <f t="shared" si="31"/>
        <v>？</v>
      </c>
      <c r="M133" s="1380" t="b">
        <f t="shared" si="32"/>
        <v>0</v>
      </c>
      <c r="N133" s="1380" t="b">
        <f t="shared" si="33"/>
        <v>0</v>
      </c>
      <c r="O133" s="1380" t="b">
        <f t="shared" si="34"/>
        <v>0</v>
      </c>
      <c r="P133" s="1380">
        <f t="shared" si="35"/>
        <v>0</v>
      </c>
      <c r="R133" s="1380" t="str">
        <f t="shared" si="36"/>
        <v>？</v>
      </c>
      <c r="S133" s="1827">
        <v>1</v>
      </c>
      <c r="T133" s="1380" t="str">
        <f t="shared" ref="T133:T174" si="37">IF(S133=1,R133,"")</f>
        <v>？</v>
      </c>
    </row>
    <row r="134" spans="2:20" ht="21.75" customHeight="1" x14ac:dyDescent="0.15">
      <c r="B134" s="1380" t="str">
        <f>'1_入力シート【基本情報】'!DQ465</f>
        <v>5(30)</v>
      </c>
      <c r="C134" s="1380" t="str">
        <f>'1_入力シート【基本情報】'!AF465&amp;""</f>
        <v/>
      </c>
      <c r="D134" s="1380" t="str">
        <f>'1_入力シート【基本情報】'!BY465&amp;""</f>
        <v/>
      </c>
      <c r="F134" s="1380" t="b">
        <f t="shared" si="26"/>
        <v>1</v>
      </c>
      <c r="G134" s="1380" t="b">
        <f t="shared" si="27"/>
        <v>0</v>
      </c>
      <c r="H134" s="1380" t="b">
        <f t="shared" si="28"/>
        <v>0</v>
      </c>
      <c r="I134" s="1380" t="b">
        <f t="shared" si="29"/>
        <v>0</v>
      </c>
      <c r="J134" s="1380" t="b">
        <f t="shared" si="30"/>
        <v>0</v>
      </c>
      <c r="K134" s="1380" t="str">
        <f t="shared" si="31"/>
        <v>？</v>
      </c>
      <c r="M134" s="1380" t="b">
        <f t="shared" si="32"/>
        <v>0</v>
      </c>
      <c r="N134" s="1380" t="b">
        <f t="shared" si="33"/>
        <v>0</v>
      </c>
      <c r="O134" s="1380" t="b">
        <f t="shared" si="34"/>
        <v>0</v>
      </c>
      <c r="P134" s="1380">
        <f t="shared" si="35"/>
        <v>0</v>
      </c>
      <c r="R134" s="1380" t="str">
        <f t="shared" si="36"/>
        <v>？</v>
      </c>
      <c r="S134" s="1827">
        <v>1</v>
      </c>
      <c r="T134" s="1380" t="str">
        <f t="shared" si="37"/>
        <v>？</v>
      </c>
    </row>
    <row r="135" spans="2:20" ht="21.75" customHeight="1" x14ac:dyDescent="0.15">
      <c r="B135" s="1380" t="str">
        <f>'1_入力シート【基本情報】'!DQ466</f>
        <v>5(31)</v>
      </c>
      <c r="C135" s="1380" t="str">
        <f>'1_入力シート【基本情報】'!AF466&amp;""</f>
        <v/>
      </c>
      <c r="D135" s="1380" t="str">
        <f>'1_入力シート【基本情報】'!BY466&amp;""</f>
        <v/>
      </c>
      <c r="F135" s="1380" t="b">
        <f t="shared" si="26"/>
        <v>1</v>
      </c>
      <c r="G135" s="1380" t="b">
        <f t="shared" si="27"/>
        <v>0</v>
      </c>
      <c r="H135" s="1380" t="b">
        <f t="shared" si="28"/>
        <v>0</v>
      </c>
      <c r="I135" s="1380" t="b">
        <f t="shared" si="29"/>
        <v>0</v>
      </c>
      <c r="J135" s="1380" t="b">
        <f t="shared" si="30"/>
        <v>0</v>
      </c>
      <c r="K135" s="1380" t="str">
        <f t="shared" si="31"/>
        <v>？</v>
      </c>
      <c r="M135" s="1380" t="b">
        <f t="shared" si="32"/>
        <v>0</v>
      </c>
      <c r="N135" s="1380" t="b">
        <f t="shared" si="33"/>
        <v>0</v>
      </c>
      <c r="O135" s="1380" t="b">
        <f t="shared" si="34"/>
        <v>0</v>
      </c>
      <c r="P135" s="1380">
        <f t="shared" si="35"/>
        <v>0</v>
      </c>
      <c r="R135" s="1380" t="str">
        <f t="shared" si="36"/>
        <v>？</v>
      </c>
      <c r="S135" s="1827">
        <v>1</v>
      </c>
      <c r="T135" s="1380" t="str">
        <f t="shared" si="37"/>
        <v>？</v>
      </c>
    </row>
    <row r="136" spans="2:20" ht="21.75" customHeight="1" x14ac:dyDescent="0.15">
      <c r="B136" s="1380" t="str">
        <f>'1_入力シート【基本情報】'!DQ467</f>
        <v>5(32)</v>
      </c>
      <c r="C136" s="1380" t="str">
        <f>'1_入力シート【基本情報】'!AF467&amp;""</f>
        <v/>
      </c>
      <c r="D136" s="1380" t="str">
        <f>'1_入力シート【基本情報】'!BY467&amp;""</f>
        <v/>
      </c>
      <c r="F136" s="1380" t="b">
        <f t="shared" si="26"/>
        <v>1</v>
      </c>
      <c r="G136" s="1380" t="b">
        <f t="shared" si="27"/>
        <v>0</v>
      </c>
      <c r="H136" s="1380" t="b">
        <f t="shared" si="28"/>
        <v>0</v>
      </c>
      <c r="I136" s="1380" t="b">
        <f t="shared" si="29"/>
        <v>0</v>
      </c>
      <c r="J136" s="1380" t="b">
        <f t="shared" si="30"/>
        <v>0</v>
      </c>
      <c r="K136" s="1380" t="str">
        <f t="shared" si="31"/>
        <v>？</v>
      </c>
      <c r="M136" s="1380" t="b">
        <f t="shared" si="32"/>
        <v>0</v>
      </c>
      <c r="N136" s="1380" t="b">
        <f t="shared" si="33"/>
        <v>0</v>
      </c>
      <c r="O136" s="1380" t="b">
        <f t="shared" si="34"/>
        <v>0</v>
      </c>
      <c r="P136" s="1380">
        <f t="shared" si="35"/>
        <v>0</v>
      </c>
      <c r="R136" s="1380" t="str">
        <f t="shared" si="36"/>
        <v>？</v>
      </c>
      <c r="S136" s="1827">
        <v>1</v>
      </c>
      <c r="T136" s="1380" t="str">
        <f t="shared" si="37"/>
        <v>？</v>
      </c>
    </row>
    <row r="137" spans="2:20" ht="21.75" customHeight="1" x14ac:dyDescent="0.15">
      <c r="B137" s="1380" t="str">
        <f>'1_入力シート【基本情報】'!DQ468</f>
        <v>5(33)</v>
      </c>
      <c r="C137" s="1380" t="str">
        <f>'1_入力シート【基本情報】'!AF468&amp;""</f>
        <v/>
      </c>
      <c r="D137" s="1380" t="str">
        <f>'1_入力シート【基本情報】'!BY468&amp;""</f>
        <v/>
      </c>
      <c r="F137" s="1380" t="b">
        <f t="shared" si="26"/>
        <v>1</v>
      </c>
      <c r="G137" s="1380" t="b">
        <f t="shared" si="27"/>
        <v>0</v>
      </c>
      <c r="H137" s="1380" t="b">
        <f t="shared" si="28"/>
        <v>0</v>
      </c>
      <c r="I137" s="1380" t="b">
        <f t="shared" si="29"/>
        <v>0</v>
      </c>
      <c r="J137" s="1380" t="b">
        <f t="shared" si="30"/>
        <v>0</v>
      </c>
      <c r="K137" s="1380" t="str">
        <f t="shared" si="31"/>
        <v>？</v>
      </c>
      <c r="M137" s="1380" t="b">
        <f t="shared" si="32"/>
        <v>0</v>
      </c>
      <c r="N137" s="1380" t="b">
        <f t="shared" si="33"/>
        <v>0</v>
      </c>
      <c r="O137" s="1380" t="b">
        <f t="shared" si="34"/>
        <v>0</v>
      </c>
      <c r="P137" s="1380">
        <f t="shared" si="35"/>
        <v>0</v>
      </c>
      <c r="R137" s="1380" t="str">
        <f t="shared" si="36"/>
        <v>？</v>
      </c>
      <c r="S137" s="1827">
        <v>1</v>
      </c>
      <c r="T137" s="1380" t="str">
        <f t="shared" si="37"/>
        <v>？</v>
      </c>
    </row>
    <row r="138" spans="2:20" ht="21.75" customHeight="1" x14ac:dyDescent="0.15">
      <c r="B138" s="1380" t="str">
        <f>'1_入力シート【基本情報】'!DQ469</f>
        <v>5(34)</v>
      </c>
      <c r="C138" s="1380" t="str">
        <f>'1_入力シート【基本情報】'!AF469&amp;""</f>
        <v/>
      </c>
      <c r="D138" s="1380" t="str">
        <f>'1_入力シート【基本情報】'!BY469&amp;""</f>
        <v/>
      </c>
      <c r="F138" s="1380" t="b">
        <f t="shared" si="26"/>
        <v>1</v>
      </c>
      <c r="G138" s="1380" t="b">
        <f t="shared" si="27"/>
        <v>0</v>
      </c>
      <c r="H138" s="1380" t="b">
        <f t="shared" si="28"/>
        <v>0</v>
      </c>
      <c r="I138" s="1380" t="b">
        <f t="shared" si="29"/>
        <v>0</v>
      </c>
      <c r="J138" s="1380" t="b">
        <f t="shared" si="30"/>
        <v>0</v>
      </c>
      <c r="K138" s="1380" t="str">
        <f t="shared" si="31"/>
        <v>？</v>
      </c>
      <c r="M138" s="1380" t="b">
        <f t="shared" si="32"/>
        <v>0</v>
      </c>
      <c r="N138" s="1380" t="b">
        <f t="shared" si="33"/>
        <v>0</v>
      </c>
      <c r="O138" s="1380" t="b">
        <f t="shared" si="34"/>
        <v>0</v>
      </c>
      <c r="P138" s="1380">
        <f t="shared" si="35"/>
        <v>0</v>
      </c>
      <c r="R138" s="1380" t="str">
        <f t="shared" si="36"/>
        <v>？</v>
      </c>
      <c r="S138" s="1827"/>
      <c r="T138" s="1380" t="str">
        <f t="shared" si="37"/>
        <v/>
      </c>
    </row>
    <row r="139" spans="2:20" ht="21.75" customHeight="1" x14ac:dyDescent="0.15">
      <c r="B139" s="1380" t="str">
        <f>'1_入力シート【基本情報】'!DQ470</f>
        <v>5(35)</v>
      </c>
      <c r="C139" s="1380" t="str">
        <f>'1_入力シート【基本情報】'!AF470&amp;""</f>
        <v/>
      </c>
      <c r="D139" s="1380" t="str">
        <f>'1_入力シート【基本情報】'!BY470&amp;""</f>
        <v/>
      </c>
      <c r="F139" s="1380" t="b">
        <f t="shared" si="26"/>
        <v>1</v>
      </c>
      <c r="G139" s="1380" t="b">
        <f t="shared" si="27"/>
        <v>0</v>
      </c>
      <c r="H139" s="1380" t="b">
        <f t="shared" si="28"/>
        <v>0</v>
      </c>
      <c r="I139" s="1380" t="b">
        <f t="shared" si="29"/>
        <v>0</v>
      </c>
      <c r="J139" s="1380" t="b">
        <f t="shared" si="30"/>
        <v>0</v>
      </c>
      <c r="K139" s="1380" t="str">
        <f t="shared" si="31"/>
        <v>？</v>
      </c>
      <c r="M139" s="1380" t="b">
        <f t="shared" si="32"/>
        <v>0</v>
      </c>
      <c r="N139" s="1380" t="b">
        <f t="shared" si="33"/>
        <v>0</v>
      </c>
      <c r="O139" s="1380" t="b">
        <f t="shared" si="34"/>
        <v>0</v>
      </c>
      <c r="P139" s="1380">
        <f t="shared" si="35"/>
        <v>0</v>
      </c>
      <c r="R139" s="1380" t="str">
        <f t="shared" si="36"/>
        <v>？</v>
      </c>
      <c r="S139" s="1827"/>
      <c r="T139" s="1380" t="str">
        <f t="shared" si="37"/>
        <v/>
      </c>
    </row>
    <row r="140" spans="2:20" ht="21.75" customHeight="1" x14ac:dyDescent="0.15">
      <c r="B140" s="1380" t="str">
        <f>'1_入力シート【基本情報】'!DQ471</f>
        <v>5(36)</v>
      </c>
      <c r="C140" s="1380" t="str">
        <f>'1_入力シート【基本情報】'!AF471&amp;""</f>
        <v/>
      </c>
      <c r="D140" s="1380" t="str">
        <f>'1_入力シート【基本情報】'!BY471&amp;""</f>
        <v/>
      </c>
      <c r="F140" s="1380" t="b">
        <f t="shared" si="26"/>
        <v>1</v>
      </c>
      <c r="G140" s="1380" t="b">
        <f t="shared" si="27"/>
        <v>0</v>
      </c>
      <c r="H140" s="1380" t="b">
        <f t="shared" si="28"/>
        <v>0</v>
      </c>
      <c r="I140" s="1380" t="b">
        <f t="shared" si="29"/>
        <v>0</v>
      </c>
      <c r="J140" s="1380" t="b">
        <f t="shared" si="30"/>
        <v>0</v>
      </c>
      <c r="K140" s="1380" t="str">
        <f t="shared" si="31"/>
        <v>？</v>
      </c>
      <c r="M140" s="1380" t="b">
        <f t="shared" si="32"/>
        <v>0</v>
      </c>
      <c r="N140" s="1380" t="b">
        <f t="shared" si="33"/>
        <v>0</v>
      </c>
      <c r="O140" s="1380" t="b">
        <f t="shared" si="34"/>
        <v>0</v>
      </c>
      <c r="P140" s="1380">
        <f t="shared" si="35"/>
        <v>0</v>
      </c>
      <c r="R140" s="1380" t="str">
        <f t="shared" si="36"/>
        <v>？</v>
      </c>
      <c r="S140" s="1827"/>
      <c r="T140" s="1380" t="str">
        <f t="shared" si="37"/>
        <v/>
      </c>
    </row>
    <row r="141" spans="2:20" ht="21.75" customHeight="1" x14ac:dyDescent="0.15">
      <c r="B141" s="1380" t="str">
        <f>'1_入力シート【基本情報】'!DQ472</f>
        <v>5(37)</v>
      </c>
      <c r="C141" s="1380" t="str">
        <f>'1_入力シート【基本情報】'!AF472&amp;""</f>
        <v/>
      </c>
      <c r="D141" s="1380" t="str">
        <f>'1_入力シート【基本情報】'!BY472&amp;""</f>
        <v/>
      </c>
      <c r="F141" s="1380" t="b">
        <f t="shared" si="26"/>
        <v>1</v>
      </c>
      <c r="G141" s="1380" t="b">
        <f t="shared" si="27"/>
        <v>0</v>
      </c>
      <c r="H141" s="1380" t="b">
        <f t="shared" si="28"/>
        <v>0</v>
      </c>
      <c r="I141" s="1380" t="b">
        <f t="shared" si="29"/>
        <v>0</v>
      </c>
      <c r="J141" s="1380" t="b">
        <f t="shared" si="30"/>
        <v>0</v>
      </c>
      <c r="K141" s="1380" t="str">
        <f t="shared" si="31"/>
        <v>？</v>
      </c>
      <c r="M141" s="1380" t="b">
        <f t="shared" si="32"/>
        <v>0</v>
      </c>
      <c r="N141" s="1380" t="b">
        <f t="shared" si="33"/>
        <v>0</v>
      </c>
      <c r="O141" s="1380" t="b">
        <f t="shared" si="34"/>
        <v>0</v>
      </c>
      <c r="P141" s="1380">
        <f t="shared" si="35"/>
        <v>0</v>
      </c>
      <c r="R141" s="1380" t="str">
        <f t="shared" si="36"/>
        <v>？</v>
      </c>
      <c r="S141" s="1827"/>
      <c r="T141" s="1380" t="str">
        <f t="shared" si="37"/>
        <v/>
      </c>
    </row>
    <row r="142" spans="2:20" ht="21.75" customHeight="1" x14ac:dyDescent="0.15">
      <c r="B142" s="1380" t="str">
        <f>'1_入力シート【基本情報】'!DQ473</f>
        <v>5(38)</v>
      </c>
      <c r="C142" s="1380" t="str">
        <f>'1_入力シート【基本情報】'!AF473&amp;""</f>
        <v/>
      </c>
      <c r="D142" s="1380" t="str">
        <f>'1_入力シート【基本情報】'!BY473&amp;""</f>
        <v/>
      </c>
      <c r="F142" s="1380" t="b">
        <f t="shared" si="26"/>
        <v>1</v>
      </c>
      <c r="G142" s="1380" t="b">
        <f t="shared" si="27"/>
        <v>0</v>
      </c>
      <c r="H142" s="1380" t="b">
        <f t="shared" si="28"/>
        <v>0</v>
      </c>
      <c r="I142" s="1380" t="b">
        <f t="shared" si="29"/>
        <v>0</v>
      </c>
      <c r="J142" s="1380" t="b">
        <f t="shared" si="30"/>
        <v>0</v>
      </c>
      <c r="K142" s="1380" t="str">
        <f t="shared" si="31"/>
        <v>？</v>
      </c>
      <c r="M142" s="1380" t="b">
        <f t="shared" si="32"/>
        <v>0</v>
      </c>
      <c r="N142" s="1380" t="b">
        <f t="shared" si="33"/>
        <v>0</v>
      </c>
      <c r="O142" s="1380" t="b">
        <f t="shared" si="34"/>
        <v>0</v>
      </c>
      <c r="P142" s="1380">
        <f t="shared" si="35"/>
        <v>0</v>
      </c>
      <c r="R142" s="1380" t="str">
        <f t="shared" si="36"/>
        <v>？</v>
      </c>
      <c r="S142" s="1827"/>
      <c r="T142" s="1380" t="str">
        <f t="shared" si="37"/>
        <v/>
      </c>
    </row>
    <row r="143" spans="2:20" ht="21.75" customHeight="1" x14ac:dyDescent="0.15">
      <c r="B143" s="1380" t="str">
        <f>'1_入力シート【基本情報】'!DQ478</f>
        <v>6(1)</v>
      </c>
      <c r="C143" s="1380" t="str">
        <f>'1_入力シート【基本情報】'!AF478&amp;""</f>
        <v/>
      </c>
      <c r="D143" s="1380" t="str">
        <f>'1_入力シート【基本情報】'!BY478&amp;""</f>
        <v/>
      </c>
      <c r="F143" s="1380" t="b">
        <f t="shared" si="26"/>
        <v>1</v>
      </c>
      <c r="G143" s="1380" t="b">
        <f t="shared" si="27"/>
        <v>0</v>
      </c>
      <c r="H143" s="1380" t="b">
        <f t="shared" si="28"/>
        <v>0</v>
      </c>
      <c r="I143" s="1380" t="b">
        <f t="shared" si="29"/>
        <v>0</v>
      </c>
      <c r="J143" s="1380" t="b">
        <f t="shared" si="30"/>
        <v>0</v>
      </c>
      <c r="K143" s="1380" t="str">
        <f t="shared" si="31"/>
        <v>？</v>
      </c>
      <c r="M143" s="1380" t="b">
        <f t="shared" si="32"/>
        <v>0</v>
      </c>
      <c r="N143" s="1380" t="b">
        <f t="shared" si="33"/>
        <v>0</v>
      </c>
      <c r="O143" s="1380" t="b">
        <f t="shared" si="34"/>
        <v>0</v>
      </c>
      <c r="P143" s="1380">
        <f t="shared" si="35"/>
        <v>0</v>
      </c>
      <c r="R143" s="1380" t="str">
        <f t="shared" si="36"/>
        <v>？</v>
      </c>
      <c r="S143" s="1827">
        <v>1</v>
      </c>
      <c r="T143" s="1380" t="str">
        <f t="shared" si="37"/>
        <v>？</v>
      </c>
    </row>
    <row r="144" spans="2:20" ht="21.75" customHeight="1" x14ac:dyDescent="0.15">
      <c r="B144" s="1380" t="str">
        <f>'1_入力シート【基本情報】'!DQ479</f>
        <v>6(2)</v>
      </c>
      <c r="C144" s="1380" t="str">
        <f>'1_入力シート【基本情報】'!AF479&amp;""</f>
        <v/>
      </c>
      <c r="D144" s="1380" t="str">
        <f>'1_入力シート【基本情報】'!BY479&amp;""</f>
        <v/>
      </c>
      <c r="F144" s="1380" t="b">
        <f t="shared" si="26"/>
        <v>1</v>
      </c>
      <c r="G144" s="1380" t="b">
        <f t="shared" si="27"/>
        <v>0</v>
      </c>
      <c r="H144" s="1380" t="b">
        <f t="shared" si="28"/>
        <v>0</v>
      </c>
      <c r="I144" s="1380" t="b">
        <f t="shared" si="29"/>
        <v>0</v>
      </c>
      <c r="J144" s="1380" t="b">
        <f t="shared" si="30"/>
        <v>0</v>
      </c>
      <c r="K144" s="1380" t="str">
        <f t="shared" si="31"/>
        <v>？</v>
      </c>
      <c r="M144" s="1380" t="b">
        <f t="shared" si="32"/>
        <v>0</v>
      </c>
      <c r="N144" s="1380" t="b">
        <f t="shared" si="33"/>
        <v>0</v>
      </c>
      <c r="O144" s="1380" t="b">
        <f t="shared" si="34"/>
        <v>0</v>
      </c>
      <c r="P144" s="1380">
        <f t="shared" si="35"/>
        <v>0</v>
      </c>
      <c r="R144" s="1380" t="str">
        <f t="shared" si="36"/>
        <v>？</v>
      </c>
      <c r="S144" s="1827">
        <v>1</v>
      </c>
      <c r="T144" s="1380" t="str">
        <f t="shared" si="37"/>
        <v>？</v>
      </c>
    </row>
    <row r="145" spans="2:20" ht="21.75" customHeight="1" x14ac:dyDescent="0.15">
      <c r="B145" s="1380" t="str">
        <f>'1_入力シート【基本情報】'!DQ480</f>
        <v>6(3)</v>
      </c>
      <c r="C145" s="1380" t="str">
        <f>'1_入力シート【基本情報】'!AF480&amp;""</f>
        <v/>
      </c>
      <c r="D145" s="1380" t="str">
        <f>'1_入力シート【基本情報】'!BY480&amp;""</f>
        <v/>
      </c>
      <c r="F145" s="1380" t="b">
        <f t="shared" si="26"/>
        <v>1</v>
      </c>
      <c r="G145" s="1380" t="b">
        <f t="shared" si="27"/>
        <v>0</v>
      </c>
      <c r="H145" s="1380" t="b">
        <f t="shared" si="28"/>
        <v>0</v>
      </c>
      <c r="I145" s="1380" t="b">
        <f t="shared" si="29"/>
        <v>0</v>
      </c>
      <c r="J145" s="1380" t="b">
        <f t="shared" si="30"/>
        <v>0</v>
      </c>
      <c r="K145" s="1380" t="str">
        <f t="shared" si="31"/>
        <v>？</v>
      </c>
      <c r="M145" s="1380" t="b">
        <f t="shared" si="32"/>
        <v>0</v>
      </c>
      <c r="N145" s="1380" t="b">
        <f t="shared" si="33"/>
        <v>0</v>
      </c>
      <c r="O145" s="1380" t="b">
        <f t="shared" si="34"/>
        <v>0</v>
      </c>
      <c r="P145" s="1380">
        <f t="shared" si="35"/>
        <v>0</v>
      </c>
      <c r="R145" s="1380" t="str">
        <f t="shared" si="36"/>
        <v>？</v>
      </c>
      <c r="S145" s="1827">
        <v>1</v>
      </c>
      <c r="T145" s="1380" t="str">
        <f t="shared" si="37"/>
        <v>？</v>
      </c>
    </row>
    <row r="146" spans="2:20" ht="21.75" customHeight="1" x14ac:dyDescent="0.15">
      <c r="B146" s="1380" t="str">
        <f>'1_入力シート【基本情報】'!DQ481</f>
        <v>6(4)</v>
      </c>
      <c r="C146" s="1380" t="str">
        <f>'1_入力シート【基本情報】'!AF481&amp;""</f>
        <v/>
      </c>
      <c r="D146" s="1380" t="str">
        <f>'1_入力シート【基本情報】'!BY481&amp;""</f>
        <v/>
      </c>
      <c r="F146" s="1380" t="b">
        <f t="shared" si="26"/>
        <v>1</v>
      </c>
      <c r="G146" s="1380" t="b">
        <f t="shared" si="27"/>
        <v>0</v>
      </c>
      <c r="H146" s="1380" t="b">
        <f t="shared" si="28"/>
        <v>0</v>
      </c>
      <c r="I146" s="1380" t="b">
        <f t="shared" si="29"/>
        <v>0</v>
      </c>
      <c r="J146" s="1380" t="b">
        <f t="shared" si="30"/>
        <v>0</v>
      </c>
      <c r="K146" s="1380" t="str">
        <f t="shared" si="31"/>
        <v>？</v>
      </c>
      <c r="M146" s="1380" t="b">
        <f t="shared" si="32"/>
        <v>0</v>
      </c>
      <c r="N146" s="1380" t="b">
        <f t="shared" si="33"/>
        <v>0</v>
      </c>
      <c r="O146" s="1380" t="b">
        <f t="shared" si="34"/>
        <v>0</v>
      </c>
      <c r="P146" s="1380">
        <f t="shared" si="35"/>
        <v>0</v>
      </c>
      <c r="R146" s="1380" t="str">
        <f t="shared" si="36"/>
        <v>？</v>
      </c>
      <c r="S146" s="1827">
        <v>1</v>
      </c>
      <c r="T146" s="1380" t="str">
        <f t="shared" si="37"/>
        <v>？</v>
      </c>
    </row>
    <row r="147" spans="2:20" ht="21.75" customHeight="1" x14ac:dyDescent="0.15">
      <c r="B147" s="1380" t="str">
        <f>'1_入力シート【基本情報】'!DQ482</f>
        <v>6(5)</v>
      </c>
      <c r="C147" s="1380" t="str">
        <f>'1_入力シート【基本情報】'!AF482&amp;""</f>
        <v/>
      </c>
      <c r="D147" s="1380" t="str">
        <f>'1_入力シート【基本情報】'!BY482&amp;""</f>
        <v/>
      </c>
      <c r="F147" s="1380" t="b">
        <f t="shared" si="26"/>
        <v>1</v>
      </c>
      <c r="G147" s="1380" t="b">
        <f t="shared" si="27"/>
        <v>0</v>
      </c>
      <c r="H147" s="1380" t="b">
        <f t="shared" si="28"/>
        <v>0</v>
      </c>
      <c r="I147" s="1380" t="b">
        <f t="shared" si="29"/>
        <v>0</v>
      </c>
      <c r="J147" s="1380" t="b">
        <f t="shared" si="30"/>
        <v>0</v>
      </c>
      <c r="K147" s="1380" t="str">
        <f t="shared" si="31"/>
        <v>？</v>
      </c>
      <c r="M147" s="1380" t="b">
        <f t="shared" si="32"/>
        <v>0</v>
      </c>
      <c r="N147" s="1380" t="b">
        <f t="shared" si="33"/>
        <v>0</v>
      </c>
      <c r="O147" s="1380" t="b">
        <f t="shared" si="34"/>
        <v>0</v>
      </c>
      <c r="P147" s="1380">
        <f t="shared" si="35"/>
        <v>0</v>
      </c>
      <c r="R147" s="1380" t="str">
        <f t="shared" si="36"/>
        <v>？</v>
      </c>
      <c r="S147" s="1827">
        <v>1</v>
      </c>
      <c r="T147" s="1380" t="str">
        <f t="shared" si="37"/>
        <v>？</v>
      </c>
    </row>
    <row r="148" spans="2:20" ht="21.75" customHeight="1" x14ac:dyDescent="0.15">
      <c r="B148" s="1380" t="str">
        <f>'1_入力シート【基本情報】'!DQ483</f>
        <v>6(6)</v>
      </c>
      <c r="C148" s="1380" t="str">
        <f>'1_入力シート【基本情報】'!AF483&amp;""</f>
        <v/>
      </c>
      <c r="D148" s="1380" t="str">
        <f>'1_入力シート【基本情報】'!BY483&amp;""</f>
        <v/>
      </c>
      <c r="F148" s="1380" t="b">
        <f t="shared" si="26"/>
        <v>1</v>
      </c>
      <c r="G148" s="1380" t="b">
        <f t="shared" si="27"/>
        <v>0</v>
      </c>
      <c r="H148" s="1380" t="b">
        <f t="shared" si="28"/>
        <v>0</v>
      </c>
      <c r="I148" s="1380" t="b">
        <f t="shared" si="29"/>
        <v>0</v>
      </c>
      <c r="J148" s="1380" t="b">
        <f t="shared" si="30"/>
        <v>0</v>
      </c>
      <c r="K148" s="1380" t="str">
        <f t="shared" si="31"/>
        <v>？</v>
      </c>
      <c r="M148" s="1380" t="b">
        <f t="shared" si="32"/>
        <v>0</v>
      </c>
      <c r="N148" s="1380" t="b">
        <f t="shared" si="33"/>
        <v>0</v>
      </c>
      <c r="O148" s="1380" t="b">
        <f t="shared" si="34"/>
        <v>0</v>
      </c>
      <c r="P148" s="1380">
        <f t="shared" si="35"/>
        <v>0</v>
      </c>
      <c r="R148" s="1380" t="str">
        <f t="shared" si="36"/>
        <v>？</v>
      </c>
      <c r="S148" s="1827">
        <v>1</v>
      </c>
      <c r="T148" s="1380" t="str">
        <f t="shared" si="37"/>
        <v>？</v>
      </c>
    </row>
    <row r="149" spans="2:20" ht="21.75" customHeight="1" x14ac:dyDescent="0.15">
      <c r="B149" s="1380" t="str">
        <f>'1_入力シート【基本情報】'!DQ484</f>
        <v>6(7)</v>
      </c>
      <c r="C149" s="1380" t="str">
        <f>'1_入力シート【基本情報】'!AF484&amp;""</f>
        <v/>
      </c>
      <c r="D149" s="1380" t="str">
        <f>'1_入力シート【基本情報】'!BY484&amp;""</f>
        <v/>
      </c>
      <c r="F149" s="1380" t="b">
        <f t="shared" si="26"/>
        <v>1</v>
      </c>
      <c r="G149" s="1380" t="b">
        <f t="shared" si="27"/>
        <v>0</v>
      </c>
      <c r="H149" s="1380" t="b">
        <f t="shared" si="28"/>
        <v>0</v>
      </c>
      <c r="I149" s="1380" t="b">
        <f t="shared" si="29"/>
        <v>0</v>
      </c>
      <c r="J149" s="1380" t="b">
        <f t="shared" si="30"/>
        <v>0</v>
      </c>
      <c r="K149" s="1380" t="str">
        <f t="shared" si="31"/>
        <v>？</v>
      </c>
      <c r="M149" s="1380" t="b">
        <f t="shared" si="32"/>
        <v>0</v>
      </c>
      <c r="N149" s="1380" t="b">
        <f t="shared" si="33"/>
        <v>0</v>
      </c>
      <c r="O149" s="1380" t="b">
        <f t="shared" si="34"/>
        <v>0</v>
      </c>
      <c r="P149" s="1380">
        <f t="shared" si="35"/>
        <v>0</v>
      </c>
      <c r="R149" s="1380" t="str">
        <f t="shared" si="36"/>
        <v>？</v>
      </c>
      <c r="S149" s="1827">
        <v>1</v>
      </c>
      <c r="T149" s="1380" t="str">
        <f t="shared" si="37"/>
        <v>？</v>
      </c>
    </row>
    <row r="150" spans="2:20" ht="21.75" customHeight="1" x14ac:dyDescent="0.15">
      <c r="B150" s="1380" t="str">
        <f>'1_入力シート【基本情報】'!DQ485</f>
        <v>6(8)</v>
      </c>
      <c r="C150" s="1380" t="str">
        <f>'1_入力シート【基本情報】'!AF485&amp;""</f>
        <v/>
      </c>
      <c r="D150" s="1380" t="str">
        <f>'1_入力シート【基本情報】'!BY485&amp;""</f>
        <v/>
      </c>
      <c r="F150" s="1380" t="b">
        <f t="shared" si="26"/>
        <v>1</v>
      </c>
      <c r="G150" s="1380" t="b">
        <f t="shared" si="27"/>
        <v>0</v>
      </c>
      <c r="H150" s="1380" t="b">
        <f t="shared" si="28"/>
        <v>0</v>
      </c>
      <c r="I150" s="1380" t="b">
        <f t="shared" si="29"/>
        <v>0</v>
      </c>
      <c r="J150" s="1380" t="b">
        <f t="shared" si="30"/>
        <v>0</v>
      </c>
      <c r="K150" s="1380" t="str">
        <f t="shared" si="31"/>
        <v>？</v>
      </c>
      <c r="M150" s="1380" t="b">
        <f t="shared" si="32"/>
        <v>0</v>
      </c>
      <c r="N150" s="1380" t="b">
        <f t="shared" si="33"/>
        <v>0</v>
      </c>
      <c r="O150" s="1380" t="b">
        <f t="shared" si="34"/>
        <v>0</v>
      </c>
      <c r="P150" s="1380">
        <f t="shared" si="35"/>
        <v>0</v>
      </c>
      <c r="R150" s="1380" t="str">
        <f t="shared" si="36"/>
        <v>？</v>
      </c>
      <c r="S150" s="1827">
        <v>1</v>
      </c>
      <c r="T150" s="1380" t="str">
        <f t="shared" si="37"/>
        <v>？</v>
      </c>
    </row>
    <row r="151" spans="2:20" ht="21.75" customHeight="1" x14ac:dyDescent="0.15">
      <c r="B151" s="1380" t="str">
        <f>'1_入力シート【基本情報】'!DQ486</f>
        <v>6(9)</v>
      </c>
      <c r="C151" s="1380" t="str">
        <f>'1_入力シート【基本情報】'!AF486&amp;""</f>
        <v/>
      </c>
      <c r="D151" s="1380" t="str">
        <f>'1_入力シート【基本情報】'!BY486&amp;""</f>
        <v/>
      </c>
      <c r="F151" s="1380" t="b">
        <f t="shared" si="26"/>
        <v>1</v>
      </c>
      <c r="G151" s="1380" t="b">
        <f t="shared" si="27"/>
        <v>0</v>
      </c>
      <c r="H151" s="1380" t="b">
        <f t="shared" si="28"/>
        <v>0</v>
      </c>
      <c r="I151" s="1380" t="b">
        <f t="shared" si="29"/>
        <v>0</v>
      </c>
      <c r="J151" s="1380" t="b">
        <f t="shared" si="30"/>
        <v>0</v>
      </c>
      <c r="K151" s="1380" t="str">
        <f t="shared" si="31"/>
        <v>？</v>
      </c>
      <c r="M151" s="1380" t="b">
        <f t="shared" si="32"/>
        <v>0</v>
      </c>
      <c r="N151" s="1380" t="b">
        <f t="shared" si="33"/>
        <v>0</v>
      </c>
      <c r="O151" s="1380" t="b">
        <f t="shared" si="34"/>
        <v>0</v>
      </c>
      <c r="P151" s="1380">
        <f t="shared" si="35"/>
        <v>0</v>
      </c>
      <c r="R151" s="1380" t="str">
        <f t="shared" si="36"/>
        <v>？</v>
      </c>
      <c r="S151" s="1827">
        <v>1</v>
      </c>
      <c r="T151" s="1380" t="str">
        <f t="shared" si="37"/>
        <v>？</v>
      </c>
    </row>
    <row r="152" spans="2:20" ht="21.75" customHeight="1" x14ac:dyDescent="0.15">
      <c r="B152" s="1380" t="str">
        <f>'1_入力シート【基本情報】'!DQ487</f>
        <v>6(10)</v>
      </c>
      <c r="C152" s="1380" t="str">
        <f>'1_入力シート【基本情報】'!AF487&amp;""</f>
        <v/>
      </c>
      <c r="D152" s="1380" t="str">
        <f>'1_入力シート【基本情報】'!BY487&amp;""</f>
        <v/>
      </c>
      <c r="F152" s="1380" t="b">
        <f t="shared" si="26"/>
        <v>1</v>
      </c>
      <c r="G152" s="1380" t="b">
        <f t="shared" si="27"/>
        <v>0</v>
      </c>
      <c r="H152" s="1380" t="b">
        <f t="shared" si="28"/>
        <v>0</v>
      </c>
      <c r="I152" s="1380" t="b">
        <f t="shared" si="29"/>
        <v>0</v>
      </c>
      <c r="J152" s="1380" t="b">
        <f t="shared" si="30"/>
        <v>0</v>
      </c>
      <c r="K152" s="1380" t="str">
        <f t="shared" si="31"/>
        <v>？</v>
      </c>
      <c r="M152" s="1380" t="b">
        <f t="shared" si="32"/>
        <v>0</v>
      </c>
      <c r="N152" s="1380" t="b">
        <f t="shared" si="33"/>
        <v>0</v>
      </c>
      <c r="O152" s="1380" t="b">
        <f t="shared" si="34"/>
        <v>0</v>
      </c>
      <c r="P152" s="1380">
        <f t="shared" si="35"/>
        <v>0</v>
      </c>
      <c r="R152" s="1380" t="str">
        <f t="shared" si="36"/>
        <v>？</v>
      </c>
      <c r="S152" s="1827"/>
      <c r="T152" s="1380" t="str">
        <f t="shared" si="37"/>
        <v/>
      </c>
    </row>
    <row r="153" spans="2:20" ht="21.75" customHeight="1" x14ac:dyDescent="0.15">
      <c r="B153" s="1380" t="str">
        <f>'1_入力シート【基本情報】'!DQ488</f>
        <v>6(11)</v>
      </c>
      <c r="C153" s="1380" t="str">
        <f>'1_入力シート【基本情報】'!AF488&amp;""</f>
        <v/>
      </c>
      <c r="D153" s="1380" t="str">
        <f>'1_入力シート【基本情報】'!BY488&amp;""</f>
        <v/>
      </c>
      <c r="F153" s="1380" t="b">
        <f t="shared" si="26"/>
        <v>1</v>
      </c>
      <c r="G153" s="1380" t="b">
        <f t="shared" si="27"/>
        <v>0</v>
      </c>
      <c r="H153" s="1380" t="b">
        <f t="shared" si="28"/>
        <v>0</v>
      </c>
      <c r="I153" s="1380" t="b">
        <f t="shared" si="29"/>
        <v>0</v>
      </c>
      <c r="J153" s="1380" t="b">
        <f t="shared" si="30"/>
        <v>0</v>
      </c>
      <c r="K153" s="1380" t="str">
        <f t="shared" si="31"/>
        <v>？</v>
      </c>
      <c r="M153" s="1380" t="b">
        <f t="shared" si="32"/>
        <v>0</v>
      </c>
      <c r="N153" s="1380" t="b">
        <f t="shared" si="33"/>
        <v>0</v>
      </c>
      <c r="O153" s="1380" t="b">
        <f t="shared" si="34"/>
        <v>0</v>
      </c>
      <c r="P153" s="1380">
        <f t="shared" si="35"/>
        <v>0</v>
      </c>
      <c r="R153" s="1380" t="str">
        <f t="shared" si="36"/>
        <v>？</v>
      </c>
      <c r="S153" s="1827"/>
      <c r="T153" s="1380" t="str">
        <f t="shared" si="37"/>
        <v/>
      </c>
    </row>
    <row r="154" spans="2:20" ht="21.75" customHeight="1" x14ac:dyDescent="0.15">
      <c r="B154" s="1380" t="str">
        <f>'1_入力シート【基本情報】'!DQ489</f>
        <v>6(12)</v>
      </c>
      <c r="C154" s="1380" t="str">
        <f>'1_入力シート【基本情報】'!AF489&amp;""</f>
        <v/>
      </c>
      <c r="D154" s="1380" t="str">
        <f>'1_入力シート【基本情報】'!BY489&amp;""</f>
        <v/>
      </c>
      <c r="F154" s="1380" t="b">
        <f t="shared" si="26"/>
        <v>1</v>
      </c>
      <c r="G154" s="1380" t="b">
        <f t="shared" si="27"/>
        <v>0</v>
      </c>
      <c r="H154" s="1380" t="b">
        <f t="shared" si="28"/>
        <v>0</v>
      </c>
      <c r="I154" s="1380" t="b">
        <f t="shared" si="29"/>
        <v>0</v>
      </c>
      <c r="J154" s="1380" t="b">
        <f t="shared" si="30"/>
        <v>0</v>
      </c>
      <c r="K154" s="1380" t="str">
        <f t="shared" si="31"/>
        <v>？</v>
      </c>
      <c r="M154" s="1380" t="b">
        <f t="shared" si="32"/>
        <v>0</v>
      </c>
      <c r="N154" s="1380" t="b">
        <f t="shared" si="33"/>
        <v>0</v>
      </c>
      <c r="O154" s="1380" t="b">
        <f t="shared" si="34"/>
        <v>0</v>
      </c>
      <c r="P154" s="1380">
        <f t="shared" si="35"/>
        <v>0</v>
      </c>
      <c r="R154" s="1380" t="str">
        <f t="shared" si="36"/>
        <v>？</v>
      </c>
      <c r="S154" s="1827"/>
      <c r="T154" s="1380" t="str">
        <f t="shared" si="37"/>
        <v/>
      </c>
    </row>
    <row r="155" spans="2:20" ht="21.75" customHeight="1" x14ac:dyDescent="0.15">
      <c r="B155" s="1380" t="str">
        <f>'1_入力シート【基本情報】'!DQ490</f>
        <v>6(13)</v>
      </c>
      <c r="C155" s="1380" t="str">
        <f>'1_入力シート【基本情報】'!AF490&amp;""</f>
        <v/>
      </c>
      <c r="D155" s="1380" t="str">
        <f>'1_入力シート【基本情報】'!BY490&amp;""</f>
        <v/>
      </c>
      <c r="F155" s="1380" t="b">
        <f t="shared" si="26"/>
        <v>1</v>
      </c>
      <c r="G155" s="1380" t="b">
        <f t="shared" si="27"/>
        <v>0</v>
      </c>
      <c r="H155" s="1380" t="b">
        <f t="shared" si="28"/>
        <v>0</v>
      </c>
      <c r="I155" s="1380" t="b">
        <f t="shared" si="29"/>
        <v>0</v>
      </c>
      <c r="J155" s="1380" t="b">
        <f t="shared" si="30"/>
        <v>0</v>
      </c>
      <c r="K155" s="1380" t="str">
        <f t="shared" si="31"/>
        <v>？</v>
      </c>
      <c r="M155" s="1380" t="b">
        <f t="shared" si="32"/>
        <v>0</v>
      </c>
      <c r="N155" s="1380" t="b">
        <f t="shared" si="33"/>
        <v>0</v>
      </c>
      <c r="O155" s="1380" t="b">
        <f t="shared" si="34"/>
        <v>0</v>
      </c>
      <c r="P155" s="1380">
        <f t="shared" si="35"/>
        <v>0</v>
      </c>
      <c r="R155" s="1380" t="str">
        <f t="shared" si="36"/>
        <v>？</v>
      </c>
      <c r="S155" s="1827"/>
      <c r="T155" s="1380" t="str">
        <f t="shared" si="37"/>
        <v/>
      </c>
    </row>
    <row r="156" spans="2:20" ht="21.75" customHeight="1" x14ac:dyDescent="0.15">
      <c r="B156" s="1380" t="str">
        <f>'1_入力シート【基本情報】'!DQ491</f>
        <v>6(14)</v>
      </c>
      <c r="C156" s="1380" t="str">
        <f>'1_入力シート【基本情報】'!AF491&amp;""</f>
        <v/>
      </c>
      <c r="D156" s="1380" t="str">
        <f>'1_入力シート【基本情報】'!BY491&amp;""</f>
        <v/>
      </c>
      <c r="F156" s="1380" t="b">
        <f t="shared" si="26"/>
        <v>1</v>
      </c>
      <c r="G156" s="1380" t="b">
        <f t="shared" si="27"/>
        <v>0</v>
      </c>
      <c r="H156" s="1380" t="b">
        <f t="shared" si="28"/>
        <v>0</v>
      </c>
      <c r="I156" s="1380" t="b">
        <f t="shared" si="29"/>
        <v>0</v>
      </c>
      <c r="J156" s="1380" t="b">
        <f t="shared" si="30"/>
        <v>0</v>
      </c>
      <c r="K156" s="1380" t="str">
        <f t="shared" si="31"/>
        <v>？</v>
      </c>
      <c r="M156" s="1380" t="b">
        <f t="shared" si="32"/>
        <v>0</v>
      </c>
      <c r="N156" s="1380" t="b">
        <f t="shared" si="33"/>
        <v>0</v>
      </c>
      <c r="O156" s="1380" t="b">
        <f t="shared" si="34"/>
        <v>0</v>
      </c>
      <c r="P156" s="1380">
        <f t="shared" si="35"/>
        <v>0</v>
      </c>
      <c r="R156" s="1380" t="str">
        <f t="shared" si="36"/>
        <v>？</v>
      </c>
      <c r="S156" s="1827"/>
      <c r="T156" s="1380" t="str">
        <f t="shared" si="37"/>
        <v/>
      </c>
    </row>
    <row r="157" spans="2:20" ht="21.75" customHeight="1" x14ac:dyDescent="0.15">
      <c r="B157" s="1380" t="str">
        <f>'1_入力シート【基本情報】'!DQ497</f>
        <v>7(1)</v>
      </c>
      <c r="C157" s="1380" t="str">
        <f>'1_入力シート【基本情報】'!AF497&amp;""</f>
        <v/>
      </c>
      <c r="D157" s="1380" t="str">
        <f>'1_入力シート【基本情報】'!BY497&amp;""</f>
        <v/>
      </c>
      <c r="F157" s="1380" t="b">
        <f t="shared" si="26"/>
        <v>1</v>
      </c>
      <c r="G157" s="1380" t="b">
        <f t="shared" si="27"/>
        <v>0</v>
      </c>
      <c r="H157" s="1380" t="b">
        <f t="shared" si="28"/>
        <v>0</v>
      </c>
      <c r="I157" s="1380" t="b">
        <f t="shared" si="29"/>
        <v>0</v>
      </c>
      <c r="J157" s="1380" t="b">
        <f t="shared" si="30"/>
        <v>0</v>
      </c>
      <c r="K157" s="1380" t="str">
        <f t="shared" si="31"/>
        <v>？</v>
      </c>
      <c r="M157" s="1380" t="b">
        <f t="shared" si="32"/>
        <v>0</v>
      </c>
      <c r="N157" s="1380" t="b">
        <f t="shared" si="33"/>
        <v>0</v>
      </c>
      <c r="O157" s="1380" t="b">
        <f t="shared" si="34"/>
        <v>0</v>
      </c>
      <c r="P157" s="1380">
        <f t="shared" si="35"/>
        <v>0</v>
      </c>
      <c r="R157" s="1380" t="str">
        <f t="shared" si="36"/>
        <v>？</v>
      </c>
      <c r="S157" s="1827">
        <v>1</v>
      </c>
      <c r="T157" s="1380" t="str">
        <f t="shared" si="37"/>
        <v>？</v>
      </c>
    </row>
    <row r="158" spans="2:20" ht="21.75" customHeight="1" x14ac:dyDescent="0.15">
      <c r="B158" s="1380" t="str">
        <f>'1_入力シート【基本情報】'!DQ498</f>
        <v>7(2)</v>
      </c>
      <c r="C158" s="1380" t="str">
        <f>'1_入力シート【基本情報】'!AF498&amp;""</f>
        <v/>
      </c>
      <c r="D158" s="1380" t="str">
        <f>'1_入力シート【基本情報】'!BY498&amp;""</f>
        <v/>
      </c>
      <c r="F158" s="1380" t="b">
        <f t="shared" si="26"/>
        <v>1</v>
      </c>
      <c r="G158" s="1380" t="b">
        <f t="shared" si="27"/>
        <v>0</v>
      </c>
      <c r="H158" s="1380" t="b">
        <f t="shared" si="28"/>
        <v>0</v>
      </c>
      <c r="I158" s="1380" t="b">
        <f t="shared" si="29"/>
        <v>0</v>
      </c>
      <c r="J158" s="1380" t="b">
        <f t="shared" si="30"/>
        <v>0</v>
      </c>
      <c r="K158" s="1380" t="str">
        <f t="shared" si="31"/>
        <v>？</v>
      </c>
      <c r="M158" s="1380" t="b">
        <f t="shared" si="32"/>
        <v>0</v>
      </c>
      <c r="N158" s="1380" t="b">
        <f t="shared" si="33"/>
        <v>0</v>
      </c>
      <c r="O158" s="1380" t="b">
        <f t="shared" si="34"/>
        <v>0</v>
      </c>
      <c r="P158" s="1380">
        <f t="shared" si="35"/>
        <v>0</v>
      </c>
      <c r="R158" s="1380" t="str">
        <f t="shared" si="36"/>
        <v>？</v>
      </c>
      <c r="S158" s="1827">
        <v>1</v>
      </c>
      <c r="T158" s="1380" t="str">
        <f t="shared" si="37"/>
        <v>？</v>
      </c>
    </row>
    <row r="159" spans="2:20" ht="21.75" customHeight="1" x14ac:dyDescent="0.15">
      <c r="B159" s="1380" t="str">
        <f>'1_入力シート【基本情報】'!DQ499</f>
        <v>7(3)</v>
      </c>
      <c r="C159" s="1380" t="str">
        <f>'1_入力シート【基本情報】'!AF499&amp;""</f>
        <v/>
      </c>
      <c r="D159" s="1380" t="str">
        <f>'1_入力シート【基本情報】'!BY499&amp;""</f>
        <v/>
      </c>
      <c r="F159" s="1380" t="b">
        <f t="shared" si="26"/>
        <v>1</v>
      </c>
      <c r="G159" s="1380" t="b">
        <f t="shared" si="27"/>
        <v>0</v>
      </c>
      <c r="H159" s="1380" t="b">
        <f t="shared" si="28"/>
        <v>0</v>
      </c>
      <c r="I159" s="1380" t="b">
        <f t="shared" si="29"/>
        <v>0</v>
      </c>
      <c r="J159" s="1380" t="b">
        <f t="shared" si="30"/>
        <v>0</v>
      </c>
      <c r="K159" s="1380" t="str">
        <f t="shared" si="31"/>
        <v>？</v>
      </c>
      <c r="M159" s="1380" t="b">
        <f t="shared" si="32"/>
        <v>0</v>
      </c>
      <c r="N159" s="1380" t="b">
        <f t="shared" si="33"/>
        <v>0</v>
      </c>
      <c r="O159" s="1380" t="b">
        <f t="shared" si="34"/>
        <v>0</v>
      </c>
      <c r="P159" s="1380">
        <f t="shared" si="35"/>
        <v>0</v>
      </c>
      <c r="R159" s="1380" t="str">
        <f t="shared" si="36"/>
        <v>？</v>
      </c>
      <c r="S159" s="1827">
        <v>1</v>
      </c>
      <c r="T159" s="1380" t="str">
        <f t="shared" si="37"/>
        <v>？</v>
      </c>
    </row>
    <row r="160" spans="2:20" ht="21.75" customHeight="1" x14ac:dyDescent="0.15">
      <c r="B160" s="1380" t="str">
        <f>'1_入力シート【基本情報】'!DQ500</f>
        <v>7(4)</v>
      </c>
      <c r="C160" s="1380" t="str">
        <f>'1_入力シート【基本情報】'!AF500&amp;""</f>
        <v/>
      </c>
      <c r="D160" s="1380" t="str">
        <f>'1_入力シート【基本情報】'!BY500&amp;""</f>
        <v/>
      </c>
      <c r="F160" s="1380" t="b">
        <f t="shared" si="26"/>
        <v>1</v>
      </c>
      <c r="G160" s="1380" t="b">
        <f t="shared" si="27"/>
        <v>0</v>
      </c>
      <c r="H160" s="1380" t="b">
        <f t="shared" si="28"/>
        <v>0</v>
      </c>
      <c r="I160" s="1380" t="b">
        <f t="shared" si="29"/>
        <v>0</v>
      </c>
      <c r="J160" s="1380" t="b">
        <f t="shared" si="30"/>
        <v>0</v>
      </c>
      <c r="K160" s="1380" t="str">
        <f t="shared" si="31"/>
        <v>？</v>
      </c>
      <c r="M160" s="1380" t="b">
        <f t="shared" si="32"/>
        <v>0</v>
      </c>
      <c r="N160" s="1380" t="b">
        <f t="shared" si="33"/>
        <v>0</v>
      </c>
      <c r="O160" s="1380" t="b">
        <f t="shared" si="34"/>
        <v>0</v>
      </c>
      <c r="P160" s="1380">
        <f t="shared" si="35"/>
        <v>0</v>
      </c>
      <c r="R160" s="1380" t="str">
        <f t="shared" si="36"/>
        <v>？</v>
      </c>
      <c r="S160" s="1827">
        <v>1</v>
      </c>
      <c r="T160" s="1380" t="str">
        <f t="shared" si="37"/>
        <v>？</v>
      </c>
    </row>
    <row r="161" spans="2:20" ht="21.75" customHeight="1" x14ac:dyDescent="0.15">
      <c r="B161" s="1380" t="str">
        <f>'1_入力シート【基本情報】'!DQ501</f>
        <v>7(5)</v>
      </c>
      <c r="C161" s="1380" t="str">
        <f>'1_入力シート【基本情報】'!AF501&amp;""</f>
        <v/>
      </c>
      <c r="D161" s="1380" t="str">
        <f>'1_入力シート【基本情報】'!BY501&amp;""</f>
        <v/>
      </c>
      <c r="F161" s="1380" t="b">
        <f t="shared" si="26"/>
        <v>1</v>
      </c>
      <c r="G161" s="1380" t="b">
        <f t="shared" si="27"/>
        <v>0</v>
      </c>
      <c r="H161" s="1380" t="b">
        <f t="shared" si="28"/>
        <v>0</v>
      </c>
      <c r="I161" s="1380" t="b">
        <f t="shared" si="29"/>
        <v>0</v>
      </c>
      <c r="J161" s="1380" t="b">
        <f t="shared" si="30"/>
        <v>0</v>
      </c>
      <c r="K161" s="1380" t="str">
        <f t="shared" si="31"/>
        <v>？</v>
      </c>
      <c r="M161" s="1380" t="b">
        <f t="shared" si="32"/>
        <v>0</v>
      </c>
      <c r="N161" s="1380" t="b">
        <f t="shared" si="33"/>
        <v>0</v>
      </c>
      <c r="O161" s="1380" t="b">
        <f t="shared" si="34"/>
        <v>0</v>
      </c>
      <c r="P161" s="1380">
        <f t="shared" si="35"/>
        <v>0</v>
      </c>
      <c r="R161" s="1380" t="str">
        <f t="shared" si="36"/>
        <v>？</v>
      </c>
      <c r="S161" s="1827">
        <v>1</v>
      </c>
      <c r="T161" s="1380" t="str">
        <f t="shared" si="37"/>
        <v>？</v>
      </c>
    </row>
    <row r="162" spans="2:20" ht="21.75" customHeight="1" x14ac:dyDescent="0.15">
      <c r="B162" s="1380" t="str">
        <f>'1_入力シート【基本情報】'!DQ502</f>
        <v>7(6)</v>
      </c>
      <c r="C162" s="1380" t="str">
        <f>'1_入力シート【基本情報】'!AF502&amp;""</f>
        <v/>
      </c>
      <c r="D162" s="1380" t="str">
        <f>'1_入力シート【基本情報】'!BY502&amp;""</f>
        <v/>
      </c>
      <c r="F162" s="1380" t="b">
        <f t="shared" si="26"/>
        <v>1</v>
      </c>
      <c r="G162" s="1380" t="b">
        <f t="shared" si="27"/>
        <v>0</v>
      </c>
      <c r="H162" s="1380" t="b">
        <f t="shared" si="28"/>
        <v>0</v>
      </c>
      <c r="I162" s="1380" t="b">
        <f t="shared" si="29"/>
        <v>0</v>
      </c>
      <c r="J162" s="1380" t="b">
        <f t="shared" si="30"/>
        <v>0</v>
      </c>
      <c r="K162" s="1380" t="str">
        <f t="shared" si="31"/>
        <v>？</v>
      </c>
      <c r="M162" s="1380" t="b">
        <f t="shared" si="32"/>
        <v>0</v>
      </c>
      <c r="N162" s="1380" t="b">
        <f t="shared" si="33"/>
        <v>0</v>
      </c>
      <c r="O162" s="1380" t="b">
        <f t="shared" si="34"/>
        <v>0</v>
      </c>
      <c r="P162" s="1380">
        <f t="shared" si="35"/>
        <v>0</v>
      </c>
      <c r="R162" s="1380" t="str">
        <f t="shared" si="36"/>
        <v>？</v>
      </c>
      <c r="S162" s="1827">
        <v>1</v>
      </c>
      <c r="T162" s="1380" t="str">
        <f t="shared" si="37"/>
        <v>？</v>
      </c>
    </row>
    <row r="163" spans="2:20" ht="21.75" customHeight="1" x14ac:dyDescent="0.15">
      <c r="B163" s="1380" t="str">
        <f>'1_入力シート【基本情報】'!DQ503</f>
        <v>7(7)</v>
      </c>
      <c r="C163" s="1380" t="str">
        <f>'1_入力シート【基本情報】'!AF503&amp;""</f>
        <v/>
      </c>
      <c r="D163" s="1380" t="str">
        <f>'1_入力シート【基本情報】'!BY503&amp;""</f>
        <v/>
      </c>
      <c r="F163" s="1380" t="b">
        <f t="shared" si="26"/>
        <v>1</v>
      </c>
      <c r="G163" s="1380" t="b">
        <f t="shared" si="27"/>
        <v>0</v>
      </c>
      <c r="H163" s="1380" t="b">
        <f t="shared" si="28"/>
        <v>0</v>
      </c>
      <c r="I163" s="1380" t="b">
        <f t="shared" si="29"/>
        <v>0</v>
      </c>
      <c r="J163" s="1380" t="b">
        <f t="shared" si="30"/>
        <v>0</v>
      </c>
      <c r="K163" s="1380" t="str">
        <f t="shared" si="31"/>
        <v>？</v>
      </c>
      <c r="M163" s="1380" t="b">
        <f t="shared" si="32"/>
        <v>0</v>
      </c>
      <c r="N163" s="1380" t="b">
        <f t="shared" si="33"/>
        <v>0</v>
      </c>
      <c r="O163" s="1380" t="b">
        <f t="shared" si="34"/>
        <v>0</v>
      </c>
      <c r="P163" s="1380">
        <f t="shared" si="35"/>
        <v>0</v>
      </c>
      <c r="R163" s="1380" t="str">
        <f t="shared" si="36"/>
        <v>？</v>
      </c>
      <c r="S163" s="1827">
        <v>1</v>
      </c>
      <c r="T163" s="1380" t="str">
        <f t="shared" si="37"/>
        <v>？</v>
      </c>
    </row>
    <row r="164" spans="2:20" ht="21.75" customHeight="1" x14ac:dyDescent="0.15">
      <c r="B164" s="1380" t="str">
        <f>'1_入力シート【基本情報】'!DQ504</f>
        <v>7(8)</v>
      </c>
      <c r="C164" s="1380" t="str">
        <f>'1_入力シート【基本情報】'!AF504&amp;""</f>
        <v/>
      </c>
      <c r="D164" s="1380" t="str">
        <f>'1_入力シート【基本情報】'!BY504&amp;""</f>
        <v/>
      </c>
      <c r="F164" s="1380" t="b">
        <f t="shared" si="26"/>
        <v>1</v>
      </c>
      <c r="G164" s="1380" t="b">
        <f t="shared" si="27"/>
        <v>0</v>
      </c>
      <c r="H164" s="1380" t="b">
        <f t="shared" si="28"/>
        <v>0</v>
      </c>
      <c r="I164" s="1380" t="b">
        <f t="shared" si="29"/>
        <v>0</v>
      </c>
      <c r="J164" s="1380" t="b">
        <f t="shared" si="30"/>
        <v>0</v>
      </c>
      <c r="K164" s="1380" t="str">
        <f t="shared" si="31"/>
        <v>？</v>
      </c>
      <c r="M164" s="1380" t="b">
        <f t="shared" si="32"/>
        <v>0</v>
      </c>
      <c r="N164" s="1380" t="b">
        <f t="shared" si="33"/>
        <v>0</v>
      </c>
      <c r="O164" s="1380" t="b">
        <f t="shared" si="34"/>
        <v>0</v>
      </c>
      <c r="P164" s="1380">
        <f t="shared" si="35"/>
        <v>0</v>
      </c>
      <c r="R164" s="1380" t="str">
        <f t="shared" ref="R164:R172" si="38">INDEX($H$192:$M$199,MATCH(P164,$F$192:$F$199,0),MATCH(K164,$H$191:$M$191,0))</f>
        <v>？</v>
      </c>
      <c r="S164" s="1827">
        <v>1</v>
      </c>
      <c r="T164" s="1380" t="str">
        <f t="shared" si="37"/>
        <v>？</v>
      </c>
    </row>
    <row r="165" spans="2:20" ht="21.75" customHeight="1" x14ac:dyDescent="0.15">
      <c r="B165" s="1380" t="str">
        <f>'1_入力シート【基本情報】'!DQ505</f>
        <v>7(9)</v>
      </c>
      <c r="C165" s="1380" t="str">
        <f>'1_入力シート【基本情報】'!AF505&amp;""</f>
        <v/>
      </c>
      <c r="D165" s="1380" t="str">
        <f>'1_入力シート【基本情報】'!BY505&amp;""</f>
        <v/>
      </c>
      <c r="F165" s="1380" t="b">
        <f t="shared" si="26"/>
        <v>1</v>
      </c>
      <c r="G165" s="1380" t="b">
        <f t="shared" si="27"/>
        <v>0</v>
      </c>
      <c r="H165" s="1380" t="b">
        <f t="shared" si="28"/>
        <v>0</v>
      </c>
      <c r="I165" s="1380" t="b">
        <f t="shared" si="29"/>
        <v>0</v>
      </c>
      <c r="J165" s="1380" t="b">
        <f t="shared" si="30"/>
        <v>0</v>
      </c>
      <c r="K165" s="1380" t="str">
        <f t="shared" si="31"/>
        <v>？</v>
      </c>
      <c r="M165" s="1380" t="b">
        <f t="shared" si="32"/>
        <v>0</v>
      </c>
      <c r="N165" s="1380" t="b">
        <f t="shared" si="33"/>
        <v>0</v>
      </c>
      <c r="O165" s="1380" t="b">
        <f t="shared" si="34"/>
        <v>0</v>
      </c>
      <c r="P165" s="1380">
        <f t="shared" si="35"/>
        <v>0</v>
      </c>
      <c r="R165" s="1380" t="str">
        <f t="shared" si="38"/>
        <v>？</v>
      </c>
      <c r="S165" s="1827">
        <v>1</v>
      </c>
      <c r="T165" s="1380" t="str">
        <f t="shared" si="37"/>
        <v>？</v>
      </c>
    </row>
    <row r="166" spans="2:20" ht="21.75" customHeight="1" x14ac:dyDescent="0.15">
      <c r="B166" s="1380" t="str">
        <f>'1_入力シート【基本情報】'!DQ506</f>
        <v>7(10)</v>
      </c>
      <c r="C166" s="1380" t="str">
        <f>'1_入力シート【基本情報】'!AF506&amp;""</f>
        <v/>
      </c>
      <c r="D166" s="1380" t="str">
        <f>'1_入力シート【基本情報】'!BY506&amp;""</f>
        <v/>
      </c>
      <c r="F166" s="1380" t="b">
        <f t="shared" si="26"/>
        <v>1</v>
      </c>
      <c r="G166" s="1380" t="b">
        <f t="shared" si="27"/>
        <v>0</v>
      </c>
      <c r="H166" s="1380" t="b">
        <f t="shared" si="28"/>
        <v>0</v>
      </c>
      <c r="I166" s="1380" t="b">
        <f t="shared" si="29"/>
        <v>0</v>
      </c>
      <c r="J166" s="1380" t="b">
        <f t="shared" si="30"/>
        <v>0</v>
      </c>
      <c r="K166" s="1380" t="str">
        <f t="shared" si="31"/>
        <v>？</v>
      </c>
      <c r="M166" s="1380" t="b">
        <f t="shared" si="32"/>
        <v>0</v>
      </c>
      <c r="N166" s="1380" t="b">
        <f t="shared" si="33"/>
        <v>0</v>
      </c>
      <c r="O166" s="1380" t="b">
        <f t="shared" si="34"/>
        <v>0</v>
      </c>
      <c r="P166" s="1380">
        <f t="shared" si="35"/>
        <v>0</v>
      </c>
      <c r="R166" s="1380" t="str">
        <f t="shared" si="38"/>
        <v>？</v>
      </c>
      <c r="S166" s="1827">
        <v>1</v>
      </c>
      <c r="T166" s="1380" t="str">
        <f t="shared" si="37"/>
        <v>？</v>
      </c>
    </row>
    <row r="167" spans="2:20" ht="21.75" customHeight="1" x14ac:dyDescent="0.15">
      <c r="B167" s="1380" t="str">
        <f>'1_入力シート【基本情報】'!DQ507</f>
        <v>7(11)</v>
      </c>
      <c r="C167" s="1380" t="str">
        <f>'1_入力シート【基本情報】'!AF507&amp;""</f>
        <v/>
      </c>
      <c r="D167" s="1380" t="str">
        <f>'1_入力シート【基本情報】'!BY507&amp;""</f>
        <v/>
      </c>
      <c r="F167" s="1380" t="b">
        <f t="shared" si="26"/>
        <v>1</v>
      </c>
      <c r="G167" s="1380" t="b">
        <f t="shared" si="27"/>
        <v>0</v>
      </c>
      <c r="H167" s="1380" t="b">
        <f t="shared" si="28"/>
        <v>0</v>
      </c>
      <c r="I167" s="1380" t="b">
        <f t="shared" si="29"/>
        <v>0</v>
      </c>
      <c r="J167" s="1380" t="b">
        <f t="shared" si="30"/>
        <v>0</v>
      </c>
      <c r="K167" s="1380" t="str">
        <f t="shared" si="31"/>
        <v>？</v>
      </c>
      <c r="M167" s="1380" t="b">
        <f t="shared" si="32"/>
        <v>0</v>
      </c>
      <c r="N167" s="1380" t="b">
        <f t="shared" si="33"/>
        <v>0</v>
      </c>
      <c r="O167" s="1380" t="b">
        <f t="shared" si="34"/>
        <v>0</v>
      </c>
      <c r="P167" s="1380">
        <f t="shared" si="35"/>
        <v>0</v>
      </c>
      <c r="R167" s="1380" t="str">
        <f t="shared" si="38"/>
        <v>？</v>
      </c>
      <c r="S167" s="1827">
        <v>1</v>
      </c>
      <c r="T167" s="1380" t="str">
        <f t="shared" si="37"/>
        <v>？</v>
      </c>
    </row>
    <row r="168" spans="2:20" ht="21.75" customHeight="1" x14ac:dyDescent="0.15">
      <c r="B168" s="1380" t="str">
        <f>'1_入力シート【基本情報】'!DQ508</f>
        <v>7(12)</v>
      </c>
      <c r="C168" s="1380" t="str">
        <f>'1_入力シート【基本情報】'!AF508&amp;""</f>
        <v/>
      </c>
      <c r="D168" s="1380" t="str">
        <f>'1_入力シート【基本情報】'!BY508&amp;""</f>
        <v/>
      </c>
      <c r="F168" s="1380" t="b">
        <f t="shared" si="26"/>
        <v>1</v>
      </c>
      <c r="G168" s="1380" t="b">
        <f t="shared" si="27"/>
        <v>0</v>
      </c>
      <c r="H168" s="1380" t="b">
        <f t="shared" si="28"/>
        <v>0</v>
      </c>
      <c r="I168" s="1380" t="b">
        <f t="shared" si="29"/>
        <v>0</v>
      </c>
      <c r="J168" s="1380" t="b">
        <f t="shared" si="30"/>
        <v>0</v>
      </c>
      <c r="K168" s="1380" t="str">
        <f t="shared" si="31"/>
        <v>？</v>
      </c>
      <c r="M168" s="1380" t="b">
        <f t="shared" si="32"/>
        <v>0</v>
      </c>
      <c r="N168" s="1380" t="b">
        <f t="shared" si="33"/>
        <v>0</v>
      </c>
      <c r="O168" s="1380" t="b">
        <f t="shared" si="34"/>
        <v>0</v>
      </c>
      <c r="P168" s="1380">
        <f t="shared" si="35"/>
        <v>0</v>
      </c>
      <c r="R168" s="1380" t="str">
        <f t="shared" si="38"/>
        <v>？</v>
      </c>
      <c r="S168" s="1827">
        <v>1</v>
      </c>
      <c r="T168" s="1380" t="str">
        <f t="shared" si="37"/>
        <v>？</v>
      </c>
    </row>
    <row r="169" spans="2:20" ht="21.75" customHeight="1" x14ac:dyDescent="0.15">
      <c r="B169" s="1380" t="str">
        <f>'1_入力シート【基本情報】'!DQ509</f>
        <v>7(13)</v>
      </c>
      <c r="C169" s="1380" t="str">
        <f>'1_入力シート【基本情報】'!AF509&amp;""</f>
        <v/>
      </c>
      <c r="D169" s="1380" t="str">
        <f>'1_入力シート【基本情報】'!BY509&amp;""</f>
        <v/>
      </c>
      <c r="F169" s="1380" t="b">
        <f t="shared" si="26"/>
        <v>1</v>
      </c>
      <c r="G169" s="1380" t="b">
        <f t="shared" si="27"/>
        <v>0</v>
      </c>
      <c r="H169" s="1380" t="b">
        <f t="shared" si="28"/>
        <v>0</v>
      </c>
      <c r="I169" s="1380" t="b">
        <f t="shared" si="29"/>
        <v>0</v>
      </c>
      <c r="J169" s="1380" t="b">
        <f t="shared" si="30"/>
        <v>0</v>
      </c>
      <c r="K169" s="1380" t="str">
        <f t="shared" si="31"/>
        <v>？</v>
      </c>
      <c r="M169" s="1380" t="b">
        <f t="shared" si="32"/>
        <v>0</v>
      </c>
      <c r="N169" s="1380" t="b">
        <f t="shared" si="33"/>
        <v>0</v>
      </c>
      <c r="O169" s="1380" t="b">
        <f t="shared" si="34"/>
        <v>0</v>
      </c>
      <c r="P169" s="1380">
        <f t="shared" si="35"/>
        <v>0</v>
      </c>
      <c r="R169" s="1380" t="str">
        <f t="shared" si="38"/>
        <v>？</v>
      </c>
      <c r="S169" s="1827">
        <v>1</v>
      </c>
      <c r="T169" s="1380" t="str">
        <f t="shared" si="37"/>
        <v>？</v>
      </c>
    </row>
    <row r="170" spans="2:20" ht="21.75" customHeight="1" x14ac:dyDescent="0.15">
      <c r="B170" s="1380" t="str">
        <f>'1_入力シート【基本情報】'!DQ510</f>
        <v>7(14)</v>
      </c>
      <c r="C170" s="1380" t="str">
        <f>'1_入力シート【基本情報】'!AF510&amp;""</f>
        <v/>
      </c>
      <c r="D170" s="1380" t="str">
        <f>'1_入力シート【基本情報】'!BY510&amp;""</f>
        <v/>
      </c>
      <c r="F170" s="1380" t="b">
        <f t="shared" si="26"/>
        <v>1</v>
      </c>
      <c r="G170" s="1380" t="b">
        <f t="shared" si="27"/>
        <v>0</v>
      </c>
      <c r="H170" s="1380" t="b">
        <f t="shared" si="28"/>
        <v>0</v>
      </c>
      <c r="I170" s="1380" t="b">
        <f t="shared" si="29"/>
        <v>0</v>
      </c>
      <c r="J170" s="1380" t="b">
        <f t="shared" si="30"/>
        <v>0</v>
      </c>
      <c r="K170" s="1380" t="str">
        <f t="shared" si="31"/>
        <v>？</v>
      </c>
      <c r="M170" s="1380" t="b">
        <f t="shared" si="32"/>
        <v>0</v>
      </c>
      <c r="N170" s="1380" t="b">
        <f t="shared" si="33"/>
        <v>0</v>
      </c>
      <c r="O170" s="1380" t="b">
        <f t="shared" si="34"/>
        <v>0</v>
      </c>
      <c r="P170" s="1380">
        <f t="shared" si="35"/>
        <v>0</v>
      </c>
      <c r="R170" s="1380" t="str">
        <f t="shared" si="38"/>
        <v>？</v>
      </c>
      <c r="S170" s="1827">
        <v>1</v>
      </c>
      <c r="T170" s="1380" t="str">
        <f t="shared" si="37"/>
        <v>？</v>
      </c>
    </row>
    <row r="171" spans="2:20" ht="21.75" customHeight="1" x14ac:dyDescent="0.15">
      <c r="B171" s="1380" t="str">
        <f>'1_入力シート【基本情報】'!DQ511</f>
        <v>7(15)</v>
      </c>
      <c r="C171" s="1380" t="str">
        <f>'1_入力シート【基本情報】'!AF511&amp;""</f>
        <v/>
      </c>
      <c r="D171" s="1380" t="str">
        <f>'1_入力シート【基本情報】'!BY511&amp;""</f>
        <v/>
      </c>
      <c r="F171" s="1380" t="b">
        <f t="shared" si="26"/>
        <v>1</v>
      </c>
      <c r="G171" s="1380" t="b">
        <f t="shared" si="27"/>
        <v>0</v>
      </c>
      <c r="H171" s="1380" t="b">
        <f t="shared" si="28"/>
        <v>0</v>
      </c>
      <c r="I171" s="1380" t="b">
        <f t="shared" si="29"/>
        <v>0</v>
      </c>
      <c r="J171" s="1380" t="b">
        <f t="shared" si="30"/>
        <v>0</v>
      </c>
      <c r="K171" s="1380" t="str">
        <f t="shared" si="31"/>
        <v>？</v>
      </c>
      <c r="M171" s="1380" t="b">
        <f t="shared" si="32"/>
        <v>0</v>
      </c>
      <c r="N171" s="1380" t="b">
        <f t="shared" si="33"/>
        <v>0</v>
      </c>
      <c r="O171" s="1380" t="b">
        <f t="shared" si="34"/>
        <v>0</v>
      </c>
      <c r="P171" s="1380">
        <f t="shared" si="35"/>
        <v>0</v>
      </c>
      <c r="R171" s="1380" t="str">
        <f t="shared" si="38"/>
        <v>？</v>
      </c>
      <c r="S171" s="1827">
        <v>1</v>
      </c>
      <c r="T171" s="1380" t="str">
        <f t="shared" si="37"/>
        <v>？</v>
      </c>
    </row>
    <row r="172" spans="2:20" ht="21.75" customHeight="1" x14ac:dyDescent="0.15">
      <c r="B172" s="1380" t="str">
        <f>'1_入力シート【基本情報】'!DQ512</f>
        <v>7(16)</v>
      </c>
      <c r="C172" s="1380" t="str">
        <f>'1_入力シート【基本情報】'!AF512&amp;""</f>
        <v/>
      </c>
      <c r="D172" s="1380" t="str">
        <f>'1_入力シート【基本情報】'!BY512&amp;""</f>
        <v/>
      </c>
      <c r="F172" s="1380" t="b">
        <f t="shared" si="26"/>
        <v>1</v>
      </c>
      <c r="G172" s="1380" t="b">
        <f t="shared" si="27"/>
        <v>0</v>
      </c>
      <c r="H172" s="1380" t="b">
        <f t="shared" si="28"/>
        <v>0</v>
      </c>
      <c r="I172" s="1380" t="b">
        <f t="shared" si="29"/>
        <v>0</v>
      </c>
      <c r="J172" s="1380" t="b">
        <f t="shared" si="30"/>
        <v>0</v>
      </c>
      <c r="K172" s="1380" t="str">
        <f t="shared" si="31"/>
        <v>？</v>
      </c>
      <c r="M172" s="1380" t="b">
        <f t="shared" si="32"/>
        <v>0</v>
      </c>
      <c r="N172" s="1380" t="b">
        <f t="shared" si="33"/>
        <v>0</v>
      </c>
      <c r="O172" s="1380" t="b">
        <f t="shared" si="34"/>
        <v>0</v>
      </c>
      <c r="P172" s="1380">
        <f t="shared" si="35"/>
        <v>0</v>
      </c>
      <c r="R172" s="1380" t="str">
        <f t="shared" si="38"/>
        <v>？</v>
      </c>
      <c r="S172" s="1827">
        <v>1</v>
      </c>
      <c r="T172" s="1380" t="str">
        <f t="shared" si="37"/>
        <v>？</v>
      </c>
    </row>
    <row r="173" spans="2:20" ht="21.75" customHeight="1" x14ac:dyDescent="0.15">
      <c r="B173" s="1380" t="str">
        <f>'1_入力シート【基本情報】'!DQ513</f>
        <v>7(17)</v>
      </c>
      <c r="C173" s="1380" t="str">
        <f>'1_入力シート【基本情報】'!AF513&amp;""</f>
        <v/>
      </c>
      <c r="D173" s="1380" t="str">
        <f>'1_入力シート【基本情報】'!BY513&amp;""</f>
        <v/>
      </c>
      <c r="F173" s="1380" t="b">
        <f t="shared" ref="F173:F174" si="39">C173=""</f>
        <v>1</v>
      </c>
      <c r="G173" s="1380" t="b">
        <f t="shared" ref="G173:G174" si="40">C173=$G$3</f>
        <v>0</v>
      </c>
      <c r="H173" s="1380" t="b">
        <f t="shared" ref="H173:H174" si="41">C173=$H$3</f>
        <v>0</v>
      </c>
      <c r="I173" s="1380" t="b">
        <f t="shared" ref="I173:I174" si="42">C173=$I$3</f>
        <v>0</v>
      </c>
      <c r="J173" s="1380" t="b">
        <f t="shared" ref="J173:J174" si="43">C173=$J$3</f>
        <v>0</v>
      </c>
      <c r="K173" s="1380" t="str">
        <f t="shared" ref="K173:K174" si="44">IF(J173,$J$2,IF(I173,$I$2,IF(H173,$H$2,IF(G173,$G$2,IF(F173,$F$2,"エラー")))))</f>
        <v>？</v>
      </c>
      <c r="M173" s="1380" t="b">
        <f t="shared" ref="M173:M174" si="45">D173=$M$3</f>
        <v>0</v>
      </c>
      <c r="N173" s="1380" t="b">
        <f t="shared" ref="N173:N174" si="46">D173=$N$3</f>
        <v>0</v>
      </c>
      <c r="O173" s="1380" t="b">
        <f t="shared" ref="O173:O174" si="47">D173=$O$3</f>
        <v>0</v>
      </c>
      <c r="P173" s="1380">
        <f t="shared" ref="P173:P174" si="48">-(M173*4+N173*2+O173)</f>
        <v>0</v>
      </c>
      <c r="R173" s="1380" t="str">
        <f t="shared" ref="R173:R174" si="49">INDEX($H$192:$M$199,MATCH(P173,$F$192:$F$199,0),MATCH(K173,$H$191:$M$191,0))</f>
        <v>？</v>
      </c>
      <c r="S173" s="1827">
        <v>1</v>
      </c>
      <c r="T173" s="1380" t="str">
        <f t="shared" si="37"/>
        <v>？</v>
      </c>
    </row>
    <row r="174" spans="2:20" ht="21.75" customHeight="1" x14ac:dyDescent="0.15">
      <c r="B174" s="1380" t="str">
        <f>'1_入力シート【基本情報】'!DQ514</f>
        <v>7(18)</v>
      </c>
      <c r="C174" s="1380" t="str">
        <f>'1_入力シート【基本情報】'!AF514&amp;""</f>
        <v/>
      </c>
      <c r="D174" s="1380" t="str">
        <f>'1_入力シート【基本情報】'!BY514&amp;""</f>
        <v/>
      </c>
      <c r="F174" s="1380" t="b">
        <f t="shared" si="39"/>
        <v>1</v>
      </c>
      <c r="G174" s="1380" t="b">
        <f t="shared" si="40"/>
        <v>0</v>
      </c>
      <c r="H174" s="1380" t="b">
        <f t="shared" si="41"/>
        <v>0</v>
      </c>
      <c r="I174" s="1380" t="b">
        <f t="shared" si="42"/>
        <v>0</v>
      </c>
      <c r="J174" s="1380" t="b">
        <f t="shared" si="43"/>
        <v>0</v>
      </c>
      <c r="K174" s="1380" t="str">
        <f t="shared" si="44"/>
        <v>？</v>
      </c>
      <c r="M174" s="1380" t="b">
        <f t="shared" si="45"/>
        <v>0</v>
      </c>
      <c r="N174" s="1380" t="b">
        <f t="shared" si="46"/>
        <v>0</v>
      </c>
      <c r="O174" s="1380" t="b">
        <f t="shared" si="47"/>
        <v>0</v>
      </c>
      <c r="P174" s="1380">
        <f t="shared" si="48"/>
        <v>0</v>
      </c>
      <c r="R174" s="1380" t="str">
        <f t="shared" si="49"/>
        <v>？</v>
      </c>
      <c r="S174" s="1827">
        <v>1</v>
      </c>
      <c r="T174" s="1380" t="str">
        <f t="shared" si="37"/>
        <v>？</v>
      </c>
    </row>
    <row r="176" spans="2:20" ht="21.75" customHeight="1" x14ac:dyDescent="0.15">
      <c r="B176" s="1374" t="s">
        <v>3264</v>
      </c>
      <c r="C176" s="1374" t="s">
        <v>3265</v>
      </c>
      <c r="D176" s="1374" t="s">
        <v>3266</v>
      </c>
      <c r="E176" s="1374" t="s">
        <v>3263</v>
      </c>
    </row>
    <row r="177" spans="2:20" ht="21.75" customHeight="1" x14ac:dyDescent="0.15">
      <c r="B177" s="1374">
        <v>1</v>
      </c>
      <c r="C177" s="1374">
        <v>4</v>
      </c>
      <c r="D177" s="1374">
        <v>17</v>
      </c>
      <c r="F177" s="1380" t="b">
        <f>AND(F4:F17)</f>
        <v>1</v>
      </c>
      <c r="G177" s="1380" t="b">
        <f>OR(G4:G17)</f>
        <v>0</v>
      </c>
      <c r="H177" s="1380" t="b">
        <f>OR(H4:H17)</f>
        <v>0</v>
      </c>
      <c r="I177" s="1380" t="b">
        <f>AND(NOT(J177),OR(I4:I17))</f>
        <v>0</v>
      </c>
      <c r="J177" s="1380" t="b">
        <f>OR(J4:J17)</f>
        <v>0</v>
      </c>
      <c r="K177" s="1380" t="str">
        <f>IF(J177,$J$2,IF(I177,$I$2,IF(H177,$H$2,IF(G177,$G$2,IF(F177,$F$2,"エラー")))))</f>
        <v>？</v>
      </c>
      <c r="M177" s="1380" t="b">
        <f t="shared" ref="M177:O177" si="50">OR(M4:M17)</f>
        <v>0</v>
      </c>
      <c r="N177" s="1380" t="b">
        <f t="shared" si="50"/>
        <v>0</v>
      </c>
      <c r="O177" s="1380" t="b">
        <f t="shared" si="50"/>
        <v>0</v>
      </c>
      <c r="P177" s="1380">
        <f t="shared" ref="P177:P183" si="51">-(M177*4+N177*2+O177)</f>
        <v>0</v>
      </c>
      <c r="R177" s="1380" t="str">
        <f t="shared" ref="R177" si="52">INDEX($H$192:$M$199,MATCH(P177,$F$192:$F$199,0),MATCH(K177,$H$191:$M$191,0))</f>
        <v>？</v>
      </c>
      <c r="S177" s="1827">
        <v>1</v>
      </c>
      <c r="T177" s="1380" t="str">
        <f t="shared" ref="T177" si="53">IF(S177=1,R177,"")</f>
        <v>？</v>
      </c>
    </row>
    <row r="178" spans="2:20" ht="21.75" customHeight="1" x14ac:dyDescent="0.15">
      <c r="B178" s="1374">
        <v>2</v>
      </c>
      <c r="C178" s="1374">
        <v>18</v>
      </c>
      <c r="D178" s="1374">
        <v>40</v>
      </c>
      <c r="F178" s="1380" t="b">
        <f>AND(F18:F40)</f>
        <v>1</v>
      </c>
      <c r="G178" s="1380" t="b">
        <f>OR(G18:G40)</f>
        <v>0</v>
      </c>
      <c r="H178" s="1380" t="b">
        <f>OR(H18:H40)</f>
        <v>0</v>
      </c>
      <c r="I178" s="1380" t="b">
        <f>AND(NOT(J178),OR(I18:I40))</f>
        <v>0</v>
      </c>
      <c r="J178" s="1380" t="b">
        <f>OR(J18:J40)</f>
        <v>0</v>
      </c>
      <c r="K178" s="1380" t="str">
        <f t="shared" ref="K178:K183" si="54">IF(J178,$J$2,IF(I178,$I$2,IF(H178,$H$2,IF(G178,$G$2,IF(F178,$F$2,"エラー")))))</f>
        <v>？</v>
      </c>
      <c r="M178" s="1380" t="b">
        <f t="shared" ref="M178:O178" si="55">OR(M18:M40)</f>
        <v>0</v>
      </c>
      <c r="N178" s="1380" t="b">
        <f t="shared" si="55"/>
        <v>0</v>
      </c>
      <c r="O178" s="1380" t="b">
        <f t="shared" si="55"/>
        <v>0</v>
      </c>
      <c r="P178" s="1380">
        <f t="shared" si="51"/>
        <v>0</v>
      </c>
      <c r="R178" s="1380" t="str">
        <f t="shared" ref="R178:R183" si="56">INDEX($H$192:$M$199,MATCH(P178,$F$192:$F$199,0),MATCH(K178,$H$191:$M$191,0))</f>
        <v>？</v>
      </c>
      <c r="S178" s="1827">
        <v>1</v>
      </c>
      <c r="T178" s="1380" t="str">
        <f t="shared" ref="T178:T183" si="57">IF(S178=1,R178,"")</f>
        <v>？</v>
      </c>
    </row>
    <row r="179" spans="2:20" ht="21.75" customHeight="1" x14ac:dyDescent="0.15">
      <c r="B179" s="1374">
        <v>3</v>
      </c>
      <c r="C179" s="1374">
        <v>41</v>
      </c>
      <c r="D179" s="1374">
        <v>54</v>
      </c>
      <c r="F179" s="1380" t="b">
        <f>AND(F41:F54)</f>
        <v>1</v>
      </c>
      <c r="G179" s="1380" t="b">
        <f>OR(G41:G54)</f>
        <v>0</v>
      </c>
      <c r="H179" s="1380" t="b">
        <f>OR(H41:H54)</f>
        <v>0</v>
      </c>
      <c r="I179" s="1380" t="b">
        <f>AND(NOT(J179),OR(I41:I54))</f>
        <v>0</v>
      </c>
      <c r="J179" s="1380" t="b">
        <f>OR(J41:J54)</f>
        <v>0</v>
      </c>
      <c r="K179" s="1380" t="str">
        <f t="shared" si="54"/>
        <v>？</v>
      </c>
      <c r="M179" s="1380" t="b">
        <f t="shared" ref="M179:O179" si="58">OR(M41:M54)</f>
        <v>0</v>
      </c>
      <c r="N179" s="1380" t="b">
        <f t="shared" si="58"/>
        <v>0</v>
      </c>
      <c r="O179" s="1380" t="b">
        <f t="shared" si="58"/>
        <v>0</v>
      </c>
      <c r="P179" s="1380">
        <f t="shared" si="51"/>
        <v>0</v>
      </c>
      <c r="R179" s="1380" t="str">
        <f t="shared" si="56"/>
        <v>？</v>
      </c>
      <c r="S179" s="1827">
        <v>1</v>
      </c>
      <c r="T179" s="1380" t="str">
        <f t="shared" si="57"/>
        <v>？</v>
      </c>
    </row>
    <row r="180" spans="2:20" ht="21.75" customHeight="1" x14ac:dyDescent="0.15">
      <c r="B180" s="1374">
        <v>4</v>
      </c>
      <c r="C180" s="1374">
        <v>55</v>
      </c>
      <c r="D180" s="1374">
        <v>104</v>
      </c>
      <c r="F180" s="1380" t="b">
        <f>AND(F55:F104)</f>
        <v>1</v>
      </c>
      <c r="G180" s="1380" t="b">
        <f>OR(G55:G104)</f>
        <v>0</v>
      </c>
      <c r="H180" s="1380" t="b">
        <f>OR(H55:H104)</f>
        <v>0</v>
      </c>
      <c r="I180" s="1380" t="b">
        <f>AND(NOT(J180),OR(I55:I104))</f>
        <v>0</v>
      </c>
      <c r="J180" s="1380" t="b">
        <f>OR(J55:J104)</f>
        <v>0</v>
      </c>
      <c r="K180" s="1380" t="str">
        <f t="shared" si="54"/>
        <v>？</v>
      </c>
      <c r="M180" s="1380" t="b">
        <f t="shared" ref="M180:O180" si="59">OR(M55:M104)</f>
        <v>0</v>
      </c>
      <c r="N180" s="1380" t="b">
        <f t="shared" si="59"/>
        <v>0</v>
      </c>
      <c r="O180" s="1380" t="b">
        <f t="shared" si="59"/>
        <v>0</v>
      </c>
      <c r="P180" s="1380">
        <f>-(M180*4+N180*2+O180)</f>
        <v>0</v>
      </c>
      <c r="R180" s="1380" t="str">
        <f t="shared" si="56"/>
        <v>？</v>
      </c>
      <c r="S180" s="1827">
        <v>1</v>
      </c>
      <c r="T180" s="1380" t="str">
        <f t="shared" si="57"/>
        <v>？</v>
      </c>
    </row>
    <row r="181" spans="2:20" ht="21.75" customHeight="1" x14ac:dyDescent="0.15">
      <c r="B181" s="1374">
        <v>5</v>
      </c>
      <c r="C181" s="1374">
        <v>105</v>
      </c>
      <c r="D181" s="1374">
        <v>142</v>
      </c>
      <c r="F181" s="1380" t="b">
        <f>AND(F105:F142)</f>
        <v>1</v>
      </c>
      <c r="G181" s="1380" t="b">
        <f>OR(G105:G142)</f>
        <v>0</v>
      </c>
      <c r="H181" s="1380" t="b">
        <f>OR(H105:H142)</f>
        <v>0</v>
      </c>
      <c r="I181" s="1380" t="b">
        <f>AND(NOT(J181),OR(I105:I142))</f>
        <v>0</v>
      </c>
      <c r="J181" s="1380" t="b">
        <f>OR(J105:J142)</f>
        <v>0</v>
      </c>
      <c r="K181" s="1380" t="str">
        <f t="shared" si="54"/>
        <v>？</v>
      </c>
      <c r="M181" s="1380" t="b">
        <f t="shared" ref="M181:O181" si="60">OR(M105:M142)</f>
        <v>0</v>
      </c>
      <c r="N181" s="1380" t="b">
        <f t="shared" si="60"/>
        <v>0</v>
      </c>
      <c r="O181" s="1380" t="b">
        <f t="shared" si="60"/>
        <v>0</v>
      </c>
      <c r="P181" s="1380">
        <f t="shared" si="51"/>
        <v>0</v>
      </c>
      <c r="R181" s="1380" t="str">
        <f t="shared" si="56"/>
        <v>？</v>
      </c>
      <c r="S181" s="1827">
        <v>1</v>
      </c>
      <c r="T181" s="1380" t="str">
        <f t="shared" si="57"/>
        <v>？</v>
      </c>
    </row>
    <row r="182" spans="2:20" ht="21.75" customHeight="1" x14ac:dyDescent="0.15">
      <c r="B182" s="1374">
        <v>6</v>
      </c>
      <c r="C182" s="1374">
        <v>143</v>
      </c>
      <c r="D182" s="1374">
        <v>156</v>
      </c>
      <c r="F182" s="1380" t="b">
        <f>AND(F143:F156)</f>
        <v>1</v>
      </c>
      <c r="G182" s="1380" t="b">
        <f>OR(G143:G156)</f>
        <v>0</v>
      </c>
      <c r="H182" s="1380" t="b">
        <f>OR(H143:H156)</f>
        <v>0</v>
      </c>
      <c r="I182" s="1380" t="b">
        <f>AND(NOT(J182),OR(I143:I156))</f>
        <v>0</v>
      </c>
      <c r="J182" s="1380" t="b">
        <f>OR(J143:J156)</f>
        <v>0</v>
      </c>
      <c r="K182" s="1380" t="str">
        <f t="shared" si="54"/>
        <v>？</v>
      </c>
      <c r="M182" s="1380" t="b">
        <f t="shared" ref="M182:O182" si="61">OR(M143:M156)</f>
        <v>0</v>
      </c>
      <c r="N182" s="1380" t="b">
        <f t="shared" si="61"/>
        <v>0</v>
      </c>
      <c r="O182" s="1380" t="b">
        <f t="shared" si="61"/>
        <v>0</v>
      </c>
      <c r="P182" s="1380">
        <f t="shared" si="51"/>
        <v>0</v>
      </c>
      <c r="R182" s="1380" t="str">
        <f t="shared" si="56"/>
        <v>？</v>
      </c>
      <c r="S182" s="1827">
        <v>1</v>
      </c>
      <c r="T182" s="1380" t="str">
        <f t="shared" si="57"/>
        <v>？</v>
      </c>
    </row>
    <row r="183" spans="2:20" ht="21.75" customHeight="1" x14ac:dyDescent="0.15">
      <c r="B183" s="1374">
        <v>7</v>
      </c>
      <c r="C183" s="1374">
        <v>157</v>
      </c>
      <c r="D183" s="1374">
        <v>174</v>
      </c>
      <c r="F183" s="1380" t="b">
        <f>AND(F157:F174)</f>
        <v>1</v>
      </c>
      <c r="G183" s="1380" t="b">
        <f>OR(G157:G174)</f>
        <v>0</v>
      </c>
      <c r="H183" s="1380" t="b">
        <f>OR(H157:H174)</f>
        <v>0</v>
      </c>
      <c r="I183" s="1380" t="b">
        <f>AND(NOT(J183),OR(I157:I174))</f>
        <v>0</v>
      </c>
      <c r="J183" s="1380" t="b">
        <f>OR(J157:J174)</f>
        <v>0</v>
      </c>
      <c r="K183" s="1380" t="str">
        <f t="shared" si="54"/>
        <v>？</v>
      </c>
      <c r="M183" s="1380" t="b">
        <f t="shared" ref="M183:O183" si="62">OR(M157:M174)</f>
        <v>0</v>
      </c>
      <c r="N183" s="1380" t="b">
        <f t="shared" si="62"/>
        <v>0</v>
      </c>
      <c r="O183" s="1380" t="b">
        <f t="shared" si="62"/>
        <v>0</v>
      </c>
      <c r="P183" s="1380">
        <f t="shared" si="51"/>
        <v>0</v>
      </c>
      <c r="R183" s="1380" t="str">
        <f t="shared" si="56"/>
        <v>？</v>
      </c>
      <c r="S183" s="1827">
        <v>1</v>
      </c>
      <c r="T183" s="1380" t="str">
        <f t="shared" si="57"/>
        <v>？</v>
      </c>
    </row>
    <row r="185" spans="2:20" ht="21.75" customHeight="1" x14ac:dyDescent="0.15">
      <c r="E185" s="1374" t="s">
        <v>3271</v>
      </c>
    </row>
    <row r="186" spans="2:20" ht="21.75" customHeight="1" x14ac:dyDescent="0.15">
      <c r="F186" s="1380" t="b">
        <f>AND(F177:F183)</f>
        <v>1</v>
      </c>
      <c r="G186" s="1380" t="b">
        <f>OR(G177:G183)</f>
        <v>0</v>
      </c>
      <c r="H186" s="1380" t="b">
        <f>OR(H177:H183)</f>
        <v>0</v>
      </c>
      <c r="I186" s="1380" t="b">
        <f>AND(NOT(J186),OR(I177:I183))</f>
        <v>0</v>
      </c>
      <c r="J186" s="1380" t="b">
        <f>OR(J177:J183)</f>
        <v>0</v>
      </c>
      <c r="K186" s="1380" t="str">
        <f>IF(J186,$J$2,IF(I186,$I$2,IF(H186,$H$2,IF(G186,$G$2,IF(F186,$F$2,"エラー")))))</f>
        <v>？</v>
      </c>
      <c r="M186" s="1380" t="b">
        <f t="shared" ref="M186:O186" si="63">OR(M177:M183)</f>
        <v>0</v>
      </c>
      <c r="N186" s="1380" t="b">
        <f t="shared" si="63"/>
        <v>0</v>
      </c>
      <c r="O186" s="1380" t="b">
        <f t="shared" si="63"/>
        <v>0</v>
      </c>
      <c r="P186" s="1380">
        <f t="shared" ref="P186" si="64">-(M186*4+N186*2+O186)</f>
        <v>0</v>
      </c>
      <c r="R186" s="1380" t="str">
        <f t="shared" ref="R186" si="65">INDEX($H$192:$M$199,MATCH(P186,$F$192:$F$199,0),MATCH(K186,$H$191:$M$191,0))</f>
        <v>？</v>
      </c>
      <c r="S186" s="1827">
        <v>1</v>
      </c>
      <c r="T186" s="1380" t="str">
        <f t="shared" ref="T186" si="66">IF(S186=1,R186,"")</f>
        <v>？</v>
      </c>
    </row>
    <row r="189" spans="2:20" ht="21.75" customHeight="1" x14ac:dyDescent="0.15">
      <c r="C189" s="1374" t="s">
        <v>3272</v>
      </c>
    </row>
    <row r="190" spans="2:20" ht="21.75" customHeight="1" x14ac:dyDescent="0.15">
      <c r="C190" s="1817"/>
      <c r="D190" s="1818"/>
      <c r="E190" s="1819"/>
      <c r="F190" s="1380"/>
      <c r="G190" s="1816" t="s">
        <v>3273</v>
      </c>
      <c r="H190" s="1380" t="s">
        <v>3245</v>
      </c>
      <c r="I190" s="1380" t="s">
        <v>1074</v>
      </c>
      <c r="J190" s="1380" t="s">
        <v>1075</v>
      </c>
      <c r="K190" s="1380" t="s">
        <v>3246</v>
      </c>
      <c r="L190" s="1380" t="s">
        <v>1107</v>
      </c>
      <c r="M190" s="1380" t="s">
        <v>3235</v>
      </c>
    </row>
    <row r="191" spans="2:20" ht="21.75" customHeight="1" x14ac:dyDescent="0.15">
      <c r="C191" s="1820" t="s">
        <v>3274</v>
      </c>
      <c r="D191" s="1818"/>
      <c r="E191" s="1821"/>
      <c r="F191" s="1380" t="s">
        <v>3275</v>
      </c>
      <c r="G191" s="1380"/>
      <c r="H191" s="1822" t="s">
        <v>3248</v>
      </c>
      <c r="I191" s="1822" t="s">
        <v>3250</v>
      </c>
      <c r="J191" s="1822" t="s">
        <v>2583</v>
      </c>
      <c r="K191" s="1822" t="s">
        <v>3276</v>
      </c>
      <c r="L191" s="1822" t="s">
        <v>3253</v>
      </c>
      <c r="M191" s="1822" t="s">
        <v>3255</v>
      </c>
    </row>
    <row r="192" spans="2:20" ht="21.75" customHeight="1" x14ac:dyDescent="0.15">
      <c r="C192" s="1820" t="s">
        <v>3277</v>
      </c>
      <c r="D192" s="1818"/>
      <c r="E192" s="1821"/>
      <c r="F192" s="1822">
        <v>0</v>
      </c>
      <c r="G192" s="1380">
        <v>0</v>
      </c>
      <c r="H192" s="1823" t="s">
        <v>3248</v>
      </c>
      <c r="I192" s="1823" t="s">
        <v>3250</v>
      </c>
      <c r="J192" s="1823" t="s">
        <v>2583</v>
      </c>
      <c r="K192" s="1823" t="s">
        <v>3276</v>
      </c>
      <c r="L192" s="1823" t="s">
        <v>3278</v>
      </c>
      <c r="M192" s="1823" t="s">
        <v>3279</v>
      </c>
    </row>
    <row r="193" spans="3:13" ht="21.75" customHeight="1" x14ac:dyDescent="0.15">
      <c r="C193" s="1820" t="s">
        <v>3280</v>
      </c>
      <c r="D193" s="1818"/>
      <c r="E193" s="1821"/>
      <c r="F193" s="1822">
        <v>-1</v>
      </c>
      <c r="G193" s="1380">
        <v>1</v>
      </c>
      <c r="H193" s="1823" t="s">
        <v>3248</v>
      </c>
      <c r="I193" s="1823" t="s">
        <v>3250</v>
      </c>
      <c r="J193" s="1823" t="s">
        <v>2583</v>
      </c>
      <c r="K193" s="1823" t="s">
        <v>3276</v>
      </c>
      <c r="L193" s="1823" t="s">
        <v>3281</v>
      </c>
      <c r="M193" s="1823" t="s">
        <v>3282</v>
      </c>
    </row>
    <row r="194" spans="3:13" ht="21.75" customHeight="1" x14ac:dyDescent="0.15">
      <c r="C194" s="1820" t="s">
        <v>3283</v>
      </c>
      <c r="D194" s="1818"/>
      <c r="E194" s="1821"/>
      <c r="F194" s="1822">
        <v>-5</v>
      </c>
      <c r="G194" s="1380">
        <v>2</v>
      </c>
      <c r="H194" s="1823" t="s">
        <v>3248</v>
      </c>
      <c r="I194" s="1823" t="s">
        <v>3250</v>
      </c>
      <c r="J194" s="1823" t="s">
        <v>2583</v>
      </c>
      <c r="K194" s="1823" t="s">
        <v>3276</v>
      </c>
      <c r="L194" s="1823" t="s">
        <v>3284</v>
      </c>
      <c r="M194" s="1823" t="s">
        <v>3285</v>
      </c>
    </row>
    <row r="195" spans="3:13" ht="21.75" customHeight="1" x14ac:dyDescent="0.15">
      <c r="C195" s="1820" t="s">
        <v>3286</v>
      </c>
      <c r="D195" s="1818"/>
      <c r="E195" s="1821"/>
      <c r="F195" s="1822">
        <v>-3</v>
      </c>
      <c r="G195" s="1380">
        <v>3</v>
      </c>
      <c r="H195" s="1823" t="s">
        <v>3248</v>
      </c>
      <c r="I195" s="1823" t="s">
        <v>3250</v>
      </c>
      <c r="J195" s="1823" t="s">
        <v>2583</v>
      </c>
      <c r="K195" s="1823" t="s">
        <v>3276</v>
      </c>
      <c r="L195" s="1823" t="s">
        <v>3287</v>
      </c>
      <c r="M195" s="1823" t="s">
        <v>3288</v>
      </c>
    </row>
    <row r="196" spans="3:13" ht="21.75" customHeight="1" x14ac:dyDescent="0.15">
      <c r="C196" s="1820" t="s">
        <v>3289</v>
      </c>
      <c r="D196" s="1818"/>
      <c r="E196" s="1821"/>
      <c r="F196" s="1822">
        <v>-7</v>
      </c>
      <c r="G196" s="1380">
        <v>4</v>
      </c>
      <c r="H196" s="1823" t="s">
        <v>3248</v>
      </c>
      <c r="I196" s="1823" t="s">
        <v>3250</v>
      </c>
      <c r="J196" s="1823" t="s">
        <v>2583</v>
      </c>
      <c r="K196" s="1823" t="s">
        <v>3276</v>
      </c>
      <c r="L196" s="1823" t="s">
        <v>3290</v>
      </c>
      <c r="M196" s="1823" t="s">
        <v>3291</v>
      </c>
    </row>
    <row r="197" spans="3:13" ht="21.75" customHeight="1" x14ac:dyDescent="0.15">
      <c r="C197" s="1820" t="s">
        <v>3292</v>
      </c>
      <c r="D197" s="1818"/>
      <c r="E197" s="1821"/>
      <c r="F197" s="1822">
        <v>-2</v>
      </c>
      <c r="G197" s="1380">
        <v>5</v>
      </c>
      <c r="H197" s="1823" t="s">
        <v>3248</v>
      </c>
      <c r="I197" s="1823" t="s">
        <v>3250</v>
      </c>
      <c r="J197" s="1823" t="s">
        <v>2583</v>
      </c>
      <c r="K197" s="1823" t="s">
        <v>3276</v>
      </c>
      <c r="L197" s="1823" t="s">
        <v>3293</v>
      </c>
      <c r="M197" s="1823" t="s">
        <v>3294</v>
      </c>
    </row>
    <row r="198" spans="3:13" ht="21.75" customHeight="1" x14ac:dyDescent="0.15">
      <c r="C198" s="1820" t="s">
        <v>3295</v>
      </c>
      <c r="D198" s="1818"/>
      <c r="E198" s="1821"/>
      <c r="F198" s="1822">
        <v>-6</v>
      </c>
      <c r="G198" s="1380">
        <v>6</v>
      </c>
      <c r="H198" s="1823" t="s">
        <v>3248</v>
      </c>
      <c r="I198" s="1823" t="s">
        <v>3250</v>
      </c>
      <c r="J198" s="1823" t="s">
        <v>2583</v>
      </c>
      <c r="K198" s="1823" t="s">
        <v>3276</v>
      </c>
      <c r="L198" s="1823" t="s">
        <v>3296</v>
      </c>
      <c r="M198" s="1823" t="s">
        <v>3297</v>
      </c>
    </row>
    <row r="199" spans="3:13" ht="21.75" customHeight="1" x14ac:dyDescent="0.15">
      <c r="C199" s="1820" t="s">
        <v>3298</v>
      </c>
      <c r="D199" s="1818"/>
      <c r="E199" s="1821"/>
      <c r="F199" s="1822">
        <v>-4</v>
      </c>
      <c r="G199" s="1380">
        <v>7</v>
      </c>
      <c r="H199" s="1823" t="s">
        <v>3248</v>
      </c>
      <c r="I199" s="1823" t="s">
        <v>3250</v>
      </c>
      <c r="J199" s="1823" t="s">
        <v>2583</v>
      </c>
      <c r="K199" s="1823" t="s">
        <v>3276</v>
      </c>
      <c r="L199" s="1823" t="s">
        <v>3299</v>
      </c>
      <c r="M199" s="1823" t="s">
        <v>3300</v>
      </c>
    </row>
  </sheetData>
  <phoneticPr fontId="3"/>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AX232"/>
  <sheetViews>
    <sheetView topLeftCell="A200" zoomScale="85" zoomScaleNormal="85" workbookViewId="0"/>
  </sheetViews>
  <sheetFormatPr defaultColWidth="9" defaultRowHeight="18.75" x14ac:dyDescent="0.15"/>
  <cols>
    <col min="1" max="1" width="30.625" style="1374" customWidth="1"/>
    <col min="2" max="2" width="15.625" style="1373" bestFit="1" customWidth="1"/>
    <col min="3" max="3" width="25.5" style="1374" bestFit="1" customWidth="1"/>
    <col min="4" max="4" width="26.375" style="1374" customWidth="1"/>
    <col min="5" max="5" width="31.25" style="1374" bestFit="1" customWidth="1"/>
    <col min="6" max="6" width="11.75" style="1374" customWidth="1"/>
    <col min="7" max="7" width="67.625" style="1374" bestFit="1" customWidth="1"/>
    <col min="8" max="10" width="27.25" style="1374" customWidth="1"/>
    <col min="11" max="11" width="48.375" style="1374" customWidth="1"/>
    <col min="12" max="14" width="27.25" style="1374" customWidth="1"/>
    <col min="15" max="25" width="27.25" style="1374" hidden="1" customWidth="1"/>
    <col min="26" max="26" width="27.25" style="1374" customWidth="1"/>
    <col min="27" max="27" width="38.125" style="1374" bestFit="1" customWidth="1"/>
    <col min="28" max="28" width="18.375" style="1374" bestFit="1" customWidth="1"/>
    <col min="29" max="29" width="14.125" style="1374" bestFit="1" customWidth="1"/>
    <col min="30" max="30" width="24.375" style="1374" bestFit="1" customWidth="1"/>
    <col min="31" max="31" width="33.125" style="1374" bestFit="1" customWidth="1"/>
    <col min="32" max="32" width="9" style="1374"/>
    <col min="33" max="33" width="31.5" style="1374" bestFit="1" customWidth="1"/>
    <col min="34" max="34" width="27.375" style="1374" bestFit="1" customWidth="1"/>
    <col min="35" max="35" width="89.625" style="1374" bestFit="1" customWidth="1"/>
    <col min="36" max="36" width="87.875" style="1374" bestFit="1" customWidth="1"/>
    <col min="37" max="37" width="26.75" style="1374" bestFit="1" customWidth="1"/>
    <col min="38" max="38" width="30.875" style="1374" bestFit="1" customWidth="1"/>
    <col min="39" max="39" width="9" style="1374"/>
    <col min="40" max="40" width="16.5" style="1374" bestFit="1" customWidth="1"/>
    <col min="41" max="41" width="20.75" style="1374" bestFit="1" customWidth="1"/>
    <col min="42" max="42" width="9" style="1374" bestFit="1" customWidth="1"/>
    <col min="43" max="43" width="7.125" style="1374" bestFit="1" customWidth="1"/>
    <col min="44" max="44" width="12.25" style="1374" bestFit="1" customWidth="1"/>
    <col min="45" max="45" width="15.125" style="1374" bestFit="1" customWidth="1"/>
    <col min="46" max="46" width="33.25" style="1374" bestFit="1" customWidth="1"/>
    <col min="47" max="47" width="33" style="1374" bestFit="1" customWidth="1"/>
    <col min="48" max="48" width="36.625" style="1374" bestFit="1" customWidth="1"/>
    <col min="49" max="49" width="9" style="1374"/>
    <col min="50" max="50" width="17.125" style="1374" bestFit="1" customWidth="1"/>
    <col min="51" max="16384" width="9" style="1374"/>
  </cols>
  <sheetData>
    <row r="1" spans="1:50" s="1365" customFormat="1" x14ac:dyDescent="0.15">
      <c r="A1" s="1365" t="s">
        <v>1633</v>
      </c>
      <c r="B1" s="1366"/>
      <c r="C1" s="1365" t="s">
        <v>1634</v>
      </c>
      <c r="E1" s="1365" t="s">
        <v>1634</v>
      </c>
      <c r="G1" s="1365" t="s">
        <v>1635</v>
      </c>
      <c r="I1" s="1365" t="s">
        <v>1663</v>
      </c>
      <c r="K1" s="1365" t="s">
        <v>1665</v>
      </c>
      <c r="AA1" s="1365" t="s">
        <v>355</v>
      </c>
      <c r="AX1" s="1365" t="s">
        <v>2391</v>
      </c>
    </row>
    <row r="2" spans="1:50" s="1368" customFormat="1" ht="60" customHeight="1" thickBot="1" x14ac:dyDescent="0.2">
      <c r="A2" s="1365" t="s">
        <v>1019</v>
      </c>
      <c r="B2" s="1367"/>
      <c r="C2" s="1368" t="s">
        <v>354</v>
      </c>
      <c r="D2" s="1368" t="s">
        <v>2964</v>
      </c>
      <c r="E2" s="1368" t="s">
        <v>347</v>
      </c>
      <c r="F2" s="1368" t="s">
        <v>2964</v>
      </c>
      <c r="G2" s="1368" t="s">
        <v>656</v>
      </c>
      <c r="H2" s="1368" t="s">
        <v>2964</v>
      </c>
      <c r="K2" s="1368" t="s">
        <v>1666</v>
      </c>
      <c r="AA2" s="1369" t="s">
        <v>307</v>
      </c>
      <c r="AB2" s="1370" t="s">
        <v>2384</v>
      </c>
      <c r="AC2" s="1371" t="s">
        <v>2375</v>
      </c>
      <c r="AD2" s="1371" t="s">
        <v>2218</v>
      </c>
      <c r="AE2" s="1371" t="s">
        <v>2219</v>
      </c>
      <c r="AF2" s="1371" t="s">
        <v>2220</v>
      </c>
      <c r="AG2" s="1371" t="s">
        <v>2376</v>
      </c>
      <c r="AH2" s="1371" t="s">
        <v>2377</v>
      </c>
      <c r="AI2" s="1371" t="s">
        <v>2445</v>
      </c>
      <c r="AJ2" s="1371" t="s">
        <v>2446</v>
      </c>
      <c r="AK2" s="1371" t="s">
        <v>2379</v>
      </c>
      <c r="AL2" s="1371" t="s">
        <v>2380</v>
      </c>
      <c r="AM2" s="1371" t="s">
        <v>2221</v>
      </c>
      <c r="AN2" s="1371" t="s">
        <v>2222</v>
      </c>
      <c r="AO2" s="1371" t="s">
        <v>2223</v>
      </c>
      <c r="AP2" s="1371" t="s">
        <v>2224</v>
      </c>
      <c r="AQ2" s="1371" t="s">
        <v>2225</v>
      </c>
      <c r="AR2" s="1371" t="s">
        <v>2226</v>
      </c>
      <c r="AS2" s="1371" t="s">
        <v>2227</v>
      </c>
      <c r="AT2" s="1371" t="s">
        <v>2378</v>
      </c>
      <c r="AU2" s="1371" t="s">
        <v>2381</v>
      </c>
      <c r="AV2" s="1371" t="s">
        <v>2382</v>
      </c>
      <c r="AX2" s="1368" t="s">
        <v>2390</v>
      </c>
    </row>
    <row r="3" spans="1:50" ht="19.5" thickBot="1" x14ac:dyDescent="0.2">
      <c r="A3" s="1372" t="s">
        <v>1098</v>
      </c>
      <c r="C3" s="1372" t="s">
        <v>246</v>
      </c>
      <c r="D3" s="1374" t="s">
        <v>2965</v>
      </c>
      <c r="E3" s="1372" t="s">
        <v>250</v>
      </c>
      <c r="F3" s="1373" t="s">
        <v>2970</v>
      </c>
      <c r="G3" s="1372" t="s">
        <v>1661</v>
      </c>
      <c r="H3" s="1374" t="s">
        <v>3077</v>
      </c>
      <c r="I3" s="1375" t="s">
        <v>1664</v>
      </c>
      <c r="K3" s="1372" t="s">
        <v>1272</v>
      </c>
      <c r="AA3" s="1376" t="s">
        <v>2375</v>
      </c>
      <c r="AB3" s="1377" t="s">
        <v>2383</v>
      </c>
      <c r="AC3" s="1376" t="s">
        <v>2447</v>
      </c>
      <c r="AD3" s="1376" t="s">
        <v>2218</v>
      </c>
      <c r="AE3" s="1376" t="s">
        <v>2219</v>
      </c>
      <c r="AF3" s="1376" t="s">
        <v>2220</v>
      </c>
      <c r="AG3" s="1378" t="s">
        <v>2448</v>
      </c>
      <c r="AH3" s="1378" t="s">
        <v>2449</v>
      </c>
      <c r="AI3" s="1378" t="s">
        <v>2450</v>
      </c>
      <c r="AJ3" s="1378" t="s">
        <v>2451</v>
      </c>
      <c r="AK3" s="1376" t="s">
        <v>2457</v>
      </c>
      <c r="AL3" s="1376" t="s">
        <v>2458</v>
      </c>
      <c r="AM3" s="1376" t="s">
        <v>2221</v>
      </c>
      <c r="AN3" s="1376" t="s">
        <v>2222</v>
      </c>
      <c r="AO3" s="1376" t="s">
        <v>2223</v>
      </c>
      <c r="AP3" s="1376" t="s">
        <v>2224</v>
      </c>
      <c r="AQ3" s="1376" t="s">
        <v>2225</v>
      </c>
      <c r="AR3" s="1376" t="s">
        <v>2226</v>
      </c>
      <c r="AS3" s="1376" t="s">
        <v>2227</v>
      </c>
      <c r="AT3" s="1376" t="s">
        <v>2452</v>
      </c>
      <c r="AU3" s="1376" t="s">
        <v>2453</v>
      </c>
      <c r="AV3" s="1376" t="s">
        <v>2454</v>
      </c>
      <c r="AX3" s="1372" t="s">
        <v>2392</v>
      </c>
    </row>
    <row r="4" spans="1:50" x14ac:dyDescent="0.15">
      <c r="A4" s="1379" t="s">
        <v>1096</v>
      </c>
      <c r="C4" s="1379" t="s">
        <v>324</v>
      </c>
      <c r="D4" s="1374" t="s">
        <v>2966</v>
      </c>
      <c r="E4" s="1379" t="s">
        <v>251</v>
      </c>
      <c r="F4" s="1373" t="s">
        <v>2971</v>
      </c>
      <c r="G4" s="1379" t="s">
        <v>1662</v>
      </c>
      <c r="H4" s="1374" t="s">
        <v>3078</v>
      </c>
      <c r="K4" s="1379" t="s">
        <v>1273</v>
      </c>
      <c r="AA4" s="1376" t="s">
        <v>2218</v>
      </c>
      <c r="AC4" s="1380" t="s">
        <v>2251</v>
      </c>
      <c r="AD4" s="1380" t="s">
        <v>2243</v>
      </c>
      <c r="AE4" s="1380" t="s">
        <v>2244</v>
      </c>
      <c r="AF4" s="1381" t="s">
        <v>2245</v>
      </c>
      <c r="AG4" s="1380" t="s">
        <v>2252</v>
      </c>
      <c r="AH4" s="1380" t="s">
        <v>2253</v>
      </c>
      <c r="AI4" s="1380" t="s">
        <v>2455</v>
      </c>
      <c r="AJ4" s="1380" t="s">
        <v>2254</v>
      </c>
      <c r="AK4" s="1380" t="s">
        <v>2228</v>
      </c>
      <c r="AL4" s="1380" t="s">
        <v>2229</v>
      </c>
      <c r="AM4" s="1380" t="s">
        <v>2255</v>
      </c>
      <c r="AN4" s="1380" t="s">
        <v>2256</v>
      </c>
      <c r="AO4" s="1380" t="s">
        <v>2257</v>
      </c>
      <c r="AP4" s="1380" t="s">
        <v>2258</v>
      </c>
      <c r="AQ4" s="1380" t="s">
        <v>2259</v>
      </c>
      <c r="AR4" s="1380" t="s">
        <v>2260</v>
      </c>
      <c r="AS4" s="1380" t="s">
        <v>2261</v>
      </c>
      <c r="AT4" s="1380" t="s">
        <v>2262</v>
      </c>
      <c r="AU4" s="1380" t="s">
        <v>2263</v>
      </c>
      <c r="AV4" s="1380" t="s">
        <v>2230</v>
      </c>
      <c r="AX4" s="1379" t="s">
        <v>2385</v>
      </c>
    </row>
    <row r="5" spans="1:50" ht="19.5" thickBot="1" x14ac:dyDescent="0.2">
      <c r="A5" s="1382" t="s">
        <v>1097</v>
      </c>
      <c r="C5" s="1379" t="s">
        <v>1657</v>
      </c>
      <c r="D5" s="1374" t="s">
        <v>2967</v>
      </c>
      <c r="E5" s="1379" t="s">
        <v>252</v>
      </c>
      <c r="F5" s="1373" t="s">
        <v>2972</v>
      </c>
      <c r="G5" s="1379" t="s">
        <v>654</v>
      </c>
      <c r="H5" s="1374" t="s">
        <v>3079</v>
      </c>
      <c r="K5" s="1383" t="s">
        <v>294</v>
      </c>
      <c r="AA5" s="1376" t="s">
        <v>2219</v>
      </c>
      <c r="AC5" s="1380" t="s">
        <v>2264</v>
      </c>
      <c r="AD5" s="1380" t="s">
        <v>2246</v>
      </c>
      <c r="AE5" s="1380" t="s">
        <v>2247</v>
      </c>
      <c r="AF5" s="1380" t="s">
        <v>2265</v>
      </c>
      <c r="AG5" s="1380" t="s">
        <v>2266</v>
      </c>
      <c r="AH5" s="1380" t="s">
        <v>2267</v>
      </c>
      <c r="AI5" s="1380" t="s">
        <v>2405</v>
      </c>
      <c r="AJ5" s="1380" t="s">
        <v>2268</v>
      </c>
      <c r="AK5" s="1380" t="s">
        <v>2231</v>
      </c>
      <c r="AM5" s="1380" t="s">
        <v>2269</v>
      </c>
      <c r="AN5" s="1380" t="s">
        <v>2270</v>
      </c>
      <c r="AO5" s="1380" t="s">
        <v>2232</v>
      </c>
      <c r="AQ5" s="1380" t="s">
        <v>2271</v>
      </c>
      <c r="AR5" s="1380" t="s">
        <v>302</v>
      </c>
      <c r="AS5" s="1380" t="s">
        <v>2272</v>
      </c>
      <c r="AT5" s="1380" t="s">
        <v>2273</v>
      </c>
      <c r="AV5" s="1380" t="s">
        <v>2233</v>
      </c>
      <c r="AX5" s="1379" t="s">
        <v>2386</v>
      </c>
    </row>
    <row r="6" spans="1:50" ht="19.5" thickBot="1" x14ac:dyDescent="0.2">
      <c r="A6" s="1373"/>
      <c r="C6" s="1379" t="s">
        <v>137</v>
      </c>
      <c r="D6" s="1374" t="s">
        <v>2968</v>
      </c>
      <c r="E6" s="1379" t="s">
        <v>253</v>
      </c>
      <c r="F6" s="1374" t="s">
        <v>2973</v>
      </c>
      <c r="G6" s="1383" t="s">
        <v>655</v>
      </c>
      <c r="H6" s="1374" t="s">
        <v>3080</v>
      </c>
      <c r="K6" s="1374" t="s">
        <v>1667</v>
      </c>
      <c r="AA6" s="1376" t="s">
        <v>2220</v>
      </c>
      <c r="AC6" s="1380" t="s">
        <v>2274</v>
      </c>
      <c r="AD6" s="1380" t="s">
        <v>2275</v>
      </c>
      <c r="AE6" s="1380" t="s">
        <v>3202</v>
      </c>
      <c r="AG6" s="1380" t="s">
        <v>2276</v>
      </c>
      <c r="AH6" s="1380" t="s">
        <v>2277</v>
      </c>
      <c r="AI6" s="1380" t="s">
        <v>2406</v>
      </c>
      <c r="AJ6" s="1380" t="s">
        <v>2278</v>
      </c>
      <c r="AM6" s="1380" t="s">
        <v>2279</v>
      </c>
      <c r="AN6" s="1380" t="s">
        <v>2280</v>
      </c>
      <c r="AO6" s="1380" t="s">
        <v>2281</v>
      </c>
      <c r="AQ6" s="1380" t="s">
        <v>2282</v>
      </c>
      <c r="AR6" s="1380" t="s">
        <v>303</v>
      </c>
      <c r="AS6" s="1380" t="s">
        <v>2283</v>
      </c>
      <c r="AT6" s="1380" t="s">
        <v>301</v>
      </c>
      <c r="AV6" s="1380" t="s">
        <v>2234</v>
      </c>
      <c r="AX6" s="1379" t="s">
        <v>2387</v>
      </c>
    </row>
    <row r="7" spans="1:50" ht="19.5" thickBot="1" x14ac:dyDescent="0.2">
      <c r="C7" s="1383" t="s">
        <v>249</v>
      </c>
      <c r="D7" s="1374" t="s">
        <v>2969</v>
      </c>
      <c r="E7" s="1379" t="s">
        <v>254</v>
      </c>
      <c r="F7" s="1374" t="s">
        <v>2974</v>
      </c>
      <c r="G7" s="1384"/>
      <c r="AA7" s="1378" t="s">
        <v>2376</v>
      </c>
      <c r="AI7" s="1380" t="s">
        <v>2407</v>
      </c>
      <c r="AJ7" s="1380" t="s">
        <v>2284</v>
      </c>
      <c r="AN7" s="1380" t="s">
        <v>2285</v>
      </c>
      <c r="AR7" s="1380" t="s">
        <v>304</v>
      </c>
      <c r="AS7" s="1380" t="s">
        <v>2236</v>
      </c>
      <c r="AT7" s="1380" t="s">
        <v>2286</v>
      </c>
      <c r="AX7" s="1379" t="s">
        <v>2215</v>
      </c>
    </row>
    <row r="8" spans="1:50" ht="19.5" thickBot="1" x14ac:dyDescent="0.2">
      <c r="A8" s="1384" t="s">
        <v>1658</v>
      </c>
      <c r="C8" s="1373"/>
      <c r="E8" s="1379" t="s">
        <v>255</v>
      </c>
      <c r="F8" s="1374" t="s">
        <v>2975</v>
      </c>
      <c r="G8" s="1384"/>
      <c r="AA8" s="1378" t="s">
        <v>2377</v>
      </c>
      <c r="AI8" s="1380" t="s">
        <v>2408</v>
      </c>
      <c r="AJ8" s="1380" t="s">
        <v>2287</v>
      </c>
      <c r="AN8" s="1380" t="s">
        <v>2288</v>
      </c>
      <c r="AR8" s="1380" t="s">
        <v>305</v>
      </c>
      <c r="AT8" s="1380" t="s">
        <v>2238</v>
      </c>
      <c r="AX8" s="1379" t="s">
        <v>2388</v>
      </c>
    </row>
    <row r="9" spans="1:50" ht="19.5" thickBot="1" x14ac:dyDescent="0.2">
      <c r="A9" s="1385" t="s">
        <v>1659</v>
      </c>
      <c r="C9" s="1373"/>
      <c r="E9" s="1379" t="s">
        <v>256</v>
      </c>
      <c r="F9" s="1374" t="s">
        <v>2976</v>
      </c>
      <c r="K9" s="1386" t="s">
        <v>1668</v>
      </c>
      <c r="AA9" s="1378" t="s">
        <v>2445</v>
      </c>
      <c r="AI9" s="1380" t="s">
        <v>2456</v>
      </c>
      <c r="AJ9" s="1380" t="s">
        <v>2289</v>
      </c>
      <c r="AR9" s="1380" t="s">
        <v>306</v>
      </c>
      <c r="AX9" s="1383" t="s">
        <v>2389</v>
      </c>
    </row>
    <row r="10" spans="1:50" ht="19.5" thickBot="1" x14ac:dyDescent="0.2">
      <c r="A10" s="1387" t="s">
        <v>1660</v>
      </c>
      <c r="C10" s="1373"/>
      <c r="E10" s="1379" t="s">
        <v>257</v>
      </c>
      <c r="K10" s="1372" t="s">
        <v>1669</v>
      </c>
      <c r="AA10" s="1378" t="s">
        <v>2446</v>
      </c>
      <c r="AI10" s="1380" t="s">
        <v>2409</v>
      </c>
      <c r="AJ10" s="1380" t="s">
        <v>2248</v>
      </c>
      <c r="AR10" s="1380" t="s">
        <v>2249</v>
      </c>
    </row>
    <row r="11" spans="1:50" x14ac:dyDescent="0.15">
      <c r="C11" s="1373"/>
      <c r="E11" s="1379" t="s">
        <v>258</v>
      </c>
      <c r="F11" s="1374" t="s">
        <v>2977</v>
      </c>
      <c r="K11" s="1379" t="s">
        <v>1670</v>
      </c>
      <c r="AA11" s="1376" t="s">
        <v>2379</v>
      </c>
      <c r="AI11" s="1380" t="s">
        <v>2235</v>
      </c>
      <c r="AJ11" s="1380" t="s">
        <v>2290</v>
      </c>
    </row>
    <row r="12" spans="1:50" x14ac:dyDescent="0.15">
      <c r="C12" s="1373"/>
      <c r="E12" s="1379" t="s">
        <v>260</v>
      </c>
      <c r="F12" s="1374" t="s">
        <v>2978</v>
      </c>
      <c r="K12" s="1379" t="s">
        <v>1671</v>
      </c>
      <c r="AA12" s="1376" t="s">
        <v>2380</v>
      </c>
      <c r="AI12" s="1380" t="s">
        <v>2237</v>
      </c>
      <c r="AJ12" s="1380" t="s">
        <v>2291</v>
      </c>
    </row>
    <row r="13" spans="1:50" x14ac:dyDescent="0.15">
      <c r="C13" s="1373"/>
      <c r="E13" s="1379" t="s">
        <v>259</v>
      </c>
      <c r="F13" s="1374" t="s">
        <v>2979</v>
      </c>
      <c r="K13" s="1379" t="s">
        <v>1672</v>
      </c>
      <c r="AA13" s="1376" t="s">
        <v>2221</v>
      </c>
      <c r="AI13" s="1380" t="s">
        <v>2239</v>
      </c>
      <c r="AJ13" s="1380" t="s">
        <v>2292</v>
      </c>
    </row>
    <row r="14" spans="1:50" x14ac:dyDescent="0.15">
      <c r="C14" s="1373"/>
      <c r="E14" s="1379" t="s">
        <v>261</v>
      </c>
      <c r="F14" s="1374" t="s">
        <v>2980</v>
      </c>
      <c r="K14" s="1379" t="s">
        <v>1673</v>
      </c>
      <c r="AA14" s="1376" t="s">
        <v>2222</v>
      </c>
      <c r="AI14" s="1380" t="s">
        <v>2240</v>
      </c>
      <c r="AJ14" s="1380" t="s">
        <v>2241</v>
      </c>
    </row>
    <row r="15" spans="1:50" ht="19.5" thickBot="1" x14ac:dyDescent="0.2">
      <c r="C15" s="1373"/>
      <c r="E15" s="1379" t="s">
        <v>176</v>
      </c>
      <c r="F15" s="1374" t="s">
        <v>2981</v>
      </c>
      <c r="K15" s="1383" t="s">
        <v>1674</v>
      </c>
      <c r="AA15" s="1376" t="s">
        <v>2223</v>
      </c>
      <c r="AJ15" s="1380" t="s">
        <v>2293</v>
      </c>
    </row>
    <row r="16" spans="1:50" x14ac:dyDescent="0.15">
      <c r="C16" s="1373"/>
      <c r="E16" s="1379" t="s">
        <v>1794</v>
      </c>
      <c r="F16" s="1374" t="s">
        <v>2982</v>
      </c>
      <c r="K16" s="1388" t="s">
        <v>1667</v>
      </c>
      <c r="AA16" s="1376" t="s">
        <v>2224</v>
      </c>
      <c r="AJ16" s="1380" t="s">
        <v>2294</v>
      </c>
    </row>
    <row r="17" spans="1:36" ht="19.5" thickBot="1" x14ac:dyDescent="0.2">
      <c r="E17" s="1383" t="s">
        <v>1793</v>
      </c>
      <c r="F17" s="1374" t="s">
        <v>2983</v>
      </c>
      <c r="AA17" s="1389" t="s">
        <v>2225</v>
      </c>
      <c r="AJ17" s="1380" t="s">
        <v>2295</v>
      </c>
    </row>
    <row r="18" spans="1:36" x14ac:dyDescent="0.15">
      <c r="AA18" s="1389" t="s">
        <v>2226</v>
      </c>
      <c r="AJ18" s="1380" t="s">
        <v>2250</v>
      </c>
    </row>
    <row r="19" spans="1:36" x14ac:dyDescent="0.15">
      <c r="AA19" s="1389" t="s">
        <v>2227</v>
      </c>
      <c r="AJ19" s="1380" t="s">
        <v>2296</v>
      </c>
    </row>
    <row r="20" spans="1:36" x14ac:dyDescent="0.15">
      <c r="AA20" s="1389" t="s">
        <v>2378</v>
      </c>
      <c r="AJ20" s="1380" t="s">
        <v>2297</v>
      </c>
    </row>
    <row r="21" spans="1:36" x14ac:dyDescent="0.15">
      <c r="AA21" s="1389" t="s">
        <v>2381</v>
      </c>
      <c r="AJ21" s="1380" t="s">
        <v>2298</v>
      </c>
    </row>
    <row r="22" spans="1:36" x14ac:dyDescent="0.15">
      <c r="A22" s="1390"/>
      <c r="B22" s="1384"/>
      <c r="C22" s="1390"/>
      <c r="D22" s="1390"/>
      <c r="E22" s="1390"/>
      <c r="F22" s="1390"/>
      <c r="G22" s="1390"/>
      <c r="H22" s="1390"/>
      <c r="I22" s="1390"/>
      <c r="J22" s="1390"/>
      <c r="K22" s="1390"/>
      <c r="L22" s="1390"/>
      <c r="M22" s="1390"/>
      <c r="N22" s="1390"/>
      <c r="O22" s="1390"/>
      <c r="P22" s="1390"/>
      <c r="Q22" s="1390"/>
      <c r="R22" s="1390"/>
      <c r="S22" s="1390"/>
      <c r="T22" s="1390"/>
      <c r="U22" s="1390"/>
      <c r="V22" s="1390"/>
      <c r="W22" s="1390"/>
      <c r="X22" s="1390"/>
      <c r="Y22" s="1390"/>
      <c r="Z22" s="1390"/>
      <c r="AA22" s="1389" t="s">
        <v>2382</v>
      </c>
      <c r="AJ22" s="1380" t="s">
        <v>2299</v>
      </c>
    </row>
    <row r="23" spans="1:36" x14ac:dyDescent="0.15">
      <c r="A23" s="1390"/>
      <c r="B23" s="1384"/>
      <c r="C23" s="1390"/>
      <c r="D23" s="1390"/>
      <c r="E23" s="1390"/>
      <c r="F23" s="1390"/>
      <c r="G23" s="1390"/>
      <c r="H23" s="1390"/>
      <c r="I23" s="1390"/>
      <c r="J23" s="1390"/>
      <c r="K23" s="1390"/>
      <c r="L23" s="1390"/>
      <c r="M23" s="1390"/>
      <c r="N23" s="1390"/>
      <c r="O23" s="1390"/>
      <c r="P23" s="1390"/>
      <c r="Q23" s="1390"/>
      <c r="R23" s="1390"/>
      <c r="S23" s="1390"/>
      <c r="T23" s="1390"/>
      <c r="U23" s="1390"/>
      <c r="V23" s="1390"/>
      <c r="W23" s="1390"/>
      <c r="X23" s="1390"/>
      <c r="Y23" s="1390"/>
      <c r="Z23" s="1390"/>
      <c r="AJ23" s="1380" t="s">
        <v>2300</v>
      </c>
    </row>
    <row r="24" spans="1:36" x14ac:dyDescent="0.15">
      <c r="A24" s="1365" t="s">
        <v>1675</v>
      </c>
      <c r="B24" s="1366"/>
      <c r="C24" s="1366" t="s">
        <v>1695</v>
      </c>
      <c r="D24" s="1366"/>
      <c r="E24" s="1365" t="s">
        <v>1312</v>
      </c>
      <c r="F24" s="1365"/>
      <c r="G24" s="1365" t="s">
        <v>1701</v>
      </c>
      <c r="H24" s="1365"/>
      <c r="I24" s="1365" t="s">
        <v>1637</v>
      </c>
      <c r="J24" s="1365"/>
      <c r="K24" s="1365" t="s">
        <v>1636</v>
      </c>
      <c r="L24" s="1365"/>
      <c r="M24" s="1365" t="s">
        <v>1653</v>
      </c>
      <c r="N24" s="1365"/>
      <c r="O24" s="1365"/>
      <c r="P24" s="1365"/>
      <c r="Q24" s="1365"/>
      <c r="R24" s="1365"/>
      <c r="S24" s="1365"/>
      <c r="T24" s="1365"/>
      <c r="U24" s="1365"/>
      <c r="V24" s="1365"/>
      <c r="W24" s="1365"/>
      <c r="X24" s="1365"/>
      <c r="Y24" s="1365"/>
      <c r="Z24" s="1365" t="s">
        <v>1737</v>
      </c>
      <c r="AA24" s="1365"/>
      <c r="AB24" s="1365"/>
      <c r="AC24" s="1365"/>
      <c r="AD24" s="1365"/>
      <c r="AE24" s="1366"/>
      <c r="AF24" s="1373"/>
      <c r="AG24" s="1373"/>
    </row>
    <row r="25" spans="1:36" x14ac:dyDescent="0.15">
      <c r="A25" s="1365" t="s">
        <v>1676</v>
      </c>
      <c r="B25" s="1366"/>
      <c r="C25" s="1366"/>
      <c r="D25" s="1366"/>
      <c r="E25" s="1365" t="s">
        <v>703</v>
      </c>
      <c r="F25" s="1365"/>
      <c r="G25" s="1365"/>
      <c r="H25" s="1365"/>
      <c r="I25" s="1365" t="s">
        <v>878</v>
      </c>
      <c r="J25" s="1365"/>
      <c r="K25" s="1365"/>
      <c r="L25" s="1365"/>
      <c r="M25" s="1365"/>
      <c r="N25" s="1365"/>
      <c r="O25" s="1365"/>
      <c r="P25" s="1365"/>
      <c r="Q25" s="1365"/>
      <c r="R25" s="1365"/>
      <c r="S25" s="1365"/>
      <c r="T25" s="1365"/>
      <c r="U25" s="1365"/>
      <c r="V25" s="1365"/>
      <c r="W25" s="1365"/>
      <c r="X25" s="1365"/>
      <c r="Y25" s="1365"/>
      <c r="Z25" s="1365"/>
      <c r="AA25" s="1365"/>
      <c r="AB25" s="1365"/>
      <c r="AC25" s="1365"/>
      <c r="AD25" s="1365"/>
      <c r="AE25" s="1366"/>
      <c r="AF25" s="1373"/>
      <c r="AG25" s="1373"/>
    </row>
    <row r="26" spans="1:36" x14ac:dyDescent="0.15">
      <c r="A26" s="1365"/>
      <c r="B26" s="1366"/>
      <c r="C26" s="1366"/>
      <c r="D26" s="1366"/>
      <c r="E26" s="1365"/>
      <c r="F26" s="1365"/>
      <c r="G26" s="1365"/>
      <c r="H26" s="1365"/>
      <c r="I26" s="1365"/>
      <c r="J26" s="1365"/>
      <c r="K26" s="1365"/>
      <c r="L26" s="1365"/>
      <c r="M26" s="1365"/>
      <c r="N26" s="1365"/>
      <c r="O26" s="1365"/>
      <c r="P26" s="1365"/>
      <c r="Q26" s="1365"/>
      <c r="R26" s="1365"/>
      <c r="S26" s="1365"/>
      <c r="T26" s="1365"/>
      <c r="U26" s="1365"/>
      <c r="V26" s="1365"/>
      <c r="W26" s="1365"/>
      <c r="X26" s="1365"/>
      <c r="Y26" s="1365"/>
      <c r="Z26" s="1365"/>
      <c r="AA26" s="1365"/>
      <c r="AB26" s="1365"/>
      <c r="AC26" s="1365"/>
      <c r="AD26" s="1365"/>
      <c r="AE26" s="1366"/>
      <c r="AF26" s="1373"/>
      <c r="AG26" s="1373"/>
    </row>
    <row r="27" spans="1:36" ht="38.25" thickBot="1" x14ac:dyDescent="0.2">
      <c r="A27" s="1365"/>
      <c r="B27" s="1366"/>
      <c r="C27" s="1366"/>
      <c r="D27" s="1366"/>
      <c r="E27" s="1365"/>
      <c r="F27" s="1365"/>
      <c r="G27" s="1365" t="s">
        <v>1702</v>
      </c>
      <c r="H27" s="1365"/>
      <c r="I27" s="1365" t="s">
        <v>1704</v>
      </c>
      <c r="J27" s="1365"/>
      <c r="K27" s="1368" t="s">
        <v>1708</v>
      </c>
      <c r="L27" s="1365"/>
      <c r="M27" s="1365"/>
      <c r="N27" s="1365"/>
      <c r="O27" s="1365"/>
      <c r="P27" s="1365"/>
      <c r="Q27" s="1365"/>
      <c r="R27" s="1365"/>
      <c r="S27" s="1365"/>
      <c r="T27" s="1365"/>
      <c r="U27" s="1365"/>
      <c r="V27" s="1365"/>
      <c r="W27" s="1365"/>
      <c r="X27" s="1365"/>
      <c r="Y27" s="1365"/>
      <c r="Z27" s="1365"/>
      <c r="AA27" s="1365"/>
      <c r="AB27" s="1365"/>
      <c r="AC27" s="1365"/>
      <c r="AD27" s="1365"/>
      <c r="AE27" s="1366"/>
      <c r="AF27" s="1373"/>
      <c r="AG27" s="1373"/>
    </row>
    <row r="28" spans="1:36" x14ac:dyDescent="0.15">
      <c r="A28" s="1372" t="s">
        <v>493</v>
      </c>
      <c r="C28" s="1372" t="s">
        <v>1696</v>
      </c>
      <c r="D28" s="1373"/>
      <c r="E28" s="1372" t="s">
        <v>488</v>
      </c>
      <c r="G28" s="1372" t="s">
        <v>1871</v>
      </c>
      <c r="I28" s="1385" t="s">
        <v>1680</v>
      </c>
      <c r="K28" s="1372" t="s">
        <v>1709</v>
      </c>
      <c r="M28" s="1372" t="s">
        <v>20</v>
      </c>
      <c r="Z28" s="1372" t="s">
        <v>1735</v>
      </c>
      <c r="AE28" s="1373"/>
      <c r="AF28" s="1373"/>
      <c r="AG28" s="1373"/>
    </row>
    <row r="29" spans="1:36" ht="19.5" thickBot="1" x14ac:dyDescent="0.2">
      <c r="A29" s="1379" t="s">
        <v>1100</v>
      </c>
      <c r="C29" s="1379" t="s">
        <v>1697</v>
      </c>
      <c r="D29" s="1373"/>
      <c r="E29" s="1379" t="s">
        <v>489</v>
      </c>
      <c r="G29" s="1391" t="s">
        <v>1877</v>
      </c>
      <c r="I29" s="1387" t="s">
        <v>1681</v>
      </c>
      <c r="K29" s="1387" t="s">
        <v>1710</v>
      </c>
      <c r="M29" s="1383" t="s">
        <v>1247</v>
      </c>
      <c r="Z29" s="1392" t="s">
        <v>1736</v>
      </c>
      <c r="AE29" s="1373"/>
      <c r="AF29" s="1373"/>
      <c r="AG29" s="1373"/>
    </row>
    <row r="30" spans="1:36" ht="19.5" thickBot="1" x14ac:dyDescent="0.2">
      <c r="A30" s="1383" t="s">
        <v>490</v>
      </c>
      <c r="C30" s="1383" t="s">
        <v>1698</v>
      </c>
      <c r="D30" s="1373"/>
      <c r="E30" s="1379" t="s">
        <v>832</v>
      </c>
      <c r="G30" s="1391" t="s">
        <v>1874</v>
      </c>
      <c r="M30" s="1373"/>
      <c r="AE30" s="1373"/>
      <c r="AF30" s="1373"/>
      <c r="AG30" s="1373"/>
    </row>
    <row r="31" spans="1:36" ht="19.5" thickBot="1" x14ac:dyDescent="0.2">
      <c r="C31" s="1373"/>
      <c r="D31" s="1373"/>
      <c r="E31" s="1383" t="s">
        <v>1309</v>
      </c>
      <c r="G31" s="1387" t="s">
        <v>271</v>
      </c>
      <c r="M31" s="1372" t="s">
        <v>1237</v>
      </c>
      <c r="AE31" s="1373"/>
      <c r="AF31" s="1373"/>
      <c r="AG31" s="1373"/>
    </row>
    <row r="32" spans="1:36" ht="19.5" thickBot="1" x14ac:dyDescent="0.2">
      <c r="A32" s="1386" t="s">
        <v>1677</v>
      </c>
      <c r="C32" s="1373"/>
      <c r="D32" s="1373"/>
      <c r="E32" s="1373"/>
      <c r="I32" s="1384" t="s">
        <v>1705</v>
      </c>
      <c r="K32" s="1384" t="s">
        <v>1714</v>
      </c>
      <c r="M32" s="1383" t="s">
        <v>271</v>
      </c>
      <c r="AE32" s="1373"/>
      <c r="AF32" s="1373"/>
      <c r="AG32" s="1373"/>
    </row>
    <row r="33" spans="1:33" ht="19.5" thickBot="1" x14ac:dyDescent="0.2">
      <c r="A33" s="1372" t="s">
        <v>20</v>
      </c>
      <c r="C33" s="1384" t="s">
        <v>1682</v>
      </c>
      <c r="D33" s="1373"/>
      <c r="E33" s="1373"/>
      <c r="G33" s="1384" t="s">
        <v>1703</v>
      </c>
      <c r="I33" s="1385" t="s">
        <v>1680</v>
      </c>
      <c r="K33" s="1385" t="s">
        <v>1712</v>
      </c>
      <c r="AE33" s="1373"/>
      <c r="AF33" s="1373"/>
      <c r="AG33" s="1373"/>
    </row>
    <row r="34" spans="1:33" ht="19.5" thickBot="1" x14ac:dyDescent="0.2">
      <c r="A34" s="1383" t="s">
        <v>1247</v>
      </c>
      <c r="C34" s="1385" t="s">
        <v>1699</v>
      </c>
      <c r="D34" s="1373"/>
      <c r="E34" s="1384" t="s">
        <v>1641</v>
      </c>
      <c r="G34" s="1385" t="s">
        <v>1746</v>
      </c>
      <c r="I34" s="1387" t="s">
        <v>1681</v>
      </c>
      <c r="K34" s="1393" t="s">
        <v>1711</v>
      </c>
    </row>
    <row r="35" spans="1:33" ht="19.5" thickBot="1" x14ac:dyDescent="0.2">
      <c r="C35" s="1387" t="s">
        <v>1700</v>
      </c>
      <c r="D35" s="1373"/>
      <c r="E35" s="1372" t="s">
        <v>20</v>
      </c>
      <c r="G35" s="1391" t="s">
        <v>1876</v>
      </c>
      <c r="K35" s="1393" t="s">
        <v>711</v>
      </c>
    </row>
    <row r="36" spans="1:33" ht="19.5" thickBot="1" x14ac:dyDescent="0.2">
      <c r="A36" s="1384" t="s">
        <v>1679</v>
      </c>
      <c r="C36" s="1384" t="s">
        <v>1691</v>
      </c>
      <c r="D36" s="1373"/>
      <c r="E36" s="1379" t="s">
        <v>1247</v>
      </c>
      <c r="G36" s="1391" t="s">
        <v>1875</v>
      </c>
      <c r="K36" s="1393" t="s">
        <v>712</v>
      </c>
    </row>
    <row r="37" spans="1:33" ht="19.5" thickBot="1" x14ac:dyDescent="0.2">
      <c r="A37" s="1372" t="s">
        <v>1680</v>
      </c>
      <c r="C37" s="1373"/>
      <c r="D37" s="1373"/>
      <c r="E37" s="1383" t="s">
        <v>640</v>
      </c>
      <c r="G37" s="1387" t="s">
        <v>271</v>
      </c>
      <c r="I37" s="1372" t="s">
        <v>1272</v>
      </c>
      <c r="K37" s="1393" t="s">
        <v>713</v>
      </c>
    </row>
    <row r="38" spans="1:33" ht="19.5" thickBot="1" x14ac:dyDescent="0.2">
      <c r="A38" s="1383" t="s">
        <v>1681</v>
      </c>
      <c r="C38" s="1373"/>
      <c r="D38" s="1373"/>
      <c r="E38" s="1373"/>
      <c r="I38" s="1379" t="s">
        <v>1273</v>
      </c>
      <c r="K38" s="1394" t="s">
        <v>1830</v>
      </c>
    </row>
    <row r="39" spans="1:33" ht="19.5" thickBot="1" x14ac:dyDescent="0.2">
      <c r="A39" s="1373"/>
      <c r="C39" s="1373"/>
      <c r="D39" s="1373"/>
      <c r="G39" s="1395" t="s">
        <v>2206</v>
      </c>
      <c r="I39" s="1383" t="s">
        <v>294</v>
      </c>
      <c r="K39" s="1387" t="s">
        <v>137</v>
      </c>
    </row>
    <row r="40" spans="1:33" x14ac:dyDescent="0.15">
      <c r="A40" s="1373"/>
      <c r="B40" s="1384"/>
      <c r="C40" s="1384"/>
      <c r="D40" s="1384"/>
      <c r="E40" s="1390"/>
      <c r="F40" s="1390"/>
      <c r="G40" s="1396" t="s">
        <v>2207</v>
      </c>
      <c r="H40" s="1390"/>
      <c r="I40" s="1384" t="s">
        <v>1706</v>
      </c>
      <c r="J40" s="1390"/>
      <c r="K40" s="1373"/>
      <c r="L40" s="1390"/>
      <c r="M40" s="1390"/>
      <c r="N40" s="1390"/>
      <c r="O40" s="1390"/>
      <c r="P40" s="1390"/>
      <c r="Q40" s="1390"/>
      <c r="R40" s="1390"/>
      <c r="S40" s="1390"/>
      <c r="T40" s="1390"/>
      <c r="U40" s="1390"/>
      <c r="V40" s="1390"/>
      <c r="W40" s="1390"/>
      <c r="X40" s="1390"/>
      <c r="Y40" s="1390"/>
      <c r="Z40" s="1390"/>
      <c r="AA40" s="1390"/>
      <c r="AB40" s="1390"/>
      <c r="AC40" s="1390"/>
      <c r="AD40" s="1390"/>
    </row>
    <row r="41" spans="1:33" ht="19.5" thickBot="1" x14ac:dyDescent="0.2">
      <c r="A41" s="1384" t="s">
        <v>1683</v>
      </c>
      <c r="B41" s="1384"/>
      <c r="C41" s="1384"/>
      <c r="D41" s="1384"/>
      <c r="E41" s="1390"/>
      <c r="F41" s="1390"/>
      <c r="G41" s="1391" t="s">
        <v>2208</v>
      </c>
      <c r="H41" s="1390"/>
      <c r="I41" s="1384"/>
      <c r="J41" s="1390"/>
      <c r="K41" s="1373"/>
      <c r="L41" s="1390"/>
      <c r="M41" s="1390"/>
      <c r="N41" s="1390"/>
      <c r="O41" s="1390"/>
      <c r="P41" s="1390"/>
      <c r="Q41" s="1390"/>
      <c r="R41" s="1390"/>
      <c r="S41" s="1390"/>
      <c r="T41" s="1390"/>
      <c r="U41" s="1390"/>
      <c r="V41" s="1390"/>
      <c r="W41" s="1390"/>
      <c r="X41" s="1390"/>
      <c r="Y41" s="1390"/>
      <c r="Z41" s="1390"/>
      <c r="AA41" s="1390"/>
      <c r="AB41" s="1390"/>
      <c r="AC41" s="1390"/>
      <c r="AD41" s="1390"/>
    </row>
    <row r="42" spans="1:33" ht="19.5" thickBot="1" x14ac:dyDescent="0.2">
      <c r="A42" s="1385" t="s">
        <v>1684</v>
      </c>
      <c r="B42" s="1384"/>
      <c r="C42" s="1384"/>
      <c r="D42" s="1384"/>
      <c r="E42" s="1390"/>
      <c r="F42" s="1390"/>
      <c r="G42" s="1397" t="s">
        <v>2209</v>
      </c>
      <c r="H42" s="1390"/>
      <c r="I42" s="1384"/>
      <c r="J42" s="1390"/>
      <c r="K42" s="1385" t="s">
        <v>1699</v>
      </c>
      <c r="L42" s="1390"/>
      <c r="M42" s="1390"/>
      <c r="N42" s="1390"/>
      <c r="O42" s="1390"/>
      <c r="P42" s="1390"/>
      <c r="Q42" s="1390"/>
      <c r="R42" s="1390"/>
      <c r="S42" s="1390"/>
      <c r="T42" s="1390"/>
      <c r="U42" s="1390"/>
      <c r="V42" s="1390"/>
      <c r="W42" s="1390"/>
      <c r="X42" s="1390"/>
      <c r="Y42" s="1390"/>
      <c r="Z42" s="1390"/>
      <c r="AA42" s="1390"/>
      <c r="AB42" s="1390"/>
      <c r="AC42" s="1390"/>
      <c r="AD42" s="1390"/>
    </row>
    <row r="43" spans="1:33" ht="19.5" thickBot="1" x14ac:dyDescent="0.2">
      <c r="A43" s="1393" t="s">
        <v>1685</v>
      </c>
      <c r="B43" s="1384"/>
      <c r="C43" s="1384"/>
      <c r="D43" s="1384"/>
      <c r="E43" s="1390"/>
      <c r="F43" s="1390"/>
      <c r="G43" s="1395" t="s">
        <v>2210</v>
      </c>
      <c r="H43" s="1390"/>
      <c r="I43" s="1384" t="s">
        <v>1707</v>
      </c>
      <c r="J43" s="1390"/>
      <c r="K43" s="1387" t="s">
        <v>1700</v>
      </c>
      <c r="L43" s="1390"/>
      <c r="M43" s="1390"/>
      <c r="N43" s="1390"/>
      <c r="O43" s="1390"/>
      <c r="P43" s="1390"/>
      <c r="Q43" s="1390"/>
      <c r="R43" s="1390"/>
      <c r="S43" s="1390"/>
      <c r="T43" s="1390"/>
      <c r="U43" s="1390"/>
      <c r="V43" s="1390"/>
      <c r="W43" s="1390"/>
      <c r="X43" s="1390"/>
      <c r="Y43" s="1390"/>
      <c r="Z43" s="1390"/>
      <c r="AA43" s="1390"/>
      <c r="AB43" s="1390"/>
      <c r="AC43" s="1390"/>
      <c r="AD43" s="1390"/>
    </row>
    <row r="44" spans="1:33" x14ac:dyDescent="0.15">
      <c r="A44" s="1393" t="s">
        <v>1686</v>
      </c>
      <c r="B44" s="1384"/>
      <c r="C44" s="1384"/>
      <c r="D44" s="1384"/>
      <c r="E44" s="1390"/>
      <c r="F44" s="1390"/>
      <c r="G44" s="1390"/>
      <c r="H44" s="1390"/>
      <c r="I44" s="1372" t="s">
        <v>1117</v>
      </c>
      <c r="J44" s="1390"/>
      <c r="K44" s="1384"/>
      <c r="L44" s="1390"/>
      <c r="M44" s="1390"/>
      <c r="N44" s="1390"/>
      <c r="O44" s="1390"/>
      <c r="P44" s="1390"/>
      <c r="Q44" s="1390"/>
      <c r="R44" s="1390"/>
      <c r="S44" s="1390"/>
      <c r="T44" s="1390"/>
      <c r="U44" s="1390"/>
      <c r="V44" s="1390"/>
      <c r="W44" s="1390"/>
      <c r="X44" s="1390"/>
      <c r="Y44" s="1390"/>
      <c r="Z44" s="1390"/>
      <c r="AA44" s="1390"/>
      <c r="AB44" s="1390"/>
      <c r="AC44" s="1390"/>
      <c r="AD44" s="1390"/>
    </row>
    <row r="45" spans="1:33" x14ac:dyDescent="0.15">
      <c r="A45" s="1393" t="s">
        <v>1687</v>
      </c>
      <c r="B45" s="1384"/>
      <c r="C45" s="1384"/>
      <c r="D45" s="1384"/>
      <c r="E45" s="1390"/>
      <c r="F45" s="1390"/>
      <c r="G45" s="1390"/>
      <c r="H45" s="1390"/>
      <c r="I45" s="1379" t="s">
        <v>1115</v>
      </c>
      <c r="J45" s="1390"/>
      <c r="K45" s="1384"/>
      <c r="L45" s="1390"/>
      <c r="M45" s="1390"/>
      <c r="N45" s="1390"/>
      <c r="O45" s="1390"/>
      <c r="P45" s="1390"/>
      <c r="Q45" s="1390"/>
      <c r="R45" s="1390"/>
      <c r="S45" s="1390"/>
      <c r="T45" s="1390"/>
      <c r="U45" s="1390"/>
      <c r="V45" s="1390"/>
      <c r="W45" s="1390"/>
      <c r="X45" s="1390"/>
      <c r="Y45" s="1390"/>
      <c r="Z45" s="1390"/>
      <c r="AA45" s="1390"/>
      <c r="AB45" s="1390"/>
      <c r="AC45" s="1390"/>
      <c r="AD45" s="1390"/>
    </row>
    <row r="46" spans="1:33" ht="19.5" thickBot="1" x14ac:dyDescent="0.2">
      <c r="A46" s="1393" t="s">
        <v>1688</v>
      </c>
      <c r="B46" s="1384"/>
      <c r="C46" s="1384"/>
      <c r="D46" s="1384"/>
      <c r="E46" s="1390"/>
      <c r="F46" s="1390"/>
      <c r="G46" s="1390"/>
      <c r="H46" s="1390"/>
      <c r="I46" s="1383" t="s">
        <v>1116</v>
      </c>
      <c r="J46" s="1390"/>
      <c r="K46" s="1390"/>
      <c r="L46" s="1390"/>
      <c r="M46" s="1390"/>
      <c r="N46" s="1390"/>
      <c r="O46" s="1390"/>
      <c r="P46" s="1390"/>
      <c r="Q46" s="1390"/>
      <c r="R46" s="1390"/>
      <c r="S46" s="1390"/>
      <c r="T46" s="1390"/>
      <c r="U46" s="1390"/>
      <c r="V46" s="1390"/>
      <c r="W46" s="1390"/>
      <c r="X46" s="1390"/>
      <c r="Y46" s="1390"/>
      <c r="Z46" s="1390"/>
      <c r="AA46" s="1390"/>
      <c r="AB46" s="1390"/>
      <c r="AC46" s="1390"/>
      <c r="AD46" s="1390"/>
    </row>
    <row r="47" spans="1:33" x14ac:dyDescent="0.15">
      <c r="A47" s="1393" t="s">
        <v>1689</v>
      </c>
      <c r="B47" s="1384"/>
      <c r="C47" s="1384"/>
      <c r="D47" s="1384"/>
      <c r="E47" s="1390"/>
      <c r="F47" s="1390"/>
      <c r="G47" s="1390"/>
      <c r="H47" s="1390"/>
      <c r="I47" s="1390"/>
      <c r="J47" s="1390"/>
      <c r="K47" s="1390"/>
      <c r="L47" s="1390"/>
      <c r="M47" s="1390"/>
      <c r="N47" s="1390"/>
      <c r="O47" s="1390"/>
      <c r="P47" s="1390"/>
      <c r="Q47" s="1390"/>
      <c r="R47" s="1390"/>
      <c r="S47" s="1390"/>
      <c r="T47" s="1390"/>
      <c r="U47" s="1390"/>
      <c r="V47" s="1390"/>
      <c r="W47" s="1390"/>
      <c r="X47" s="1390"/>
      <c r="Y47" s="1390"/>
      <c r="Z47" s="1390"/>
      <c r="AA47" s="1390"/>
      <c r="AB47" s="1390"/>
      <c r="AC47" s="1390"/>
      <c r="AD47" s="1390"/>
    </row>
    <row r="48" spans="1:33" ht="19.5" thickBot="1" x14ac:dyDescent="0.2">
      <c r="A48" s="1387" t="s">
        <v>1690</v>
      </c>
      <c r="B48" s="1384"/>
      <c r="C48" s="1384"/>
      <c r="D48" s="1384"/>
      <c r="E48" s="1390"/>
      <c r="F48" s="1390"/>
      <c r="G48" s="1390"/>
      <c r="H48" s="1390"/>
      <c r="I48" s="1390"/>
      <c r="J48" s="1390"/>
      <c r="K48" s="1390"/>
      <c r="L48" s="1390"/>
      <c r="M48" s="1390"/>
      <c r="N48" s="1390"/>
      <c r="O48" s="1390"/>
      <c r="P48" s="1390"/>
      <c r="Q48" s="1390"/>
      <c r="R48" s="1390"/>
      <c r="S48" s="1390"/>
      <c r="T48" s="1390"/>
      <c r="U48" s="1390"/>
      <c r="V48" s="1390"/>
      <c r="W48" s="1390"/>
      <c r="X48" s="1390"/>
      <c r="Y48" s="1390"/>
      <c r="Z48" s="1390"/>
      <c r="AA48" s="1390"/>
      <c r="AB48" s="1390"/>
      <c r="AC48" s="1390"/>
      <c r="AD48" s="1390"/>
    </row>
    <row r="49" spans="1:30" x14ac:dyDescent="0.15">
      <c r="A49" s="1388" t="s">
        <v>1691</v>
      </c>
      <c r="B49" s="1384"/>
      <c r="C49" s="1384"/>
      <c r="D49" s="1384"/>
      <c r="E49" s="1390"/>
      <c r="F49" s="1390"/>
      <c r="G49" s="1390"/>
      <c r="H49" s="1390"/>
      <c r="I49" s="1390"/>
      <c r="J49" s="1390"/>
      <c r="K49" s="1390"/>
      <c r="L49" s="1390"/>
      <c r="M49" s="1390"/>
      <c r="N49" s="1390"/>
      <c r="O49" s="1390"/>
      <c r="P49" s="1390"/>
      <c r="Q49" s="1390"/>
      <c r="R49" s="1390"/>
      <c r="S49" s="1390"/>
      <c r="T49" s="1390"/>
      <c r="U49" s="1390"/>
      <c r="V49" s="1390"/>
      <c r="W49" s="1390"/>
      <c r="X49" s="1390"/>
      <c r="Y49" s="1390"/>
      <c r="Z49" s="1390"/>
      <c r="AA49" s="1390"/>
      <c r="AB49" s="1390"/>
      <c r="AC49" s="1390"/>
      <c r="AD49" s="1390"/>
    </row>
    <row r="50" spans="1:30" x14ac:dyDescent="0.15">
      <c r="B50" s="1384"/>
      <c r="C50" s="1384"/>
      <c r="D50" s="1384"/>
      <c r="E50" s="1390"/>
      <c r="F50" s="1390"/>
      <c r="G50" s="1390"/>
      <c r="H50" s="1390"/>
      <c r="J50" s="1390"/>
      <c r="K50" s="1390"/>
      <c r="L50" s="1390"/>
      <c r="M50" s="1390"/>
      <c r="N50" s="1390"/>
      <c r="O50" s="1390"/>
      <c r="P50" s="1390"/>
      <c r="Q50" s="1390"/>
      <c r="R50" s="1390"/>
      <c r="S50" s="1390"/>
      <c r="T50" s="1390"/>
      <c r="U50" s="1390"/>
      <c r="V50" s="1390"/>
      <c r="W50" s="1390"/>
      <c r="X50" s="1390"/>
      <c r="Y50" s="1390"/>
      <c r="Z50" s="1390"/>
      <c r="AA50" s="1390"/>
      <c r="AB50" s="1390"/>
      <c r="AC50" s="1390"/>
      <c r="AD50" s="1390"/>
    </row>
    <row r="51" spans="1:30" ht="19.5" thickBot="1" x14ac:dyDescent="0.2">
      <c r="A51" s="1384" t="s">
        <v>1682</v>
      </c>
      <c r="B51" s="1384"/>
      <c r="C51" s="1384"/>
      <c r="D51" s="1384"/>
      <c r="E51" s="1390"/>
      <c r="F51" s="1390"/>
      <c r="G51" s="1390"/>
      <c r="H51" s="1390"/>
      <c r="J51" s="1390"/>
      <c r="K51" s="1390"/>
      <c r="L51" s="1390"/>
      <c r="M51" s="1390"/>
      <c r="N51" s="1390"/>
      <c r="O51" s="1390"/>
      <c r="P51" s="1390"/>
      <c r="Q51" s="1390"/>
      <c r="R51" s="1390"/>
      <c r="S51" s="1390"/>
      <c r="T51" s="1390"/>
      <c r="U51" s="1390"/>
      <c r="V51" s="1390"/>
      <c r="W51" s="1390"/>
      <c r="X51" s="1390"/>
      <c r="Y51" s="1390"/>
      <c r="Z51" s="1390"/>
      <c r="AA51" s="1390"/>
      <c r="AB51" s="1390"/>
      <c r="AC51" s="1390"/>
      <c r="AD51" s="1390"/>
    </row>
    <row r="52" spans="1:30" x14ac:dyDescent="0.15">
      <c r="A52" s="1372" t="s">
        <v>1272</v>
      </c>
      <c r="B52" s="1384"/>
      <c r="C52" s="1384"/>
      <c r="D52" s="1384"/>
      <c r="E52" s="1390"/>
      <c r="F52" s="1390"/>
      <c r="G52" s="1390"/>
      <c r="H52" s="1390"/>
      <c r="J52" s="1390"/>
      <c r="K52" s="1390"/>
      <c r="L52" s="1390"/>
      <c r="M52" s="1390"/>
      <c r="N52" s="1390"/>
      <c r="O52" s="1390"/>
      <c r="P52" s="1390"/>
      <c r="Q52" s="1390"/>
      <c r="R52" s="1390"/>
      <c r="S52" s="1390"/>
      <c r="T52" s="1390"/>
      <c r="U52" s="1390"/>
      <c r="V52" s="1390"/>
      <c r="W52" s="1390"/>
      <c r="X52" s="1390"/>
      <c r="Y52" s="1390"/>
      <c r="Z52" s="1390"/>
      <c r="AA52" s="1390"/>
      <c r="AB52" s="1390"/>
      <c r="AC52" s="1390"/>
      <c r="AD52" s="1390"/>
    </row>
    <row r="53" spans="1:30" x14ac:dyDescent="0.15">
      <c r="A53" s="1379" t="s">
        <v>1273</v>
      </c>
      <c r="B53" s="1384"/>
      <c r="C53" s="1384"/>
      <c r="D53" s="1384"/>
      <c r="E53" s="1390"/>
      <c r="F53" s="1390"/>
      <c r="G53" s="1390"/>
      <c r="H53" s="1390"/>
      <c r="I53" s="1390"/>
      <c r="J53" s="1390"/>
      <c r="K53" s="1390"/>
      <c r="L53" s="1390"/>
      <c r="M53" s="1390"/>
      <c r="N53" s="1390"/>
      <c r="O53" s="1390"/>
      <c r="P53" s="1390"/>
      <c r="Q53" s="1390"/>
      <c r="R53" s="1390"/>
      <c r="S53" s="1390"/>
      <c r="T53" s="1390"/>
      <c r="U53" s="1390"/>
      <c r="V53" s="1390"/>
      <c r="W53" s="1390"/>
      <c r="X53" s="1390"/>
      <c r="Y53" s="1390"/>
      <c r="Z53" s="1390"/>
      <c r="AA53" s="1390"/>
      <c r="AB53" s="1390"/>
      <c r="AC53" s="1390"/>
      <c r="AD53" s="1390"/>
    </row>
    <row r="54" spans="1:30" ht="19.5" thickBot="1" x14ac:dyDescent="0.2">
      <c r="A54" s="1383" t="s">
        <v>294</v>
      </c>
      <c r="B54" s="1384"/>
      <c r="C54" s="1384"/>
      <c r="D54" s="1384"/>
      <c r="E54" s="1390"/>
      <c r="F54" s="1390"/>
      <c r="G54" s="1390"/>
      <c r="H54" s="1390"/>
      <c r="I54" s="1390"/>
      <c r="J54" s="1390"/>
      <c r="K54" s="1390"/>
      <c r="L54" s="1390"/>
      <c r="M54" s="1390"/>
      <c r="N54" s="1390"/>
      <c r="O54" s="1390"/>
      <c r="P54" s="1390"/>
      <c r="Q54" s="1390"/>
      <c r="R54" s="1390"/>
      <c r="S54" s="1390"/>
      <c r="T54" s="1390"/>
      <c r="U54" s="1390"/>
      <c r="V54" s="1390"/>
      <c r="W54" s="1390"/>
      <c r="X54" s="1390"/>
      <c r="Y54" s="1390"/>
      <c r="Z54" s="1390"/>
      <c r="AA54" s="1390"/>
      <c r="AB54" s="1390"/>
      <c r="AC54" s="1390"/>
      <c r="AD54" s="1390"/>
    </row>
    <row r="55" spans="1:30" x14ac:dyDescent="0.15">
      <c r="A55" s="1384" t="s">
        <v>1691</v>
      </c>
      <c r="B55" s="1384"/>
      <c r="C55" s="1384"/>
      <c r="D55" s="1384"/>
      <c r="E55" s="1390"/>
      <c r="F55" s="1390"/>
      <c r="G55" s="1390"/>
      <c r="H55" s="1390"/>
      <c r="I55" s="1390"/>
      <c r="J55" s="1390"/>
      <c r="K55" s="1390"/>
      <c r="L55" s="1390"/>
      <c r="M55" s="1390"/>
      <c r="N55" s="1390"/>
      <c r="O55" s="1390"/>
      <c r="P55" s="1390"/>
      <c r="Q55" s="1390"/>
      <c r="R55" s="1390"/>
      <c r="S55" s="1390"/>
      <c r="T55" s="1390"/>
      <c r="U55" s="1390"/>
      <c r="V55" s="1390"/>
      <c r="W55" s="1390"/>
      <c r="X55" s="1390"/>
      <c r="Y55" s="1390"/>
      <c r="Z55" s="1390"/>
      <c r="AA55" s="1390"/>
      <c r="AB55" s="1390"/>
      <c r="AC55" s="1390"/>
      <c r="AD55" s="1390"/>
    </row>
    <row r="56" spans="1:30" x14ac:dyDescent="0.15">
      <c r="A56" s="1373"/>
      <c r="B56" s="1384"/>
      <c r="C56" s="1384"/>
      <c r="D56" s="1384"/>
      <c r="E56" s="1390"/>
      <c r="F56" s="1390"/>
      <c r="G56" s="1390"/>
      <c r="H56" s="1390"/>
      <c r="I56" s="1390"/>
      <c r="J56" s="1390"/>
      <c r="K56" s="1390"/>
      <c r="L56" s="1390"/>
      <c r="M56" s="1390"/>
      <c r="N56" s="1390"/>
      <c r="O56" s="1390"/>
      <c r="P56" s="1390"/>
      <c r="Q56" s="1390"/>
      <c r="R56" s="1390"/>
      <c r="S56" s="1390"/>
      <c r="T56" s="1390"/>
      <c r="U56" s="1390"/>
      <c r="V56" s="1390"/>
      <c r="W56" s="1390"/>
      <c r="X56" s="1390"/>
      <c r="Y56" s="1390"/>
      <c r="Z56" s="1390"/>
      <c r="AA56" s="1390"/>
      <c r="AB56" s="1390"/>
      <c r="AC56" s="1390"/>
      <c r="AD56" s="1390"/>
    </row>
    <row r="57" spans="1:30" ht="19.5" thickBot="1" x14ac:dyDescent="0.2">
      <c r="A57" s="1384" t="s">
        <v>1692</v>
      </c>
      <c r="B57" s="1384"/>
      <c r="C57" s="1384"/>
      <c r="D57" s="1384"/>
      <c r="E57" s="1390"/>
      <c r="F57" s="1390"/>
      <c r="G57" s="1390"/>
      <c r="H57" s="1390"/>
      <c r="I57" s="1390"/>
      <c r="J57" s="1390"/>
      <c r="K57" s="1390"/>
      <c r="L57" s="1390"/>
      <c r="M57" s="1390"/>
      <c r="N57" s="1390"/>
      <c r="O57" s="1390"/>
      <c r="P57" s="1390"/>
      <c r="Q57" s="1390"/>
      <c r="R57" s="1390"/>
      <c r="S57" s="1390"/>
      <c r="T57" s="1390"/>
      <c r="U57" s="1390"/>
      <c r="V57" s="1390"/>
      <c r="W57" s="1390"/>
      <c r="X57" s="1390"/>
      <c r="Y57" s="1390"/>
      <c r="Z57" s="1390"/>
      <c r="AA57" s="1390"/>
      <c r="AB57" s="1390"/>
      <c r="AC57" s="1390"/>
      <c r="AD57" s="1390"/>
    </row>
    <row r="58" spans="1:30" x14ac:dyDescent="0.15">
      <c r="A58" s="1385" t="s">
        <v>3001</v>
      </c>
      <c r="B58" s="1384"/>
      <c r="C58" s="1384"/>
      <c r="D58" s="1384"/>
      <c r="E58" s="1390"/>
      <c r="F58" s="1390"/>
      <c r="G58" s="1390"/>
      <c r="H58" s="1390"/>
      <c r="I58" s="1390"/>
      <c r="J58" s="1390"/>
      <c r="K58" s="1390"/>
      <c r="L58" s="1390"/>
      <c r="M58" s="1390"/>
      <c r="N58" s="1390"/>
      <c r="O58" s="1390"/>
      <c r="P58" s="1390"/>
      <c r="Q58" s="1390"/>
      <c r="R58" s="1390"/>
      <c r="S58" s="1390"/>
      <c r="T58" s="1390"/>
      <c r="U58" s="1390"/>
      <c r="V58" s="1390"/>
      <c r="W58" s="1390"/>
      <c r="X58" s="1390"/>
      <c r="Y58" s="1390"/>
      <c r="Z58" s="1390"/>
      <c r="AA58" s="1390"/>
      <c r="AB58" s="1390"/>
      <c r="AC58" s="1390"/>
      <c r="AD58" s="1390"/>
    </row>
    <row r="59" spans="1:30" ht="19.5" thickBot="1" x14ac:dyDescent="0.2">
      <c r="A59" s="1387" t="s">
        <v>1693</v>
      </c>
      <c r="B59" s="1384"/>
      <c r="C59" s="1384"/>
      <c r="D59" s="1384"/>
      <c r="E59" s="1390"/>
      <c r="F59" s="1390"/>
      <c r="G59" s="1390"/>
      <c r="H59" s="1390"/>
      <c r="I59" s="1390"/>
      <c r="J59" s="1390"/>
      <c r="K59" s="1390"/>
      <c r="L59" s="1390"/>
      <c r="M59" s="1390"/>
      <c r="N59" s="1390"/>
      <c r="O59" s="1390"/>
      <c r="P59" s="1390"/>
      <c r="Q59" s="1390"/>
      <c r="R59" s="1390"/>
      <c r="S59" s="1390"/>
      <c r="T59" s="1390"/>
      <c r="U59" s="1390"/>
      <c r="V59" s="1390"/>
      <c r="W59" s="1390"/>
      <c r="X59" s="1390"/>
      <c r="Y59" s="1390"/>
      <c r="Z59" s="1390"/>
      <c r="AA59" s="1390"/>
      <c r="AB59" s="1390"/>
      <c r="AC59" s="1390"/>
      <c r="AD59" s="1390"/>
    </row>
    <row r="60" spans="1:30" x14ac:dyDescent="0.15">
      <c r="A60" s="1373"/>
      <c r="B60" s="1384"/>
      <c r="C60" s="1384"/>
      <c r="D60" s="1384"/>
      <c r="E60" s="1390"/>
      <c r="F60" s="1390"/>
      <c r="G60" s="1390"/>
      <c r="H60" s="1390"/>
      <c r="I60" s="1390"/>
      <c r="J60" s="1390"/>
      <c r="K60" s="1390"/>
      <c r="L60" s="1390"/>
      <c r="M60" s="1390"/>
      <c r="N60" s="1390"/>
      <c r="O60" s="1390"/>
      <c r="P60" s="1390"/>
      <c r="Q60" s="1390"/>
      <c r="R60" s="1390"/>
      <c r="S60" s="1390"/>
      <c r="T60" s="1390"/>
      <c r="U60" s="1390"/>
      <c r="V60" s="1390"/>
      <c r="W60" s="1390"/>
      <c r="X60" s="1390"/>
      <c r="Y60" s="1390"/>
      <c r="Z60" s="1390"/>
      <c r="AA60" s="1390"/>
      <c r="AB60" s="1390"/>
      <c r="AC60" s="1390"/>
      <c r="AD60" s="1390"/>
    </row>
    <row r="61" spans="1:30" x14ac:dyDescent="0.15">
      <c r="A61" s="1373"/>
      <c r="B61" s="1384"/>
      <c r="C61" s="1384"/>
      <c r="D61" s="1384"/>
      <c r="E61" s="1390"/>
      <c r="F61" s="1390"/>
      <c r="G61" s="1390"/>
      <c r="H61" s="1390"/>
      <c r="I61" s="1390"/>
      <c r="J61" s="1390"/>
      <c r="K61" s="1390"/>
      <c r="L61" s="1390"/>
      <c r="M61" s="1390"/>
      <c r="N61" s="1390"/>
      <c r="O61" s="1390"/>
      <c r="P61" s="1390"/>
      <c r="Q61" s="1390"/>
      <c r="R61" s="1390"/>
      <c r="S61" s="1390"/>
      <c r="T61" s="1390"/>
      <c r="U61" s="1390"/>
      <c r="V61" s="1390"/>
      <c r="W61" s="1390"/>
      <c r="X61" s="1390"/>
      <c r="Y61" s="1390"/>
      <c r="Z61" s="1390"/>
      <c r="AA61" s="1390"/>
      <c r="AB61" s="1390"/>
      <c r="AC61" s="1390"/>
      <c r="AD61" s="1390"/>
    </row>
    <row r="62" spans="1:30" ht="19.5" thickBot="1" x14ac:dyDescent="0.2">
      <c r="A62" s="1384" t="s">
        <v>1694</v>
      </c>
      <c r="B62" s="1384"/>
      <c r="C62" s="1384"/>
      <c r="D62" s="1384"/>
      <c r="E62" s="1390"/>
      <c r="F62" s="1390"/>
      <c r="G62" s="1390"/>
      <c r="H62" s="1390"/>
      <c r="I62" s="1390"/>
      <c r="J62" s="1390"/>
      <c r="K62" s="1390"/>
      <c r="L62" s="1390"/>
      <c r="M62" s="1390"/>
      <c r="N62" s="1390"/>
      <c r="O62" s="1390"/>
      <c r="P62" s="1390"/>
      <c r="Q62" s="1390"/>
      <c r="R62" s="1390"/>
      <c r="S62" s="1390"/>
      <c r="T62" s="1390"/>
      <c r="U62" s="1390"/>
      <c r="V62" s="1390"/>
      <c r="W62" s="1390"/>
      <c r="X62" s="1390"/>
      <c r="Y62" s="1390"/>
      <c r="Z62" s="1390"/>
      <c r="AA62" s="1390"/>
      <c r="AB62" s="1390"/>
      <c r="AC62" s="1390"/>
      <c r="AD62" s="1390"/>
    </row>
    <row r="63" spans="1:30" x14ac:dyDescent="0.15">
      <c r="A63" s="1385" t="s">
        <v>1680</v>
      </c>
      <c r="B63" s="1384"/>
      <c r="C63" s="1384"/>
      <c r="D63" s="1384"/>
      <c r="E63" s="1390"/>
      <c r="F63" s="1390"/>
      <c r="G63" s="1390"/>
      <c r="H63" s="1390"/>
      <c r="I63" s="1390"/>
      <c r="J63" s="1390"/>
      <c r="K63" s="1390"/>
      <c r="L63" s="1390"/>
      <c r="M63" s="1390"/>
      <c r="N63" s="1390"/>
      <c r="O63" s="1390"/>
      <c r="P63" s="1390"/>
      <c r="Q63" s="1390"/>
      <c r="R63" s="1390"/>
      <c r="S63" s="1390"/>
      <c r="T63" s="1390"/>
      <c r="U63" s="1390"/>
      <c r="V63" s="1390"/>
      <c r="W63" s="1390"/>
      <c r="X63" s="1390"/>
      <c r="Y63" s="1390"/>
      <c r="Z63" s="1390"/>
      <c r="AA63" s="1390"/>
      <c r="AB63" s="1390"/>
      <c r="AC63" s="1390"/>
      <c r="AD63" s="1390"/>
    </row>
    <row r="64" spans="1:30" ht="19.5" thickBot="1" x14ac:dyDescent="0.2">
      <c r="A64" s="1387" t="s">
        <v>1681</v>
      </c>
      <c r="B64" s="1384"/>
      <c r="C64" s="1384"/>
      <c r="D64" s="1384"/>
      <c r="E64" s="1390"/>
      <c r="F64" s="1390"/>
      <c r="G64" s="1390"/>
      <c r="H64" s="1390"/>
      <c r="I64" s="1390"/>
      <c r="J64" s="1390"/>
      <c r="K64" s="1390"/>
      <c r="L64" s="1390"/>
      <c r="M64" s="1390"/>
      <c r="N64" s="1390"/>
      <c r="O64" s="1390"/>
      <c r="P64" s="1390"/>
      <c r="Q64" s="1390"/>
      <c r="R64" s="1390"/>
      <c r="S64" s="1390"/>
      <c r="T64" s="1390"/>
      <c r="U64" s="1390"/>
      <c r="V64" s="1390"/>
      <c r="W64" s="1390"/>
      <c r="X64" s="1390"/>
      <c r="Y64" s="1390"/>
      <c r="Z64" s="1390"/>
      <c r="AA64" s="1390"/>
      <c r="AB64" s="1390"/>
      <c r="AC64" s="1390"/>
      <c r="AD64" s="1390"/>
    </row>
    <row r="65" spans="1:30" x14ac:dyDescent="0.15">
      <c r="A65" s="1373"/>
      <c r="B65" s="1384"/>
      <c r="C65" s="1384"/>
      <c r="D65" s="1384"/>
      <c r="E65" s="1390"/>
      <c r="F65" s="1390"/>
      <c r="G65" s="1390"/>
      <c r="H65" s="1390"/>
      <c r="I65" s="1390"/>
      <c r="J65" s="1390"/>
      <c r="K65" s="1390"/>
      <c r="L65" s="1390"/>
      <c r="M65" s="1390"/>
      <c r="N65" s="1390"/>
      <c r="O65" s="1390"/>
      <c r="P65" s="1390"/>
      <c r="Q65" s="1390"/>
      <c r="R65" s="1390"/>
      <c r="S65" s="1390"/>
      <c r="T65" s="1390"/>
      <c r="U65" s="1390"/>
      <c r="V65" s="1390"/>
      <c r="W65" s="1390"/>
      <c r="X65" s="1390"/>
      <c r="Y65" s="1390"/>
      <c r="Z65" s="1390"/>
      <c r="AA65" s="1390"/>
      <c r="AB65" s="1390"/>
      <c r="AC65" s="1390"/>
      <c r="AD65" s="1390"/>
    </row>
    <row r="66" spans="1:30" ht="19.5" thickBot="1" x14ac:dyDescent="0.2">
      <c r="A66" s="1384" t="s">
        <v>1678</v>
      </c>
      <c r="B66" s="1384"/>
      <c r="C66" s="1384"/>
      <c r="D66" s="1384"/>
      <c r="E66" s="1390"/>
      <c r="F66" s="1390"/>
      <c r="G66" s="1390"/>
      <c r="H66" s="1390"/>
      <c r="I66" s="1390"/>
      <c r="J66" s="1390"/>
      <c r="K66" s="1390"/>
      <c r="L66" s="1390"/>
      <c r="M66" s="1390"/>
      <c r="N66" s="1390"/>
      <c r="O66" s="1390"/>
      <c r="P66" s="1390"/>
      <c r="Q66" s="1390"/>
      <c r="R66" s="1390"/>
      <c r="S66" s="1390"/>
      <c r="T66" s="1390"/>
      <c r="U66" s="1390"/>
      <c r="V66" s="1390"/>
      <c r="W66" s="1390"/>
      <c r="X66" s="1390"/>
      <c r="Y66" s="1390"/>
      <c r="Z66" s="1390"/>
      <c r="AA66" s="1390"/>
      <c r="AB66" s="1390"/>
      <c r="AC66" s="1390"/>
      <c r="AD66" s="1390"/>
    </row>
    <row r="67" spans="1:30" x14ac:dyDescent="0.15">
      <c r="A67" s="1372" t="s">
        <v>20</v>
      </c>
      <c r="B67" s="1384"/>
      <c r="C67" s="1384"/>
      <c r="D67" s="1384"/>
      <c r="E67" s="1390"/>
      <c r="F67" s="1390"/>
      <c r="G67" s="1390"/>
      <c r="H67" s="1390"/>
      <c r="I67" s="1390"/>
      <c r="J67" s="1390"/>
      <c r="K67" s="1390"/>
      <c r="L67" s="1390"/>
      <c r="M67" s="1390"/>
      <c r="N67" s="1390"/>
      <c r="O67" s="1390"/>
      <c r="P67" s="1390"/>
      <c r="Q67" s="1390"/>
      <c r="R67" s="1390"/>
      <c r="S67" s="1390"/>
      <c r="T67" s="1390"/>
      <c r="U67" s="1390"/>
      <c r="V67" s="1390"/>
      <c r="W67" s="1390"/>
      <c r="X67" s="1390"/>
      <c r="Y67" s="1390"/>
      <c r="Z67" s="1390"/>
      <c r="AA67" s="1390"/>
      <c r="AB67" s="1390"/>
      <c r="AC67" s="1390"/>
      <c r="AD67" s="1390"/>
    </row>
    <row r="68" spans="1:30" x14ac:dyDescent="0.15">
      <c r="A68" s="1379" t="s">
        <v>1247</v>
      </c>
      <c r="B68" s="1384"/>
      <c r="C68" s="1384"/>
      <c r="D68" s="1384"/>
      <c r="E68" s="1390"/>
      <c r="F68" s="1390"/>
      <c r="G68" s="1390"/>
      <c r="H68" s="1390"/>
      <c r="I68" s="1390"/>
      <c r="J68" s="1390"/>
      <c r="K68" s="1390"/>
      <c r="L68" s="1390"/>
      <c r="M68" s="1390"/>
      <c r="N68" s="1390"/>
      <c r="O68" s="1390"/>
      <c r="P68" s="1390"/>
      <c r="Q68" s="1390"/>
      <c r="R68" s="1390"/>
      <c r="S68" s="1390"/>
      <c r="T68" s="1390"/>
      <c r="U68" s="1390"/>
      <c r="V68" s="1390"/>
      <c r="W68" s="1390"/>
      <c r="X68" s="1390"/>
      <c r="Y68" s="1390"/>
      <c r="Z68" s="1390"/>
      <c r="AA68" s="1390"/>
      <c r="AB68" s="1390"/>
      <c r="AC68" s="1390"/>
      <c r="AD68" s="1390"/>
    </row>
    <row r="69" spans="1:30" ht="19.5" thickBot="1" x14ac:dyDescent="0.2">
      <c r="A69" s="1387" t="s">
        <v>271</v>
      </c>
      <c r="B69" s="1384"/>
      <c r="C69" s="1384"/>
      <c r="D69" s="1384"/>
      <c r="E69" s="1390"/>
      <c r="F69" s="1390"/>
      <c r="G69" s="1390"/>
      <c r="H69" s="1390"/>
      <c r="I69" s="1390"/>
      <c r="J69" s="1390"/>
      <c r="K69" s="1390"/>
      <c r="L69" s="1390"/>
      <c r="M69" s="1390"/>
      <c r="N69" s="1390"/>
      <c r="O69" s="1390"/>
      <c r="P69" s="1390"/>
      <c r="Q69" s="1390"/>
      <c r="R69" s="1390"/>
      <c r="S69" s="1390"/>
      <c r="T69" s="1390"/>
      <c r="U69" s="1390"/>
      <c r="V69" s="1390"/>
      <c r="W69" s="1390"/>
      <c r="X69" s="1390"/>
      <c r="Y69" s="1390"/>
      <c r="Z69" s="1390"/>
      <c r="AA69" s="1390"/>
      <c r="AB69" s="1390"/>
      <c r="AC69" s="1390"/>
      <c r="AD69" s="1390"/>
    </row>
    <row r="70" spans="1:30" x14ac:dyDescent="0.15">
      <c r="A70" s="1365"/>
      <c r="B70" s="1366"/>
      <c r="C70" s="1366"/>
      <c r="D70" s="1366"/>
      <c r="E70" s="1366"/>
      <c r="F70" s="1366"/>
      <c r="G70" s="1365" t="s">
        <v>1776</v>
      </c>
      <c r="H70" s="1366"/>
      <c r="I70" s="1365"/>
      <c r="J70" s="1365"/>
      <c r="K70" s="1365"/>
      <c r="L70" s="1365"/>
      <c r="M70" s="1365"/>
      <c r="N70" s="1365"/>
      <c r="O70" s="1365"/>
      <c r="P70" s="1365"/>
      <c r="Q70" s="1365"/>
      <c r="R70" s="1365"/>
      <c r="S70" s="1365"/>
      <c r="T70" s="1365"/>
      <c r="U70" s="1365"/>
      <c r="V70" s="1365"/>
      <c r="W70" s="1365"/>
      <c r="X70" s="1365"/>
      <c r="Y70" s="1365"/>
      <c r="Z70" s="1365"/>
    </row>
    <row r="71" spans="1:30" x14ac:dyDescent="0.15">
      <c r="A71" s="1365" t="s">
        <v>1642</v>
      </c>
      <c r="B71" s="1366"/>
      <c r="C71" s="1366"/>
      <c r="D71" s="1366"/>
      <c r="E71" s="1366"/>
      <c r="F71" s="1366"/>
      <c r="G71" s="1365" t="s">
        <v>1788</v>
      </c>
      <c r="H71" s="1366"/>
      <c r="I71" s="1365" t="s">
        <v>1633</v>
      </c>
      <c r="J71" s="1365"/>
      <c r="K71" s="1365" t="s">
        <v>1633</v>
      </c>
      <c r="L71" s="1365"/>
      <c r="M71" s="1365" t="s">
        <v>2171</v>
      </c>
      <c r="N71" s="1365"/>
      <c r="O71" s="1365"/>
      <c r="P71" s="1365"/>
      <c r="Q71" s="1365"/>
      <c r="R71" s="1365"/>
      <c r="S71" s="1365"/>
      <c r="T71" s="1365"/>
      <c r="U71" s="1365"/>
      <c r="V71" s="1365"/>
      <c r="W71" s="1365"/>
      <c r="X71" s="1365"/>
      <c r="Y71" s="1365"/>
      <c r="Z71" s="1365"/>
    </row>
    <row r="72" spans="1:30" ht="19.5" thickBot="1" x14ac:dyDescent="0.2">
      <c r="A72" s="1365" t="s">
        <v>1640</v>
      </c>
      <c r="B72" s="1366"/>
      <c r="C72" s="1366"/>
      <c r="D72" s="1366"/>
      <c r="E72" s="1366"/>
      <c r="F72" s="1366"/>
      <c r="G72" s="1395" t="s">
        <v>1789</v>
      </c>
      <c r="H72" s="1398"/>
      <c r="I72" s="1395" t="s">
        <v>1980</v>
      </c>
      <c r="J72" s="1395"/>
      <c r="K72" s="1395" t="s">
        <v>1981</v>
      </c>
      <c r="L72" s="1365"/>
      <c r="M72" s="1395" t="s">
        <v>2173</v>
      </c>
      <c r="N72" s="1365"/>
      <c r="O72" s="1365"/>
      <c r="P72" s="1365"/>
      <c r="Q72" s="1365"/>
      <c r="R72" s="1365"/>
      <c r="S72" s="1365"/>
      <c r="T72" s="1365"/>
      <c r="U72" s="1365"/>
      <c r="V72" s="1365"/>
      <c r="W72" s="1365"/>
      <c r="X72" s="1365"/>
      <c r="Y72" s="1365"/>
      <c r="Z72" s="1365"/>
    </row>
    <row r="73" spans="1:30" x14ac:dyDescent="0.15">
      <c r="A73" s="1372" t="s">
        <v>1290</v>
      </c>
      <c r="G73" s="1396" t="s">
        <v>1777</v>
      </c>
      <c r="H73" s="1398">
        <v>0</v>
      </c>
      <c r="I73" s="1396" t="s">
        <v>1932</v>
      </c>
      <c r="J73" s="1395">
        <v>26</v>
      </c>
      <c r="K73" s="1396" t="s">
        <v>1982</v>
      </c>
      <c r="M73" s="1399" t="s">
        <v>2213</v>
      </c>
    </row>
    <row r="74" spans="1:30" x14ac:dyDescent="0.15">
      <c r="A74" s="1393" t="s">
        <v>1293</v>
      </c>
      <c r="G74" s="1391" t="s">
        <v>1778</v>
      </c>
      <c r="H74" s="1398">
        <v>26</v>
      </c>
      <c r="I74" s="1391" t="s">
        <v>1933</v>
      </c>
      <c r="J74" s="1395">
        <v>25</v>
      </c>
      <c r="K74" s="1391" t="s">
        <v>1983</v>
      </c>
      <c r="M74" s="1391" t="s">
        <v>2214</v>
      </c>
    </row>
    <row r="75" spans="1:30" ht="19.5" thickBot="1" x14ac:dyDescent="0.2">
      <c r="A75" s="1393" t="s">
        <v>1292</v>
      </c>
      <c r="G75" s="1391" t="s">
        <v>1779</v>
      </c>
      <c r="H75" s="1398">
        <v>25</v>
      </c>
      <c r="I75" s="1391" t="s">
        <v>1934</v>
      </c>
      <c r="J75" s="1395">
        <v>27</v>
      </c>
      <c r="K75" s="1400" t="s">
        <v>1984</v>
      </c>
      <c r="M75" s="1397" t="s">
        <v>2172</v>
      </c>
    </row>
    <row r="76" spans="1:30" ht="19.5" thickBot="1" x14ac:dyDescent="0.2">
      <c r="A76" s="1387" t="s">
        <v>1291</v>
      </c>
      <c r="G76" s="1391" t="s">
        <v>1780</v>
      </c>
      <c r="H76" s="1395">
        <v>27</v>
      </c>
      <c r="I76" s="1391" t="s">
        <v>1935</v>
      </c>
      <c r="J76" s="1395">
        <v>28</v>
      </c>
      <c r="K76" s="1391" t="s">
        <v>1985</v>
      </c>
    </row>
    <row r="77" spans="1:30" x14ac:dyDescent="0.15">
      <c r="A77" s="1384"/>
      <c r="G77" s="1391" t="s">
        <v>1781</v>
      </c>
      <c r="H77" s="1395">
        <v>28</v>
      </c>
      <c r="I77" s="1391" t="s">
        <v>1936</v>
      </c>
      <c r="J77" s="1395">
        <v>29</v>
      </c>
      <c r="K77" s="1391" t="s">
        <v>1986</v>
      </c>
    </row>
    <row r="78" spans="1:30" x14ac:dyDescent="0.15">
      <c r="G78" s="1391" t="s">
        <v>1782</v>
      </c>
      <c r="H78" s="1395">
        <v>29</v>
      </c>
      <c r="I78" s="1391" t="s">
        <v>1937</v>
      </c>
      <c r="J78" s="1395">
        <v>30</v>
      </c>
      <c r="K78" s="1391" t="s">
        <v>1987</v>
      </c>
    </row>
    <row r="79" spans="1:30" ht="19.5" thickBot="1" x14ac:dyDescent="0.2">
      <c r="A79" s="1384" t="s">
        <v>1639</v>
      </c>
      <c r="G79" s="1391" t="s">
        <v>1783</v>
      </c>
      <c r="H79" s="1395">
        <v>30</v>
      </c>
      <c r="I79" s="1391" t="s">
        <v>1938</v>
      </c>
      <c r="J79" s="1395">
        <v>1</v>
      </c>
      <c r="K79" s="1391" t="s">
        <v>1988</v>
      </c>
    </row>
    <row r="80" spans="1:30" x14ac:dyDescent="0.15">
      <c r="A80" s="1372">
        <v>1</v>
      </c>
      <c r="G80" s="1391" t="s">
        <v>1784</v>
      </c>
      <c r="H80" s="1395">
        <v>1</v>
      </c>
      <c r="I80" s="1391" t="s">
        <v>1939</v>
      </c>
      <c r="J80" s="1395">
        <v>2</v>
      </c>
      <c r="K80" s="1391" t="s">
        <v>1989</v>
      </c>
    </row>
    <row r="81" spans="1:11" x14ac:dyDescent="0.15">
      <c r="A81" s="1379">
        <v>2</v>
      </c>
      <c r="G81" s="1391" t="s">
        <v>1785</v>
      </c>
      <c r="H81" s="1395">
        <v>2</v>
      </c>
      <c r="I81" s="1391" t="s">
        <v>1940</v>
      </c>
      <c r="J81" s="1395">
        <v>3</v>
      </c>
      <c r="K81" s="1391" t="s">
        <v>1990</v>
      </c>
    </row>
    <row r="82" spans="1:11" ht="19.5" thickBot="1" x14ac:dyDescent="0.2">
      <c r="A82" s="1383">
        <v>3</v>
      </c>
      <c r="G82" s="1391" t="s">
        <v>1786</v>
      </c>
      <c r="H82" s="1395">
        <v>3</v>
      </c>
      <c r="I82" s="1391" t="s">
        <v>1941</v>
      </c>
      <c r="J82" s="1395">
        <v>4</v>
      </c>
      <c r="K82" s="1391" t="s">
        <v>1991</v>
      </c>
    </row>
    <row r="83" spans="1:11" ht="19.5" thickBot="1" x14ac:dyDescent="0.2">
      <c r="A83" s="1374" t="s">
        <v>1706</v>
      </c>
      <c r="G83" s="1397" t="s">
        <v>1787</v>
      </c>
      <c r="H83" s="1395">
        <v>4</v>
      </c>
      <c r="I83" s="1391" t="s">
        <v>1942</v>
      </c>
      <c r="J83" s="1395">
        <v>5</v>
      </c>
      <c r="K83" s="1391" t="s">
        <v>1992</v>
      </c>
    </row>
    <row r="84" spans="1:11" x14ac:dyDescent="0.15">
      <c r="H84" s="1395">
        <v>5</v>
      </c>
      <c r="I84" s="1391" t="s">
        <v>1943</v>
      </c>
      <c r="J84" s="1395">
        <v>6</v>
      </c>
      <c r="K84" s="1391" t="s">
        <v>1993</v>
      </c>
    </row>
    <row r="85" spans="1:11" ht="19.5" thickBot="1" x14ac:dyDescent="0.2">
      <c r="A85" s="1390" t="s">
        <v>1638</v>
      </c>
      <c r="G85" s="1398" t="s">
        <v>1790</v>
      </c>
      <c r="H85" s="1395">
        <v>6</v>
      </c>
      <c r="I85" s="1391" t="s">
        <v>1944</v>
      </c>
      <c r="J85" s="1395">
        <v>7</v>
      </c>
      <c r="K85" s="1391" t="s">
        <v>1994</v>
      </c>
    </row>
    <row r="86" spans="1:11" x14ac:dyDescent="0.15">
      <c r="A86" s="1372" t="s">
        <v>1230</v>
      </c>
      <c r="G86" s="1396">
        <v>1</v>
      </c>
      <c r="H86" s="1395">
        <v>7</v>
      </c>
      <c r="I86" s="1391" t="s">
        <v>1945</v>
      </c>
      <c r="J86" s="1395">
        <v>8</v>
      </c>
      <c r="K86" s="1391" t="s">
        <v>1995</v>
      </c>
    </row>
    <row r="87" spans="1:11" x14ac:dyDescent="0.15">
      <c r="A87" s="1379" t="s">
        <v>1231</v>
      </c>
      <c r="G87" s="1391">
        <v>2</v>
      </c>
      <c r="H87" s="1395">
        <v>8</v>
      </c>
      <c r="I87" s="1391" t="s">
        <v>1946</v>
      </c>
      <c r="J87" s="1395">
        <v>9</v>
      </c>
      <c r="K87" s="1391" t="s">
        <v>1996</v>
      </c>
    </row>
    <row r="88" spans="1:11" ht="19.5" thickBot="1" x14ac:dyDescent="0.2">
      <c r="A88" s="1383" t="s">
        <v>640</v>
      </c>
      <c r="G88" s="1391">
        <v>3</v>
      </c>
      <c r="H88" s="1395">
        <v>9</v>
      </c>
      <c r="I88" s="1391" t="s">
        <v>1947</v>
      </c>
      <c r="J88" s="1395">
        <v>10</v>
      </c>
      <c r="K88" s="1391" t="s">
        <v>1997</v>
      </c>
    </row>
    <row r="89" spans="1:11" x14ac:dyDescent="0.15">
      <c r="G89" s="1391">
        <v>4</v>
      </c>
      <c r="H89" s="1395">
        <v>10</v>
      </c>
      <c r="I89" s="1391" t="s">
        <v>1948</v>
      </c>
      <c r="J89" s="1395">
        <v>11</v>
      </c>
      <c r="K89" s="1391" t="s">
        <v>1998</v>
      </c>
    </row>
    <row r="90" spans="1:11" ht="19.5" thickBot="1" x14ac:dyDescent="0.2">
      <c r="G90" s="1397">
        <v>5</v>
      </c>
      <c r="H90" s="1395">
        <v>11</v>
      </c>
      <c r="I90" s="1391" t="s">
        <v>1949</v>
      </c>
      <c r="J90" s="1395">
        <v>12</v>
      </c>
      <c r="K90" s="1391" t="s">
        <v>1999</v>
      </c>
    </row>
    <row r="91" spans="1:11" ht="19.5" thickBot="1" x14ac:dyDescent="0.2">
      <c r="A91" s="1395" t="s">
        <v>1931</v>
      </c>
      <c r="C91" s="1373"/>
      <c r="D91" s="1373"/>
      <c r="E91" s="1373"/>
      <c r="H91" s="1395">
        <v>12</v>
      </c>
      <c r="I91" s="1391" t="s">
        <v>1950</v>
      </c>
      <c r="J91" s="1395">
        <v>13</v>
      </c>
      <c r="K91" s="1391" t="s">
        <v>2000</v>
      </c>
    </row>
    <row r="92" spans="1:11" ht="19.5" thickBot="1" x14ac:dyDescent="0.2">
      <c r="A92" s="1396" t="s">
        <v>719</v>
      </c>
      <c r="C92" s="1373"/>
      <c r="D92" s="1373"/>
      <c r="E92" s="1373"/>
      <c r="G92" s="1395" t="s">
        <v>2809</v>
      </c>
      <c r="H92" s="1395">
        <v>13</v>
      </c>
      <c r="I92" s="1391" t="s">
        <v>1951</v>
      </c>
      <c r="J92" s="1395">
        <v>14</v>
      </c>
      <c r="K92" s="1391" t="s">
        <v>2001</v>
      </c>
    </row>
    <row r="93" spans="1:11" x14ac:dyDescent="0.15">
      <c r="A93" s="1391" t="s">
        <v>720</v>
      </c>
      <c r="C93" s="1373"/>
      <c r="D93" s="1373"/>
      <c r="E93" s="1373"/>
      <c r="G93" s="1396" t="s">
        <v>2810</v>
      </c>
      <c r="H93" s="1395">
        <v>14</v>
      </c>
      <c r="I93" s="1391" t="s">
        <v>1952</v>
      </c>
      <c r="J93" s="1395">
        <v>15</v>
      </c>
      <c r="K93" s="1391" t="s">
        <v>2002</v>
      </c>
    </row>
    <row r="94" spans="1:11" x14ac:dyDescent="0.15">
      <c r="A94" s="1391" t="s">
        <v>721</v>
      </c>
      <c r="C94" s="1373"/>
      <c r="D94" s="1373"/>
      <c r="E94" s="1373"/>
      <c r="G94" s="1391" t="s">
        <v>2811</v>
      </c>
      <c r="H94" s="1395">
        <v>15</v>
      </c>
      <c r="I94" s="1391" t="s">
        <v>1953</v>
      </c>
      <c r="J94" s="1395">
        <v>16</v>
      </c>
      <c r="K94" s="1391" t="s">
        <v>2003</v>
      </c>
    </row>
    <row r="95" spans="1:11" x14ac:dyDescent="0.15">
      <c r="A95" s="1391" t="s">
        <v>722</v>
      </c>
      <c r="C95" s="1373"/>
      <c r="D95" s="1373"/>
      <c r="E95" s="1373"/>
      <c r="G95" s="1391" t="s">
        <v>2812</v>
      </c>
      <c r="H95" s="1395">
        <v>16</v>
      </c>
      <c r="I95" s="1391" t="s">
        <v>1954</v>
      </c>
      <c r="J95" s="1395">
        <v>17</v>
      </c>
      <c r="K95" s="1391" t="s">
        <v>2004</v>
      </c>
    </row>
    <row r="96" spans="1:11" x14ac:dyDescent="0.15">
      <c r="A96" s="1391" t="s">
        <v>723</v>
      </c>
      <c r="C96" s="1373"/>
      <c r="D96" s="1373"/>
      <c r="E96" s="1373"/>
      <c r="G96" s="1391" t="s">
        <v>2813</v>
      </c>
      <c r="H96" s="1395">
        <v>17</v>
      </c>
      <c r="I96" s="1391" t="s">
        <v>1955</v>
      </c>
      <c r="J96" s="1395">
        <v>18</v>
      </c>
      <c r="K96" s="1391" t="s">
        <v>2005</v>
      </c>
    </row>
    <row r="97" spans="1:11" x14ac:dyDescent="0.15">
      <c r="A97" s="1391" t="s">
        <v>724</v>
      </c>
      <c r="C97" s="1373"/>
      <c r="D97" s="1373"/>
      <c r="E97" s="1373"/>
      <c r="G97" s="1391" t="s">
        <v>2814</v>
      </c>
      <c r="H97" s="1395">
        <v>18</v>
      </c>
      <c r="I97" s="1391" t="s">
        <v>1956</v>
      </c>
      <c r="J97" s="1395">
        <v>19</v>
      </c>
      <c r="K97" s="1391" t="s">
        <v>2006</v>
      </c>
    </row>
    <row r="98" spans="1:11" x14ac:dyDescent="0.15">
      <c r="A98" s="1391" t="s">
        <v>725</v>
      </c>
      <c r="C98" s="1373"/>
      <c r="D98" s="1373"/>
      <c r="E98" s="1373"/>
      <c r="G98" s="1391" t="s">
        <v>2815</v>
      </c>
      <c r="H98" s="1395">
        <v>19</v>
      </c>
      <c r="I98" s="1391" t="s">
        <v>1957</v>
      </c>
      <c r="J98" s="1395">
        <v>20</v>
      </c>
      <c r="K98" s="1391" t="s">
        <v>2007</v>
      </c>
    </row>
    <row r="99" spans="1:11" x14ac:dyDescent="0.15">
      <c r="A99" s="1391" t="s">
        <v>726</v>
      </c>
      <c r="C99" s="1373"/>
      <c r="D99" s="1373"/>
      <c r="E99" s="1373"/>
      <c r="G99" s="1391" t="s">
        <v>2816</v>
      </c>
      <c r="H99" s="1395">
        <v>20</v>
      </c>
      <c r="I99" s="1391" t="s">
        <v>1958</v>
      </c>
      <c r="J99" s="1395">
        <v>21</v>
      </c>
      <c r="K99" s="1391" t="s">
        <v>2008</v>
      </c>
    </row>
    <row r="100" spans="1:11" x14ac:dyDescent="0.15">
      <c r="A100" s="1391" t="s">
        <v>727</v>
      </c>
      <c r="C100" s="1373"/>
      <c r="D100" s="1373"/>
      <c r="E100" s="1373"/>
      <c r="G100" s="1391" t="s">
        <v>2817</v>
      </c>
      <c r="H100" s="1395">
        <v>21</v>
      </c>
      <c r="I100" s="1391" t="s">
        <v>1959</v>
      </c>
      <c r="J100" s="1395">
        <v>22</v>
      </c>
      <c r="K100" s="1391" t="s">
        <v>2009</v>
      </c>
    </row>
    <row r="101" spans="1:11" x14ac:dyDescent="0.15">
      <c r="A101" s="1391" t="s">
        <v>1797</v>
      </c>
      <c r="C101" s="1373"/>
      <c r="D101" s="1373"/>
      <c r="E101" s="1373"/>
      <c r="G101" s="1391" t="s">
        <v>2818</v>
      </c>
      <c r="H101" s="1395">
        <v>22</v>
      </c>
      <c r="I101" s="1391" t="s">
        <v>1960</v>
      </c>
      <c r="J101" s="1395">
        <v>23</v>
      </c>
      <c r="K101" s="1391" t="s">
        <v>2010</v>
      </c>
    </row>
    <row r="102" spans="1:11" x14ac:dyDescent="0.15">
      <c r="A102" s="1391" t="s">
        <v>1798</v>
      </c>
      <c r="C102" s="1373"/>
      <c r="D102" s="1373"/>
      <c r="E102" s="1373"/>
      <c r="G102" s="1391" t="s">
        <v>2819</v>
      </c>
      <c r="H102" s="1395">
        <v>23</v>
      </c>
      <c r="I102" s="1391" t="s">
        <v>1961</v>
      </c>
      <c r="J102" s="1395">
        <v>24</v>
      </c>
      <c r="K102" s="1391" t="s">
        <v>2011</v>
      </c>
    </row>
    <row r="103" spans="1:11" ht="19.5" thickBot="1" x14ac:dyDescent="0.2">
      <c r="A103" s="1391" t="s">
        <v>1799</v>
      </c>
      <c r="C103" s="1373"/>
      <c r="D103" s="1373"/>
      <c r="E103" s="1373"/>
      <c r="G103" s="1397" t="s">
        <v>2820</v>
      </c>
      <c r="H103" s="1395">
        <v>24</v>
      </c>
      <c r="I103" s="1391" t="s">
        <v>1962</v>
      </c>
      <c r="J103" s="1395">
        <v>31</v>
      </c>
      <c r="K103" s="1391" t="s">
        <v>2012</v>
      </c>
    </row>
    <row r="104" spans="1:11" x14ac:dyDescent="0.15">
      <c r="A104" s="1391" t="s">
        <v>1800</v>
      </c>
      <c r="C104" s="1373"/>
      <c r="D104" s="1373"/>
      <c r="E104" s="1373"/>
      <c r="H104" s="1395">
        <v>31</v>
      </c>
      <c r="I104" s="1391" t="s">
        <v>1963</v>
      </c>
      <c r="J104" s="1395">
        <v>32</v>
      </c>
      <c r="K104" s="1391" t="s">
        <v>2013</v>
      </c>
    </row>
    <row r="105" spans="1:11" x14ac:dyDescent="0.15">
      <c r="A105" s="1391" t="s">
        <v>1801</v>
      </c>
      <c r="C105" s="1373"/>
      <c r="D105" s="1373"/>
      <c r="E105" s="1373"/>
      <c r="H105" s="1395">
        <v>32</v>
      </c>
      <c r="I105" s="1391" t="s">
        <v>1964</v>
      </c>
      <c r="J105" s="1395">
        <v>33</v>
      </c>
      <c r="K105" s="1391" t="s">
        <v>2014</v>
      </c>
    </row>
    <row r="106" spans="1:11" x14ac:dyDescent="0.15">
      <c r="A106" s="1391" t="s">
        <v>1802</v>
      </c>
      <c r="C106" s="1373"/>
      <c r="D106" s="1373"/>
      <c r="E106" s="1373"/>
      <c r="H106" s="1395">
        <v>33</v>
      </c>
      <c r="I106" s="1391" t="s">
        <v>1965</v>
      </c>
      <c r="J106" s="1395">
        <v>34</v>
      </c>
      <c r="K106" s="1391" t="s">
        <v>2015</v>
      </c>
    </row>
    <row r="107" spans="1:11" x14ac:dyDescent="0.15">
      <c r="A107" s="1391" t="s">
        <v>1803</v>
      </c>
      <c r="C107" s="1373"/>
      <c r="D107" s="1373"/>
      <c r="E107" s="1373"/>
      <c r="H107" s="1395">
        <v>34</v>
      </c>
      <c r="I107" s="1391" t="s">
        <v>1966</v>
      </c>
      <c r="J107" s="1395">
        <v>35</v>
      </c>
      <c r="K107" s="1391" t="s">
        <v>2016</v>
      </c>
    </row>
    <row r="108" spans="1:11" x14ac:dyDescent="0.15">
      <c r="A108" s="1391" t="s">
        <v>1804</v>
      </c>
      <c r="C108" s="1373"/>
      <c r="D108" s="1373"/>
      <c r="E108" s="1373"/>
      <c r="H108" s="1395">
        <v>35</v>
      </c>
      <c r="I108" s="1391" t="s">
        <v>1967</v>
      </c>
      <c r="J108" s="1395">
        <v>36</v>
      </c>
      <c r="K108" s="1391" t="s">
        <v>2017</v>
      </c>
    </row>
    <row r="109" spans="1:11" x14ac:dyDescent="0.15">
      <c r="A109" s="1391" t="s">
        <v>1805</v>
      </c>
      <c r="C109" s="1373"/>
      <c r="D109" s="1373"/>
      <c r="E109" s="1373"/>
      <c r="H109" s="1395">
        <v>36</v>
      </c>
      <c r="I109" s="1391" t="s">
        <v>1968</v>
      </c>
      <c r="J109" s="1395">
        <v>37</v>
      </c>
      <c r="K109" s="1391" t="s">
        <v>2018</v>
      </c>
    </row>
    <row r="110" spans="1:11" x14ac:dyDescent="0.15">
      <c r="A110" s="1391" t="s">
        <v>1806</v>
      </c>
      <c r="C110" s="1373"/>
      <c r="D110" s="1373"/>
      <c r="E110" s="1373"/>
      <c r="H110" s="1395">
        <v>37</v>
      </c>
      <c r="I110" s="1391" t="s">
        <v>1969</v>
      </c>
      <c r="J110" s="1395">
        <v>38</v>
      </c>
      <c r="K110" s="1391" t="s">
        <v>2019</v>
      </c>
    </row>
    <row r="111" spans="1:11" x14ac:dyDescent="0.15">
      <c r="A111" s="1391" t="s">
        <v>1807</v>
      </c>
      <c r="C111" s="1373"/>
      <c r="D111" s="1373"/>
      <c r="E111" s="1373"/>
      <c r="H111" s="1395">
        <v>38</v>
      </c>
      <c r="I111" s="1391" t="s">
        <v>1970</v>
      </c>
      <c r="J111" s="1395">
        <v>39</v>
      </c>
      <c r="K111" s="1391" t="s">
        <v>2020</v>
      </c>
    </row>
    <row r="112" spans="1:11" x14ac:dyDescent="0.15">
      <c r="A112" s="1391" t="s">
        <v>1808</v>
      </c>
      <c r="C112" s="1373"/>
      <c r="D112" s="1373"/>
      <c r="E112" s="1373"/>
      <c r="H112" s="1395">
        <v>39</v>
      </c>
      <c r="I112" s="1391" t="s">
        <v>1971</v>
      </c>
      <c r="J112" s="1395">
        <v>40</v>
      </c>
      <c r="K112" s="1391" t="s">
        <v>2021</v>
      </c>
    </row>
    <row r="113" spans="1:11" x14ac:dyDescent="0.15">
      <c r="A113" s="1391" t="s">
        <v>1809</v>
      </c>
      <c r="C113" s="1373"/>
      <c r="D113" s="1373"/>
      <c r="E113" s="1373"/>
      <c r="H113" s="1395">
        <v>40</v>
      </c>
      <c r="I113" s="1391" t="s">
        <v>1972</v>
      </c>
      <c r="J113" s="1395">
        <v>41</v>
      </c>
      <c r="K113" s="1391" t="s">
        <v>2022</v>
      </c>
    </row>
    <row r="114" spans="1:11" x14ac:dyDescent="0.15">
      <c r="A114" s="1391" t="s">
        <v>1810</v>
      </c>
      <c r="C114" s="1373"/>
      <c r="D114" s="1373"/>
      <c r="E114" s="1373"/>
      <c r="H114" s="1395">
        <v>41</v>
      </c>
      <c r="I114" s="1391" t="s">
        <v>1973</v>
      </c>
      <c r="J114" s="1395">
        <v>42</v>
      </c>
      <c r="K114" s="1391" t="s">
        <v>2023</v>
      </c>
    </row>
    <row r="115" spans="1:11" x14ac:dyDescent="0.15">
      <c r="A115" s="1391" t="s">
        <v>1811</v>
      </c>
      <c r="C115" s="1373"/>
      <c r="D115" s="1373"/>
      <c r="E115" s="1373"/>
      <c r="H115" s="1395">
        <v>42</v>
      </c>
      <c r="I115" s="1391" t="s">
        <v>1974</v>
      </c>
      <c r="J115" s="1395">
        <v>43</v>
      </c>
      <c r="K115" s="1391" t="s">
        <v>2024</v>
      </c>
    </row>
    <row r="116" spans="1:11" x14ac:dyDescent="0.15">
      <c r="A116" s="1391" t="s">
        <v>1812</v>
      </c>
      <c r="C116" s="1373"/>
      <c r="D116" s="1373"/>
      <c r="E116" s="1373"/>
      <c r="H116" s="1395">
        <v>43</v>
      </c>
      <c r="I116" s="1391" t="s">
        <v>1975</v>
      </c>
      <c r="J116" s="1395">
        <v>44</v>
      </c>
      <c r="K116" s="1391" t="s">
        <v>2025</v>
      </c>
    </row>
    <row r="117" spans="1:11" x14ac:dyDescent="0.15">
      <c r="A117" s="1391" t="s">
        <v>1813</v>
      </c>
      <c r="C117" s="1373"/>
      <c r="D117" s="1373"/>
      <c r="E117" s="1373"/>
      <c r="H117" s="1395">
        <v>44</v>
      </c>
      <c r="I117" s="1391" t="s">
        <v>1976</v>
      </c>
      <c r="J117" s="1395">
        <v>45</v>
      </c>
      <c r="K117" s="1391" t="s">
        <v>2026</v>
      </c>
    </row>
    <row r="118" spans="1:11" x14ac:dyDescent="0.15">
      <c r="A118" s="1391" t="s">
        <v>1814</v>
      </c>
      <c r="C118" s="1373"/>
      <c r="D118" s="1373"/>
      <c r="E118" s="1373"/>
      <c r="H118" s="1395">
        <v>45</v>
      </c>
      <c r="I118" s="1391" t="s">
        <v>1977</v>
      </c>
      <c r="J118" s="1395">
        <v>46</v>
      </c>
      <c r="K118" s="1391" t="s">
        <v>2027</v>
      </c>
    </row>
    <row r="119" spans="1:11" ht="19.5" thickBot="1" x14ac:dyDescent="0.2">
      <c r="A119" s="1391" t="s">
        <v>1815</v>
      </c>
      <c r="C119" s="1373"/>
      <c r="D119" s="1373"/>
      <c r="E119" s="1373"/>
      <c r="H119" s="1395">
        <v>46</v>
      </c>
      <c r="I119" s="1391" t="s">
        <v>1978</v>
      </c>
      <c r="J119" s="1395">
        <v>47</v>
      </c>
      <c r="K119" s="1397" t="s">
        <v>2028</v>
      </c>
    </row>
    <row r="120" spans="1:11" ht="19.5" thickBot="1" x14ac:dyDescent="0.2">
      <c r="A120" s="1391" t="s">
        <v>1816</v>
      </c>
      <c r="C120" s="1373"/>
      <c r="D120" s="1373"/>
      <c r="E120" s="1373"/>
      <c r="H120" s="1395">
        <v>47</v>
      </c>
      <c r="I120" s="1397" t="s">
        <v>1979</v>
      </c>
    </row>
    <row r="121" spans="1:11" x14ac:dyDescent="0.15">
      <c r="A121" s="1391" t="s">
        <v>1817</v>
      </c>
      <c r="C121" s="1373"/>
      <c r="D121" s="1373"/>
      <c r="E121" s="1373"/>
    </row>
    <row r="122" spans="1:11" x14ac:dyDescent="0.15">
      <c r="A122" s="1391" t="s">
        <v>1818</v>
      </c>
      <c r="C122" s="1373"/>
      <c r="D122" s="1373"/>
      <c r="E122" s="1373"/>
    </row>
    <row r="123" spans="1:11" x14ac:dyDescent="0.15">
      <c r="A123" s="1391" t="s">
        <v>1819</v>
      </c>
      <c r="C123" s="1373"/>
      <c r="D123" s="1373"/>
      <c r="E123" s="1373"/>
    </row>
    <row r="124" spans="1:11" x14ac:dyDescent="0.15">
      <c r="A124" s="1391" t="s">
        <v>1820</v>
      </c>
      <c r="C124" s="1373"/>
      <c r="D124" s="1373"/>
      <c r="E124" s="1373"/>
    </row>
    <row r="125" spans="1:11" x14ac:dyDescent="0.15">
      <c r="A125" s="1391" t="s">
        <v>1821</v>
      </c>
      <c r="C125" s="1373"/>
      <c r="D125" s="1373"/>
      <c r="E125" s="1373"/>
    </row>
    <row r="126" spans="1:11" x14ac:dyDescent="0.15">
      <c r="A126" s="1391" t="s">
        <v>1822</v>
      </c>
      <c r="C126" s="1373"/>
      <c r="D126" s="1373"/>
      <c r="E126" s="1373"/>
    </row>
    <row r="127" spans="1:11" x14ac:dyDescent="0.15">
      <c r="A127" s="1391" t="s">
        <v>1823</v>
      </c>
      <c r="C127" s="1373"/>
      <c r="D127" s="1373"/>
      <c r="E127" s="1373"/>
    </row>
    <row r="128" spans="1:11" x14ac:dyDescent="0.15">
      <c r="A128" s="1391" t="s">
        <v>728</v>
      </c>
      <c r="C128" s="1373"/>
      <c r="D128" s="1373"/>
      <c r="E128" s="1373"/>
    </row>
    <row r="129" spans="1:5" x14ac:dyDescent="0.15">
      <c r="A129" s="1391" t="s">
        <v>729</v>
      </c>
      <c r="C129" s="1373"/>
      <c r="D129" s="1373"/>
      <c r="E129" s="1373"/>
    </row>
    <row r="130" spans="1:5" x14ac:dyDescent="0.15">
      <c r="A130" s="1391" t="s">
        <v>730</v>
      </c>
      <c r="C130" s="1373"/>
      <c r="D130" s="1373"/>
      <c r="E130" s="1373"/>
    </row>
    <row r="131" spans="1:5" x14ac:dyDescent="0.15">
      <c r="A131" s="1391" t="s">
        <v>731</v>
      </c>
      <c r="C131" s="1373"/>
      <c r="D131" s="1373"/>
      <c r="E131" s="1373"/>
    </row>
    <row r="132" spans="1:5" x14ac:dyDescent="0.15">
      <c r="A132" s="1391" t="s">
        <v>732</v>
      </c>
      <c r="C132" s="1373"/>
      <c r="D132" s="1373"/>
      <c r="E132" s="1373"/>
    </row>
    <row r="133" spans="1:5" x14ac:dyDescent="0.15">
      <c r="A133" s="1391" t="s">
        <v>733</v>
      </c>
      <c r="C133" s="1373"/>
      <c r="D133" s="1373"/>
      <c r="E133" s="1373"/>
    </row>
    <row r="134" spans="1:5" x14ac:dyDescent="0.15">
      <c r="A134" s="1391" t="s">
        <v>734</v>
      </c>
      <c r="C134" s="1373"/>
      <c r="D134" s="1373"/>
      <c r="E134" s="1373"/>
    </row>
    <row r="135" spans="1:5" x14ac:dyDescent="0.15">
      <c r="A135" s="1391" t="s">
        <v>735</v>
      </c>
      <c r="C135" s="1373"/>
      <c r="D135" s="1373"/>
      <c r="E135" s="1373"/>
    </row>
    <row r="136" spans="1:5" x14ac:dyDescent="0.15">
      <c r="A136" s="1391" t="s">
        <v>736</v>
      </c>
      <c r="C136" s="1373"/>
      <c r="D136" s="1373"/>
      <c r="E136" s="1373"/>
    </row>
    <row r="137" spans="1:5" x14ac:dyDescent="0.15">
      <c r="A137" s="1391" t="s">
        <v>737</v>
      </c>
      <c r="C137" s="1373"/>
      <c r="D137" s="1373"/>
      <c r="E137" s="1373"/>
    </row>
    <row r="138" spans="1:5" x14ac:dyDescent="0.15">
      <c r="A138" s="1391" t="s">
        <v>738</v>
      </c>
      <c r="C138" s="1373"/>
      <c r="D138" s="1373"/>
      <c r="E138" s="1373"/>
    </row>
    <row r="139" spans="1:5" x14ac:dyDescent="0.15">
      <c r="A139" s="1391" t="s">
        <v>739</v>
      </c>
      <c r="C139" s="1373"/>
      <c r="D139" s="1373"/>
      <c r="E139" s="1373"/>
    </row>
    <row r="140" spans="1:5" x14ac:dyDescent="0.15">
      <c r="A140" s="1391" t="s">
        <v>740</v>
      </c>
      <c r="C140" s="1373"/>
      <c r="D140" s="1373"/>
      <c r="E140" s="1373"/>
    </row>
    <row r="141" spans="1:5" x14ac:dyDescent="0.15">
      <c r="A141" s="1391" t="s">
        <v>741</v>
      </c>
      <c r="C141" s="1373"/>
      <c r="D141" s="1373"/>
      <c r="E141" s="1373"/>
    </row>
    <row r="142" spans="1:5" x14ac:dyDescent="0.15">
      <c r="A142" s="1391" t="s">
        <v>742</v>
      </c>
      <c r="C142" s="1373"/>
      <c r="D142" s="1373"/>
      <c r="E142" s="1373"/>
    </row>
    <row r="143" spans="1:5" x14ac:dyDescent="0.15">
      <c r="A143" s="1391" t="s">
        <v>743</v>
      </c>
      <c r="C143" s="1373"/>
      <c r="D143" s="1373"/>
      <c r="E143" s="1373"/>
    </row>
    <row r="144" spans="1:5" x14ac:dyDescent="0.15">
      <c r="A144" s="1391" t="s">
        <v>744</v>
      </c>
      <c r="C144" s="1373"/>
      <c r="D144" s="1373"/>
      <c r="E144" s="1373"/>
    </row>
    <row r="145" spans="1:5" x14ac:dyDescent="0.15">
      <c r="A145" s="1391" t="s">
        <v>745</v>
      </c>
      <c r="C145" s="1373"/>
      <c r="D145" s="1373"/>
      <c r="E145" s="1373"/>
    </row>
    <row r="146" spans="1:5" x14ac:dyDescent="0.15">
      <c r="A146" s="1391" t="s">
        <v>746</v>
      </c>
      <c r="C146" s="1373"/>
      <c r="D146" s="1373"/>
      <c r="E146" s="1373"/>
    </row>
    <row r="147" spans="1:5" x14ac:dyDescent="0.15">
      <c r="A147" s="1391" t="s">
        <v>747</v>
      </c>
      <c r="C147" s="1373"/>
      <c r="D147" s="1373"/>
      <c r="E147" s="1373"/>
    </row>
    <row r="148" spans="1:5" x14ac:dyDescent="0.15">
      <c r="A148" s="1391" t="s">
        <v>748</v>
      </c>
      <c r="C148" s="1373"/>
      <c r="D148" s="1373"/>
      <c r="E148" s="1373"/>
    </row>
    <row r="149" spans="1:5" x14ac:dyDescent="0.15">
      <c r="A149" s="1391" t="s">
        <v>749</v>
      </c>
      <c r="C149" s="1373"/>
      <c r="D149" s="1373"/>
      <c r="E149" s="1373"/>
    </row>
    <row r="150" spans="1:5" x14ac:dyDescent="0.15">
      <c r="A150" s="1391" t="s">
        <v>750</v>
      </c>
      <c r="C150" s="1373"/>
      <c r="D150" s="1373"/>
      <c r="E150" s="1373"/>
    </row>
    <row r="151" spans="1:5" x14ac:dyDescent="0.15">
      <c r="A151" s="1391" t="s">
        <v>751</v>
      </c>
      <c r="C151" s="1373"/>
      <c r="D151" s="1373"/>
      <c r="E151" s="1373"/>
    </row>
    <row r="152" spans="1:5" x14ac:dyDescent="0.15">
      <c r="A152" s="1391" t="s">
        <v>752</v>
      </c>
      <c r="C152" s="1373"/>
      <c r="D152" s="1373"/>
      <c r="E152" s="1373"/>
    </row>
    <row r="153" spans="1:5" x14ac:dyDescent="0.15">
      <c r="A153" s="1391" t="s">
        <v>753</v>
      </c>
      <c r="C153" s="1373"/>
      <c r="D153" s="1373"/>
      <c r="E153" s="1373"/>
    </row>
    <row r="154" spans="1:5" x14ac:dyDescent="0.15">
      <c r="A154" s="1391" t="s">
        <v>754</v>
      </c>
      <c r="C154" s="1373"/>
      <c r="D154" s="1373"/>
      <c r="E154" s="1373"/>
    </row>
    <row r="155" spans="1:5" x14ac:dyDescent="0.15">
      <c r="A155" s="1391" t="s">
        <v>755</v>
      </c>
      <c r="C155" s="1373"/>
      <c r="D155" s="1373"/>
      <c r="E155" s="1373"/>
    </row>
    <row r="156" spans="1:5" x14ac:dyDescent="0.15">
      <c r="A156" s="1391" t="s">
        <v>756</v>
      </c>
      <c r="C156" s="1373"/>
      <c r="D156" s="1373"/>
      <c r="E156" s="1373"/>
    </row>
    <row r="157" spans="1:5" x14ac:dyDescent="0.15">
      <c r="A157" s="1391" t="s">
        <v>757</v>
      </c>
      <c r="C157" s="1373"/>
      <c r="D157" s="1373"/>
      <c r="E157" s="1373"/>
    </row>
    <row r="158" spans="1:5" x14ac:dyDescent="0.15">
      <c r="A158" s="1391" t="s">
        <v>758</v>
      </c>
      <c r="C158" s="1373"/>
      <c r="D158" s="1373"/>
      <c r="E158" s="1373"/>
    </row>
    <row r="159" spans="1:5" x14ac:dyDescent="0.15">
      <c r="A159" s="1391" t="s">
        <v>759</v>
      </c>
      <c r="C159" s="1373"/>
      <c r="D159" s="1373"/>
      <c r="E159" s="1373"/>
    </row>
    <row r="160" spans="1:5" x14ac:dyDescent="0.15">
      <c r="A160" s="1391" t="s">
        <v>760</v>
      </c>
      <c r="C160" s="1373"/>
      <c r="D160" s="1373"/>
      <c r="E160" s="1373"/>
    </row>
    <row r="161" spans="1:5" x14ac:dyDescent="0.15">
      <c r="A161" s="1391" t="s">
        <v>761</v>
      </c>
      <c r="C161" s="1373"/>
      <c r="D161" s="1373"/>
      <c r="E161" s="1373"/>
    </row>
    <row r="162" spans="1:5" x14ac:dyDescent="0.15">
      <c r="A162" s="1391" t="s">
        <v>762</v>
      </c>
      <c r="C162" s="1373"/>
      <c r="D162" s="1373"/>
      <c r="E162" s="1373"/>
    </row>
    <row r="163" spans="1:5" x14ac:dyDescent="0.15">
      <c r="A163" s="1391" t="s">
        <v>763</v>
      </c>
      <c r="C163" s="1373"/>
      <c r="D163" s="1373"/>
      <c r="E163" s="1373"/>
    </row>
    <row r="164" spans="1:5" x14ac:dyDescent="0.15">
      <c r="A164" s="1391" t="s">
        <v>764</v>
      </c>
      <c r="C164" s="1373"/>
      <c r="D164" s="1373"/>
      <c r="E164" s="1373"/>
    </row>
    <row r="165" spans="1:5" x14ac:dyDescent="0.15">
      <c r="A165" s="1391" t="s">
        <v>765</v>
      </c>
      <c r="C165" s="1373"/>
      <c r="D165" s="1373"/>
      <c r="E165" s="1373"/>
    </row>
    <row r="166" spans="1:5" x14ac:dyDescent="0.15">
      <c r="A166" s="1391" t="s">
        <v>766</v>
      </c>
      <c r="C166" s="1373"/>
      <c r="D166" s="1373"/>
      <c r="E166" s="1373"/>
    </row>
    <row r="167" spans="1:5" x14ac:dyDescent="0.15">
      <c r="A167" s="1391" t="s">
        <v>767</v>
      </c>
      <c r="C167" s="1373"/>
      <c r="D167" s="1373"/>
      <c r="E167" s="1373"/>
    </row>
    <row r="168" spans="1:5" x14ac:dyDescent="0.15">
      <c r="A168" s="1391" t="s">
        <v>768</v>
      </c>
      <c r="C168" s="1373"/>
      <c r="D168" s="1373"/>
      <c r="E168" s="1373"/>
    </row>
    <row r="169" spans="1:5" x14ac:dyDescent="0.15">
      <c r="A169" s="1391" t="s">
        <v>769</v>
      </c>
      <c r="C169" s="1373"/>
      <c r="D169" s="1373"/>
      <c r="E169" s="1373"/>
    </row>
    <row r="170" spans="1:5" x14ac:dyDescent="0.15">
      <c r="A170" s="1391" t="s">
        <v>770</v>
      </c>
      <c r="C170" s="1373"/>
      <c r="D170" s="1373"/>
      <c r="E170" s="1373"/>
    </row>
    <row r="171" spans="1:5" x14ac:dyDescent="0.15">
      <c r="A171" s="1391" t="s">
        <v>771</v>
      </c>
      <c r="C171" s="1373"/>
      <c r="D171" s="1373"/>
      <c r="E171" s="1373"/>
    </row>
    <row r="172" spans="1:5" x14ac:dyDescent="0.15">
      <c r="A172" s="1391" t="s">
        <v>772</v>
      </c>
      <c r="C172" s="1373"/>
      <c r="D172" s="1373"/>
      <c r="E172" s="1373"/>
    </row>
    <row r="173" spans="1:5" x14ac:dyDescent="0.15">
      <c r="A173" s="1391" t="s">
        <v>773</v>
      </c>
      <c r="C173" s="1373"/>
      <c r="D173" s="1373"/>
      <c r="E173" s="1373"/>
    </row>
    <row r="174" spans="1:5" x14ac:dyDescent="0.15">
      <c r="A174" s="1391" t="s">
        <v>774</v>
      </c>
      <c r="C174" s="1373"/>
      <c r="D174" s="1373"/>
      <c r="E174" s="1373"/>
    </row>
    <row r="175" spans="1:5" x14ac:dyDescent="0.15">
      <c r="A175" s="1391" t="s">
        <v>775</v>
      </c>
      <c r="C175" s="1373"/>
      <c r="D175" s="1373"/>
      <c r="E175" s="1373"/>
    </row>
    <row r="176" spans="1:5" x14ac:dyDescent="0.15">
      <c r="A176" s="1391" t="s">
        <v>776</v>
      </c>
      <c r="C176" s="1373"/>
      <c r="D176" s="1373"/>
      <c r="E176" s="1373"/>
    </row>
    <row r="177" spans="1:5" x14ac:dyDescent="0.15">
      <c r="A177" s="1391" t="s">
        <v>777</v>
      </c>
      <c r="C177" s="1373"/>
      <c r="D177" s="1373"/>
      <c r="E177" s="1373"/>
    </row>
    <row r="178" spans="1:5" x14ac:dyDescent="0.15">
      <c r="A178" s="1391" t="s">
        <v>778</v>
      </c>
      <c r="C178" s="1373"/>
      <c r="D178" s="1373"/>
      <c r="E178" s="1373"/>
    </row>
    <row r="179" spans="1:5" x14ac:dyDescent="0.15">
      <c r="A179" s="1391" t="s">
        <v>779</v>
      </c>
      <c r="C179" s="1373"/>
      <c r="D179" s="1373"/>
      <c r="E179" s="1373"/>
    </row>
    <row r="180" spans="1:5" x14ac:dyDescent="0.15">
      <c r="A180" s="1391" t="s">
        <v>780</v>
      </c>
      <c r="C180" s="1373"/>
      <c r="D180" s="1373"/>
      <c r="E180" s="1373"/>
    </row>
    <row r="181" spans="1:5" x14ac:dyDescent="0.15">
      <c r="A181" s="1391" t="s">
        <v>781</v>
      </c>
      <c r="C181" s="1373"/>
      <c r="D181" s="1373"/>
      <c r="E181" s="1373"/>
    </row>
    <row r="182" spans="1:5" x14ac:dyDescent="0.15">
      <c r="A182" s="1391" t="s">
        <v>782</v>
      </c>
      <c r="C182" s="1373"/>
      <c r="D182" s="1373"/>
      <c r="E182" s="1373"/>
    </row>
    <row r="183" spans="1:5" x14ac:dyDescent="0.15">
      <c r="A183" s="1391" t="s">
        <v>783</v>
      </c>
      <c r="C183" s="1373"/>
      <c r="D183" s="1373"/>
      <c r="E183" s="1373"/>
    </row>
    <row r="184" spans="1:5" x14ac:dyDescent="0.15">
      <c r="A184" s="1391" t="s">
        <v>784</v>
      </c>
      <c r="C184" s="1373"/>
      <c r="D184" s="1373"/>
      <c r="E184" s="1373"/>
    </row>
    <row r="185" spans="1:5" x14ac:dyDescent="0.15">
      <c r="A185" s="1391" t="s">
        <v>785</v>
      </c>
      <c r="C185" s="1373"/>
      <c r="D185" s="1373"/>
      <c r="E185" s="1373"/>
    </row>
    <row r="186" spans="1:5" x14ac:dyDescent="0.15">
      <c r="A186" s="1391" t="s">
        <v>786</v>
      </c>
      <c r="C186" s="1373"/>
      <c r="D186" s="1373"/>
      <c r="E186" s="1373"/>
    </row>
    <row r="187" spans="1:5" x14ac:dyDescent="0.15">
      <c r="A187" s="1391" t="s">
        <v>787</v>
      </c>
      <c r="C187" s="1373"/>
      <c r="D187" s="1373"/>
      <c r="E187" s="1373"/>
    </row>
    <row r="188" spans="1:5" x14ac:dyDescent="0.15">
      <c r="A188" s="1391" t="s">
        <v>788</v>
      </c>
      <c r="C188" s="1373"/>
      <c r="D188" s="1373"/>
      <c r="E188" s="1373"/>
    </row>
    <row r="189" spans="1:5" x14ac:dyDescent="0.15">
      <c r="A189" s="1391" t="s">
        <v>789</v>
      </c>
      <c r="C189" s="1373"/>
      <c r="D189" s="1373"/>
      <c r="E189" s="1373"/>
    </row>
    <row r="190" spans="1:5" x14ac:dyDescent="0.15">
      <c r="A190" s="1391" t="s">
        <v>790</v>
      </c>
      <c r="C190" s="1373"/>
      <c r="D190" s="1373"/>
      <c r="E190" s="1373"/>
    </row>
    <row r="191" spans="1:5" x14ac:dyDescent="0.15">
      <c r="A191" s="1391" t="s">
        <v>791</v>
      </c>
      <c r="C191" s="1373"/>
      <c r="D191" s="1373"/>
      <c r="E191" s="1373"/>
    </row>
    <row r="192" spans="1:5" x14ac:dyDescent="0.15">
      <c r="A192" s="1391" t="s">
        <v>792</v>
      </c>
      <c r="C192" s="1373"/>
      <c r="D192" s="1373"/>
      <c r="E192" s="1373"/>
    </row>
    <row r="193" spans="1:5" x14ac:dyDescent="0.15">
      <c r="A193" s="1391" t="s">
        <v>793</v>
      </c>
      <c r="C193" s="1373"/>
      <c r="D193" s="1373"/>
      <c r="E193" s="1373"/>
    </row>
    <row r="194" spans="1:5" x14ac:dyDescent="0.15">
      <c r="A194" s="1391" t="s">
        <v>794</v>
      </c>
      <c r="C194" s="1373"/>
      <c r="D194" s="1373"/>
      <c r="E194" s="1373"/>
    </row>
    <row r="195" spans="1:5" x14ac:dyDescent="0.15">
      <c r="A195" s="1391" t="s">
        <v>795</v>
      </c>
      <c r="C195" s="1373"/>
      <c r="D195" s="1373"/>
      <c r="E195" s="1373"/>
    </row>
    <row r="196" spans="1:5" x14ac:dyDescent="0.15">
      <c r="A196" s="1391" t="s">
        <v>796</v>
      </c>
      <c r="C196" s="1373"/>
      <c r="D196" s="1373"/>
      <c r="E196" s="1373"/>
    </row>
    <row r="197" spans="1:5" x14ac:dyDescent="0.15">
      <c r="A197" s="1391" t="s">
        <v>797</v>
      </c>
      <c r="C197" s="1373"/>
      <c r="D197" s="1373"/>
      <c r="E197" s="1373"/>
    </row>
    <row r="198" spans="1:5" x14ac:dyDescent="0.15">
      <c r="A198" s="1391" t="s">
        <v>798</v>
      </c>
      <c r="C198" s="1373"/>
      <c r="D198" s="1373"/>
      <c r="E198" s="1373"/>
    </row>
    <row r="199" spans="1:5" x14ac:dyDescent="0.15">
      <c r="A199" s="1391" t="s">
        <v>799</v>
      </c>
      <c r="C199" s="1373"/>
      <c r="D199" s="1373"/>
      <c r="E199" s="1373"/>
    </row>
    <row r="200" spans="1:5" x14ac:dyDescent="0.15">
      <c r="A200" s="1391" t="s">
        <v>800</v>
      </c>
      <c r="C200" s="1373"/>
      <c r="D200" s="1373"/>
      <c r="E200" s="1373"/>
    </row>
    <row r="201" spans="1:5" x14ac:dyDescent="0.15">
      <c r="A201" s="1391" t="s">
        <v>801</v>
      </c>
      <c r="C201" s="1373"/>
      <c r="D201" s="1373"/>
      <c r="E201" s="1373"/>
    </row>
    <row r="202" spans="1:5" x14ac:dyDescent="0.15">
      <c r="A202" s="1391" t="s">
        <v>802</v>
      </c>
      <c r="C202" s="1373"/>
      <c r="D202" s="1373"/>
      <c r="E202" s="1373"/>
    </row>
    <row r="203" spans="1:5" x14ac:dyDescent="0.15">
      <c r="A203" s="1391" t="s">
        <v>803</v>
      </c>
      <c r="C203" s="1373"/>
      <c r="D203" s="1373"/>
      <c r="E203" s="1373"/>
    </row>
    <row r="204" spans="1:5" x14ac:dyDescent="0.15">
      <c r="A204" s="1391" t="s">
        <v>804</v>
      </c>
      <c r="C204" s="1373"/>
      <c r="D204" s="1373"/>
      <c r="E204" s="1373"/>
    </row>
    <row r="205" spans="1:5" x14ac:dyDescent="0.15">
      <c r="A205" s="1391" t="s">
        <v>805</v>
      </c>
      <c r="C205" s="1373"/>
      <c r="D205" s="1373"/>
      <c r="E205" s="1373"/>
    </row>
    <row r="206" spans="1:5" x14ac:dyDescent="0.15">
      <c r="A206" s="1391" t="s">
        <v>811</v>
      </c>
      <c r="C206" s="1373"/>
      <c r="D206" s="1373"/>
      <c r="E206" s="1373"/>
    </row>
    <row r="207" spans="1:5" x14ac:dyDescent="0.15">
      <c r="A207" s="1391" t="s">
        <v>812</v>
      </c>
      <c r="C207" s="1373"/>
      <c r="D207" s="1373"/>
      <c r="E207" s="1373"/>
    </row>
    <row r="208" spans="1:5" x14ac:dyDescent="0.15">
      <c r="A208" s="1391" t="s">
        <v>813</v>
      </c>
      <c r="C208" s="1373"/>
      <c r="D208" s="1373"/>
      <c r="E208" s="1373"/>
    </row>
    <row r="209" spans="1:5" x14ac:dyDescent="0.15">
      <c r="A209" s="1391" t="s">
        <v>814</v>
      </c>
      <c r="C209" s="1373"/>
      <c r="D209" s="1373"/>
      <c r="E209" s="1373"/>
    </row>
    <row r="210" spans="1:5" x14ac:dyDescent="0.15">
      <c r="A210" s="1391" t="s">
        <v>815</v>
      </c>
      <c r="C210" s="1373"/>
      <c r="D210" s="1373"/>
      <c r="E210" s="1373"/>
    </row>
    <row r="211" spans="1:5" x14ac:dyDescent="0.15">
      <c r="A211" s="1391" t="s">
        <v>816</v>
      </c>
      <c r="C211" s="1373"/>
      <c r="D211" s="1373"/>
      <c r="E211" s="1373"/>
    </row>
    <row r="212" spans="1:5" x14ac:dyDescent="0.15">
      <c r="A212" s="1391" t="s">
        <v>817</v>
      </c>
      <c r="C212" s="1373"/>
      <c r="D212" s="1373"/>
      <c r="E212" s="1373"/>
    </row>
    <row r="213" spans="1:5" x14ac:dyDescent="0.15">
      <c r="A213" s="1391" t="s">
        <v>818</v>
      </c>
      <c r="C213" s="1373"/>
      <c r="D213" s="1373"/>
      <c r="E213" s="1373"/>
    </row>
    <row r="214" spans="1:5" x14ac:dyDescent="0.15">
      <c r="A214" s="1391" t="s">
        <v>819</v>
      </c>
      <c r="C214" s="1373"/>
      <c r="D214" s="1373"/>
      <c r="E214" s="1373"/>
    </row>
    <row r="215" spans="1:5" x14ac:dyDescent="0.15">
      <c r="A215" s="1391" t="s">
        <v>820</v>
      </c>
      <c r="C215" s="1373"/>
      <c r="D215" s="1373"/>
      <c r="E215" s="1373"/>
    </row>
    <row r="216" spans="1:5" x14ac:dyDescent="0.15">
      <c r="A216" s="1391" t="s">
        <v>821</v>
      </c>
      <c r="C216" s="1373"/>
      <c r="D216" s="1373"/>
      <c r="E216" s="1373"/>
    </row>
    <row r="217" spans="1:5" x14ac:dyDescent="0.15">
      <c r="A217" s="1391" t="s">
        <v>822</v>
      </c>
      <c r="C217" s="1373"/>
      <c r="D217" s="1373"/>
      <c r="E217" s="1373"/>
    </row>
    <row r="218" spans="1:5" x14ac:dyDescent="0.15">
      <c r="A218" s="1391" t="s">
        <v>823</v>
      </c>
      <c r="C218" s="1373"/>
      <c r="D218" s="1373"/>
      <c r="E218" s="1373"/>
    </row>
    <row r="219" spans="1:5" x14ac:dyDescent="0.15">
      <c r="A219" s="1391" t="s">
        <v>824</v>
      </c>
      <c r="C219" s="1373"/>
      <c r="D219" s="1373"/>
      <c r="E219" s="1373"/>
    </row>
    <row r="220" spans="1:5" x14ac:dyDescent="0.15">
      <c r="A220" s="1391" t="s">
        <v>1285</v>
      </c>
      <c r="C220" s="1373"/>
      <c r="D220" s="1373"/>
      <c r="E220" s="1373"/>
    </row>
    <row r="221" spans="1:5" x14ac:dyDescent="0.15">
      <c r="A221" s="1391" t="s">
        <v>1286</v>
      </c>
      <c r="C221" s="1373"/>
      <c r="D221" s="1373"/>
      <c r="E221" s="1373"/>
    </row>
    <row r="222" spans="1:5" x14ac:dyDescent="0.15">
      <c r="A222" s="1391" t="s">
        <v>1287</v>
      </c>
      <c r="C222" s="1373"/>
      <c r="D222" s="1373"/>
      <c r="E222" s="1373"/>
    </row>
    <row r="223" spans="1:5" x14ac:dyDescent="0.15">
      <c r="A223" s="1391" t="s">
        <v>1288</v>
      </c>
      <c r="C223" s="1373"/>
      <c r="D223" s="1373"/>
      <c r="E223" s="1373"/>
    </row>
    <row r="224" spans="1:5" x14ac:dyDescent="0.15">
      <c r="A224" s="1391" t="s">
        <v>1289</v>
      </c>
      <c r="C224" s="1373"/>
      <c r="D224" s="1373"/>
      <c r="E224" s="1373"/>
    </row>
    <row r="225" spans="1:5" x14ac:dyDescent="0.15">
      <c r="A225" s="1391" t="s">
        <v>1765</v>
      </c>
      <c r="C225" s="1373"/>
      <c r="D225" s="1373"/>
      <c r="E225" s="1373"/>
    </row>
    <row r="226" spans="1:5" x14ac:dyDescent="0.15">
      <c r="A226" s="1391" t="s">
        <v>1766</v>
      </c>
      <c r="C226" s="1373"/>
      <c r="D226" s="1373"/>
      <c r="E226" s="1373"/>
    </row>
    <row r="227" spans="1:5" x14ac:dyDescent="0.15">
      <c r="A227" s="1391" t="s">
        <v>1767</v>
      </c>
      <c r="C227" s="1373"/>
      <c r="D227" s="1373"/>
      <c r="E227" s="1373"/>
    </row>
    <row r="228" spans="1:5" x14ac:dyDescent="0.15">
      <c r="A228" s="1391" t="s">
        <v>1768</v>
      </c>
      <c r="C228" s="1373"/>
      <c r="D228" s="1373"/>
      <c r="E228" s="1373"/>
    </row>
    <row r="229" spans="1:5" x14ac:dyDescent="0.15">
      <c r="A229" s="1391" t="s">
        <v>1769</v>
      </c>
      <c r="C229" s="1373"/>
      <c r="D229" s="1373"/>
      <c r="E229" s="1373"/>
    </row>
    <row r="230" spans="1:5" x14ac:dyDescent="0.15">
      <c r="A230" s="1391" t="s">
        <v>3057</v>
      </c>
      <c r="C230" s="1373"/>
      <c r="D230" s="1373"/>
      <c r="E230" s="1373"/>
    </row>
    <row r="231" spans="1:5" x14ac:dyDescent="0.15">
      <c r="A231" s="1391" t="s">
        <v>3058</v>
      </c>
      <c r="C231" s="1373"/>
      <c r="D231" s="1373"/>
      <c r="E231" s="1373"/>
    </row>
    <row r="232" spans="1:5" x14ac:dyDescent="0.15">
      <c r="A232" s="1391" t="s">
        <v>3059</v>
      </c>
    </row>
  </sheetData>
  <phoneticPr fontId="123"/>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8B276-7CD6-499A-94AC-66283F75E80A}">
  <sheetPr codeName="Sheet10">
    <tabColor rgb="FF66FF33"/>
    <pageSetUpPr fitToPage="1"/>
  </sheetPr>
  <dimension ref="A1:P61"/>
  <sheetViews>
    <sheetView showZeros="0" zoomScale="85" zoomScaleNormal="85" zoomScaleSheetLayoutView="70" workbookViewId="0"/>
  </sheetViews>
  <sheetFormatPr defaultRowHeight="13.5" x14ac:dyDescent="0.15"/>
  <cols>
    <col min="1" max="1" width="3.25" style="516" customWidth="1"/>
    <col min="2" max="2" width="8.125" style="516" customWidth="1"/>
    <col min="3" max="3" width="83.625" style="516" customWidth="1"/>
    <col min="4" max="4" width="11.25" style="516" customWidth="1"/>
    <col min="5" max="5" width="3.375" style="516" customWidth="1"/>
    <col min="6" max="6" width="9" style="516" customWidth="1"/>
    <col min="7" max="7" width="3.375" style="516" customWidth="1"/>
    <col min="8" max="8" width="9.5" style="516" customWidth="1"/>
    <col min="9" max="9" width="4.625" style="516" customWidth="1"/>
    <col min="10" max="15" width="9" style="516" hidden="1" customWidth="1"/>
    <col min="16" max="16" width="0" style="516" hidden="1" customWidth="1"/>
    <col min="17" max="259" width="9" style="516"/>
    <col min="260" max="260" width="3.25" style="516" customWidth="1"/>
    <col min="261" max="261" width="7.125" style="516" customWidth="1"/>
    <col min="262" max="262" width="83.625" style="516" customWidth="1"/>
    <col min="263" max="263" width="27.125" style="516" customWidth="1"/>
    <col min="264" max="265" width="3.25" style="516" customWidth="1"/>
    <col min="266" max="266" width="4.875" style="516" customWidth="1"/>
    <col min="267" max="267" width="2.5" style="516" customWidth="1"/>
    <col min="268" max="515" width="9" style="516"/>
    <col min="516" max="516" width="3.25" style="516" customWidth="1"/>
    <col min="517" max="517" width="7.125" style="516" customWidth="1"/>
    <col min="518" max="518" width="83.625" style="516" customWidth="1"/>
    <col min="519" max="519" width="27.125" style="516" customWidth="1"/>
    <col min="520" max="521" width="3.25" style="516" customWidth="1"/>
    <col min="522" max="522" width="4.875" style="516" customWidth="1"/>
    <col min="523" max="523" width="2.5" style="516" customWidth="1"/>
    <col min="524" max="771" width="9" style="516"/>
    <col min="772" max="772" width="3.25" style="516" customWidth="1"/>
    <col min="773" max="773" width="7.125" style="516" customWidth="1"/>
    <col min="774" max="774" width="83.625" style="516" customWidth="1"/>
    <col min="775" max="775" width="27.125" style="516" customWidth="1"/>
    <col min="776" max="777" width="3.25" style="516" customWidth="1"/>
    <col min="778" max="778" width="4.875" style="516" customWidth="1"/>
    <col min="779" max="779" width="2.5" style="516" customWidth="1"/>
    <col min="780" max="1027" width="9" style="516"/>
    <col min="1028" max="1028" width="3.25" style="516" customWidth="1"/>
    <col min="1029" max="1029" width="7.125" style="516" customWidth="1"/>
    <col min="1030" max="1030" width="83.625" style="516" customWidth="1"/>
    <col min="1031" max="1031" width="27.125" style="516" customWidth="1"/>
    <col min="1032" max="1033" width="3.25" style="516" customWidth="1"/>
    <col min="1034" max="1034" width="4.875" style="516" customWidth="1"/>
    <col min="1035" max="1035" width="2.5" style="516" customWidth="1"/>
    <col min="1036" max="1283" width="9" style="516"/>
    <col min="1284" max="1284" width="3.25" style="516" customWidth="1"/>
    <col min="1285" max="1285" width="7.125" style="516" customWidth="1"/>
    <col min="1286" max="1286" width="83.625" style="516" customWidth="1"/>
    <col min="1287" max="1287" width="27.125" style="516" customWidth="1"/>
    <col min="1288" max="1289" width="3.25" style="516" customWidth="1"/>
    <col min="1290" max="1290" width="4.875" style="516" customWidth="1"/>
    <col min="1291" max="1291" width="2.5" style="516" customWidth="1"/>
    <col min="1292" max="1539" width="9" style="516"/>
    <col min="1540" max="1540" width="3.25" style="516" customWidth="1"/>
    <col min="1541" max="1541" width="7.125" style="516" customWidth="1"/>
    <col min="1542" max="1542" width="83.625" style="516" customWidth="1"/>
    <col min="1543" max="1543" width="27.125" style="516" customWidth="1"/>
    <col min="1544" max="1545" width="3.25" style="516" customWidth="1"/>
    <col min="1546" max="1546" width="4.875" style="516" customWidth="1"/>
    <col min="1547" max="1547" width="2.5" style="516" customWidth="1"/>
    <col min="1548" max="1795" width="9" style="516"/>
    <col min="1796" max="1796" width="3.25" style="516" customWidth="1"/>
    <col min="1797" max="1797" width="7.125" style="516" customWidth="1"/>
    <col min="1798" max="1798" width="83.625" style="516" customWidth="1"/>
    <col min="1799" max="1799" width="27.125" style="516" customWidth="1"/>
    <col min="1800" max="1801" width="3.25" style="516" customWidth="1"/>
    <col min="1802" max="1802" width="4.875" style="516" customWidth="1"/>
    <col min="1803" max="1803" width="2.5" style="516" customWidth="1"/>
    <col min="1804" max="2051" width="9" style="516"/>
    <col min="2052" max="2052" width="3.25" style="516" customWidth="1"/>
    <col min="2053" max="2053" width="7.125" style="516" customWidth="1"/>
    <col min="2054" max="2054" width="83.625" style="516" customWidth="1"/>
    <col min="2055" max="2055" width="27.125" style="516" customWidth="1"/>
    <col min="2056" max="2057" width="3.25" style="516" customWidth="1"/>
    <col min="2058" max="2058" width="4.875" style="516" customWidth="1"/>
    <col min="2059" max="2059" width="2.5" style="516" customWidth="1"/>
    <col min="2060" max="2307" width="9" style="516"/>
    <col min="2308" max="2308" width="3.25" style="516" customWidth="1"/>
    <col min="2309" max="2309" width="7.125" style="516" customWidth="1"/>
    <col min="2310" max="2310" width="83.625" style="516" customWidth="1"/>
    <col min="2311" max="2311" width="27.125" style="516" customWidth="1"/>
    <col min="2312" max="2313" width="3.25" style="516" customWidth="1"/>
    <col min="2314" max="2314" width="4.875" style="516" customWidth="1"/>
    <col min="2315" max="2315" width="2.5" style="516" customWidth="1"/>
    <col min="2316" max="2563" width="9" style="516"/>
    <col min="2564" max="2564" width="3.25" style="516" customWidth="1"/>
    <col min="2565" max="2565" width="7.125" style="516" customWidth="1"/>
    <col min="2566" max="2566" width="83.625" style="516" customWidth="1"/>
    <col min="2567" max="2567" width="27.125" style="516" customWidth="1"/>
    <col min="2568" max="2569" width="3.25" style="516" customWidth="1"/>
    <col min="2570" max="2570" width="4.875" style="516" customWidth="1"/>
    <col min="2571" max="2571" width="2.5" style="516" customWidth="1"/>
    <col min="2572" max="2819" width="9" style="516"/>
    <col min="2820" max="2820" width="3.25" style="516" customWidth="1"/>
    <col min="2821" max="2821" width="7.125" style="516" customWidth="1"/>
    <col min="2822" max="2822" width="83.625" style="516" customWidth="1"/>
    <col min="2823" max="2823" width="27.125" style="516" customWidth="1"/>
    <col min="2824" max="2825" width="3.25" style="516" customWidth="1"/>
    <col min="2826" max="2826" width="4.875" style="516" customWidth="1"/>
    <col min="2827" max="2827" width="2.5" style="516" customWidth="1"/>
    <col min="2828" max="3075" width="9" style="516"/>
    <col min="3076" max="3076" width="3.25" style="516" customWidth="1"/>
    <col min="3077" max="3077" width="7.125" style="516" customWidth="1"/>
    <col min="3078" max="3078" width="83.625" style="516" customWidth="1"/>
    <col min="3079" max="3079" width="27.125" style="516" customWidth="1"/>
    <col min="3080" max="3081" width="3.25" style="516" customWidth="1"/>
    <col min="3082" max="3082" width="4.875" style="516" customWidth="1"/>
    <col min="3083" max="3083" width="2.5" style="516" customWidth="1"/>
    <col min="3084" max="3331" width="9" style="516"/>
    <col min="3332" max="3332" width="3.25" style="516" customWidth="1"/>
    <col min="3333" max="3333" width="7.125" style="516" customWidth="1"/>
    <col min="3334" max="3334" width="83.625" style="516" customWidth="1"/>
    <col min="3335" max="3335" width="27.125" style="516" customWidth="1"/>
    <col min="3336" max="3337" width="3.25" style="516" customWidth="1"/>
    <col min="3338" max="3338" width="4.875" style="516" customWidth="1"/>
    <col min="3339" max="3339" width="2.5" style="516" customWidth="1"/>
    <col min="3340" max="3587" width="9" style="516"/>
    <col min="3588" max="3588" width="3.25" style="516" customWidth="1"/>
    <col min="3589" max="3589" width="7.125" style="516" customWidth="1"/>
    <col min="3590" max="3590" width="83.625" style="516" customWidth="1"/>
    <col min="3591" max="3591" width="27.125" style="516" customWidth="1"/>
    <col min="3592" max="3593" width="3.25" style="516" customWidth="1"/>
    <col min="3594" max="3594" width="4.875" style="516" customWidth="1"/>
    <col min="3595" max="3595" width="2.5" style="516" customWidth="1"/>
    <col min="3596" max="3843" width="9" style="516"/>
    <col min="3844" max="3844" width="3.25" style="516" customWidth="1"/>
    <col min="3845" max="3845" width="7.125" style="516" customWidth="1"/>
    <col min="3846" max="3846" width="83.625" style="516" customWidth="1"/>
    <col min="3847" max="3847" width="27.125" style="516" customWidth="1"/>
    <col min="3848" max="3849" width="3.25" style="516" customWidth="1"/>
    <col min="3850" max="3850" width="4.875" style="516" customWidth="1"/>
    <col min="3851" max="3851" width="2.5" style="516" customWidth="1"/>
    <col min="3852" max="4099" width="9" style="516"/>
    <col min="4100" max="4100" width="3.25" style="516" customWidth="1"/>
    <col min="4101" max="4101" width="7.125" style="516" customWidth="1"/>
    <col min="4102" max="4102" width="83.625" style="516" customWidth="1"/>
    <col min="4103" max="4103" width="27.125" style="516" customWidth="1"/>
    <col min="4104" max="4105" width="3.25" style="516" customWidth="1"/>
    <col min="4106" max="4106" width="4.875" style="516" customWidth="1"/>
    <col min="4107" max="4107" width="2.5" style="516" customWidth="1"/>
    <col min="4108" max="4355" width="9" style="516"/>
    <col min="4356" max="4356" width="3.25" style="516" customWidth="1"/>
    <col min="4357" max="4357" width="7.125" style="516" customWidth="1"/>
    <col min="4358" max="4358" width="83.625" style="516" customWidth="1"/>
    <col min="4359" max="4359" width="27.125" style="516" customWidth="1"/>
    <col min="4360" max="4361" width="3.25" style="516" customWidth="1"/>
    <col min="4362" max="4362" width="4.875" style="516" customWidth="1"/>
    <col min="4363" max="4363" width="2.5" style="516" customWidth="1"/>
    <col min="4364" max="4611" width="9" style="516"/>
    <col min="4612" max="4612" width="3.25" style="516" customWidth="1"/>
    <col min="4613" max="4613" width="7.125" style="516" customWidth="1"/>
    <col min="4614" max="4614" width="83.625" style="516" customWidth="1"/>
    <col min="4615" max="4615" width="27.125" style="516" customWidth="1"/>
    <col min="4616" max="4617" width="3.25" style="516" customWidth="1"/>
    <col min="4618" max="4618" width="4.875" style="516" customWidth="1"/>
    <col min="4619" max="4619" width="2.5" style="516" customWidth="1"/>
    <col min="4620" max="4867" width="9" style="516"/>
    <col min="4868" max="4868" width="3.25" style="516" customWidth="1"/>
    <col min="4869" max="4869" width="7.125" style="516" customWidth="1"/>
    <col min="4870" max="4870" width="83.625" style="516" customWidth="1"/>
    <col min="4871" max="4871" width="27.125" style="516" customWidth="1"/>
    <col min="4872" max="4873" width="3.25" style="516" customWidth="1"/>
    <col min="4874" max="4874" width="4.875" style="516" customWidth="1"/>
    <col min="4875" max="4875" width="2.5" style="516" customWidth="1"/>
    <col min="4876" max="5123" width="9" style="516"/>
    <col min="5124" max="5124" width="3.25" style="516" customWidth="1"/>
    <col min="5125" max="5125" width="7.125" style="516" customWidth="1"/>
    <col min="5126" max="5126" width="83.625" style="516" customWidth="1"/>
    <col min="5127" max="5127" width="27.125" style="516" customWidth="1"/>
    <col min="5128" max="5129" width="3.25" style="516" customWidth="1"/>
    <col min="5130" max="5130" width="4.875" style="516" customWidth="1"/>
    <col min="5131" max="5131" width="2.5" style="516" customWidth="1"/>
    <col min="5132" max="5379" width="9" style="516"/>
    <col min="5380" max="5380" width="3.25" style="516" customWidth="1"/>
    <col min="5381" max="5381" width="7.125" style="516" customWidth="1"/>
    <col min="5382" max="5382" width="83.625" style="516" customWidth="1"/>
    <col min="5383" max="5383" width="27.125" style="516" customWidth="1"/>
    <col min="5384" max="5385" width="3.25" style="516" customWidth="1"/>
    <col min="5386" max="5386" width="4.875" style="516" customWidth="1"/>
    <col min="5387" max="5387" width="2.5" style="516" customWidth="1"/>
    <col min="5388" max="5635" width="9" style="516"/>
    <col min="5636" max="5636" width="3.25" style="516" customWidth="1"/>
    <col min="5637" max="5637" width="7.125" style="516" customWidth="1"/>
    <col min="5638" max="5638" width="83.625" style="516" customWidth="1"/>
    <col min="5639" max="5639" width="27.125" style="516" customWidth="1"/>
    <col min="5640" max="5641" width="3.25" style="516" customWidth="1"/>
    <col min="5642" max="5642" width="4.875" style="516" customWidth="1"/>
    <col min="5643" max="5643" width="2.5" style="516" customWidth="1"/>
    <col min="5644" max="5891" width="9" style="516"/>
    <col min="5892" max="5892" width="3.25" style="516" customWidth="1"/>
    <col min="5893" max="5893" width="7.125" style="516" customWidth="1"/>
    <col min="5894" max="5894" width="83.625" style="516" customWidth="1"/>
    <col min="5895" max="5895" width="27.125" style="516" customWidth="1"/>
    <col min="5896" max="5897" width="3.25" style="516" customWidth="1"/>
    <col min="5898" max="5898" width="4.875" style="516" customWidth="1"/>
    <col min="5899" max="5899" width="2.5" style="516" customWidth="1"/>
    <col min="5900" max="6147" width="9" style="516"/>
    <col min="6148" max="6148" width="3.25" style="516" customWidth="1"/>
    <col min="6149" max="6149" width="7.125" style="516" customWidth="1"/>
    <col min="6150" max="6150" width="83.625" style="516" customWidth="1"/>
    <col min="6151" max="6151" width="27.125" style="516" customWidth="1"/>
    <col min="6152" max="6153" width="3.25" style="516" customWidth="1"/>
    <col min="6154" max="6154" width="4.875" style="516" customWidth="1"/>
    <col min="6155" max="6155" width="2.5" style="516" customWidth="1"/>
    <col min="6156" max="6403" width="9" style="516"/>
    <col min="6404" max="6404" width="3.25" style="516" customWidth="1"/>
    <col min="6405" max="6405" width="7.125" style="516" customWidth="1"/>
    <col min="6406" max="6406" width="83.625" style="516" customWidth="1"/>
    <col min="6407" max="6407" width="27.125" style="516" customWidth="1"/>
    <col min="6408" max="6409" width="3.25" style="516" customWidth="1"/>
    <col min="6410" max="6410" width="4.875" style="516" customWidth="1"/>
    <col min="6411" max="6411" width="2.5" style="516" customWidth="1"/>
    <col min="6412" max="6659" width="9" style="516"/>
    <col min="6660" max="6660" width="3.25" style="516" customWidth="1"/>
    <col min="6661" max="6661" width="7.125" style="516" customWidth="1"/>
    <col min="6662" max="6662" width="83.625" style="516" customWidth="1"/>
    <col min="6663" max="6663" width="27.125" style="516" customWidth="1"/>
    <col min="6664" max="6665" width="3.25" style="516" customWidth="1"/>
    <col min="6666" max="6666" width="4.875" style="516" customWidth="1"/>
    <col min="6667" max="6667" width="2.5" style="516" customWidth="1"/>
    <col min="6668" max="6915" width="9" style="516"/>
    <col min="6916" max="6916" width="3.25" style="516" customWidth="1"/>
    <col min="6917" max="6917" width="7.125" style="516" customWidth="1"/>
    <col min="6918" max="6918" width="83.625" style="516" customWidth="1"/>
    <col min="6919" max="6919" width="27.125" style="516" customWidth="1"/>
    <col min="6920" max="6921" width="3.25" style="516" customWidth="1"/>
    <col min="6922" max="6922" width="4.875" style="516" customWidth="1"/>
    <col min="6923" max="6923" width="2.5" style="516" customWidth="1"/>
    <col min="6924" max="7171" width="9" style="516"/>
    <col min="7172" max="7172" width="3.25" style="516" customWidth="1"/>
    <col min="7173" max="7173" width="7.125" style="516" customWidth="1"/>
    <col min="7174" max="7174" width="83.625" style="516" customWidth="1"/>
    <col min="7175" max="7175" width="27.125" style="516" customWidth="1"/>
    <col min="7176" max="7177" width="3.25" style="516" customWidth="1"/>
    <col min="7178" max="7178" width="4.875" style="516" customWidth="1"/>
    <col min="7179" max="7179" width="2.5" style="516" customWidth="1"/>
    <col min="7180" max="7427" width="9" style="516"/>
    <col min="7428" max="7428" width="3.25" style="516" customWidth="1"/>
    <col min="7429" max="7429" width="7.125" style="516" customWidth="1"/>
    <col min="7430" max="7430" width="83.625" style="516" customWidth="1"/>
    <col min="7431" max="7431" width="27.125" style="516" customWidth="1"/>
    <col min="7432" max="7433" width="3.25" style="516" customWidth="1"/>
    <col min="7434" max="7434" width="4.875" style="516" customWidth="1"/>
    <col min="7435" max="7435" width="2.5" style="516" customWidth="1"/>
    <col min="7436" max="7683" width="9" style="516"/>
    <col min="7684" max="7684" width="3.25" style="516" customWidth="1"/>
    <col min="7685" max="7685" width="7.125" style="516" customWidth="1"/>
    <col min="7686" max="7686" width="83.625" style="516" customWidth="1"/>
    <col min="7687" max="7687" width="27.125" style="516" customWidth="1"/>
    <col min="7688" max="7689" width="3.25" style="516" customWidth="1"/>
    <col min="7690" max="7690" width="4.875" style="516" customWidth="1"/>
    <col min="7691" max="7691" width="2.5" style="516" customWidth="1"/>
    <col min="7692" max="7939" width="9" style="516"/>
    <col min="7940" max="7940" width="3.25" style="516" customWidth="1"/>
    <col min="7941" max="7941" width="7.125" style="516" customWidth="1"/>
    <col min="7942" max="7942" width="83.625" style="516" customWidth="1"/>
    <col min="7943" max="7943" width="27.125" style="516" customWidth="1"/>
    <col min="7944" max="7945" width="3.25" style="516" customWidth="1"/>
    <col min="7946" max="7946" width="4.875" style="516" customWidth="1"/>
    <col min="7947" max="7947" width="2.5" style="516" customWidth="1"/>
    <col min="7948" max="8195" width="9" style="516"/>
    <col min="8196" max="8196" width="3.25" style="516" customWidth="1"/>
    <col min="8197" max="8197" width="7.125" style="516" customWidth="1"/>
    <col min="8198" max="8198" width="83.625" style="516" customWidth="1"/>
    <col min="8199" max="8199" width="27.125" style="516" customWidth="1"/>
    <col min="8200" max="8201" width="3.25" style="516" customWidth="1"/>
    <col min="8202" max="8202" width="4.875" style="516" customWidth="1"/>
    <col min="8203" max="8203" width="2.5" style="516" customWidth="1"/>
    <col min="8204" max="8451" width="9" style="516"/>
    <col min="8452" max="8452" width="3.25" style="516" customWidth="1"/>
    <col min="8453" max="8453" width="7.125" style="516" customWidth="1"/>
    <col min="8454" max="8454" width="83.625" style="516" customWidth="1"/>
    <col min="8455" max="8455" width="27.125" style="516" customWidth="1"/>
    <col min="8456" max="8457" width="3.25" style="516" customWidth="1"/>
    <col min="8458" max="8458" width="4.875" style="516" customWidth="1"/>
    <col min="8459" max="8459" width="2.5" style="516" customWidth="1"/>
    <col min="8460" max="8707" width="9" style="516"/>
    <col min="8708" max="8708" width="3.25" style="516" customWidth="1"/>
    <col min="8709" max="8709" width="7.125" style="516" customWidth="1"/>
    <col min="8710" max="8710" width="83.625" style="516" customWidth="1"/>
    <col min="8711" max="8711" width="27.125" style="516" customWidth="1"/>
    <col min="8712" max="8713" width="3.25" style="516" customWidth="1"/>
    <col min="8714" max="8714" width="4.875" style="516" customWidth="1"/>
    <col min="8715" max="8715" width="2.5" style="516" customWidth="1"/>
    <col min="8716" max="8963" width="9" style="516"/>
    <col min="8964" max="8964" width="3.25" style="516" customWidth="1"/>
    <col min="8965" max="8965" width="7.125" style="516" customWidth="1"/>
    <col min="8966" max="8966" width="83.625" style="516" customWidth="1"/>
    <col min="8967" max="8967" width="27.125" style="516" customWidth="1"/>
    <col min="8968" max="8969" width="3.25" style="516" customWidth="1"/>
    <col min="8970" max="8970" width="4.875" style="516" customWidth="1"/>
    <col min="8971" max="8971" width="2.5" style="516" customWidth="1"/>
    <col min="8972" max="9219" width="9" style="516"/>
    <col min="9220" max="9220" width="3.25" style="516" customWidth="1"/>
    <col min="9221" max="9221" width="7.125" style="516" customWidth="1"/>
    <col min="9222" max="9222" width="83.625" style="516" customWidth="1"/>
    <col min="9223" max="9223" width="27.125" style="516" customWidth="1"/>
    <col min="9224" max="9225" width="3.25" style="516" customWidth="1"/>
    <col min="9226" max="9226" width="4.875" style="516" customWidth="1"/>
    <col min="9227" max="9227" width="2.5" style="516" customWidth="1"/>
    <col min="9228" max="9475" width="9" style="516"/>
    <col min="9476" max="9476" width="3.25" style="516" customWidth="1"/>
    <col min="9477" max="9477" width="7.125" style="516" customWidth="1"/>
    <col min="9478" max="9478" width="83.625" style="516" customWidth="1"/>
    <col min="9479" max="9479" width="27.125" style="516" customWidth="1"/>
    <col min="9480" max="9481" width="3.25" style="516" customWidth="1"/>
    <col min="9482" max="9482" width="4.875" style="516" customWidth="1"/>
    <col min="9483" max="9483" width="2.5" style="516" customWidth="1"/>
    <col min="9484" max="9731" width="9" style="516"/>
    <col min="9732" max="9732" width="3.25" style="516" customWidth="1"/>
    <col min="9733" max="9733" width="7.125" style="516" customWidth="1"/>
    <col min="9734" max="9734" width="83.625" style="516" customWidth="1"/>
    <col min="9735" max="9735" width="27.125" style="516" customWidth="1"/>
    <col min="9736" max="9737" width="3.25" style="516" customWidth="1"/>
    <col min="9738" max="9738" width="4.875" style="516" customWidth="1"/>
    <col min="9739" max="9739" width="2.5" style="516" customWidth="1"/>
    <col min="9740" max="9987" width="9" style="516"/>
    <col min="9988" max="9988" width="3.25" style="516" customWidth="1"/>
    <col min="9989" max="9989" width="7.125" style="516" customWidth="1"/>
    <col min="9990" max="9990" width="83.625" style="516" customWidth="1"/>
    <col min="9991" max="9991" width="27.125" style="516" customWidth="1"/>
    <col min="9992" max="9993" width="3.25" style="516" customWidth="1"/>
    <col min="9994" max="9994" width="4.875" style="516" customWidth="1"/>
    <col min="9995" max="9995" width="2.5" style="516" customWidth="1"/>
    <col min="9996" max="10243" width="9" style="516"/>
    <col min="10244" max="10244" width="3.25" style="516" customWidth="1"/>
    <col min="10245" max="10245" width="7.125" style="516" customWidth="1"/>
    <col min="10246" max="10246" width="83.625" style="516" customWidth="1"/>
    <col min="10247" max="10247" width="27.125" style="516" customWidth="1"/>
    <col min="10248" max="10249" width="3.25" style="516" customWidth="1"/>
    <col min="10250" max="10250" width="4.875" style="516" customWidth="1"/>
    <col min="10251" max="10251" width="2.5" style="516" customWidth="1"/>
    <col min="10252" max="10499" width="9" style="516"/>
    <col min="10500" max="10500" width="3.25" style="516" customWidth="1"/>
    <col min="10501" max="10501" width="7.125" style="516" customWidth="1"/>
    <col min="10502" max="10502" width="83.625" style="516" customWidth="1"/>
    <col min="10503" max="10503" width="27.125" style="516" customWidth="1"/>
    <col min="10504" max="10505" width="3.25" style="516" customWidth="1"/>
    <col min="10506" max="10506" width="4.875" style="516" customWidth="1"/>
    <col min="10507" max="10507" width="2.5" style="516" customWidth="1"/>
    <col min="10508" max="10755" width="9" style="516"/>
    <col min="10756" max="10756" width="3.25" style="516" customWidth="1"/>
    <col min="10757" max="10757" width="7.125" style="516" customWidth="1"/>
    <col min="10758" max="10758" width="83.625" style="516" customWidth="1"/>
    <col min="10759" max="10759" width="27.125" style="516" customWidth="1"/>
    <col min="10760" max="10761" width="3.25" style="516" customWidth="1"/>
    <col min="10762" max="10762" width="4.875" style="516" customWidth="1"/>
    <col min="10763" max="10763" width="2.5" style="516" customWidth="1"/>
    <col min="10764" max="11011" width="9" style="516"/>
    <col min="11012" max="11012" width="3.25" style="516" customWidth="1"/>
    <col min="11013" max="11013" width="7.125" style="516" customWidth="1"/>
    <col min="11014" max="11014" width="83.625" style="516" customWidth="1"/>
    <col min="11015" max="11015" width="27.125" style="516" customWidth="1"/>
    <col min="11016" max="11017" width="3.25" style="516" customWidth="1"/>
    <col min="11018" max="11018" width="4.875" style="516" customWidth="1"/>
    <col min="11019" max="11019" width="2.5" style="516" customWidth="1"/>
    <col min="11020" max="11267" width="9" style="516"/>
    <col min="11268" max="11268" width="3.25" style="516" customWidth="1"/>
    <col min="11269" max="11269" width="7.125" style="516" customWidth="1"/>
    <col min="11270" max="11270" width="83.625" style="516" customWidth="1"/>
    <col min="11271" max="11271" width="27.125" style="516" customWidth="1"/>
    <col min="11272" max="11273" width="3.25" style="516" customWidth="1"/>
    <col min="11274" max="11274" width="4.875" style="516" customWidth="1"/>
    <col min="11275" max="11275" width="2.5" style="516" customWidth="1"/>
    <col min="11276" max="11523" width="9" style="516"/>
    <col min="11524" max="11524" width="3.25" style="516" customWidth="1"/>
    <col min="11525" max="11525" width="7.125" style="516" customWidth="1"/>
    <col min="11526" max="11526" width="83.625" style="516" customWidth="1"/>
    <col min="11527" max="11527" width="27.125" style="516" customWidth="1"/>
    <col min="11528" max="11529" width="3.25" style="516" customWidth="1"/>
    <col min="11530" max="11530" width="4.875" style="516" customWidth="1"/>
    <col min="11531" max="11531" width="2.5" style="516" customWidth="1"/>
    <col min="11532" max="11779" width="9" style="516"/>
    <col min="11780" max="11780" width="3.25" style="516" customWidth="1"/>
    <col min="11781" max="11781" width="7.125" style="516" customWidth="1"/>
    <col min="11782" max="11782" width="83.625" style="516" customWidth="1"/>
    <col min="11783" max="11783" width="27.125" style="516" customWidth="1"/>
    <col min="11784" max="11785" width="3.25" style="516" customWidth="1"/>
    <col min="11786" max="11786" width="4.875" style="516" customWidth="1"/>
    <col min="11787" max="11787" width="2.5" style="516" customWidth="1"/>
    <col min="11788" max="12035" width="9" style="516"/>
    <col min="12036" max="12036" width="3.25" style="516" customWidth="1"/>
    <col min="12037" max="12037" width="7.125" style="516" customWidth="1"/>
    <col min="12038" max="12038" width="83.625" style="516" customWidth="1"/>
    <col min="12039" max="12039" width="27.125" style="516" customWidth="1"/>
    <col min="12040" max="12041" width="3.25" style="516" customWidth="1"/>
    <col min="12042" max="12042" width="4.875" style="516" customWidth="1"/>
    <col min="12043" max="12043" width="2.5" style="516" customWidth="1"/>
    <col min="12044" max="12291" width="9" style="516"/>
    <col min="12292" max="12292" width="3.25" style="516" customWidth="1"/>
    <col min="12293" max="12293" width="7.125" style="516" customWidth="1"/>
    <col min="12294" max="12294" width="83.625" style="516" customWidth="1"/>
    <col min="12295" max="12295" width="27.125" style="516" customWidth="1"/>
    <col min="12296" max="12297" width="3.25" style="516" customWidth="1"/>
    <col min="12298" max="12298" width="4.875" style="516" customWidth="1"/>
    <col min="12299" max="12299" width="2.5" style="516" customWidth="1"/>
    <col min="12300" max="12547" width="9" style="516"/>
    <col min="12548" max="12548" width="3.25" style="516" customWidth="1"/>
    <col min="12549" max="12549" width="7.125" style="516" customWidth="1"/>
    <col min="12550" max="12550" width="83.625" style="516" customWidth="1"/>
    <col min="12551" max="12551" width="27.125" style="516" customWidth="1"/>
    <col min="12552" max="12553" width="3.25" style="516" customWidth="1"/>
    <col min="12554" max="12554" width="4.875" style="516" customWidth="1"/>
    <col min="12555" max="12555" width="2.5" style="516" customWidth="1"/>
    <col min="12556" max="12803" width="9" style="516"/>
    <col min="12804" max="12804" width="3.25" style="516" customWidth="1"/>
    <col min="12805" max="12805" width="7.125" style="516" customWidth="1"/>
    <col min="12806" max="12806" width="83.625" style="516" customWidth="1"/>
    <col min="12807" max="12807" width="27.125" style="516" customWidth="1"/>
    <col min="12808" max="12809" width="3.25" style="516" customWidth="1"/>
    <col min="12810" max="12810" width="4.875" style="516" customWidth="1"/>
    <col min="12811" max="12811" width="2.5" style="516" customWidth="1"/>
    <col min="12812" max="13059" width="9" style="516"/>
    <col min="13060" max="13060" width="3.25" style="516" customWidth="1"/>
    <col min="13061" max="13061" width="7.125" style="516" customWidth="1"/>
    <col min="13062" max="13062" width="83.625" style="516" customWidth="1"/>
    <col min="13063" max="13063" width="27.125" style="516" customWidth="1"/>
    <col min="13064" max="13065" width="3.25" style="516" customWidth="1"/>
    <col min="13066" max="13066" width="4.875" style="516" customWidth="1"/>
    <col min="13067" max="13067" width="2.5" style="516" customWidth="1"/>
    <col min="13068" max="13315" width="9" style="516"/>
    <col min="13316" max="13316" width="3.25" style="516" customWidth="1"/>
    <col min="13317" max="13317" width="7.125" style="516" customWidth="1"/>
    <col min="13318" max="13318" width="83.625" style="516" customWidth="1"/>
    <col min="13319" max="13319" width="27.125" style="516" customWidth="1"/>
    <col min="13320" max="13321" width="3.25" style="516" customWidth="1"/>
    <col min="13322" max="13322" width="4.875" style="516" customWidth="1"/>
    <col min="13323" max="13323" width="2.5" style="516" customWidth="1"/>
    <col min="13324" max="13571" width="9" style="516"/>
    <col min="13572" max="13572" width="3.25" style="516" customWidth="1"/>
    <col min="13573" max="13573" width="7.125" style="516" customWidth="1"/>
    <col min="13574" max="13574" width="83.625" style="516" customWidth="1"/>
    <col min="13575" max="13575" width="27.125" style="516" customWidth="1"/>
    <col min="13576" max="13577" width="3.25" style="516" customWidth="1"/>
    <col min="13578" max="13578" width="4.875" style="516" customWidth="1"/>
    <col min="13579" max="13579" width="2.5" style="516" customWidth="1"/>
    <col min="13580" max="13827" width="9" style="516"/>
    <col min="13828" max="13828" width="3.25" style="516" customWidth="1"/>
    <col min="13829" max="13829" width="7.125" style="516" customWidth="1"/>
    <col min="13830" max="13830" width="83.625" style="516" customWidth="1"/>
    <col min="13831" max="13831" width="27.125" style="516" customWidth="1"/>
    <col min="13832" max="13833" width="3.25" style="516" customWidth="1"/>
    <col min="13834" max="13834" width="4.875" style="516" customWidth="1"/>
    <col min="13835" max="13835" width="2.5" style="516" customWidth="1"/>
    <col min="13836" max="14083" width="9" style="516"/>
    <col min="14084" max="14084" width="3.25" style="516" customWidth="1"/>
    <col min="14085" max="14085" width="7.125" style="516" customWidth="1"/>
    <col min="14086" max="14086" width="83.625" style="516" customWidth="1"/>
    <col min="14087" max="14087" width="27.125" style="516" customWidth="1"/>
    <col min="14088" max="14089" width="3.25" style="516" customWidth="1"/>
    <col min="14090" max="14090" width="4.875" style="516" customWidth="1"/>
    <col min="14091" max="14091" width="2.5" style="516" customWidth="1"/>
    <col min="14092" max="14339" width="9" style="516"/>
    <col min="14340" max="14340" width="3.25" style="516" customWidth="1"/>
    <col min="14341" max="14341" width="7.125" style="516" customWidth="1"/>
    <col min="14342" max="14342" width="83.625" style="516" customWidth="1"/>
    <col min="14343" max="14343" width="27.125" style="516" customWidth="1"/>
    <col min="14344" max="14345" width="3.25" style="516" customWidth="1"/>
    <col min="14346" max="14346" width="4.875" style="516" customWidth="1"/>
    <col min="14347" max="14347" width="2.5" style="516" customWidth="1"/>
    <col min="14348" max="14595" width="9" style="516"/>
    <col min="14596" max="14596" width="3.25" style="516" customWidth="1"/>
    <col min="14597" max="14597" width="7.125" style="516" customWidth="1"/>
    <col min="14598" max="14598" width="83.625" style="516" customWidth="1"/>
    <col min="14599" max="14599" width="27.125" style="516" customWidth="1"/>
    <col min="14600" max="14601" width="3.25" style="516" customWidth="1"/>
    <col min="14602" max="14602" width="4.875" style="516" customWidth="1"/>
    <col min="14603" max="14603" width="2.5" style="516" customWidth="1"/>
    <col min="14604" max="14851" width="9" style="516"/>
    <col min="14852" max="14852" width="3.25" style="516" customWidth="1"/>
    <col min="14853" max="14853" width="7.125" style="516" customWidth="1"/>
    <col min="14854" max="14854" width="83.625" style="516" customWidth="1"/>
    <col min="14855" max="14855" width="27.125" style="516" customWidth="1"/>
    <col min="14856" max="14857" width="3.25" style="516" customWidth="1"/>
    <col min="14858" max="14858" width="4.875" style="516" customWidth="1"/>
    <col min="14859" max="14859" width="2.5" style="516" customWidth="1"/>
    <col min="14860" max="15107" width="9" style="516"/>
    <col min="15108" max="15108" width="3.25" style="516" customWidth="1"/>
    <col min="15109" max="15109" width="7.125" style="516" customWidth="1"/>
    <col min="15110" max="15110" width="83.625" style="516" customWidth="1"/>
    <col min="15111" max="15111" width="27.125" style="516" customWidth="1"/>
    <col min="15112" max="15113" width="3.25" style="516" customWidth="1"/>
    <col min="15114" max="15114" width="4.875" style="516" customWidth="1"/>
    <col min="15115" max="15115" width="2.5" style="516" customWidth="1"/>
    <col min="15116" max="15363" width="9" style="516"/>
    <col min="15364" max="15364" width="3.25" style="516" customWidth="1"/>
    <col min="15365" max="15365" width="7.125" style="516" customWidth="1"/>
    <col min="15366" max="15366" width="83.625" style="516" customWidth="1"/>
    <col min="15367" max="15367" width="27.125" style="516" customWidth="1"/>
    <col min="15368" max="15369" width="3.25" style="516" customWidth="1"/>
    <col min="15370" max="15370" width="4.875" style="516" customWidth="1"/>
    <col min="15371" max="15371" width="2.5" style="516" customWidth="1"/>
    <col min="15372" max="15619" width="9" style="516"/>
    <col min="15620" max="15620" width="3.25" style="516" customWidth="1"/>
    <col min="15621" max="15621" width="7.125" style="516" customWidth="1"/>
    <col min="15622" max="15622" width="83.625" style="516" customWidth="1"/>
    <col min="15623" max="15623" width="27.125" style="516" customWidth="1"/>
    <col min="15624" max="15625" width="3.25" style="516" customWidth="1"/>
    <col min="15626" max="15626" width="4.875" style="516" customWidth="1"/>
    <col min="15627" max="15627" width="2.5" style="516" customWidth="1"/>
    <col min="15628" max="15875" width="9" style="516"/>
    <col min="15876" max="15876" width="3.25" style="516" customWidth="1"/>
    <col min="15877" max="15877" width="7.125" style="516" customWidth="1"/>
    <col min="15878" max="15878" width="83.625" style="516" customWidth="1"/>
    <col min="15879" max="15879" width="27.125" style="516" customWidth="1"/>
    <col min="15880" max="15881" width="3.25" style="516" customWidth="1"/>
    <col min="15882" max="15882" width="4.875" style="516" customWidth="1"/>
    <col min="15883" max="15883" width="2.5" style="516" customWidth="1"/>
    <col min="15884" max="16131" width="9" style="516"/>
    <col min="16132" max="16132" width="3.25" style="516" customWidth="1"/>
    <col min="16133" max="16133" width="7.125" style="516" customWidth="1"/>
    <col min="16134" max="16134" width="83.625" style="516" customWidth="1"/>
    <col min="16135" max="16135" width="27.125" style="516" customWidth="1"/>
    <col min="16136" max="16137" width="3.25" style="516" customWidth="1"/>
    <col min="16138" max="16138" width="4.875" style="516" customWidth="1"/>
    <col min="16139" max="16139" width="2.5" style="516" customWidth="1"/>
    <col min="16140" max="16384" width="9" style="516"/>
  </cols>
  <sheetData>
    <row r="1" spans="1:16" ht="24" x14ac:dyDescent="0.15">
      <c r="A1" s="515" t="s">
        <v>2073</v>
      </c>
      <c r="F1" s="2113" t="str">
        <f>HYPERLINK("#'使用方法'!F29:F37","シート一覧へ")</f>
        <v>シート一覧へ</v>
      </c>
      <c r="G1" s="2113"/>
      <c r="H1" s="2113"/>
    </row>
    <row r="2" spans="1:16" ht="66.75" customHeight="1" thickBot="1" x14ac:dyDescent="0.2">
      <c r="A2" s="2124" t="s">
        <v>2096</v>
      </c>
      <c r="B2" s="2124"/>
      <c r="C2" s="2124"/>
      <c r="D2" s="2124"/>
      <c r="E2" s="2124"/>
      <c r="F2" s="2124"/>
      <c r="G2" s="2124"/>
      <c r="H2" s="2124"/>
    </row>
    <row r="3" spans="1:16" x14ac:dyDescent="0.15">
      <c r="A3" s="517"/>
      <c r="B3" s="518"/>
      <c r="C3" s="518"/>
      <c r="D3" s="518"/>
      <c r="E3" s="518"/>
      <c r="F3" s="518"/>
      <c r="G3" s="518"/>
      <c r="H3" s="519" t="str">
        <f>N3&amp;O3</f>
        <v>Kyoto City（R7.7） ver.120</v>
      </c>
      <c r="N3" s="1192" t="s">
        <v>2808</v>
      </c>
      <c r="O3" s="1192" t="s">
        <v>3361</v>
      </c>
    </row>
    <row r="4" spans="1:16" ht="42" customHeight="1" x14ac:dyDescent="0.8">
      <c r="A4" s="520"/>
      <c r="C4" s="521" t="s">
        <v>2034</v>
      </c>
      <c r="D4" s="2125" t="s">
        <v>2035</v>
      </c>
      <c r="E4" s="2125"/>
      <c r="F4" s="2125"/>
      <c r="G4" s="2125"/>
      <c r="H4" s="2126"/>
      <c r="O4" s="2099" t="str">
        <f>'1_入力シート【基本情報】'!EA222</f>
        <v/>
      </c>
      <c r="P4" s="516" t="s">
        <v>3437</v>
      </c>
    </row>
    <row r="5" spans="1:16" ht="21.75" customHeight="1" x14ac:dyDescent="0.15">
      <c r="A5" s="522"/>
      <c r="B5" s="523"/>
      <c r="C5" s="524"/>
      <c r="D5" s="524"/>
      <c r="E5" s="524"/>
      <c r="F5" s="525" t="str">
        <f>'1_入力シート【基本情報】'!AB7&amp;'1_入力シート【基本情報】'!AK7</f>
        <v/>
      </c>
      <c r="G5" s="526"/>
      <c r="H5" s="527" t="str">
        <f>IF('1_入力シート【基本情報】'!$AT$7="","",TEXT('1_入力シート【基本情報】'!$AT$7,"0000"))</f>
        <v/>
      </c>
      <c r="I5" s="528"/>
    </row>
    <row r="6" spans="1:16" ht="19.5" customHeight="1" x14ac:dyDescent="0.15">
      <c r="A6" s="522"/>
      <c r="B6" s="529" t="s">
        <v>2036</v>
      </c>
      <c r="C6" s="524"/>
      <c r="D6" s="524"/>
      <c r="E6" s="524"/>
      <c r="F6" s="524"/>
      <c r="G6" s="524"/>
      <c r="H6" s="530"/>
      <c r="I6" s="520"/>
      <c r="J6" s="2121" t="s">
        <v>2151</v>
      </c>
      <c r="K6" s="2122"/>
      <c r="L6" s="2122"/>
      <c r="M6" s="2122"/>
      <c r="N6" s="2122"/>
      <c r="O6" s="2123"/>
    </row>
    <row r="7" spans="1:16" ht="19.5" x14ac:dyDescent="0.15">
      <c r="A7" s="522"/>
      <c r="B7" s="529" t="s">
        <v>2075</v>
      </c>
      <c r="C7" s="524"/>
      <c r="D7" s="524"/>
      <c r="E7" s="524"/>
      <c r="F7" s="524"/>
      <c r="G7" s="524"/>
      <c r="H7" s="530"/>
      <c r="K7" s="531" t="s">
        <v>2152</v>
      </c>
      <c r="L7" s="2114" t="s">
        <v>2153</v>
      </c>
      <c r="M7" s="2115"/>
      <c r="N7" s="2115"/>
      <c r="O7" s="2116"/>
    </row>
    <row r="8" spans="1:16" ht="7.5" customHeight="1" x14ac:dyDescent="0.15">
      <c r="A8" s="522"/>
      <c r="B8" s="529"/>
      <c r="C8" s="524"/>
      <c r="D8" s="524"/>
      <c r="E8" s="524"/>
      <c r="F8" s="524"/>
      <c r="G8" s="524"/>
      <c r="H8" s="530"/>
      <c r="K8" s="528"/>
      <c r="L8" s="532"/>
      <c r="M8" s="532"/>
      <c r="N8" s="532"/>
      <c r="O8" s="532"/>
    </row>
    <row r="9" spans="1:16" ht="28.5" x14ac:dyDescent="0.15">
      <c r="A9" s="522"/>
      <c r="B9" s="523"/>
      <c r="C9" s="533" t="str">
        <f>IF(O58="NG","↓未入力項目が残っています。↓","")</f>
        <v>↓未入力項目が残っています。↓</v>
      </c>
      <c r="D9" s="524"/>
      <c r="E9" s="524"/>
      <c r="F9" s="524"/>
      <c r="G9" s="524"/>
      <c r="H9" s="530"/>
      <c r="K9" s="528"/>
      <c r="L9" s="532"/>
      <c r="M9" s="532"/>
      <c r="N9" s="532"/>
      <c r="O9" s="532"/>
    </row>
    <row r="10" spans="1:16" ht="7.5" customHeight="1" x14ac:dyDescent="0.15">
      <c r="A10" s="522"/>
      <c r="B10" s="529"/>
      <c r="C10" s="524"/>
      <c r="D10" s="524"/>
      <c r="E10" s="524"/>
      <c r="F10" s="524"/>
      <c r="G10" s="524"/>
      <c r="H10" s="530"/>
      <c r="K10" s="528"/>
      <c r="L10" s="532"/>
      <c r="M10" s="532"/>
      <c r="N10" s="532"/>
      <c r="O10" s="532"/>
    </row>
    <row r="11" spans="1:16" ht="6" customHeight="1" thickBot="1" x14ac:dyDescent="0.2">
      <c r="A11" s="534"/>
      <c r="B11" s="535"/>
      <c r="C11" s="535"/>
      <c r="D11" s="535"/>
      <c r="E11" s="535"/>
      <c r="F11" s="535"/>
      <c r="G11" s="535"/>
      <c r="H11" s="536"/>
    </row>
    <row r="12" spans="1:16" ht="24.95" customHeight="1" x14ac:dyDescent="0.15">
      <c r="A12" s="2127" t="s">
        <v>2037</v>
      </c>
      <c r="B12" s="2128"/>
      <c r="C12" s="2128"/>
      <c r="D12" s="2128"/>
      <c r="E12" s="2128"/>
      <c r="F12" s="2128"/>
      <c r="G12" s="2128"/>
      <c r="H12" s="2129"/>
      <c r="K12" s="516" t="s">
        <v>2149</v>
      </c>
      <c r="L12" s="516" t="s">
        <v>2150</v>
      </c>
      <c r="M12" s="516" t="s">
        <v>2038</v>
      </c>
      <c r="N12" s="516" t="s">
        <v>2039</v>
      </c>
      <c r="O12" s="516" t="s">
        <v>2040</v>
      </c>
    </row>
    <row r="13" spans="1:16" ht="27" customHeight="1" x14ac:dyDescent="0.15">
      <c r="A13" s="537"/>
      <c r="B13" s="538" t="s">
        <v>2041</v>
      </c>
      <c r="C13" s="538"/>
      <c r="D13" s="539"/>
      <c r="E13" s="539"/>
      <c r="F13" s="539"/>
      <c r="G13" s="539"/>
      <c r="H13" s="540"/>
      <c r="I13" s="1121"/>
      <c r="K13" s="541"/>
      <c r="L13" s="541"/>
      <c r="M13" s="541"/>
      <c r="N13" s="541"/>
      <c r="O13" s="541"/>
    </row>
    <row r="14" spans="1:16" ht="24.75" customHeight="1" x14ac:dyDescent="0.15">
      <c r="A14" s="537"/>
      <c r="B14" s="542" t="s">
        <v>2042</v>
      </c>
      <c r="C14" s="543"/>
      <c r="D14" s="543"/>
      <c r="E14" s="543"/>
      <c r="F14" s="543"/>
      <c r="G14" s="543"/>
      <c r="H14" s="544"/>
      <c r="I14" s="1121"/>
      <c r="M14" s="541"/>
      <c r="N14" s="541"/>
      <c r="O14" s="541"/>
    </row>
    <row r="15" spans="1:16" ht="22.5" customHeight="1" x14ac:dyDescent="0.15">
      <c r="A15" s="545"/>
      <c r="B15" s="546" t="s">
        <v>2043</v>
      </c>
      <c r="C15" s="546"/>
      <c r="D15" s="547"/>
      <c r="E15" s="547"/>
      <c r="F15" s="547"/>
      <c r="G15" s="547"/>
      <c r="H15" s="548"/>
      <c r="I15" s="1121"/>
      <c r="M15" s="541"/>
      <c r="N15" s="541"/>
      <c r="O15" s="541"/>
    </row>
    <row r="16" spans="1:16" ht="7.5" customHeight="1" x14ac:dyDescent="0.15">
      <c r="A16" s="549"/>
      <c r="B16" s="550"/>
      <c r="C16" s="550"/>
      <c r="D16" s="550"/>
      <c r="E16" s="550"/>
      <c r="F16" s="550"/>
      <c r="G16" s="550"/>
      <c r="H16" s="551"/>
      <c r="I16" s="1119"/>
      <c r="K16" s="541"/>
      <c r="L16" s="541"/>
      <c r="M16" s="541"/>
      <c r="N16" s="541"/>
      <c r="O16" s="541"/>
    </row>
    <row r="17" spans="1:15" ht="24.75" customHeight="1" x14ac:dyDescent="0.15">
      <c r="A17" s="549"/>
      <c r="B17" s="553"/>
      <c r="C17" s="554" t="s">
        <v>2044</v>
      </c>
      <c r="D17" s="555"/>
      <c r="E17" s="555"/>
      <c r="F17" s="555"/>
      <c r="G17" s="555"/>
      <c r="H17" s="551"/>
      <c r="I17" s="1121"/>
      <c r="K17" s="556" t="b">
        <v>0</v>
      </c>
      <c r="L17" s="557"/>
      <c r="M17" s="558" t="b">
        <v>1</v>
      </c>
      <c r="N17" s="558" t="b">
        <f>K17=TRUE</f>
        <v>0</v>
      </c>
      <c r="O17" s="558" t="str">
        <f>IF(M17=FALSE,"OK",IF(N17=TRUE,"OK","NG"))</f>
        <v>NG</v>
      </c>
    </row>
    <row r="18" spans="1:15" ht="24.75" customHeight="1" x14ac:dyDescent="0.15">
      <c r="A18" s="549"/>
      <c r="B18" s="553"/>
      <c r="C18" s="554" t="s">
        <v>2045</v>
      </c>
      <c r="D18" s="555"/>
      <c r="E18" s="555"/>
      <c r="F18" s="555"/>
      <c r="G18" s="555"/>
      <c r="H18" s="551"/>
      <c r="I18" s="1121"/>
      <c r="K18" s="556" t="b">
        <v>0</v>
      </c>
      <c r="L18" s="557"/>
      <c r="M18" s="558" t="b">
        <v>1</v>
      </c>
      <c r="N18" s="558" t="b">
        <f t="shared" ref="N18" si="0">K18=TRUE</f>
        <v>0</v>
      </c>
      <c r="O18" s="558" t="str">
        <f t="shared" ref="O18:O55" si="1">IF(M18=FALSE,"OK",IF(N18=TRUE,"OK","NG"))</f>
        <v>NG</v>
      </c>
    </row>
    <row r="19" spans="1:15" ht="19.5" x14ac:dyDescent="0.15">
      <c r="A19" s="559"/>
      <c r="B19" s="553"/>
      <c r="C19" s="2130" t="s">
        <v>2395</v>
      </c>
      <c r="D19" s="2131"/>
      <c r="E19" s="560"/>
      <c r="F19" s="561" t="s">
        <v>2046</v>
      </c>
      <c r="G19" s="562"/>
      <c r="H19" s="563" t="s">
        <v>2394</v>
      </c>
      <c r="I19" s="1119"/>
      <c r="K19" s="564"/>
      <c r="L19" s="558"/>
      <c r="M19" s="558"/>
      <c r="N19" s="558"/>
      <c r="O19" s="558"/>
    </row>
    <row r="20" spans="1:15" ht="19.5" x14ac:dyDescent="0.15">
      <c r="A20" s="559"/>
      <c r="B20" s="553"/>
      <c r="C20" s="565" t="s">
        <v>2047</v>
      </c>
      <c r="D20" s="565"/>
      <c r="E20" s="565"/>
      <c r="F20" s="565"/>
      <c r="G20" s="565"/>
      <c r="H20" s="566"/>
      <c r="I20" s="1119"/>
      <c r="K20" s="564"/>
      <c r="L20" s="558"/>
      <c r="M20" s="558"/>
      <c r="N20" s="558"/>
      <c r="O20" s="558"/>
    </row>
    <row r="21" spans="1:15" ht="27" customHeight="1" x14ac:dyDescent="0.15">
      <c r="A21" s="559"/>
      <c r="B21" s="553"/>
      <c r="C21" s="555" t="s">
        <v>2048</v>
      </c>
      <c r="D21" s="555"/>
      <c r="E21" s="555"/>
      <c r="F21" s="555"/>
      <c r="G21" s="555"/>
      <c r="H21" s="567"/>
      <c r="I21" s="1119"/>
      <c r="K21" s="564"/>
      <c r="L21" s="558"/>
      <c r="M21" s="558"/>
      <c r="N21" s="558"/>
      <c r="O21" s="558"/>
    </row>
    <row r="22" spans="1:15" ht="24.75" customHeight="1" x14ac:dyDescent="0.15">
      <c r="A22" s="549"/>
      <c r="B22" s="553"/>
      <c r="C22" s="554" t="s">
        <v>2049</v>
      </c>
      <c r="D22" s="555"/>
      <c r="E22" s="555"/>
      <c r="F22" s="555"/>
      <c r="G22" s="555"/>
      <c r="H22" s="551"/>
      <c r="I22" s="1121"/>
      <c r="K22" s="556" t="b">
        <v>0</v>
      </c>
      <c r="L22" s="557"/>
      <c r="M22" s="558" t="b">
        <v>1</v>
      </c>
      <c r="N22" s="558" t="b">
        <f t="shared" ref="N22:N33" si="2">K22=TRUE</f>
        <v>0</v>
      </c>
      <c r="O22" s="558" t="str">
        <f t="shared" si="1"/>
        <v>NG</v>
      </c>
    </row>
    <row r="23" spans="1:15" ht="24.75" customHeight="1" x14ac:dyDescent="0.15">
      <c r="A23" s="549"/>
      <c r="B23" s="553"/>
      <c r="C23" s="554" t="s">
        <v>2050</v>
      </c>
      <c r="D23" s="555"/>
      <c r="E23" s="555"/>
      <c r="F23" s="555"/>
      <c r="G23" s="555"/>
      <c r="H23" s="551"/>
      <c r="I23" s="1121"/>
      <c r="K23" s="556" t="b">
        <v>0</v>
      </c>
      <c r="L23" s="557"/>
      <c r="M23" s="558" t="b">
        <v>1</v>
      </c>
      <c r="N23" s="558" t="b">
        <f t="shared" si="2"/>
        <v>0</v>
      </c>
      <c r="O23" s="558" t="str">
        <f t="shared" si="1"/>
        <v>NG</v>
      </c>
    </row>
    <row r="24" spans="1:15" ht="24.75" customHeight="1" x14ac:dyDescent="0.15">
      <c r="A24" s="549"/>
      <c r="B24" s="553"/>
      <c r="C24" s="554" t="s">
        <v>2051</v>
      </c>
      <c r="D24" s="555"/>
      <c r="E24" s="555"/>
      <c r="F24" s="555"/>
      <c r="G24" s="555"/>
      <c r="H24" s="551"/>
      <c r="I24" s="1121"/>
      <c r="K24" s="556" t="b">
        <v>0</v>
      </c>
      <c r="L24" s="557"/>
      <c r="M24" s="558" t="b">
        <v>1</v>
      </c>
      <c r="N24" s="558" t="b">
        <f t="shared" si="2"/>
        <v>0</v>
      </c>
      <c r="O24" s="558" t="str">
        <f t="shared" si="1"/>
        <v>NG</v>
      </c>
    </row>
    <row r="25" spans="1:15" ht="24.75" customHeight="1" x14ac:dyDescent="0.15">
      <c r="A25" s="549"/>
      <c r="B25" s="553"/>
      <c r="C25" s="554" t="s">
        <v>2052</v>
      </c>
      <c r="D25" s="555"/>
      <c r="E25" s="555"/>
      <c r="F25" s="555"/>
      <c r="G25" s="555"/>
      <c r="H25" s="551"/>
      <c r="I25" s="1121"/>
      <c r="K25" s="556" t="b">
        <v>0</v>
      </c>
      <c r="L25" s="557"/>
      <c r="M25" s="558" t="b">
        <v>1</v>
      </c>
      <c r="N25" s="558" t="b">
        <f t="shared" si="2"/>
        <v>0</v>
      </c>
      <c r="O25" s="558" t="str">
        <f t="shared" si="1"/>
        <v>NG</v>
      </c>
    </row>
    <row r="26" spans="1:15" ht="24.75" customHeight="1" x14ac:dyDescent="0.15">
      <c r="A26" s="549"/>
      <c r="B26" s="553"/>
      <c r="C26" s="554" t="s">
        <v>2053</v>
      </c>
      <c r="D26" s="555"/>
      <c r="E26" s="555"/>
      <c r="F26" s="555"/>
      <c r="G26" s="555"/>
      <c r="H26" s="551"/>
      <c r="I26" s="1121"/>
      <c r="K26" s="556" t="b">
        <v>0</v>
      </c>
      <c r="L26" s="557"/>
      <c r="M26" s="558" t="b">
        <v>1</v>
      </c>
      <c r="N26" s="558" t="b">
        <f t="shared" si="2"/>
        <v>0</v>
      </c>
      <c r="O26" s="558" t="str">
        <f t="shared" si="1"/>
        <v>NG</v>
      </c>
    </row>
    <row r="27" spans="1:15" ht="27" customHeight="1" x14ac:dyDescent="0.15">
      <c r="A27" s="559"/>
      <c r="B27" s="553"/>
      <c r="C27" s="555" t="s">
        <v>2054</v>
      </c>
      <c r="D27" s="555"/>
      <c r="E27" s="555"/>
      <c r="F27" s="555"/>
      <c r="G27" s="555"/>
      <c r="H27" s="567"/>
      <c r="I27" s="1119"/>
      <c r="K27" s="564"/>
      <c r="L27" s="558"/>
      <c r="M27" s="558"/>
      <c r="N27" s="558"/>
      <c r="O27" s="558"/>
    </row>
    <row r="28" spans="1:15" ht="24.75" customHeight="1" x14ac:dyDescent="0.15">
      <c r="A28" s="549"/>
      <c r="B28" s="553"/>
      <c r="C28" s="554" t="s">
        <v>2055</v>
      </c>
      <c r="D28" s="555"/>
      <c r="E28" s="555"/>
      <c r="F28" s="555"/>
      <c r="G28" s="555"/>
      <c r="H28" s="551"/>
      <c r="I28" s="1121"/>
      <c r="K28" s="556" t="b">
        <v>0</v>
      </c>
      <c r="L28" s="557"/>
      <c r="M28" s="558" t="b">
        <v>1</v>
      </c>
      <c r="N28" s="558" t="b">
        <f t="shared" si="2"/>
        <v>0</v>
      </c>
      <c r="O28" s="558" t="str">
        <f t="shared" si="1"/>
        <v>NG</v>
      </c>
    </row>
    <row r="29" spans="1:15" ht="13.5" customHeight="1" x14ac:dyDescent="0.15">
      <c r="A29" s="559"/>
      <c r="B29" s="553"/>
      <c r="C29" s="555"/>
      <c r="D29" s="555"/>
      <c r="E29" s="555"/>
      <c r="F29" s="555"/>
      <c r="G29" s="555"/>
      <c r="H29" s="567"/>
      <c r="I29" s="1119"/>
      <c r="K29" s="564"/>
      <c r="L29" s="558"/>
      <c r="M29" s="558"/>
      <c r="N29" s="558"/>
      <c r="O29" s="558"/>
    </row>
    <row r="30" spans="1:15" ht="22.5" customHeight="1" x14ac:dyDescent="0.15">
      <c r="A30" s="545"/>
      <c r="B30" s="546" t="s">
        <v>2056</v>
      </c>
      <c r="C30" s="546"/>
      <c r="D30" s="547"/>
      <c r="E30" s="547"/>
      <c r="F30" s="547"/>
      <c r="G30" s="547"/>
      <c r="H30" s="548"/>
      <c r="I30" s="1121"/>
      <c r="K30" s="556"/>
      <c r="L30" s="557"/>
      <c r="M30" s="558"/>
      <c r="N30" s="558"/>
      <c r="O30" s="558"/>
    </row>
    <row r="31" spans="1:15" ht="8.1" customHeight="1" x14ac:dyDescent="0.15">
      <c r="A31" s="549"/>
      <c r="B31" s="550"/>
      <c r="C31" s="550"/>
      <c r="D31" s="550"/>
      <c r="E31" s="550"/>
      <c r="F31" s="550"/>
      <c r="G31" s="550"/>
      <c r="H31" s="551"/>
      <c r="I31" s="1119"/>
      <c r="K31" s="564"/>
      <c r="L31" s="558"/>
      <c r="M31" s="558"/>
      <c r="N31" s="558"/>
      <c r="O31" s="558"/>
    </row>
    <row r="32" spans="1:15" ht="24.75" customHeight="1" x14ac:dyDescent="0.15">
      <c r="A32" s="549"/>
      <c r="B32" s="553"/>
      <c r="C32" s="554" t="s">
        <v>2057</v>
      </c>
      <c r="D32" s="555"/>
      <c r="E32" s="555"/>
      <c r="F32" s="555"/>
      <c r="G32" s="555"/>
      <c r="H32" s="551"/>
      <c r="I32" s="1121"/>
      <c r="K32" s="556" t="b">
        <v>0</v>
      </c>
      <c r="L32" s="557"/>
      <c r="M32" s="558" t="b">
        <v>1</v>
      </c>
      <c r="N32" s="558" t="b">
        <f t="shared" si="2"/>
        <v>0</v>
      </c>
      <c r="O32" s="558" t="str">
        <f t="shared" si="1"/>
        <v>NG</v>
      </c>
    </row>
    <row r="33" spans="1:15" ht="66" customHeight="1" x14ac:dyDescent="0.15">
      <c r="A33" s="549"/>
      <c r="B33" s="553"/>
      <c r="C33" s="2119" t="s">
        <v>2058</v>
      </c>
      <c r="D33" s="2119"/>
      <c r="E33" s="2119"/>
      <c r="F33" s="2119"/>
      <c r="G33" s="2119"/>
      <c r="H33" s="2120"/>
      <c r="I33" s="1121"/>
      <c r="K33" s="556" t="b">
        <v>0</v>
      </c>
      <c r="L33" s="557"/>
      <c r="M33" s="558" t="b">
        <v>1</v>
      </c>
      <c r="N33" s="558" t="b">
        <f t="shared" si="2"/>
        <v>0</v>
      </c>
      <c r="O33" s="558" t="str">
        <f t="shared" si="1"/>
        <v>NG</v>
      </c>
    </row>
    <row r="34" spans="1:15" ht="9.9499999999999993" customHeight="1" x14ac:dyDescent="0.15">
      <c r="A34" s="549"/>
      <c r="B34" s="550"/>
      <c r="C34" s="550"/>
      <c r="D34" s="550"/>
      <c r="E34" s="550"/>
      <c r="F34" s="550"/>
      <c r="G34" s="550"/>
      <c r="H34" s="551"/>
      <c r="I34" s="1120"/>
      <c r="K34" s="564"/>
      <c r="L34" s="558"/>
      <c r="M34" s="558"/>
      <c r="N34" s="558"/>
      <c r="O34" s="558"/>
    </row>
    <row r="35" spans="1:15" ht="27" customHeight="1" x14ac:dyDescent="0.15">
      <c r="A35" s="537"/>
      <c r="B35" s="538" t="s">
        <v>2059</v>
      </c>
      <c r="C35" s="538"/>
      <c r="D35" s="539"/>
      <c r="E35" s="539"/>
      <c r="F35" s="539"/>
      <c r="G35" s="539"/>
      <c r="H35" s="540"/>
      <c r="I35" s="1121"/>
      <c r="K35" s="556"/>
      <c r="L35" s="557"/>
      <c r="M35" s="558"/>
      <c r="N35" s="558"/>
      <c r="O35" s="558"/>
    </row>
    <row r="36" spans="1:15" ht="66.75" customHeight="1" x14ac:dyDescent="0.15">
      <c r="A36" s="537"/>
      <c r="B36" s="2117" t="s">
        <v>2060</v>
      </c>
      <c r="C36" s="2117"/>
      <c r="D36" s="2117"/>
      <c r="E36" s="2117"/>
      <c r="F36" s="2117"/>
      <c r="G36" s="2117"/>
      <c r="H36" s="2118"/>
      <c r="I36" s="1121"/>
      <c r="K36" s="556"/>
      <c r="L36" s="557"/>
      <c r="M36" s="558"/>
      <c r="N36" s="558"/>
      <c r="O36" s="558"/>
    </row>
    <row r="37" spans="1:15" ht="22.5" customHeight="1" x14ac:dyDescent="0.15">
      <c r="A37" s="545"/>
      <c r="B37" s="546" t="s">
        <v>2061</v>
      </c>
      <c r="C37" s="546"/>
      <c r="D37" s="547"/>
      <c r="E37" s="547"/>
      <c r="F37" s="547"/>
      <c r="G37" s="547"/>
      <c r="H37" s="548"/>
      <c r="I37" s="1121"/>
      <c r="K37" s="556"/>
      <c r="L37" s="557"/>
      <c r="M37" s="558"/>
      <c r="N37" s="558"/>
      <c r="O37" s="558"/>
    </row>
    <row r="38" spans="1:15" ht="8.1" customHeight="1" x14ac:dyDescent="0.15">
      <c r="A38" s="549"/>
      <c r="B38" s="550"/>
      <c r="C38" s="555"/>
      <c r="D38" s="555"/>
      <c r="E38" s="555"/>
      <c r="F38" s="555"/>
      <c r="G38" s="555"/>
      <c r="H38" s="551"/>
      <c r="I38" s="1121"/>
      <c r="K38" s="556"/>
      <c r="L38" s="557"/>
      <c r="M38" s="558"/>
      <c r="N38" s="558"/>
      <c r="O38" s="558"/>
    </row>
    <row r="39" spans="1:15" ht="24.75" customHeight="1" x14ac:dyDescent="0.15">
      <c r="A39" s="549"/>
      <c r="B39" s="553"/>
      <c r="C39" s="554" t="s">
        <v>2062</v>
      </c>
      <c r="D39" s="555"/>
      <c r="E39" s="555"/>
      <c r="F39" s="555"/>
      <c r="G39" s="555"/>
      <c r="H39" s="551"/>
      <c r="I39" s="1121"/>
      <c r="K39" s="556" t="b">
        <v>0</v>
      </c>
      <c r="L39" s="557"/>
      <c r="M39" s="558" t="b">
        <v>1</v>
      </c>
      <c r="N39" s="558" t="b">
        <f t="shared" ref="N39" si="3">K39=TRUE</f>
        <v>0</v>
      </c>
      <c r="O39" s="558" t="str">
        <f t="shared" si="1"/>
        <v>NG</v>
      </c>
    </row>
    <row r="40" spans="1:15" ht="9.9499999999999993" customHeight="1" x14ac:dyDescent="0.15">
      <c r="A40" s="549"/>
      <c r="B40" s="550"/>
      <c r="C40" s="550"/>
      <c r="D40" s="550"/>
      <c r="E40" s="550"/>
      <c r="F40" s="550"/>
      <c r="G40" s="550"/>
      <c r="H40" s="551"/>
      <c r="I40" s="1120"/>
      <c r="K40" s="564"/>
      <c r="L40" s="558"/>
      <c r="M40" s="558"/>
      <c r="N40" s="558"/>
      <c r="O40" s="558"/>
    </row>
    <row r="41" spans="1:15" ht="22.5" customHeight="1" x14ac:dyDescent="0.15">
      <c r="A41" s="545"/>
      <c r="B41" s="546" t="s">
        <v>2063</v>
      </c>
      <c r="C41" s="546"/>
      <c r="D41" s="547"/>
      <c r="E41" s="547"/>
      <c r="F41" s="547"/>
      <c r="G41" s="547"/>
      <c r="H41" s="548"/>
      <c r="I41" s="1121"/>
      <c r="K41" s="556"/>
      <c r="L41" s="557"/>
      <c r="M41" s="558"/>
      <c r="N41" s="558"/>
      <c r="O41" s="558"/>
    </row>
    <row r="42" spans="1:15" ht="8.1" customHeight="1" thickBot="1" x14ac:dyDescent="0.2">
      <c r="A42" s="549"/>
      <c r="B42" s="550"/>
      <c r="C42" s="555"/>
      <c r="D42" s="555"/>
      <c r="E42" s="555"/>
      <c r="F42" s="555"/>
      <c r="G42" s="555"/>
      <c r="H42" s="551"/>
      <c r="I42" s="1121"/>
      <c r="K42" s="556"/>
      <c r="L42" s="557"/>
      <c r="M42" s="558"/>
      <c r="N42" s="558"/>
      <c r="O42" s="558"/>
    </row>
    <row r="43" spans="1:15" ht="24.75" customHeight="1" thickBot="1" x14ac:dyDescent="0.2">
      <c r="A43" s="549"/>
      <c r="B43" s="1118" t="s">
        <v>2733</v>
      </c>
      <c r="C43" s="554" t="s">
        <v>2064</v>
      </c>
      <c r="D43" s="555"/>
      <c r="E43" s="555"/>
      <c r="F43" s="555"/>
      <c r="G43" s="555"/>
      <c r="H43" s="551"/>
      <c r="I43" s="1123" t="str">
        <f>IF(N43,"","←「選択してください」をクリックし、プルダウン「▼」から選択してください")</f>
        <v>←「選択してください」をクリックし、プルダウン「▼」から選択してください</v>
      </c>
      <c r="K43" s="564"/>
      <c r="L43" s="558" t="str">
        <f>B43</f>
        <v>選択してください</v>
      </c>
      <c r="M43" s="558" t="b">
        <v>1</v>
      </c>
      <c r="N43" s="557" t="b">
        <f>AND(L43&lt;&gt;0,L43&lt;&gt;"選択してください")</f>
        <v>0</v>
      </c>
      <c r="O43" s="558" t="str">
        <f t="shared" si="1"/>
        <v>NG</v>
      </c>
    </row>
    <row r="44" spans="1:15" ht="46.5" customHeight="1" x14ac:dyDescent="0.15">
      <c r="A44" s="549"/>
      <c r="B44" s="553"/>
      <c r="C44" s="2119" t="s">
        <v>2065</v>
      </c>
      <c r="D44" s="2119"/>
      <c r="E44" s="2119"/>
      <c r="F44" s="2119"/>
      <c r="G44" s="2119"/>
      <c r="H44" s="2120"/>
      <c r="I44" s="1121"/>
      <c r="K44" s="556" t="b">
        <v>0</v>
      </c>
      <c r="L44" s="557"/>
      <c r="M44" s="558" t="b">
        <f>B43&lt;&gt;"無"</f>
        <v>1</v>
      </c>
      <c r="N44" s="558" t="b">
        <f t="shared" ref="N44" si="4">K44=TRUE</f>
        <v>0</v>
      </c>
      <c r="O44" s="558" t="str">
        <f t="shared" si="1"/>
        <v>NG</v>
      </c>
    </row>
    <row r="45" spans="1:15" ht="24.75" customHeight="1" x14ac:dyDescent="0.15">
      <c r="A45" s="549"/>
      <c r="B45" s="550"/>
      <c r="C45" s="555" t="s">
        <v>2066</v>
      </c>
      <c r="D45" s="555"/>
      <c r="E45" s="555"/>
      <c r="F45" s="555"/>
      <c r="G45" s="555"/>
      <c r="H45" s="551"/>
      <c r="I45" s="1122"/>
      <c r="K45" s="556"/>
      <c r="L45" s="557"/>
      <c r="M45" s="558"/>
      <c r="N45" s="558"/>
      <c r="O45" s="558"/>
    </row>
    <row r="46" spans="1:15" ht="9.9499999999999993" customHeight="1" x14ac:dyDescent="0.15">
      <c r="A46" s="549"/>
      <c r="B46" s="550"/>
      <c r="C46" s="550"/>
      <c r="D46" s="550"/>
      <c r="E46" s="550"/>
      <c r="F46" s="550"/>
      <c r="G46" s="550"/>
      <c r="H46" s="551"/>
      <c r="I46" s="1120"/>
      <c r="K46" s="564"/>
      <c r="L46" s="558"/>
      <c r="M46" s="558"/>
      <c r="N46" s="558"/>
      <c r="O46" s="558"/>
    </row>
    <row r="47" spans="1:15" ht="22.5" customHeight="1" x14ac:dyDescent="0.15">
      <c r="A47" s="559"/>
      <c r="B47" s="553"/>
      <c r="C47" s="546" t="s">
        <v>2067</v>
      </c>
      <c r="D47" s="547"/>
      <c r="E47" s="547"/>
      <c r="F47" s="547"/>
      <c r="G47" s="547"/>
      <c r="H47" s="548"/>
      <c r="I47" s="1121"/>
      <c r="K47" s="556"/>
      <c r="L47" s="557"/>
      <c r="M47" s="558"/>
      <c r="N47" s="558"/>
      <c r="O47" s="558"/>
    </row>
    <row r="48" spans="1:15" ht="8.1" customHeight="1" thickBot="1" x14ac:dyDescent="0.2">
      <c r="A48" s="549"/>
      <c r="B48" s="550"/>
      <c r="C48" s="555"/>
      <c r="D48" s="555"/>
      <c r="E48" s="555"/>
      <c r="F48" s="555"/>
      <c r="G48" s="555"/>
      <c r="H48" s="551"/>
      <c r="I48" s="1121"/>
      <c r="K48" s="556"/>
      <c r="L48" s="557"/>
      <c r="M48" s="558"/>
      <c r="N48" s="558"/>
      <c r="O48" s="558"/>
    </row>
    <row r="49" spans="1:15" ht="24.75" customHeight="1" thickBot="1" x14ac:dyDescent="0.2">
      <c r="A49" s="549"/>
      <c r="B49" s="1118" t="s">
        <v>2733</v>
      </c>
      <c r="C49" s="554" t="s">
        <v>2068</v>
      </c>
      <c r="D49" s="555"/>
      <c r="E49" s="555"/>
      <c r="F49" s="555"/>
      <c r="G49" s="555"/>
      <c r="H49" s="551"/>
      <c r="I49" s="1123" t="str">
        <f>IF(N49,"","←「選択してください」をクリックし、プルダウン「▼」から選択してください")</f>
        <v>←「選択してください」をクリックし、プルダウン「▼」から選択してください</v>
      </c>
      <c r="K49" s="564"/>
      <c r="L49" s="558" t="str">
        <f>B49</f>
        <v>選択してください</v>
      </c>
      <c r="M49" s="558" t="b">
        <v>1</v>
      </c>
      <c r="N49" s="557" t="b">
        <f>AND(L49&lt;&gt;0,L49&lt;&gt;"選択してください")</f>
        <v>0</v>
      </c>
      <c r="O49" s="558" t="str">
        <f t="shared" si="1"/>
        <v>NG</v>
      </c>
    </row>
    <row r="50" spans="1:15" ht="46.5" customHeight="1" x14ac:dyDescent="0.15">
      <c r="A50" s="549"/>
      <c r="B50" s="553"/>
      <c r="C50" s="2119" t="s">
        <v>2069</v>
      </c>
      <c r="D50" s="2119"/>
      <c r="E50" s="2119"/>
      <c r="F50" s="2119"/>
      <c r="G50" s="2119"/>
      <c r="H50" s="2120"/>
      <c r="I50" s="1121"/>
      <c r="K50" s="556" t="b">
        <v>0</v>
      </c>
      <c r="L50" s="557"/>
      <c r="M50" s="558" t="b">
        <f>B49&lt;&gt;"無"</f>
        <v>1</v>
      </c>
      <c r="N50" s="558" t="b">
        <f t="shared" ref="N50" si="5">K50=TRUE</f>
        <v>0</v>
      </c>
      <c r="O50" s="558" t="str">
        <f t="shared" si="1"/>
        <v>NG</v>
      </c>
    </row>
    <row r="51" spans="1:15" ht="9.9499999999999993" customHeight="1" x14ac:dyDescent="0.15">
      <c r="A51" s="549"/>
      <c r="B51" s="550"/>
      <c r="C51" s="550"/>
      <c r="D51" s="550"/>
      <c r="E51" s="550"/>
      <c r="F51" s="550"/>
      <c r="G51" s="550"/>
      <c r="H51" s="551"/>
      <c r="I51" s="1120"/>
      <c r="K51" s="564"/>
      <c r="L51" s="558"/>
      <c r="M51" s="558"/>
      <c r="N51" s="558"/>
      <c r="O51" s="558"/>
    </row>
    <row r="52" spans="1:15" ht="22.5" customHeight="1" x14ac:dyDescent="0.15">
      <c r="A52" s="559"/>
      <c r="B52" s="553"/>
      <c r="C52" s="546" t="s">
        <v>2070</v>
      </c>
      <c r="D52" s="547"/>
      <c r="E52" s="547"/>
      <c r="F52" s="547"/>
      <c r="G52" s="547"/>
      <c r="H52" s="548"/>
      <c r="I52" s="1121"/>
      <c r="K52" s="556"/>
      <c r="L52" s="557"/>
      <c r="M52" s="558"/>
      <c r="N52" s="558"/>
      <c r="O52" s="558"/>
    </row>
    <row r="53" spans="1:15" ht="5.25" customHeight="1" thickBot="1" x14ac:dyDescent="0.2">
      <c r="A53" s="549"/>
      <c r="B53" s="550"/>
      <c r="C53" s="555"/>
      <c r="D53" s="555"/>
      <c r="E53" s="555"/>
      <c r="F53" s="555"/>
      <c r="G53" s="555"/>
      <c r="H53" s="551"/>
      <c r="I53" s="1121"/>
      <c r="K53" s="556"/>
      <c r="L53" s="557"/>
      <c r="M53" s="558"/>
      <c r="N53" s="558"/>
      <c r="O53" s="558"/>
    </row>
    <row r="54" spans="1:15" ht="24.75" customHeight="1" thickBot="1" x14ac:dyDescent="0.2">
      <c r="A54" s="549"/>
      <c r="B54" s="1118" t="s">
        <v>2733</v>
      </c>
      <c r="C54" s="554" t="s">
        <v>2071</v>
      </c>
      <c r="D54" s="555"/>
      <c r="E54" s="555"/>
      <c r="F54" s="555"/>
      <c r="G54" s="555"/>
      <c r="H54" s="551"/>
      <c r="I54" s="1123" t="str">
        <f>IF(N54,"","←「選択してください」をクリックし、プルダウン「▼」から選択してください")</f>
        <v>←「選択してください」をクリックし、プルダウン「▼」から選択してください</v>
      </c>
      <c r="K54" s="564"/>
      <c r="L54" s="558" t="str">
        <f>B54</f>
        <v>選択してください</v>
      </c>
      <c r="M54" s="558" t="b">
        <v>1</v>
      </c>
      <c r="N54" s="557" t="b">
        <f>AND(L54&lt;&gt;0,L54&lt;&gt;"選択してください")</f>
        <v>0</v>
      </c>
      <c r="O54" s="558" t="str">
        <f t="shared" si="1"/>
        <v>NG</v>
      </c>
    </row>
    <row r="55" spans="1:15" ht="46.5" customHeight="1" x14ac:dyDescent="0.15">
      <c r="A55" s="549"/>
      <c r="B55" s="553"/>
      <c r="C55" s="2119" t="s">
        <v>2396</v>
      </c>
      <c r="D55" s="2119"/>
      <c r="E55" s="2119"/>
      <c r="F55" s="2119"/>
      <c r="G55" s="2119"/>
      <c r="H55" s="2120"/>
      <c r="I55" s="1121"/>
      <c r="K55" s="556" t="b">
        <v>0</v>
      </c>
      <c r="L55" s="557"/>
      <c r="M55" s="558" t="b">
        <f>B54&lt;&gt;"適"</f>
        <v>1</v>
      </c>
      <c r="N55" s="558" t="b">
        <f t="shared" ref="N55" si="6">K55=TRUE</f>
        <v>0</v>
      </c>
      <c r="O55" s="558" t="str">
        <f t="shared" si="1"/>
        <v>NG</v>
      </c>
    </row>
    <row r="56" spans="1:15" ht="7.5" customHeight="1" thickBot="1" x14ac:dyDescent="0.2">
      <c r="A56" s="549"/>
      <c r="B56" s="550"/>
      <c r="C56" s="550"/>
      <c r="D56" s="550"/>
      <c r="E56" s="550"/>
      <c r="F56" s="550"/>
      <c r="G56" s="550"/>
      <c r="H56" s="551"/>
      <c r="I56" s="552"/>
      <c r="K56" s="564"/>
      <c r="L56" s="558"/>
      <c r="M56" s="558"/>
      <c r="N56" s="558"/>
      <c r="O56" s="558"/>
    </row>
    <row r="57" spans="1:15" ht="12.75" customHeight="1" x14ac:dyDescent="0.15">
      <c r="A57" s="518"/>
      <c r="B57" s="569"/>
      <c r="C57" s="569"/>
      <c r="D57" s="569"/>
      <c r="E57" s="569"/>
      <c r="F57" s="569"/>
      <c r="G57" s="569"/>
      <c r="H57" s="570"/>
      <c r="I57" s="568"/>
      <c r="K57" s="571"/>
      <c r="L57" s="541"/>
      <c r="M57" s="541"/>
      <c r="N57" s="541"/>
      <c r="O57" s="541"/>
    </row>
    <row r="58" spans="1:15" x14ac:dyDescent="0.15">
      <c r="I58" s="568"/>
      <c r="J58" s="516" t="s">
        <v>2072</v>
      </c>
      <c r="K58" s="528"/>
      <c r="L58" s="528"/>
      <c r="M58" s="528"/>
      <c r="N58" s="528"/>
      <c r="O58" s="572" t="str">
        <f>IF(COUNTIF(O13:O57,"NG")=0,"OK","NG")</f>
        <v>NG</v>
      </c>
    </row>
    <row r="59" spans="1:15" x14ac:dyDescent="0.15">
      <c r="I59" s="568"/>
      <c r="K59" s="528"/>
      <c r="L59" s="528"/>
      <c r="M59" s="528"/>
      <c r="N59" s="528"/>
      <c r="O59" s="528"/>
    </row>
    <row r="60" spans="1:15" x14ac:dyDescent="0.15">
      <c r="K60" s="528"/>
      <c r="L60" s="528"/>
      <c r="M60" s="528"/>
      <c r="N60" s="528"/>
      <c r="O60" s="528"/>
    </row>
    <row r="61" spans="1:15" x14ac:dyDescent="0.15">
      <c r="K61" s="528"/>
      <c r="L61" s="528"/>
      <c r="M61" s="528"/>
      <c r="N61" s="528"/>
      <c r="O61" s="528"/>
    </row>
  </sheetData>
  <sheetProtection algorithmName="SHA-512" hashValue="TrWvBcH860743Do/+eLAN3s+f/Yn+E0hpap13tCrAL07mFnB1xiptDP88Ny2fPhOjeen4azHBYBMDTw4iTiv8w==" saltValue="+AZCuE/kvq4iF52PKYP/Vg==" spinCount="100000" sheet="1"/>
  <protectedRanges>
    <protectedRange sqref="B17:B19 B22:B26 B28 B39 B32:B33 B44 B50 B55" name="p1 1"/>
  </protectedRanges>
  <mergeCells count="12">
    <mergeCell ref="C55:H55"/>
    <mergeCell ref="A2:H2"/>
    <mergeCell ref="D4:H4"/>
    <mergeCell ref="A12:H12"/>
    <mergeCell ref="C33:H33"/>
    <mergeCell ref="C19:D19"/>
    <mergeCell ref="F1:H1"/>
    <mergeCell ref="L7:O7"/>
    <mergeCell ref="B36:H36"/>
    <mergeCell ref="C44:H44"/>
    <mergeCell ref="C50:H50"/>
    <mergeCell ref="J6:O6"/>
  </mergeCells>
  <phoneticPr fontId="3"/>
  <conditionalFormatting sqref="A50:H51">
    <cfRule type="expression" dxfId="516" priority="5">
      <formula>$B$49="無"</formula>
    </cfRule>
  </conditionalFormatting>
  <conditionalFormatting sqref="A55:H56">
    <cfRule type="expression" dxfId="515" priority="6">
      <formula>$B$54="適"</formula>
    </cfRule>
  </conditionalFormatting>
  <conditionalFormatting sqref="A44:H46">
    <cfRule type="expression" dxfId="514" priority="4">
      <formula>$B$43="無"</formula>
    </cfRule>
  </conditionalFormatting>
  <conditionalFormatting sqref="C9">
    <cfRule type="expression" dxfId="513" priority="2">
      <formula>$O$58="NG"</formula>
    </cfRule>
  </conditionalFormatting>
  <conditionalFormatting sqref="I43 I49 I54">
    <cfRule type="cellIs" dxfId="512" priority="1" operator="notEqual">
      <formula>""</formula>
    </cfRule>
  </conditionalFormatting>
  <dataValidations count="3">
    <dataValidation type="list" allowBlank="1" showInputMessage="1" showErrorMessage="1" sqref="B54" xr:uid="{8C2C3FBA-5DF1-4087-88D5-5437B61358D0}">
      <formula1>"選択してください,適,否"</formula1>
    </dataValidation>
    <dataValidation type="list" allowBlank="1" showInputMessage="1" showErrorMessage="1" sqref="B49 B43" xr:uid="{E22D7191-82DD-49D0-93B4-416935AA39C7}">
      <formula1>"選択してください,有,無"</formula1>
    </dataValidation>
    <dataValidation type="list" allowBlank="1" showInputMessage="1" showErrorMessage="1" sqref="B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B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B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B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B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B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B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B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B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B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B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B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B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B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B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B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B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B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B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B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B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B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B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B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B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B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B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B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B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B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B65588 JA65588 SW65588 ACS65588 AMO65588 AWK65588 BGG65588 BQC65588 BZY65588 CJU65588 CTQ65588 DDM65588 DNI65588 DXE65588 EHA65588 EQW65588 FAS65588 FKO65588 FUK65588 GEG65588 GOC65588 GXY65588 HHU65588 HRQ65588 IBM65588 ILI65588 IVE65588 JFA65588 JOW65588 JYS65588 KIO65588 KSK65588 LCG65588 LMC65588 LVY65588 MFU65588 MPQ65588 MZM65588 NJI65588 NTE65588 ODA65588 OMW65588 OWS65588 PGO65588 PQK65588 QAG65588 QKC65588 QTY65588 RDU65588 RNQ65588 RXM65588 SHI65588 SRE65588 TBA65588 TKW65588 TUS65588 UEO65588 UOK65588 UYG65588 VIC65588 VRY65588 WBU65588 WLQ65588 WVM65588 B131124 JA131124 SW131124 ACS131124 AMO131124 AWK131124 BGG131124 BQC131124 BZY131124 CJU131124 CTQ131124 DDM131124 DNI131124 DXE131124 EHA131124 EQW131124 FAS131124 FKO131124 FUK131124 GEG131124 GOC131124 GXY131124 HHU131124 HRQ131124 IBM131124 ILI131124 IVE131124 JFA131124 JOW131124 JYS131124 KIO131124 KSK131124 LCG131124 LMC131124 LVY131124 MFU131124 MPQ131124 MZM131124 NJI131124 NTE131124 ODA131124 OMW131124 OWS131124 PGO131124 PQK131124 QAG131124 QKC131124 QTY131124 RDU131124 RNQ131124 RXM131124 SHI131124 SRE131124 TBA131124 TKW131124 TUS131124 UEO131124 UOK131124 UYG131124 VIC131124 VRY131124 WBU131124 WLQ131124 WVM131124 B196660 JA196660 SW196660 ACS196660 AMO196660 AWK196660 BGG196660 BQC196660 BZY196660 CJU196660 CTQ196660 DDM196660 DNI196660 DXE196660 EHA196660 EQW196660 FAS196660 FKO196660 FUK196660 GEG196660 GOC196660 GXY196660 HHU196660 HRQ196660 IBM196660 ILI196660 IVE196660 JFA196660 JOW196660 JYS196660 KIO196660 KSK196660 LCG196660 LMC196660 LVY196660 MFU196660 MPQ196660 MZM196660 NJI196660 NTE196660 ODA196660 OMW196660 OWS196660 PGO196660 PQK196660 QAG196660 QKC196660 QTY196660 RDU196660 RNQ196660 RXM196660 SHI196660 SRE196660 TBA196660 TKW196660 TUS196660 UEO196660 UOK196660 UYG196660 VIC196660 VRY196660 WBU196660 WLQ196660 WVM196660 B262196 JA262196 SW262196 ACS262196 AMO262196 AWK262196 BGG262196 BQC262196 BZY262196 CJU262196 CTQ262196 DDM262196 DNI262196 DXE262196 EHA262196 EQW262196 FAS262196 FKO262196 FUK262196 GEG262196 GOC262196 GXY262196 HHU262196 HRQ262196 IBM262196 ILI262196 IVE262196 JFA262196 JOW262196 JYS262196 KIO262196 KSK262196 LCG262196 LMC262196 LVY262196 MFU262196 MPQ262196 MZM262196 NJI262196 NTE262196 ODA262196 OMW262196 OWS262196 PGO262196 PQK262196 QAG262196 QKC262196 QTY262196 RDU262196 RNQ262196 RXM262196 SHI262196 SRE262196 TBA262196 TKW262196 TUS262196 UEO262196 UOK262196 UYG262196 VIC262196 VRY262196 WBU262196 WLQ262196 WVM262196 B327732 JA327732 SW327732 ACS327732 AMO327732 AWK327732 BGG327732 BQC327732 BZY327732 CJU327732 CTQ327732 DDM327732 DNI327732 DXE327732 EHA327732 EQW327732 FAS327732 FKO327732 FUK327732 GEG327732 GOC327732 GXY327732 HHU327732 HRQ327732 IBM327732 ILI327732 IVE327732 JFA327732 JOW327732 JYS327732 KIO327732 KSK327732 LCG327732 LMC327732 LVY327732 MFU327732 MPQ327732 MZM327732 NJI327732 NTE327732 ODA327732 OMW327732 OWS327732 PGO327732 PQK327732 QAG327732 QKC327732 QTY327732 RDU327732 RNQ327732 RXM327732 SHI327732 SRE327732 TBA327732 TKW327732 TUS327732 UEO327732 UOK327732 UYG327732 VIC327732 VRY327732 WBU327732 WLQ327732 WVM327732 B393268 JA393268 SW393268 ACS393268 AMO393268 AWK393268 BGG393268 BQC393268 BZY393268 CJU393268 CTQ393268 DDM393268 DNI393268 DXE393268 EHA393268 EQW393268 FAS393268 FKO393268 FUK393268 GEG393268 GOC393268 GXY393268 HHU393268 HRQ393268 IBM393268 ILI393268 IVE393268 JFA393268 JOW393268 JYS393268 KIO393268 KSK393268 LCG393268 LMC393268 LVY393268 MFU393268 MPQ393268 MZM393268 NJI393268 NTE393268 ODA393268 OMW393268 OWS393268 PGO393268 PQK393268 QAG393268 QKC393268 QTY393268 RDU393268 RNQ393268 RXM393268 SHI393268 SRE393268 TBA393268 TKW393268 TUS393268 UEO393268 UOK393268 UYG393268 VIC393268 VRY393268 WBU393268 WLQ393268 WVM393268 B458804 JA458804 SW458804 ACS458804 AMO458804 AWK458804 BGG458804 BQC458804 BZY458804 CJU458804 CTQ458804 DDM458804 DNI458804 DXE458804 EHA458804 EQW458804 FAS458804 FKO458804 FUK458804 GEG458804 GOC458804 GXY458804 HHU458804 HRQ458804 IBM458804 ILI458804 IVE458804 JFA458804 JOW458804 JYS458804 KIO458804 KSK458804 LCG458804 LMC458804 LVY458804 MFU458804 MPQ458804 MZM458804 NJI458804 NTE458804 ODA458804 OMW458804 OWS458804 PGO458804 PQK458804 QAG458804 QKC458804 QTY458804 RDU458804 RNQ458804 RXM458804 SHI458804 SRE458804 TBA458804 TKW458804 TUS458804 UEO458804 UOK458804 UYG458804 VIC458804 VRY458804 WBU458804 WLQ458804 WVM458804 B524340 JA524340 SW524340 ACS524340 AMO524340 AWK524340 BGG524340 BQC524340 BZY524340 CJU524340 CTQ524340 DDM524340 DNI524340 DXE524340 EHA524340 EQW524340 FAS524340 FKO524340 FUK524340 GEG524340 GOC524340 GXY524340 HHU524340 HRQ524340 IBM524340 ILI524340 IVE524340 JFA524340 JOW524340 JYS524340 KIO524340 KSK524340 LCG524340 LMC524340 LVY524340 MFU524340 MPQ524340 MZM524340 NJI524340 NTE524340 ODA524340 OMW524340 OWS524340 PGO524340 PQK524340 QAG524340 QKC524340 QTY524340 RDU524340 RNQ524340 RXM524340 SHI524340 SRE524340 TBA524340 TKW524340 TUS524340 UEO524340 UOK524340 UYG524340 VIC524340 VRY524340 WBU524340 WLQ524340 WVM524340 B589876 JA589876 SW589876 ACS589876 AMO589876 AWK589876 BGG589876 BQC589876 BZY589876 CJU589876 CTQ589876 DDM589876 DNI589876 DXE589876 EHA589876 EQW589876 FAS589876 FKO589876 FUK589876 GEG589876 GOC589876 GXY589876 HHU589876 HRQ589876 IBM589876 ILI589876 IVE589876 JFA589876 JOW589876 JYS589876 KIO589876 KSK589876 LCG589876 LMC589876 LVY589876 MFU589876 MPQ589876 MZM589876 NJI589876 NTE589876 ODA589876 OMW589876 OWS589876 PGO589876 PQK589876 QAG589876 QKC589876 QTY589876 RDU589876 RNQ589876 RXM589876 SHI589876 SRE589876 TBA589876 TKW589876 TUS589876 UEO589876 UOK589876 UYG589876 VIC589876 VRY589876 WBU589876 WLQ589876 WVM589876 B655412 JA655412 SW655412 ACS655412 AMO655412 AWK655412 BGG655412 BQC655412 BZY655412 CJU655412 CTQ655412 DDM655412 DNI655412 DXE655412 EHA655412 EQW655412 FAS655412 FKO655412 FUK655412 GEG655412 GOC655412 GXY655412 HHU655412 HRQ655412 IBM655412 ILI655412 IVE655412 JFA655412 JOW655412 JYS655412 KIO655412 KSK655412 LCG655412 LMC655412 LVY655412 MFU655412 MPQ655412 MZM655412 NJI655412 NTE655412 ODA655412 OMW655412 OWS655412 PGO655412 PQK655412 QAG655412 QKC655412 QTY655412 RDU655412 RNQ655412 RXM655412 SHI655412 SRE655412 TBA655412 TKW655412 TUS655412 UEO655412 UOK655412 UYG655412 VIC655412 VRY655412 WBU655412 WLQ655412 WVM655412 B720948 JA720948 SW720948 ACS720948 AMO720948 AWK720948 BGG720948 BQC720948 BZY720948 CJU720948 CTQ720948 DDM720948 DNI720948 DXE720948 EHA720948 EQW720948 FAS720948 FKO720948 FUK720948 GEG720948 GOC720948 GXY720948 HHU720948 HRQ720948 IBM720948 ILI720948 IVE720948 JFA720948 JOW720948 JYS720948 KIO720948 KSK720948 LCG720948 LMC720948 LVY720948 MFU720948 MPQ720948 MZM720948 NJI720948 NTE720948 ODA720948 OMW720948 OWS720948 PGO720948 PQK720948 QAG720948 QKC720948 QTY720948 RDU720948 RNQ720948 RXM720948 SHI720948 SRE720948 TBA720948 TKW720948 TUS720948 UEO720948 UOK720948 UYG720948 VIC720948 VRY720948 WBU720948 WLQ720948 WVM720948 B786484 JA786484 SW786484 ACS786484 AMO786484 AWK786484 BGG786484 BQC786484 BZY786484 CJU786484 CTQ786484 DDM786484 DNI786484 DXE786484 EHA786484 EQW786484 FAS786484 FKO786484 FUK786484 GEG786484 GOC786484 GXY786484 HHU786484 HRQ786484 IBM786484 ILI786484 IVE786484 JFA786484 JOW786484 JYS786484 KIO786484 KSK786484 LCG786484 LMC786484 LVY786484 MFU786484 MPQ786484 MZM786484 NJI786484 NTE786484 ODA786484 OMW786484 OWS786484 PGO786484 PQK786484 QAG786484 QKC786484 QTY786484 RDU786484 RNQ786484 RXM786484 SHI786484 SRE786484 TBA786484 TKW786484 TUS786484 UEO786484 UOK786484 UYG786484 VIC786484 VRY786484 WBU786484 WLQ786484 WVM786484 B852020 JA852020 SW852020 ACS852020 AMO852020 AWK852020 BGG852020 BQC852020 BZY852020 CJU852020 CTQ852020 DDM852020 DNI852020 DXE852020 EHA852020 EQW852020 FAS852020 FKO852020 FUK852020 GEG852020 GOC852020 GXY852020 HHU852020 HRQ852020 IBM852020 ILI852020 IVE852020 JFA852020 JOW852020 JYS852020 KIO852020 KSK852020 LCG852020 LMC852020 LVY852020 MFU852020 MPQ852020 MZM852020 NJI852020 NTE852020 ODA852020 OMW852020 OWS852020 PGO852020 PQK852020 QAG852020 QKC852020 QTY852020 RDU852020 RNQ852020 RXM852020 SHI852020 SRE852020 TBA852020 TKW852020 TUS852020 UEO852020 UOK852020 UYG852020 VIC852020 VRY852020 WBU852020 WLQ852020 WVM852020 B917556 JA917556 SW917556 ACS917556 AMO917556 AWK917556 BGG917556 BQC917556 BZY917556 CJU917556 CTQ917556 DDM917556 DNI917556 DXE917556 EHA917556 EQW917556 FAS917556 FKO917556 FUK917556 GEG917556 GOC917556 GXY917556 HHU917556 HRQ917556 IBM917556 ILI917556 IVE917556 JFA917556 JOW917556 JYS917556 KIO917556 KSK917556 LCG917556 LMC917556 LVY917556 MFU917556 MPQ917556 MZM917556 NJI917556 NTE917556 ODA917556 OMW917556 OWS917556 PGO917556 PQK917556 QAG917556 QKC917556 QTY917556 RDU917556 RNQ917556 RXM917556 SHI917556 SRE917556 TBA917556 TKW917556 TUS917556 UEO917556 UOK917556 UYG917556 VIC917556 VRY917556 WBU917556 WLQ917556 WVM917556 B983092 JA983092 SW983092 ACS983092 AMO983092 AWK983092 BGG983092 BQC983092 BZY983092 CJU983092 CTQ983092 DDM983092 DNI983092 DXE983092 EHA983092 EQW983092 FAS983092 FKO983092 FUK983092 GEG983092 GOC983092 GXY983092 HHU983092 HRQ983092 IBM983092 ILI983092 IVE983092 JFA983092 JOW983092 JYS983092 KIO983092 KSK983092 LCG983092 LMC983092 LVY983092 MFU983092 MPQ983092 MZM983092 NJI983092 NTE983092 ODA983092 OMW983092 OWS983092 PGO983092 PQK983092 QAG983092 QKC983092 QTY983092 RDU983092 RNQ983092 RXM983092 SHI983092 SRE983092 TBA983092 TKW983092 TUS983092 UEO983092 UOK983092 UYG983092 VIC983092 VRY983092 WBU983092 WLQ983092 WVM983092 B65572 JA65572 SW65572 ACS65572 AMO65572 AWK65572 BGG65572 BQC65572 BZY65572 CJU65572 CTQ65572 DDM65572 DNI65572 DXE65572 EHA65572 EQW65572 FAS65572 FKO65572 FUK65572 GEG65572 GOC65572 GXY65572 HHU65572 HRQ65572 IBM65572 ILI65572 IVE65572 JFA65572 JOW65572 JYS65572 KIO65572 KSK65572 LCG65572 LMC65572 LVY65572 MFU65572 MPQ65572 MZM65572 NJI65572 NTE65572 ODA65572 OMW65572 OWS65572 PGO65572 PQK65572 QAG65572 QKC65572 QTY65572 RDU65572 RNQ65572 RXM65572 SHI65572 SRE65572 TBA65572 TKW65572 TUS65572 UEO65572 UOK65572 UYG65572 VIC65572 VRY65572 WBU65572 WLQ65572 WVM65572 B131108 JA131108 SW131108 ACS131108 AMO131108 AWK131108 BGG131108 BQC131108 BZY131108 CJU131108 CTQ131108 DDM131108 DNI131108 DXE131108 EHA131108 EQW131108 FAS131108 FKO131108 FUK131108 GEG131108 GOC131108 GXY131108 HHU131108 HRQ131108 IBM131108 ILI131108 IVE131108 JFA131108 JOW131108 JYS131108 KIO131108 KSK131108 LCG131108 LMC131108 LVY131108 MFU131108 MPQ131108 MZM131108 NJI131108 NTE131108 ODA131108 OMW131108 OWS131108 PGO131108 PQK131108 QAG131108 QKC131108 QTY131108 RDU131108 RNQ131108 RXM131108 SHI131108 SRE131108 TBA131108 TKW131108 TUS131108 UEO131108 UOK131108 UYG131108 VIC131108 VRY131108 WBU131108 WLQ131108 WVM131108 B196644 JA196644 SW196644 ACS196644 AMO196644 AWK196644 BGG196644 BQC196644 BZY196644 CJU196644 CTQ196644 DDM196644 DNI196644 DXE196644 EHA196644 EQW196644 FAS196644 FKO196644 FUK196644 GEG196644 GOC196644 GXY196644 HHU196644 HRQ196644 IBM196644 ILI196644 IVE196644 JFA196644 JOW196644 JYS196644 KIO196644 KSK196644 LCG196644 LMC196644 LVY196644 MFU196644 MPQ196644 MZM196644 NJI196644 NTE196644 ODA196644 OMW196644 OWS196644 PGO196644 PQK196644 QAG196644 QKC196644 QTY196644 RDU196644 RNQ196644 RXM196644 SHI196644 SRE196644 TBA196644 TKW196644 TUS196644 UEO196644 UOK196644 UYG196644 VIC196644 VRY196644 WBU196644 WLQ196644 WVM196644 B262180 JA262180 SW262180 ACS262180 AMO262180 AWK262180 BGG262180 BQC262180 BZY262180 CJU262180 CTQ262180 DDM262180 DNI262180 DXE262180 EHA262180 EQW262180 FAS262180 FKO262180 FUK262180 GEG262180 GOC262180 GXY262180 HHU262180 HRQ262180 IBM262180 ILI262180 IVE262180 JFA262180 JOW262180 JYS262180 KIO262180 KSK262180 LCG262180 LMC262180 LVY262180 MFU262180 MPQ262180 MZM262180 NJI262180 NTE262180 ODA262180 OMW262180 OWS262180 PGO262180 PQK262180 QAG262180 QKC262180 QTY262180 RDU262180 RNQ262180 RXM262180 SHI262180 SRE262180 TBA262180 TKW262180 TUS262180 UEO262180 UOK262180 UYG262180 VIC262180 VRY262180 WBU262180 WLQ262180 WVM262180 B327716 JA327716 SW327716 ACS327716 AMO327716 AWK327716 BGG327716 BQC327716 BZY327716 CJU327716 CTQ327716 DDM327716 DNI327716 DXE327716 EHA327716 EQW327716 FAS327716 FKO327716 FUK327716 GEG327716 GOC327716 GXY327716 HHU327716 HRQ327716 IBM327716 ILI327716 IVE327716 JFA327716 JOW327716 JYS327716 KIO327716 KSK327716 LCG327716 LMC327716 LVY327716 MFU327716 MPQ327716 MZM327716 NJI327716 NTE327716 ODA327716 OMW327716 OWS327716 PGO327716 PQK327716 QAG327716 QKC327716 QTY327716 RDU327716 RNQ327716 RXM327716 SHI327716 SRE327716 TBA327716 TKW327716 TUS327716 UEO327716 UOK327716 UYG327716 VIC327716 VRY327716 WBU327716 WLQ327716 WVM327716 B393252 JA393252 SW393252 ACS393252 AMO393252 AWK393252 BGG393252 BQC393252 BZY393252 CJU393252 CTQ393252 DDM393252 DNI393252 DXE393252 EHA393252 EQW393252 FAS393252 FKO393252 FUK393252 GEG393252 GOC393252 GXY393252 HHU393252 HRQ393252 IBM393252 ILI393252 IVE393252 JFA393252 JOW393252 JYS393252 KIO393252 KSK393252 LCG393252 LMC393252 LVY393252 MFU393252 MPQ393252 MZM393252 NJI393252 NTE393252 ODA393252 OMW393252 OWS393252 PGO393252 PQK393252 QAG393252 QKC393252 QTY393252 RDU393252 RNQ393252 RXM393252 SHI393252 SRE393252 TBA393252 TKW393252 TUS393252 UEO393252 UOK393252 UYG393252 VIC393252 VRY393252 WBU393252 WLQ393252 WVM393252 B458788 JA458788 SW458788 ACS458788 AMO458788 AWK458788 BGG458788 BQC458788 BZY458788 CJU458788 CTQ458788 DDM458788 DNI458788 DXE458788 EHA458788 EQW458788 FAS458788 FKO458788 FUK458788 GEG458788 GOC458788 GXY458788 HHU458788 HRQ458788 IBM458788 ILI458788 IVE458788 JFA458788 JOW458788 JYS458788 KIO458788 KSK458788 LCG458788 LMC458788 LVY458788 MFU458788 MPQ458788 MZM458788 NJI458788 NTE458788 ODA458788 OMW458788 OWS458788 PGO458788 PQK458788 QAG458788 QKC458788 QTY458788 RDU458788 RNQ458788 RXM458788 SHI458788 SRE458788 TBA458788 TKW458788 TUS458788 UEO458788 UOK458788 UYG458788 VIC458788 VRY458788 WBU458788 WLQ458788 WVM458788 B524324 JA524324 SW524324 ACS524324 AMO524324 AWK524324 BGG524324 BQC524324 BZY524324 CJU524324 CTQ524324 DDM524324 DNI524324 DXE524324 EHA524324 EQW524324 FAS524324 FKO524324 FUK524324 GEG524324 GOC524324 GXY524324 HHU524324 HRQ524324 IBM524324 ILI524324 IVE524324 JFA524324 JOW524324 JYS524324 KIO524324 KSK524324 LCG524324 LMC524324 LVY524324 MFU524324 MPQ524324 MZM524324 NJI524324 NTE524324 ODA524324 OMW524324 OWS524324 PGO524324 PQK524324 QAG524324 QKC524324 QTY524324 RDU524324 RNQ524324 RXM524324 SHI524324 SRE524324 TBA524324 TKW524324 TUS524324 UEO524324 UOK524324 UYG524324 VIC524324 VRY524324 WBU524324 WLQ524324 WVM524324 B589860 JA589860 SW589860 ACS589860 AMO589860 AWK589860 BGG589860 BQC589860 BZY589860 CJU589860 CTQ589860 DDM589860 DNI589860 DXE589860 EHA589860 EQW589860 FAS589860 FKO589860 FUK589860 GEG589860 GOC589860 GXY589860 HHU589860 HRQ589860 IBM589860 ILI589860 IVE589860 JFA589860 JOW589860 JYS589860 KIO589860 KSK589860 LCG589860 LMC589860 LVY589860 MFU589860 MPQ589860 MZM589860 NJI589860 NTE589860 ODA589860 OMW589860 OWS589860 PGO589860 PQK589860 QAG589860 QKC589860 QTY589860 RDU589860 RNQ589860 RXM589860 SHI589860 SRE589860 TBA589860 TKW589860 TUS589860 UEO589860 UOK589860 UYG589860 VIC589860 VRY589860 WBU589860 WLQ589860 WVM589860 B655396 JA655396 SW655396 ACS655396 AMO655396 AWK655396 BGG655396 BQC655396 BZY655396 CJU655396 CTQ655396 DDM655396 DNI655396 DXE655396 EHA655396 EQW655396 FAS655396 FKO655396 FUK655396 GEG655396 GOC655396 GXY655396 HHU655396 HRQ655396 IBM655396 ILI655396 IVE655396 JFA655396 JOW655396 JYS655396 KIO655396 KSK655396 LCG655396 LMC655396 LVY655396 MFU655396 MPQ655396 MZM655396 NJI655396 NTE655396 ODA655396 OMW655396 OWS655396 PGO655396 PQK655396 QAG655396 QKC655396 QTY655396 RDU655396 RNQ655396 RXM655396 SHI655396 SRE655396 TBA655396 TKW655396 TUS655396 UEO655396 UOK655396 UYG655396 VIC655396 VRY655396 WBU655396 WLQ655396 WVM655396 B720932 JA720932 SW720932 ACS720932 AMO720932 AWK720932 BGG720932 BQC720932 BZY720932 CJU720932 CTQ720932 DDM720932 DNI720932 DXE720932 EHA720932 EQW720932 FAS720932 FKO720932 FUK720932 GEG720932 GOC720932 GXY720932 HHU720932 HRQ720932 IBM720932 ILI720932 IVE720932 JFA720932 JOW720932 JYS720932 KIO720932 KSK720932 LCG720932 LMC720932 LVY720932 MFU720932 MPQ720932 MZM720932 NJI720932 NTE720932 ODA720932 OMW720932 OWS720932 PGO720932 PQK720932 QAG720932 QKC720932 QTY720932 RDU720932 RNQ720932 RXM720932 SHI720932 SRE720932 TBA720932 TKW720932 TUS720932 UEO720932 UOK720932 UYG720932 VIC720932 VRY720932 WBU720932 WLQ720932 WVM720932 B786468 JA786468 SW786468 ACS786468 AMO786468 AWK786468 BGG786468 BQC786468 BZY786468 CJU786468 CTQ786468 DDM786468 DNI786468 DXE786468 EHA786468 EQW786468 FAS786468 FKO786468 FUK786468 GEG786468 GOC786468 GXY786468 HHU786468 HRQ786468 IBM786468 ILI786468 IVE786468 JFA786468 JOW786468 JYS786468 KIO786468 KSK786468 LCG786468 LMC786468 LVY786468 MFU786468 MPQ786468 MZM786468 NJI786468 NTE786468 ODA786468 OMW786468 OWS786468 PGO786468 PQK786468 QAG786468 QKC786468 QTY786468 RDU786468 RNQ786468 RXM786468 SHI786468 SRE786468 TBA786468 TKW786468 TUS786468 UEO786468 UOK786468 UYG786468 VIC786468 VRY786468 WBU786468 WLQ786468 WVM786468 B852004 JA852004 SW852004 ACS852004 AMO852004 AWK852004 BGG852004 BQC852004 BZY852004 CJU852004 CTQ852004 DDM852004 DNI852004 DXE852004 EHA852004 EQW852004 FAS852004 FKO852004 FUK852004 GEG852004 GOC852004 GXY852004 HHU852004 HRQ852004 IBM852004 ILI852004 IVE852004 JFA852004 JOW852004 JYS852004 KIO852004 KSK852004 LCG852004 LMC852004 LVY852004 MFU852004 MPQ852004 MZM852004 NJI852004 NTE852004 ODA852004 OMW852004 OWS852004 PGO852004 PQK852004 QAG852004 QKC852004 QTY852004 RDU852004 RNQ852004 RXM852004 SHI852004 SRE852004 TBA852004 TKW852004 TUS852004 UEO852004 UOK852004 UYG852004 VIC852004 VRY852004 WBU852004 WLQ852004 WVM852004 B917540 JA917540 SW917540 ACS917540 AMO917540 AWK917540 BGG917540 BQC917540 BZY917540 CJU917540 CTQ917540 DDM917540 DNI917540 DXE917540 EHA917540 EQW917540 FAS917540 FKO917540 FUK917540 GEG917540 GOC917540 GXY917540 HHU917540 HRQ917540 IBM917540 ILI917540 IVE917540 JFA917540 JOW917540 JYS917540 KIO917540 KSK917540 LCG917540 LMC917540 LVY917540 MFU917540 MPQ917540 MZM917540 NJI917540 NTE917540 ODA917540 OMW917540 OWS917540 PGO917540 PQK917540 QAG917540 QKC917540 QTY917540 RDU917540 RNQ917540 RXM917540 SHI917540 SRE917540 TBA917540 TKW917540 TUS917540 UEO917540 UOK917540 UYG917540 VIC917540 VRY917540 WBU917540 WLQ917540 WVM917540 B983076 JA983076 SW983076 ACS983076 AMO983076 AWK983076 BGG983076 BQC983076 BZY983076 CJU983076 CTQ983076 DDM983076 DNI983076 DXE983076 EHA983076 EQW983076 FAS983076 FKO983076 FUK983076 GEG983076 GOC983076 GXY983076 HHU983076 HRQ983076 IBM983076 ILI983076 IVE983076 JFA983076 JOW983076 JYS983076 KIO983076 KSK983076 LCG983076 LMC983076 LVY983076 MFU983076 MPQ983076 MZM983076 NJI983076 NTE983076 ODA983076 OMW983076 OWS983076 PGO983076 PQK983076 QAG983076 QKC983076 QTY983076 RDU983076 RNQ983076 RXM983076 SHI983076 SRE983076 TBA983076 TKW983076 TUS983076 UEO983076 UOK983076 UYG983076 VIC983076 VRY983076 WBU983076 WLQ983076 WVM983076 B65584 JA65584 SW65584 ACS65584 AMO65584 AWK65584 BGG65584 BQC65584 BZY65584 CJU65584 CTQ65584 DDM65584 DNI65584 DXE65584 EHA65584 EQW65584 FAS65584 FKO65584 FUK65584 GEG65584 GOC65584 GXY65584 HHU65584 HRQ65584 IBM65584 ILI65584 IVE65584 JFA65584 JOW65584 JYS65584 KIO65584 KSK65584 LCG65584 LMC65584 LVY65584 MFU65584 MPQ65584 MZM65584 NJI65584 NTE65584 ODA65584 OMW65584 OWS65584 PGO65584 PQK65584 QAG65584 QKC65584 QTY65584 RDU65584 RNQ65584 RXM65584 SHI65584 SRE65584 TBA65584 TKW65584 TUS65584 UEO65584 UOK65584 UYG65584 VIC65584 VRY65584 WBU65584 WLQ65584 WVM65584 B131120 JA131120 SW131120 ACS131120 AMO131120 AWK131120 BGG131120 BQC131120 BZY131120 CJU131120 CTQ131120 DDM131120 DNI131120 DXE131120 EHA131120 EQW131120 FAS131120 FKO131120 FUK131120 GEG131120 GOC131120 GXY131120 HHU131120 HRQ131120 IBM131120 ILI131120 IVE131120 JFA131120 JOW131120 JYS131120 KIO131120 KSK131120 LCG131120 LMC131120 LVY131120 MFU131120 MPQ131120 MZM131120 NJI131120 NTE131120 ODA131120 OMW131120 OWS131120 PGO131120 PQK131120 QAG131120 QKC131120 QTY131120 RDU131120 RNQ131120 RXM131120 SHI131120 SRE131120 TBA131120 TKW131120 TUS131120 UEO131120 UOK131120 UYG131120 VIC131120 VRY131120 WBU131120 WLQ131120 WVM131120 B196656 JA196656 SW196656 ACS196656 AMO196656 AWK196656 BGG196656 BQC196656 BZY196656 CJU196656 CTQ196656 DDM196656 DNI196656 DXE196656 EHA196656 EQW196656 FAS196656 FKO196656 FUK196656 GEG196656 GOC196656 GXY196656 HHU196656 HRQ196656 IBM196656 ILI196656 IVE196656 JFA196656 JOW196656 JYS196656 KIO196656 KSK196656 LCG196656 LMC196656 LVY196656 MFU196656 MPQ196656 MZM196656 NJI196656 NTE196656 ODA196656 OMW196656 OWS196656 PGO196656 PQK196656 QAG196656 QKC196656 QTY196656 RDU196656 RNQ196656 RXM196656 SHI196656 SRE196656 TBA196656 TKW196656 TUS196656 UEO196656 UOK196656 UYG196656 VIC196656 VRY196656 WBU196656 WLQ196656 WVM196656 B262192 JA262192 SW262192 ACS262192 AMO262192 AWK262192 BGG262192 BQC262192 BZY262192 CJU262192 CTQ262192 DDM262192 DNI262192 DXE262192 EHA262192 EQW262192 FAS262192 FKO262192 FUK262192 GEG262192 GOC262192 GXY262192 HHU262192 HRQ262192 IBM262192 ILI262192 IVE262192 JFA262192 JOW262192 JYS262192 KIO262192 KSK262192 LCG262192 LMC262192 LVY262192 MFU262192 MPQ262192 MZM262192 NJI262192 NTE262192 ODA262192 OMW262192 OWS262192 PGO262192 PQK262192 QAG262192 QKC262192 QTY262192 RDU262192 RNQ262192 RXM262192 SHI262192 SRE262192 TBA262192 TKW262192 TUS262192 UEO262192 UOK262192 UYG262192 VIC262192 VRY262192 WBU262192 WLQ262192 WVM262192 B327728 JA327728 SW327728 ACS327728 AMO327728 AWK327728 BGG327728 BQC327728 BZY327728 CJU327728 CTQ327728 DDM327728 DNI327728 DXE327728 EHA327728 EQW327728 FAS327728 FKO327728 FUK327728 GEG327728 GOC327728 GXY327728 HHU327728 HRQ327728 IBM327728 ILI327728 IVE327728 JFA327728 JOW327728 JYS327728 KIO327728 KSK327728 LCG327728 LMC327728 LVY327728 MFU327728 MPQ327728 MZM327728 NJI327728 NTE327728 ODA327728 OMW327728 OWS327728 PGO327728 PQK327728 QAG327728 QKC327728 QTY327728 RDU327728 RNQ327728 RXM327728 SHI327728 SRE327728 TBA327728 TKW327728 TUS327728 UEO327728 UOK327728 UYG327728 VIC327728 VRY327728 WBU327728 WLQ327728 WVM327728 B393264 JA393264 SW393264 ACS393264 AMO393264 AWK393264 BGG393264 BQC393264 BZY393264 CJU393264 CTQ393264 DDM393264 DNI393264 DXE393264 EHA393264 EQW393264 FAS393264 FKO393264 FUK393264 GEG393264 GOC393264 GXY393264 HHU393264 HRQ393264 IBM393264 ILI393264 IVE393264 JFA393264 JOW393264 JYS393264 KIO393264 KSK393264 LCG393264 LMC393264 LVY393264 MFU393264 MPQ393264 MZM393264 NJI393264 NTE393264 ODA393264 OMW393264 OWS393264 PGO393264 PQK393264 QAG393264 QKC393264 QTY393264 RDU393264 RNQ393264 RXM393264 SHI393264 SRE393264 TBA393264 TKW393264 TUS393264 UEO393264 UOK393264 UYG393264 VIC393264 VRY393264 WBU393264 WLQ393264 WVM393264 B458800 JA458800 SW458800 ACS458800 AMO458800 AWK458800 BGG458800 BQC458800 BZY458800 CJU458800 CTQ458800 DDM458800 DNI458800 DXE458800 EHA458800 EQW458800 FAS458800 FKO458800 FUK458800 GEG458800 GOC458800 GXY458800 HHU458800 HRQ458800 IBM458800 ILI458800 IVE458800 JFA458800 JOW458800 JYS458800 KIO458800 KSK458800 LCG458800 LMC458800 LVY458800 MFU458800 MPQ458800 MZM458800 NJI458800 NTE458800 ODA458800 OMW458800 OWS458800 PGO458800 PQK458800 QAG458800 QKC458800 QTY458800 RDU458800 RNQ458800 RXM458800 SHI458800 SRE458800 TBA458800 TKW458800 TUS458800 UEO458800 UOK458800 UYG458800 VIC458800 VRY458800 WBU458800 WLQ458800 WVM458800 B524336 JA524336 SW524336 ACS524336 AMO524336 AWK524336 BGG524336 BQC524336 BZY524336 CJU524336 CTQ524336 DDM524336 DNI524336 DXE524336 EHA524336 EQW524336 FAS524336 FKO524336 FUK524336 GEG524336 GOC524336 GXY524336 HHU524336 HRQ524336 IBM524336 ILI524336 IVE524336 JFA524336 JOW524336 JYS524336 KIO524336 KSK524336 LCG524336 LMC524336 LVY524336 MFU524336 MPQ524336 MZM524336 NJI524336 NTE524336 ODA524336 OMW524336 OWS524336 PGO524336 PQK524336 QAG524336 QKC524336 QTY524336 RDU524336 RNQ524336 RXM524336 SHI524336 SRE524336 TBA524336 TKW524336 TUS524336 UEO524336 UOK524336 UYG524336 VIC524336 VRY524336 WBU524336 WLQ524336 WVM524336 B589872 JA589872 SW589872 ACS589872 AMO589872 AWK589872 BGG589872 BQC589872 BZY589872 CJU589872 CTQ589872 DDM589872 DNI589872 DXE589872 EHA589872 EQW589872 FAS589872 FKO589872 FUK589872 GEG589872 GOC589872 GXY589872 HHU589872 HRQ589872 IBM589872 ILI589872 IVE589872 JFA589872 JOW589872 JYS589872 KIO589872 KSK589872 LCG589872 LMC589872 LVY589872 MFU589872 MPQ589872 MZM589872 NJI589872 NTE589872 ODA589872 OMW589872 OWS589872 PGO589872 PQK589872 QAG589872 QKC589872 QTY589872 RDU589872 RNQ589872 RXM589872 SHI589872 SRE589872 TBA589872 TKW589872 TUS589872 UEO589872 UOK589872 UYG589872 VIC589872 VRY589872 WBU589872 WLQ589872 WVM589872 B655408 JA655408 SW655408 ACS655408 AMO655408 AWK655408 BGG655408 BQC655408 BZY655408 CJU655408 CTQ655408 DDM655408 DNI655408 DXE655408 EHA655408 EQW655408 FAS655408 FKO655408 FUK655408 GEG655408 GOC655408 GXY655408 HHU655408 HRQ655408 IBM655408 ILI655408 IVE655408 JFA655408 JOW655408 JYS655408 KIO655408 KSK655408 LCG655408 LMC655408 LVY655408 MFU655408 MPQ655408 MZM655408 NJI655408 NTE655408 ODA655408 OMW655408 OWS655408 PGO655408 PQK655408 QAG655408 QKC655408 QTY655408 RDU655408 RNQ655408 RXM655408 SHI655408 SRE655408 TBA655408 TKW655408 TUS655408 UEO655408 UOK655408 UYG655408 VIC655408 VRY655408 WBU655408 WLQ655408 WVM655408 B720944 JA720944 SW720944 ACS720944 AMO720944 AWK720944 BGG720944 BQC720944 BZY720944 CJU720944 CTQ720944 DDM720944 DNI720944 DXE720944 EHA720944 EQW720944 FAS720944 FKO720944 FUK720944 GEG720944 GOC720944 GXY720944 HHU720944 HRQ720944 IBM720944 ILI720944 IVE720944 JFA720944 JOW720944 JYS720944 KIO720944 KSK720944 LCG720944 LMC720944 LVY720944 MFU720944 MPQ720944 MZM720944 NJI720944 NTE720944 ODA720944 OMW720944 OWS720944 PGO720944 PQK720944 QAG720944 QKC720944 QTY720944 RDU720944 RNQ720944 RXM720944 SHI720944 SRE720944 TBA720944 TKW720944 TUS720944 UEO720944 UOK720944 UYG720944 VIC720944 VRY720944 WBU720944 WLQ720944 WVM720944 B786480 JA786480 SW786480 ACS786480 AMO786480 AWK786480 BGG786480 BQC786480 BZY786480 CJU786480 CTQ786480 DDM786480 DNI786480 DXE786480 EHA786480 EQW786480 FAS786480 FKO786480 FUK786480 GEG786480 GOC786480 GXY786480 HHU786480 HRQ786480 IBM786480 ILI786480 IVE786480 JFA786480 JOW786480 JYS786480 KIO786480 KSK786480 LCG786480 LMC786480 LVY786480 MFU786480 MPQ786480 MZM786480 NJI786480 NTE786480 ODA786480 OMW786480 OWS786480 PGO786480 PQK786480 QAG786480 QKC786480 QTY786480 RDU786480 RNQ786480 RXM786480 SHI786480 SRE786480 TBA786480 TKW786480 TUS786480 UEO786480 UOK786480 UYG786480 VIC786480 VRY786480 WBU786480 WLQ786480 WVM786480 B852016 JA852016 SW852016 ACS852016 AMO852016 AWK852016 BGG852016 BQC852016 BZY852016 CJU852016 CTQ852016 DDM852016 DNI852016 DXE852016 EHA852016 EQW852016 FAS852016 FKO852016 FUK852016 GEG852016 GOC852016 GXY852016 HHU852016 HRQ852016 IBM852016 ILI852016 IVE852016 JFA852016 JOW852016 JYS852016 KIO852016 KSK852016 LCG852016 LMC852016 LVY852016 MFU852016 MPQ852016 MZM852016 NJI852016 NTE852016 ODA852016 OMW852016 OWS852016 PGO852016 PQK852016 QAG852016 QKC852016 QTY852016 RDU852016 RNQ852016 RXM852016 SHI852016 SRE852016 TBA852016 TKW852016 TUS852016 UEO852016 UOK852016 UYG852016 VIC852016 VRY852016 WBU852016 WLQ852016 WVM852016 B917552 JA917552 SW917552 ACS917552 AMO917552 AWK917552 BGG917552 BQC917552 BZY917552 CJU917552 CTQ917552 DDM917552 DNI917552 DXE917552 EHA917552 EQW917552 FAS917552 FKO917552 FUK917552 GEG917552 GOC917552 GXY917552 HHU917552 HRQ917552 IBM917552 ILI917552 IVE917552 JFA917552 JOW917552 JYS917552 KIO917552 KSK917552 LCG917552 LMC917552 LVY917552 MFU917552 MPQ917552 MZM917552 NJI917552 NTE917552 ODA917552 OMW917552 OWS917552 PGO917552 PQK917552 QAG917552 QKC917552 QTY917552 RDU917552 RNQ917552 RXM917552 SHI917552 SRE917552 TBA917552 TKW917552 TUS917552 UEO917552 UOK917552 UYG917552 VIC917552 VRY917552 WBU917552 WLQ917552 WVM917552 B983088 JA983088 SW983088 ACS983088 AMO983088 AWK983088 BGG983088 BQC983088 BZY983088 CJU983088 CTQ983088 DDM983088 DNI983088 DXE983088 EHA983088 EQW983088 FAS983088 FKO983088 FUK983088 GEG983088 GOC983088 GXY983088 HHU983088 HRQ983088 IBM983088 ILI983088 IVE983088 JFA983088 JOW983088 JYS983088 KIO983088 KSK983088 LCG983088 LMC983088 LVY983088 MFU983088 MPQ983088 MZM983088 NJI983088 NTE983088 ODA983088 OMW983088 OWS983088 PGO983088 PQK983088 QAG983088 QKC983088 QTY983088 RDU983088 RNQ983088 RXM983088 SHI983088 SRE983088 TBA983088 TKW983088 TUS983088 UEO983088 UOK983088 UYG983088 VIC983088 VRY983088 WBU983088 WLQ983088 WVM983088" xr:uid="{7D2823D0-4ABA-4000-939C-19ACCC7C91EA}">
      <formula1>"はい,いいえ"</formula1>
    </dataValidation>
  </dataValidations>
  <printOptions horizontalCentered="1" verticalCentered="1"/>
  <pageMargins left="0.62992125984251968" right="0.23622047244094491" top="0.23622047244094491" bottom="0.23622047244094491" header="0.31496062992125984" footer="0.31496062992125984"/>
  <pageSetup paperSize="9" scale="7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7797" r:id="rId4" name="Check Box 5">
              <controlPr defaultSize="0" autoFill="0" autoLine="0" autoPict="0">
                <anchor moveWithCells="1">
                  <from>
                    <xdr:col>1</xdr:col>
                    <xdr:colOff>133350</xdr:colOff>
                    <xdr:row>16</xdr:row>
                    <xdr:rowOff>0</xdr:rowOff>
                  </from>
                  <to>
                    <xdr:col>1</xdr:col>
                    <xdr:colOff>495300</xdr:colOff>
                    <xdr:row>17</xdr:row>
                    <xdr:rowOff>38100</xdr:rowOff>
                  </to>
                </anchor>
              </controlPr>
            </control>
          </mc:Choice>
        </mc:AlternateContent>
        <mc:AlternateContent xmlns:mc="http://schemas.openxmlformats.org/markup-compatibility/2006">
          <mc:Choice Requires="x14">
            <control shapeId="417798" r:id="rId5" name="Check Box 6">
              <controlPr defaultSize="0" autoFill="0" autoLine="0" autoPict="0">
                <anchor moveWithCells="1">
                  <from>
                    <xdr:col>1</xdr:col>
                    <xdr:colOff>133350</xdr:colOff>
                    <xdr:row>17</xdr:row>
                    <xdr:rowOff>0</xdr:rowOff>
                  </from>
                  <to>
                    <xdr:col>1</xdr:col>
                    <xdr:colOff>495300</xdr:colOff>
                    <xdr:row>18</xdr:row>
                    <xdr:rowOff>38100</xdr:rowOff>
                  </to>
                </anchor>
              </controlPr>
            </control>
          </mc:Choice>
        </mc:AlternateContent>
        <mc:AlternateContent xmlns:mc="http://schemas.openxmlformats.org/markup-compatibility/2006">
          <mc:Choice Requires="x14">
            <control shapeId="417799" r:id="rId6" name="Check Box 7">
              <controlPr defaultSize="0" autoFill="0" autoLine="0" autoPict="0">
                <anchor moveWithCells="1">
                  <from>
                    <xdr:col>1</xdr:col>
                    <xdr:colOff>133350</xdr:colOff>
                    <xdr:row>22</xdr:row>
                    <xdr:rowOff>0</xdr:rowOff>
                  </from>
                  <to>
                    <xdr:col>1</xdr:col>
                    <xdr:colOff>495300</xdr:colOff>
                    <xdr:row>23</xdr:row>
                    <xdr:rowOff>38100</xdr:rowOff>
                  </to>
                </anchor>
              </controlPr>
            </control>
          </mc:Choice>
        </mc:AlternateContent>
        <mc:AlternateContent xmlns:mc="http://schemas.openxmlformats.org/markup-compatibility/2006">
          <mc:Choice Requires="x14">
            <control shapeId="417801" r:id="rId7" name="Check Box 9">
              <controlPr defaultSize="0" autoFill="0" autoLine="0" autoPict="0">
                <anchor moveWithCells="1">
                  <from>
                    <xdr:col>1</xdr:col>
                    <xdr:colOff>133350</xdr:colOff>
                    <xdr:row>23</xdr:row>
                    <xdr:rowOff>0</xdr:rowOff>
                  </from>
                  <to>
                    <xdr:col>1</xdr:col>
                    <xdr:colOff>495300</xdr:colOff>
                    <xdr:row>24</xdr:row>
                    <xdr:rowOff>38100</xdr:rowOff>
                  </to>
                </anchor>
              </controlPr>
            </control>
          </mc:Choice>
        </mc:AlternateContent>
        <mc:AlternateContent xmlns:mc="http://schemas.openxmlformats.org/markup-compatibility/2006">
          <mc:Choice Requires="x14">
            <control shapeId="417802" r:id="rId8" name="Check Box 10">
              <controlPr defaultSize="0" autoFill="0" autoLine="0" autoPict="0">
                <anchor moveWithCells="1">
                  <from>
                    <xdr:col>1</xdr:col>
                    <xdr:colOff>133350</xdr:colOff>
                    <xdr:row>27</xdr:row>
                    <xdr:rowOff>0</xdr:rowOff>
                  </from>
                  <to>
                    <xdr:col>1</xdr:col>
                    <xdr:colOff>495300</xdr:colOff>
                    <xdr:row>28</xdr:row>
                    <xdr:rowOff>38100</xdr:rowOff>
                  </to>
                </anchor>
              </controlPr>
            </control>
          </mc:Choice>
        </mc:AlternateContent>
        <mc:AlternateContent xmlns:mc="http://schemas.openxmlformats.org/markup-compatibility/2006">
          <mc:Choice Requires="x14">
            <control shapeId="417805" r:id="rId9" name="Check Box 13">
              <controlPr defaultSize="0" autoFill="0" autoLine="0" autoPict="0">
                <anchor moveWithCells="1">
                  <from>
                    <xdr:col>1</xdr:col>
                    <xdr:colOff>133350</xdr:colOff>
                    <xdr:row>23</xdr:row>
                    <xdr:rowOff>0</xdr:rowOff>
                  </from>
                  <to>
                    <xdr:col>1</xdr:col>
                    <xdr:colOff>495300</xdr:colOff>
                    <xdr:row>24</xdr:row>
                    <xdr:rowOff>38100</xdr:rowOff>
                  </to>
                </anchor>
              </controlPr>
            </control>
          </mc:Choice>
        </mc:AlternateContent>
        <mc:AlternateContent xmlns:mc="http://schemas.openxmlformats.org/markup-compatibility/2006">
          <mc:Choice Requires="x14">
            <control shapeId="417806" r:id="rId10" name="Check Box 14">
              <controlPr defaultSize="0" autoFill="0" autoLine="0" autoPict="0">
                <anchor moveWithCells="1">
                  <from>
                    <xdr:col>1</xdr:col>
                    <xdr:colOff>133350</xdr:colOff>
                    <xdr:row>24</xdr:row>
                    <xdr:rowOff>0</xdr:rowOff>
                  </from>
                  <to>
                    <xdr:col>1</xdr:col>
                    <xdr:colOff>495300</xdr:colOff>
                    <xdr:row>25</xdr:row>
                    <xdr:rowOff>38100</xdr:rowOff>
                  </to>
                </anchor>
              </controlPr>
            </control>
          </mc:Choice>
        </mc:AlternateContent>
        <mc:AlternateContent xmlns:mc="http://schemas.openxmlformats.org/markup-compatibility/2006">
          <mc:Choice Requires="x14">
            <control shapeId="417807" r:id="rId11" name="Check Box 15">
              <controlPr defaultSize="0" autoFill="0" autoLine="0" autoPict="0">
                <anchor moveWithCells="1">
                  <from>
                    <xdr:col>1</xdr:col>
                    <xdr:colOff>133350</xdr:colOff>
                    <xdr:row>24</xdr:row>
                    <xdr:rowOff>0</xdr:rowOff>
                  </from>
                  <to>
                    <xdr:col>1</xdr:col>
                    <xdr:colOff>495300</xdr:colOff>
                    <xdr:row>25</xdr:row>
                    <xdr:rowOff>38100</xdr:rowOff>
                  </to>
                </anchor>
              </controlPr>
            </control>
          </mc:Choice>
        </mc:AlternateContent>
        <mc:AlternateContent xmlns:mc="http://schemas.openxmlformats.org/markup-compatibility/2006">
          <mc:Choice Requires="x14">
            <control shapeId="417808" r:id="rId12" name="Check Box 16">
              <controlPr defaultSize="0" autoFill="0" autoLine="0" autoPict="0">
                <anchor moveWithCells="1">
                  <from>
                    <xdr:col>1</xdr:col>
                    <xdr:colOff>133350</xdr:colOff>
                    <xdr:row>25</xdr:row>
                    <xdr:rowOff>0</xdr:rowOff>
                  </from>
                  <to>
                    <xdr:col>1</xdr:col>
                    <xdr:colOff>495300</xdr:colOff>
                    <xdr:row>26</xdr:row>
                    <xdr:rowOff>38100</xdr:rowOff>
                  </to>
                </anchor>
              </controlPr>
            </control>
          </mc:Choice>
        </mc:AlternateContent>
        <mc:AlternateContent xmlns:mc="http://schemas.openxmlformats.org/markup-compatibility/2006">
          <mc:Choice Requires="x14">
            <control shapeId="417809" r:id="rId13" name="Check Box 17">
              <controlPr defaultSize="0" autoFill="0" autoLine="0" autoPict="0">
                <anchor moveWithCells="1">
                  <from>
                    <xdr:col>1</xdr:col>
                    <xdr:colOff>133350</xdr:colOff>
                    <xdr:row>25</xdr:row>
                    <xdr:rowOff>0</xdr:rowOff>
                  </from>
                  <to>
                    <xdr:col>1</xdr:col>
                    <xdr:colOff>495300</xdr:colOff>
                    <xdr:row>26</xdr:row>
                    <xdr:rowOff>38100</xdr:rowOff>
                  </to>
                </anchor>
              </controlPr>
            </control>
          </mc:Choice>
        </mc:AlternateContent>
        <mc:AlternateContent xmlns:mc="http://schemas.openxmlformats.org/markup-compatibility/2006">
          <mc:Choice Requires="x14">
            <control shapeId="417810" r:id="rId14" name="Check Box 18">
              <controlPr defaultSize="0" autoFill="0" autoLine="0" autoPict="0">
                <anchor moveWithCells="1">
                  <from>
                    <xdr:col>1</xdr:col>
                    <xdr:colOff>133350</xdr:colOff>
                    <xdr:row>21</xdr:row>
                    <xdr:rowOff>0</xdr:rowOff>
                  </from>
                  <to>
                    <xdr:col>1</xdr:col>
                    <xdr:colOff>495300</xdr:colOff>
                    <xdr:row>22</xdr:row>
                    <xdr:rowOff>38100</xdr:rowOff>
                  </to>
                </anchor>
              </controlPr>
            </control>
          </mc:Choice>
        </mc:AlternateContent>
        <mc:AlternateContent xmlns:mc="http://schemas.openxmlformats.org/markup-compatibility/2006">
          <mc:Choice Requires="x14">
            <control shapeId="417815" r:id="rId15" name="Check Box 23">
              <controlPr defaultSize="0" autoFill="0" autoLine="0" autoPict="0">
                <anchor moveWithCells="1">
                  <from>
                    <xdr:col>1</xdr:col>
                    <xdr:colOff>133350</xdr:colOff>
                    <xdr:row>32</xdr:row>
                    <xdr:rowOff>0</xdr:rowOff>
                  </from>
                  <to>
                    <xdr:col>1</xdr:col>
                    <xdr:colOff>495300</xdr:colOff>
                    <xdr:row>32</xdr:row>
                    <xdr:rowOff>352425</xdr:rowOff>
                  </to>
                </anchor>
              </controlPr>
            </control>
          </mc:Choice>
        </mc:AlternateContent>
        <mc:AlternateContent xmlns:mc="http://schemas.openxmlformats.org/markup-compatibility/2006">
          <mc:Choice Requires="x14">
            <control shapeId="417816" r:id="rId16" name="Check Box 24">
              <controlPr defaultSize="0" autoFill="0" autoLine="0" autoPict="0">
                <anchor moveWithCells="1">
                  <from>
                    <xdr:col>1</xdr:col>
                    <xdr:colOff>133350</xdr:colOff>
                    <xdr:row>32</xdr:row>
                    <xdr:rowOff>0</xdr:rowOff>
                  </from>
                  <to>
                    <xdr:col>1</xdr:col>
                    <xdr:colOff>495300</xdr:colOff>
                    <xdr:row>32</xdr:row>
                    <xdr:rowOff>352425</xdr:rowOff>
                  </to>
                </anchor>
              </controlPr>
            </control>
          </mc:Choice>
        </mc:AlternateContent>
        <mc:AlternateContent xmlns:mc="http://schemas.openxmlformats.org/markup-compatibility/2006">
          <mc:Choice Requires="x14">
            <control shapeId="417794" r:id="rId17" name="Check Box 2">
              <controlPr defaultSize="0" autoFill="0" autoLine="0" autoPict="0">
                <anchor moveWithCells="1">
                  <from>
                    <xdr:col>1</xdr:col>
                    <xdr:colOff>133350</xdr:colOff>
                    <xdr:row>38</xdr:row>
                    <xdr:rowOff>0</xdr:rowOff>
                  </from>
                  <to>
                    <xdr:col>1</xdr:col>
                    <xdr:colOff>495300</xdr:colOff>
                    <xdr:row>39</xdr:row>
                    <xdr:rowOff>38100</xdr:rowOff>
                  </to>
                </anchor>
              </controlPr>
            </control>
          </mc:Choice>
        </mc:AlternateContent>
        <mc:AlternateContent xmlns:mc="http://schemas.openxmlformats.org/markup-compatibility/2006">
          <mc:Choice Requires="x14">
            <control shapeId="417795" r:id="rId18" name="Check Box 3">
              <controlPr defaultSize="0" autoFill="0" autoLine="0" autoPict="0">
                <anchor moveWithCells="1">
                  <from>
                    <xdr:col>1</xdr:col>
                    <xdr:colOff>133350</xdr:colOff>
                    <xdr:row>38</xdr:row>
                    <xdr:rowOff>0</xdr:rowOff>
                  </from>
                  <to>
                    <xdr:col>1</xdr:col>
                    <xdr:colOff>495300</xdr:colOff>
                    <xdr:row>39</xdr:row>
                    <xdr:rowOff>38100</xdr:rowOff>
                  </to>
                </anchor>
              </controlPr>
            </control>
          </mc:Choice>
        </mc:AlternateContent>
        <mc:AlternateContent xmlns:mc="http://schemas.openxmlformats.org/markup-compatibility/2006">
          <mc:Choice Requires="x14">
            <control shapeId="417817" r:id="rId19" name="Check Box 25">
              <controlPr defaultSize="0" autoFill="0" autoLine="0" autoPict="0">
                <anchor moveWithCells="1">
                  <from>
                    <xdr:col>1</xdr:col>
                    <xdr:colOff>133350</xdr:colOff>
                    <xdr:row>43</xdr:row>
                    <xdr:rowOff>0</xdr:rowOff>
                  </from>
                  <to>
                    <xdr:col>1</xdr:col>
                    <xdr:colOff>495300</xdr:colOff>
                    <xdr:row>43</xdr:row>
                    <xdr:rowOff>352425</xdr:rowOff>
                  </to>
                </anchor>
              </controlPr>
            </control>
          </mc:Choice>
        </mc:AlternateContent>
        <mc:AlternateContent xmlns:mc="http://schemas.openxmlformats.org/markup-compatibility/2006">
          <mc:Choice Requires="x14">
            <control shapeId="417818" r:id="rId20" name="Check Box 26">
              <controlPr defaultSize="0" autoFill="0" autoLine="0" autoPict="0">
                <anchor moveWithCells="1">
                  <from>
                    <xdr:col>1</xdr:col>
                    <xdr:colOff>133350</xdr:colOff>
                    <xdr:row>43</xdr:row>
                    <xdr:rowOff>0</xdr:rowOff>
                  </from>
                  <to>
                    <xdr:col>1</xdr:col>
                    <xdr:colOff>495300</xdr:colOff>
                    <xdr:row>43</xdr:row>
                    <xdr:rowOff>352425</xdr:rowOff>
                  </to>
                </anchor>
              </controlPr>
            </control>
          </mc:Choice>
        </mc:AlternateContent>
        <mc:AlternateContent xmlns:mc="http://schemas.openxmlformats.org/markup-compatibility/2006">
          <mc:Choice Requires="x14">
            <control shapeId="417821" r:id="rId21" name="Check Box 29">
              <controlPr defaultSize="0" autoFill="0" autoLine="0" autoPict="0">
                <anchor moveWithCells="1">
                  <from>
                    <xdr:col>1</xdr:col>
                    <xdr:colOff>133350</xdr:colOff>
                    <xdr:row>54</xdr:row>
                    <xdr:rowOff>0</xdr:rowOff>
                  </from>
                  <to>
                    <xdr:col>1</xdr:col>
                    <xdr:colOff>495300</xdr:colOff>
                    <xdr:row>54</xdr:row>
                    <xdr:rowOff>352425</xdr:rowOff>
                  </to>
                </anchor>
              </controlPr>
            </control>
          </mc:Choice>
        </mc:AlternateContent>
        <mc:AlternateContent xmlns:mc="http://schemas.openxmlformats.org/markup-compatibility/2006">
          <mc:Choice Requires="x14">
            <control shapeId="417822" r:id="rId22" name="Check Box 30">
              <controlPr defaultSize="0" autoFill="0" autoLine="0" autoPict="0">
                <anchor moveWithCells="1">
                  <from>
                    <xdr:col>1</xdr:col>
                    <xdr:colOff>133350</xdr:colOff>
                    <xdr:row>54</xdr:row>
                    <xdr:rowOff>0</xdr:rowOff>
                  </from>
                  <to>
                    <xdr:col>1</xdr:col>
                    <xdr:colOff>495300</xdr:colOff>
                    <xdr:row>54</xdr:row>
                    <xdr:rowOff>352425</xdr:rowOff>
                  </to>
                </anchor>
              </controlPr>
            </control>
          </mc:Choice>
        </mc:AlternateContent>
        <mc:AlternateContent xmlns:mc="http://schemas.openxmlformats.org/markup-compatibility/2006">
          <mc:Choice Requires="x14">
            <control shapeId="417819" r:id="rId23" name="Check Box 27">
              <controlPr defaultSize="0" autoFill="0" autoLine="0" autoPict="0">
                <anchor moveWithCells="1">
                  <from>
                    <xdr:col>1</xdr:col>
                    <xdr:colOff>133350</xdr:colOff>
                    <xdr:row>49</xdr:row>
                    <xdr:rowOff>0</xdr:rowOff>
                  </from>
                  <to>
                    <xdr:col>1</xdr:col>
                    <xdr:colOff>495300</xdr:colOff>
                    <xdr:row>49</xdr:row>
                    <xdr:rowOff>352425</xdr:rowOff>
                  </to>
                </anchor>
              </controlPr>
            </control>
          </mc:Choice>
        </mc:AlternateContent>
        <mc:AlternateContent xmlns:mc="http://schemas.openxmlformats.org/markup-compatibility/2006">
          <mc:Choice Requires="x14">
            <control shapeId="417820" r:id="rId24" name="Check Box 28">
              <controlPr defaultSize="0" autoFill="0" autoLine="0" autoPict="0">
                <anchor moveWithCells="1">
                  <from>
                    <xdr:col>1</xdr:col>
                    <xdr:colOff>133350</xdr:colOff>
                    <xdr:row>49</xdr:row>
                    <xdr:rowOff>0</xdr:rowOff>
                  </from>
                  <to>
                    <xdr:col>1</xdr:col>
                    <xdr:colOff>495300</xdr:colOff>
                    <xdr:row>49</xdr:row>
                    <xdr:rowOff>352425</xdr:rowOff>
                  </to>
                </anchor>
              </controlPr>
            </control>
          </mc:Choice>
        </mc:AlternateContent>
        <mc:AlternateContent xmlns:mc="http://schemas.openxmlformats.org/markup-compatibility/2006">
          <mc:Choice Requires="x14">
            <control shapeId="417800" r:id="rId25" name="Check Box 8">
              <controlPr defaultSize="0" autoFill="0" autoLine="0" autoPict="0">
                <anchor moveWithCells="1">
                  <from>
                    <xdr:col>1</xdr:col>
                    <xdr:colOff>133350</xdr:colOff>
                    <xdr:row>31</xdr:row>
                    <xdr:rowOff>0</xdr:rowOff>
                  </from>
                  <to>
                    <xdr:col>1</xdr:col>
                    <xdr:colOff>495300</xdr:colOff>
                    <xdr:row>32</xdr:row>
                    <xdr:rowOff>38100</xdr:rowOff>
                  </to>
                </anchor>
              </controlPr>
            </control>
          </mc:Choice>
        </mc:AlternateContent>
        <mc:AlternateContent xmlns:mc="http://schemas.openxmlformats.org/markup-compatibility/2006">
          <mc:Choice Requires="x14">
            <control shapeId="417803" r:id="rId26" name="Check Box 11">
              <controlPr defaultSize="0" autoFill="0" autoLine="0" autoPict="0">
                <anchor moveWithCells="1">
                  <from>
                    <xdr:col>1</xdr:col>
                    <xdr:colOff>133350</xdr:colOff>
                    <xdr:row>31</xdr:row>
                    <xdr:rowOff>0</xdr:rowOff>
                  </from>
                  <to>
                    <xdr:col>1</xdr:col>
                    <xdr:colOff>495300</xdr:colOff>
                    <xdr:row>32</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66FF33"/>
  </sheetPr>
  <dimension ref="A1:HX558"/>
  <sheetViews>
    <sheetView view="pageBreakPreview" zoomScale="60" zoomScaleNormal="80" workbookViewId="0">
      <pane ySplit="2" topLeftCell="A3" activePane="bottomLeft" state="frozen"/>
      <selection pane="bottomLeft" activeCell="B1" sqref="B1"/>
    </sheetView>
  </sheetViews>
  <sheetFormatPr defaultColWidth="9" defaultRowHeight="27" customHeight="1" x14ac:dyDescent="0.15"/>
  <cols>
    <col min="1" max="5" width="1.5" style="1358" customWidth="1"/>
    <col min="6" max="8" width="2.375" style="652" hidden="1" customWidth="1"/>
    <col min="9" max="9" width="2.125" style="1203" customWidth="1"/>
    <col min="10" max="26" width="2.125" style="420" customWidth="1"/>
    <col min="27" max="27" width="2" style="420" customWidth="1"/>
    <col min="28" max="72" width="2.125" style="414" customWidth="1"/>
    <col min="73" max="73" width="2.125" style="577" customWidth="1"/>
    <col min="74" max="94" width="2.125" style="388" customWidth="1"/>
    <col min="95" max="95" width="2" style="388" customWidth="1"/>
    <col min="96" max="99" width="2.125" style="388" customWidth="1"/>
    <col min="100" max="101" width="1.375" style="388" customWidth="1"/>
    <col min="102" max="106" width="1.375" style="207" customWidth="1"/>
    <col min="107" max="107" width="1.375" style="15" customWidth="1"/>
    <col min="108" max="112" width="1.375" style="207" customWidth="1"/>
    <col min="113" max="113" width="10.375" style="1591" hidden="1" customWidth="1"/>
    <col min="114" max="114" width="23.5" style="1155" hidden="1" customWidth="1"/>
    <col min="115" max="115" width="13.125" style="1163" hidden="1" customWidth="1"/>
    <col min="116" max="116" width="11.375" style="72" hidden="1" customWidth="1"/>
    <col min="117" max="117" width="18.625" style="72" hidden="1" customWidth="1"/>
    <col min="118" max="118" width="13.875" style="72" hidden="1" customWidth="1"/>
    <col min="119" max="119" width="7.375" style="72" hidden="1" customWidth="1"/>
    <col min="120" max="121" width="8.125" style="72" hidden="1" customWidth="1"/>
    <col min="122" max="122" width="10.375" style="73" hidden="1" customWidth="1"/>
    <col min="123" max="123" width="12.625" style="73" hidden="1" customWidth="1"/>
    <col min="124" max="124" width="13.125" style="73" hidden="1" customWidth="1"/>
    <col min="125" max="125" width="11.875" style="73" hidden="1" customWidth="1"/>
    <col min="126" max="126" width="12.5" style="73" hidden="1" customWidth="1"/>
    <col min="127" max="127" width="11.125" style="73" hidden="1" customWidth="1"/>
    <col min="128" max="128" width="7.375" style="73" hidden="1" customWidth="1"/>
    <col min="129" max="129" width="9.625" style="73" hidden="1" customWidth="1"/>
    <col min="130" max="130" width="11.375" style="73" hidden="1" customWidth="1"/>
    <col min="131" max="131" width="18.375" style="73" hidden="1" customWidth="1"/>
    <col min="132" max="132" width="12.125" style="73" hidden="1" customWidth="1"/>
    <col min="133" max="134" width="7.375" style="73" hidden="1" customWidth="1"/>
    <col min="135" max="135" width="8.5" style="73" hidden="1" customWidth="1"/>
    <col min="136" max="136" width="7.375" style="73" hidden="1" customWidth="1"/>
    <col min="137" max="141" width="7.375" style="72" hidden="1" customWidth="1"/>
    <col min="142" max="144" width="9" style="73" hidden="1" customWidth="1"/>
    <col min="145" max="145" width="4.125" style="73" hidden="1" customWidth="1"/>
    <col min="146" max="146" width="14" style="73" hidden="1" customWidth="1"/>
    <col min="147" max="148" width="9" style="73" hidden="1" customWidth="1"/>
    <col min="149" max="149" width="3.375" style="73" hidden="1" customWidth="1"/>
    <col min="150" max="170" width="9" style="73" hidden="1" customWidth="1"/>
    <col min="171" max="171" width="9" style="76" hidden="1" customWidth="1"/>
    <col min="172" max="172" width="9" style="73" hidden="1" customWidth="1"/>
    <col min="173" max="177" width="7.375" style="73" hidden="1" customWidth="1"/>
    <col min="178" max="182" width="7.375" style="72" hidden="1" customWidth="1"/>
    <col min="183" max="183" width="9" style="72" hidden="1" customWidth="1"/>
    <col min="184" max="232" width="9" style="73" hidden="1" customWidth="1"/>
    <col min="233" max="16384" width="9" style="73"/>
  </cols>
  <sheetData>
    <row r="1" spans="1:183" ht="27" customHeight="1" x14ac:dyDescent="0.15">
      <c r="A1" s="1193"/>
      <c r="B1" s="1194"/>
      <c r="C1" s="1194"/>
      <c r="D1" s="1194"/>
      <c r="E1" s="1195"/>
      <c r="F1" s="1196"/>
      <c r="G1" s="1196"/>
      <c r="H1" s="1196"/>
      <c r="I1" s="1441" t="s">
        <v>1841</v>
      </c>
      <c r="J1" s="1197"/>
      <c r="K1" s="1197"/>
      <c r="L1" s="1197"/>
      <c r="M1" s="1197"/>
      <c r="N1" s="1197"/>
      <c r="O1" s="1197"/>
      <c r="P1" s="1197"/>
      <c r="Q1" s="1197"/>
      <c r="R1" s="1197"/>
      <c r="S1" s="1197"/>
      <c r="T1" s="1197"/>
      <c r="U1" s="1197"/>
      <c r="V1" s="1197"/>
      <c r="W1" s="1197"/>
      <c r="X1" s="1197"/>
      <c r="Y1" s="1197"/>
      <c r="Z1" s="1197"/>
      <c r="AA1" s="1197"/>
      <c r="AB1" s="1198"/>
      <c r="AC1" s="1198"/>
      <c r="AD1" s="1198"/>
      <c r="AE1" s="1198"/>
      <c r="AI1" s="388"/>
      <c r="AJ1" s="2214" t="s">
        <v>1926</v>
      </c>
      <c r="AK1" s="2214"/>
      <c r="AL1" s="2214"/>
      <c r="AM1" s="2214"/>
      <c r="AN1" s="2214"/>
      <c r="AO1" s="2214"/>
      <c r="AP1" s="2214"/>
      <c r="AQ1" s="2214"/>
      <c r="AR1" s="2214"/>
      <c r="AS1" s="2214"/>
      <c r="AT1" s="2214"/>
      <c r="AU1" s="2214"/>
      <c r="AV1" s="2214"/>
      <c r="AW1" s="2214"/>
      <c r="AX1" s="2214"/>
      <c r="AY1" s="2214"/>
      <c r="AZ1" s="2214"/>
      <c r="BA1" s="2214"/>
      <c r="BB1" s="2214"/>
      <c r="BC1" s="2214"/>
      <c r="BD1" s="2214"/>
      <c r="BE1" s="2214"/>
      <c r="BF1" s="2215" t="str">
        <f>HYPERLINK("#'使用方法'!F29:F37","シート一覧へ")</f>
        <v>シート一覧へ</v>
      </c>
      <c r="BG1" s="2215"/>
      <c r="BH1" s="2215"/>
      <c r="BI1" s="2215"/>
      <c r="BJ1" s="2215"/>
      <c r="BK1" s="2215"/>
      <c r="BL1" s="1442"/>
      <c r="BM1" s="1442"/>
      <c r="BN1" s="1442"/>
      <c r="BO1" s="1442"/>
      <c r="BP1" s="1442"/>
      <c r="BQ1" s="1442"/>
      <c r="BR1" s="1443"/>
      <c r="BS1" s="1444" t="s">
        <v>1795</v>
      </c>
      <c r="BT1" s="2229">
        <v>1</v>
      </c>
      <c r="BU1" s="2229"/>
      <c r="BV1" s="2229">
        <v>2</v>
      </c>
      <c r="BW1" s="2229"/>
      <c r="BX1" s="2229">
        <v>3</v>
      </c>
      <c r="BY1" s="2229"/>
      <c r="BZ1" s="2229">
        <v>4</v>
      </c>
      <c r="CA1" s="2229"/>
      <c r="CB1" s="2229">
        <v>5</v>
      </c>
      <c r="CC1" s="2229"/>
      <c r="CD1" s="2218">
        <v>6</v>
      </c>
      <c r="CE1" s="2218"/>
      <c r="CF1" s="2218">
        <v>7</v>
      </c>
      <c r="CG1" s="2218"/>
      <c r="CH1" s="2218">
        <v>8</v>
      </c>
      <c r="CI1" s="2218"/>
      <c r="CJ1" s="2218">
        <v>9</v>
      </c>
      <c r="CK1" s="2218"/>
      <c r="CL1" s="2229">
        <v>10</v>
      </c>
      <c r="CM1" s="2229"/>
      <c r="CN1" s="2218">
        <v>11</v>
      </c>
      <c r="CO1" s="2218"/>
      <c r="CP1" s="2218">
        <v>12</v>
      </c>
      <c r="CQ1" s="2218"/>
      <c r="CR1" s="2218">
        <v>13</v>
      </c>
      <c r="CS1" s="2218"/>
      <c r="CT1" s="2229">
        <v>14</v>
      </c>
      <c r="CU1" s="2217"/>
      <c r="CV1" s="2100" t="str">
        <f>チェックシート!H3</f>
        <v>Kyoto City（R7.7） ver.120</v>
      </c>
      <c r="CW1" s="1445"/>
      <c r="DJ1" s="1364"/>
      <c r="DM1" s="1943" t="s">
        <v>3332</v>
      </c>
      <c r="EG1" s="73"/>
      <c r="EH1" s="73"/>
      <c r="EI1" s="73"/>
      <c r="EJ1" s="73"/>
      <c r="EK1" s="73"/>
      <c r="FV1" s="73"/>
      <c r="FW1" s="73"/>
      <c r="FX1" s="73"/>
      <c r="FY1" s="73"/>
      <c r="FZ1" s="73"/>
    </row>
    <row r="2" spans="1:183" ht="27" customHeight="1" x14ac:dyDescent="0.15">
      <c r="A2" s="1200" t="s">
        <v>1840</v>
      </c>
      <c r="B2" s="1201"/>
      <c r="C2" s="1201"/>
      <c r="D2" s="1201"/>
      <c r="E2" s="1202"/>
      <c r="M2" s="2348"/>
      <c r="N2" s="2349"/>
      <c r="O2" s="2350"/>
      <c r="P2" s="1442" t="s">
        <v>337</v>
      </c>
      <c r="Q2" s="414"/>
      <c r="R2" s="414"/>
      <c r="S2" s="414"/>
      <c r="T2" s="414"/>
      <c r="U2" s="2351"/>
      <c r="V2" s="2351"/>
      <c r="W2" s="2351"/>
      <c r="X2" s="1442" t="s">
        <v>338</v>
      </c>
      <c r="Y2" s="414"/>
      <c r="Z2" s="414"/>
      <c r="AA2" s="414"/>
      <c r="AC2" s="2310"/>
      <c r="AD2" s="2310"/>
      <c r="AE2" s="2310"/>
      <c r="AF2" s="1442" t="s">
        <v>2121</v>
      </c>
      <c r="AN2" s="1204"/>
      <c r="AO2" s="2311"/>
      <c r="AP2" s="2311"/>
      <c r="AQ2" s="2311"/>
      <c r="AR2" s="1442" t="s">
        <v>344</v>
      </c>
      <c r="AY2" s="422"/>
      <c r="AZ2" s="1205"/>
      <c r="BA2" s="1205"/>
      <c r="BB2" s="1205"/>
      <c r="BC2" s="422"/>
      <c r="BD2" s="422"/>
      <c r="BE2" s="422"/>
      <c r="BF2" s="1446"/>
      <c r="BG2" s="1446"/>
      <c r="BH2" s="1442"/>
      <c r="BI2" s="1442"/>
      <c r="BJ2" s="1442"/>
      <c r="BK2" s="1442"/>
      <c r="BL2" s="1442"/>
      <c r="BM2" s="1442"/>
      <c r="BN2" s="2225">
        <v>15</v>
      </c>
      <c r="BO2" s="2225"/>
      <c r="BP2" s="2225">
        <v>16</v>
      </c>
      <c r="BQ2" s="2225"/>
      <c r="BR2" s="2219">
        <v>17</v>
      </c>
      <c r="BS2" s="2219"/>
      <c r="BT2" s="2218">
        <v>18</v>
      </c>
      <c r="BU2" s="2217"/>
      <c r="BV2" s="2218">
        <v>19</v>
      </c>
      <c r="BW2" s="2217"/>
      <c r="BX2" s="2218">
        <v>20</v>
      </c>
      <c r="BY2" s="2217"/>
      <c r="BZ2" s="2218">
        <v>21</v>
      </c>
      <c r="CA2" s="2229"/>
      <c r="CB2" s="2218">
        <v>22</v>
      </c>
      <c r="CC2" s="2217"/>
      <c r="CD2" s="2218">
        <v>23</v>
      </c>
      <c r="CE2" s="2217"/>
      <c r="CF2" s="2218" t="s">
        <v>2178</v>
      </c>
      <c r="CG2" s="2217"/>
      <c r="CH2" s="2218" t="s">
        <v>2179</v>
      </c>
      <c r="CI2" s="2217"/>
      <c r="CJ2" s="2216" t="s">
        <v>2181</v>
      </c>
      <c r="CK2" s="2217"/>
      <c r="CL2" s="2216" t="s">
        <v>2182</v>
      </c>
      <c r="CM2" s="2217"/>
      <c r="CN2" s="2218" t="s">
        <v>2180</v>
      </c>
      <c r="CO2" s="2217"/>
      <c r="CP2" s="2218" t="s">
        <v>2183</v>
      </c>
      <c r="CQ2" s="2217"/>
      <c r="CR2" s="2218" t="s">
        <v>2184</v>
      </c>
      <c r="CS2" s="2217"/>
      <c r="CT2" s="2216" t="s">
        <v>2185</v>
      </c>
      <c r="CU2" s="2217"/>
      <c r="CV2" s="1445"/>
      <c r="CW2" s="1445"/>
      <c r="DI2" s="1592"/>
      <c r="DJ2" s="1158"/>
      <c r="DM2" s="74" t="s">
        <v>320</v>
      </c>
      <c r="DN2" s="74" t="s">
        <v>321</v>
      </c>
      <c r="DO2" s="74" t="s">
        <v>322</v>
      </c>
      <c r="DP2" s="74" t="s">
        <v>322</v>
      </c>
      <c r="DQ2" s="74"/>
      <c r="DR2" s="75"/>
      <c r="DS2" s="43" t="s">
        <v>346</v>
      </c>
      <c r="DT2" s="43" t="s">
        <v>346</v>
      </c>
      <c r="DU2" s="43" t="s">
        <v>346</v>
      </c>
      <c r="DV2" s="76"/>
      <c r="DW2" s="76"/>
      <c r="DX2" s="76"/>
      <c r="DY2" s="76"/>
      <c r="DZ2" s="76"/>
      <c r="EA2" s="76"/>
      <c r="EB2" s="575" t="s">
        <v>906</v>
      </c>
      <c r="EC2" s="76"/>
      <c r="ED2" s="76"/>
      <c r="EE2" s="75" t="s">
        <v>907</v>
      </c>
      <c r="EF2" s="76"/>
      <c r="EG2" s="76"/>
      <c r="EH2" s="76"/>
      <c r="EI2" s="76"/>
      <c r="EJ2" s="76"/>
      <c r="EK2" s="76"/>
      <c r="EL2" s="76"/>
      <c r="EM2" s="76"/>
      <c r="EN2" s="76"/>
      <c r="EO2" s="76"/>
      <c r="EP2" s="76"/>
      <c r="EQ2" s="76"/>
      <c r="ER2" s="76"/>
      <c r="ES2" s="76"/>
      <c r="ET2" s="76"/>
      <c r="EU2" s="76"/>
      <c r="EV2" s="76"/>
      <c r="EW2" s="76"/>
      <c r="EX2" s="76"/>
      <c r="EY2" s="575" t="s">
        <v>908</v>
      </c>
      <c r="EZ2" s="575"/>
      <c r="FA2" s="75" t="s">
        <v>907</v>
      </c>
      <c r="FB2" s="76"/>
      <c r="FC2" s="76"/>
      <c r="FD2" s="76"/>
      <c r="FE2" s="76"/>
      <c r="FF2" s="76"/>
      <c r="FG2" s="76"/>
      <c r="FH2" s="76"/>
      <c r="FI2" s="76"/>
      <c r="FJ2" s="576" t="s">
        <v>1076</v>
      </c>
      <c r="FK2" s="576" t="s">
        <v>1077</v>
      </c>
      <c r="FL2" s="576" t="s">
        <v>1078</v>
      </c>
      <c r="FM2" s="576" t="s">
        <v>1079</v>
      </c>
      <c r="FN2" s="576" t="s">
        <v>1080</v>
      </c>
      <c r="FQ2" s="575" t="s">
        <v>906</v>
      </c>
      <c r="FR2" s="76"/>
      <c r="FS2" s="76"/>
      <c r="FT2" s="75" t="s">
        <v>907</v>
      </c>
      <c r="FU2" s="76"/>
      <c r="FV2" s="76"/>
      <c r="FW2" s="76"/>
      <c r="FX2" s="76"/>
      <c r="FY2" s="76"/>
      <c r="FZ2" s="76"/>
    </row>
    <row r="3" spans="1:183" ht="27" customHeight="1" thickBot="1" x14ac:dyDescent="0.2">
      <c r="A3" s="1201"/>
      <c r="B3" s="1201"/>
      <c r="C3" s="1201"/>
      <c r="D3" s="1201"/>
      <c r="E3" s="1202"/>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V3" s="1433" t="s">
        <v>1796</v>
      </c>
      <c r="DM3" s="72" t="s">
        <v>1631</v>
      </c>
      <c r="DN3" s="72" t="s">
        <v>1655</v>
      </c>
      <c r="DO3" s="322"/>
      <c r="DP3" s="322" t="s">
        <v>1656</v>
      </c>
      <c r="DQ3" s="72" t="s">
        <v>1654</v>
      </c>
      <c r="EB3" s="1547" t="s">
        <v>3222</v>
      </c>
      <c r="EG3" s="73"/>
      <c r="EH3" s="73"/>
      <c r="EI3" s="73"/>
      <c r="EJ3" s="73"/>
      <c r="EK3" s="73"/>
      <c r="FV3" s="73"/>
      <c r="FW3" s="73"/>
      <c r="FX3" s="73"/>
      <c r="FY3" s="73"/>
      <c r="FZ3" s="73"/>
    </row>
    <row r="4" spans="1:183" s="78" customFormat="1" ht="27" customHeight="1" thickBot="1" x14ac:dyDescent="0.2">
      <c r="A4" s="1201"/>
      <c r="B4" s="1201"/>
      <c r="C4" s="1201"/>
      <c r="D4" s="1201"/>
      <c r="E4" s="1202"/>
      <c r="F4" s="652"/>
      <c r="G4" s="652"/>
      <c r="H4" s="652"/>
      <c r="I4" s="1206"/>
      <c r="J4" s="2620" t="s">
        <v>1280</v>
      </c>
      <c r="K4" s="2253"/>
      <c r="L4" s="2253"/>
      <c r="M4" s="2256"/>
      <c r="N4" s="2256"/>
      <c r="O4" s="2256"/>
      <c r="P4" s="2253" t="s">
        <v>1281</v>
      </c>
      <c r="Q4" s="2253"/>
      <c r="R4" s="2253" t="s">
        <v>1282</v>
      </c>
      <c r="S4" s="2253"/>
      <c r="T4" s="2254"/>
      <c r="U4" s="1207"/>
      <c r="V4" s="1428" t="s">
        <v>2189</v>
      </c>
      <c r="W4" s="1209"/>
      <c r="X4" s="1209"/>
      <c r="Y4" s="1209"/>
      <c r="Z4" s="1209"/>
      <c r="AA4" s="1209"/>
      <c r="AB4" s="1210"/>
      <c r="AC4" s="1210"/>
      <c r="AD4" s="1210"/>
      <c r="AE4" s="1210"/>
      <c r="AF4" s="1210"/>
      <c r="AG4" s="1210"/>
      <c r="AH4" s="1210"/>
      <c r="AI4" s="1210"/>
      <c r="AJ4" s="1210"/>
      <c r="AK4" s="1211"/>
      <c r="AL4" s="1211"/>
      <c r="AM4" s="1211"/>
      <c r="AN4" s="1211"/>
      <c r="AO4" s="1211"/>
      <c r="AP4" s="1211"/>
      <c r="AQ4" s="1211"/>
      <c r="AR4" s="1211"/>
      <c r="AS4" s="1211"/>
      <c r="AT4" s="1211"/>
      <c r="AU4" s="1211"/>
      <c r="AV4" s="1211"/>
      <c r="AW4" s="2242" t="s">
        <v>653</v>
      </c>
      <c r="AX4" s="2243"/>
      <c r="AY4" s="2243"/>
      <c r="AZ4" s="2243"/>
      <c r="BA4" s="2243"/>
      <c r="BB4" s="2243"/>
      <c r="BC4" s="2233" t="s">
        <v>294</v>
      </c>
      <c r="BD4" s="2233"/>
      <c r="BE4" s="2233"/>
      <c r="BF4" s="2185"/>
      <c r="BG4" s="2185"/>
      <c r="BH4" s="2185"/>
      <c r="BI4" s="1212" t="s">
        <v>12</v>
      </c>
      <c r="BJ4" s="1212"/>
      <c r="BK4" s="2185"/>
      <c r="BL4" s="2185"/>
      <c r="BM4" s="2185"/>
      <c r="BN4" s="1212" t="s">
        <v>163</v>
      </c>
      <c r="BO4" s="1212"/>
      <c r="BP4" s="2185"/>
      <c r="BQ4" s="2185"/>
      <c r="BR4" s="2185"/>
      <c r="BS4" s="1213" t="s">
        <v>164</v>
      </c>
      <c r="BT4" s="1213"/>
      <c r="BU4" s="578"/>
      <c r="BV4" s="1433" t="s">
        <v>1844</v>
      </c>
      <c r="BW4" s="1433" t="s">
        <v>1842</v>
      </c>
      <c r="BX4" s="388"/>
      <c r="BY4" s="388"/>
      <c r="BZ4" s="388"/>
      <c r="CA4" s="388"/>
      <c r="CB4" s="388"/>
      <c r="CC4" s="388"/>
      <c r="CD4" s="388"/>
      <c r="CE4" s="388"/>
      <c r="CF4" s="388"/>
      <c r="CG4" s="388"/>
      <c r="CH4" s="388"/>
      <c r="CI4" s="388"/>
      <c r="CJ4" s="388"/>
      <c r="CK4" s="388"/>
      <c r="CL4" s="388"/>
      <c r="CM4" s="388"/>
      <c r="CN4" s="388"/>
      <c r="CO4" s="388"/>
      <c r="CP4" s="388"/>
      <c r="CQ4" s="388"/>
      <c r="CR4" s="388"/>
      <c r="CS4" s="388"/>
      <c r="CT4" s="388"/>
      <c r="CU4" s="388"/>
      <c r="CV4" s="388"/>
      <c r="CW4" s="388"/>
      <c r="CX4" s="207"/>
      <c r="CY4" s="207"/>
      <c r="CZ4" s="207"/>
      <c r="DA4" s="207"/>
      <c r="DB4" s="207"/>
      <c r="DC4" s="15"/>
      <c r="DD4" s="207"/>
      <c r="DE4" s="207"/>
      <c r="DF4" s="207"/>
      <c r="DG4" s="207"/>
      <c r="DH4" s="207"/>
      <c r="DI4" s="1591"/>
      <c r="DJ4" s="1155"/>
      <c r="DK4" s="1163"/>
      <c r="DL4" s="77"/>
      <c r="DM4" s="146">
        <f>COUNTA(BF4,BK4,BP4)</f>
        <v>0</v>
      </c>
      <c r="DN4" s="146" t="str">
        <f>IF(DM4&lt;3,"","令和"&amp;BF4&amp;"年"&amp;BK4&amp;"月"&amp;BP4&amp;"日")</f>
        <v/>
      </c>
      <c r="DO4" s="580"/>
      <c r="DP4" s="323">
        <v>43465</v>
      </c>
      <c r="DQ4" s="86">
        <f>BF4*12+BK4-3</f>
        <v>-3</v>
      </c>
      <c r="DS4" s="1537">
        <f>M4+2018</f>
        <v>2018</v>
      </c>
      <c r="DT4" s="1161" t="s">
        <v>2926</v>
      </c>
      <c r="FO4" s="579"/>
      <c r="GA4" s="77"/>
    </row>
    <row r="5" spans="1:183" ht="27" customHeight="1" thickBot="1" x14ac:dyDescent="0.2">
      <c r="A5" s="1201"/>
      <c r="B5" s="1201"/>
      <c r="C5" s="1201"/>
      <c r="D5" s="1201"/>
      <c r="E5" s="1202"/>
      <c r="AR5" s="422"/>
      <c r="AS5" s="422"/>
      <c r="AT5" s="422"/>
      <c r="AU5" s="422"/>
      <c r="AV5" s="422"/>
      <c r="AW5" s="422"/>
      <c r="AX5" s="422"/>
      <c r="CU5" s="1112" t="str">
        <f>チェックシート!H3</f>
        <v>Kyoto City（R7.7） ver.120</v>
      </c>
      <c r="DN5" s="432">
        <f>DATE(VLOOKUP($BC$4,$DT$6:$DV$9,3,FALSE)+$BF$4,$BK$4,$BP$4)</f>
        <v>43069</v>
      </c>
      <c r="DO5" s="1161" t="s">
        <v>2800</v>
      </c>
      <c r="DS5" s="73" t="s">
        <v>2750</v>
      </c>
      <c r="DV5" s="1160"/>
      <c r="EG5" s="73"/>
      <c r="EH5" s="73"/>
      <c r="EI5" s="73"/>
      <c r="EJ5" s="73"/>
      <c r="EK5" s="73"/>
      <c r="FV5" s="73"/>
      <c r="FW5" s="73"/>
      <c r="FX5" s="73"/>
      <c r="FY5" s="73"/>
      <c r="FZ5" s="73"/>
    </row>
    <row r="6" spans="1:183" s="80" customFormat="1" ht="35.1" customHeight="1" thickBot="1" x14ac:dyDescent="0.6">
      <c r="A6" s="1201"/>
      <c r="B6" s="1201"/>
      <c r="C6" s="1201"/>
      <c r="D6" s="1201"/>
      <c r="E6" s="1202"/>
      <c r="F6" s="652"/>
      <c r="G6" s="652"/>
      <c r="H6" s="652"/>
      <c r="I6" s="1214"/>
      <c r="J6" s="1363" t="s">
        <v>1308</v>
      </c>
      <c r="K6" s="1362"/>
      <c r="L6" s="1362"/>
      <c r="M6" s="1362"/>
      <c r="N6" s="1362"/>
      <c r="O6" s="1362"/>
      <c r="P6" s="1362"/>
      <c r="Q6" s="1362"/>
      <c r="R6" s="1362"/>
      <c r="S6" s="1362"/>
      <c r="T6" s="1362"/>
      <c r="U6" s="1362"/>
      <c r="V6" s="1362"/>
      <c r="W6" s="1362"/>
      <c r="X6" s="1362"/>
      <c r="Y6" s="1362"/>
      <c r="Z6" s="1362"/>
      <c r="AA6" s="1362"/>
      <c r="AB6" s="1362"/>
      <c r="AC6" s="1362"/>
      <c r="AD6" s="1362"/>
      <c r="AE6" s="1362"/>
      <c r="AF6" s="1362"/>
      <c r="AG6" s="1362"/>
      <c r="AH6" s="1362"/>
      <c r="AI6" s="1362"/>
      <c r="AJ6" s="1362"/>
      <c r="AK6" s="1362"/>
      <c r="AL6" s="1362"/>
      <c r="AM6" s="1362"/>
      <c r="AN6" s="1362"/>
      <c r="AO6" s="1362"/>
      <c r="AP6" s="1362"/>
      <c r="AQ6" s="1362"/>
      <c r="AR6" s="1362"/>
      <c r="AS6" s="1362"/>
      <c r="AT6" s="1362"/>
      <c r="AU6" s="1362"/>
      <c r="AV6" s="1362"/>
      <c r="AW6" s="1362"/>
      <c r="AX6" s="1362"/>
      <c r="AY6" s="1362"/>
      <c r="AZ6" s="1362"/>
      <c r="BA6" s="1362"/>
      <c r="BB6" s="1362"/>
      <c r="BC6" s="1362"/>
      <c r="BD6" s="1362"/>
      <c r="BE6" s="1362"/>
      <c r="BF6" s="1362"/>
      <c r="BG6" s="1362"/>
      <c r="BH6" s="1362"/>
      <c r="BI6" s="1362"/>
      <c r="BJ6" s="1362"/>
      <c r="BK6" s="1362"/>
      <c r="BL6" s="1406"/>
      <c r="BM6" s="1362"/>
      <c r="BN6" s="1362"/>
      <c r="BO6" s="1362"/>
      <c r="BP6" s="1362"/>
      <c r="BQ6" s="1362"/>
      <c r="BR6" s="1362"/>
      <c r="BS6" s="1362"/>
      <c r="BT6" s="1418" t="s">
        <v>2842</v>
      </c>
      <c r="BU6" s="581"/>
      <c r="BV6" s="389" t="s">
        <v>1843</v>
      </c>
      <c r="BW6" s="389" t="s">
        <v>1873</v>
      </c>
      <c r="BX6" s="389"/>
      <c r="BY6" s="1191"/>
      <c r="BZ6" s="1191"/>
      <c r="CA6" s="1191"/>
      <c r="CB6" s="1191"/>
      <c r="CC6" s="1191"/>
      <c r="CD6" s="1191"/>
      <c r="CE6" s="1191"/>
      <c r="CF6" s="1191"/>
      <c r="CG6" s="1191"/>
      <c r="CH6" s="1191"/>
      <c r="CI6" s="1191"/>
      <c r="CJ6" s="1191"/>
      <c r="CK6" s="1191"/>
      <c r="CL6" s="1191"/>
      <c r="CM6" s="1191"/>
      <c r="CN6" s="1191"/>
      <c r="CO6" s="1191"/>
      <c r="CP6" s="1191"/>
      <c r="CQ6" s="1191"/>
      <c r="CR6" s="1191"/>
      <c r="CS6" s="1191"/>
      <c r="CT6" s="1191"/>
      <c r="CU6" s="390"/>
      <c r="CV6" s="388"/>
      <c r="CW6" s="388"/>
      <c r="CX6" s="207"/>
      <c r="CY6" s="207"/>
      <c r="CZ6" s="207"/>
      <c r="DA6" s="207"/>
      <c r="DB6" s="207"/>
      <c r="DC6" s="15"/>
      <c r="DD6" s="16"/>
      <c r="DE6" s="16"/>
      <c r="DF6" s="16"/>
      <c r="DG6" s="16"/>
      <c r="DH6" s="16"/>
      <c r="DI6" s="1593"/>
      <c r="DJ6" s="1163"/>
      <c r="DK6" s="1163"/>
      <c r="DL6" s="79"/>
      <c r="DM6" s="1436" t="str">
        <f>J6</f>
        <v>１　報告対象建築物</v>
      </c>
      <c r="DN6" s="79"/>
      <c r="DO6" s="79"/>
      <c r="DP6" s="79"/>
      <c r="DQ6" s="1126"/>
      <c r="DR6" s="1127"/>
      <c r="DS6" s="1125">
        <v>9856</v>
      </c>
      <c r="DT6" s="155" t="s">
        <v>2745</v>
      </c>
      <c r="DU6" s="155" t="s">
        <v>2746</v>
      </c>
      <c r="DV6" s="155">
        <f>YEAR(DS6)-1</f>
        <v>1925</v>
      </c>
      <c r="DW6" s="1160" t="s">
        <v>2925</v>
      </c>
      <c r="FO6" s="582"/>
      <c r="GA6" s="79"/>
    </row>
    <row r="7" spans="1:183" s="78" customFormat="1" ht="27" customHeight="1" thickBot="1" x14ac:dyDescent="0.2">
      <c r="A7" s="1201"/>
      <c r="B7" s="1201"/>
      <c r="C7" s="1201"/>
      <c r="D7" s="1201"/>
      <c r="E7" s="1202"/>
      <c r="F7" s="652"/>
      <c r="G7" s="652"/>
      <c r="H7" s="652"/>
      <c r="I7" s="1206"/>
      <c r="J7" s="1215"/>
      <c r="K7" s="1216"/>
      <c r="L7" s="1216"/>
      <c r="M7" s="2237" t="s">
        <v>314</v>
      </c>
      <c r="N7" s="2238"/>
      <c r="O7" s="2238"/>
      <c r="P7" s="2238"/>
      <c r="Q7" s="2238"/>
      <c r="R7" s="2238"/>
      <c r="S7" s="2238"/>
      <c r="T7" s="2238"/>
      <c r="U7" s="2238"/>
      <c r="V7" s="2238"/>
      <c r="W7" s="2238"/>
      <c r="X7" s="2238"/>
      <c r="Y7" s="2237"/>
      <c r="Z7" s="2238"/>
      <c r="AA7" s="2238"/>
      <c r="AB7" s="2614"/>
      <c r="AC7" s="2614"/>
      <c r="AD7" s="2614"/>
      <c r="AE7" s="2614"/>
      <c r="AF7" s="2614"/>
      <c r="AG7" s="2614"/>
      <c r="AH7" s="2614"/>
      <c r="AI7" s="2614"/>
      <c r="AJ7" s="1217"/>
      <c r="AK7" s="2250"/>
      <c r="AL7" s="2251"/>
      <c r="AM7" s="2251"/>
      <c r="AN7" s="2252"/>
      <c r="AO7" s="2252"/>
      <c r="AP7" s="2252"/>
      <c r="AQ7" s="2330" t="s">
        <v>1089</v>
      </c>
      <c r="AR7" s="2331"/>
      <c r="AS7" s="2331"/>
      <c r="AT7" s="2332"/>
      <c r="AU7" s="2333"/>
      <c r="AV7" s="2333"/>
      <c r="AW7" s="2334"/>
      <c r="AX7" s="2334"/>
      <c r="AY7" s="2334"/>
      <c r="AZ7" s="1212"/>
      <c r="BA7" s="1212"/>
      <c r="BB7" s="1212"/>
      <c r="BC7" s="1212"/>
      <c r="BD7" s="1212"/>
      <c r="BE7" s="1212"/>
      <c r="BF7" s="1212"/>
      <c r="BG7" s="1212"/>
      <c r="BH7" s="1212"/>
      <c r="BI7" s="1212"/>
      <c r="BJ7" s="1212"/>
      <c r="BK7" s="1212"/>
      <c r="BL7" s="1212"/>
      <c r="BM7" s="1212"/>
      <c r="BN7" s="1212"/>
      <c r="BO7" s="1212"/>
      <c r="BP7" s="1212"/>
      <c r="BQ7" s="1212"/>
      <c r="BR7" s="1212"/>
      <c r="BS7" s="1212"/>
      <c r="BT7" s="1212"/>
      <c r="BU7" s="395"/>
      <c r="BV7" s="1181" t="s">
        <v>1845</v>
      </c>
      <c r="BW7" s="1181"/>
      <c r="BX7" s="1181"/>
      <c r="BY7" s="1177"/>
      <c r="BZ7" s="1177"/>
      <c r="CA7" s="1177"/>
      <c r="CB7" s="1177"/>
      <c r="CC7" s="1177"/>
      <c r="CD7" s="1177"/>
      <c r="CE7" s="1177"/>
      <c r="CF7" s="1177"/>
      <c r="CG7" s="1177"/>
      <c r="CH7" s="1177"/>
      <c r="CI7" s="1177"/>
      <c r="CJ7" s="1177"/>
      <c r="CK7" s="1177"/>
      <c r="CL7" s="1177"/>
      <c r="CM7" s="1177"/>
      <c r="CN7" s="1177"/>
      <c r="CO7" s="1177"/>
      <c r="CP7" s="1177"/>
      <c r="CQ7" s="1177"/>
      <c r="CR7" s="1177"/>
      <c r="CS7" s="1177"/>
      <c r="CT7" s="1177"/>
      <c r="CU7" s="1178"/>
      <c r="CV7" s="388"/>
      <c r="CW7" s="388"/>
      <c r="CX7" s="207"/>
      <c r="CY7" s="207"/>
      <c r="CZ7" s="207"/>
      <c r="DA7" s="207"/>
      <c r="DB7" s="207"/>
      <c r="DC7" s="15"/>
      <c r="DD7" s="16"/>
      <c r="DE7" s="16"/>
      <c r="DF7" s="16"/>
      <c r="DG7" s="16"/>
      <c r="DH7" s="16"/>
      <c r="DI7" s="1593"/>
      <c r="DJ7" s="1163"/>
      <c r="DK7" s="1163"/>
      <c r="DL7" s="77"/>
      <c r="DN7" s="1543" t="str">
        <f>TEXT(AT7,"0000")</f>
        <v>0000</v>
      </c>
      <c r="DO7" s="1161" t="s">
        <v>2998</v>
      </c>
      <c r="DQ7" s="196"/>
      <c r="DR7" s="196"/>
      <c r="DS7" s="1125">
        <v>32516</v>
      </c>
      <c r="DT7" s="155" t="s">
        <v>2747</v>
      </c>
      <c r="DU7" s="155" t="s">
        <v>1784</v>
      </c>
      <c r="DV7" s="155">
        <f t="shared" ref="DV7:DV8" si="0">YEAR(DS7)-1</f>
        <v>1988</v>
      </c>
      <c r="FO7" s="579"/>
      <c r="GA7" s="77"/>
    </row>
    <row r="8" spans="1:183" s="78" customFormat="1" ht="27" customHeight="1" x14ac:dyDescent="0.15">
      <c r="A8" s="1201"/>
      <c r="B8" s="1201"/>
      <c r="C8" s="1201"/>
      <c r="D8" s="1201"/>
      <c r="E8" s="1202"/>
      <c r="F8" s="652"/>
      <c r="G8" s="652"/>
      <c r="H8" s="652"/>
      <c r="I8" s="1206"/>
      <c r="J8" s="1215"/>
      <c r="K8" s="1216"/>
      <c r="L8" s="1216"/>
      <c r="M8" s="2233" t="s">
        <v>244</v>
      </c>
      <c r="N8" s="2255"/>
      <c r="O8" s="2255"/>
      <c r="P8" s="2255"/>
      <c r="Q8" s="2255"/>
      <c r="R8" s="2255"/>
      <c r="S8" s="2231" t="s">
        <v>662</v>
      </c>
      <c r="T8" s="2276"/>
      <c r="U8" s="2276"/>
      <c r="V8" s="2276"/>
      <c r="W8" s="2276"/>
      <c r="X8" s="2276"/>
      <c r="Y8" s="2276"/>
      <c r="Z8" s="2276"/>
      <c r="AA8" s="2276"/>
      <c r="AB8" s="2613"/>
      <c r="AC8" s="2169"/>
      <c r="AD8" s="2169"/>
      <c r="AE8" s="2169"/>
      <c r="AF8" s="2169"/>
      <c r="AG8" s="2169"/>
      <c r="AH8" s="2169"/>
      <c r="AI8" s="2169"/>
      <c r="AJ8" s="2169"/>
      <c r="AK8" s="2169"/>
      <c r="AL8" s="2169"/>
      <c r="AM8" s="2169"/>
      <c r="AN8" s="2166"/>
      <c r="AO8" s="2166"/>
      <c r="AP8" s="2166"/>
      <c r="AQ8" s="2166"/>
      <c r="AR8" s="2166"/>
      <c r="AS8" s="2166"/>
      <c r="AT8" s="2166"/>
      <c r="AU8" s="2166"/>
      <c r="AV8" s="2166"/>
      <c r="AW8" s="2166"/>
      <c r="AX8" s="2166"/>
      <c r="AY8" s="2166"/>
      <c r="AZ8" s="2166"/>
      <c r="BA8" s="2166"/>
      <c r="BB8" s="2166"/>
      <c r="BC8" s="2166"/>
      <c r="BD8" s="2166"/>
      <c r="BE8" s="2166"/>
      <c r="BF8" s="2166"/>
      <c r="BG8" s="2166"/>
      <c r="BH8" s="2166"/>
      <c r="BI8" s="2166"/>
      <c r="BJ8" s="2166"/>
      <c r="BK8" s="2166"/>
      <c r="BL8" s="2166"/>
      <c r="BM8" s="2166"/>
      <c r="BN8" s="2166"/>
      <c r="BO8" s="2166"/>
      <c r="BP8" s="2166"/>
      <c r="BQ8" s="2166"/>
      <c r="BR8" s="2166"/>
      <c r="BS8" s="2166"/>
      <c r="BT8" s="2166"/>
      <c r="BU8" s="395"/>
      <c r="BV8" s="1177"/>
      <c r="BW8" s="1177"/>
      <c r="BX8" s="2141" t="s">
        <v>2806</v>
      </c>
      <c r="BY8" s="2141"/>
      <c r="BZ8" s="2141"/>
      <c r="CA8" s="2141"/>
      <c r="CB8" s="2141"/>
      <c r="CC8" s="2141"/>
      <c r="CD8" s="2141"/>
      <c r="CE8" s="2141"/>
      <c r="CF8" s="2141"/>
      <c r="CG8" s="2141"/>
      <c r="CH8" s="2141"/>
      <c r="CI8" s="2141"/>
      <c r="CJ8" s="2141"/>
      <c r="CK8" s="2141"/>
      <c r="CL8" s="2141"/>
      <c r="CM8" s="2141"/>
      <c r="CN8" s="2141"/>
      <c r="CO8" s="2141"/>
      <c r="CP8" s="2141"/>
      <c r="CQ8" s="2141"/>
      <c r="CR8" s="2141"/>
      <c r="CS8" s="2141"/>
      <c r="CT8" s="1177"/>
      <c r="CU8" s="1178"/>
      <c r="CV8" s="388"/>
      <c r="CW8" s="388"/>
      <c r="CX8" s="207"/>
      <c r="CY8" s="207"/>
      <c r="CZ8" s="207"/>
      <c r="DA8" s="207"/>
      <c r="DB8" s="207"/>
      <c r="DC8" s="15"/>
      <c r="DD8" s="16"/>
      <c r="DE8" s="16"/>
      <c r="DF8" s="16"/>
      <c r="DG8" s="16"/>
      <c r="DH8" s="16"/>
      <c r="DI8" s="1593"/>
      <c r="DJ8" s="1163"/>
      <c r="DK8" s="1163"/>
      <c r="DL8" s="77"/>
      <c r="DM8" s="77"/>
      <c r="DN8" s="77"/>
      <c r="DO8" s="77"/>
      <c r="DP8" s="77"/>
      <c r="DQ8" s="221"/>
      <c r="DR8" s="196"/>
      <c r="DS8" s="1125">
        <v>43586</v>
      </c>
      <c r="DT8" s="155" t="s">
        <v>2748</v>
      </c>
      <c r="DU8" s="155" t="s">
        <v>2749</v>
      </c>
      <c r="DV8" s="155">
        <f t="shared" si="0"/>
        <v>2018</v>
      </c>
      <c r="FO8" s="579"/>
      <c r="GA8" s="77"/>
    </row>
    <row r="9" spans="1:183" s="80" customFormat="1" ht="27" customHeight="1" x14ac:dyDescent="0.15">
      <c r="A9" s="1201"/>
      <c r="B9" s="1201"/>
      <c r="C9" s="1201"/>
      <c r="D9" s="1201"/>
      <c r="E9" s="1202"/>
      <c r="F9" s="652"/>
      <c r="G9" s="652"/>
      <c r="H9" s="652"/>
      <c r="I9" s="1214"/>
      <c r="J9" s="1218"/>
      <c r="K9" s="1219"/>
      <c r="L9" s="1219"/>
      <c r="M9" s="2255"/>
      <c r="N9" s="2255"/>
      <c r="O9" s="2255"/>
      <c r="P9" s="2255"/>
      <c r="Q9" s="2255"/>
      <c r="R9" s="2255"/>
      <c r="S9" s="2325" t="s">
        <v>244</v>
      </c>
      <c r="T9" s="2326"/>
      <c r="U9" s="2326"/>
      <c r="V9" s="2326"/>
      <c r="W9" s="2326"/>
      <c r="X9" s="2326"/>
      <c r="Y9" s="2326"/>
      <c r="Z9" s="2326"/>
      <c r="AA9" s="2326"/>
      <c r="AB9" s="2208"/>
      <c r="AC9" s="2208"/>
      <c r="AD9" s="2208"/>
      <c r="AE9" s="2208"/>
      <c r="AF9" s="2208"/>
      <c r="AG9" s="2208"/>
      <c r="AH9" s="2208"/>
      <c r="AI9" s="2208"/>
      <c r="AJ9" s="2208"/>
      <c r="AK9" s="2208"/>
      <c r="AL9" s="2208"/>
      <c r="AM9" s="2208"/>
      <c r="AN9" s="2209"/>
      <c r="AO9" s="2209"/>
      <c r="AP9" s="2209"/>
      <c r="AQ9" s="2209"/>
      <c r="AR9" s="2209"/>
      <c r="AS9" s="2209"/>
      <c r="AT9" s="2209"/>
      <c r="AU9" s="2209"/>
      <c r="AV9" s="2209"/>
      <c r="AW9" s="2209"/>
      <c r="AX9" s="2209"/>
      <c r="AY9" s="2209"/>
      <c r="AZ9" s="2209"/>
      <c r="BA9" s="2209"/>
      <c r="BB9" s="2209"/>
      <c r="BC9" s="2209"/>
      <c r="BD9" s="2209"/>
      <c r="BE9" s="2209"/>
      <c r="BF9" s="2209"/>
      <c r="BG9" s="2209"/>
      <c r="BH9" s="2209"/>
      <c r="BI9" s="2209"/>
      <c r="BJ9" s="2209"/>
      <c r="BK9" s="2209"/>
      <c r="BL9" s="2209"/>
      <c r="BM9" s="2209"/>
      <c r="BN9" s="2209"/>
      <c r="BO9" s="2209"/>
      <c r="BP9" s="2209"/>
      <c r="BQ9" s="2209"/>
      <c r="BR9" s="2209"/>
      <c r="BS9" s="2209"/>
      <c r="BT9" s="2209"/>
      <c r="BU9" s="583"/>
      <c r="BV9" s="391"/>
      <c r="BW9" s="391"/>
      <c r="BX9" s="2141"/>
      <c r="BY9" s="2141"/>
      <c r="BZ9" s="2141"/>
      <c r="CA9" s="2141"/>
      <c r="CB9" s="2141"/>
      <c r="CC9" s="2141"/>
      <c r="CD9" s="2141"/>
      <c r="CE9" s="2141"/>
      <c r="CF9" s="2141"/>
      <c r="CG9" s="2141"/>
      <c r="CH9" s="2141"/>
      <c r="CI9" s="2141"/>
      <c r="CJ9" s="2141"/>
      <c r="CK9" s="2141"/>
      <c r="CL9" s="2141"/>
      <c r="CM9" s="2141"/>
      <c r="CN9" s="2141"/>
      <c r="CO9" s="2141"/>
      <c r="CP9" s="2141"/>
      <c r="CQ9" s="2141"/>
      <c r="CR9" s="2141"/>
      <c r="CS9" s="2141"/>
      <c r="CT9" s="391"/>
      <c r="CU9" s="392"/>
      <c r="CV9" s="1220"/>
      <c r="CW9" s="1220"/>
      <c r="CX9" s="17"/>
      <c r="CY9" s="17"/>
      <c r="CZ9" s="17"/>
      <c r="DA9" s="17"/>
      <c r="DB9" s="17"/>
      <c r="DC9" s="328"/>
      <c r="DD9" s="324"/>
      <c r="DE9" s="324"/>
      <c r="DF9" s="324"/>
      <c r="DG9" s="324"/>
      <c r="DH9" s="324"/>
      <c r="DI9" s="1593"/>
      <c r="DJ9" s="1164"/>
      <c r="DK9" s="1163"/>
      <c r="DL9" s="79"/>
      <c r="DM9" s="79"/>
      <c r="DN9" s="79"/>
      <c r="DO9" s="79"/>
      <c r="DP9" s="79"/>
      <c r="DQ9" s="79"/>
      <c r="DS9" s="1125"/>
      <c r="DT9" s="155"/>
      <c r="DU9" s="155"/>
      <c r="DV9" s="155"/>
      <c r="FO9" s="582"/>
      <c r="GA9" s="79"/>
    </row>
    <row r="10" spans="1:183" s="78" customFormat="1" ht="30" hidden="1" customHeight="1" x14ac:dyDescent="0.15">
      <c r="A10" s="1201"/>
      <c r="B10" s="1201"/>
      <c r="C10" s="1201"/>
      <c r="D10" s="1201"/>
      <c r="E10" s="1202"/>
      <c r="F10" s="652"/>
      <c r="G10" s="652"/>
      <c r="H10" s="652"/>
      <c r="I10" s="1206"/>
      <c r="J10" s="1215"/>
      <c r="K10" s="1216"/>
      <c r="L10" s="1216"/>
      <c r="M10" s="2244" t="s">
        <v>965</v>
      </c>
      <c r="N10" s="2245"/>
      <c r="O10" s="2245"/>
      <c r="P10" s="2245"/>
      <c r="Q10" s="2245"/>
      <c r="R10" s="2245"/>
      <c r="S10" s="2308" t="s">
        <v>1090</v>
      </c>
      <c r="T10" s="2308"/>
      <c r="U10" s="2308"/>
      <c r="V10" s="2308"/>
      <c r="W10" s="2308"/>
      <c r="X10" s="2308"/>
      <c r="Y10" s="2308"/>
      <c r="Z10" s="2309"/>
      <c r="AA10" s="2309"/>
      <c r="AB10" s="2327"/>
      <c r="AC10" s="2328"/>
      <c r="AD10" s="2328"/>
      <c r="AE10" s="2328"/>
      <c r="AF10" s="2328"/>
      <c r="AG10" s="2329"/>
      <c r="AH10" s="2329"/>
      <c r="AI10" s="2329"/>
      <c r="AJ10" s="2329"/>
      <c r="AK10" s="2329"/>
      <c r="AL10" s="2329"/>
      <c r="AM10" s="2329"/>
      <c r="AN10" s="2329"/>
      <c r="AO10" s="2329"/>
      <c r="AP10" s="2329"/>
      <c r="AQ10" s="2329"/>
      <c r="AR10" s="2329"/>
      <c r="AS10" s="2329"/>
      <c r="AT10" s="2329"/>
      <c r="AU10" s="2329"/>
      <c r="AV10" s="2329"/>
      <c r="AW10" s="2329"/>
      <c r="AX10" s="2329"/>
      <c r="AY10" s="2329"/>
      <c r="AZ10" s="2329"/>
      <c r="BA10" s="2329"/>
      <c r="BB10" s="2329"/>
      <c r="BC10" s="2329"/>
      <c r="BD10" s="2329"/>
      <c r="BE10" s="2329"/>
      <c r="BF10" s="2329"/>
      <c r="BG10" s="2329"/>
      <c r="BH10" s="2329"/>
      <c r="BI10" s="2329"/>
      <c r="BJ10" s="2329"/>
      <c r="BK10" s="2329"/>
      <c r="BL10" s="2329"/>
      <c r="BM10" s="2329"/>
      <c r="BN10" s="2329"/>
      <c r="BO10" s="2329"/>
      <c r="BP10" s="2329"/>
      <c r="BQ10" s="2329"/>
      <c r="BR10" s="2329"/>
      <c r="BS10" s="2329"/>
      <c r="BT10" s="2329"/>
      <c r="BU10" s="395"/>
      <c r="BV10" s="1177"/>
      <c r="BW10" s="1177"/>
      <c r="BX10" s="1177"/>
      <c r="BY10" s="1177"/>
      <c r="BZ10" s="1177"/>
      <c r="CA10" s="1177"/>
      <c r="CB10" s="1177"/>
      <c r="CC10" s="1177"/>
      <c r="CD10" s="1177"/>
      <c r="CE10" s="1177"/>
      <c r="CF10" s="1177"/>
      <c r="CG10" s="1177"/>
      <c r="CH10" s="1177"/>
      <c r="CI10" s="1177"/>
      <c r="CJ10" s="1177"/>
      <c r="CK10" s="1177"/>
      <c r="CL10" s="1177"/>
      <c r="CM10" s="1177"/>
      <c r="CN10" s="1177"/>
      <c r="CO10" s="1177"/>
      <c r="CP10" s="1177"/>
      <c r="CQ10" s="1177"/>
      <c r="CR10" s="1177"/>
      <c r="CS10" s="1177"/>
      <c r="CT10" s="1177"/>
      <c r="CU10" s="1178"/>
      <c r="CV10" s="388"/>
      <c r="CW10" s="388"/>
      <c r="CX10" s="207"/>
      <c r="CY10" s="207"/>
      <c r="CZ10" s="207"/>
      <c r="DA10" s="207"/>
      <c r="DB10" s="207"/>
      <c r="DC10" s="15"/>
      <c r="DD10" s="16"/>
      <c r="DE10" s="16"/>
      <c r="DF10" s="16"/>
      <c r="DG10" s="16"/>
      <c r="DH10" s="16"/>
      <c r="DI10" s="1593"/>
      <c r="DJ10" s="1162" t="s">
        <v>2802</v>
      </c>
      <c r="DK10" s="1166"/>
      <c r="DL10" s="77"/>
      <c r="DM10" s="77"/>
      <c r="DO10" s="221"/>
      <c r="DP10" s="221"/>
      <c r="DQ10" s="221"/>
      <c r="FO10" s="579"/>
      <c r="GA10" s="77"/>
    </row>
    <row r="11" spans="1:183" s="78" customFormat="1" ht="27" customHeight="1" thickBot="1" x14ac:dyDescent="0.2">
      <c r="A11" s="1201"/>
      <c r="B11" s="1201"/>
      <c r="C11" s="1201"/>
      <c r="D11" s="1201"/>
      <c r="E11" s="1202"/>
      <c r="F11" s="652"/>
      <c r="G11" s="652"/>
      <c r="H11" s="652"/>
      <c r="I11" s="1206"/>
      <c r="J11" s="1215"/>
      <c r="K11" s="1216"/>
      <c r="L11" s="1216"/>
      <c r="M11" s="2246"/>
      <c r="N11" s="2246"/>
      <c r="O11" s="2246"/>
      <c r="P11" s="2246"/>
      <c r="Q11" s="2246"/>
      <c r="R11" s="2246"/>
      <c r="S11" s="2179" t="s">
        <v>1091</v>
      </c>
      <c r="T11" s="2257"/>
      <c r="U11" s="2257"/>
      <c r="V11" s="2257"/>
      <c r="W11" s="2257"/>
      <c r="X11" s="2257"/>
      <c r="Y11" s="2257"/>
      <c r="Z11" s="2257"/>
      <c r="AA11" s="2180"/>
      <c r="AB11" s="2202" t="s">
        <v>1791</v>
      </c>
      <c r="AC11" s="2203"/>
      <c r="AD11" s="2203"/>
      <c r="AE11" s="2204"/>
      <c r="AF11" s="2204"/>
      <c r="AG11" s="2204"/>
      <c r="AH11" s="2204"/>
      <c r="AI11" s="2204"/>
      <c r="AJ11" s="2204"/>
      <c r="AK11" s="2204"/>
      <c r="AL11" s="2204"/>
      <c r="AM11" s="2204"/>
      <c r="AN11" s="2204"/>
      <c r="AO11" s="2204"/>
      <c r="AP11" s="2204"/>
      <c r="AQ11" s="2204"/>
      <c r="AR11" s="2204"/>
      <c r="AS11" s="2204"/>
      <c r="AT11" s="2204"/>
      <c r="AU11" s="2204"/>
      <c r="AV11" s="2204"/>
      <c r="AW11" s="2204"/>
      <c r="AX11" s="2204"/>
      <c r="AY11" s="2204"/>
      <c r="AZ11" s="2204"/>
      <c r="BA11" s="2204"/>
      <c r="BB11" s="2204"/>
      <c r="BC11" s="2204"/>
      <c r="BD11" s="2204"/>
      <c r="BE11" s="2204"/>
      <c r="BF11" s="2204"/>
      <c r="BG11" s="2204"/>
      <c r="BH11" s="2204"/>
      <c r="BI11" s="2204"/>
      <c r="BJ11" s="2204"/>
      <c r="BK11" s="2204"/>
      <c r="BL11" s="2204"/>
      <c r="BM11" s="2204"/>
      <c r="BN11" s="2204"/>
      <c r="BO11" s="2204"/>
      <c r="BP11" s="2204"/>
      <c r="BQ11" s="2204"/>
      <c r="BR11" s="2204"/>
      <c r="BS11" s="2204"/>
      <c r="BT11" s="2204"/>
      <c r="BU11" s="395"/>
      <c r="BV11" s="1622" t="s">
        <v>2909</v>
      </c>
      <c r="BW11" s="2144" t="s">
        <v>2910</v>
      </c>
      <c r="BX11" s="2144"/>
      <c r="BY11" s="2144"/>
      <c r="BZ11" s="2144"/>
      <c r="CA11" s="2144"/>
      <c r="CB11" s="2144"/>
      <c r="CC11" s="2144"/>
      <c r="CD11" s="2144"/>
      <c r="CE11" s="2144"/>
      <c r="CF11" s="2144"/>
      <c r="CG11" s="2144"/>
      <c r="CH11" s="2144"/>
      <c r="CI11" s="2144"/>
      <c r="CJ11" s="2144"/>
      <c r="CK11" s="2144"/>
      <c r="CL11" s="2144"/>
      <c r="CM11" s="2144"/>
      <c r="CN11" s="2144"/>
      <c r="CO11" s="2144"/>
      <c r="CP11" s="2144"/>
      <c r="CQ11" s="2144"/>
      <c r="CR11" s="2144"/>
      <c r="CS11" s="2144"/>
      <c r="CT11" s="1177"/>
      <c r="CU11" s="1178"/>
      <c r="CV11" s="388"/>
      <c r="CW11" s="388"/>
      <c r="CX11" s="207"/>
      <c r="CY11" s="207"/>
      <c r="CZ11" s="207"/>
      <c r="DA11" s="207"/>
      <c r="DB11" s="207"/>
      <c r="DC11" s="15"/>
      <c r="DD11" s="16"/>
      <c r="DE11" s="16"/>
      <c r="DF11" s="16"/>
      <c r="DG11" s="16"/>
      <c r="DH11" s="16"/>
      <c r="DI11" s="1593"/>
      <c r="DJ11" s="1159"/>
      <c r="DK11" s="1163"/>
      <c r="DL11" s="77"/>
      <c r="DM11" s="77"/>
      <c r="DN11" s="1648" t="str">
        <f>CONCATENATE(AB11,AB12,AB13,AB14)</f>
        <v>京都市</v>
      </c>
      <c r="DO11" s="1161" t="s">
        <v>2913</v>
      </c>
      <c r="DP11" s="77"/>
      <c r="DQ11" s="77"/>
      <c r="FO11" s="579"/>
      <c r="GA11" s="77"/>
    </row>
    <row r="12" spans="1:183" ht="27" customHeight="1" thickBot="1" x14ac:dyDescent="0.2">
      <c r="A12" s="1201"/>
      <c r="B12" s="1201"/>
      <c r="C12" s="1201"/>
      <c r="D12" s="1201"/>
      <c r="E12" s="1202"/>
      <c r="J12" s="1215"/>
      <c r="K12" s="1216"/>
      <c r="L12" s="1216"/>
      <c r="M12" s="2246"/>
      <c r="N12" s="2246"/>
      <c r="O12" s="2246"/>
      <c r="P12" s="2246"/>
      <c r="Q12" s="2246"/>
      <c r="R12" s="2246"/>
      <c r="S12" s="2181" t="s">
        <v>1092</v>
      </c>
      <c r="T12" s="2181"/>
      <c r="U12" s="2601"/>
      <c r="V12" s="2601"/>
      <c r="W12" s="2601"/>
      <c r="X12" s="2601"/>
      <c r="Y12" s="2601"/>
      <c r="Z12" s="2601"/>
      <c r="AA12" s="2602"/>
      <c r="AB12" s="2205"/>
      <c r="AC12" s="2206"/>
      <c r="AD12" s="2206"/>
      <c r="AE12" s="2207"/>
      <c r="AF12" s="2207"/>
      <c r="AG12" s="2207"/>
      <c r="AH12" s="2207"/>
      <c r="AI12" s="2207"/>
      <c r="AJ12" s="2207"/>
      <c r="AK12" s="2207"/>
      <c r="AL12" s="2207"/>
      <c r="AM12" s="2207"/>
      <c r="AN12" s="2207"/>
      <c r="AO12" s="2207"/>
      <c r="AP12" s="2207"/>
      <c r="AQ12" s="2207"/>
      <c r="AR12" s="2207"/>
      <c r="AS12" s="2207"/>
      <c r="AT12" s="2207"/>
      <c r="AU12" s="2207"/>
      <c r="AV12" s="2207"/>
      <c r="AW12" s="2207"/>
      <c r="AX12" s="2207"/>
      <c r="AY12" s="2207"/>
      <c r="AZ12" s="2207"/>
      <c r="BA12" s="2207"/>
      <c r="BB12" s="2207"/>
      <c r="BC12" s="2207"/>
      <c r="BD12" s="2207"/>
      <c r="BE12" s="2207"/>
      <c r="BF12" s="2207"/>
      <c r="BG12" s="2207"/>
      <c r="BH12" s="2207"/>
      <c r="BI12" s="2207"/>
      <c r="BJ12" s="2207"/>
      <c r="BK12" s="2207"/>
      <c r="BL12" s="2207"/>
      <c r="BM12" s="2207"/>
      <c r="BN12" s="2207"/>
      <c r="BO12" s="2207"/>
      <c r="BP12" s="2207"/>
      <c r="BQ12" s="2207"/>
      <c r="BR12" s="2207"/>
      <c r="BS12" s="2207"/>
      <c r="BT12" s="2207"/>
      <c r="BU12" s="584"/>
      <c r="BV12" s="1181" t="s">
        <v>1843</v>
      </c>
      <c r="BW12" s="2230" t="s">
        <v>2911</v>
      </c>
      <c r="BX12" s="2230"/>
      <c r="BY12" s="2230"/>
      <c r="BZ12" s="2230"/>
      <c r="CA12" s="2230"/>
      <c r="CB12" s="2230"/>
      <c r="CC12" s="2230"/>
      <c r="CD12" s="2230"/>
      <c r="CE12" s="2230"/>
      <c r="CF12" s="2230"/>
      <c r="CG12" s="2230"/>
      <c r="CH12" s="2230"/>
      <c r="CI12" s="2230"/>
      <c r="CJ12" s="2230"/>
      <c r="CK12" s="2230"/>
      <c r="CL12" s="2230"/>
      <c r="CM12" s="2230"/>
      <c r="CN12" s="2230"/>
      <c r="CO12" s="2230"/>
      <c r="CP12" s="2230"/>
      <c r="CQ12" s="2230"/>
      <c r="CR12" s="2230"/>
      <c r="CS12" s="2230"/>
      <c r="CT12" s="1177"/>
      <c r="CU12" s="1178"/>
      <c r="DD12" s="16"/>
      <c r="DE12" s="16"/>
      <c r="DF12" s="16"/>
      <c r="DG12" s="16"/>
      <c r="DH12" s="16"/>
      <c r="DI12" s="1593"/>
      <c r="DJ12" s="1159"/>
      <c r="DN12" s="1649" t="str">
        <f>CONCATENATE(AB13,AB14)</f>
        <v/>
      </c>
      <c r="DO12" s="1161" t="s">
        <v>3085</v>
      </c>
      <c r="EG12" s="73"/>
      <c r="EH12" s="73"/>
      <c r="EI12" s="73"/>
      <c r="EJ12" s="73"/>
      <c r="EK12" s="73"/>
      <c r="FV12" s="73"/>
      <c r="FW12" s="73"/>
      <c r="FX12" s="73"/>
      <c r="FY12" s="73"/>
      <c r="FZ12" s="73"/>
    </row>
    <row r="13" spans="1:183" ht="33" customHeight="1" thickBot="1" x14ac:dyDescent="0.2">
      <c r="A13" s="1201"/>
      <c r="B13" s="1201"/>
      <c r="C13" s="1201"/>
      <c r="D13" s="1201"/>
      <c r="E13" s="1202"/>
      <c r="J13" s="1215"/>
      <c r="K13" s="1216"/>
      <c r="L13" s="1216"/>
      <c r="M13" s="2246"/>
      <c r="N13" s="2246"/>
      <c r="O13" s="2246"/>
      <c r="P13" s="2246"/>
      <c r="Q13" s="2246"/>
      <c r="R13" s="2246"/>
      <c r="S13" s="2179" t="s">
        <v>313</v>
      </c>
      <c r="T13" s="2180"/>
      <c r="U13" s="2180"/>
      <c r="V13" s="2180"/>
      <c r="W13" s="2180"/>
      <c r="X13" s="2180"/>
      <c r="Y13" s="2180"/>
      <c r="Z13" s="2180"/>
      <c r="AA13" s="2180"/>
      <c r="AB13" s="2612"/>
      <c r="AC13" s="2206"/>
      <c r="AD13" s="2206"/>
      <c r="AE13" s="2206"/>
      <c r="AF13" s="2206"/>
      <c r="AG13" s="2206"/>
      <c r="AH13" s="2206"/>
      <c r="AI13" s="2206"/>
      <c r="AJ13" s="2206"/>
      <c r="AK13" s="2206"/>
      <c r="AL13" s="2206"/>
      <c r="AM13" s="2206"/>
      <c r="AN13" s="2206"/>
      <c r="AO13" s="2206"/>
      <c r="AP13" s="2206"/>
      <c r="AQ13" s="2206"/>
      <c r="AR13" s="2206"/>
      <c r="AS13" s="2206"/>
      <c r="AT13" s="2206"/>
      <c r="AU13" s="2206"/>
      <c r="AV13" s="2206"/>
      <c r="AW13" s="2206"/>
      <c r="AX13" s="2206"/>
      <c r="AY13" s="2206"/>
      <c r="AZ13" s="2206"/>
      <c r="BA13" s="2206"/>
      <c r="BB13" s="2206"/>
      <c r="BC13" s="2206"/>
      <c r="BD13" s="2207"/>
      <c r="BE13" s="2207"/>
      <c r="BF13" s="2207"/>
      <c r="BG13" s="2207"/>
      <c r="BH13" s="2207"/>
      <c r="BI13" s="2207"/>
      <c r="BJ13" s="2207"/>
      <c r="BK13" s="2207"/>
      <c r="BL13" s="2207"/>
      <c r="BM13" s="2207"/>
      <c r="BN13" s="2207"/>
      <c r="BO13" s="2207"/>
      <c r="BP13" s="2207"/>
      <c r="BQ13" s="2207"/>
      <c r="BR13" s="2207"/>
      <c r="BS13" s="2207"/>
      <c r="BT13" s="2207"/>
      <c r="BU13" s="584"/>
      <c r="BV13" s="1181"/>
      <c r="BW13" s="2144" t="s">
        <v>2912</v>
      </c>
      <c r="BX13" s="2144"/>
      <c r="BY13" s="2144"/>
      <c r="BZ13" s="2144"/>
      <c r="CA13" s="2144"/>
      <c r="CB13" s="2144"/>
      <c r="CC13" s="2144"/>
      <c r="CD13" s="2144"/>
      <c r="CE13" s="2144"/>
      <c r="CF13" s="2144"/>
      <c r="CG13" s="2144"/>
      <c r="CH13" s="2144"/>
      <c r="CI13" s="2144"/>
      <c r="CJ13" s="2144"/>
      <c r="CK13" s="2144"/>
      <c r="CL13" s="2144"/>
      <c r="CM13" s="2144"/>
      <c r="CN13" s="2144"/>
      <c r="CO13" s="2144"/>
      <c r="CP13" s="2144"/>
      <c r="CQ13" s="2144"/>
      <c r="CR13" s="2144"/>
      <c r="CS13" s="2144"/>
      <c r="CT13" s="1177"/>
      <c r="CU13" s="1178"/>
      <c r="DD13" s="16"/>
      <c r="DE13" s="16"/>
      <c r="DF13" s="16"/>
      <c r="DG13" s="16"/>
      <c r="DH13" s="16"/>
      <c r="DI13" s="1593"/>
      <c r="DJ13" s="1163"/>
      <c r="DN13" s="1748" t="str">
        <f>IF(AB8&lt;&gt;"",ASC(AB8),"")</f>
        <v/>
      </c>
      <c r="DO13" s="1161" t="s">
        <v>3350</v>
      </c>
      <c r="EG13" s="73"/>
      <c r="EH13" s="73"/>
      <c r="EI13" s="73"/>
      <c r="EJ13" s="73"/>
      <c r="EK13" s="73"/>
      <c r="FV13" s="73"/>
      <c r="FW13" s="73"/>
      <c r="FX13" s="73"/>
      <c r="FY13" s="73"/>
      <c r="FZ13" s="73"/>
    </row>
    <row r="14" spans="1:183" s="78" customFormat="1" ht="33" customHeight="1" thickBot="1" x14ac:dyDescent="0.2">
      <c r="A14" s="1201"/>
      <c r="B14" s="1201"/>
      <c r="C14" s="1201"/>
      <c r="D14" s="1201"/>
      <c r="E14" s="1202"/>
      <c r="F14" s="652"/>
      <c r="G14" s="652"/>
      <c r="H14" s="652"/>
      <c r="I14" s="1206"/>
      <c r="J14" s="1221"/>
      <c r="K14" s="1222"/>
      <c r="L14" s="1222"/>
      <c r="M14" s="2247"/>
      <c r="N14" s="2247"/>
      <c r="O14" s="2247"/>
      <c r="P14" s="2247"/>
      <c r="Q14" s="2247"/>
      <c r="R14" s="2247"/>
      <c r="S14" s="2248" t="s">
        <v>663</v>
      </c>
      <c r="T14" s="2249"/>
      <c r="U14" s="2249"/>
      <c r="V14" s="2249"/>
      <c r="W14" s="2249"/>
      <c r="X14" s="2249"/>
      <c r="Y14" s="2249"/>
      <c r="Z14" s="2249"/>
      <c r="AA14" s="2249"/>
      <c r="AB14" s="2610"/>
      <c r="AC14" s="2610"/>
      <c r="AD14" s="2610"/>
      <c r="AE14" s="2610"/>
      <c r="AF14" s="2610"/>
      <c r="AG14" s="2610"/>
      <c r="AH14" s="2610"/>
      <c r="AI14" s="2610"/>
      <c r="AJ14" s="2610"/>
      <c r="AK14" s="2610"/>
      <c r="AL14" s="2610"/>
      <c r="AM14" s="2610"/>
      <c r="AN14" s="2611"/>
      <c r="AO14" s="2611"/>
      <c r="AP14" s="2611"/>
      <c r="AQ14" s="2611"/>
      <c r="AR14" s="2611"/>
      <c r="AS14" s="2611"/>
      <c r="AT14" s="2611"/>
      <c r="AU14" s="2611"/>
      <c r="AV14" s="2611"/>
      <c r="AW14" s="2611"/>
      <c r="AX14" s="2611"/>
      <c r="AY14" s="2611"/>
      <c r="AZ14" s="2611"/>
      <c r="BA14" s="2611"/>
      <c r="BB14" s="2611"/>
      <c r="BC14" s="2611"/>
      <c r="BD14" s="2611"/>
      <c r="BE14" s="2611"/>
      <c r="BF14" s="2611"/>
      <c r="BG14" s="2611"/>
      <c r="BH14" s="2611"/>
      <c r="BI14" s="2611"/>
      <c r="BJ14" s="2611"/>
      <c r="BK14" s="2611"/>
      <c r="BL14" s="2611"/>
      <c r="BM14" s="2611"/>
      <c r="BN14" s="2611"/>
      <c r="BO14" s="2611"/>
      <c r="BP14" s="2611"/>
      <c r="BQ14" s="2611"/>
      <c r="BR14" s="2611"/>
      <c r="BS14" s="2611"/>
      <c r="BT14" s="2611"/>
      <c r="BU14" s="585"/>
      <c r="BV14" s="393"/>
      <c r="BW14" s="2145"/>
      <c r="BX14" s="2145"/>
      <c r="BY14" s="2145"/>
      <c r="BZ14" s="2145"/>
      <c r="CA14" s="2145"/>
      <c r="CB14" s="2145"/>
      <c r="CC14" s="2145"/>
      <c r="CD14" s="2145"/>
      <c r="CE14" s="2145"/>
      <c r="CF14" s="2145"/>
      <c r="CG14" s="2145"/>
      <c r="CH14" s="2145"/>
      <c r="CI14" s="2145"/>
      <c r="CJ14" s="2145"/>
      <c r="CK14" s="2145"/>
      <c r="CL14" s="2145"/>
      <c r="CM14" s="2145"/>
      <c r="CN14" s="2145"/>
      <c r="CO14" s="2145"/>
      <c r="CP14" s="2145"/>
      <c r="CQ14" s="2145"/>
      <c r="CR14" s="2145"/>
      <c r="CS14" s="2145"/>
      <c r="CT14" s="1175"/>
      <c r="CU14" s="1176"/>
      <c r="CV14" s="388"/>
      <c r="CW14" s="388"/>
      <c r="CX14" s="207"/>
      <c r="CY14" s="207"/>
      <c r="CZ14" s="207"/>
      <c r="DA14" s="207"/>
      <c r="DB14" s="207"/>
      <c r="DC14" s="15"/>
      <c r="DD14" s="16"/>
      <c r="DE14" s="16"/>
      <c r="DF14" s="16"/>
      <c r="DG14" s="16"/>
      <c r="DH14" s="16"/>
      <c r="DI14" s="1593"/>
      <c r="DJ14" s="1163"/>
      <c r="DK14" s="1163"/>
      <c r="DL14" s="77"/>
      <c r="DM14" s="77"/>
      <c r="DN14" s="77"/>
      <c r="DO14" s="77"/>
      <c r="DP14" s="77"/>
      <c r="DQ14" s="77"/>
      <c r="DV14" s="1161" t="s">
        <v>2882</v>
      </c>
      <c r="FO14" s="579"/>
      <c r="GA14" s="77"/>
    </row>
    <row r="15" spans="1:183" ht="15" customHeight="1" thickBot="1" x14ac:dyDescent="0.2">
      <c r="A15" s="1201"/>
      <c r="B15" s="1201"/>
      <c r="C15" s="1201"/>
      <c r="D15" s="1201"/>
      <c r="E15" s="1202"/>
      <c r="BU15" s="578"/>
      <c r="DD15" s="16"/>
      <c r="DE15" s="16"/>
      <c r="DF15" s="16"/>
      <c r="DG15" s="16"/>
      <c r="DH15" s="16"/>
      <c r="DI15" s="1593"/>
      <c r="DJ15" s="1163"/>
      <c r="DW15" s="73" t="str">
        <f>IF(TRIM(AB18)="",IF(OR($DS$16,$DT$16),AB79,""),AB18)</f>
        <v/>
      </c>
      <c r="EG15" s="73"/>
      <c r="EH15" s="73"/>
      <c r="EI15" s="73"/>
      <c r="EJ15" s="73"/>
      <c r="EK15" s="73"/>
      <c r="FV15" s="73"/>
      <c r="FW15" s="73"/>
      <c r="FX15" s="73"/>
      <c r="FY15" s="73"/>
      <c r="FZ15" s="73"/>
    </row>
    <row r="16" spans="1:183" s="80" customFormat="1" ht="35.1" customHeight="1" thickBot="1" x14ac:dyDescent="0.6">
      <c r="A16" s="1201"/>
      <c r="B16" s="1201"/>
      <c r="C16" s="1201"/>
      <c r="D16" s="1201"/>
      <c r="E16" s="1202"/>
      <c r="F16" s="652"/>
      <c r="G16" s="652"/>
      <c r="H16" s="652"/>
      <c r="I16" s="1214"/>
      <c r="J16" s="1363" t="s">
        <v>966</v>
      </c>
      <c r="K16" s="1223"/>
      <c r="L16" s="1223"/>
      <c r="M16" s="1224"/>
      <c r="N16" s="1224"/>
      <c r="O16" s="1224"/>
      <c r="P16" s="1224"/>
      <c r="Q16" s="1224"/>
      <c r="R16" s="1224"/>
      <c r="S16" s="1223"/>
      <c r="T16" s="1223"/>
      <c r="U16" s="1223"/>
      <c r="V16" s="1223"/>
      <c r="W16" s="1223"/>
      <c r="X16" s="1223"/>
      <c r="Y16" s="1223"/>
      <c r="Z16" s="1223"/>
      <c r="AA16" s="1223"/>
      <c r="AB16" s="1223"/>
      <c r="AC16" s="1223"/>
      <c r="AD16" s="1223"/>
      <c r="AE16" s="1223"/>
      <c r="AF16" s="1223"/>
      <c r="AG16" s="1223"/>
      <c r="AH16" s="1223"/>
      <c r="AI16" s="1223"/>
      <c r="AJ16" s="1223"/>
      <c r="AK16" s="1223"/>
      <c r="AL16" s="1223"/>
      <c r="AM16" s="1223"/>
      <c r="AN16" s="1223"/>
      <c r="AO16" s="1223"/>
      <c r="AP16" s="1223"/>
      <c r="AQ16" s="1223"/>
      <c r="AR16" s="1223"/>
      <c r="AS16" s="1223"/>
      <c r="AT16" s="1223"/>
      <c r="AU16" s="1223"/>
      <c r="AV16" s="1223"/>
      <c r="AW16" s="1223"/>
      <c r="AX16" s="1223"/>
      <c r="AY16" s="1407"/>
      <c r="AZ16" s="1407"/>
      <c r="BA16" s="2937" t="s">
        <v>2880</v>
      </c>
      <c r="BB16" s="2937"/>
      <c r="BC16" s="2937"/>
      <c r="BD16" s="2937"/>
      <c r="BE16" s="2937"/>
      <c r="BF16" s="2937"/>
      <c r="BG16" s="2937"/>
      <c r="BH16" s="2937"/>
      <c r="BI16" s="2937"/>
      <c r="BJ16" s="2937"/>
      <c r="BK16" s="2937"/>
      <c r="BL16" s="2937"/>
      <c r="BM16" s="2937"/>
      <c r="BN16" s="2155" t="s">
        <v>2849</v>
      </c>
      <c r="BO16" s="2155"/>
      <c r="BP16" s="2155"/>
      <c r="BQ16" s="2155"/>
      <c r="BR16" s="2155"/>
      <c r="BS16" s="2155"/>
      <c r="BT16" s="2155"/>
      <c r="BU16" s="586"/>
      <c r="BV16" s="586"/>
      <c r="BW16" s="586"/>
      <c r="BX16" s="581"/>
      <c r="BY16" s="581"/>
      <c r="BZ16" s="581"/>
      <c r="CA16" s="1191"/>
      <c r="CB16" s="1191"/>
      <c r="CC16" s="1191"/>
      <c r="CD16" s="1191"/>
      <c r="CE16" s="1191"/>
      <c r="CF16" s="1191"/>
      <c r="CG16" s="1191"/>
      <c r="CH16" s="1191"/>
      <c r="CI16" s="1191"/>
      <c r="CJ16" s="1191"/>
      <c r="CK16" s="1191"/>
      <c r="CL16" s="1191"/>
      <c r="CM16" s="1191"/>
      <c r="CN16" s="1191"/>
      <c r="CO16" s="1191"/>
      <c r="CP16" s="1191"/>
      <c r="CQ16" s="1191"/>
      <c r="CR16" s="1191"/>
      <c r="CS16" s="1191"/>
      <c r="CT16" s="1191"/>
      <c r="CU16" s="390"/>
      <c r="CV16" s="388"/>
      <c r="CW16" s="388"/>
      <c r="CX16" s="207"/>
      <c r="CY16" s="207"/>
      <c r="CZ16" s="207"/>
      <c r="DA16" s="207"/>
      <c r="DB16" s="207"/>
      <c r="DC16" s="15"/>
      <c r="DD16" s="16"/>
      <c r="DE16" s="16"/>
      <c r="DF16" s="16"/>
      <c r="DG16" s="16"/>
      <c r="DH16" s="16"/>
      <c r="DI16" s="1593"/>
      <c r="DJ16" s="1163"/>
      <c r="DK16" s="1163"/>
      <c r="DL16" s="79"/>
      <c r="DM16" s="79"/>
      <c r="DN16" s="79"/>
      <c r="DO16" s="79"/>
      <c r="DP16" s="79"/>
      <c r="DQ16" s="79"/>
      <c r="DS16" s="192" t="b">
        <v>0</v>
      </c>
      <c r="DT16" s="192" t="b">
        <v>0</v>
      </c>
      <c r="DU16" s="197"/>
      <c r="DV16" s="1547" t="s">
        <v>2936</v>
      </c>
      <c r="DW16" s="1544"/>
      <c r="DX16" s="1545"/>
      <c r="EA16" s="1161"/>
      <c r="FO16" s="582"/>
      <c r="GA16" s="79"/>
    </row>
    <row r="17" spans="1:183" s="78" customFormat="1" ht="15.6" hidden="1" customHeight="1" x14ac:dyDescent="0.15">
      <c r="A17" s="1201"/>
      <c r="B17" s="1201"/>
      <c r="C17" s="1201"/>
      <c r="D17" s="1201"/>
      <c r="E17" s="1202"/>
      <c r="F17" s="652"/>
      <c r="G17" s="652"/>
      <c r="H17" s="652"/>
      <c r="I17" s="1206"/>
      <c r="J17" s="1215"/>
      <c r="K17" s="1216"/>
      <c r="L17" s="1216"/>
      <c r="M17" s="2616" t="s">
        <v>1792</v>
      </c>
      <c r="N17" s="2616"/>
      <c r="O17" s="2616"/>
      <c r="P17" s="2616"/>
      <c r="Q17" s="2616"/>
      <c r="R17" s="2616"/>
      <c r="S17" s="2323" t="s">
        <v>664</v>
      </c>
      <c r="T17" s="2324"/>
      <c r="U17" s="2324"/>
      <c r="V17" s="2324"/>
      <c r="W17" s="2324"/>
      <c r="X17" s="2324"/>
      <c r="Y17" s="2324"/>
      <c r="Z17" s="2324"/>
      <c r="AA17" s="2324"/>
      <c r="AB17" s="2623"/>
      <c r="AC17" s="2623"/>
      <c r="AD17" s="2623"/>
      <c r="AE17" s="2623"/>
      <c r="AF17" s="2623"/>
      <c r="AG17" s="2623"/>
      <c r="AH17" s="2623"/>
      <c r="AI17" s="2623"/>
      <c r="AJ17" s="2623"/>
      <c r="AK17" s="2623"/>
      <c r="AL17" s="2623"/>
      <c r="AM17" s="2623"/>
      <c r="AN17" s="2623"/>
      <c r="AO17" s="2623"/>
      <c r="AP17" s="2623"/>
      <c r="AQ17" s="2623"/>
      <c r="AR17" s="2623"/>
      <c r="AS17" s="2623"/>
      <c r="AT17" s="2623"/>
      <c r="AU17" s="2623"/>
      <c r="AV17" s="2623"/>
      <c r="AW17" s="2623"/>
      <c r="AX17" s="2623"/>
      <c r="AY17" s="2623"/>
      <c r="AZ17" s="2623"/>
      <c r="BA17" s="2623"/>
      <c r="BB17" s="2623"/>
      <c r="BC17" s="2623"/>
      <c r="BD17" s="2623"/>
      <c r="BE17" s="2623"/>
      <c r="BF17" s="2623"/>
      <c r="BG17" s="2623"/>
      <c r="BH17" s="2623"/>
      <c r="BI17" s="2623"/>
      <c r="BJ17" s="2623"/>
      <c r="BK17" s="2623"/>
      <c r="BL17" s="2623"/>
      <c r="BM17" s="2623"/>
      <c r="BN17" s="2623"/>
      <c r="BO17" s="2623"/>
      <c r="BP17" s="2623"/>
      <c r="BQ17" s="2623"/>
      <c r="BR17" s="2623"/>
      <c r="BS17" s="2623"/>
      <c r="BT17" s="2623"/>
      <c r="BU17" s="394"/>
      <c r="BV17" s="394"/>
      <c r="BW17" s="394"/>
      <c r="BX17" s="395"/>
      <c r="BY17" s="395"/>
      <c r="BZ17" s="395"/>
      <c r="CA17" s="1177"/>
      <c r="CB17" s="1177"/>
      <c r="CC17" s="1177"/>
      <c r="CD17" s="1177"/>
      <c r="CE17" s="1177"/>
      <c r="CF17" s="1177"/>
      <c r="CG17" s="1177"/>
      <c r="CH17" s="1177"/>
      <c r="CI17" s="1177"/>
      <c r="CJ17" s="1177"/>
      <c r="CK17" s="1177"/>
      <c r="CL17" s="1177"/>
      <c r="CM17" s="1177"/>
      <c r="CN17" s="1177"/>
      <c r="CO17" s="1177"/>
      <c r="CP17" s="1177"/>
      <c r="CQ17" s="1177"/>
      <c r="CR17" s="1177"/>
      <c r="CS17" s="1177"/>
      <c r="CT17" s="1177"/>
      <c r="CU17" s="1178"/>
      <c r="CV17" s="388"/>
      <c r="CW17" s="388"/>
      <c r="CX17" s="207"/>
      <c r="CY17" s="207"/>
      <c r="CZ17" s="207"/>
      <c r="DA17" s="207"/>
      <c r="DB17" s="207"/>
      <c r="DC17" s="15"/>
      <c r="DD17" s="16"/>
      <c r="DE17" s="16"/>
      <c r="DF17" s="16"/>
      <c r="DG17" s="16"/>
      <c r="DH17" s="16"/>
      <c r="DI17" s="1593"/>
      <c r="DJ17" s="1162" t="s">
        <v>2802</v>
      </c>
      <c r="DK17" s="1163"/>
      <c r="DL17" s="77"/>
      <c r="DM17" s="77"/>
      <c r="DN17" s="77"/>
      <c r="DO17" s="77"/>
      <c r="DP17" s="77"/>
      <c r="DQ17" s="77"/>
      <c r="DS17" s="197"/>
      <c r="DT17" s="197"/>
      <c r="DU17" s="197"/>
      <c r="DV17" s="197"/>
      <c r="DW17" s="197"/>
      <c r="FO17" s="579"/>
      <c r="GA17" s="77"/>
    </row>
    <row r="18" spans="1:183" s="78" customFormat="1" ht="27" customHeight="1" thickBot="1" x14ac:dyDescent="0.2">
      <c r="A18" s="1201"/>
      <c r="B18" s="1201"/>
      <c r="C18" s="1201"/>
      <c r="D18" s="1201"/>
      <c r="E18" s="1202"/>
      <c r="F18" s="652"/>
      <c r="G18" s="652"/>
      <c r="H18" s="652"/>
      <c r="I18" s="1206"/>
      <c r="J18" s="1215"/>
      <c r="K18" s="1216"/>
      <c r="L18" s="1216"/>
      <c r="M18" s="2617"/>
      <c r="N18" s="2617"/>
      <c r="O18" s="2617"/>
      <c r="P18" s="2617"/>
      <c r="Q18" s="2617"/>
      <c r="R18" s="2617"/>
      <c r="S18" s="2233" t="s">
        <v>315</v>
      </c>
      <c r="T18" s="2279"/>
      <c r="U18" s="2279"/>
      <c r="V18" s="2279"/>
      <c r="W18" s="2279"/>
      <c r="X18" s="2279"/>
      <c r="Y18" s="2279"/>
      <c r="Z18" s="2279"/>
      <c r="AA18" s="2279"/>
      <c r="AB18" s="2624"/>
      <c r="AC18" s="2228"/>
      <c r="AD18" s="2228"/>
      <c r="AE18" s="2228"/>
      <c r="AF18" s="2228"/>
      <c r="AG18" s="2228"/>
      <c r="AH18" s="2228"/>
      <c r="AI18" s="2228"/>
      <c r="AJ18" s="2228"/>
      <c r="AK18" s="2228"/>
      <c r="AL18" s="2228"/>
      <c r="AM18" s="2228"/>
      <c r="AN18" s="2228"/>
      <c r="AO18" s="2228"/>
      <c r="AP18" s="2228"/>
      <c r="AQ18" s="2228"/>
      <c r="AR18" s="2228"/>
      <c r="AS18" s="2228"/>
      <c r="AT18" s="2228"/>
      <c r="AU18" s="2228"/>
      <c r="AV18" s="2228"/>
      <c r="AW18" s="2228"/>
      <c r="AX18" s="2228"/>
      <c r="AY18" s="2228"/>
      <c r="AZ18" s="2228"/>
      <c r="BA18" s="2228"/>
      <c r="BB18" s="2228"/>
      <c r="BC18" s="2228"/>
      <c r="BD18" s="2228"/>
      <c r="BE18" s="2228"/>
      <c r="BF18" s="2228"/>
      <c r="BG18" s="2228"/>
      <c r="BH18" s="2228"/>
      <c r="BI18" s="2228"/>
      <c r="BJ18" s="2228"/>
      <c r="BK18" s="2228"/>
      <c r="BL18" s="2228"/>
      <c r="BM18" s="2228"/>
      <c r="BN18" s="2228"/>
      <c r="BO18" s="2228"/>
      <c r="BP18" s="2228"/>
      <c r="BQ18" s="2228"/>
      <c r="BR18" s="2228"/>
      <c r="BS18" s="2228"/>
      <c r="BT18" s="2228"/>
      <c r="BU18" s="394"/>
      <c r="BV18" s="394"/>
      <c r="BW18" s="394"/>
      <c r="BX18" s="395"/>
      <c r="BY18" s="395"/>
      <c r="BZ18" s="395"/>
      <c r="CA18" s="1177"/>
      <c r="CB18" s="1177"/>
      <c r="CC18" s="1177"/>
      <c r="CD18" s="1177"/>
      <c r="CE18" s="1177"/>
      <c r="CF18" s="1177"/>
      <c r="CG18" s="1177"/>
      <c r="CH18" s="1177"/>
      <c r="CI18" s="1177"/>
      <c r="CJ18" s="1177"/>
      <c r="CK18" s="1177"/>
      <c r="CL18" s="1177"/>
      <c r="CM18" s="1177"/>
      <c r="CN18" s="1177"/>
      <c r="CO18" s="1177"/>
      <c r="CP18" s="1177"/>
      <c r="CQ18" s="1177"/>
      <c r="CR18" s="1177"/>
      <c r="CS18" s="1177"/>
      <c r="CT18" s="1177"/>
      <c r="CU18" s="1178"/>
      <c r="CV18" s="388"/>
      <c r="CW18" s="388"/>
      <c r="CX18" s="207"/>
      <c r="CY18" s="207"/>
      <c r="CZ18" s="207"/>
      <c r="DA18" s="207"/>
      <c r="DB18" s="207"/>
      <c r="DC18" s="15"/>
      <c r="DD18" s="16"/>
      <c r="DE18" s="16"/>
      <c r="DF18" s="16"/>
      <c r="DG18" s="16"/>
      <c r="DH18" s="16"/>
      <c r="DI18" s="1593"/>
      <c r="DJ18" s="1163"/>
      <c r="DK18" s="1163"/>
      <c r="DL18" s="77"/>
      <c r="DM18" s="77"/>
      <c r="DN18" s="77"/>
      <c r="DO18" s="77"/>
      <c r="DP18" s="77"/>
      <c r="DQ18" s="77"/>
      <c r="DS18" s="1161" t="s">
        <v>2938</v>
      </c>
      <c r="DT18" s="1161" t="s">
        <v>2939</v>
      </c>
      <c r="DV18" s="196" t="s">
        <v>2440</v>
      </c>
      <c r="DW18" s="1554" t="str">
        <f>IF(OR($DS$16,$DT$16),IF(AB79="","",AB79),TRIM(AB18))</f>
        <v/>
      </c>
      <c r="DX18" s="197"/>
      <c r="FO18" s="579"/>
      <c r="GA18" s="77"/>
    </row>
    <row r="19" spans="1:183" s="78" customFormat="1" ht="14.45" hidden="1" customHeight="1" x14ac:dyDescent="0.15">
      <c r="A19" s="1201"/>
      <c r="B19" s="1201"/>
      <c r="C19" s="1201"/>
      <c r="D19" s="1201"/>
      <c r="E19" s="1202"/>
      <c r="F19" s="652"/>
      <c r="G19" s="652"/>
      <c r="H19" s="652"/>
      <c r="I19" s="1206"/>
      <c r="J19" s="1215"/>
      <c r="K19" s="1216"/>
      <c r="L19" s="1216"/>
      <c r="M19" s="2617"/>
      <c r="N19" s="2617"/>
      <c r="O19" s="2617"/>
      <c r="P19" s="2617"/>
      <c r="Q19" s="2617"/>
      <c r="R19" s="2617"/>
      <c r="S19" s="2308" t="s">
        <v>662</v>
      </c>
      <c r="T19" s="2309"/>
      <c r="U19" s="2309"/>
      <c r="V19" s="2309"/>
      <c r="W19" s="2309"/>
      <c r="X19" s="2309"/>
      <c r="Y19" s="2309"/>
      <c r="Z19" s="2309"/>
      <c r="AA19" s="2309"/>
      <c r="AB19" s="2210"/>
      <c r="AC19" s="2210"/>
      <c r="AD19" s="2210"/>
      <c r="AE19" s="2210"/>
      <c r="AF19" s="2210"/>
      <c r="AG19" s="2210"/>
      <c r="AH19" s="2210"/>
      <c r="AI19" s="2210"/>
      <c r="AJ19" s="2210"/>
      <c r="AK19" s="2210"/>
      <c r="AL19" s="2210"/>
      <c r="AM19" s="2210"/>
      <c r="AN19" s="2210"/>
      <c r="AO19" s="2210"/>
      <c r="AP19" s="2210"/>
      <c r="AQ19" s="2210"/>
      <c r="AR19" s="2210"/>
      <c r="AS19" s="2210"/>
      <c r="AT19" s="2210"/>
      <c r="AU19" s="2210"/>
      <c r="AV19" s="2210"/>
      <c r="AW19" s="2210"/>
      <c r="AX19" s="2210"/>
      <c r="AY19" s="2210"/>
      <c r="AZ19" s="2210"/>
      <c r="BA19" s="2210"/>
      <c r="BB19" s="2210"/>
      <c r="BC19" s="2210"/>
      <c r="BD19" s="2210"/>
      <c r="BE19" s="2210"/>
      <c r="BF19" s="2210"/>
      <c r="BG19" s="2210"/>
      <c r="BH19" s="2210"/>
      <c r="BI19" s="2210"/>
      <c r="BJ19" s="2210"/>
      <c r="BK19" s="2210"/>
      <c r="BL19" s="2210"/>
      <c r="BM19" s="2210"/>
      <c r="BN19" s="2210"/>
      <c r="BO19" s="2210"/>
      <c r="BP19" s="2210"/>
      <c r="BQ19" s="2210"/>
      <c r="BR19" s="2210"/>
      <c r="BS19" s="2210"/>
      <c r="BT19" s="2210"/>
      <c r="BU19" s="394"/>
      <c r="BV19" s="394"/>
      <c r="BW19" s="394"/>
      <c r="BX19" s="395"/>
      <c r="BY19" s="395"/>
      <c r="BZ19" s="395"/>
      <c r="CA19" s="1177"/>
      <c r="CB19" s="1177"/>
      <c r="CC19" s="1177"/>
      <c r="CD19" s="1177"/>
      <c r="CE19" s="1177"/>
      <c r="CF19" s="1177"/>
      <c r="CG19" s="1177"/>
      <c r="CH19" s="1177"/>
      <c r="CI19" s="1177"/>
      <c r="CJ19" s="1177"/>
      <c r="CK19" s="1177"/>
      <c r="CL19" s="1177"/>
      <c r="CM19" s="1177"/>
      <c r="CN19" s="1177"/>
      <c r="CO19" s="1177"/>
      <c r="CP19" s="1177"/>
      <c r="CQ19" s="1177"/>
      <c r="CR19" s="1177"/>
      <c r="CS19" s="1177"/>
      <c r="CT19" s="1177"/>
      <c r="CU19" s="1178"/>
      <c r="CV19" s="388"/>
      <c r="CW19" s="388"/>
      <c r="CX19" s="207"/>
      <c r="CY19" s="207"/>
      <c r="CZ19" s="207"/>
      <c r="DA19" s="207"/>
      <c r="DB19" s="207"/>
      <c r="DC19" s="15"/>
      <c r="DD19" s="16"/>
      <c r="DE19" s="16"/>
      <c r="DF19" s="16"/>
      <c r="DG19" s="16"/>
      <c r="DH19" s="16"/>
      <c r="DI19" s="1593"/>
      <c r="DJ19" s="1162" t="s">
        <v>2802</v>
      </c>
      <c r="DK19" s="1163"/>
      <c r="DL19" s="77"/>
      <c r="DM19" s="77"/>
      <c r="DN19" s="77"/>
      <c r="DO19" s="77"/>
      <c r="DP19" s="77"/>
      <c r="DQ19" s="77"/>
      <c r="DV19" s="1546"/>
      <c r="DW19" s="384"/>
      <c r="FO19" s="579"/>
      <c r="GA19" s="77"/>
    </row>
    <row r="20" spans="1:183" s="78" customFormat="1" ht="17.100000000000001" hidden="1" customHeight="1" x14ac:dyDescent="0.15">
      <c r="A20" s="1201"/>
      <c r="B20" s="1201"/>
      <c r="C20" s="1201"/>
      <c r="D20" s="1201"/>
      <c r="E20" s="1202"/>
      <c r="F20" s="652"/>
      <c r="G20" s="652"/>
      <c r="H20" s="652"/>
      <c r="I20" s="1206"/>
      <c r="J20" s="1215"/>
      <c r="K20" s="1216"/>
      <c r="L20" s="1216"/>
      <c r="M20" s="2617"/>
      <c r="N20" s="2617"/>
      <c r="O20" s="2617"/>
      <c r="P20" s="2617"/>
      <c r="Q20" s="2617"/>
      <c r="R20" s="2617"/>
      <c r="S20" s="2258" t="s">
        <v>317</v>
      </c>
      <c r="T20" s="2259"/>
      <c r="U20" s="2259"/>
      <c r="V20" s="2259"/>
      <c r="W20" s="2259"/>
      <c r="X20" s="2259"/>
      <c r="Y20" s="2259"/>
      <c r="Z20" s="2259"/>
      <c r="AA20" s="2259"/>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c r="BA20" s="2615"/>
      <c r="BB20" s="2615"/>
      <c r="BC20" s="2615"/>
      <c r="BD20" s="2615"/>
      <c r="BE20" s="2615"/>
      <c r="BF20" s="2615"/>
      <c r="BG20" s="2615"/>
      <c r="BH20" s="2615"/>
      <c r="BI20" s="2615"/>
      <c r="BJ20" s="2615"/>
      <c r="BK20" s="2615"/>
      <c r="BL20" s="2615"/>
      <c r="BM20" s="2615"/>
      <c r="BN20" s="2615"/>
      <c r="BO20" s="2615"/>
      <c r="BP20" s="2615"/>
      <c r="BQ20" s="2615"/>
      <c r="BR20" s="2615"/>
      <c r="BS20" s="2615"/>
      <c r="BT20" s="2615"/>
      <c r="BU20" s="394"/>
      <c r="BV20" s="394"/>
      <c r="BW20" s="394"/>
      <c r="BX20" s="395"/>
      <c r="BY20" s="395"/>
      <c r="BZ20" s="395"/>
      <c r="CA20" s="1177"/>
      <c r="CB20" s="1177"/>
      <c r="CC20" s="1177"/>
      <c r="CD20" s="1177"/>
      <c r="CE20" s="1177"/>
      <c r="CF20" s="1177"/>
      <c r="CG20" s="1177"/>
      <c r="CH20" s="1177"/>
      <c r="CI20" s="1177"/>
      <c r="CJ20" s="1177"/>
      <c r="CK20" s="1177"/>
      <c r="CL20" s="1177"/>
      <c r="CM20" s="1177"/>
      <c r="CN20" s="1177"/>
      <c r="CO20" s="1177"/>
      <c r="CP20" s="1177"/>
      <c r="CQ20" s="1177"/>
      <c r="CR20" s="1177"/>
      <c r="CS20" s="1177"/>
      <c r="CT20" s="1177"/>
      <c r="CU20" s="1178"/>
      <c r="CV20" s="388"/>
      <c r="CW20" s="388"/>
      <c r="CX20" s="207"/>
      <c r="CY20" s="207"/>
      <c r="CZ20" s="207"/>
      <c r="DA20" s="207"/>
      <c r="DB20" s="207"/>
      <c r="DC20" s="15"/>
      <c r="DD20" s="16"/>
      <c r="DE20" s="16"/>
      <c r="DF20" s="16"/>
      <c r="DG20" s="16"/>
      <c r="DH20" s="16"/>
      <c r="DI20" s="1593"/>
      <c r="DJ20" s="1162" t="s">
        <v>2802</v>
      </c>
      <c r="DK20" s="1163"/>
      <c r="DL20" s="77"/>
      <c r="DM20" s="77"/>
      <c r="DN20" s="77"/>
      <c r="DO20" s="77"/>
      <c r="DP20" s="77"/>
      <c r="DQ20" s="77"/>
      <c r="DV20" s="1546"/>
      <c r="DW20" s="155"/>
      <c r="FO20" s="579"/>
      <c r="GA20" s="77"/>
    </row>
    <row r="21" spans="1:183" s="78" customFormat="1" ht="17.45" hidden="1" customHeight="1" x14ac:dyDescent="0.15">
      <c r="A21" s="1201"/>
      <c r="B21" s="1201"/>
      <c r="C21" s="1201"/>
      <c r="D21" s="1201"/>
      <c r="E21" s="1202"/>
      <c r="F21" s="652"/>
      <c r="G21" s="652"/>
      <c r="H21" s="652"/>
      <c r="I21" s="1206"/>
      <c r="J21" s="1215"/>
      <c r="K21" s="1216"/>
      <c r="L21" s="1216"/>
      <c r="M21" s="2617"/>
      <c r="N21" s="2617"/>
      <c r="O21" s="2617"/>
      <c r="P21" s="2617"/>
      <c r="Q21" s="2617"/>
      <c r="R21" s="2617"/>
      <c r="S21" s="2308" t="s">
        <v>664</v>
      </c>
      <c r="T21" s="2309"/>
      <c r="U21" s="2309"/>
      <c r="V21" s="2309"/>
      <c r="W21" s="2309"/>
      <c r="X21" s="2309"/>
      <c r="Y21" s="2309"/>
      <c r="Z21" s="2309"/>
      <c r="AA21" s="2309"/>
      <c r="AB21" s="2210"/>
      <c r="AC21" s="2210"/>
      <c r="AD21" s="2210"/>
      <c r="AE21" s="2210"/>
      <c r="AF21" s="2210"/>
      <c r="AG21" s="2210"/>
      <c r="AH21" s="2210"/>
      <c r="AI21" s="2210"/>
      <c r="AJ21" s="2210"/>
      <c r="AK21" s="2210"/>
      <c r="AL21" s="2210"/>
      <c r="AM21" s="2210"/>
      <c r="AN21" s="2210"/>
      <c r="AO21" s="2210"/>
      <c r="AP21" s="2210"/>
      <c r="AQ21" s="2210"/>
      <c r="AR21" s="2210"/>
      <c r="AS21" s="2210"/>
      <c r="AT21" s="2210"/>
      <c r="AU21" s="2210"/>
      <c r="AV21" s="2210"/>
      <c r="AW21" s="2210"/>
      <c r="AX21" s="2210"/>
      <c r="AY21" s="2210"/>
      <c r="AZ21" s="2210"/>
      <c r="BA21" s="2210"/>
      <c r="BB21" s="2210"/>
      <c r="BC21" s="2210"/>
      <c r="BD21" s="2210"/>
      <c r="BE21" s="2210"/>
      <c r="BF21" s="2210"/>
      <c r="BG21" s="2210"/>
      <c r="BH21" s="2210"/>
      <c r="BI21" s="2210"/>
      <c r="BJ21" s="2210"/>
      <c r="BK21" s="2210"/>
      <c r="BL21" s="2210"/>
      <c r="BM21" s="2210"/>
      <c r="BN21" s="2210"/>
      <c r="BO21" s="2210"/>
      <c r="BP21" s="2210"/>
      <c r="BQ21" s="2210"/>
      <c r="BR21" s="2210"/>
      <c r="BS21" s="2210"/>
      <c r="BT21" s="2210"/>
      <c r="BU21" s="394"/>
      <c r="BV21" s="394"/>
      <c r="BW21" s="394"/>
      <c r="BX21" s="395"/>
      <c r="BY21" s="395"/>
      <c r="BZ21" s="395"/>
      <c r="CA21" s="1177"/>
      <c r="CB21" s="1177"/>
      <c r="CC21" s="1177"/>
      <c r="CD21" s="1177"/>
      <c r="CE21" s="1177"/>
      <c r="CF21" s="1177"/>
      <c r="CG21" s="1177"/>
      <c r="CH21" s="1177"/>
      <c r="CI21" s="1177"/>
      <c r="CJ21" s="1177"/>
      <c r="CK21" s="1177"/>
      <c r="CL21" s="1177"/>
      <c r="CM21" s="1177"/>
      <c r="CN21" s="1177"/>
      <c r="CO21" s="1177"/>
      <c r="CP21" s="1177"/>
      <c r="CQ21" s="1177"/>
      <c r="CR21" s="1177"/>
      <c r="CS21" s="1177"/>
      <c r="CT21" s="1177"/>
      <c r="CU21" s="1178"/>
      <c r="CV21" s="388"/>
      <c r="CW21" s="388"/>
      <c r="CX21" s="207"/>
      <c r="CY21" s="207"/>
      <c r="CZ21" s="207"/>
      <c r="DA21" s="207"/>
      <c r="DB21" s="207"/>
      <c r="DC21" s="15"/>
      <c r="DD21" s="16"/>
      <c r="DE21" s="16"/>
      <c r="DF21" s="16"/>
      <c r="DG21" s="16"/>
      <c r="DH21" s="16"/>
      <c r="DI21" s="1593"/>
      <c r="DJ21" s="1162" t="s">
        <v>2802</v>
      </c>
      <c r="DK21" s="1163"/>
      <c r="DL21" s="77"/>
      <c r="DM21" s="77"/>
      <c r="DN21" s="77"/>
      <c r="DO21" s="77"/>
      <c r="DP21" s="77"/>
      <c r="DQ21" s="77"/>
      <c r="DV21" s="1546"/>
      <c r="DW21" s="383"/>
      <c r="FO21" s="579"/>
      <c r="GA21" s="77"/>
    </row>
    <row r="22" spans="1:183" s="78" customFormat="1" ht="27" customHeight="1" thickBot="1" x14ac:dyDescent="0.2">
      <c r="A22" s="1201"/>
      <c r="B22" s="1201"/>
      <c r="C22" s="1201"/>
      <c r="D22" s="1201"/>
      <c r="E22" s="1202"/>
      <c r="F22" s="652"/>
      <c r="G22" s="652"/>
      <c r="H22" s="652"/>
      <c r="I22" s="1206"/>
      <c r="J22" s="1215"/>
      <c r="K22" s="1216"/>
      <c r="L22" s="1216"/>
      <c r="M22" s="2618"/>
      <c r="N22" s="2618"/>
      <c r="O22" s="2618"/>
      <c r="P22" s="2618"/>
      <c r="Q22" s="2618"/>
      <c r="R22" s="2618"/>
      <c r="S22" s="2260" t="s">
        <v>318</v>
      </c>
      <c r="T22" s="2603"/>
      <c r="U22" s="2603"/>
      <c r="V22" s="2603"/>
      <c r="W22" s="2603"/>
      <c r="X22" s="2603"/>
      <c r="Y22" s="2603"/>
      <c r="Z22" s="2603"/>
      <c r="AA22" s="2603"/>
      <c r="AB22" s="2224"/>
      <c r="AC22" s="2224"/>
      <c r="AD22" s="2224"/>
      <c r="AE22" s="2224"/>
      <c r="AF22" s="2224"/>
      <c r="AG22" s="2224"/>
      <c r="AH22" s="2224"/>
      <c r="AI22" s="2224"/>
      <c r="AJ22" s="2224"/>
      <c r="AK22" s="2224"/>
      <c r="AL22" s="2224"/>
      <c r="AM22" s="2224"/>
      <c r="AN22" s="2224"/>
      <c r="AO22" s="2224"/>
      <c r="AP22" s="2224"/>
      <c r="AQ22" s="2224"/>
      <c r="AR22" s="2224"/>
      <c r="AS22" s="2224"/>
      <c r="AT22" s="2224"/>
      <c r="AU22" s="2224"/>
      <c r="AV22" s="2224"/>
      <c r="AW22" s="2224"/>
      <c r="AX22" s="2224"/>
      <c r="AY22" s="2224"/>
      <c r="AZ22" s="2224"/>
      <c r="BA22" s="2224"/>
      <c r="BB22" s="2224"/>
      <c r="BC22" s="2224"/>
      <c r="BD22" s="2224"/>
      <c r="BE22" s="2224"/>
      <c r="BF22" s="2224"/>
      <c r="BG22" s="2224"/>
      <c r="BH22" s="2224"/>
      <c r="BI22" s="2224"/>
      <c r="BJ22" s="2224"/>
      <c r="BK22" s="2224"/>
      <c r="BL22" s="2224"/>
      <c r="BM22" s="2224"/>
      <c r="BN22" s="2224"/>
      <c r="BO22" s="2224"/>
      <c r="BP22" s="2224"/>
      <c r="BQ22" s="2224"/>
      <c r="BR22" s="2224"/>
      <c r="BS22" s="2224"/>
      <c r="BT22" s="2224"/>
      <c r="BU22" s="394"/>
      <c r="BV22" s="394"/>
      <c r="BW22" s="394"/>
      <c r="BX22" s="395"/>
      <c r="BY22" s="395"/>
      <c r="BZ22" s="395"/>
      <c r="CA22" s="1177"/>
      <c r="CB22" s="1177"/>
      <c r="CC22" s="1177"/>
      <c r="CD22" s="1177"/>
      <c r="CE22" s="1177"/>
      <c r="CF22" s="1177"/>
      <c r="CG22" s="1177"/>
      <c r="CH22" s="1177"/>
      <c r="CI22" s="1177"/>
      <c r="CJ22" s="1177"/>
      <c r="CK22" s="1177"/>
      <c r="CL22" s="1177"/>
      <c r="CM22" s="1177"/>
      <c r="CN22" s="1177"/>
      <c r="CO22" s="1177"/>
      <c r="CP22" s="1177"/>
      <c r="CQ22" s="1177"/>
      <c r="CR22" s="1177"/>
      <c r="CS22" s="1177"/>
      <c r="CT22" s="1177"/>
      <c r="CU22" s="1178"/>
      <c r="CV22" s="388"/>
      <c r="CW22" s="388"/>
      <c r="CX22" s="207"/>
      <c r="CY22" s="207"/>
      <c r="CZ22" s="207"/>
      <c r="DA22" s="207"/>
      <c r="DB22" s="207"/>
      <c r="DC22" s="15"/>
      <c r="DD22" s="16"/>
      <c r="DE22" s="16"/>
      <c r="DF22" s="16"/>
      <c r="DG22" s="16"/>
      <c r="DH22" s="16"/>
      <c r="DI22" s="1593"/>
      <c r="DJ22" s="1163"/>
      <c r="DK22" s="1163"/>
      <c r="DL22" s="77"/>
      <c r="DM22" s="159" t="s">
        <v>1105</v>
      </c>
      <c r="DN22" s="159" t="s">
        <v>1104</v>
      </c>
      <c r="DO22" s="77"/>
      <c r="DP22" s="77"/>
      <c r="DQ22" s="77"/>
      <c r="DV22" s="196" t="s">
        <v>2439</v>
      </c>
      <c r="DW22" s="1554" t="str">
        <f>IF($DS$16,IF(AB78="","",AB78),TRIM(AB22))</f>
        <v/>
      </c>
      <c r="DX22" s="196"/>
      <c r="FO22" s="579"/>
      <c r="GA22" s="77"/>
    </row>
    <row r="23" spans="1:183" s="78" customFormat="1" ht="27" customHeight="1" x14ac:dyDescent="0.15">
      <c r="A23" s="1201"/>
      <c r="B23" s="1201"/>
      <c r="C23" s="1201"/>
      <c r="D23" s="1201"/>
      <c r="E23" s="1202"/>
      <c r="F23" s="652"/>
      <c r="G23" s="652"/>
      <c r="H23" s="652"/>
      <c r="I23" s="1206"/>
      <c r="J23" s="1215"/>
      <c r="K23" s="1216"/>
      <c r="L23" s="1216"/>
      <c r="M23" s="2233" t="s">
        <v>1283</v>
      </c>
      <c r="N23" s="2233"/>
      <c r="O23" s="2233"/>
      <c r="P23" s="2233"/>
      <c r="Q23" s="2233"/>
      <c r="R23" s="2233"/>
      <c r="S23" s="2233"/>
      <c r="T23" s="2233"/>
      <c r="U23" s="2233"/>
      <c r="V23" s="2233"/>
      <c r="W23" s="2233"/>
      <c r="X23" s="2233"/>
      <c r="Y23" s="2233"/>
      <c r="Z23" s="2233"/>
      <c r="AA23" s="2233"/>
      <c r="AB23" s="2212"/>
      <c r="AC23" s="2212"/>
      <c r="AD23" s="2212"/>
      <c r="AE23" s="2212"/>
      <c r="AF23" s="2212"/>
      <c r="AG23" s="2212"/>
      <c r="AH23" s="2211" t="s">
        <v>2889</v>
      </c>
      <c r="AI23" s="2211"/>
      <c r="AJ23" s="2211"/>
      <c r="AK23" s="2212"/>
      <c r="AL23" s="2212"/>
      <c r="AM23" s="2212"/>
      <c r="AN23" s="2212"/>
      <c r="AO23" s="2212"/>
      <c r="AP23" s="2212"/>
      <c r="AQ23" s="1217"/>
      <c r="AR23" s="1217"/>
      <c r="AS23" s="1217"/>
      <c r="AT23" s="1217"/>
      <c r="AU23" s="1217"/>
      <c r="AV23" s="1217"/>
      <c r="AW23" s="1217"/>
      <c r="AX23" s="1217"/>
      <c r="AY23" s="1217"/>
      <c r="AZ23" s="1217"/>
      <c r="BA23" s="1217"/>
      <c r="BB23" s="1217"/>
      <c r="BC23" s="1217"/>
      <c r="BD23" s="1217"/>
      <c r="BE23" s="1217"/>
      <c r="BF23" s="1217"/>
      <c r="BG23" s="1217"/>
      <c r="BH23" s="1217"/>
      <c r="BI23" s="1217"/>
      <c r="BJ23" s="1217"/>
      <c r="BK23" s="1217"/>
      <c r="BL23" s="1217"/>
      <c r="BM23" s="1217"/>
      <c r="BN23" s="1217"/>
      <c r="BO23" s="1217"/>
      <c r="BP23" s="1217"/>
      <c r="BQ23" s="1217"/>
      <c r="BR23" s="1217"/>
      <c r="BS23" s="1217"/>
      <c r="BT23" s="1217"/>
      <c r="BU23" s="394"/>
      <c r="BV23" s="394"/>
      <c r="BW23" s="394"/>
      <c r="BX23" s="395"/>
      <c r="BY23" s="395"/>
      <c r="BZ23" s="395"/>
      <c r="CA23" s="1177"/>
      <c r="CB23" s="1177"/>
      <c r="CC23" s="1177"/>
      <c r="CD23" s="1177"/>
      <c r="CE23" s="1177"/>
      <c r="CF23" s="1177"/>
      <c r="CG23" s="1177"/>
      <c r="CH23" s="1177"/>
      <c r="CI23" s="1177"/>
      <c r="CJ23" s="1177"/>
      <c r="CK23" s="1177"/>
      <c r="CL23" s="1177"/>
      <c r="CM23" s="1177"/>
      <c r="CN23" s="1177"/>
      <c r="CO23" s="1177"/>
      <c r="CP23" s="1177"/>
      <c r="CQ23" s="1177"/>
      <c r="CR23" s="1177"/>
      <c r="CS23" s="1177"/>
      <c r="CT23" s="1177"/>
      <c r="CU23" s="1178"/>
      <c r="CV23" s="388"/>
      <c r="CW23" s="388"/>
      <c r="CX23" s="207"/>
      <c r="CY23" s="207"/>
      <c r="CZ23" s="207"/>
      <c r="DA23" s="207"/>
      <c r="DB23" s="207"/>
      <c r="DC23" s="15"/>
      <c r="DD23" s="16"/>
      <c r="DE23" s="16"/>
      <c r="DF23" s="16"/>
      <c r="DG23" s="16"/>
      <c r="DH23" s="16"/>
      <c r="DI23" s="1593"/>
      <c r="DJ23" s="1163"/>
      <c r="DK23" s="1163"/>
      <c r="DL23" s="77"/>
      <c r="DM23" s="159" t="str">
        <f>CONCATENATE(AB23,"-",AK23)</f>
        <v>-</v>
      </c>
      <c r="DN23" s="159" t="str">
        <f>ASC(DM23)</f>
        <v>-</v>
      </c>
      <c r="DO23" s="1161" t="s">
        <v>2803</v>
      </c>
      <c r="DP23" s="77"/>
      <c r="DQ23" s="77"/>
      <c r="DV23" s="1546" t="s">
        <v>2436</v>
      </c>
      <c r="DW23" s="1552" t="str">
        <f>IF(TRIM(DN23)="-",IF(OR($DS$16,$DT$16),DN83,""),DN23)</f>
        <v/>
      </c>
      <c r="DX23" s="196"/>
      <c r="FO23" s="579"/>
      <c r="GA23" s="77"/>
    </row>
    <row r="24" spans="1:183" s="78" customFormat="1" ht="27" customHeight="1" thickBot="1" x14ac:dyDescent="0.2">
      <c r="A24" s="1201"/>
      <c r="B24" s="1201"/>
      <c r="C24" s="1201"/>
      <c r="D24" s="1201"/>
      <c r="E24" s="1202"/>
      <c r="F24" s="652"/>
      <c r="G24" s="652"/>
      <c r="H24" s="652"/>
      <c r="I24" s="1206"/>
      <c r="J24" s="1215"/>
      <c r="K24" s="1216"/>
      <c r="L24" s="1216"/>
      <c r="M24" s="2233" t="s">
        <v>222</v>
      </c>
      <c r="N24" s="2233"/>
      <c r="O24" s="2233"/>
      <c r="P24" s="2233"/>
      <c r="Q24" s="2233"/>
      <c r="R24" s="2233"/>
      <c r="S24" s="2233"/>
      <c r="T24" s="2233"/>
      <c r="U24" s="2233"/>
      <c r="V24" s="2233"/>
      <c r="W24" s="2233"/>
      <c r="X24" s="2233"/>
      <c r="Y24" s="2233"/>
      <c r="Z24" s="2233"/>
      <c r="AA24" s="2233"/>
      <c r="AB24" s="2228"/>
      <c r="AC24" s="2228"/>
      <c r="AD24" s="2228"/>
      <c r="AE24" s="2228"/>
      <c r="AF24" s="2228"/>
      <c r="AG24" s="2228"/>
      <c r="AH24" s="2228"/>
      <c r="AI24" s="2228"/>
      <c r="AJ24" s="2228"/>
      <c r="AK24" s="2228"/>
      <c r="AL24" s="2228"/>
      <c r="AM24" s="2228"/>
      <c r="AN24" s="2228"/>
      <c r="AO24" s="2228"/>
      <c r="AP24" s="2228"/>
      <c r="AQ24" s="2228"/>
      <c r="AR24" s="2228"/>
      <c r="AS24" s="2228"/>
      <c r="AT24" s="2228"/>
      <c r="AU24" s="2228"/>
      <c r="AV24" s="2228"/>
      <c r="AW24" s="2228"/>
      <c r="AX24" s="2228"/>
      <c r="AY24" s="2228"/>
      <c r="AZ24" s="2228"/>
      <c r="BA24" s="2228"/>
      <c r="BB24" s="2228"/>
      <c r="BC24" s="2228"/>
      <c r="BD24" s="2228"/>
      <c r="BE24" s="2228"/>
      <c r="BF24" s="2228"/>
      <c r="BG24" s="2228"/>
      <c r="BH24" s="2228"/>
      <c r="BI24" s="2228"/>
      <c r="BJ24" s="2228"/>
      <c r="BK24" s="2228"/>
      <c r="BL24" s="2228"/>
      <c r="BM24" s="2228"/>
      <c r="BN24" s="2228"/>
      <c r="BO24" s="2228"/>
      <c r="BP24" s="2228"/>
      <c r="BQ24" s="2228"/>
      <c r="BR24" s="2228"/>
      <c r="BS24" s="2228"/>
      <c r="BT24" s="2228"/>
      <c r="BU24" s="394"/>
      <c r="BV24" s="394"/>
      <c r="BW24" s="394"/>
      <c r="BX24" s="395"/>
      <c r="BY24" s="395"/>
      <c r="BZ24" s="395"/>
      <c r="CA24" s="1177"/>
      <c r="CB24" s="1177"/>
      <c r="CC24" s="1177"/>
      <c r="CD24" s="1177"/>
      <c r="CE24" s="1177"/>
      <c r="CF24" s="1177"/>
      <c r="CG24" s="1177"/>
      <c r="CH24" s="1177"/>
      <c r="CI24" s="1177"/>
      <c r="CJ24" s="1177"/>
      <c r="CK24" s="1177"/>
      <c r="CL24" s="1177"/>
      <c r="CM24" s="1177"/>
      <c r="CN24" s="1177"/>
      <c r="CO24" s="1177"/>
      <c r="CP24" s="1177"/>
      <c r="CQ24" s="1177"/>
      <c r="CR24" s="1177"/>
      <c r="CS24" s="1177"/>
      <c r="CT24" s="1177"/>
      <c r="CU24" s="1178"/>
      <c r="CV24" s="388"/>
      <c r="CW24" s="388"/>
      <c r="CX24" s="207"/>
      <c r="CY24" s="207"/>
      <c r="CZ24" s="207"/>
      <c r="DA24" s="207"/>
      <c r="DB24" s="207"/>
      <c r="DC24" s="15"/>
      <c r="DD24" s="16"/>
      <c r="DE24" s="16"/>
      <c r="DF24" s="16"/>
      <c r="DG24" s="16"/>
      <c r="DH24" s="16"/>
      <c r="DI24" s="1593"/>
      <c r="DJ24" s="1163"/>
      <c r="DK24" s="1163"/>
      <c r="DL24" s="77"/>
      <c r="DM24" s="77"/>
      <c r="DN24" s="77"/>
      <c r="DO24" s="77"/>
      <c r="DP24" s="77"/>
      <c r="DQ24" s="77"/>
      <c r="DV24" s="1546" t="s">
        <v>2437</v>
      </c>
      <c r="DW24" s="1553" t="str">
        <f>IF(TRIM(AB24)="",IF(OR($DS$16,$DT$16),AB84,""),AB24)</f>
        <v/>
      </c>
      <c r="DX24" s="196"/>
      <c r="FO24" s="579"/>
      <c r="GA24" s="77"/>
    </row>
    <row r="25" spans="1:183" s="78" customFormat="1" ht="27" customHeight="1" thickBot="1" x14ac:dyDescent="0.2">
      <c r="A25" s="1201"/>
      <c r="B25" s="1201"/>
      <c r="C25" s="1201"/>
      <c r="D25" s="1201"/>
      <c r="E25" s="1202"/>
      <c r="F25" s="652"/>
      <c r="G25" s="652"/>
      <c r="H25" s="652"/>
      <c r="I25" s="1206"/>
      <c r="J25" s="1215"/>
      <c r="K25" s="1216"/>
      <c r="L25" s="1216"/>
      <c r="M25" s="2237" t="s">
        <v>1284</v>
      </c>
      <c r="N25" s="2237"/>
      <c r="O25" s="2237"/>
      <c r="P25" s="2237"/>
      <c r="Q25" s="2237"/>
      <c r="R25" s="2237"/>
      <c r="S25" s="2237"/>
      <c r="T25" s="2237"/>
      <c r="U25" s="2237"/>
      <c r="V25" s="2237"/>
      <c r="W25" s="2237"/>
      <c r="X25" s="2237"/>
      <c r="Y25" s="2237"/>
      <c r="Z25" s="2237"/>
      <c r="AA25" s="2237"/>
      <c r="AB25" s="2212"/>
      <c r="AC25" s="2212"/>
      <c r="AD25" s="2212"/>
      <c r="AE25" s="2212"/>
      <c r="AF25" s="2212"/>
      <c r="AG25" s="2212"/>
      <c r="AH25" s="2211" t="s">
        <v>2889</v>
      </c>
      <c r="AI25" s="2211"/>
      <c r="AJ25" s="2211"/>
      <c r="AK25" s="2212"/>
      <c r="AL25" s="2212"/>
      <c r="AM25" s="2212"/>
      <c r="AN25" s="2212"/>
      <c r="AO25" s="2212"/>
      <c r="AP25" s="2212"/>
      <c r="AQ25" s="2211" t="s">
        <v>2889</v>
      </c>
      <c r="AR25" s="2211"/>
      <c r="AS25" s="2211"/>
      <c r="AT25" s="2212"/>
      <c r="AU25" s="2212"/>
      <c r="AV25" s="2212"/>
      <c r="AW25" s="2212"/>
      <c r="AX25" s="2212"/>
      <c r="AY25" s="2212"/>
      <c r="AZ25" s="1225"/>
      <c r="BA25" s="1225"/>
      <c r="BB25" s="1225"/>
      <c r="BC25" s="1225"/>
      <c r="BD25" s="1225"/>
      <c r="BE25" s="1225"/>
      <c r="BF25" s="1225"/>
      <c r="BG25" s="1225"/>
      <c r="BH25" s="1225"/>
      <c r="BI25" s="1225"/>
      <c r="BJ25" s="1225"/>
      <c r="BK25" s="1225"/>
      <c r="BL25" s="1225"/>
      <c r="BM25" s="1225"/>
      <c r="BN25" s="1225"/>
      <c r="BO25" s="1225"/>
      <c r="BP25" s="1225"/>
      <c r="BQ25" s="1225"/>
      <c r="BR25" s="1225"/>
      <c r="BS25" s="1225"/>
      <c r="BT25" s="1225"/>
      <c r="BU25" s="394"/>
      <c r="BV25" s="394"/>
      <c r="BW25" s="394"/>
      <c r="BX25" s="395"/>
      <c r="BY25" s="395"/>
      <c r="BZ25" s="395"/>
      <c r="CA25" s="1177"/>
      <c r="CB25" s="1177"/>
      <c r="CC25" s="1177"/>
      <c r="CD25" s="1177"/>
      <c r="CE25" s="1177"/>
      <c r="CF25" s="1177"/>
      <c r="CG25" s="1177"/>
      <c r="CH25" s="1177"/>
      <c r="CI25" s="1177"/>
      <c r="CJ25" s="1177"/>
      <c r="CK25" s="1177"/>
      <c r="CL25" s="1177"/>
      <c r="CM25" s="1177"/>
      <c r="CN25" s="1177"/>
      <c r="CO25" s="1177"/>
      <c r="CP25" s="1177"/>
      <c r="CQ25" s="1177"/>
      <c r="CR25" s="1177"/>
      <c r="CS25" s="1177"/>
      <c r="CT25" s="1177"/>
      <c r="CU25" s="1178"/>
      <c r="CV25" s="388"/>
      <c r="CW25" s="388"/>
      <c r="CX25" s="207"/>
      <c r="CY25" s="207"/>
      <c r="CZ25" s="207"/>
      <c r="DA25" s="207"/>
      <c r="DB25" s="207"/>
      <c r="DC25" s="15"/>
      <c r="DD25" s="16"/>
      <c r="DE25" s="16"/>
      <c r="DF25" s="16"/>
      <c r="DG25" s="16"/>
      <c r="DH25" s="16"/>
      <c r="DI25" s="1593"/>
      <c r="DJ25" s="1163"/>
      <c r="DK25" s="1163"/>
      <c r="DL25" s="77"/>
      <c r="DM25" s="160" t="str">
        <f>CONCATENATE(AB25,"-",AK25,"-",AT25)</f>
        <v>--</v>
      </c>
      <c r="DN25" s="160" t="str">
        <f>ASC(DM25)</f>
        <v>--</v>
      </c>
      <c r="DO25" s="1161" t="s">
        <v>2804</v>
      </c>
      <c r="DP25" s="77"/>
      <c r="DQ25" s="77"/>
      <c r="DV25" s="196" t="s">
        <v>2438</v>
      </c>
      <c r="DW25" s="1554" t="str">
        <f>IF(OR($DS$16,$DT$16),DN85,IF(DN25="--","",TRIM(DN25)))</f>
        <v/>
      </c>
      <c r="DX25" s="100"/>
      <c r="FO25" s="579"/>
      <c r="GA25" s="77"/>
    </row>
    <row r="26" spans="1:183" ht="21" hidden="1" customHeight="1" x14ac:dyDescent="0.15">
      <c r="A26" s="1201"/>
      <c r="B26" s="1201"/>
      <c r="C26" s="1201"/>
      <c r="D26" s="1201"/>
      <c r="E26" s="1202"/>
      <c r="J26" s="1226"/>
      <c r="K26" s="1227"/>
      <c r="L26" s="1227"/>
      <c r="M26" s="2323" t="s">
        <v>668</v>
      </c>
      <c r="N26" s="2323"/>
      <c r="O26" s="2323"/>
      <c r="P26" s="2323"/>
      <c r="Q26" s="2323"/>
      <c r="R26" s="2323"/>
      <c r="S26" s="2323"/>
      <c r="T26" s="2323"/>
      <c r="U26" s="2323"/>
      <c r="V26" s="2323"/>
      <c r="W26" s="2323"/>
      <c r="X26" s="2323"/>
      <c r="Y26" s="2323"/>
      <c r="Z26" s="2323"/>
      <c r="AA26" s="2323"/>
      <c r="AB26" s="2212"/>
      <c r="AC26" s="2212"/>
      <c r="AD26" s="2212"/>
      <c r="AE26" s="2212"/>
      <c r="AF26" s="2212"/>
      <c r="AG26" s="2212"/>
      <c r="AH26" s="2211"/>
      <c r="AI26" s="2211"/>
      <c r="AJ26" s="2211"/>
      <c r="AK26" s="2212"/>
      <c r="AL26" s="2212"/>
      <c r="AM26" s="2212"/>
      <c r="AN26" s="2212"/>
      <c r="AO26" s="2212"/>
      <c r="AP26" s="2212"/>
      <c r="AQ26" s="2211"/>
      <c r="AR26" s="2211"/>
      <c r="AS26" s="2211"/>
      <c r="AT26" s="2212"/>
      <c r="AU26" s="2212"/>
      <c r="AV26" s="2212"/>
      <c r="AW26" s="2212"/>
      <c r="AX26" s="2212"/>
      <c r="AY26" s="2212"/>
      <c r="AZ26" s="1228"/>
      <c r="BA26" s="1228"/>
      <c r="BB26" s="1228"/>
      <c r="BC26" s="1228"/>
      <c r="BD26" s="1228"/>
      <c r="BE26" s="1228"/>
      <c r="BF26" s="1228"/>
      <c r="BG26" s="1228"/>
      <c r="BH26" s="1228"/>
      <c r="BI26" s="1228"/>
      <c r="BJ26" s="1228"/>
      <c r="BK26" s="1228"/>
      <c r="BL26" s="1228"/>
      <c r="BM26" s="1228"/>
      <c r="BN26" s="1228"/>
      <c r="BO26" s="1228"/>
      <c r="BP26" s="1228"/>
      <c r="BQ26" s="1228"/>
      <c r="BR26" s="1228"/>
      <c r="BS26" s="1228"/>
      <c r="BT26" s="1228"/>
      <c r="BU26" s="394"/>
      <c r="BV26" s="394"/>
      <c r="BW26" s="394"/>
      <c r="BX26" s="1177"/>
      <c r="BY26" s="1177"/>
      <c r="BZ26" s="1177"/>
      <c r="CA26" s="1177"/>
      <c r="CB26" s="1177"/>
      <c r="CC26" s="1177"/>
      <c r="CD26" s="1177"/>
      <c r="CE26" s="1177"/>
      <c r="CF26" s="1177"/>
      <c r="CG26" s="1177"/>
      <c r="CH26" s="1177"/>
      <c r="CI26" s="1177"/>
      <c r="CJ26" s="1177"/>
      <c r="CK26" s="1177"/>
      <c r="CL26" s="1177"/>
      <c r="CM26" s="1177"/>
      <c r="CN26" s="1177"/>
      <c r="CO26" s="1177"/>
      <c r="CP26" s="1177"/>
      <c r="CQ26" s="1177"/>
      <c r="CR26" s="1177"/>
      <c r="CS26" s="1177"/>
      <c r="CT26" s="1177"/>
      <c r="CU26" s="1178"/>
      <c r="DD26" s="16"/>
      <c r="DE26" s="16"/>
      <c r="DF26" s="16"/>
      <c r="DG26" s="16"/>
      <c r="DH26" s="16"/>
      <c r="DI26" s="1593"/>
      <c r="DJ26" s="1162" t="s">
        <v>2802</v>
      </c>
      <c r="DM26" s="160" t="str">
        <f>CONCATENATE(AB26,"-",AK26,"-",AT26)</f>
        <v>--</v>
      </c>
      <c r="DN26" s="160" t="str">
        <f>ASC(DM26)</f>
        <v>--</v>
      </c>
      <c r="DS26" s="213"/>
      <c r="DT26" s="213"/>
      <c r="DU26" s="213"/>
      <c r="EG26" s="73"/>
      <c r="EH26" s="73"/>
      <c r="EI26" s="73"/>
      <c r="EJ26" s="73"/>
      <c r="EK26" s="73"/>
      <c r="FV26" s="73"/>
      <c r="FW26" s="73"/>
      <c r="FX26" s="73"/>
      <c r="FY26" s="73"/>
      <c r="FZ26" s="73"/>
    </row>
    <row r="27" spans="1:183" ht="27" customHeight="1" thickBot="1" x14ac:dyDescent="0.2">
      <c r="A27" s="1201"/>
      <c r="B27" s="1201"/>
      <c r="C27" s="1201"/>
      <c r="D27" s="1201"/>
      <c r="E27" s="1202"/>
      <c r="J27" s="1229"/>
      <c r="K27" s="1230"/>
      <c r="L27" s="1230"/>
      <c r="M27" s="2341" t="s">
        <v>967</v>
      </c>
      <c r="N27" s="2341"/>
      <c r="O27" s="2341"/>
      <c r="P27" s="2341"/>
      <c r="Q27" s="2341"/>
      <c r="R27" s="2341"/>
      <c r="S27" s="2341"/>
      <c r="T27" s="2341"/>
      <c r="U27" s="2341"/>
      <c r="V27" s="2341"/>
      <c r="W27" s="2341"/>
      <c r="X27" s="2341"/>
      <c r="Y27" s="2341"/>
      <c r="Z27" s="2341"/>
      <c r="AA27" s="2341"/>
      <c r="AB27" s="2213"/>
      <c r="AC27" s="2213"/>
      <c r="AD27" s="2213"/>
      <c r="AE27" s="2213"/>
      <c r="AF27" s="2213"/>
      <c r="AG27" s="2213"/>
      <c r="AH27" s="2213"/>
      <c r="AI27" s="2213"/>
      <c r="AJ27" s="2213"/>
      <c r="AK27" s="2213"/>
      <c r="AL27" s="2213"/>
      <c r="AM27" s="2213"/>
      <c r="AN27" s="2213"/>
      <c r="AO27" s="2213"/>
      <c r="AP27" s="2213"/>
      <c r="AQ27" s="2213"/>
      <c r="AR27" s="2213"/>
      <c r="AS27" s="2213"/>
      <c r="AT27" s="2213"/>
      <c r="AU27" s="2213"/>
      <c r="AV27" s="2213"/>
      <c r="AW27" s="2213"/>
      <c r="AX27" s="2213"/>
      <c r="AY27" s="2213"/>
      <c r="AZ27" s="2213"/>
      <c r="BA27" s="2213"/>
      <c r="BB27" s="2213"/>
      <c r="BC27" s="2213"/>
      <c r="BD27" s="2213"/>
      <c r="BE27" s="2213"/>
      <c r="BF27" s="2213"/>
      <c r="BG27" s="2213"/>
      <c r="BH27" s="2213"/>
      <c r="BI27" s="2213"/>
      <c r="BJ27" s="2213"/>
      <c r="BK27" s="2213"/>
      <c r="BL27" s="2213"/>
      <c r="BM27" s="2213"/>
      <c r="BN27" s="2213"/>
      <c r="BO27" s="2213"/>
      <c r="BP27" s="2213"/>
      <c r="BQ27" s="2213"/>
      <c r="BR27" s="2213"/>
      <c r="BS27" s="2213"/>
      <c r="BT27" s="2213"/>
      <c r="BU27" s="587"/>
      <c r="BV27" s="587"/>
      <c r="BW27" s="587"/>
      <c r="BX27" s="1175"/>
      <c r="BY27" s="2786"/>
      <c r="BZ27" s="2786"/>
      <c r="CA27" s="2786"/>
      <c r="CB27" s="2786"/>
      <c r="CC27" s="2786"/>
      <c r="CD27" s="2786"/>
      <c r="CE27" s="2786"/>
      <c r="CF27" s="2786"/>
      <c r="CG27" s="2786"/>
      <c r="CH27" s="2786"/>
      <c r="CI27" s="2786"/>
      <c r="CJ27" s="2786"/>
      <c r="CK27" s="2786"/>
      <c r="CL27" s="2786"/>
      <c r="CM27" s="2786"/>
      <c r="CN27" s="1175"/>
      <c r="CO27" s="1175"/>
      <c r="CP27" s="1175"/>
      <c r="CQ27" s="1175"/>
      <c r="CR27" s="1175"/>
      <c r="CS27" s="1175"/>
      <c r="CT27" s="1175"/>
      <c r="CU27" s="1176"/>
      <c r="DD27" s="16"/>
      <c r="DE27" s="16"/>
      <c r="DF27" s="16"/>
      <c r="DG27" s="16"/>
      <c r="DH27" s="16"/>
      <c r="DI27" s="1593"/>
      <c r="DJ27" s="1163"/>
      <c r="EG27" s="73"/>
      <c r="EH27" s="73"/>
      <c r="EI27" s="73"/>
      <c r="EJ27" s="73"/>
      <c r="EK27" s="73"/>
      <c r="FV27" s="73"/>
      <c r="FW27" s="73"/>
      <c r="FX27" s="73"/>
      <c r="FY27" s="73"/>
      <c r="FZ27" s="73"/>
    </row>
    <row r="28" spans="1:183" ht="18" customHeight="1" x14ac:dyDescent="0.15">
      <c r="A28" s="1201"/>
      <c r="B28" s="1201"/>
      <c r="C28" s="1201"/>
      <c r="D28" s="1201"/>
      <c r="E28" s="1202"/>
      <c r="J28" s="1231"/>
      <c r="K28" s="1231"/>
      <c r="L28" s="1231"/>
      <c r="M28" s="1231"/>
      <c r="N28" s="1231"/>
      <c r="O28" s="1231"/>
      <c r="P28" s="1231"/>
      <c r="Q28" s="1231"/>
      <c r="R28" s="1231"/>
      <c r="S28" s="1231"/>
      <c r="T28" s="1231"/>
      <c r="U28" s="1231"/>
      <c r="V28" s="1231"/>
      <c r="W28" s="1231"/>
      <c r="X28" s="1231"/>
      <c r="Y28" s="1231"/>
      <c r="Z28" s="1231"/>
      <c r="AA28" s="1231"/>
      <c r="AB28" s="1232"/>
      <c r="AC28" s="1232"/>
      <c r="AD28" s="1232"/>
      <c r="AE28" s="1232"/>
      <c r="AF28" s="1232"/>
      <c r="AG28" s="1232"/>
      <c r="AH28" s="1232"/>
      <c r="AI28" s="1232"/>
      <c r="AJ28" s="1232"/>
      <c r="AK28" s="1232"/>
      <c r="AL28" s="1232"/>
      <c r="AM28" s="1232"/>
      <c r="AN28" s="1232"/>
      <c r="AO28" s="1232"/>
      <c r="AP28" s="1232"/>
      <c r="AQ28" s="1232"/>
      <c r="AR28" s="1232"/>
      <c r="AS28" s="1232"/>
      <c r="AT28" s="1232"/>
      <c r="AU28" s="1232"/>
      <c r="AV28" s="1232"/>
      <c r="AW28" s="1232"/>
      <c r="AX28" s="1232"/>
      <c r="AY28" s="1232"/>
      <c r="AZ28" s="1232"/>
      <c r="BA28" s="1232"/>
      <c r="BB28" s="1232"/>
      <c r="BC28" s="1232"/>
      <c r="BD28" s="1232"/>
      <c r="BE28" s="1232"/>
      <c r="BF28" s="1232"/>
      <c r="BG28" s="1232"/>
      <c r="BH28" s="1232"/>
      <c r="BI28" s="1232"/>
      <c r="BJ28" s="1232"/>
      <c r="BK28" s="1232"/>
      <c r="BL28" s="1232"/>
      <c r="BM28" s="1232"/>
      <c r="BN28" s="1232"/>
      <c r="BO28" s="1232"/>
      <c r="BP28" s="1232"/>
      <c r="BQ28" s="1232"/>
      <c r="BR28" s="1232"/>
      <c r="BS28" s="1232"/>
      <c r="BT28" s="1232"/>
      <c r="BU28" s="588"/>
      <c r="BV28" s="396"/>
      <c r="BW28" s="396"/>
      <c r="BX28" s="396"/>
      <c r="BY28" s="396"/>
      <c r="BZ28" s="396"/>
      <c r="CA28" s="396"/>
      <c r="CB28" s="396"/>
      <c r="CC28" s="396"/>
      <c r="CD28" s="396"/>
      <c r="CE28" s="396"/>
      <c r="CF28" s="396"/>
      <c r="CG28" s="396"/>
      <c r="CH28" s="396"/>
      <c r="CI28" s="396"/>
      <c r="CJ28" s="396"/>
      <c r="CK28" s="396"/>
      <c r="CL28" s="396"/>
      <c r="CM28" s="396"/>
      <c r="CN28" s="396"/>
      <c r="CO28" s="396"/>
      <c r="CP28" s="396"/>
      <c r="CQ28" s="396"/>
      <c r="CR28" s="396"/>
      <c r="CS28" s="396"/>
      <c r="CT28" s="396"/>
      <c r="CU28" s="396"/>
      <c r="DD28" s="16"/>
      <c r="DE28" s="16"/>
      <c r="DF28" s="16"/>
      <c r="DG28" s="16"/>
      <c r="DH28" s="16"/>
      <c r="DI28" s="1593"/>
      <c r="DJ28" s="1163"/>
      <c r="EG28" s="73"/>
      <c r="EH28" s="73"/>
      <c r="EI28" s="73"/>
      <c r="EJ28" s="73"/>
      <c r="EK28" s="73"/>
      <c r="FV28" s="73"/>
      <c r="FW28" s="73"/>
      <c r="FX28" s="73"/>
      <c r="FY28" s="73"/>
      <c r="FZ28" s="73"/>
    </row>
    <row r="29" spans="1:183" ht="2.1" customHeight="1" x14ac:dyDescent="0.15">
      <c r="A29" s="1201"/>
      <c r="B29" s="1201"/>
      <c r="C29" s="1201"/>
      <c r="D29" s="1201"/>
      <c r="E29" s="1202"/>
      <c r="BU29" s="578"/>
      <c r="DD29" s="16"/>
      <c r="DE29" s="16"/>
      <c r="DF29" s="16"/>
      <c r="DG29" s="16"/>
      <c r="DH29" s="16"/>
      <c r="DI29" s="1593"/>
      <c r="DJ29" s="1163"/>
      <c r="EG29" s="73"/>
      <c r="EH29" s="73"/>
      <c r="EI29" s="73"/>
      <c r="EJ29" s="73"/>
      <c r="EK29" s="73"/>
      <c r="FV29" s="73"/>
      <c r="FW29" s="73"/>
      <c r="FX29" s="73"/>
      <c r="FY29" s="73"/>
      <c r="FZ29" s="73"/>
    </row>
    <row r="30" spans="1:183" ht="1.5" customHeight="1" x14ac:dyDescent="0.15">
      <c r="A30" s="1201"/>
      <c r="B30" s="1201"/>
      <c r="C30" s="1201"/>
      <c r="D30" s="1201"/>
      <c r="E30" s="1202"/>
      <c r="BU30" s="578"/>
      <c r="DD30" s="16"/>
      <c r="DE30" s="16"/>
      <c r="DF30" s="16"/>
      <c r="DG30" s="16"/>
      <c r="DH30" s="16"/>
      <c r="DI30" s="1593"/>
      <c r="DJ30" s="1163"/>
      <c r="EG30" s="73"/>
      <c r="EH30" s="73"/>
      <c r="EI30" s="73"/>
      <c r="EJ30" s="73"/>
      <c r="EK30" s="73"/>
      <c r="FV30" s="73"/>
      <c r="FW30" s="73"/>
      <c r="FX30" s="73"/>
      <c r="FY30" s="73"/>
      <c r="FZ30" s="73"/>
    </row>
    <row r="31" spans="1:183" ht="2.1" customHeight="1" thickBot="1" x14ac:dyDescent="0.2">
      <c r="A31" s="1201"/>
      <c r="B31" s="1201"/>
      <c r="C31" s="1201"/>
      <c r="D31" s="1201"/>
      <c r="E31" s="1202"/>
      <c r="BU31" s="578"/>
      <c r="DD31" s="16"/>
      <c r="DE31" s="16"/>
      <c r="DF31" s="16"/>
      <c r="DG31" s="16"/>
      <c r="DH31" s="16"/>
      <c r="DI31" s="1593"/>
      <c r="DJ31" s="1163"/>
      <c r="EG31" s="73"/>
      <c r="EH31" s="73"/>
      <c r="EI31" s="73"/>
      <c r="EJ31" s="73"/>
      <c r="EK31" s="73"/>
      <c r="FV31" s="73"/>
      <c r="FW31" s="73"/>
      <c r="FX31" s="73"/>
      <c r="FY31" s="73"/>
      <c r="FZ31" s="73"/>
    </row>
    <row r="32" spans="1:183" s="80" customFormat="1" ht="35.1" customHeight="1" x14ac:dyDescent="0.55000000000000004">
      <c r="A32" s="1201"/>
      <c r="B32" s="1201"/>
      <c r="C32" s="1201"/>
      <c r="D32" s="1201"/>
      <c r="E32" s="1202"/>
      <c r="F32" s="652"/>
      <c r="G32" s="652"/>
      <c r="H32" s="652"/>
      <c r="I32" s="1214"/>
      <c r="J32" s="2156" t="s">
        <v>2855</v>
      </c>
      <c r="K32" s="2157"/>
      <c r="L32" s="2157"/>
      <c r="M32" s="2157"/>
      <c r="N32" s="2157"/>
      <c r="O32" s="2157"/>
      <c r="P32" s="2157"/>
      <c r="Q32" s="2157"/>
      <c r="R32" s="2157"/>
      <c r="S32" s="2157"/>
      <c r="T32" s="2157"/>
      <c r="U32" s="2157"/>
      <c r="V32" s="2157"/>
      <c r="W32" s="2157"/>
      <c r="X32" s="2157"/>
      <c r="Y32" s="2157"/>
      <c r="Z32" s="2157"/>
      <c r="AA32" s="2157"/>
      <c r="AB32" s="2157"/>
      <c r="AC32" s="2157"/>
      <c r="AD32" s="2157"/>
      <c r="AE32" s="2157"/>
      <c r="AF32" s="2157"/>
      <c r="AG32" s="2157"/>
      <c r="AH32" s="2157"/>
      <c r="AI32" s="2157"/>
      <c r="AJ32" s="2157"/>
      <c r="AK32" s="2157"/>
      <c r="AL32" s="2157"/>
      <c r="AM32" s="2157"/>
      <c r="AN32" s="2157"/>
      <c r="AO32" s="2157"/>
      <c r="AP32" s="2157"/>
      <c r="AQ32" s="2157"/>
      <c r="AR32" s="2157"/>
      <c r="AS32" s="2157"/>
      <c r="AT32" s="2157"/>
      <c r="AU32" s="2157"/>
      <c r="AV32" s="2157"/>
      <c r="AW32" s="2157"/>
      <c r="AX32" s="2157"/>
      <c r="AY32" s="2157"/>
      <c r="AZ32" s="2157"/>
      <c r="BA32" s="2157"/>
      <c r="BB32" s="2157"/>
      <c r="BC32" s="2157"/>
      <c r="BD32" s="2157"/>
      <c r="BE32" s="2157"/>
      <c r="BF32" s="2157"/>
      <c r="BG32" s="2157"/>
      <c r="BH32" s="2157"/>
      <c r="BI32" s="2155" t="s">
        <v>2848</v>
      </c>
      <c r="BJ32" s="2155"/>
      <c r="BK32" s="2155"/>
      <c r="BL32" s="2155"/>
      <c r="BM32" s="2155"/>
      <c r="BN32" s="2155"/>
      <c r="BO32" s="2155"/>
      <c r="BP32" s="2155"/>
      <c r="BQ32" s="2155"/>
      <c r="BR32" s="2155"/>
      <c r="BS32" s="2155"/>
      <c r="BT32" s="2155"/>
      <c r="BU32" s="589"/>
      <c r="BV32" s="589"/>
      <c r="BW32" s="589"/>
      <c r="BX32" s="589"/>
      <c r="BY32" s="590"/>
      <c r="BZ32" s="590"/>
      <c r="CA32" s="590"/>
      <c r="CB32" s="590"/>
      <c r="CC32" s="590"/>
      <c r="CD32" s="590"/>
      <c r="CE32" s="590"/>
      <c r="CF32" s="590"/>
      <c r="CG32" s="590"/>
      <c r="CH32" s="590"/>
      <c r="CI32" s="590"/>
      <c r="CJ32" s="590"/>
      <c r="CK32" s="590"/>
      <c r="CL32" s="590"/>
      <c r="CM32" s="590"/>
      <c r="CN32" s="589"/>
      <c r="CO32" s="589"/>
      <c r="CP32" s="589"/>
      <c r="CQ32" s="589"/>
      <c r="CR32" s="402"/>
      <c r="CS32" s="402"/>
      <c r="CT32" s="402"/>
      <c r="CU32" s="403"/>
      <c r="CV32" s="401"/>
      <c r="CW32" s="401"/>
      <c r="CX32" s="7"/>
      <c r="CY32" s="7"/>
      <c r="CZ32" s="7"/>
      <c r="DA32" s="7"/>
      <c r="DB32" s="7"/>
      <c r="DC32" s="15"/>
      <c r="DD32" s="10"/>
      <c r="DE32" s="10"/>
      <c r="DF32" s="591"/>
      <c r="DG32" s="591"/>
      <c r="DH32" s="16"/>
      <c r="DI32" s="1593"/>
      <c r="DJ32" s="1163"/>
      <c r="DK32" s="1163"/>
      <c r="DL32" s="79"/>
      <c r="DM32" s="1436" t="str">
        <f>J32</f>
        <v>３-1　所有者1</v>
      </c>
      <c r="DN32" s="79"/>
      <c r="DO32" s="79"/>
      <c r="DP32" s="79"/>
      <c r="DQ32" s="79"/>
      <c r="DV32" s="1547" t="s">
        <v>2940</v>
      </c>
      <c r="DW32" s="1127"/>
      <c r="DX32" s="1127"/>
      <c r="DY32" s="1161" t="s">
        <v>2846</v>
      </c>
      <c r="FO32" s="582"/>
      <c r="GA32" s="79"/>
    </row>
    <row r="33" spans="1:183" ht="27" customHeight="1" thickBot="1" x14ac:dyDescent="0.2">
      <c r="A33" s="1201"/>
      <c r="B33" s="1201"/>
      <c r="C33" s="1201"/>
      <c r="D33" s="1201"/>
      <c r="E33" s="1202"/>
      <c r="I33" s="1233"/>
      <c r="J33" s="1234"/>
      <c r="K33" s="1235"/>
      <c r="L33" s="1235"/>
      <c r="M33" s="2237" t="s">
        <v>680</v>
      </c>
      <c r="N33" s="2238"/>
      <c r="O33" s="2238"/>
      <c r="P33" s="2238"/>
      <c r="Q33" s="2238"/>
      <c r="R33" s="2238"/>
      <c r="S33" s="2231" t="s">
        <v>664</v>
      </c>
      <c r="T33" s="2276"/>
      <c r="U33" s="2276"/>
      <c r="V33" s="2276"/>
      <c r="W33" s="2276"/>
      <c r="X33" s="2276"/>
      <c r="Y33" s="2276"/>
      <c r="Z33" s="2276"/>
      <c r="AA33" s="2276"/>
      <c r="AB33" s="2166"/>
      <c r="AC33" s="2166"/>
      <c r="AD33" s="2166"/>
      <c r="AE33" s="2166"/>
      <c r="AF33" s="2166"/>
      <c r="AG33" s="2166"/>
      <c r="AH33" s="2166"/>
      <c r="AI33" s="2166"/>
      <c r="AJ33" s="2166"/>
      <c r="AK33" s="2166"/>
      <c r="AL33" s="2166"/>
      <c r="AM33" s="2166"/>
      <c r="AN33" s="2166"/>
      <c r="AO33" s="2166"/>
      <c r="AP33" s="2166"/>
      <c r="AQ33" s="2166"/>
      <c r="AR33" s="2166"/>
      <c r="AS33" s="2166"/>
      <c r="AT33" s="2166"/>
      <c r="AU33" s="2166"/>
      <c r="AV33" s="2166"/>
      <c r="AW33" s="2166"/>
      <c r="AX33" s="2166"/>
      <c r="AY33" s="2166"/>
      <c r="AZ33" s="2166"/>
      <c r="BA33" s="2166"/>
      <c r="BB33" s="2166"/>
      <c r="BC33" s="2166"/>
      <c r="BD33" s="2166"/>
      <c r="BE33" s="2166"/>
      <c r="BF33" s="2166"/>
      <c r="BG33" s="2166"/>
      <c r="BH33" s="2166"/>
      <c r="BI33" s="2166"/>
      <c r="BJ33" s="2166"/>
      <c r="BK33" s="2166"/>
      <c r="BL33" s="2166"/>
      <c r="BM33" s="2166"/>
      <c r="BN33" s="2166"/>
      <c r="BO33" s="2166"/>
      <c r="BP33" s="2166"/>
      <c r="BQ33" s="2166"/>
      <c r="BR33" s="2166"/>
      <c r="BS33" s="2166"/>
      <c r="BT33" s="2166"/>
      <c r="BU33" s="592"/>
      <c r="BV33" s="1189"/>
      <c r="BW33" s="1189"/>
      <c r="BX33" s="1189"/>
      <c r="BY33" s="1189"/>
      <c r="BZ33" s="1189"/>
      <c r="CA33" s="1189"/>
      <c r="CB33" s="1189"/>
      <c r="CC33" s="1189"/>
      <c r="CD33" s="1189"/>
      <c r="CE33" s="1189"/>
      <c r="CF33" s="1189"/>
      <c r="CG33" s="1189"/>
      <c r="CH33" s="1189"/>
      <c r="CI33" s="1189"/>
      <c r="CJ33" s="1189"/>
      <c r="CK33" s="1189"/>
      <c r="CL33" s="1189"/>
      <c r="CM33" s="1189"/>
      <c r="CN33" s="1189"/>
      <c r="CO33" s="1189"/>
      <c r="CP33" s="1189"/>
      <c r="CQ33" s="1189"/>
      <c r="CR33" s="1189"/>
      <c r="CS33" s="1189"/>
      <c r="CT33" s="1189"/>
      <c r="CU33" s="397"/>
      <c r="CV33" s="401"/>
      <c r="CW33" s="401"/>
      <c r="CX33" s="7"/>
      <c r="CY33" s="7"/>
      <c r="CZ33" s="7"/>
      <c r="DA33" s="7"/>
      <c r="DB33" s="7"/>
      <c r="DD33" s="10"/>
      <c r="DE33" s="10"/>
      <c r="DF33" s="84"/>
      <c r="DG33" s="84"/>
      <c r="DH33" s="84"/>
      <c r="DI33" s="1593"/>
      <c r="DJ33" s="1163"/>
      <c r="DS33" s="210"/>
      <c r="DT33" s="210"/>
      <c r="DU33" s="210"/>
      <c r="DV33" s="210" t="s">
        <v>1611</v>
      </c>
      <c r="DW33" s="1556" t="str">
        <f t="shared" ref="DW33:DW38" si="1">TEXT(AB33,"")</f>
        <v/>
      </c>
      <c r="DX33" s="210"/>
      <c r="DY33" s="94" t="str">
        <f>DW33&amp;" "&amp;DW35&amp;" "&amp;DW37</f>
        <v xml:space="preserve">  </v>
      </c>
      <c r="DZ33" s="1555" t="str">
        <f>ASC(DY33)</f>
        <v xml:space="preserve">  </v>
      </c>
      <c r="EA33" s="1430" t="s">
        <v>2883</v>
      </c>
      <c r="EB33" s="210"/>
      <c r="EG33" s="73"/>
      <c r="EH33" s="73"/>
      <c r="EI33" s="73"/>
      <c r="EJ33" s="73"/>
      <c r="EK33" s="73"/>
      <c r="FV33" s="73"/>
      <c r="FW33" s="73"/>
      <c r="FX33" s="73"/>
      <c r="FY33" s="73"/>
      <c r="FZ33" s="73"/>
    </row>
    <row r="34" spans="1:183" ht="27" customHeight="1" thickBot="1" x14ac:dyDescent="0.2">
      <c r="A34" s="1201"/>
      <c r="B34" s="1201"/>
      <c r="C34" s="1201"/>
      <c r="D34" s="1201"/>
      <c r="E34" s="1202"/>
      <c r="I34" s="1233"/>
      <c r="J34" s="1234"/>
      <c r="K34" s="1235"/>
      <c r="L34" s="1235"/>
      <c r="M34" s="2240"/>
      <c r="N34" s="2240"/>
      <c r="O34" s="2240"/>
      <c r="P34" s="2240"/>
      <c r="Q34" s="2240"/>
      <c r="R34" s="2240"/>
      <c r="S34" s="2260" t="s">
        <v>315</v>
      </c>
      <c r="T34" s="2261"/>
      <c r="U34" s="2261"/>
      <c r="V34" s="2261"/>
      <c r="W34" s="2261"/>
      <c r="X34" s="2261"/>
      <c r="Y34" s="2261"/>
      <c r="Z34" s="2261"/>
      <c r="AA34" s="2261"/>
      <c r="AB34" s="2224"/>
      <c r="AC34" s="2224"/>
      <c r="AD34" s="2224"/>
      <c r="AE34" s="2224"/>
      <c r="AF34" s="2224"/>
      <c r="AG34" s="2224"/>
      <c r="AH34" s="2224"/>
      <c r="AI34" s="2224"/>
      <c r="AJ34" s="2224"/>
      <c r="AK34" s="2224"/>
      <c r="AL34" s="2224"/>
      <c r="AM34" s="2224"/>
      <c r="AN34" s="2224"/>
      <c r="AO34" s="2224"/>
      <c r="AP34" s="2224"/>
      <c r="AQ34" s="2224"/>
      <c r="AR34" s="2224"/>
      <c r="AS34" s="2224"/>
      <c r="AT34" s="2224"/>
      <c r="AU34" s="2224"/>
      <c r="AV34" s="2224"/>
      <c r="AW34" s="2224"/>
      <c r="AX34" s="2224"/>
      <c r="AY34" s="2224"/>
      <c r="AZ34" s="2224"/>
      <c r="BA34" s="2224"/>
      <c r="BB34" s="2224"/>
      <c r="BC34" s="2224"/>
      <c r="BD34" s="2224"/>
      <c r="BE34" s="2224"/>
      <c r="BF34" s="2224"/>
      <c r="BG34" s="2224"/>
      <c r="BH34" s="2224"/>
      <c r="BI34" s="2224"/>
      <c r="BJ34" s="2224"/>
      <c r="BK34" s="2224"/>
      <c r="BL34" s="2224"/>
      <c r="BM34" s="2224"/>
      <c r="BN34" s="2224"/>
      <c r="BO34" s="2224"/>
      <c r="BP34" s="2224"/>
      <c r="BQ34" s="2224"/>
      <c r="BR34" s="2224"/>
      <c r="BS34" s="2224"/>
      <c r="BT34" s="2224"/>
      <c r="BU34" s="592"/>
      <c r="BV34" s="1189"/>
      <c r="BW34" s="2226" t="s">
        <v>3088</v>
      </c>
      <c r="BX34" s="2226"/>
      <c r="BY34" s="2226"/>
      <c r="BZ34" s="2226"/>
      <c r="CA34" s="2226"/>
      <c r="CB34" s="2226"/>
      <c r="CC34" s="2226"/>
      <c r="CD34" s="2226"/>
      <c r="CE34" s="2226"/>
      <c r="CF34" s="2226"/>
      <c r="CG34" s="2226"/>
      <c r="CH34" s="2226"/>
      <c r="CI34" s="2226"/>
      <c r="CJ34" s="2226"/>
      <c r="CK34" s="2226"/>
      <c r="CL34" s="2226"/>
      <c r="CM34" s="2226"/>
      <c r="CN34" s="2226"/>
      <c r="CO34" s="2226"/>
      <c r="CP34" s="2226"/>
      <c r="CQ34" s="2226"/>
      <c r="CR34" s="2226"/>
      <c r="CS34" s="2226"/>
      <c r="CT34" s="1189"/>
      <c r="CU34" s="397"/>
      <c r="CV34" s="401"/>
      <c r="CW34" s="401"/>
      <c r="CX34" s="7"/>
      <c r="CY34" s="7"/>
      <c r="DD34" s="16"/>
      <c r="DE34" s="16"/>
      <c r="DF34" s="16"/>
      <c r="DG34" s="16"/>
      <c r="DH34" s="16"/>
      <c r="DI34" s="1593"/>
      <c r="DJ34" s="1163"/>
      <c r="DM34" s="215"/>
      <c r="DV34" s="73" t="s">
        <v>1612</v>
      </c>
      <c r="DW34" s="1558" t="str">
        <f t="shared" si="1"/>
        <v/>
      </c>
      <c r="DY34" s="96" t="str">
        <f>DW34&amp;" "&amp;DW36&amp;" "&amp;DW38</f>
        <v xml:space="preserve">  </v>
      </c>
      <c r="DZ34" s="1555" t="str">
        <f>DY34</f>
        <v xml:space="preserve">  </v>
      </c>
      <c r="EA34" s="1430" t="s">
        <v>2847</v>
      </c>
      <c r="EB34" s="593"/>
      <c r="EG34" s="73"/>
      <c r="EH34" s="73"/>
      <c r="EI34" s="73"/>
      <c r="EJ34" s="73"/>
      <c r="EK34" s="73"/>
      <c r="FV34" s="73"/>
      <c r="FW34" s="73"/>
      <c r="FX34" s="73"/>
      <c r="FY34" s="73"/>
      <c r="FZ34" s="73"/>
    </row>
    <row r="35" spans="1:183" ht="27" customHeight="1" thickBot="1" x14ac:dyDescent="0.2">
      <c r="A35" s="1201"/>
      <c r="B35" s="1201"/>
      <c r="C35" s="1201"/>
      <c r="D35" s="1201"/>
      <c r="E35" s="1202"/>
      <c r="I35" s="1233"/>
      <c r="J35" s="1234"/>
      <c r="K35" s="1235"/>
      <c r="L35" s="1235"/>
      <c r="M35" s="2240"/>
      <c r="N35" s="2240"/>
      <c r="O35" s="2240"/>
      <c r="P35" s="2240"/>
      <c r="Q35" s="2240"/>
      <c r="R35" s="2240"/>
      <c r="S35" s="2231" t="s">
        <v>662</v>
      </c>
      <c r="T35" s="2276"/>
      <c r="U35" s="2276"/>
      <c r="V35" s="2276"/>
      <c r="W35" s="2276"/>
      <c r="X35" s="2276"/>
      <c r="Y35" s="2276"/>
      <c r="Z35" s="2276"/>
      <c r="AA35" s="2276"/>
      <c r="AB35" s="2166"/>
      <c r="AC35" s="2166"/>
      <c r="AD35" s="2166"/>
      <c r="AE35" s="2166"/>
      <c r="AF35" s="2166"/>
      <c r="AG35" s="2166"/>
      <c r="AH35" s="2166"/>
      <c r="AI35" s="2166"/>
      <c r="AJ35" s="2166"/>
      <c r="AK35" s="2166"/>
      <c r="AL35" s="2166"/>
      <c r="AM35" s="2166"/>
      <c r="AN35" s="2166"/>
      <c r="AO35" s="2166"/>
      <c r="AP35" s="2166"/>
      <c r="AQ35" s="2166"/>
      <c r="AR35" s="2166"/>
      <c r="AS35" s="2166"/>
      <c r="AT35" s="2166"/>
      <c r="AU35" s="2166"/>
      <c r="AV35" s="2166"/>
      <c r="AW35" s="2166"/>
      <c r="AX35" s="2166"/>
      <c r="AY35" s="2166"/>
      <c r="AZ35" s="2166"/>
      <c r="BA35" s="2166"/>
      <c r="BB35" s="2166"/>
      <c r="BC35" s="2166"/>
      <c r="BD35" s="2166"/>
      <c r="BE35" s="2166"/>
      <c r="BF35" s="2166"/>
      <c r="BG35" s="2166"/>
      <c r="BH35" s="2166"/>
      <c r="BI35" s="2166"/>
      <c r="BJ35" s="2166"/>
      <c r="BK35" s="2166"/>
      <c r="BL35" s="2166"/>
      <c r="BM35" s="2166"/>
      <c r="BN35" s="2166"/>
      <c r="BO35" s="2166"/>
      <c r="BP35" s="2166"/>
      <c r="BQ35" s="2166"/>
      <c r="BR35" s="2166"/>
      <c r="BS35" s="2166"/>
      <c r="BT35" s="2166"/>
      <c r="BU35" s="592"/>
      <c r="BV35" s="1189"/>
      <c r="BW35" s="2226"/>
      <c r="BX35" s="2226"/>
      <c r="BY35" s="2226"/>
      <c r="BZ35" s="2226"/>
      <c r="CA35" s="2226"/>
      <c r="CB35" s="2226"/>
      <c r="CC35" s="2226"/>
      <c r="CD35" s="2226"/>
      <c r="CE35" s="2226"/>
      <c r="CF35" s="2226"/>
      <c r="CG35" s="2226"/>
      <c r="CH35" s="2226"/>
      <c r="CI35" s="2226"/>
      <c r="CJ35" s="2226"/>
      <c r="CK35" s="2226"/>
      <c r="CL35" s="2226"/>
      <c r="CM35" s="2226"/>
      <c r="CN35" s="2226"/>
      <c r="CO35" s="2226"/>
      <c r="CP35" s="2226"/>
      <c r="CQ35" s="2226"/>
      <c r="CR35" s="2226"/>
      <c r="CS35" s="2226"/>
      <c r="CT35" s="1189"/>
      <c r="CU35" s="397"/>
      <c r="CV35" s="401"/>
      <c r="CW35" s="401"/>
      <c r="CX35" s="7"/>
      <c r="DD35" s="16"/>
      <c r="DE35" s="16"/>
      <c r="DF35" s="16"/>
      <c r="DG35" s="16"/>
      <c r="DH35" s="16"/>
      <c r="DI35" s="1593"/>
      <c r="DJ35" s="1163"/>
      <c r="DV35" s="73" t="s">
        <v>1613</v>
      </c>
      <c r="DW35" s="1557" t="str">
        <f t="shared" si="1"/>
        <v/>
      </c>
      <c r="EG35" s="73"/>
      <c r="EH35" s="73"/>
      <c r="EI35" s="73"/>
      <c r="EJ35" s="73"/>
      <c r="EK35" s="73"/>
      <c r="FV35" s="73"/>
      <c r="FW35" s="73"/>
      <c r="FX35" s="73"/>
      <c r="FY35" s="73"/>
      <c r="FZ35" s="73"/>
    </row>
    <row r="36" spans="1:183" ht="27" customHeight="1" thickBot="1" x14ac:dyDescent="0.2">
      <c r="A36" s="1201"/>
      <c r="B36" s="1201"/>
      <c r="C36" s="1201"/>
      <c r="D36" s="1201"/>
      <c r="E36" s="1202"/>
      <c r="I36" s="1233"/>
      <c r="J36" s="1234"/>
      <c r="K36" s="1235"/>
      <c r="L36" s="1235"/>
      <c r="M36" s="2240"/>
      <c r="N36" s="2240"/>
      <c r="O36" s="2240"/>
      <c r="P36" s="2240"/>
      <c r="Q36" s="2240"/>
      <c r="R36" s="2240"/>
      <c r="S36" s="2260" t="s">
        <v>317</v>
      </c>
      <c r="T36" s="2261"/>
      <c r="U36" s="2261"/>
      <c r="V36" s="2261"/>
      <c r="W36" s="2261"/>
      <c r="X36" s="2261"/>
      <c r="Y36" s="2261"/>
      <c r="Z36" s="2261"/>
      <c r="AA36" s="2261"/>
      <c r="AB36" s="2224"/>
      <c r="AC36" s="2224"/>
      <c r="AD36" s="2224"/>
      <c r="AE36" s="2224"/>
      <c r="AF36" s="2224"/>
      <c r="AG36" s="2224"/>
      <c r="AH36" s="2224"/>
      <c r="AI36" s="2224"/>
      <c r="AJ36" s="2224"/>
      <c r="AK36" s="2224"/>
      <c r="AL36" s="2224"/>
      <c r="AM36" s="2224"/>
      <c r="AN36" s="2224"/>
      <c r="AO36" s="2224"/>
      <c r="AP36" s="2224"/>
      <c r="AQ36" s="2224"/>
      <c r="AR36" s="2224"/>
      <c r="AS36" s="2224"/>
      <c r="AT36" s="2224"/>
      <c r="AU36" s="2224"/>
      <c r="AV36" s="2224"/>
      <c r="AW36" s="2224"/>
      <c r="AX36" s="2224"/>
      <c r="AY36" s="2224"/>
      <c r="AZ36" s="2224"/>
      <c r="BA36" s="2224"/>
      <c r="BB36" s="2224"/>
      <c r="BC36" s="2224"/>
      <c r="BD36" s="2224"/>
      <c r="BE36" s="2224"/>
      <c r="BF36" s="2224"/>
      <c r="BG36" s="2224"/>
      <c r="BH36" s="2224"/>
      <c r="BI36" s="2224"/>
      <c r="BJ36" s="2224"/>
      <c r="BK36" s="2224"/>
      <c r="BL36" s="2224"/>
      <c r="BM36" s="2224"/>
      <c r="BN36" s="2224"/>
      <c r="BO36" s="2224"/>
      <c r="BP36" s="2224"/>
      <c r="BQ36" s="2224"/>
      <c r="BR36" s="2224"/>
      <c r="BS36" s="2224"/>
      <c r="BT36" s="2224"/>
      <c r="BU36" s="1189"/>
      <c r="BV36" s="1189"/>
      <c r="BW36" s="2226"/>
      <c r="BX36" s="2226"/>
      <c r="BY36" s="2226"/>
      <c r="BZ36" s="2226"/>
      <c r="CA36" s="2226"/>
      <c r="CB36" s="2226"/>
      <c r="CC36" s="2226"/>
      <c r="CD36" s="2226"/>
      <c r="CE36" s="2226"/>
      <c r="CF36" s="2226"/>
      <c r="CG36" s="2226"/>
      <c r="CH36" s="2226"/>
      <c r="CI36" s="2226"/>
      <c r="CJ36" s="2226"/>
      <c r="CK36" s="2226"/>
      <c r="CL36" s="2226"/>
      <c r="CM36" s="2226"/>
      <c r="CN36" s="2226"/>
      <c r="CO36" s="2226"/>
      <c r="CP36" s="2226"/>
      <c r="CQ36" s="2226"/>
      <c r="CR36" s="2226"/>
      <c r="CS36" s="2226"/>
      <c r="CT36" s="1189"/>
      <c r="CU36" s="397"/>
      <c r="DD36" s="16"/>
      <c r="DE36" s="16"/>
      <c r="DF36" s="16"/>
      <c r="DG36" s="16"/>
      <c r="DH36" s="16"/>
      <c r="DI36" s="1593"/>
      <c r="DJ36" s="1163"/>
      <c r="DM36" s="215"/>
      <c r="DV36" s="73" t="s">
        <v>1614</v>
      </c>
      <c r="DW36" s="1558" t="str">
        <f t="shared" si="1"/>
        <v/>
      </c>
      <c r="DY36" s="433"/>
      <c r="EG36" s="73"/>
      <c r="EH36" s="73"/>
      <c r="EI36" s="73"/>
      <c r="EJ36" s="73"/>
      <c r="EK36" s="73"/>
      <c r="FV36" s="73"/>
      <c r="FW36" s="73"/>
      <c r="FX36" s="73"/>
      <c r="FY36" s="73"/>
      <c r="FZ36" s="73"/>
    </row>
    <row r="37" spans="1:183" ht="27" customHeight="1" thickBot="1" x14ac:dyDescent="0.2">
      <c r="A37" s="1201"/>
      <c r="B37" s="1201"/>
      <c r="C37" s="1201"/>
      <c r="D37" s="1201"/>
      <c r="E37" s="1202"/>
      <c r="I37" s="1233"/>
      <c r="J37" s="1234"/>
      <c r="K37" s="1235"/>
      <c r="L37" s="1235"/>
      <c r="M37" s="2240"/>
      <c r="N37" s="2240"/>
      <c r="O37" s="2240"/>
      <c r="P37" s="2240"/>
      <c r="Q37" s="2240"/>
      <c r="R37" s="2240"/>
      <c r="S37" s="2231" t="s">
        <v>664</v>
      </c>
      <c r="T37" s="2276"/>
      <c r="U37" s="2276"/>
      <c r="V37" s="2276"/>
      <c r="W37" s="2276"/>
      <c r="X37" s="2276"/>
      <c r="Y37" s="2276"/>
      <c r="Z37" s="2276"/>
      <c r="AA37" s="2276"/>
      <c r="AB37" s="2169"/>
      <c r="AC37" s="2169"/>
      <c r="AD37" s="2169"/>
      <c r="AE37" s="2169"/>
      <c r="AF37" s="2169"/>
      <c r="AG37" s="2169"/>
      <c r="AH37" s="2169"/>
      <c r="AI37" s="2169"/>
      <c r="AJ37" s="2169"/>
      <c r="AK37" s="2169"/>
      <c r="AL37" s="2169"/>
      <c r="AM37" s="2169"/>
      <c r="AN37" s="2169"/>
      <c r="AO37" s="2169"/>
      <c r="AP37" s="2169"/>
      <c r="AQ37" s="2169"/>
      <c r="AR37" s="2169"/>
      <c r="AS37" s="2169"/>
      <c r="AT37" s="2169"/>
      <c r="AU37" s="2169"/>
      <c r="AV37" s="2169"/>
      <c r="AW37" s="2169"/>
      <c r="AX37" s="2169"/>
      <c r="AY37" s="2169"/>
      <c r="AZ37" s="2169"/>
      <c r="BA37" s="2169"/>
      <c r="BB37" s="2169"/>
      <c r="BC37" s="2169"/>
      <c r="BD37" s="2169"/>
      <c r="BE37" s="2169"/>
      <c r="BF37" s="2169"/>
      <c r="BG37" s="2169"/>
      <c r="BH37" s="2169"/>
      <c r="BI37" s="2169"/>
      <c r="BJ37" s="2169"/>
      <c r="BK37" s="2169"/>
      <c r="BL37" s="2169"/>
      <c r="BM37" s="2169"/>
      <c r="BN37" s="2169"/>
      <c r="BO37" s="2169"/>
      <c r="BP37" s="2169"/>
      <c r="BQ37" s="2169"/>
      <c r="BR37" s="2169"/>
      <c r="BS37" s="2169"/>
      <c r="BT37" s="2169"/>
      <c r="BU37" s="592"/>
      <c r="BV37" s="1189"/>
      <c r="BW37" s="2226"/>
      <c r="BX37" s="2226"/>
      <c r="BY37" s="2226"/>
      <c r="BZ37" s="2226"/>
      <c r="CA37" s="2226"/>
      <c r="CB37" s="2226"/>
      <c r="CC37" s="2226"/>
      <c r="CD37" s="2226"/>
      <c r="CE37" s="2226"/>
      <c r="CF37" s="2226"/>
      <c r="CG37" s="2226"/>
      <c r="CH37" s="2226"/>
      <c r="CI37" s="2226"/>
      <c r="CJ37" s="2226"/>
      <c r="CK37" s="2226"/>
      <c r="CL37" s="2226"/>
      <c r="CM37" s="2226"/>
      <c r="CN37" s="2226"/>
      <c r="CO37" s="2226"/>
      <c r="CP37" s="2226"/>
      <c r="CQ37" s="2226"/>
      <c r="CR37" s="2226"/>
      <c r="CS37" s="2226"/>
      <c r="CT37" s="1189"/>
      <c r="CU37" s="397"/>
      <c r="DD37" s="16"/>
      <c r="DE37" s="16"/>
      <c r="DF37" s="16"/>
      <c r="DG37" s="16"/>
      <c r="DH37" s="16"/>
      <c r="DI37" s="1593"/>
      <c r="DJ37" s="1163"/>
      <c r="DN37" s="1161" t="s">
        <v>2857</v>
      </c>
      <c r="DS37" s="78"/>
      <c r="DV37" s="73" t="s">
        <v>662</v>
      </c>
      <c r="DW37" s="1557" t="str">
        <f t="shared" si="1"/>
        <v/>
      </c>
      <c r="EG37" s="73"/>
      <c r="EH37" s="73"/>
      <c r="EI37" s="73"/>
      <c r="EJ37" s="73"/>
      <c r="EK37" s="73"/>
      <c r="FV37" s="73"/>
      <c r="FW37" s="73"/>
      <c r="FX37" s="73"/>
      <c r="FY37" s="73"/>
      <c r="FZ37" s="73"/>
    </row>
    <row r="38" spans="1:183" ht="27" customHeight="1" thickBot="1" x14ac:dyDescent="0.2">
      <c r="A38" s="1201"/>
      <c r="B38" s="1201"/>
      <c r="C38" s="1201"/>
      <c r="D38" s="1201"/>
      <c r="E38" s="1202"/>
      <c r="I38" s="1233"/>
      <c r="J38" s="1234"/>
      <c r="K38" s="1235"/>
      <c r="L38" s="1235"/>
      <c r="M38" s="2239"/>
      <c r="N38" s="2239"/>
      <c r="O38" s="2239"/>
      <c r="P38" s="2239"/>
      <c r="Q38" s="2239"/>
      <c r="R38" s="2239"/>
      <c r="S38" s="2260" t="s">
        <v>318</v>
      </c>
      <c r="T38" s="2261"/>
      <c r="U38" s="2261"/>
      <c r="V38" s="2261"/>
      <c r="W38" s="2261"/>
      <c r="X38" s="2261"/>
      <c r="Y38" s="2261"/>
      <c r="Z38" s="2261"/>
      <c r="AA38" s="2261"/>
      <c r="AB38" s="2196"/>
      <c r="AC38" s="2196"/>
      <c r="AD38" s="2196"/>
      <c r="AE38" s="2196"/>
      <c r="AF38" s="2196"/>
      <c r="AG38" s="2224"/>
      <c r="AH38" s="2224"/>
      <c r="AI38" s="2224"/>
      <c r="AJ38" s="2224"/>
      <c r="AK38" s="2224"/>
      <c r="AL38" s="2224"/>
      <c r="AM38" s="2224"/>
      <c r="AN38" s="2224"/>
      <c r="AO38" s="2224"/>
      <c r="AP38" s="2224"/>
      <c r="AQ38" s="2224"/>
      <c r="AR38" s="2224"/>
      <c r="AS38" s="2224"/>
      <c r="AT38" s="2224"/>
      <c r="AU38" s="2224"/>
      <c r="AV38" s="2224"/>
      <c r="AW38" s="2224"/>
      <c r="AX38" s="2224"/>
      <c r="AY38" s="2224"/>
      <c r="AZ38" s="2224"/>
      <c r="BA38" s="2224"/>
      <c r="BB38" s="2224"/>
      <c r="BC38" s="2224"/>
      <c r="BD38" s="2224"/>
      <c r="BE38" s="2224"/>
      <c r="BF38" s="2224"/>
      <c r="BG38" s="2224"/>
      <c r="BH38" s="2224"/>
      <c r="BI38" s="2224"/>
      <c r="BJ38" s="2224"/>
      <c r="BK38" s="2224"/>
      <c r="BL38" s="2224"/>
      <c r="BM38" s="2224"/>
      <c r="BN38" s="2224"/>
      <c r="BO38" s="2224"/>
      <c r="BP38" s="2224"/>
      <c r="BQ38" s="2224"/>
      <c r="BR38" s="2224"/>
      <c r="BS38" s="2224"/>
      <c r="BT38" s="2224"/>
      <c r="BU38" s="592"/>
      <c r="BV38" s="1189"/>
      <c r="BW38" s="1189"/>
      <c r="BX38" s="1189"/>
      <c r="BY38" s="1189"/>
      <c r="BZ38" s="1189"/>
      <c r="CA38" s="1189"/>
      <c r="CB38" s="1189"/>
      <c r="CC38" s="1189"/>
      <c r="CD38" s="1189"/>
      <c r="CE38" s="1189"/>
      <c r="CF38" s="1189"/>
      <c r="CG38" s="1189"/>
      <c r="CH38" s="1189"/>
      <c r="CI38" s="1189"/>
      <c r="CJ38" s="1189"/>
      <c r="CK38" s="1189"/>
      <c r="CL38" s="1189"/>
      <c r="CM38" s="1189"/>
      <c r="CN38" s="1189"/>
      <c r="CO38" s="1189"/>
      <c r="CP38" s="1189"/>
      <c r="CQ38" s="1189"/>
      <c r="CR38" s="1189"/>
      <c r="CS38" s="1189"/>
      <c r="CT38" s="1189"/>
      <c r="CU38" s="397"/>
      <c r="DD38" s="16"/>
      <c r="DE38" s="16"/>
      <c r="DF38" s="16"/>
      <c r="DG38" s="16"/>
      <c r="DH38" s="16"/>
      <c r="DI38" s="1593"/>
      <c r="DJ38" s="1163"/>
      <c r="DM38" s="159" t="s">
        <v>1105</v>
      </c>
      <c r="DN38" s="1561" t="s">
        <v>3331</v>
      </c>
      <c r="DS38" s="78"/>
      <c r="DV38" s="73" t="s">
        <v>1615</v>
      </c>
      <c r="DW38" s="1558" t="str">
        <f t="shared" si="1"/>
        <v/>
      </c>
      <c r="EG38" s="73"/>
      <c r="EH38" s="73"/>
      <c r="EI38" s="73"/>
      <c r="EJ38" s="73"/>
      <c r="EK38" s="73"/>
      <c r="FV38" s="73"/>
      <c r="FW38" s="73"/>
      <c r="FX38" s="73"/>
      <c r="FY38" s="73"/>
      <c r="FZ38" s="73"/>
    </row>
    <row r="39" spans="1:183" ht="27" customHeight="1" thickBot="1" x14ac:dyDescent="0.2">
      <c r="A39" s="1201"/>
      <c r="B39" s="1201"/>
      <c r="C39" s="1201"/>
      <c r="D39" s="1201"/>
      <c r="E39" s="1202"/>
      <c r="I39" s="1233"/>
      <c r="J39" s="1234"/>
      <c r="K39" s="1235"/>
      <c r="L39" s="1235"/>
      <c r="M39" s="2233" t="s">
        <v>1283</v>
      </c>
      <c r="N39" s="2233"/>
      <c r="O39" s="2233"/>
      <c r="P39" s="2233"/>
      <c r="Q39" s="2233"/>
      <c r="R39" s="2233"/>
      <c r="S39" s="2233"/>
      <c r="T39" s="2233"/>
      <c r="U39" s="2233"/>
      <c r="V39" s="2233"/>
      <c r="W39" s="2233"/>
      <c r="X39" s="2233"/>
      <c r="Y39" s="2233"/>
      <c r="Z39" s="2233"/>
      <c r="AA39" s="2233"/>
      <c r="AB39" s="2212"/>
      <c r="AC39" s="2212"/>
      <c r="AD39" s="2212"/>
      <c r="AE39" s="2212"/>
      <c r="AF39" s="2212"/>
      <c r="AG39" s="2212"/>
      <c r="AH39" s="2211" t="s">
        <v>2889</v>
      </c>
      <c r="AI39" s="2211"/>
      <c r="AJ39" s="2211"/>
      <c r="AK39" s="2212"/>
      <c r="AL39" s="2212"/>
      <c r="AM39" s="2212"/>
      <c r="AN39" s="2212"/>
      <c r="AO39" s="2212"/>
      <c r="AP39" s="2212"/>
      <c r="AQ39" s="1236"/>
      <c r="AR39" s="1236"/>
      <c r="AS39" s="1236"/>
      <c r="AT39" s="1236"/>
      <c r="AU39" s="1236"/>
      <c r="AV39" s="1236"/>
      <c r="AW39" s="1236"/>
      <c r="AX39" s="1236"/>
      <c r="AY39" s="1236"/>
      <c r="AZ39" s="1236"/>
      <c r="BA39" s="1236"/>
      <c r="BB39" s="1236"/>
      <c r="BC39" s="1236"/>
      <c r="BD39" s="1236"/>
      <c r="BE39" s="1236"/>
      <c r="BF39" s="1236"/>
      <c r="BG39" s="1236"/>
      <c r="BH39" s="1236"/>
      <c r="BI39" s="1236"/>
      <c r="BJ39" s="1236"/>
      <c r="BK39" s="1236"/>
      <c r="BL39" s="1236"/>
      <c r="BM39" s="1236"/>
      <c r="BN39" s="1236"/>
      <c r="BO39" s="1236"/>
      <c r="BP39" s="1236"/>
      <c r="BQ39" s="1236"/>
      <c r="BR39" s="1236"/>
      <c r="BS39" s="1236"/>
      <c r="BT39" s="1236"/>
      <c r="BU39" s="592"/>
      <c r="BV39" s="1189"/>
      <c r="BW39" s="1189"/>
      <c r="BX39" s="1189"/>
      <c r="BY39" s="1189"/>
      <c r="BZ39" s="1189"/>
      <c r="CA39" s="1189"/>
      <c r="CB39" s="1189"/>
      <c r="CC39" s="1189"/>
      <c r="CD39" s="1189"/>
      <c r="CE39" s="1189"/>
      <c r="CF39" s="1189"/>
      <c r="CG39" s="1189"/>
      <c r="CH39" s="1189"/>
      <c r="CI39" s="1189"/>
      <c r="CJ39" s="1189"/>
      <c r="CK39" s="1189"/>
      <c r="CL39" s="1189"/>
      <c r="CM39" s="1189"/>
      <c r="CN39" s="1189"/>
      <c r="CO39" s="1189"/>
      <c r="CP39" s="1189"/>
      <c r="CQ39" s="1189"/>
      <c r="CR39" s="1189"/>
      <c r="CS39" s="1189"/>
      <c r="CT39" s="1189"/>
      <c r="CU39" s="397"/>
      <c r="DD39" s="16"/>
      <c r="DE39" s="16"/>
      <c r="DF39" s="16"/>
      <c r="DG39" s="16"/>
      <c r="DH39" s="16"/>
      <c r="DI39" s="1593"/>
      <c r="DJ39" s="1163"/>
      <c r="DM39" s="1559" t="str">
        <f>CONCATENATE(AB39,"-",AK39)</f>
        <v>-</v>
      </c>
      <c r="DN39" s="1562" t="str">
        <f>IF(DM39="-","",ASC(DM39))</f>
        <v/>
      </c>
      <c r="DO39" s="1430" t="s">
        <v>2851</v>
      </c>
      <c r="DR39" s="73" t="str">
        <f>IF(DM39="-","",ASC(DM39))</f>
        <v/>
      </c>
      <c r="DS39" s="213"/>
      <c r="DT39" s="213"/>
      <c r="EG39" s="73"/>
      <c r="EH39" s="73"/>
      <c r="EI39" s="73"/>
      <c r="EJ39" s="73"/>
      <c r="EK39" s="73"/>
      <c r="FV39" s="73"/>
      <c r="FW39" s="73"/>
      <c r="FX39" s="73"/>
      <c r="FY39" s="73"/>
      <c r="FZ39" s="73"/>
    </row>
    <row r="40" spans="1:183" ht="27" customHeight="1" thickBot="1" x14ac:dyDescent="0.2">
      <c r="A40" s="1201"/>
      <c r="B40" s="1201"/>
      <c r="C40" s="1201"/>
      <c r="D40" s="1201"/>
      <c r="E40" s="1202"/>
      <c r="I40" s="1233"/>
      <c r="J40" s="1234"/>
      <c r="K40" s="1235"/>
      <c r="L40" s="1235"/>
      <c r="M40" s="2233" t="s">
        <v>222</v>
      </c>
      <c r="N40" s="2233"/>
      <c r="O40" s="2233"/>
      <c r="P40" s="2233"/>
      <c r="Q40" s="2233"/>
      <c r="R40" s="2233"/>
      <c r="S40" s="2233"/>
      <c r="T40" s="2233"/>
      <c r="U40" s="2233"/>
      <c r="V40" s="2233"/>
      <c r="W40" s="2233"/>
      <c r="X40" s="2233"/>
      <c r="Y40" s="2233"/>
      <c r="Z40" s="2233"/>
      <c r="AA40" s="2233"/>
      <c r="AB40" s="2234"/>
      <c r="AC40" s="2235"/>
      <c r="AD40" s="2235"/>
      <c r="AE40" s="2235"/>
      <c r="AF40" s="2235"/>
      <c r="AG40" s="2236"/>
      <c r="AH40" s="2236"/>
      <c r="AI40" s="2236"/>
      <c r="AJ40" s="2236"/>
      <c r="AK40" s="2236"/>
      <c r="AL40" s="2236"/>
      <c r="AM40" s="2236"/>
      <c r="AN40" s="2236"/>
      <c r="AO40" s="2236"/>
      <c r="AP40" s="2236"/>
      <c r="AQ40" s="2236"/>
      <c r="AR40" s="2236"/>
      <c r="AS40" s="2236"/>
      <c r="AT40" s="2236"/>
      <c r="AU40" s="2236"/>
      <c r="AV40" s="2236"/>
      <c r="AW40" s="2236"/>
      <c r="AX40" s="2236"/>
      <c r="AY40" s="2236"/>
      <c r="AZ40" s="2236"/>
      <c r="BA40" s="2236"/>
      <c r="BB40" s="2236"/>
      <c r="BC40" s="2236"/>
      <c r="BD40" s="2236"/>
      <c r="BE40" s="2236"/>
      <c r="BF40" s="2236"/>
      <c r="BG40" s="2236"/>
      <c r="BH40" s="2236"/>
      <c r="BI40" s="2236"/>
      <c r="BJ40" s="2236"/>
      <c r="BK40" s="2236"/>
      <c r="BL40" s="2236"/>
      <c r="BM40" s="2236"/>
      <c r="BN40" s="2236"/>
      <c r="BO40" s="2236"/>
      <c r="BP40" s="2236"/>
      <c r="BQ40" s="2236"/>
      <c r="BR40" s="2236"/>
      <c r="BS40" s="2236"/>
      <c r="BT40" s="2236"/>
      <c r="BU40" s="592"/>
      <c r="BV40" s="1189"/>
      <c r="BW40" s="1189"/>
      <c r="BX40" s="1189"/>
      <c r="BY40" s="1189"/>
      <c r="BZ40" s="1189"/>
      <c r="CA40" s="1189"/>
      <c r="CB40" s="1189"/>
      <c r="CC40" s="1189"/>
      <c r="CD40" s="1189"/>
      <c r="CE40" s="1189"/>
      <c r="CF40" s="1189"/>
      <c r="CG40" s="1189"/>
      <c r="CH40" s="1189"/>
      <c r="CI40" s="1189"/>
      <c r="CJ40" s="1189"/>
      <c r="CK40" s="1189"/>
      <c r="CL40" s="1189"/>
      <c r="CM40" s="1189"/>
      <c r="CN40" s="1189"/>
      <c r="CO40" s="1189"/>
      <c r="CP40" s="1189"/>
      <c r="CQ40" s="1189"/>
      <c r="CR40" s="1189"/>
      <c r="CS40" s="1189"/>
      <c r="CT40" s="1189"/>
      <c r="CU40" s="397"/>
      <c r="DD40" s="16"/>
      <c r="DE40" s="16"/>
      <c r="DF40" s="16"/>
      <c r="DG40" s="16"/>
      <c r="DH40" s="16"/>
      <c r="DI40" s="1593"/>
      <c r="DJ40" s="1163"/>
      <c r="DN40" s="1942" t="s">
        <v>2850</v>
      </c>
      <c r="EG40" s="73"/>
      <c r="EH40" s="73"/>
      <c r="EI40" s="73"/>
      <c r="EJ40" s="73"/>
      <c r="EK40" s="73"/>
      <c r="FV40" s="73"/>
      <c r="FW40" s="73"/>
      <c r="FX40" s="73"/>
      <c r="FY40" s="73"/>
      <c r="FZ40" s="73"/>
    </row>
    <row r="41" spans="1:183" ht="27" customHeight="1" thickBot="1" x14ac:dyDescent="0.2">
      <c r="A41" s="1201"/>
      <c r="B41" s="1201"/>
      <c r="C41" s="1201"/>
      <c r="D41" s="1201"/>
      <c r="E41" s="1202"/>
      <c r="I41" s="1233"/>
      <c r="J41" s="1237"/>
      <c r="K41" s="625"/>
      <c r="L41" s="625"/>
      <c r="M41" s="2341" t="s">
        <v>1284</v>
      </c>
      <c r="N41" s="2341"/>
      <c r="O41" s="2341"/>
      <c r="P41" s="2341"/>
      <c r="Q41" s="2341"/>
      <c r="R41" s="2341"/>
      <c r="S41" s="2341"/>
      <c r="T41" s="2341"/>
      <c r="U41" s="2341"/>
      <c r="V41" s="2341"/>
      <c r="W41" s="2341"/>
      <c r="X41" s="2341"/>
      <c r="Y41" s="2341"/>
      <c r="Z41" s="2341"/>
      <c r="AA41" s="2341"/>
      <c r="AB41" s="2342"/>
      <c r="AC41" s="2342"/>
      <c r="AD41" s="2342"/>
      <c r="AE41" s="2342"/>
      <c r="AF41" s="2342"/>
      <c r="AG41" s="2342"/>
      <c r="AH41" s="2625" t="s">
        <v>2889</v>
      </c>
      <c r="AI41" s="2625"/>
      <c r="AJ41" s="2625"/>
      <c r="AK41" s="2342"/>
      <c r="AL41" s="2342"/>
      <c r="AM41" s="2342"/>
      <c r="AN41" s="2342"/>
      <c r="AO41" s="2342"/>
      <c r="AP41" s="2342"/>
      <c r="AQ41" s="2625" t="s">
        <v>2889</v>
      </c>
      <c r="AR41" s="2625"/>
      <c r="AS41" s="2625"/>
      <c r="AT41" s="2342"/>
      <c r="AU41" s="2342"/>
      <c r="AV41" s="2342"/>
      <c r="AW41" s="2342"/>
      <c r="AX41" s="2342"/>
      <c r="AY41" s="2342"/>
      <c r="AZ41" s="1238"/>
      <c r="BA41" s="608"/>
      <c r="BB41" s="608"/>
      <c r="BC41" s="608"/>
      <c r="BD41" s="608"/>
      <c r="BE41" s="608"/>
      <c r="BF41" s="608"/>
      <c r="BG41" s="608"/>
      <c r="BH41" s="608"/>
      <c r="BI41" s="608"/>
      <c r="BJ41" s="608"/>
      <c r="BK41" s="608"/>
      <c r="BL41" s="608"/>
      <c r="BM41" s="608"/>
      <c r="BN41" s="608"/>
      <c r="BO41" s="608"/>
      <c r="BP41" s="608"/>
      <c r="BQ41" s="608"/>
      <c r="BR41" s="608"/>
      <c r="BS41" s="608"/>
      <c r="BT41" s="608"/>
      <c r="BU41" s="594"/>
      <c r="BV41" s="398" t="s">
        <v>1912</v>
      </c>
      <c r="BW41" s="1432" t="s">
        <v>1913</v>
      </c>
      <c r="BX41" s="398"/>
      <c r="BY41" s="398"/>
      <c r="BZ41" s="398"/>
      <c r="CA41" s="398"/>
      <c r="CB41" s="398"/>
      <c r="CC41" s="398"/>
      <c r="CD41" s="398"/>
      <c r="CE41" s="398"/>
      <c r="CF41" s="398"/>
      <c r="CG41" s="398"/>
      <c r="CH41" s="398"/>
      <c r="CI41" s="398"/>
      <c r="CJ41" s="398"/>
      <c r="CK41" s="398"/>
      <c r="CL41" s="398"/>
      <c r="CM41" s="398"/>
      <c r="CN41" s="398"/>
      <c r="CO41" s="398"/>
      <c r="CP41" s="398"/>
      <c r="CQ41" s="398"/>
      <c r="CR41" s="398"/>
      <c r="CS41" s="398"/>
      <c r="CT41" s="398"/>
      <c r="CU41" s="399"/>
      <c r="DD41" s="16"/>
      <c r="DE41" s="16"/>
      <c r="DF41" s="16"/>
      <c r="DG41" s="16"/>
      <c r="DH41" s="16"/>
      <c r="DI41" s="1593"/>
      <c r="DJ41" s="1163"/>
      <c r="DM41" s="1560" t="str">
        <f>CONCATENATE(AB41,"-",AK41,"-",AT41)</f>
        <v>--</v>
      </c>
      <c r="DN41" s="1562" t="str">
        <f>IF(DM41="--","",ASC(DM41))</f>
        <v/>
      </c>
      <c r="DO41" s="1430" t="s">
        <v>2852</v>
      </c>
      <c r="DS41" s="214"/>
      <c r="DT41" s="214"/>
      <c r="DU41" s="214"/>
      <c r="EG41" s="73"/>
      <c r="EH41" s="73"/>
      <c r="EI41" s="73"/>
      <c r="EJ41" s="73"/>
      <c r="EK41" s="73"/>
      <c r="FV41" s="73"/>
      <c r="FW41" s="73"/>
      <c r="FX41" s="73"/>
      <c r="FY41" s="73"/>
      <c r="FZ41" s="73"/>
    </row>
    <row r="42" spans="1:183" ht="13.5" customHeight="1" thickBot="1" x14ac:dyDescent="0.2">
      <c r="A42" s="1201"/>
      <c r="B42" s="1201"/>
      <c r="C42" s="1201"/>
      <c r="D42" s="1201"/>
      <c r="E42" s="1202"/>
      <c r="BU42" s="578"/>
      <c r="DD42" s="16"/>
      <c r="DE42" s="16"/>
      <c r="DF42" s="16"/>
      <c r="DG42" s="16"/>
      <c r="DH42" s="16"/>
      <c r="DI42" s="1593"/>
      <c r="DJ42" s="1163"/>
      <c r="EG42" s="73"/>
      <c r="EH42" s="73"/>
      <c r="EI42" s="73"/>
      <c r="EJ42" s="73"/>
      <c r="EK42" s="73"/>
      <c r="FV42" s="73"/>
      <c r="FW42" s="73"/>
      <c r="FX42" s="73"/>
      <c r="FY42" s="73"/>
      <c r="FZ42" s="73"/>
    </row>
    <row r="43" spans="1:183" s="80" customFormat="1" ht="35.1" customHeight="1" thickBot="1" x14ac:dyDescent="0.6">
      <c r="A43" s="1201"/>
      <c r="B43" s="1201"/>
      <c r="C43" s="1201"/>
      <c r="D43" s="1201"/>
      <c r="E43" s="1202"/>
      <c r="F43" s="652"/>
      <c r="G43" s="652"/>
      <c r="H43" s="652"/>
      <c r="I43" s="1214"/>
      <c r="J43" s="2156" t="s">
        <v>3317</v>
      </c>
      <c r="K43" s="2157"/>
      <c r="L43" s="2157"/>
      <c r="M43" s="2157"/>
      <c r="N43" s="2157"/>
      <c r="O43" s="2157"/>
      <c r="P43" s="2157"/>
      <c r="Q43" s="2157"/>
      <c r="R43" s="2157"/>
      <c r="S43" s="2157"/>
      <c r="T43" s="2157"/>
      <c r="U43" s="2157"/>
      <c r="V43" s="2157"/>
      <c r="W43" s="2157"/>
      <c r="X43" s="2157"/>
      <c r="Y43" s="2157"/>
      <c r="Z43" s="2157"/>
      <c r="AA43" s="2157"/>
      <c r="AB43" s="2939" t="s">
        <v>3087</v>
      </c>
      <c r="AC43" s="2939"/>
      <c r="AD43" s="2939"/>
      <c r="AE43" s="2939"/>
      <c r="AF43" s="2939"/>
      <c r="AG43" s="2939"/>
      <c r="AH43" s="2939"/>
      <c r="AI43" s="2939"/>
      <c r="AJ43" s="2939"/>
      <c r="AK43" s="2939"/>
      <c r="AL43" s="2939"/>
      <c r="AM43" s="2939"/>
      <c r="AN43" s="2939"/>
      <c r="AO43" s="2939"/>
      <c r="AP43" s="2939"/>
      <c r="AQ43" s="2939"/>
      <c r="AR43" s="2939"/>
      <c r="AS43" s="2939"/>
      <c r="AT43" s="2939"/>
      <c r="AU43" s="2939"/>
      <c r="AV43" s="2939"/>
      <c r="AW43" s="2939"/>
      <c r="AX43" s="2939"/>
      <c r="AY43" s="2939"/>
      <c r="AZ43" s="2939"/>
      <c r="BA43" s="2939"/>
      <c r="BB43" s="2939"/>
      <c r="BC43" s="2939"/>
      <c r="BD43" s="2939"/>
      <c r="BE43" s="2939"/>
      <c r="BF43" s="2939"/>
      <c r="BG43" s="2938" t="s">
        <v>2861</v>
      </c>
      <c r="BH43" s="2938"/>
      <c r="BI43" s="2938"/>
      <c r="BJ43" s="2938"/>
      <c r="BK43" s="2938"/>
      <c r="BL43" s="2938"/>
      <c r="BM43" s="2938"/>
      <c r="BN43" s="2938"/>
      <c r="BO43" s="2938"/>
      <c r="BP43" s="2938"/>
      <c r="BQ43" s="2938"/>
      <c r="BR43" s="2938"/>
      <c r="BS43" s="2938"/>
      <c r="BT43" s="2938"/>
      <c r="BU43" s="589"/>
      <c r="BV43" s="589"/>
      <c r="BW43" s="589"/>
      <c r="BX43" s="589"/>
      <c r="BY43" s="590"/>
      <c r="BZ43" s="590"/>
      <c r="CA43" s="590"/>
      <c r="CB43" s="590"/>
      <c r="CC43" s="590"/>
      <c r="CD43" s="590"/>
      <c r="CE43" s="590"/>
      <c r="CF43" s="590"/>
      <c r="CG43" s="590"/>
      <c r="CH43" s="590"/>
      <c r="CI43" s="590"/>
      <c r="CJ43" s="590"/>
      <c r="CK43" s="590"/>
      <c r="CL43" s="590"/>
      <c r="CM43" s="590"/>
      <c r="CN43" s="589"/>
      <c r="CO43" s="589"/>
      <c r="CP43" s="589"/>
      <c r="CQ43" s="589"/>
      <c r="CR43" s="402"/>
      <c r="CS43" s="402"/>
      <c r="CT43" s="402"/>
      <c r="CU43" s="403"/>
      <c r="CV43" s="401"/>
      <c r="CW43" s="401"/>
      <c r="CX43" s="7"/>
      <c r="CY43" s="7"/>
      <c r="CZ43" s="7"/>
      <c r="DA43" s="7"/>
      <c r="DB43" s="7"/>
      <c r="DC43" s="15"/>
      <c r="DD43" s="10"/>
      <c r="DE43" s="10"/>
      <c r="DF43" s="591"/>
      <c r="DG43" s="591"/>
      <c r="DH43" s="16"/>
      <c r="DI43" s="1593"/>
      <c r="DJ43" s="1163"/>
      <c r="DK43" s="1163"/>
      <c r="DL43" s="79"/>
      <c r="DM43" s="1436" t="str">
        <f>J43</f>
        <v>３-2　所有者2（複数の場合）</v>
      </c>
      <c r="DN43" s="79"/>
      <c r="DO43" s="79"/>
      <c r="DP43" s="79"/>
      <c r="DQ43" s="79"/>
      <c r="EB43" s="1161"/>
      <c r="FO43" s="582"/>
      <c r="GA43" s="79"/>
    </row>
    <row r="44" spans="1:183" s="80" customFormat="1" ht="35.1" customHeight="1" thickBot="1" x14ac:dyDescent="0.6">
      <c r="A44" s="1201"/>
      <c r="B44" s="1201"/>
      <c r="C44" s="1201"/>
      <c r="D44" s="1201"/>
      <c r="E44" s="1202"/>
      <c r="F44" s="652"/>
      <c r="G44" s="652"/>
      <c r="H44" s="652"/>
      <c r="I44" s="1214"/>
      <c r="J44" s="1402"/>
      <c r="K44" s="1429"/>
      <c r="L44" s="1404"/>
      <c r="M44" s="1404"/>
      <c r="N44" s="1404"/>
      <c r="O44" s="1404"/>
      <c r="P44" s="1404"/>
      <c r="Q44" s="1404"/>
      <c r="R44" s="1404"/>
      <c r="S44" s="1404"/>
      <c r="T44" s="1404"/>
      <c r="U44" s="1404"/>
      <c r="V44" s="1404"/>
      <c r="W44" s="1404"/>
      <c r="X44" s="1404"/>
      <c r="Y44" s="1404"/>
      <c r="Z44" s="1404"/>
      <c r="AA44" s="1404"/>
      <c r="AB44" s="1434"/>
      <c r="AC44" s="1404"/>
      <c r="AD44" s="1404"/>
      <c r="AE44" s="1404"/>
      <c r="AF44" s="1404"/>
      <c r="AG44" s="1404"/>
      <c r="AH44" s="1404"/>
      <c r="AI44" s="1404"/>
      <c r="AJ44" s="1404"/>
      <c r="AK44" s="1404"/>
      <c r="AL44" s="1404"/>
      <c r="AM44" s="1404"/>
      <c r="AN44" s="1404"/>
      <c r="AO44" s="1404"/>
      <c r="AP44" s="1404"/>
      <c r="AQ44" s="2227" t="s">
        <v>2881</v>
      </c>
      <c r="AR44" s="2227"/>
      <c r="AS44" s="2227"/>
      <c r="AT44" s="2227"/>
      <c r="AU44" s="2227"/>
      <c r="AV44" s="2227"/>
      <c r="AW44" s="2227"/>
      <c r="AX44" s="2227"/>
      <c r="AY44" s="2227"/>
      <c r="AZ44" s="2227"/>
      <c r="BA44" s="2227"/>
      <c r="BB44" s="2227"/>
      <c r="BC44" s="2227"/>
      <c r="BD44" s="2227"/>
      <c r="BE44" s="2227"/>
      <c r="BF44" s="2227"/>
      <c r="BG44" s="2227"/>
      <c r="BH44" s="2227"/>
      <c r="BI44" s="2227"/>
      <c r="BJ44" s="2227"/>
      <c r="BK44" s="2227"/>
      <c r="BL44" s="2227"/>
      <c r="BM44" s="2227"/>
      <c r="BN44" s="2227"/>
      <c r="BO44" s="2227"/>
      <c r="BP44" s="2227"/>
      <c r="BQ44" s="2227"/>
      <c r="BR44" s="2227"/>
      <c r="BS44" s="2227"/>
      <c r="BT44" s="2227"/>
      <c r="BU44" s="1403"/>
      <c r="BV44" s="1403"/>
      <c r="BW44" s="1403"/>
      <c r="BX44" s="1403"/>
      <c r="BY44" s="408"/>
      <c r="BZ44" s="408"/>
      <c r="CA44" s="408"/>
      <c r="CB44" s="408"/>
      <c r="CC44" s="408"/>
      <c r="CD44" s="408"/>
      <c r="CE44" s="408"/>
      <c r="CF44" s="408"/>
      <c r="CG44" s="408"/>
      <c r="CH44" s="408"/>
      <c r="CI44" s="408"/>
      <c r="CJ44" s="408"/>
      <c r="CK44" s="408"/>
      <c r="CL44" s="408"/>
      <c r="CM44" s="408"/>
      <c r="CN44" s="1403"/>
      <c r="CO44" s="1403"/>
      <c r="CP44" s="1403"/>
      <c r="CQ44" s="1403"/>
      <c r="CR44" s="1189"/>
      <c r="CS44" s="1189"/>
      <c r="CT44" s="1189"/>
      <c r="CU44" s="397"/>
      <c r="CV44" s="401"/>
      <c r="CW44" s="401"/>
      <c r="CX44" s="7"/>
      <c r="CY44" s="7"/>
      <c r="CZ44" s="7"/>
      <c r="DA44" s="7"/>
      <c r="DB44" s="7"/>
      <c r="DC44" s="15"/>
      <c r="DD44" s="10"/>
      <c r="DE44" s="10"/>
      <c r="DF44" s="591"/>
      <c r="DG44" s="591"/>
      <c r="DH44" s="16"/>
      <c r="DI44" s="1593"/>
      <c r="DJ44" s="1163"/>
      <c r="DK44" s="1163"/>
      <c r="DL44" s="79"/>
      <c r="DM44" s="1436" t="s">
        <v>2955</v>
      </c>
      <c r="DN44" s="79"/>
      <c r="DO44" s="79"/>
      <c r="DP44" s="79"/>
      <c r="DQ44" s="79"/>
      <c r="DS44" s="192" t="b">
        <v>0</v>
      </c>
      <c r="DV44" s="1547" t="s">
        <v>2941</v>
      </c>
      <c r="DW44" s="1127"/>
      <c r="DX44" s="1127"/>
      <c r="DY44" s="1161" t="s">
        <v>2846</v>
      </c>
      <c r="EB44" s="1547"/>
      <c r="EC44" s="1127"/>
      <c r="FO44" s="582"/>
      <c r="GA44" s="79"/>
    </row>
    <row r="45" spans="1:183" ht="27" customHeight="1" thickBot="1" x14ac:dyDescent="0.2">
      <c r="A45" s="1201"/>
      <c r="B45" s="1201"/>
      <c r="C45" s="1201"/>
      <c r="D45" s="1201"/>
      <c r="E45" s="1202"/>
      <c r="I45" s="1233"/>
      <c r="J45" s="1234"/>
      <c r="K45" s="1235"/>
      <c r="L45" s="1235"/>
      <c r="M45" s="2237" t="s">
        <v>680</v>
      </c>
      <c r="N45" s="2238"/>
      <c r="O45" s="2238"/>
      <c r="P45" s="2238"/>
      <c r="Q45" s="2238"/>
      <c r="R45" s="2238"/>
      <c r="S45" s="2231" t="s">
        <v>662</v>
      </c>
      <c r="T45" s="2276"/>
      <c r="U45" s="2276"/>
      <c r="V45" s="2276"/>
      <c r="W45" s="2276"/>
      <c r="X45" s="2276"/>
      <c r="Y45" s="2276"/>
      <c r="Z45" s="2276"/>
      <c r="AA45" s="2276"/>
      <c r="AB45" s="2166"/>
      <c r="AC45" s="2166"/>
      <c r="AD45" s="2166"/>
      <c r="AE45" s="2166"/>
      <c r="AF45" s="2166"/>
      <c r="AG45" s="2166"/>
      <c r="AH45" s="2166"/>
      <c r="AI45" s="2166"/>
      <c r="AJ45" s="2166"/>
      <c r="AK45" s="2166"/>
      <c r="AL45" s="2166"/>
      <c r="AM45" s="2166"/>
      <c r="AN45" s="2166"/>
      <c r="AO45" s="2166"/>
      <c r="AP45" s="2166"/>
      <c r="AQ45" s="2166"/>
      <c r="AR45" s="2166"/>
      <c r="AS45" s="2166"/>
      <c r="AT45" s="2166"/>
      <c r="AU45" s="2166"/>
      <c r="AV45" s="2166"/>
      <c r="AW45" s="2166"/>
      <c r="AX45" s="2166"/>
      <c r="AY45" s="2166"/>
      <c r="AZ45" s="2166"/>
      <c r="BA45" s="2166"/>
      <c r="BB45" s="2166"/>
      <c r="BC45" s="2166"/>
      <c r="BD45" s="2166"/>
      <c r="BE45" s="2166"/>
      <c r="BF45" s="2166"/>
      <c r="BG45" s="2166"/>
      <c r="BH45" s="2166"/>
      <c r="BI45" s="2166"/>
      <c r="BJ45" s="2166"/>
      <c r="BK45" s="2166"/>
      <c r="BL45" s="2166"/>
      <c r="BM45" s="2166"/>
      <c r="BN45" s="2166"/>
      <c r="BO45" s="2166"/>
      <c r="BP45" s="2166"/>
      <c r="BQ45" s="2166"/>
      <c r="BR45" s="2166"/>
      <c r="BS45" s="2166"/>
      <c r="BT45" s="2166"/>
      <c r="BU45" s="592"/>
      <c r="BV45" s="1189"/>
      <c r="BW45" s="2226" t="s">
        <v>3351</v>
      </c>
      <c r="BX45" s="2226"/>
      <c r="BY45" s="2226"/>
      <c r="BZ45" s="2226"/>
      <c r="CA45" s="2226"/>
      <c r="CB45" s="2226"/>
      <c r="CC45" s="2226"/>
      <c r="CD45" s="2226"/>
      <c r="CE45" s="2226"/>
      <c r="CF45" s="2226"/>
      <c r="CG45" s="2226"/>
      <c r="CH45" s="2226"/>
      <c r="CI45" s="2226"/>
      <c r="CJ45" s="2226"/>
      <c r="CK45" s="2226"/>
      <c r="CL45" s="2226"/>
      <c r="CM45" s="2226"/>
      <c r="CN45" s="2226"/>
      <c r="CO45" s="2226"/>
      <c r="CP45" s="2226"/>
      <c r="CQ45" s="2226"/>
      <c r="CR45" s="2226"/>
      <c r="CS45" s="2226"/>
      <c r="CT45" s="1189"/>
      <c r="CU45" s="397"/>
      <c r="CV45" s="401"/>
      <c r="CW45" s="401"/>
      <c r="CX45" s="7"/>
      <c r="CY45" s="7"/>
      <c r="CZ45" s="7"/>
      <c r="DA45" s="7"/>
      <c r="DB45" s="7"/>
      <c r="DD45" s="10"/>
      <c r="DE45" s="10"/>
      <c r="DF45" s="84"/>
      <c r="DG45" s="84"/>
      <c r="DH45" s="84"/>
      <c r="DI45" s="1593"/>
      <c r="DJ45" s="1163"/>
      <c r="DS45" s="1161" t="s">
        <v>2944</v>
      </c>
      <c r="DT45" s="210"/>
      <c r="DU45" s="210"/>
      <c r="DV45" s="210" t="s">
        <v>662</v>
      </c>
      <c r="DW45" s="1556" t="str">
        <f t="shared" ref="DW45:DW50" si="2">TEXT(AB45,"")</f>
        <v/>
      </c>
      <c r="DX45" s="210"/>
      <c r="DY45" s="96" t="str">
        <f>DW45&amp;" "&amp;DW47&amp;" "&amp;DW49</f>
        <v xml:space="preserve">  </v>
      </c>
      <c r="DZ45" s="1555" t="str">
        <f>ASC(DY45)</f>
        <v xml:space="preserve">  </v>
      </c>
      <c r="EA45" s="1430" t="s">
        <v>2888</v>
      </c>
      <c r="EB45" s="1437"/>
      <c r="EC45" s="1437"/>
      <c r="EG45" s="73"/>
      <c r="EH45" s="73"/>
      <c r="EI45" s="73"/>
      <c r="EJ45" s="73"/>
      <c r="EK45" s="73"/>
      <c r="FV45" s="73"/>
      <c r="FW45" s="73"/>
      <c r="FX45" s="73"/>
      <c r="FY45" s="73"/>
      <c r="FZ45" s="73"/>
    </row>
    <row r="46" spans="1:183" ht="27" customHeight="1" thickBot="1" x14ac:dyDescent="0.2">
      <c r="A46" s="1201"/>
      <c r="B46" s="1201"/>
      <c r="C46" s="1201"/>
      <c r="D46" s="1201"/>
      <c r="E46" s="1202"/>
      <c r="I46" s="1233"/>
      <c r="J46" s="1234"/>
      <c r="K46" s="1235"/>
      <c r="L46" s="1235"/>
      <c r="M46" s="2240"/>
      <c r="N46" s="2240"/>
      <c r="O46" s="2240"/>
      <c r="P46" s="2240"/>
      <c r="Q46" s="2240"/>
      <c r="R46" s="2240"/>
      <c r="S46" s="2260" t="s">
        <v>315</v>
      </c>
      <c r="T46" s="2261"/>
      <c r="U46" s="2261"/>
      <c r="V46" s="2261"/>
      <c r="W46" s="2261"/>
      <c r="X46" s="2261"/>
      <c r="Y46" s="2261"/>
      <c r="Z46" s="2261"/>
      <c r="AA46" s="2261"/>
      <c r="AB46" s="2224"/>
      <c r="AC46" s="2224"/>
      <c r="AD46" s="2224"/>
      <c r="AE46" s="2224"/>
      <c r="AF46" s="2224"/>
      <c r="AG46" s="2224"/>
      <c r="AH46" s="2224"/>
      <c r="AI46" s="2224"/>
      <c r="AJ46" s="2224"/>
      <c r="AK46" s="2224"/>
      <c r="AL46" s="2224"/>
      <c r="AM46" s="2224"/>
      <c r="AN46" s="2224"/>
      <c r="AO46" s="2224"/>
      <c r="AP46" s="2224"/>
      <c r="AQ46" s="2224"/>
      <c r="AR46" s="2224"/>
      <c r="AS46" s="2224"/>
      <c r="AT46" s="2224"/>
      <c r="AU46" s="2224"/>
      <c r="AV46" s="2224"/>
      <c r="AW46" s="2224"/>
      <c r="AX46" s="2224"/>
      <c r="AY46" s="2224"/>
      <c r="AZ46" s="2224"/>
      <c r="BA46" s="2224"/>
      <c r="BB46" s="2224"/>
      <c r="BC46" s="2224"/>
      <c r="BD46" s="2224"/>
      <c r="BE46" s="2224"/>
      <c r="BF46" s="2224"/>
      <c r="BG46" s="2224"/>
      <c r="BH46" s="2224"/>
      <c r="BI46" s="2224"/>
      <c r="BJ46" s="2224"/>
      <c r="BK46" s="2224"/>
      <c r="BL46" s="2224"/>
      <c r="BM46" s="2224"/>
      <c r="BN46" s="2224"/>
      <c r="BO46" s="2224"/>
      <c r="BP46" s="2224"/>
      <c r="BQ46" s="2224"/>
      <c r="BR46" s="2224"/>
      <c r="BS46" s="2224"/>
      <c r="BT46" s="2224"/>
      <c r="BU46" s="592"/>
      <c r="BV46" s="1189"/>
      <c r="BW46" s="2226"/>
      <c r="BX46" s="2226"/>
      <c r="BY46" s="2226"/>
      <c r="BZ46" s="2226"/>
      <c r="CA46" s="2226"/>
      <c r="CB46" s="2226"/>
      <c r="CC46" s="2226"/>
      <c r="CD46" s="2226"/>
      <c r="CE46" s="2226"/>
      <c r="CF46" s="2226"/>
      <c r="CG46" s="2226"/>
      <c r="CH46" s="2226"/>
      <c r="CI46" s="2226"/>
      <c r="CJ46" s="2226"/>
      <c r="CK46" s="2226"/>
      <c r="CL46" s="2226"/>
      <c r="CM46" s="2226"/>
      <c r="CN46" s="2226"/>
      <c r="CO46" s="2226"/>
      <c r="CP46" s="2226"/>
      <c r="CQ46" s="2226"/>
      <c r="CR46" s="2226"/>
      <c r="CS46" s="2226"/>
      <c r="CT46" s="1189"/>
      <c r="CU46" s="397"/>
      <c r="CV46" s="401"/>
      <c r="CW46" s="401"/>
      <c r="CX46" s="7"/>
      <c r="CY46" s="7"/>
      <c r="DD46" s="16"/>
      <c r="DE46" s="16"/>
      <c r="DF46" s="16"/>
      <c r="DG46" s="16"/>
      <c r="DH46" s="16"/>
      <c r="DI46" s="1593"/>
      <c r="DJ46" s="1163"/>
      <c r="DM46" s="215"/>
      <c r="DV46" s="73" t="s">
        <v>1323</v>
      </c>
      <c r="DW46" s="1558" t="str">
        <f t="shared" si="2"/>
        <v/>
      </c>
      <c r="DY46" s="96" t="str">
        <f>DW46&amp;" "&amp;DW48&amp;" "&amp;DW50</f>
        <v xml:space="preserve">  </v>
      </c>
      <c r="DZ46" s="1555" t="str">
        <f>DY46</f>
        <v xml:space="preserve">  </v>
      </c>
      <c r="EA46" s="1430" t="s">
        <v>2859</v>
      </c>
      <c r="EB46" s="214"/>
      <c r="EC46" s="1437"/>
      <c r="EG46" s="73"/>
      <c r="EH46" s="73"/>
      <c r="EI46" s="73"/>
      <c r="EJ46" s="73"/>
      <c r="EK46" s="73"/>
      <c r="FV46" s="73"/>
      <c r="FW46" s="73"/>
      <c r="FX46" s="73"/>
      <c r="FY46" s="73"/>
      <c r="FZ46" s="73"/>
    </row>
    <row r="47" spans="1:183" ht="27" customHeight="1" thickBot="1" x14ac:dyDescent="0.2">
      <c r="A47" s="1201"/>
      <c r="B47" s="1201"/>
      <c r="C47" s="1201"/>
      <c r="D47" s="1201"/>
      <c r="E47" s="1202"/>
      <c r="I47" s="1233"/>
      <c r="J47" s="1234"/>
      <c r="K47" s="1235"/>
      <c r="L47" s="1235"/>
      <c r="M47" s="2240"/>
      <c r="N47" s="2240"/>
      <c r="O47" s="2240"/>
      <c r="P47" s="2240"/>
      <c r="Q47" s="2240"/>
      <c r="R47" s="2240"/>
      <c r="S47" s="2231" t="s">
        <v>662</v>
      </c>
      <c r="T47" s="2276"/>
      <c r="U47" s="2276"/>
      <c r="V47" s="2276"/>
      <c r="W47" s="2276"/>
      <c r="X47" s="2276"/>
      <c r="Y47" s="2276"/>
      <c r="Z47" s="2276"/>
      <c r="AA47" s="2276"/>
      <c r="AB47" s="2166"/>
      <c r="AC47" s="2166"/>
      <c r="AD47" s="2166"/>
      <c r="AE47" s="2166"/>
      <c r="AF47" s="2166"/>
      <c r="AG47" s="2166"/>
      <c r="AH47" s="2166"/>
      <c r="AI47" s="2166"/>
      <c r="AJ47" s="2166"/>
      <c r="AK47" s="2166"/>
      <c r="AL47" s="2166"/>
      <c r="AM47" s="2166"/>
      <c r="AN47" s="2166"/>
      <c r="AO47" s="2166"/>
      <c r="AP47" s="2166"/>
      <c r="AQ47" s="2166"/>
      <c r="AR47" s="2166"/>
      <c r="AS47" s="2166"/>
      <c r="AT47" s="2166"/>
      <c r="AU47" s="2166"/>
      <c r="AV47" s="2166"/>
      <c r="AW47" s="2166"/>
      <c r="AX47" s="2166"/>
      <c r="AY47" s="2166"/>
      <c r="AZ47" s="2166"/>
      <c r="BA47" s="2166"/>
      <c r="BB47" s="2166"/>
      <c r="BC47" s="2166"/>
      <c r="BD47" s="2166"/>
      <c r="BE47" s="2166"/>
      <c r="BF47" s="2166"/>
      <c r="BG47" s="2166"/>
      <c r="BH47" s="2166"/>
      <c r="BI47" s="2166"/>
      <c r="BJ47" s="2166"/>
      <c r="BK47" s="2166"/>
      <c r="BL47" s="2166"/>
      <c r="BM47" s="2166"/>
      <c r="BN47" s="2166"/>
      <c r="BO47" s="2166"/>
      <c r="BP47" s="2166"/>
      <c r="BQ47" s="2166"/>
      <c r="BR47" s="2166"/>
      <c r="BS47" s="2166"/>
      <c r="BT47" s="2166"/>
      <c r="BU47" s="592"/>
      <c r="BV47" s="1189"/>
      <c r="BW47" s="2226"/>
      <c r="BX47" s="2226"/>
      <c r="BY47" s="2226"/>
      <c r="BZ47" s="2226"/>
      <c r="CA47" s="2226"/>
      <c r="CB47" s="2226"/>
      <c r="CC47" s="2226"/>
      <c r="CD47" s="2226"/>
      <c r="CE47" s="2226"/>
      <c r="CF47" s="2226"/>
      <c r="CG47" s="2226"/>
      <c r="CH47" s="2226"/>
      <c r="CI47" s="2226"/>
      <c r="CJ47" s="2226"/>
      <c r="CK47" s="2226"/>
      <c r="CL47" s="2226"/>
      <c r="CM47" s="2226"/>
      <c r="CN47" s="2226"/>
      <c r="CO47" s="2226"/>
      <c r="CP47" s="2226"/>
      <c r="CQ47" s="2226"/>
      <c r="CR47" s="2226"/>
      <c r="CS47" s="2226"/>
      <c r="CT47" s="1189"/>
      <c r="CU47" s="397"/>
      <c r="CV47" s="401"/>
      <c r="CW47" s="401"/>
      <c r="CX47" s="7"/>
      <c r="DD47" s="16"/>
      <c r="DE47" s="16"/>
      <c r="DF47" s="16"/>
      <c r="DG47" s="16"/>
      <c r="DH47" s="16"/>
      <c r="DI47" s="1593"/>
      <c r="DJ47" s="1163"/>
      <c r="DV47" s="73" t="s">
        <v>1613</v>
      </c>
      <c r="DW47" s="1557" t="str">
        <f t="shared" si="2"/>
        <v/>
      </c>
      <c r="EB47" s="11"/>
      <c r="EC47" s="1437"/>
      <c r="EG47" s="73"/>
      <c r="EH47" s="73"/>
      <c r="EI47" s="73"/>
      <c r="EJ47" s="73"/>
      <c r="EK47" s="73"/>
      <c r="FV47" s="73"/>
      <c r="FW47" s="73"/>
      <c r="FX47" s="73"/>
      <c r="FY47" s="73"/>
      <c r="FZ47" s="73"/>
    </row>
    <row r="48" spans="1:183" ht="27" customHeight="1" thickBot="1" x14ac:dyDescent="0.2">
      <c r="A48" s="1201"/>
      <c r="B48" s="1201"/>
      <c r="C48" s="1201"/>
      <c r="D48" s="1201"/>
      <c r="E48" s="1202"/>
      <c r="I48" s="1233"/>
      <c r="J48" s="1234"/>
      <c r="K48" s="1235"/>
      <c r="L48" s="1235"/>
      <c r="M48" s="2240"/>
      <c r="N48" s="2240"/>
      <c r="O48" s="2240"/>
      <c r="P48" s="2240"/>
      <c r="Q48" s="2240"/>
      <c r="R48" s="2240"/>
      <c r="S48" s="2260" t="s">
        <v>317</v>
      </c>
      <c r="T48" s="2261"/>
      <c r="U48" s="2261"/>
      <c r="V48" s="2261"/>
      <c r="W48" s="2261"/>
      <c r="X48" s="2261"/>
      <c r="Y48" s="2261"/>
      <c r="Z48" s="2261"/>
      <c r="AA48" s="2261"/>
      <c r="AB48" s="2224"/>
      <c r="AC48" s="2224"/>
      <c r="AD48" s="2224"/>
      <c r="AE48" s="2224"/>
      <c r="AF48" s="2224"/>
      <c r="AG48" s="2224"/>
      <c r="AH48" s="2224"/>
      <c r="AI48" s="2224"/>
      <c r="AJ48" s="2224"/>
      <c r="AK48" s="2224"/>
      <c r="AL48" s="2224"/>
      <c r="AM48" s="2224"/>
      <c r="AN48" s="2224"/>
      <c r="AO48" s="2224"/>
      <c r="AP48" s="2224"/>
      <c r="AQ48" s="2224"/>
      <c r="AR48" s="2224"/>
      <c r="AS48" s="2224"/>
      <c r="AT48" s="2224"/>
      <c r="AU48" s="2224"/>
      <c r="AV48" s="2224"/>
      <c r="AW48" s="2224"/>
      <c r="AX48" s="2224"/>
      <c r="AY48" s="2224"/>
      <c r="AZ48" s="2224"/>
      <c r="BA48" s="2224"/>
      <c r="BB48" s="2224"/>
      <c r="BC48" s="2224"/>
      <c r="BD48" s="2224"/>
      <c r="BE48" s="2224"/>
      <c r="BF48" s="2224"/>
      <c r="BG48" s="2224"/>
      <c r="BH48" s="2224"/>
      <c r="BI48" s="2224"/>
      <c r="BJ48" s="2224"/>
      <c r="BK48" s="2224"/>
      <c r="BL48" s="2224"/>
      <c r="BM48" s="2224"/>
      <c r="BN48" s="2224"/>
      <c r="BO48" s="2224"/>
      <c r="BP48" s="2224"/>
      <c r="BQ48" s="2224"/>
      <c r="BR48" s="2224"/>
      <c r="BS48" s="2224"/>
      <c r="BT48" s="2224"/>
      <c r="BU48" s="1189"/>
      <c r="BV48" s="1189"/>
      <c r="BW48" s="2226"/>
      <c r="BX48" s="2226"/>
      <c r="BY48" s="2226"/>
      <c r="BZ48" s="2226"/>
      <c r="CA48" s="2226"/>
      <c r="CB48" s="2226"/>
      <c r="CC48" s="2226"/>
      <c r="CD48" s="2226"/>
      <c r="CE48" s="2226"/>
      <c r="CF48" s="2226"/>
      <c r="CG48" s="2226"/>
      <c r="CH48" s="2226"/>
      <c r="CI48" s="2226"/>
      <c r="CJ48" s="2226"/>
      <c r="CK48" s="2226"/>
      <c r="CL48" s="2226"/>
      <c r="CM48" s="2226"/>
      <c r="CN48" s="2226"/>
      <c r="CO48" s="2226"/>
      <c r="CP48" s="2226"/>
      <c r="CQ48" s="2226"/>
      <c r="CR48" s="2226"/>
      <c r="CS48" s="2226"/>
      <c r="CT48" s="1189"/>
      <c r="CU48" s="397"/>
      <c r="DD48" s="16"/>
      <c r="DE48" s="16"/>
      <c r="DF48" s="16"/>
      <c r="DG48" s="16"/>
      <c r="DH48" s="16"/>
      <c r="DI48" s="1593"/>
      <c r="DJ48" s="1163"/>
      <c r="DM48" s="215"/>
      <c r="DV48" s="73" t="s">
        <v>1324</v>
      </c>
      <c r="DW48" s="1558" t="str">
        <f t="shared" si="2"/>
        <v/>
      </c>
      <c r="DY48" s="433"/>
      <c r="EB48" s="11"/>
      <c r="EC48" s="1437"/>
      <c r="EG48" s="73"/>
      <c r="EH48" s="73"/>
      <c r="EI48" s="73"/>
      <c r="EJ48" s="73"/>
      <c r="EK48" s="73"/>
      <c r="FV48" s="73"/>
      <c r="FW48" s="73"/>
      <c r="FX48" s="73"/>
      <c r="FY48" s="73"/>
      <c r="FZ48" s="73"/>
    </row>
    <row r="49" spans="1:183" ht="27" customHeight="1" thickBot="1" x14ac:dyDescent="0.2">
      <c r="A49" s="1201"/>
      <c r="B49" s="1201"/>
      <c r="C49" s="1201"/>
      <c r="D49" s="1201"/>
      <c r="E49" s="1202"/>
      <c r="I49" s="1233"/>
      <c r="J49" s="1234"/>
      <c r="K49" s="1235"/>
      <c r="L49" s="1235"/>
      <c r="M49" s="2240"/>
      <c r="N49" s="2240"/>
      <c r="O49" s="2240"/>
      <c r="P49" s="2240"/>
      <c r="Q49" s="2240"/>
      <c r="R49" s="2240"/>
      <c r="S49" s="2231" t="s">
        <v>662</v>
      </c>
      <c r="T49" s="2276"/>
      <c r="U49" s="2276"/>
      <c r="V49" s="2276"/>
      <c r="W49" s="2276"/>
      <c r="X49" s="2276"/>
      <c r="Y49" s="2276"/>
      <c r="Z49" s="2276"/>
      <c r="AA49" s="2276"/>
      <c r="AB49" s="2169"/>
      <c r="AC49" s="2169"/>
      <c r="AD49" s="2169"/>
      <c r="AE49" s="2169"/>
      <c r="AF49" s="2169"/>
      <c r="AG49" s="2169"/>
      <c r="AH49" s="2169"/>
      <c r="AI49" s="2169"/>
      <c r="AJ49" s="2169"/>
      <c r="AK49" s="2169"/>
      <c r="AL49" s="2169"/>
      <c r="AM49" s="2169"/>
      <c r="AN49" s="2169"/>
      <c r="AO49" s="2169"/>
      <c r="AP49" s="2169"/>
      <c r="AQ49" s="2169"/>
      <c r="AR49" s="2169"/>
      <c r="AS49" s="2169"/>
      <c r="AT49" s="2169"/>
      <c r="AU49" s="2169"/>
      <c r="AV49" s="2169"/>
      <c r="AW49" s="2169"/>
      <c r="AX49" s="2169"/>
      <c r="AY49" s="2169"/>
      <c r="AZ49" s="2169"/>
      <c r="BA49" s="2169"/>
      <c r="BB49" s="2169"/>
      <c r="BC49" s="2169"/>
      <c r="BD49" s="2169"/>
      <c r="BE49" s="2169"/>
      <c r="BF49" s="2169"/>
      <c r="BG49" s="2169"/>
      <c r="BH49" s="2169"/>
      <c r="BI49" s="2169"/>
      <c r="BJ49" s="2169"/>
      <c r="BK49" s="2169"/>
      <c r="BL49" s="2169"/>
      <c r="BM49" s="2169"/>
      <c r="BN49" s="2169"/>
      <c r="BO49" s="2169"/>
      <c r="BP49" s="2169"/>
      <c r="BQ49" s="2169"/>
      <c r="BR49" s="2169"/>
      <c r="BS49" s="2169"/>
      <c r="BT49" s="2169"/>
      <c r="BU49" s="592"/>
      <c r="BV49" s="1189"/>
      <c r="BW49" s="2226"/>
      <c r="BX49" s="2226"/>
      <c r="BY49" s="2226"/>
      <c r="BZ49" s="2226"/>
      <c r="CA49" s="2226"/>
      <c r="CB49" s="2226"/>
      <c r="CC49" s="2226"/>
      <c r="CD49" s="2226"/>
      <c r="CE49" s="2226"/>
      <c r="CF49" s="2226"/>
      <c r="CG49" s="2226"/>
      <c r="CH49" s="2226"/>
      <c r="CI49" s="2226"/>
      <c r="CJ49" s="2226"/>
      <c r="CK49" s="2226"/>
      <c r="CL49" s="2226"/>
      <c r="CM49" s="2226"/>
      <c r="CN49" s="2226"/>
      <c r="CO49" s="2226"/>
      <c r="CP49" s="2226"/>
      <c r="CQ49" s="2226"/>
      <c r="CR49" s="2226"/>
      <c r="CS49" s="2226"/>
      <c r="CT49" s="1189"/>
      <c r="CU49" s="397"/>
      <c r="DD49" s="16"/>
      <c r="DE49" s="16"/>
      <c r="DF49" s="16"/>
      <c r="DG49" s="16"/>
      <c r="DH49" s="16"/>
      <c r="DI49" s="1593"/>
      <c r="DJ49" s="1163"/>
      <c r="DN49" s="1161" t="s">
        <v>2858</v>
      </c>
      <c r="DS49" s="78"/>
      <c r="DV49" s="73" t="s">
        <v>662</v>
      </c>
      <c r="DW49" s="1557" t="str">
        <f t="shared" si="2"/>
        <v/>
      </c>
      <c r="EB49" s="1563" t="s">
        <v>2887</v>
      </c>
      <c r="EC49" s="1437"/>
      <c r="EG49" s="73"/>
      <c r="EH49" s="73"/>
      <c r="EI49" s="73"/>
      <c r="EJ49" s="73"/>
      <c r="EK49" s="73"/>
      <c r="FV49" s="73"/>
      <c r="FW49" s="73"/>
      <c r="FX49" s="73"/>
      <c r="FY49" s="73"/>
      <c r="FZ49" s="73"/>
    </row>
    <row r="50" spans="1:183" ht="27" customHeight="1" thickBot="1" x14ac:dyDescent="0.2">
      <c r="A50" s="1201"/>
      <c r="B50" s="1201"/>
      <c r="C50" s="1201"/>
      <c r="D50" s="1201"/>
      <c r="E50" s="1202"/>
      <c r="I50" s="1233"/>
      <c r="J50" s="1234"/>
      <c r="K50" s="1235"/>
      <c r="L50" s="1235"/>
      <c r="M50" s="2239"/>
      <c r="N50" s="2239"/>
      <c r="O50" s="2239"/>
      <c r="P50" s="2239"/>
      <c r="Q50" s="2239"/>
      <c r="R50" s="2239"/>
      <c r="S50" s="2260" t="s">
        <v>318</v>
      </c>
      <c r="T50" s="2261"/>
      <c r="U50" s="2261"/>
      <c r="V50" s="2261"/>
      <c r="W50" s="2261"/>
      <c r="X50" s="2261"/>
      <c r="Y50" s="2261"/>
      <c r="Z50" s="2261"/>
      <c r="AA50" s="2261"/>
      <c r="AB50" s="2196"/>
      <c r="AC50" s="2196"/>
      <c r="AD50" s="2196"/>
      <c r="AE50" s="2196"/>
      <c r="AF50" s="2196"/>
      <c r="AG50" s="2224"/>
      <c r="AH50" s="2224"/>
      <c r="AI50" s="2224"/>
      <c r="AJ50" s="2224"/>
      <c r="AK50" s="2224"/>
      <c r="AL50" s="2224"/>
      <c r="AM50" s="2224"/>
      <c r="AN50" s="2224"/>
      <c r="AO50" s="2224"/>
      <c r="AP50" s="2224"/>
      <c r="AQ50" s="2224"/>
      <c r="AR50" s="2224"/>
      <c r="AS50" s="2224"/>
      <c r="AT50" s="2224"/>
      <c r="AU50" s="2224"/>
      <c r="AV50" s="2224"/>
      <c r="AW50" s="2224"/>
      <c r="AX50" s="2224"/>
      <c r="AY50" s="2224"/>
      <c r="AZ50" s="2224"/>
      <c r="BA50" s="2224"/>
      <c r="BB50" s="2224"/>
      <c r="BC50" s="2224"/>
      <c r="BD50" s="2224"/>
      <c r="BE50" s="2224"/>
      <c r="BF50" s="2224"/>
      <c r="BG50" s="2224"/>
      <c r="BH50" s="2224"/>
      <c r="BI50" s="2224"/>
      <c r="BJ50" s="2224"/>
      <c r="BK50" s="2224"/>
      <c r="BL50" s="2224"/>
      <c r="BM50" s="2224"/>
      <c r="BN50" s="2224"/>
      <c r="BO50" s="2224"/>
      <c r="BP50" s="2224"/>
      <c r="BQ50" s="2224"/>
      <c r="BR50" s="2224"/>
      <c r="BS50" s="2224"/>
      <c r="BT50" s="2224"/>
      <c r="BU50" s="592"/>
      <c r="BV50" s="1189"/>
      <c r="BW50" s="2226"/>
      <c r="BX50" s="2226"/>
      <c r="BY50" s="2226"/>
      <c r="BZ50" s="2226"/>
      <c r="CA50" s="2226"/>
      <c r="CB50" s="2226"/>
      <c r="CC50" s="2226"/>
      <c r="CD50" s="2226"/>
      <c r="CE50" s="2226"/>
      <c r="CF50" s="2226"/>
      <c r="CG50" s="2226"/>
      <c r="CH50" s="2226"/>
      <c r="CI50" s="2226"/>
      <c r="CJ50" s="2226"/>
      <c r="CK50" s="2226"/>
      <c r="CL50" s="2226"/>
      <c r="CM50" s="2226"/>
      <c r="CN50" s="2226"/>
      <c r="CO50" s="2226"/>
      <c r="CP50" s="2226"/>
      <c r="CQ50" s="2226"/>
      <c r="CR50" s="2226"/>
      <c r="CS50" s="2226"/>
      <c r="CT50" s="1189"/>
      <c r="CU50" s="397"/>
      <c r="DD50" s="16"/>
      <c r="DE50" s="16"/>
      <c r="DF50" s="16"/>
      <c r="DG50" s="16"/>
      <c r="DH50" s="16"/>
      <c r="DI50" s="1593"/>
      <c r="DJ50" s="1163"/>
      <c r="DM50" s="159" t="s">
        <v>1105</v>
      </c>
      <c r="DN50" s="159" t="s">
        <v>1104</v>
      </c>
      <c r="DS50" s="78"/>
      <c r="DV50" s="73" t="s">
        <v>1325</v>
      </c>
      <c r="DW50" s="1558" t="str">
        <f t="shared" si="2"/>
        <v/>
      </c>
      <c r="EB50" s="1547" t="s">
        <v>2943</v>
      </c>
      <c r="EC50" s="1437"/>
      <c r="EG50" s="73"/>
      <c r="EH50" s="73"/>
      <c r="EI50" s="73"/>
      <c r="EJ50" s="73"/>
      <c r="EK50" s="73"/>
      <c r="FV50" s="73"/>
      <c r="FW50" s="73"/>
      <c r="FX50" s="73"/>
      <c r="FY50" s="73"/>
      <c r="FZ50" s="73"/>
    </row>
    <row r="51" spans="1:183" ht="27" customHeight="1" x14ac:dyDescent="0.15">
      <c r="A51" s="1201"/>
      <c r="B51" s="1201"/>
      <c r="C51" s="1201"/>
      <c r="D51" s="1201"/>
      <c r="E51" s="1202"/>
      <c r="I51" s="1233"/>
      <c r="J51" s="1234"/>
      <c r="K51" s="1235"/>
      <c r="L51" s="1235"/>
      <c r="M51" s="2233" t="s">
        <v>1283</v>
      </c>
      <c r="N51" s="2233"/>
      <c r="O51" s="2233"/>
      <c r="P51" s="2233"/>
      <c r="Q51" s="2233"/>
      <c r="R51" s="2233"/>
      <c r="S51" s="2233"/>
      <c r="T51" s="2233"/>
      <c r="U51" s="2233"/>
      <c r="V51" s="2233"/>
      <c r="W51" s="2233"/>
      <c r="X51" s="2233"/>
      <c r="Y51" s="2233"/>
      <c r="Z51" s="2233"/>
      <c r="AA51" s="2233"/>
      <c r="AB51" s="2212"/>
      <c r="AC51" s="2212"/>
      <c r="AD51" s="2212"/>
      <c r="AE51" s="2212"/>
      <c r="AF51" s="2212"/>
      <c r="AG51" s="2212"/>
      <c r="AH51" s="2211" t="s">
        <v>2889</v>
      </c>
      <c r="AI51" s="2211"/>
      <c r="AJ51" s="2211"/>
      <c r="AK51" s="2212"/>
      <c r="AL51" s="2212"/>
      <c r="AM51" s="2212"/>
      <c r="AN51" s="2212"/>
      <c r="AO51" s="2212"/>
      <c r="AP51" s="2212"/>
      <c r="AQ51" s="1236"/>
      <c r="AR51" s="1236"/>
      <c r="AS51" s="1236"/>
      <c r="AT51" s="1236"/>
      <c r="AU51" s="1236"/>
      <c r="AV51" s="1236"/>
      <c r="AW51" s="1236"/>
      <c r="AX51" s="1236"/>
      <c r="AY51" s="1236"/>
      <c r="AZ51" s="1236"/>
      <c r="BA51" s="1236"/>
      <c r="BB51" s="1236"/>
      <c r="BC51" s="1236"/>
      <c r="BD51" s="1236"/>
      <c r="BE51" s="1236"/>
      <c r="BF51" s="1236"/>
      <c r="BG51" s="1236"/>
      <c r="BH51" s="1236"/>
      <c r="BI51" s="1236"/>
      <c r="BJ51" s="1236"/>
      <c r="BK51" s="1236"/>
      <c r="BL51" s="1236"/>
      <c r="BM51" s="1236"/>
      <c r="BN51" s="1236"/>
      <c r="BO51" s="1236"/>
      <c r="BP51" s="1236"/>
      <c r="BQ51" s="1236"/>
      <c r="BR51" s="1236"/>
      <c r="BS51" s="1236"/>
      <c r="BT51" s="1236"/>
      <c r="BU51" s="592"/>
      <c r="BV51" s="1189"/>
      <c r="BW51" s="1189"/>
      <c r="BX51" s="1189"/>
      <c r="BY51" s="1189"/>
      <c r="BZ51" s="1189"/>
      <c r="CA51" s="1189"/>
      <c r="CB51" s="1189"/>
      <c r="CC51" s="1189"/>
      <c r="CD51" s="1189"/>
      <c r="CE51" s="1189"/>
      <c r="CF51" s="1189"/>
      <c r="CG51" s="1189"/>
      <c r="CH51" s="1189"/>
      <c r="CI51" s="1189"/>
      <c r="CJ51" s="1189"/>
      <c r="CK51" s="1189"/>
      <c r="CL51" s="1189"/>
      <c r="CM51" s="1189"/>
      <c r="CN51" s="1189"/>
      <c r="CO51" s="1189"/>
      <c r="CP51" s="1189"/>
      <c r="CQ51" s="1189"/>
      <c r="CR51" s="1189"/>
      <c r="CS51" s="1189"/>
      <c r="CT51" s="1189"/>
      <c r="CU51" s="397"/>
      <c r="DD51" s="16"/>
      <c r="DE51" s="16"/>
      <c r="DF51" s="16"/>
      <c r="DG51" s="16"/>
      <c r="DH51" s="16"/>
      <c r="DI51" s="1593"/>
      <c r="DJ51" s="1163"/>
      <c r="DM51" s="159" t="str">
        <f>CONCATENATE(AB51,"-",AK51)</f>
        <v>-</v>
      </c>
      <c r="DN51" s="160" t="str">
        <f>IF(DM51="-","",ASC(DM51))</f>
        <v/>
      </c>
      <c r="DS51" s="213"/>
      <c r="DT51" s="213"/>
      <c r="EB51" s="73" t="s">
        <v>2884</v>
      </c>
      <c r="EC51" s="1555" t="str">
        <f>IF(DS44,DN39,DN51)</f>
        <v/>
      </c>
      <c r="ED51" s="1430" t="s">
        <v>2890</v>
      </c>
      <c r="EG51" s="73"/>
      <c r="EH51" s="73"/>
      <c r="EI51" s="73"/>
      <c r="EJ51" s="73"/>
      <c r="EK51" s="73"/>
      <c r="FV51" s="73"/>
      <c r="FW51" s="73"/>
      <c r="FX51" s="73"/>
      <c r="FY51" s="73"/>
      <c r="FZ51" s="73"/>
    </row>
    <row r="52" spans="1:183" ht="27" customHeight="1" x14ac:dyDescent="0.15">
      <c r="A52" s="1201"/>
      <c r="B52" s="1201"/>
      <c r="C52" s="1201"/>
      <c r="D52" s="1201"/>
      <c r="E52" s="1202"/>
      <c r="I52" s="1233"/>
      <c r="J52" s="1234"/>
      <c r="K52" s="1235"/>
      <c r="L52" s="1235"/>
      <c r="M52" s="2233" t="s">
        <v>222</v>
      </c>
      <c r="N52" s="2233"/>
      <c r="O52" s="2233"/>
      <c r="P52" s="2233"/>
      <c r="Q52" s="2233"/>
      <c r="R52" s="2233"/>
      <c r="S52" s="2233"/>
      <c r="T52" s="2233"/>
      <c r="U52" s="2233"/>
      <c r="V52" s="2233"/>
      <c r="W52" s="2233"/>
      <c r="X52" s="2233"/>
      <c r="Y52" s="2233"/>
      <c r="Z52" s="2233"/>
      <c r="AA52" s="2233"/>
      <c r="AB52" s="2234"/>
      <c r="AC52" s="2235"/>
      <c r="AD52" s="2235"/>
      <c r="AE52" s="2235"/>
      <c r="AF52" s="2235"/>
      <c r="AG52" s="2236"/>
      <c r="AH52" s="2236"/>
      <c r="AI52" s="2236"/>
      <c r="AJ52" s="2236"/>
      <c r="AK52" s="2236"/>
      <c r="AL52" s="2236"/>
      <c r="AM52" s="2236"/>
      <c r="AN52" s="2236"/>
      <c r="AO52" s="2236"/>
      <c r="AP52" s="2236"/>
      <c r="AQ52" s="2236"/>
      <c r="AR52" s="2236"/>
      <c r="AS52" s="2236"/>
      <c r="AT52" s="2236"/>
      <c r="AU52" s="2236"/>
      <c r="AV52" s="2236"/>
      <c r="AW52" s="2236"/>
      <c r="AX52" s="2236"/>
      <c r="AY52" s="2236"/>
      <c r="AZ52" s="2236"/>
      <c r="BA52" s="2236"/>
      <c r="BB52" s="2236"/>
      <c r="BC52" s="2236"/>
      <c r="BD52" s="2236"/>
      <c r="BE52" s="2236"/>
      <c r="BF52" s="2236"/>
      <c r="BG52" s="2236"/>
      <c r="BH52" s="2236"/>
      <c r="BI52" s="2236"/>
      <c r="BJ52" s="2236"/>
      <c r="BK52" s="2236"/>
      <c r="BL52" s="2236"/>
      <c r="BM52" s="2236"/>
      <c r="BN52" s="2236"/>
      <c r="BO52" s="2236"/>
      <c r="BP52" s="2236"/>
      <c r="BQ52" s="2236"/>
      <c r="BR52" s="2236"/>
      <c r="BS52" s="2236"/>
      <c r="BT52" s="2236"/>
      <c r="BU52" s="592"/>
      <c r="BV52" s="1189"/>
      <c r="BW52" s="1189"/>
      <c r="BX52" s="1189"/>
      <c r="BY52" s="1189"/>
      <c r="BZ52" s="1189"/>
      <c r="CA52" s="1189"/>
      <c r="CB52" s="1189"/>
      <c r="CC52" s="1189"/>
      <c r="CD52" s="1189"/>
      <c r="CE52" s="1189"/>
      <c r="CF52" s="1189"/>
      <c r="CG52" s="1189"/>
      <c r="CH52" s="1189"/>
      <c r="CI52" s="1189"/>
      <c r="CJ52" s="1189"/>
      <c r="CK52" s="1189"/>
      <c r="CL52" s="1189"/>
      <c r="CM52" s="1189"/>
      <c r="CN52" s="1189"/>
      <c r="CO52" s="1189"/>
      <c r="CP52" s="1189"/>
      <c r="CQ52" s="1189"/>
      <c r="CR52" s="1189"/>
      <c r="CS52" s="1189"/>
      <c r="CT52" s="1189"/>
      <c r="CU52" s="397"/>
      <c r="DD52" s="16"/>
      <c r="DE52" s="16"/>
      <c r="DF52" s="16"/>
      <c r="DG52" s="16"/>
      <c r="DH52" s="16"/>
      <c r="DI52" s="1593"/>
      <c r="DJ52" s="1163"/>
      <c r="DN52" s="1942" t="s">
        <v>2856</v>
      </c>
      <c r="EB52" s="73" t="s">
        <v>2886</v>
      </c>
      <c r="EC52" s="1555" t="str">
        <f>IF(DS44,AB40,IF(AB52="","",AB52))</f>
        <v/>
      </c>
      <c r="ED52" s="1430" t="s">
        <v>2891</v>
      </c>
      <c r="EG52" s="73"/>
      <c r="EH52" s="73"/>
      <c r="EI52" s="73"/>
      <c r="EJ52" s="73"/>
      <c r="EK52" s="73"/>
      <c r="FV52" s="73"/>
      <c r="FW52" s="73"/>
      <c r="FX52" s="73"/>
      <c r="FY52" s="73"/>
      <c r="FZ52" s="73"/>
    </row>
    <row r="53" spans="1:183" ht="27" customHeight="1" thickBot="1" x14ac:dyDescent="0.2">
      <c r="A53" s="1201"/>
      <c r="B53" s="1201"/>
      <c r="C53" s="1201"/>
      <c r="D53" s="1201"/>
      <c r="E53" s="1202"/>
      <c r="I53" s="1233"/>
      <c r="J53" s="1237"/>
      <c r="K53" s="625"/>
      <c r="L53" s="625"/>
      <c r="M53" s="2341" t="s">
        <v>1284</v>
      </c>
      <c r="N53" s="2341"/>
      <c r="O53" s="2341"/>
      <c r="P53" s="2341"/>
      <c r="Q53" s="2341"/>
      <c r="R53" s="2341"/>
      <c r="S53" s="2341"/>
      <c r="T53" s="2341"/>
      <c r="U53" s="2341"/>
      <c r="V53" s="2341"/>
      <c r="W53" s="2341"/>
      <c r="X53" s="2341"/>
      <c r="Y53" s="2341"/>
      <c r="Z53" s="2341"/>
      <c r="AA53" s="2341"/>
      <c r="AB53" s="2342"/>
      <c r="AC53" s="2342"/>
      <c r="AD53" s="2342"/>
      <c r="AE53" s="2342"/>
      <c r="AF53" s="2342"/>
      <c r="AG53" s="2342"/>
      <c r="AH53" s="2625" t="s">
        <v>2889</v>
      </c>
      <c r="AI53" s="2625"/>
      <c r="AJ53" s="2625"/>
      <c r="AK53" s="2342"/>
      <c r="AL53" s="2342"/>
      <c r="AM53" s="2342"/>
      <c r="AN53" s="2342"/>
      <c r="AO53" s="2342"/>
      <c r="AP53" s="2342"/>
      <c r="AQ53" s="2625" t="s">
        <v>2889</v>
      </c>
      <c r="AR53" s="2625"/>
      <c r="AS53" s="2625"/>
      <c r="AT53" s="2342"/>
      <c r="AU53" s="2342"/>
      <c r="AV53" s="2342"/>
      <c r="AW53" s="2342"/>
      <c r="AX53" s="2342"/>
      <c r="AY53" s="2342"/>
      <c r="AZ53" s="1238"/>
      <c r="BA53" s="608"/>
      <c r="BB53" s="608"/>
      <c r="BC53" s="608"/>
      <c r="BD53" s="608"/>
      <c r="BE53" s="608"/>
      <c r="BF53" s="608"/>
      <c r="BG53" s="608"/>
      <c r="BH53" s="608"/>
      <c r="BI53" s="608"/>
      <c r="BJ53" s="608"/>
      <c r="BK53" s="608"/>
      <c r="BL53" s="608"/>
      <c r="BM53" s="608"/>
      <c r="BN53" s="608"/>
      <c r="BO53" s="608"/>
      <c r="BP53" s="608"/>
      <c r="BQ53" s="608"/>
      <c r="BR53" s="608"/>
      <c r="BS53" s="608"/>
      <c r="BT53" s="608"/>
      <c r="BU53" s="594"/>
      <c r="BV53" s="398" t="s">
        <v>1844</v>
      </c>
      <c r="BW53" s="1432" t="s">
        <v>1913</v>
      </c>
      <c r="BX53" s="398"/>
      <c r="BY53" s="398"/>
      <c r="BZ53" s="398"/>
      <c r="CA53" s="398"/>
      <c r="CB53" s="398"/>
      <c r="CC53" s="398"/>
      <c r="CD53" s="398"/>
      <c r="CE53" s="398"/>
      <c r="CF53" s="398"/>
      <c r="CG53" s="398"/>
      <c r="CH53" s="398"/>
      <c r="CI53" s="398"/>
      <c r="CJ53" s="398"/>
      <c r="CK53" s="398"/>
      <c r="CL53" s="398"/>
      <c r="CM53" s="398"/>
      <c r="CN53" s="398"/>
      <c r="CO53" s="398"/>
      <c r="CP53" s="398"/>
      <c r="CQ53" s="398"/>
      <c r="CR53" s="398"/>
      <c r="CS53" s="398"/>
      <c r="CT53" s="398"/>
      <c r="CU53" s="399"/>
      <c r="DD53" s="16"/>
      <c r="DE53" s="16"/>
      <c r="DF53" s="16"/>
      <c r="DG53" s="16"/>
      <c r="DH53" s="16"/>
      <c r="DI53" s="1593"/>
      <c r="DJ53" s="1163"/>
      <c r="DM53" s="160" t="str">
        <f>CONCATENATE(AB53,"-",AK53,"-",AT53)</f>
        <v>--</v>
      </c>
      <c r="DN53" s="160" t="str">
        <f>IF(DM53="--","",ASC(DM53))</f>
        <v/>
      </c>
      <c r="DS53" s="214"/>
      <c r="DT53" s="214"/>
      <c r="DU53" s="214"/>
      <c r="EB53" s="215" t="s">
        <v>2885</v>
      </c>
      <c r="EC53" s="1555" t="str">
        <f>IF(DS44,DN41,DN53)</f>
        <v/>
      </c>
      <c r="ED53" s="1430" t="s">
        <v>2892</v>
      </c>
      <c r="EG53" s="73"/>
      <c r="EH53" s="73"/>
      <c r="EI53" s="73"/>
      <c r="EJ53" s="73"/>
      <c r="EK53" s="73"/>
      <c r="FV53" s="73"/>
      <c r="FW53" s="73"/>
      <c r="FX53" s="73"/>
      <c r="FY53" s="73"/>
      <c r="FZ53" s="73"/>
    </row>
    <row r="54" spans="1:183" ht="18.75" customHeight="1" x14ac:dyDescent="0.15">
      <c r="A54" s="1201"/>
      <c r="B54" s="1201"/>
      <c r="C54" s="1201"/>
      <c r="D54" s="1201"/>
      <c r="E54" s="1202"/>
      <c r="M54" s="422"/>
      <c r="BU54" s="578"/>
      <c r="BW54" s="1658"/>
      <c r="BX54" s="1658"/>
      <c r="BY54" s="1658"/>
      <c r="BZ54" s="1658"/>
      <c r="CA54" s="1658"/>
      <c r="CB54" s="1658"/>
      <c r="CC54" s="1658"/>
      <c r="CD54" s="1658"/>
      <c r="CE54" s="1658"/>
      <c r="CF54" s="1658"/>
      <c r="CG54" s="1658"/>
      <c r="CH54" s="1658"/>
      <c r="CI54" s="1658"/>
      <c r="CJ54" s="1658"/>
      <c r="CK54" s="1658"/>
      <c r="CL54" s="1658"/>
      <c r="CM54" s="1658"/>
      <c r="CN54" s="1658"/>
      <c r="CO54" s="1658"/>
      <c r="CP54" s="1658"/>
      <c r="CQ54" s="1658"/>
      <c r="CR54" s="1658"/>
      <c r="CS54" s="1658"/>
      <c r="DD54" s="16"/>
      <c r="DE54" s="16"/>
      <c r="DF54" s="16"/>
      <c r="DG54" s="16"/>
      <c r="DH54" s="16"/>
      <c r="DI54" s="1593"/>
      <c r="DJ54" s="1163"/>
      <c r="EG54" s="73"/>
      <c r="EH54" s="73"/>
      <c r="EI54" s="73"/>
      <c r="EJ54" s="73"/>
      <c r="EK54" s="73"/>
      <c r="FV54" s="73"/>
      <c r="FW54" s="73"/>
      <c r="FX54" s="73"/>
      <c r="FY54" s="73"/>
      <c r="FZ54" s="73"/>
    </row>
    <row r="55" spans="1:183" ht="2.1" customHeight="1" x14ac:dyDescent="0.15">
      <c r="A55" s="1201"/>
      <c r="B55" s="1201"/>
      <c r="C55" s="1201"/>
      <c r="D55" s="1201"/>
      <c r="E55" s="1202"/>
      <c r="BU55" s="578"/>
      <c r="DD55" s="16"/>
      <c r="DE55" s="16"/>
      <c r="DF55" s="16"/>
      <c r="DG55" s="16"/>
      <c r="DH55" s="16"/>
      <c r="DI55" s="1593"/>
      <c r="DJ55" s="1163"/>
      <c r="EG55" s="73"/>
      <c r="EH55" s="73"/>
      <c r="EI55" s="73"/>
      <c r="EJ55" s="73"/>
      <c r="EK55" s="73"/>
      <c r="FV55" s="73"/>
      <c r="FW55" s="73"/>
      <c r="FX55" s="73"/>
      <c r="FY55" s="73"/>
      <c r="FZ55" s="73"/>
    </row>
    <row r="56" spans="1:183" ht="2.1" customHeight="1" x14ac:dyDescent="0.15">
      <c r="A56" s="1201"/>
      <c r="B56" s="1201"/>
      <c r="C56" s="1201"/>
      <c r="D56" s="1201"/>
      <c r="E56" s="1202"/>
      <c r="BU56" s="578"/>
      <c r="DD56" s="16"/>
      <c r="DE56" s="16"/>
      <c r="DF56" s="16"/>
      <c r="DG56" s="16"/>
      <c r="DH56" s="16"/>
      <c r="DI56" s="1593"/>
      <c r="DJ56" s="1163"/>
      <c r="EG56" s="73"/>
      <c r="EH56" s="73"/>
      <c r="EI56" s="73"/>
      <c r="EJ56" s="73"/>
      <c r="EK56" s="73"/>
      <c r="FV56" s="73"/>
      <c r="FW56" s="73"/>
      <c r="FX56" s="73"/>
      <c r="FY56" s="73"/>
      <c r="FZ56" s="73"/>
    </row>
    <row r="57" spans="1:183" ht="2.1" customHeight="1" thickBot="1" x14ac:dyDescent="0.2">
      <c r="A57" s="1201"/>
      <c r="B57" s="1201"/>
      <c r="C57" s="1201"/>
      <c r="D57" s="1201"/>
      <c r="E57" s="1202"/>
      <c r="BU57" s="578"/>
      <c r="DD57" s="16"/>
      <c r="DE57" s="16"/>
      <c r="DF57" s="16"/>
      <c r="DG57" s="16"/>
      <c r="DH57" s="16"/>
      <c r="DI57" s="1593"/>
      <c r="DJ57" s="1163"/>
      <c r="EG57" s="73"/>
      <c r="EH57" s="73"/>
      <c r="EI57" s="73"/>
      <c r="EJ57" s="73"/>
      <c r="EK57" s="73"/>
      <c r="FV57" s="73"/>
      <c r="FW57" s="73"/>
      <c r="FX57" s="73"/>
      <c r="FY57" s="73"/>
      <c r="FZ57" s="73"/>
    </row>
    <row r="58" spans="1:183" s="80" customFormat="1" ht="35.1" customHeight="1" thickBot="1" x14ac:dyDescent="0.6">
      <c r="A58" s="1201"/>
      <c r="B58" s="1201"/>
      <c r="C58" s="1201"/>
      <c r="D58" s="1201"/>
      <c r="E58" s="1202"/>
      <c r="F58" s="652"/>
      <c r="G58" s="652"/>
      <c r="H58" s="652"/>
      <c r="I58" s="1214"/>
      <c r="J58" s="2156" t="s">
        <v>2860</v>
      </c>
      <c r="K58" s="2538"/>
      <c r="L58" s="2538"/>
      <c r="M58" s="2538"/>
      <c r="N58" s="2538"/>
      <c r="O58" s="2538"/>
      <c r="P58" s="2538"/>
      <c r="Q58" s="2538"/>
      <c r="R58" s="2538"/>
      <c r="S58" s="2538"/>
      <c r="T58" s="2538"/>
      <c r="U58" s="2538"/>
      <c r="V58" s="2538"/>
      <c r="W58" s="2538"/>
      <c r="X58" s="2538"/>
      <c r="Y58" s="2538"/>
      <c r="Z58" s="2538"/>
      <c r="AA58" s="2538"/>
      <c r="AB58" s="2940" t="s">
        <v>3352</v>
      </c>
      <c r="AC58" s="2940"/>
      <c r="AD58" s="2940"/>
      <c r="AE58" s="2940"/>
      <c r="AF58" s="2940"/>
      <c r="AG58" s="2940"/>
      <c r="AH58" s="2940"/>
      <c r="AI58" s="2940"/>
      <c r="AJ58" s="2940"/>
      <c r="AK58" s="2940"/>
      <c r="AL58" s="2940"/>
      <c r="AM58" s="2940"/>
      <c r="AN58" s="2940"/>
      <c r="AO58" s="2940"/>
      <c r="AP58" s="2940"/>
      <c r="AQ58" s="2940"/>
      <c r="AR58" s="2940"/>
      <c r="AS58" s="2940"/>
      <c r="AT58" s="2940"/>
      <c r="AU58" s="2940"/>
      <c r="AV58" s="2940"/>
      <c r="AW58" s="2940"/>
      <c r="AX58" s="2940"/>
      <c r="AY58" s="2940"/>
      <c r="AZ58" s="2940"/>
      <c r="BA58" s="2940"/>
      <c r="BB58" s="2940"/>
      <c r="BC58" s="2940"/>
      <c r="BD58" s="2940"/>
      <c r="BE58" s="2940"/>
      <c r="BF58" s="2940"/>
      <c r="BG58" s="2940"/>
      <c r="BH58" s="2155" t="s">
        <v>2862</v>
      </c>
      <c r="BI58" s="2155"/>
      <c r="BJ58" s="2155"/>
      <c r="BK58" s="2155"/>
      <c r="BL58" s="2155"/>
      <c r="BM58" s="2155"/>
      <c r="BN58" s="2155"/>
      <c r="BO58" s="2155"/>
      <c r="BP58" s="2155"/>
      <c r="BQ58" s="2155"/>
      <c r="BR58" s="2155"/>
      <c r="BS58" s="2155"/>
      <c r="BT58" s="2155"/>
      <c r="BU58" s="589"/>
      <c r="BV58" s="589"/>
      <c r="BW58" s="589"/>
      <c r="BX58" s="589"/>
      <c r="BY58" s="590"/>
      <c r="BZ58" s="590"/>
      <c r="CA58" s="590"/>
      <c r="CB58" s="590"/>
      <c r="CC58" s="590"/>
      <c r="CD58" s="590"/>
      <c r="CE58" s="590"/>
      <c r="CF58" s="590"/>
      <c r="CG58" s="590"/>
      <c r="CH58" s="590"/>
      <c r="CI58" s="590"/>
      <c r="CJ58" s="590"/>
      <c r="CK58" s="590"/>
      <c r="CL58" s="590"/>
      <c r="CM58" s="590"/>
      <c r="CN58" s="589"/>
      <c r="CO58" s="589"/>
      <c r="CP58" s="589"/>
      <c r="CQ58" s="589"/>
      <c r="CR58" s="402"/>
      <c r="CS58" s="402"/>
      <c r="CT58" s="402"/>
      <c r="CU58" s="403"/>
      <c r="CV58" s="401"/>
      <c r="CW58" s="401"/>
      <c r="CX58" s="7"/>
      <c r="CY58" s="7"/>
      <c r="CZ58" s="7"/>
      <c r="DA58" s="7"/>
      <c r="DB58" s="7"/>
      <c r="DC58" s="15"/>
      <c r="DD58" s="10"/>
      <c r="DE58" s="10"/>
      <c r="DF58" s="591"/>
      <c r="DG58" s="591"/>
      <c r="DH58" s="591"/>
      <c r="DI58" s="1593"/>
      <c r="DJ58" s="1165"/>
      <c r="DK58" s="1163"/>
      <c r="DL58" s="79"/>
      <c r="DM58" s="1436" t="str">
        <f>J58</f>
        <v>４　管理者</v>
      </c>
      <c r="DN58" s="79"/>
      <c r="DO58" s="79"/>
      <c r="DP58" s="79"/>
      <c r="DQ58" s="79"/>
      <c r="DS58" s="192" t="b">
        <v>0</v>
      </c>
      <c r="DV58" s="1547" t="s">
        <v>2947</v>
      </c>
      <c r="DW58" s="1127"/>
      <c r="DX58" s="1127"/>
      <c r="DY58" s="1161" t="s">
        <v>2846</v>
      </c>
      <c r="EB58" s="1547" t="s">
        <v>2948</v>
      </c>
      <c r="EC58" s="1127"/>
      <c r="ED58" s="1127"/>
      <c r="EE58" s="1161" t="s">
        <v>2846</v>
      </c>
      <c r="EI58" s="1547" t="s">
        <v>2949</v>
      </c>
      <c r="EJ58" s="1127"/>
      <c r="EK58" s="1127"/>
      <c r="FO58" s="582"/>
      <c r="GA58" s="79"/>
    </row>
    <row r="59" spans="1:183" s="82" customFormat="1" ht="27" customHeight="1" thickBot="1" x14ac:dyDescent="0.2">
      <c r="A59" s="1201"/>
      <c r="B59" s="1201"/>
      <c r="C59" s="1201"/>
      <c r="D59" s="1201"/>
      <c r="E59" s="1202"/>
      <c r="F59" s="652"/>
      <c r="G59" s="652"/>
      <c r="H59" s="652"/>
      <c r="I59" s="1239"/>
      <c r="J59" s="1240"/>
      <c r="K59" s="1241"/>
      <c r="L59" s="1241"/>
      <c r="M59" s="2237" t="s">
        <v>323</v>
      </c>
      <c r="N59" s="2238"/>
      <c r="O59" s="2238"/>
      <c r="P59" s="2238"/>
      <c r="Q59" s="2238"/>
      <c r="R59" s="2238"/>
      <c r="S59" s="2231" t="s">
        <v>664</v>
      </c>
      <c r="T59" s="2276"/>
      <c r="U59" s="2276"/>
      <c r="V59" s="2276"/>
      <c r="W59" s="2276"/>
      <c r="X59" s="2276"/>
      <c r="Y59" s="2276"/>
      <c r="Z59" s="2276"/>
      <c r="AA59" s="2276"/>
      <c r="AB59" s="2169"/>
      <c r="AC59" s="2169"/>
      <c r="AD59" s="2169"/>
      <c r="AE59" s="2169"/>
      <c r="AF59" s="2169"/>
      <c r="AG59" s="2169"/>
      <c r="AH59" s="2169"/>
      <c r="AI59" s="2169"/>
      <c r="AJ59" s="2169"/>
      <c r="AK59" s="2169"/>
      <c r="AL59" s="2169"/>
      <c r="AM59" s="2169"/>
      <c r="AN59" s="2169"/>
      <c r="AO59" s="2169"/>
      <c r="AP59" s="2169"/>
      <c r="AQ59" s="2169"/>
      <c r="AR59" s="2169"/>
      <c r="AS59" s="2169"/>
      <c r="AT59" s="2169"/>
      <c r="AU59" s="2169"/>
      <c r="AV59" s="2169"/>
      <c r="AW59" s="2169"/>
      <c r="AX59" s="2169"/>
      <c r="AY59" s="2169"/>
      <c r="AZ59" s="2169"/>
      <c r="BA59" s="2169"/>
      <c r="BB59" s="2169"/>
      <c r="BC59" s="2169"/>
      <c r="BD59" s="2169"/>
      <c r="BE59" s="2169"/>
      <c r="BF59" s="2169"/>
      <c r="BG59" s="2169"/>
      <c r="BH59" s="2169"/>
      <c r="BI59" s="2169"/>
      <c r="BJ59" s="2169"/>
      <c r="BK59" s="2169"/>
      <c r="BL59" s="2169"/>
      <c r="BM59" s="2169"/>
      <c r="BN59" s="2169"/>
      <c r="BO59" s="2169"/>
      <c r="BP59" s="2169"/>
      <c r="BQ59" s="2169"/>
      <c r="BR59" s="2169"/>
      <c r="BS59" s="2169"/>
      <c r="BT59" s="2169"/>
      <c r="BU59" s="592"/>
      <c r="BV59" s="592"/>
      <c r="BW59" s="595" t="s">
        <v>1890</v>
      </c>
      <c r="BX59" s="592"/>
      <c r="BY59" s="592"/>
      <c r="BZ59" s="592"/>
      <c r="CA59" s="592"/>
      <c r="CB59" s="592"/>
      <c r="CC59" s="2226" t="s">
        <v>1891</v>
      </c>
      <c r="CD59" s="2226"/>
      <c r="CE59" s="2226"/>
      <c r="CF59" s="2226"/>
      <c r="CG59" s="2226"/>
      <c r="CH59" s="2226"/>
      <c r="CI59" s="2226"/>
      <c r="CJ59" s="2226"/>
      <c r="CK59" s="2226"/>
      <c r="CL59" s="2226"/>
      <c r="CM59" s="2226"/>
      <c r="CN59" s="2226"/>
      <c r="CO59" s="2226"/>
      <c r="CP59" s="2226"/>
      <c r="CQ59" s="2226"/>
      <c r="CR59" s="2226"/>
      <c r="CS59" s="2226"/>
      <c r="CT59" s="1189"/>
      <c r="CU59" s="397"/>
      <c r="CV59" s="401"/>
      <c r="CW59" s="401"/>
      <c r="CX59" s="7"/>
      <c r="CY59" s="7"/>
      <c r="CZ59" s="7"/>
      <c r="DA59" s="7"/>
      <c r="DB59" s="7"/>
      <c r="DC59" s="15"/>
      <c r="DD59" s="10"/>
      <c r="DE59" s="10"/>
      <c r="DF59" s="84"/>
      <c r="DG59" s="84"/>
      <c r="DH59" s="84"/>
      <c r="DI59" s="1593"/>
      <c r="DJ59" s="1166"/>
      <c r="DK59" s="1163"/>
      <c r="DL59" s="81"/>
      <c r="DM59" s="81"/>
      <c r="DN59" s="81"/>
      <c r="DO59" s="81"/>
      <c r="DP59" s="81"/>
      <c r="DQ59" s="81"/>
      <c r="DS59" s="1161" t="s">
        <v>2946</v>
      </c>
      <c r="DV59" s="73" t="s">
        <v>1611</v>
      </c>
      <c r="DW59" s="431" t="str">
        <f t="shared" ref="DW59:DW64" si="3">TEXT(AB59,"")</f>
        <v/>
      </c>
      <c r="DY59" s="431" t="str">
        <f>DW59&amp;" "&amp;DW61&amp;" "&amp;DW63</f>
        <v xml:space="preserve">  </v>
      </c>
      <c r="DZ59" s="431" t="str">
        <f>ASC(DY59)</f>
        <v xml:space="preserve">  </v>
      </c>
      <c r="EA59" s="1430"/>
      <c r="EB59" s="73" t="s">
        <v>662</v>
      </c>
      <c r="EC59" s="1565" t="str">
        <f t="shared" ref="EC59:EC64" si="4">IF($DS$58,DW33,IF(AB59="","",AB59))</f>
        <v/>
      </c>
      <c r="EE59" s="431" t="str">
        <f>EC59&amp;" "&amp;EC61&amp;" "&amp;EC63</f>
        <v xml:space="preserve">  </v>
      </c>
      <c r="EF59" s="1564" t="str">
        <f>ASC(EE59)</f>
        <v xml:space="preserve">  </v>
      </c>
      <c r="EG59" s="1430" t="s">
        <v>2898</v>
      </c>
      <c r="EI59" s="73"/>
      <c r="EL59" s="73" t="s">
        <v>2896</v>
      </c>
      <c r="EM59" s="1564" t="str">
        <f>EJ60</f>
        <v/>
      </c>
      <c r="EN59" s="1430" t="s">
        <v>2900</v>
      </c>
      <c r="FO59" s="596"/>
      <c r="GA59" s="81"/>
    </row>
    <row r="60" spans="1:183" s="82" customFormat="1" ht="27" customHeight="1" thickBot="1" x14ac:dyDescent="0.2">
      <c r="A60" s="1201"/>
      <c r="B60" s="1201"/>
      <c r="C60" s="1201"/>
      <c r="D60" s="1201"/>
      <c r="E60" s="1202"/>
      <c r="F60" s="652"/>
      <c r="G60" s="652"/>
      <c r="H60" s="652"/>
      <c r="I60" s="1239"/>
      <c r="J60" s="1240"/>
      <c r="K60" s="1241"/>
      <c r="L60" s="1241"/>
      <c r="M60" s="2240"/>
      <c r="N60" s="2240"/>
      <c r="O60" s="2240"/>
      <c r="P60" s="2240"/>
      <c r="Q60" s="2240"/>
      <c r="R60" s="2240"/>
      <c r="S60" s="2260" t="s">
        <v>315</v>
      </c>
      <c r="T60" s="2261"/>
      <c r="U60" s="2261"/>
      <c r="V60" s="2261"/>
      <c r="W60" s="2261"/>
      <c r="X60" s="2261"/>
      <c r="Y60" s="2261"/>
      <c r="Z60" s="2261"/>
      <c r="AA60" s="2261"/>
      <c r="AB60" s="2224"/>
      <c r="AC60" s="2224"/>
      <c r="AD60" s="2224"/>
      <c r="AE60" s="2224"/>
      <c r="AF60" s="2224"/>
      <c r="AG60" s="2224"/>
      <c r="AH60" s="2224"/>
      <c r="AI60" s="2224"/>
      <c r="AJ60" s="2224"/>
      <c r="AK60" s="2224"/>
      <c r="AL60" s="2224"/>
      <c r="AM60" s="2224"/>
      <c r="AN60" s="2224"/>
      <c r="AO60" s="2224"/>
      <c r="AP60" s="2224"/>
      <c r="AQ60" s="2224"/>
      <c r="AR60" s="2224"/>
      <c r="AS60" s="2224"/>
      <c r="AT60" s="2224"/>
      <c r="AU60" s="2224"/>
      <c r="AV60" s="2224"/>
      <c r="AW60" s="2224"/>
      <c r="AX60" s="2224"/>
      <c r="AY60" s="2224"/>
      <c r="AZ60" s="2224"/>
      <c r="BA60" s="2224"/>
      <c r="BB60" s="2224"/>
      <c r="BC60" s="2224"/>
      <c r="BD60" s="2224"/>
      <c r="BE60" s="2224"/>
      <c r="BF60" s="2224"/>
      <c r="BG60" s="2224"/>
      <c r="BH60" s="2224"/>
      <c r="BI60" s="2224"/>
      <c r="BJ60" s="2224"/>
      <c r="BK60" s="2224"/>
      <c r="BL60" s="2224"/>
      <c r="BM60" s="2224"/>
      <c r="BN60" s="2224"/>
      <c r="BO60" s="2224"/>
      <c r="BP60" s="2224"/>
      <c r="BQ60" s="2224"/>
      <c r="BR60" s="2224"/>
      <c r="BS60" s="2224"/>
      <c r="BT60" s="2224"/>
      <c r="BU60" s="592"/>
      <c r="BV60" s="592"/>
      <c r="BW60" s="592"/>
      <c r="BX60" s="592"/>
      <c r="BY60" s="592"/>
      <c r="BZ60" s="592"/>
      <c r="CA60" s="592"/>
      <c r="CB60" s="592"/>
      <c r="CC60" s="2226"/>
      <c r="CD60" s="2226"/>
      <c r="CE60" s="2226"/>
      <c r="CF60" s="2226"/>
      <c r="CG60" s="2226"/>
      <c r="CH60" s="2226"/>
      <c r="CI60" s="2226"/>
      <c r="CJ60" s="2226"/>
      <c r="CK60" s="2226"/>
      <c r="CL60" s="2226"/>
      <c r="CM60" s="2226"/>
      <c r="CN60" s="2226"/>
      <c r="CO60" s="2226"/>
      <c r="CP60" s="2226"/>
      <c r="CQ60" s="2226"/>
      <c r="CR60" s="2226"/>
      <c r="CS60" s="2226"/>
      <c r="CT60" s="1189"/>
      <c r="CU60" s="397"/>
      <c r="CV60" s="401"/>
      <c r="CW60" s="401"/>
      <c r="CX60" s="7"/>
      <c r="CY60" s="7"/>
      <c r="CZ60" s="207"/>
      <c r="DA60" s="207"/>
      <c r="DB60" s="207"/>
      <c r="DC60" s="15"/>
      <c r="DD60" s="16"/>
      <c r="DE60" s="16"/>
      <c r="DF60" s="16"/>
      <c r="DG60" s="16"/>
      <c r="DH60" s="16"/>
      <c r="DI60" s="1593"/>
      <c r="DJ60" s="1163"/>
      <c r="DK60" s="1163"/>
      <c r="DL60" s="81"/>
      <c r="DM60" s="81"/>
      <c r="DN60" s="81"/>
      <c r="DO60" s="81"/>
      <c r="DP60" s="81"/>
      <c r="DQ60" s="81"/>
      <c r="DS60" s="215"/>
      <c r="DV60" s="73" t="s">
        <v>1612</v>
      </c>
      <c r="DW60" s="431" t="str">
        <f t="shared" si="3"/>
        <v/>
      </c>
      <c r="DY60" s="431" t="str">
        <f>DW60&amp;" "&amp;DW62&amp;" "&amp;DW64</f>
        <v xml:space="preserve">  </v>
      </c>
      <c r="DZ60" s="431" t="str">
        <f>DY60</f>
        <v xml:space="preserve">  </v>
      </c>
      <c r="EA60" s="1430"/>
      <c r="EB60" s="73" t="s">
        <v>1323</v>
      </c>
      <c r="EC60" s="1567" t="str">
        <f t="shared" si="4"/>
        <v/>
      </c>
      <c r="EE60" s="431" t="str">
        <f>EC60&amp;" "&amp;EC62&amp;" "&amp;EC64</f>
        <v xml:space="preserve">  </v>
      </c>
      <c r="EF60" s="1564" t="str">
        <f>EE60</f>
        <v xml:space="preserve">  </v>
      </c>
      <c r="EG60" s="1430" t="s">
        <v>2868</v>
      </c>
      <c r="EI60" s="96" t="s">
        <v>2893</v>
      </c>
      <c r="EJ60" s="431" t="str">
        <f>EC60</f>
        <v/>
      </c>
      <c r="EL60" s="73" t="s">
        <v>2897</v>
      </c>
      <c r="EM60" s="1564" t="str">
        <f>EJ62&amp;"　"&amp;EJ64</f>
        <v>　</v>
      </c>
      <c r="EN60" s="1430" t="s">
        <v>2900</v>
      </c>
      <c r="FO60" s="596"/>
      <c r="GA60" s="81"/>
    </row>
    <row r="61" spans="1:183" s="82" customFormat="1" ht="27" customHeight="1" thickBot="1" x14ac:dyDescent="0.2">
      <c r="A61" s="1201"/>
      <c r="B61" s="1201"/>
      <c r="C61" s="1201"/>
      <c r="D61" s="1201"/>
      <c r="E61" s="1202"/>
      <c r="F61" s="652"/>
      <c r="G61" s="652"/>
      <c r="H61" s="652"/>
      <c r="I61" s="1239"/>
      <c r="J61" s="1240"/>
      <c r="K61" s="1241"/>
      <c r="L61" s="1241"/>
      <c r="M61" s="2240"/>
      <c r="N61" s="2240"/>
      <c r="O61" s="2240"/>
      <c r="P61" s="2240"/>
      <c r="Q61" s="2240"/>
      <c r="R61" s="2240"/>
      <c r="S61" s="2231" t="s">
        <v>662</v>
      </c>
      <c r="T61" s="2276"/>
      <c r="U61" s="2276"/>
      <c r="V61" s="2276"/>
      <c r="W61" s="2276"/>
      <c r="X61" s="2276"/>
      <c r="Y61" s="2276"/>
      <c r="Z61" s="2276"/>
      <c r="AA61" s="2276"/>
      <c r="AB61" s="2169"/>
      <c r="AC61" s="2169"/>
      <c r="AD61" s="2169"/>
      <c r="AE61" s="2169"/>
      <c r="AF61" s="2169"/>
      <c r="AG61" s="2169"/>
      <c r="AH61" s="2169"/>
      <c r="AI61" s="2169"/>
      <c r="AJ61" s="2169"/>
      <c r="AK61" s="2169"/>
      <c r="AL61" s="2169"/>
      <c r="AM61" s="2169"/>
      <c r="AN61" s="2169"/>
      <c r="AO61" s="2169"/>
      <c r="AP61" s="2169"/>
      <c r="AQ61" s="2169"/>
      <c r="AR61" s="2169"/>
      <c r="AS61" s="2169"/>
      <c r="AT61" s="2169"/>
      <c r="AU61" s="2169"/>
      <c r="AV61" s="2169"/>
      <c r="AW61" s="2169"/>
      <c r="AX61" s="2169"/>
      <c r="AY61" s="2169"/>
      <c r="AZ61" s="2169"/>
      <c r="BA61" s="2169"/>
      <c r="BB61" s="2169"/>
      <c r="BC61" s="2169"/>
      <c r="BD61" s="2169"/>
      <c r="BE61" s="2169"/>
      <c r="BF61" s="2169"/>
      <c r="BG61" s="2169"/>
      <c r="BH61" s="2169"/>
      <c r="BI61" s="2169"/>
      <c r="BJ61" s="2169"/>
      <c r="BK61" s="2169"/>
      <c r="BL61" s="2169"/>
      <c r="BM61" s="2169"/>
      <c r="BN61" s="2169"/>
      <c r="BO61" s="2169"/>
      <c r="BP61" s="2169"/>
      <c r="BQ61" s="2169"/>
      <c r="BR61" s="2169"/>
      <c r="BS61" s="2169"/>
      <c r="BT61" s="2169"/>
      <c r="BU61" s="592"/>
      <c r="BV61" s="592"/>
      <c r="BW61" s="2226" t="s">
        <v>3390</v>
      </c>
      <c r="BX61" s="2226"/>
      <c r="BY61" s="2226"/>
      <c r="BZ61" s="2226"/>
      <c r="CA61" s="2226"/>
      <c r="CB61" s="2226"/>
      <c r="CC61" s="2226"/>
      <c r="CD61" s="2226"/>
      <c r="CE61" s="2226"/>
      <c r="CF61" s="2226"/>
      <c r="CG61" s="2226"/>
      <c r="CH61" s="2226"/>
      <c r="CI61" s="2226"/>
      <c r="CJ61" s="2226"/>
      <c r="CK61" s="2226"/>
      <c r="CL61" s="2226"/>
      <c r="CM61" s="2226"/>
      <c r="CN61" s="2226"/>
      <c r="CO61" s="2226"/>
      <c r="CP61" s="2226"/>
      <c r="CQ61" s="2226"/>
      <c r="CR61" s="2226"/>
      <c r="CS61" s="2226"/>
      <c r="CT61" s="597"/>
      <c r="CU61" s="598"/>
      <c r="CV61" s="401"/>
      <c r="CW61" s="401"/>
      <c r="CX61" s="7"/>
      <c r="CY61" s="207"/>
      <c r="CZ61" s="207"/>
      <c r="DA61" s="207"/>
      <c r="DB61" s="207"/>
      <c r="DC61" s="15"/>
      <c r="DD61" s="16"/>
      <c r="DE61" s="16"/>
      <c r="DF61" s="16"/>
      <c r="DG61" s="16"/>
      <c r="DH61" s="16"/>
      <c r="DI61" s="1593"/>
      <c r="DJ61" s="1163"/>
      <c r="DK61" s="1163"/>
      <c r="DL61" s="81"/>
      <c r="DM61" s="81"/>
      <c r="DN61" s="81"/>
      <c r="DO61" s="81"/>
      <c r="DP61" s="81"/>
      <c r="DQ61" s="81"/>
      <c r="DS61" s="215"/>
      <c r="DV61" s="73" t="s">
        <v>1611</v>
      </c>
      <c r="DW61" s="431" t="str">
        <f t="shared" si="3"/>
        <v/>
      </c>
      <c r="EB61" s="73" t="s">
        <v>662</v>
      </c>
      <c r="EC61" s="1566" t="str">
        <f t="shared" si="4"/>
        <v/>
      </c>
      <c r="EI61" s="73"/>
      <c r="EL61" s="73"/>
      <c r="FO61" s="596"/>
      <c r="GA61" s="81"/>
    </row>
    <row r="62" spans="1:183" s="82" customFormat="1" ht="27" customHeight="1" thickBot="1" x14ac:dyDescent="0.2">
      <c r="A62" s="1201"/>
      <c r="B62" s="1201"/>
      <c r="C62" s="1201"/>
      <c r="D62" s="1201"/>
      <c r="E62" s="1202"/>
      <c r="F62" s="652"/>
      <c r="G62" s="652"/>
      <c r="H62" s="652"/>
      <c r="I62" s="1239"/>
      <c r="J62" s="1240"/>
      <c r="K62" s="1241"/>
      <c r="L62" s="1241"/>
      <c r="M62" s="2240"/>
      <c r="N62" s="2240"/>
      <c r="O62" s="2240"/>
      <c r="P62" s="2240"/>
      <c r="Q62" s="2240"/>
      <c r="R62" s="2240"/>
      <c r="S62" s="2260" t="s">
        <v>317</v>
      </c>
      <c r="T62" s="2261"/>
      <c r="U62" s="2261"/>
      <c r="V62" s="2261"/>
      <c r="W62" s="2261"/>
      <c r="X62" s="2261"/>
      <c r="Y62" s="2261"/>
      <c r="Z62" s="2261"/>
      <c r="AA62" s="2261"/>
      <c r="AB62" s="2224"/>
      <c r="AC62" s="2224"/>
      <c r="AD62" s="2224"/>
      <c r="AE62" s="2224"/>
      <c r="AF62" s="2224"/>
      <c r="AG62" s="2224"/>
      <c r="AH62" s="2224"/>
      <c r="AI62" s="2224"/>
      <c r="AJ62" s="2224"/>
      <c r="AK62" s="2224"/>
      <c r="AL62" s="2224"/>
      <c r="AM62" s="2224"/>
      <c r="AN62" s="2224"/>
      <c r="AO62" s="2224"/>
      <c r="AP62" s="2224"/>
      <c r="AQ62" s="2224"/>
      <c r="AR62" s="2224"/>
      <c r="AS62" s="2224"/>
      <c r="AT62" s="2224"/>
      <c r="AU62" s="2224"/>
      <c r="AV62" s="2224"/>
      <c r="AW62" s="2224"/>
      <c r="AX62" s="2224"/>
      <c r="AY62" s="2224"/>
      <c r="AZ62" s="2224"/>
      <c r="BA62" s="2224"/>
      <c r="BB62" s="2224"/>
      <c r="BC62" s="2224"/>
      <c r="BD62" s="2224"/>
      <c r="BE62" s="2224"/>
      <c r="BF62" s="2224"/>
      <c r="BG62" s="2224"/>
      <c r="BH62" s="2224"/>
      <c r="BI62" s="2224"/>
      <c r="BJ62" s="2224"/>
      <c r="BK62" s="2224"/>
      <c r="BL62" s="2224"/>
      <c r="BM62" s="2224"/>
      <c r="BN62" s="2224"/>
      <c r="BO62" s="2224"/>
      <c r="BP62" s="2224"/>
      <c r="BQ62" s="2224"/>
      <c r="BR62" s="2224"/>
      <c r="BS62" s="2224"/>
      <c r="BT62" s="2224"/>
      <c r="BU62" s="592"/>
      <c r="BV62" s="1189"/>
      <c r="BW62" s="2226"/>
      <c r="BX62" s="2226"/>
      <c r="BY62" s="2226"/>
      <c r="BZ62" s="2226"/>
      <c r="CA62" s="2226"/>
      <c r="CB62" s="2226"/>
      <c r="CC62" s="2226"/>
      <c r="CD62" s="2226"/>
      <c r="CE62" s="2226"/>
      <c r="CF62" s="2226"/>
      <c r="CG62" s="2226"/>
      <c r="CH62" s="2226"/>
      <c r="CI62" s="2226"/>
      <c r="CJ62" s="2226"/>
      <c r="CK62" s="2226"/>
      <c r="CL62" s="2226"/>
      <c r="CM62" s="2226"/>
      <c r="CN62" s="2226"/>
      <c r="CO62" s="2226"/>
      <c r="CP62" s="2226"/>
      <c r="CQ62" s="2226"/>
      <c r="CR62" s="2226"/>
      <c r="CS62" s="2226"/>
      <c r="CT62" s="597"/>
      <c r="CU62" s="598"/>
      <c r="CV62" s="388"/>
      <c r="CW62" s="388"/>
      <c r="CX62" s="207"/>
      <c r="CY62" s="207"/>
      <c r="CZ62" s="207"/>
      <c r="DA62" s="207"/>
      <c r="DB62" s="207"/>
      <c r="DC62" s="15"/>
      <c r="DD62" s="16"/>
      <c r="DE62" s="16"/>
      <c r="DF62" s="16"/>
      <c r="DG62" s="16"/>
      <c r="DH62" s="16"/>
      <c r="DI62" s="1593"/>
      <c r="DJ62" s="1163"/>
      <c r="DK62" s="1163"/>
      <c r="DL62" s="81"/>
      <c r="DM62" s="81"/>
      <c r="DN62" s="81"/>
      <c r="DO62" s="81"/>
      <c r="DP62" s="81"/>
      <c r="DQ62" s="81"/>
      <c r="DS62" s="215"/>
      <c r="DV62" s="73" t="s">
        <v>1614</v>
      </c>
      <c r="DW62" s="431" t="str">
        <f t="shared" si="3"/>
        <v/>
      </c>
      <c r="DY62" s="433"/>
      <c r="EB62" s="73" t="s">
        <v>1324</v>
      </c>
      <c r="EC62" s="1567" t="str">
        <f t="shared" si="4"/>
        <v/>
      </c>
      <c r="EE62" s="433"/>
      <c r="EI62" s="96" t="s">
        <v>2894</v>
      </c>
      <c r="EJ62" s="431" t="str">
        <f>EC62</f>
        <v/>
      </c>
      <c r="FO62" s="596"/>
      <c r="GA62" s="81"/>
    </row>
    <row r="63" spans="1:183" s="82" customFormat="1" ht="27" customHeight="1" thickBot="1" x14ac:dyDescent="0.2">
      <c r="A63" s="1201"/>
      <c r="B63" s="1201"/>
      <c r="C63" s="1201"/>
      <c r="D63" s="1201"/>
      <c r="E63" s="1202"/>
      <c r="F63" s="652"/>
      <c r="G63" s="652"/>
      <c r="H63" s="652"/>
      <c r="I63" s="1239"/>
      <c r="J63" s="1240"/>
      <c r="K63" s="1241"/>
      <c r="L63" s="1241"/>
      <c r="M63" s="2240"/>
      <c r="N63" s="2240"/>
      <c r="O63" s="2240"/>
      <c r="P63" s="2240"/>
      <c r="Q63" s="2240"/>
      <c r="R63" s="2240"/>
      <c r="S63" s="2231" t="s">
        <v>664</v>
      </c>
      <c r="T63" s="2276"/>
      <c r="U63" s="2276"/>
      <c r="V63" s="2276"/>
      <c r="W63" s="2276"/>
      <c r="X63" s="2276"/>
      <c r="Y63" s="2276"/>
      <c r="Z63" s="2276"/>
      <c r="AA63" s="2276"/>
      <c r="AB63" s="2169"/>
      <c r="AC63" s="2166"/>
      <c r="AD63" s="2166"/>
      <c r="AE63" s="2166"/>
      <c r="AF63" s="2166"/>
      <c r="AG63" s="2166"/>
      <c r="AH63" s="2166"/>
      <c r="AI63" s="2166"/>
      <c r="AJ63" s="2166"/>
      <c r="AK63" s="2166"/>
      <c r="AL63" s="2166"/>
      <c r="AM63" s="2166"/>
      <c r="AN63" s="2166"/>
      <c r="AO63" s="2166"/>
      <c r="AP63" s="2166"/>
      <c r="AQ63" s="2166"/>
      <c r="AR63" s="2166"/>
      <c r="AS63" s="2166"/>
      <c r="AT63" s="2166"/>
      <c r="AU63" s="2166"/>
      <c r="AV63" s="2166"/>
      <c r="AW63" s="2166"/>
      <c r="AX63" s="2166"/>
      <c r="AY63" s="2166"/>
      <c r="AZ63" s="2166"/>
      <c r="BA63" s="2166"/>
      <c r="BB63" s="2166"/>
      <c r="BC63" s="2166"/>
      <c r="BD63" s="2166"/>
      <c r="BE63" s="2166"/>
      <c r="BF63" s="2166"/>
      <c r="BG63" s="2166"/>
      <c r="BH63" s="2166"/>
      <c r="BI63" s="2166"/>
      <c r="BJ63" s="2166"/>
      <c r="BK63" s="2166"/>
      <c r="BL63" s="2166"/>
      <c r="BM63" s="2166"/>
      <c r="BN63" s="2166"/>
      <c r="BO63" s="2166"/>
      <c r="BP63" s="2166"/>
      <c r="BQ63" s="2166"/>
      <c r="BR63" s="2166"/>
      <c r="BS63" s="2166"/>
      <c r="BT63" s="2166"/>
      <c r="BU63" s="592"/>
      <c r="BV63" s="1189"/>
      <c r="BW63" s="2226"/>
      <c r="BX63" s="2226"/>
      <c r="BY63" s="2226"/>
      <c r="BZ63" s="2226"/>
      <c r="CA63" s="2226"/>
      <c r="CB63" s="2226"/>
      <c r="CC63" s="2226"/>
      <c r="CD63" s="2226"/>
      <c r="CE63" s="2226"/>
      <c r="CF63" s="2226"/>
      <c r="CG63" s="2226"/>
      <c r="CH63" s="2226"/>
      <c r="CI63" s="2226"/>
      <c r="CJ63" s="2226"/>
      <c r="CK63" s="2226"/>
      <c r="CL63" s="2226"/>
      <c r="CM63" s="2226"/>
      <c r="CN63" s="2226"/>
      <c r="CO63" s="2226"/>
      <c r="CP63" s="2226"/>
      <c r="CQ63" s="2226"/>
      <c r="CR63" s="2226"/>
      <c r="CS63" s="2226"/>
      <c r="CT63" s="597"/>
      <c r="CU63" s="598"/>
      <c r="CV63" s="388"/>
      <c r="CW63" s="388"/>
      <c r="CX63" s="207"/>
      <c r="CY63" s="207"/>
      <c r="CZ63" s="207"/>
      <c r="DA63" s="207"/>
      <c r="DB63" s="207"/>
      <c r="DC63" s="15"/>
      <c r="DD63" s="16"/>
      <c r="DE63" s="16"/>
      <c r="DF63" s="16"/>
      <c r="DG63" s="16"/>
      <c r="DH63" s="16"/>
      <c r="DI63" s="1593"/>
      <c r="DJ63" s="1163"/>
      <c r="DK63" s="1163"/>
      <c r="DL63" s="81"/>
      <c r="DM63" s="81"/>
      <c r="DN63" s="81"/>
      <c r="DO63" s="81"/>
      <c r="DP63" s="81"/>
      <c r="DQ63" s="81"/>
      <c r="DS63" s="215"/>
      <c r="DV63" s="73" t="s">
        <v>1611</v>
      </c>
      <c r="DW63" s="431" t="str">
        <f t="shared" si="3"/>
        <v/>
      </c>
      <c r="EB63" s="73" t="s">
        <v>662</v>
      </c>
      <c r="EC63" s="1566" t="str">
        <f t="shared" si="4"/>
        <v/>
      </c>
      <c r="EI63" s="73"/>
      <c r="FO63" s="596"/>
      <c r="GA63" s="81"/>
    </row>
    <row r="64" spans="1:183" s="82" customFormat="1" ht="27" customHeight="1" x14ac:dyDescent="0.15">
      <c r="A64" s="1201"/>
      <c r="B64" s="1201"/>
      <c r="C64" s="1201"/>
      <c r="D64" s="1201"/>
      <c r="E64" s="1202"/>
      <c r="F64" s="652"/>
      <c r="G64" s="652"/>
      <c r="H64" s="652"/>
      <c r="I64" s="1239"/>
      <c r="J64" s="1242"/>
      <c r="K64" s="1243"/>
      <c r="L64" s="1243"/>
      <c r="M64" s="2239"/>
      <c r="N64" s="2239"/>
      <c r="O64" s="2239"/>
      <c r="P64" s="2239"/>
      <c r="Q64" s="2239"/>
      <c r="R64" s="2239"/>
      <c r="S64" s="2260" t="s">
        <v>318</v>
      </c>
      <c r="T64" s="2261"/>
      <c r="U64" s="2261"/>
      <c r="V64" s="2261"/>
      <c r="W64" s="2261"/>
      <c r="X64" s="2261"/>
      <c r="Y64" s="2261"/>
      <c r="Z64" s="2261"/>
      <c r="AA64" s="2261"/>
      <c r="AB64" s="2196"/>
      <c r="AC64" s="2197"/>
      <c r="AD64" s="2197"/>
      <c r="AE64" s="2197"/>
      <c r="AF64" s="2197"/>
      <c r="AG64" s="2198"/>
      <c r="AH64" s="2198"/>
      <c r="AI64" s="2198"/>
      <c r="AJ64" s="2198"/>
      <c r="AK64" s="2198"/>
      <c r="AL64" s="2198"/>
      <c r="AM64" s="2198"/>
      <c r="AN64" s="2198"/>
      <c r="AO64" s="2198"/>
      <c r="AP64" s="2198"/>
      <c r="AQ64" s="2198"/>
      <c r="AR64" s="2198"/>
      <c r="AS64" s="2198"/>
      <c r="AT64" s="2198"/>
      <c r="AU64" s="2198"/>
      <c r="AV64" s="2198"/>
      <c r="AW64" s="2198"/>
      <c r="AX64" s="2198"/>
      <c r="AY64" s="2198"/>
      <c r="AZ64" s="2198"/>
      <c r="BA64" s="2198"/>
      <c r="BB64" s="2198"/>
      <c r="BC64" s="2198"/>
      <c r="BD64" s="2198"/>
      <c r="BE64" s="2198"/>
      <c r="BF64" s="2198"/>
      <c r="BG64" s="2198"/>
      <c r="BH64" s="2198"/>
      <c r="BI64" s="2198"/>
      <c r="BJ64" s="2198"/>
      <c r="BK64" s="2198"/>
      <c r="BL64" s="2198"/>
      <c r="BM64" s="2198"/>
      <c r="BN64" s="2198"/>
      <c r="BO64" s="2198"/>
      <c r="BP64" s="2198"/>
      <c r="BQ64" s="2198"/>
      <c r="BR64" s="2198"/>
      <c r="BS64" s="2198"/>
      <c r="BT64" s="2198"/>
      <c r="BU64" s="592"/>
      <c r="BV64" s="1189"/>
      <c r="BW64" s="2226"/>
      <c r="BX64" s="2226"/>
      <c r="BY64" s="2226"/>
      <c r="BZ64" s="2226"/>
      <c r="CA64" s="2226"/>
      <c r="CB64" s="2226"/>
      <c r="CC64" s="2226"/>
      <c r="CD64" s="2226"/>
      <c r="CE64" s="2226"/>
      <c r="CF64" s="2226"/>
      <c r="CG64" s="2226"/>
      <c r="CH64" s="2226"/>
      <c r="CI64" s="2226"/>
      <c r="CJ64" s="2226"/>
      <c r="CK64" s="2226"/>
      <c r="CL64" s="2226"/>
      <c r="CM64" s="2226"/>
      <c r="CN64" s="2226"/>
      <c r="CO64" s="2226"/>
      <c r="CP64" s="2226"/>
      <c r="CQ64" s="2226"/>
      <c r="CR64" s="2226"/>
      <c r="CS64" s="2226"/>
      <c r="CT64" s="597"/>
      <c r="CU64" s="598"/>
      <c r="CV64" s="388"/>
      <c r="CW64" s="388"/>
      <c r="CX64" s="207"/>
      <c r="CY64" s="207"/>
      <c r="CZ64" s="207"/>
      <c r="DA64" s="207"/>
      <c r="DB64" s="207"/>
      <c r="DC64" s="15"/>
      <c r="DD64" s="16"/>
      <c r="DE64" s="16"/>
      <c r="DF64" s="16"/>
      <c r="DG64" s="16"/>
      <c r="DH64" s="16"/>
      <c r="DI64" s="1593"/>
      <c r="DJ64" s="1163"/>
      <c r="DK64" s="1163"/>
      <c r="DL64" s="81"/>
      <c r="DM64" s="212" t="s">
        <v>1644</v>
      </c>
      <c r="DN64" s="1161" t="s">
        <v>2864</v>
      </c>
      <c r="DO64" s="211"/>
      <c r="DP64" s="211"/>
      <c r="DQ64" s="81"/>
      <c r="DS64" s="215"/>
      <c r="DV64" s="73" t="s">
        <v>1615</v>
      </c>
      <c r="DW64" s="431" t="str">
        <f t="shared" si="3"/>
        <v/>
      </c>
      <c r="EB64" s="73" t="s">
        <v>1325</v>
      </c>
      <c r="EC64" s="1568" t="str">
        <f t="shared" si="4"/>
        <v/>
      </c>
      <c r="EI64" s="96" t="s">
        <v>2895</v>
      </c>
      <c r="EJ64" s="431" t="str">
        <f>EC64</f>
        <v/>
      </c>
      <c r="FO64" s="596"/>
      <c r="GA64" s="81"/>
    </row>
    <row r="65" spans="1:183" s="82" customFormat="1" ht="27" customHeight="1" x14ac:dyDescent="0.15">
      <c r="A65" s="1201"/>
      <c r="B65" s="1201"/>
      <c r="C65" s="1201"/>
      <c r="D65" s="1201"/>
      <c r="E65" s="1202"/>
      <c r="F65" s="652"/>
      <c r="G65" s="652"/>
      <c r="H65" s="652"/>
      <c r="I65" s="1244"/>
      <c r="J65" s="1245"/>
      <c r="K65" s="1246"/>
      <c r="L65" s="1246"/>
      <c r="M65" s="2233" t="s">
        <v>1283</v>
      </c>
      <c r="N65" s="2233"/>
      <c r="O65" s="2233"/>
      <c r="P65" s="2233"/>
      <c r="Q65" s="2233"/>
      <c r="R65" s="2233"/>
      <c r="S65" s="2233"/>
      <c r="T65" s="2233"/>
      <c r="U65" s="2233"/>
      <c r="V65" s="2233"/>
      <c r="W65" s="2233"/>
      <c r="X65" s="2233"/>
      <c r="Y65" s="2233"/>
      <c r="Z65" s="2233"/>
      <c r="AA65" s="2233"/>
      <c r="AB65" s="2212"/>
      <c r="AC65" s="2212"/>
      <c r="AD65" s="2212"/>
      <c r="AE65" s="2212"/>
      <c r="AF65" s="2212"/>
      <c r="AG65" s="2212"/>
      <c r="AH65" s="2211" t="s">
        <v>2889</v>
      </c>
      <c r="AI65" s="2211"/>
      <c r="AJ65" s="2211"/>
      <c r="AK65" s="2212"/>
      <c r="AL65" s="2212"/>
      <c r="AM65" s="2212"/>
      <c r="AN65" s="2212"/>
      <c r="AO65" s="2212"/>
      <c r="AP65" s="2212"/>
      <c r="AQ65" s="1236"/>
      <c r="AR65" s="1236"/>
      <c r="AS65" s="1236"/>
      <c r="AT65" s="1236"/>
      <c r="AU65" s="1236"/>
      <c r="AV65" s="1236"/>
      <c r="AW65" s="1236"/>
      <c r="AX65" s="1236"/>
      <c r="AY65" s="1236"/>
      <c r="AZ65" s="1236"/>
      <c r="BA65" s="1236"/>
      <c r="BB65" s="1236"/>
      <c r="BC65" s="1236"/>
      <c r="BD65" s="1236"/>
      <c r="BE65" s="1236"/>
      <c r="BF65" s="1236"/>
      <c r="BG65" s="1236"/>
      <c r="BH65" s="1236"/>
      <c r="BI65" s="1236"/>
      <c r="BJ65" s="1236"/>
      <c r="BK65" s="1236"/>
      <c r="BL65" s="1236"/>
      <c r="BM65" s="1236"/>
      <c r="BN65" s="1236"/>
      <c r="BO65" s="1236"/>
      <c r="BP65" s="1236"/>
      <c r="BQ65" s="1236"/>
      <c r="BR65" s="1236"/>
      <c r="BS65" s="1236"/>
      <c r="BT65" s="1236"/>
      <c r="BU65" s="592"/>
      <c r="BV65" s="1189"/>
      <c r="BW65" s="1189"/>
      <c r="BX65" s="1189"/>
      <c r="BY65" s="1189"/>
      <c r="BZ65" s="1189"/>
      <c r="CA65" s="1189"/>
      <c r="CB65" s="1189"/>
      <c r="CC65" s="1189"/>
      <c r="CD65" s="1189"/>
      <c r="CE65" s="1189"/>
      <c r="CF65" s="1189"/>
      <c r="CG65" s="1189"/>
      <c r="CH65" s="1189"/>
      <c r="CI65" s="1189"/>
      <c r="CJ65" s="1189"/>
      <c r="CK65" s="1189"/>
      <c r="CL65" s="1189"/>
      <c r="CM65" s="1189"/>
      <c r="CN65" s="1189"/>
      <c r="CO65" s="1189"/>
      <c r="CP65" s="1189"/>
      <c r="CQ65" s="1189"/>
      <c r="CR65" s="1189"/>
      <c r="CS65" s="1189"/>
      <c r="CT65" s="1189"/>
      <c r="CU65" s="397"/>
      <c r="CV65" s="388"/>
      <c r="CW65" s="388"/>
      <c r="CX65" s="207"/>
      <c r="CY65" s="207"/>
      <c r="CZ65" s="207"/>
      <c r="DA65" s="207"/>
      <c r="DB65" s="207"/>
      <c r="DC65" s="15"/>
      <c r="DD65" s="16"/>
      <c r="DE65" s="16"/>
      <c r="DF65" s="16"/>
      <c r="DG65" s="16"/>
      <c r="DH65" s="16"/>
      <c r="DI65" s="1593"/>
      <c r="DJ65" s="1163"/>
      <c r="DK65" s="1163"/>
      <c r="DL65" s="81"/>
      <c r="DM65" s="160" t="str">
        <f>CONCATENATE(AB65,"-",AK65)</f>
        <v>-</v>
      </c>
      <c r="DN65" s="160" t="str">
        <f>IF(DM65="-","",ASC(DM65))</f>
        <v/>
      </c>
      <c r="DP65" s="211"/>
      <c r="DQ65" s="81"/>
      <c r="DS65" s="215"/>
      <c r="EB65" s="73" t="s">
        <v>2884</v>
      </c>
      <c r="EC65" s="1569" t="str">
        <f>IF($DS$58,DN39,DN65)</f>
        <v/>
      </c>
      <c r="ED65" s="1430" t="s">
        <v>2866</v>
      </c>
      <c r="EI65" s="73"/>
      <c r="FO65" s="596"/>
      <c r="GA65" s="81"/>
    </row>
    <row r="66" spans="1:183" s="82" customFormat="1" ht="27" customHeight="1" x14ac:dyDescent="0.15">
      <c r="A66" s="1201"/>
      <c r="B66" s="1201"/>
      <c r="C66" s="1201"/>
      <c r="D66" s="1201"/>
      <c r="E66" s="1202"/>
      <c r="F66" s="652"/>
      <c r="G66" s="652"/>
      <c r="H66" s="652"/>
      <c r="I66" s="1244"/>
      <c r="J66" s="1245"/>
      <c r="K66" s="1246"/>
      <c r="L66" s="1246"/>
      <c r="M66" s="2233" t="s">
        <v>222</v>
      </c>
      <c r="N66" s="2233"/>
      <c r="O66" s="2233"/>
      <c r="P66" s="2233"/>
      <c r="Q66" s="2233"/>
      <c r="R66" s="2233"/>
      <c r="S66" s="2233"/>
      <c r="T66" s="2233"/>
      <c r="U66" s="2233"/>
      <c r="V66" s="2233"/>
      <c r="W66" s="2233"/>
      <c r="X66" s="2233"/>
      <c r="Y66" s="2233"/>
      <c r="Z66" s="2233"/>
      <c r="AA66" s="2233"/>
      <c r="AB66" s="2234"/>
      <c r="AC66" s="2235"/>
      <c r="AD66" s="2235"/>
      <c r="AE66" s="2235"/>
      <c r="AF66" s="2235"/>
      <c r="AG66" s="2236"/>
      <c r="AH66" s="2236"/>
      <c r="AI66" s="2236"/>
      <c r="AJ66" s="2236"/>
      <c r="AK66" s="2236"/>
      <c r="AL66" s="2236"/>
      <c r="AM66" s="2236"/>
      <c r="AN66" s="2236"/>
      <c r="AO66" s="2236"/>
      <c r="AP66" s="2236"/>
      <c r="AQ66" s="2236"/>
      <c r="AR66" s="2236"/>
      <c r="AS66" s="2236"/>
      <c r="AT66" s="2236"/>
      <c r="AU66" s="2236"/>
      <c r="AV66" s="2236"/>
      <c r="AW66" s="2236"/>
      <c r="AX66" s="2236"/>
      <c r="AY66" s="2236"/>
      <c r="AZ66" s="2236"/>
      <c r="BA66" s="2236"/>
      <c r="BB66" s="2236"/>
      <c r="BC66" s="2236"/>
      <c r="BD66" s="2236"/>
      <c r="BE66" s="2236"/>
      <c r="BF66" s="2236"/>
      <c r="BG66" s="2236"/>
      <c r="BH66" s="2236"/>
      <c r="BI66" s="2236"/>
      <c r="BJ66" s="2236"/>
      <c r="BK66" s="2236"/>
      <c r="BL66" s="2236"/>
      <c r="BM66" s="2236"/>
      <c r="BN66" s="2236"/>
      <c r="BO66" s="2236"/>
      <c r="BP66" s="2236"/>
      <c r="BQ66" s="2236"/>
      <c r="BR66" s="2236"/>
      <c r="BS66" s="2236"/>
      <c r="BT66" s="2236"/>
      <c r="BU66" s="592"/>
      <c r="BV66" s="1189"/>
      <c r="BW66" s="1189"/>
      <c r="BX66" s="1189"/>
      <c r="BY66" s="1189"/>
      <c r="BZ66" s="1189"/>
      <c r="CA66" s="1189"/>
      <c r="CB66" s="1189"/>
      <c r="CC66" s="1189"/>
      <c r="CD66" s="1189"/>
      <c r="CE66" s="1189"/>
      <c r="CF66" s="1189"/>
      <c r="CG66" s="1189"/>
      <c r="CH66" s="1189"/>
      <c r="CI66" s="1189"/>
      <c r="CJ66" s="1189"/>
      <c r="CK66" s="1189"/>
      <c r="CL66" s="1189"/>
      <c r="CM66" s="1189"/>
      <c r="CN66" s="1189"/>
      <c r="CO66" s="1189"/>
      <c r="CP66" s="1189"/>
      <c r="CQ66" s="1189"/>
      <c r="CR66" s="1189"/>
      <c r="CS66" s="1189"/>
      <c r="CT66" s="1189"/>
      <c r="CU66" s="397"/>
      <c r="CV66" s="388"/>
      <c r="CW66" s="388"/>
      <c r="CX66" s="207"/>
      <c r="CY66" s="207"/>
      <c r="CZ66" s="207"/>
      <c r="DA66" s="207"/>
      <c r="DB66" s="207"/>
      <c r="DC66" s="15"/>
      <c r="DD66" s="16"/>
      <c r="DE66" s="16"/>
      <c r="DF66" s="16"/>
      <c r="DG66" s="16"/>
      <c r="DH66" s="16"/>
      <c r="DI66" s="1593"/>
      <c r="DJ66" s="1163"/>
      <c r="DK66" s="1163"/>
      <c r="DL66" s="81"/>
      <c r="DM66" s="161" t="s">
        <v>1646</v>
      </c>
      <c r="DN66" s="1942" t="s">
        <v>2865</v>
      </c>
      <c r="DO66" s="81"/>
      <c r="DP66" s="81"/>
      <c r="DQ66" s="81"/>
      <c r="DS66" s="215"/>
      <c r="EB66" s="73" t="s">
        <v>2886</v>
      </c>
      <c r="EC66" s="1569" t="str">
        <f>IF($DS$58,IF(AB40="","",AB40),IF(AB66="","",AB66))</f>
        <v/>
      </c>
      <c r="ED66" s="1430" t="s">
        <v>2899</v>
      </c>
      <c r="EI66" s="73"/>
      <c r="FO66" s="596"/>
      <c r="GA66" s="81"/>
    </row>
    <row r="67" spans="1:183" s="82" customFormat="1" ht="27" customHeight="1" thickBot="1" x14ac:dyDescent="0.2">
      <c r="A67" s="1201"/>
      <c r="B67" s="1201"/>
      <c r="C67" s="1201"/>
      <c r="D67" s="1201"/>
      <c r="E67" s="1202"/>
      <c r="F67" s="652"/>
      <c r="G67" s="652"/>
      <c r="H67" s="652"/>
      <c r="I67" s="1244"/>
      <c r="J67" s="1245"/>
      <c r="K67" s="1246"/>
      <c r="L67" s="1246"/>
      <c r="M67" s="2233" t="s">
        <v>1284</v>
      </c>
      <c r="N67" s="2233"/>
      <c r="O67" s="2233"/>
      <c r="P67" s="2233"/>
      <c r="Q67" s="2233"/>
      <c r="R67" s="2233"/>
      <c r="S67" s="2233"/>
      <c r="T67" s="2233"/>
      <c r="U67" s="2233"/>
      <c r="V67" s="2233"/>
      <c r="W67" s="2233"/>
      <c r="X67" s="2233"/>
      <c r="Y67" s="2233"/>
      <c r="Z67" s="2233"/>
      <c r="AA67" s="2233"/>
      <c r="AB67" s="2212"/>
      <c r="AC67" s="2212"/>
      <c r="AD67" s="2212"/>
      <c r="AE67" s="2212"/>
      <c r="AF67" s="2212"/>
      <c r="AG67" s="2212"/>
      <c r="AH67" s="2211" t="s">
        <v>2889</v>
      </c>
      <c r="AI67" s="2211"/>
      <c r="AJ67" s="2211"/>
      <c r="AK67" s="2212"/>
      <c r="AL67" s="2212"/>
      <c r="AM67" s="2212"/>
      <c r="AN67" s="2212"/>
      <c r="AO67" s="2212"/>
      <c r="AP67" s="2212"/>
      <c r="AQ67" s="2211" t="s">
        <v>2889</v>
      </c>
      <c r="AR67" s="2211"/>
      <c r="AS67" s="2211"/>
      <c r="AT67" s="2212"/>
      <c r="AU67" s="2212"/>
      <c r="AV67" s="2212"/>
      <c r="AW67" s="2212"/>
      <c r="AX67" s="2212"/>
      <c r="AY67" s="2212"/>
      <c r="AZ67" s="1236"/>
      <c r="BA67" s="1236"/>
      <c r="BB67" s="1236"/>
      <c r="BC67" s="1236"/>
      <c r="BD67" s="1236"/>
      <c r="BE67" s="1236"/>
      <c r="BF67" s="1236"/>
      <c r="BG67" s="1236"/>
      <c r="BH67" s="1236"/>
      <c r="BI67" s="1236"/>
      <c r="BJ67" s="1236"/>
      <c r="BK67" s="1236"/>
      <c r="BL67" s="1236"/>
      <c r="BM67" s="1236"/>
      <c r="BN67" s="1236"/>
      <c r="BO67" s="1236"/>
      <c r="BP67" s="1236"/>
      <c r="BQ67" s="1236"/>
      <c r="BR67" s="1236"/>
      <c r="BS67" s="1236"/>
      <c r="BT67" s="1236"/>
      <c r="BU67" s="592"/>
      <c r="BV67" s="424" t="s">
        <v>1912</v>
      </c>
      <c r="BW67" s="425" t="s">
        <v>1913</v>
      </c>
      <c r="BX67" s="1189"/>
      <c r="BY67" s="1189"/>
      <c r="BZ67" s="1189"/>
      <c r="CA67" s="1189"/>
      <c r="CB67" s="1189"/>
      <c r="CC67" s="1189"/>
      <c r="CD67" s="1189"/>
      <c r="CE67" s="1189"/>
      <c r="CF67" s="1189"/>
      <c r="CG67" s="1189"/>
      <c r="CH67" s="1189"/>
      <c r="CI67" s="1189"/>
      <c r="CJ67" s="1189"/>
      <c r="CK67" s="1189"/>
      <c r="CL67" s="1189"/>
      <c r="CM67" s="1189"/>
      <c r="CN67" s="1189"/>
      <c r="CO67" s="1189"/>
      <c r="CP67" s="1189"/>
      <c r="CQ67" s="1189"/>
      <c r="CR67" s="1189"/>
      <c r="CS67" s="1189"/>
      <c r="CT67" s="1189"/>
      <c r="CU67" s="397"/>
      <c r="CV67" s="388"/>
      <c r="CW67" s="388"/>
      <c r="CX67" s="207"/>
      <c r="CY67" s="207"/>
      <c r="CZ67" s="207"/>
      <c r="DA67" s="207"/>
      <c r="DB67" s="207"/>
      <c r="DC67" s="15"/>
      <c r="DD67" s="16"/>
      <c r="DE67" s="16"/>
      <c r="DF67" s="16"/>
      <c r="DG67" s="16"/>
      <c r="DH67" s="16"/>
      <c r="DI67" s="1593"/>
      <c r="DJ67" s="1163"/>
      <c r="DK67" s="1163"/>
      <c r="DL67" s="81"/>
      <c r="DM67" s="160" t="str">
        <f>CONCATENATE(AB67,"-",AK67,"-",AT67)</f>
        <v>--</v>
      </c>
      <c r="DN67" s="160" t="str">
        <f>IF(DM67="--","",ASC(DM67))</f>
        <v/>
      </c>
      <c r="DP67" s="211"/>
      <c r="DQ67" s="211"/>
      <c r="DS67" s="215"/>
      <c r="EB67" s="215" t="s">
        <v>2885</v>
      </c>
      <c r="EC67" s="1570" t="str">
        <f>IF($DS$58,DN41,DN67)</f>
        <v/>
      </c>
      <c r="ED67" s="1430" t="s">
        <v>2867</v>
      </c>
      <c r="EI67" s="73"/>
      <c r="FO67" s="596"/>
      <c r="GA67" s="81"/>
    </row>
    <row r="68" spans="1:183" ht="27" customHeight="1" thickBot="1" x14ac:dyDescent="0.2">
      <c r="A68" s="1201"/>
      <c r="B68" s="1201"/>
      <c r="C68" s="1201"/>
      <c r="D68" s="1201"/>
      <c r="E68" s="1202"/>
      <c r="J68" s="1247"/>
      <c r="K68" s="624"/>
      <c r="L68" s="624"/>
      <c r="M68" s="2341" t="s">
        <v>2198</v>
      </c>
      <c r="N68" s="2341"/>
      <c r="O68" s="2341"/>
      <c r="P68" s="2341"/>
      <c r="Q68" s="2341"/>
      <c r="R68" s="2341"/>
      <c r="S68" s="2341"/>
      <c r="T68" s="2341"/>
      <c r="U68" s="2341"/>
      <c r="V68" s="2341"/>
      <c r="W68" s="2341"/>
      <c r="X68" s="2341"/>
      <c r="Y68" s="2341"/>
      <c r="Z68" s="2341"/>
      <c r="AA68" s="2341"/>
      <c r="AB68" s="2619"/>
      <c r="AC68" s="2619"/>
      <c r="AD68" s="2619"/>
      <c r="AE68" s="2619"/>
      <c r="AF68" s="2619"/>
      <c r="AG68" s="2619"/>
      <c r="AH68" s="2619"/>
      <c r="AI68" s="2619"/>
      <c r="AJ68" s="2619"/>
      <c r="AK68" s="2619"/>
      <c r="AL68" s="2619"/>
      <c r="AM68" s="2619"/>
      <c r="AN68" s="2619"/>
      <c r="AO68" s="2619"/>
      <c r="AP68" s="2619"/>
      <c r="AQ68" s="2619"/>
      <c r="AR68" s="2619"/>
      <c r="AS68" s="2619"/>
      <c r="AT68" s="2619"/>
      <c r="AU68" s="2619"/>
      <c r="AV68" s="2619"/>
      <c r="AW68" s="2619"/>
      <c r="AX68" s="2619"/>
      <c r="AY68" s="2619"/>
      <c r="AZ68" s="2619"/>
      <c r="BA68" s="2619"/>
      <c r="BB68" s="2619"/>
      <c r="BC68" s="2619"/>
      <c r="BD68" s="2619"/>
      <c r="BE68" s="2619"/>
      <c r="BF68" s="2619"/>
      <c r="BG68" s="2619"/>
      <c r="BH68" s="2619"/>
      <c r="BI68" s="2619"/>
      <c r="BJ68" s="2619"/>
      <c r="BK68" s="2619"/>
      <c r="BL68" s="2619"/>
      <c r="BM68" s="2619"/>
      <c r="BN68" s="2619"/>
      <c r="BO68" s="2619"/>
      <c r="BP68" s="2619"/>
      <c r="BQ68" s="2619"/>
      <c r="BR68" s="2619"/>
      <c r="BS68" s="2619"/>
      <c r="BT68" s="2619"/>
      <c r="BU68" s="585"/>
      <c r="BV68" s="1175" t="s">
        <v>1844</v>
      </c>
      <c r="BW68" s="2796" t="s">
        <v>2186</v>
      </c>
      <c r="BX68" s="2796"/>
      <c r="BY68" s="2796"/>
      <c r="BZ68" s="2796"/>
      <c r="CA68" s="2796"/>
      <c r="CB68" s="2796"/>
      <c r="CC68" s="2796"/>
      <c r="CD68" s="2796"/>
      <c r="CE68" s="2796"/>
      <c r="CF68" s="2796"/>
      <c r="CG68" s="2796"/>
      <c r="CH68" s="2796"/>
      <c r="CI68" s="2796"/>
      <c r="CJ68" s="2796"/>
      <c r="CK68" s="2796"/>
      <c r="CL68" s="2796"/>
      <c r="CM68" s="2796"/>
      <c r="CN68" s="2796"/>
      <c r="CO68" s="2796"/>
      <c r="CP68" s="2796"/>
      <c r="CQ68" s="2796"/>
      <c r="CR68" s="2796"/>
      <c r="CS68" s="2796"/>
      <c r="CT68" s="1175"/>
      <c r="CU68" s="1176"/>
      <c r="DD68" s="16"/>
      <c r="DE68" s="16"/>
      <c r="DF68" s="16"/>
      <c r="DG68" s="16"/>
      <c r="DH68" s="16"/>
      <c r="DI68" s="1593"/>
      <c r="DJ68" s="1163"/>
      <c r="EB68" s="215" t="s">
        <v>3091</v>
      </c>
      <c r="EC68" s="1570" t="str">
        <f>IF(AB68="","",AB68)</f>
        <v/>
      </c>
      <c r="ED68" s="1430" t="s">
        <v>3090</v>
      </c>
      <c r="EG68" s="73"/>
      <c r="EH68" s="73"/>
      <c r="EI68" s="73"/>
      <c r="EJ68" s="73"/>
      <c r="EK68" s="73"/>
      <c r="FV68" s="73"/>
      <c r="FW68" s="73"/>
      <c r="FX68" s="73"/>
      <c r="FY68" s="73"/>
      <c r="FZ68" s="73"/>
    </row>
    <row r="69" spans="1:183" ht="19.5" customHeight="1" x14ac:dyDescent="0.15">
      <c r="A69" s="1201"/>
      <c r="B69" s="1201"/>
      <c r="C69" s="1201"/>
      <c r="D69" s="1201"/>
      <c r="E69" s="1202"/>
      <c r="M69" s="1401"/>
      <c r="N69" s="1401"/>
      <c r="O69" s="1401"/>
      <c r="P69" s="1401"/>
      <c r="Q69" s="1401"/>
      <c r="R69" s="1401"/>
      <c r="S69" s="1401"/>
      <c r="T69" s="1401"/>
      <c r="U69" s="1401"/>
      <c r="V69" s="1401"/>
      <c r="W69" s="1401"/>
      <c r="X69" s="1401"/>
      <c r="Y69" s="1401"/>
      <c r="Z69" s="1401"/>
      <c r="AA69" s="1401"/>
      <c r="AB69" s="1405"/>
      <c r="AC69" s="1405"/>
      <c r="AD69" s="1405"/>
      <c r="AE69" s="1405"/>
      <c r="AF69" s="1405"/>
      <c r="AG69" s="1405"/>
      <c r="AH69" s="1405"/>
      <c r="AI69" s="1405"/>
      <c r="AJ69" s="1405"/>
      <c r="AK69" s="1405"/>
      <c r="AL69" s="1405"/>
      <c r="AM69" s="1405"/>
      <c r="AN69" s="1405"/>
      <c r="AO69" s="1405"/>
      <c r="AP69" s="1405"/>
      <c r="AQ69" s="1405"/>
      <c r="AR69" s="1405"/>
      <c r="AS69" s="1405"/>
      <c r="AT69" s="1405"/>
      <c r="AU69" s="1405"/>
      <c r="AV69" s="1405"/>
      <c r="AW69" s="1405"/>
      <c r="AX69" s="1405"/>
      <c r="AY69" s="1405"/>
      <c r="AZ69" s="1405"/>
      <c r="BA69" s="1405"/>
      <c r="BB69" s="1405"/>
      <c r="BC69" s="1405"/>
      <c r="BD69" s="1405"/>
      <c r="BE69" s="1405"/>
      <c r="BF69" s="1405"/>
      <c r="BG69" s="1405"/>
      <c r="BH69" s="1405"/>
      <c r="BI69" s="1405"/>
      <c r="BJ69" s="1405"/>
      <c r="BK69" s="1405"/>
      <c r="BL69" s="1405"/>
      <c r="BM69" s="1405"/>
      <c r="BN69" s="1405"/>
      <c r="BO69" s="1405"/>
      <c r="BP69" s="1405"/>
      <c r="BQ69" s="1405"/>
      <c r="BR69" s="1405"/>
      <c r="BS69" s="1405"/>
      <c r="BT69" s="1405"/>
      <c r="BU69" s="1411"/>
      <c r="BV69" s="401"/>
      <c r="BW69" s="1412"/>
      <c r="BX69" s="1412"/>
      <c r="BY69" s="1412"/>
      <c r="BZ69" s="1412"/>
      <c r="CA69" s="1412"/>
      <c r="CB69" s="1412"/>
      <c r="CC69" s="1412"/>
      <c r="CD69" s="1412"/>
      <c r="CE69" s="1412"/>
      <c r="CF69" s="1412"/>
      <c r="CG69" s="1412"/>
      <c r="CH69" s="1412"/>
      <c r="CI69" s="1412"/>
      <c r="CJ69" s="1412"/>
      <c r="CK69" s="1412"/>
      <c r="CL69" s="1412"/>
      <c r="CM69" s="1412"/>
      <c r="CN69" s="1412"/>
      <c r="CO69" s="1412"/>
      <c r="CP69" s="1412"/>
      <c r="CQ69" s="1412"/>
      <c r="CR69" s="1412"/>
      <c r="CS69" s="1412"/>
      <c r="CT69" s="401"/>
      <c r="CU69" s="401"/>
      <c r="DD69" s="16"/>
      <c r="DE69" s="16"/>
      <c r="DF69" s="16"/>
      <c r="DG69" s="16"/>
      <c r="DH69" s="16"/>
      <c r="DI69" s="1593"/>
      <c r="DJ69" s="1163"/>
      <c r="EG69" s="73"/>
      <c r="EH69" s="73"/>
      <c r="EI69" s="73"/>
      <c r="EJ69" s="73"/>
      <c r="EK69" s="73"/>
      <c r="FV69" s="73"/>
      <c r="FW69" s="73"/>
      <c r="FX69" s="73"/>
      <c r="FY69" s="73"/>
      <c r="FZ69" s="73"/>
    </row>
    <row r="70" spans="1:183" ht="2.1" customHeight="1" x14ac:dyDescent="0.15">
      <c r="A70" s="1201"/>
      <c r="B70" s="1201"/>
      <c r="C70" s="1201"/>
      <c r="D70" s="1201"/>
      <c r="E70" s="1202"/>
      <c r="BU70" s="578"/>
      <c r="DD70" s="16"/>
      <c r="DE70" s="16"/>
      <c r="DF70" s="16"/>
      <c r="DG70" s="16"/>
      <c r="DH70" s="16"/>
      <c r="DI70" s="1593"/>
      <c r="DJ70" s="1163"/>
      <c r="EG70" s="73"/>
      <c r="EH70" s="73"/>
      <c r="EI70" s="73"/>
      <c r="EJ70" s="73"/>
      <c r="EK70" s="73"/>
      <c r="FV70" s="73"/>
      <c r="FW70" s="73"/>
      <c r="FX70" s="73"/>
      <c r="FY70" s="73"/>
      <c r="FZ70" s="73"/>
    </row>
    <row r="71" spans="1:183" ht="2.1" customHeight="1" thickBot="1" x14ac:dyDescent="0.2">
      <c r="A71" s="1201"/>
      <c r="B71" s="1201"/>
      <c r="C71" s="1201"/>
      <c r="D71" s="1201"/>
      <c r="E71" s="1202"/>
      <c r="BU71" s="578"/>
      <c r="DD71" s="16"/>
      <c r="DE71" s="16"/>
      <c r="DF71" s="16"/>
      <c r="DG71" s="16"/>
      <c r="DH71" s="16"/>
      <c r="DI71" s="1593"/>
      <c r="DJ71" s="1163"/>
      <c r="EG71" s="73"/>
      <c r="EH71" s="73"/>
      <c r="EI71" s="73"/>
      <c r="EJ71" s="73"/>
      <c r="EK71" s="73"/>
      <c r="FV71" s="73"/>
      <c r="FW71" s="73"/>
      <c r="FX71" s="73"/>
      <c r="FY71" s="73"/>
      <c r="FZ71" s="73"/>
    </row>
    <row r="72" spans="1:183" s="80" customFormat="1" ht="35.1" customHeight="1" thickBot="1" x14ac:dyDescent="0.6">
      <c r="A72" s="1201"/>
      <c r="B72" s="1201"/>
      <c r="C72" s="1201"/>
      <c r="D72" s="1201"/>
      <c r="E72" s="1202"/>
      <c r="F72" s="652"/>
      <c r="G72" s="652"/>
      <c r="H72" s="652"/>
      <c r="I72" s="1214"/>
      <c r="J72" s="2156" t="s">
        <v>964</v>
      </c>
      <c r="K72" s="2157"/>
      <c r="L72" s="2157"/>
      <c r="M72" s="2157"/>
      <c r="N72" s="2157"/>
      <c r="O72" s="2157"/>
      <c r="P72" s="2157"/>
      <c r="Q72" s="2157"/>
      <c r="R72" s="2157"/>
      <c r="S72" s="2157"/>
      <c r="T72" s="2157"/>
      <c r="U72" s="2157"/>
      <c r="V72" s="2157"/>
      <c r="W72" s="2157"/>
      <c r="X72" s="2157"/>
      <c r="Y72" s="2157"/>
      <c r="Z72" s="2157"/>
      <c r="AA72" s="2157"/>
      <c r="AB72" s="2157"/>
      <c r="AC72" s="2157"/>
      <c r="AD72" s="2157"/>
      <c r="AE72" s="2157"/>
      <c r="AF72" s="2157"/>
      <c r="AG72" s="2157"/>
      <c r="AH72" s="2157"/>
      <c r="AI72" s="2157"/>
      <c r="AJ72" s="2157"/>
      <c r="AK72" s="2157"/>
      <c r="AL72" s="2157"/>
      <c r="AM72" s="2157"/>
      <c r="AN72" s="2157"/>
      <c r="AO72" s="2157"/>
      <c r="AP72" s="2157"/>
      <c r="AQ72" s="2157"/>
      <c r="AR72" s="2157"/>
      <c r="AS72" s="2157"/>
      <c r="AT72" s="2157"/>
      <c r="AU72" s="2157"/>
      <c r="AV72" s="2157"/>
      <c r="AW72" s="2157"/>
      <c r="AX72" s="2157"/>
      <c r="AY72" s="2157"/>
      <c r="AZ72" s="2157"/>
      <c r="BA72" s="2157"/>
      <c r="BB72" s="2157"/>
      <c r="BC72" s="2157"/>
      <c r="BD72" s="2157"/>
      <c r="BE72" s="2157"/>
      <c r="BF72" s="2157"/>
      <c r="BG72" s="2157"/>
      <c r="BH72" s="2155" t="s">
        <v>2863</v>
      </c>
      <c r="BI72" s="2155"/>
      <c r="BJ72" s="2155"/>
      <c r="BK72" s="2155"/>
      <c r="BL72" s="2155"/>
      <c r="BM72" s="2155"/>
      <c r="BN72" s="2155"/>
      <c r="BO72" s="2155"/>
      <c r="BP72" s="2155"/>
      <c r="BQ72" s="2155"/>
      <c r="BR72" s="2155"/>
      <c r="BS72" s="2155"/>
      <c r="BT72" s="2155"/>
      <c r="BU72" s="581"/>
      <c r="BV72" s="581"/>
      <c r="BW72" s="581"/>
      <c r="BX72" s="581"/>
      <c r="BY72" s="400"/>
      <c r="BZ72" s="400"/>
      <c r="CA72" s="400"/>
      <c r="CB72" s="400"/>
      <c r="CC72" s="400"/>
      <c r="CD72" s="400"/>
      <c r="CE72" s="400"/>
      <c r="CF72" s="400"/>
      <c r="CG72" s="400"/>
      <c r="CH72" s="400"/>
      <c r="CI72" s="400"/>
      <c r="CJ72" s="400"/>
      <c r="CK72" s="400"/>
      <c r="CL72" s="400"/>
      <c r="CM72" s="400"/>
      <c r="CN72" s="1191"/>
      <c r="CO72" s="1191"/>
      <c r="CP72" s="1191"/>
      <c r="CQ72" s="1191"/>
      <c r="CR72" s="1191"/>
      <c r="CS72" s="1191"/>
      <c r="CT72" s="1191"/>
      <c r="CU72" s="390"/>
      <c r="CV72" s="1248"/>
      <c r="CW72" s="1248"/>
      <c r="CX72" s="324"/>
      <c r="CY72" s="324"/>
      <c r="CZ72" s="324"/>
      <c r="DA72" s="324"/>
      <c r="DB72" s="324"/>
      <c r="DC72" s="328"/>
      <c r="DD72" s="324"/>
      <c r="DE72" s="16"/>
      <c r="DF72" s="84"/>
      <c r="DG72" s="84"/>
      <c r="DH72" s="84"/>
      <c r="DI72" s="1593"/>
      <c r="DJ72" s="1166"/>
      <c r="DK72" s="1163"/>
      <c r="DL72" s="79"/>
      <c r="DM72" s="1436" t="str">
        <f>J72</f>
        <v>５　代表となる調査者</v>
      </c>
      <c r="DN72" s="156"/>
      <c r="DO72" s="79"/>
      <c r="DP72" s="79"/>
      <c r="DQ72" s="79"/>
      <c r="EG72" s="73"/>
      <c r="EH72" s="73"/>
      <c r="EI72" s="73"/>
      <c r="EJ72" s="73"/>
      <c r="EK72" s="73"/>
      <c r="FO72" s="582"/>
      <c r="FV72" s="73"/>
      <c r="FW72" s="73"/>
      <c r="FX72" s="73"/>
      <c r="FY72" s="73"/>
      <c r="FZ72" s="73"/>
      <c r="GA72" s="79"/>
    </row>
    <row r="73" spans="1:183" s="78" customFormat="1" ht="27" customHeight="1" thickBot="1" x14ac:dyDescent="0.2">
      <c r="A73" s="1201"/>
      <c r="B73" s="1201"/>
      <c r="C73" s="1201"/>
      <c r="D73" s="1201"/>
      <c r="E73" s="1202"/>
      <c r="F73" s="652"/>
      <c r="G73" s="652"/>
      <c r="H73" s="652"/>
      <c r="I73" s="1249"/>
      <c r="J73" s="1215"/>
      <c r="K73" s="1216"/>
      <c r="L73" s="1216"/>
      <c r="M73" s="2237" t="s">
        <v>887</v>
      </c>
      <c r="N73" s="2237"/>
      <c r="O73" s="2237"/>
      <c r="P73" s="2237"/>
      <c r="Q73" s="2237"/>
      <c r="R73" s="2237"/>
      <c r="S73" s="2231" t="s">
        <v>1019</v>
      </c>
      <c r="T73" s="2232"/>
      <c r="U73" s="2232"/>
      <c r="V73" s="2232"/>
      <c r="W73" s="2232"/>
      <c r="X73" s="2232"/>
      <c r="Y73" s="2232"/>
      <c r="Z73" s="2232"/>
      <c r="AA73" s="2232"/>
      <c r="AB73" s="2137"/>
      <c r="AC73" s="2138"/>
      <c r="AD73" s="2138"/>
      <c r="AE73" s="2138"/>
      <c r="AF73" s="2138"/>
      <c r="AG73" s="2138"/>
      <c r="AH73" s="2138"/>
      <c r="AI73" s="2138"/>
      <c r="AJ73" s="2138"/>
      <c r="AK73" s="2138"/>
      <c r="AL73" s="2138"/>
      <c r="AM73" s="2138"/>
      <c r="AN73" s="2138"/>
      <c r="AO73" s="2138"/>
      <c r="AP73" s="2138"/>
      <c r="AQ73" s="1250"/>
      <c r="AR73" s="1250"/>
      <c r="AS73" s="1250"/>
      <c r="AT73" s="1250"/>
      <c r="AU73" s="1250"/>
      <c r="AV73" s="1250"/>
      <c r="AW73" s="1250"/>
      <c r="AX73" s="1250"/>
      <c r="AY73" s="1250"/>
      <c r="AZ73" s="1251"/>
      <c r="BA73" s="1250"/>
      <c r="BB73" s="1250"/>
      <c r="BC73" s="1250"/>
      <c r="BD73" s="1250"/>
      <c r="BE73" s="1250"/>
      <c r="BF73" s="1250"/>
      <c r="BG73" s="1250"/>
      <c r="BH73" s="1250"/>
      <c r="BI73" s="1250"/>
      <c r="BJ73" s="1250"/>
      <c r="BK73" s="1250"/>
      <c r="BL73" s="1250"/>
      <c r="BM73" s="1250"/>
      <c r="BN73" s="1250"/>
      <c r="BO73" s="1250"/>
      <c r="BP73" s="1250"/>
      <c r="BQ73" s="1250"/>
      <c r="BR73" s="1250"/>
      <c r="BS73" s="1250"/>
      <c r="BT73" s="1250"/>
      <c r="BU73" s="584"/>
      <c r="BV73" s="584"/>
      <c r="BW73" s="2144" t="s">
        <v>3353</v>
      </c>
      <c r="BX73" s="2144"/>
      <c r="BY73" s="2144"/>
      <c r="BZ73" s="2144"/>
      <c r="CA73" s="2144"/>
      <c r="CB73" s="2144"/>
      <c r="CC73" s="2144"/>
      <c r="CD73" s="2144"/>
      <c r="CE73" s="2144"/>
      <c r="CF73" s="2144"/>
      <c r="CG73" s="2144"/>
      <c r="CH73" s="2144"/>
      <c r="CI73" s="2144"/>
      <c r="CJ73" s="2144"/>
      <c r="CK73" s="2144"/>
      <c r="CL73" s="2144"/>
      <c r="CM73" s="2144"/>
      <c r="CN73" s="2144"/>
      <c r="CO73" s="2144"/>
      <c r="CP73" s="2144"/>
      <c r="CQ73" s="2144"/>
      <c r="CR73" s="2144"/>
      <c r="CS73" s="2144"/>
      <c r="CT73" s="1181"/>
      <c r="CU73" s="1185"/>
      <c r="CV73" s="1252"/>
      <c r="CW73" s="1252"/>
      <c r="CX73" s="599"/>
      <c r="CY73" s="599"/>
      <c r="CZ73" s="599"/>
      <c r="DA73" s="599"/>
      <c r="DB73" s="599"/>
      <c r="DC73" s="195"/>
      <c r="DD73" s="599"/>
      <c r="DE73" s="599"/>
      <c r="DF73" s="600"/>
      <c r="DG73" s="600"/>
      <c r="DH73" s="600"/>
      <c r="DI73" s="1593"/>
      <c r="DJ73" s="1167"/>
      <c r="DK73" s="1163"/>
      <c r="DL73" s="77"/>
      <c r="DM73" s="83">
        <f>IF(AB73="",0,IF(AB73="特定建築物調査員",1,2))</f>
        <v>0</v>
      </c>
      <c r="DN73" s="1161" t="s">
        <v>2871</v>
      </c>
      <c r="DO73" s="77"/>
      <c r="DP73" s="77"/>
      <c r="DR73" s="78" t="s">
        <v>2950</v>
      </c>
      <c r="DS73" s="1690" t="str">
        <f>IF(DM73=2,LEFT($AB$73,2),"")</f>
        <v/>
      </c>
      <c r="DT73" s="1430" t="s">
        <v>2870</v>
      </c>
      <c r="DU73" s="73"/>
      <c r="FO73" s="579"/>
      <c r="GA73" s="77"/>
    </row>
    <row r="74" spans="1:183" s="84" customFormat="1" ht="27" customHeight="1" thickBot="1" x14ac:dyDescent="0.2">
      <c r="A74" s="1201"/>
      <c r="B74" s="1201"/>
      <c r="C74" s="1201"/>
      <c r="D74" s="1201"/>
      <c r="E74" s="1202"/>
      <c r="F74" s="652"/>
      <c r="G74" s="652"/>
      <c r="H74" s="652"/>
      <c r="I74" s="1233"/>
      <c r="J74" s="1234"/>
      <c r="K74" s="1235"/>
      <c r="L74" s="1235"/>
      <c r="M74" s="2182"/>
      <c r="N74" s="2182"/>
      <c r="O74" s="2182"/>
      <c r="P74" s="2182"/>
      <c r="Q74" s="2182"/>
      <c r="R74" s="2182"/>
      <c r="S74" s="2181" t="s">
        <v>666</v>
      </c>
      <c r="T74" s="2602"/>
      <c r="U74" s="2602"/>
      <c r="V74" s="2602"/>
      <c r="W74" s="2602"/>
      <c r="X74" s="2602"/>
      <c r="Y74" s="1253"/>
      <c r="Z74" s="2139"/>
      <c r="AA74" s="2139"/>
      <c r="AB74" s="2201"/>
      <c r="AC74" s="2163"/>
      <c r="AD74" s="2163"/>
      <c r="AE74" s="2163"/>
      <c r="AF74" s="2163"/>
      <c r="AG74" s="2163"/>
      <c r="AH74" s="2163"/>
      <c r="AI74" s="2163"/>
      <c r="AJ74" s="2163"/>
      <c r="AK74" s="2163"/>
      <c r="AL74" s="2163"/>
      <c r="AM74" s="2163"/>
      <c r="AN74" s="2163"/>
      <c r="AO74" s="2163"/>
      <c r="AP74" s="2163"/>
      <c r="AQ74" s="1216" t="s">
        <v>652</v>
      </c>
      <c r="AR74" s="1216"/>
      <c r="AS74" s="1235"/>
      <c r="AT74" s="1235"/>
      <c r="AU74" s="1235"/>
      <c r="AV74" s="1235"/>
      <c r="AW74" s="1235"/>
      <c r="AX74" s="1235"/>
      <c r="AY74" s="1235"/>
      <c r="AZ74" s="1235"/>
      <c r="BA74" s="1235"/>
      <c r="BB74" s="1235"/>
      <c r="BC74" s="1235"/>
      <c r="BD74" s="1235"/>
      <c r="BE74" s="1235"/>
      <c r="BF74" s="1235"/>
      <c r="BG74" s="1235"/>
      <c r="BH74" s="1235"/>
      <c r="BI74" s="1235"/>
      <c r="BJ74" s="1235"/>
      <c r="BK74" s="1235"/>
      <c r="BL74" s="1235"/>
      <c r="BM74" s="1235"/>
      <c r="BN74" s="1235"/>
      <c r="BO74" s="1235"/>
      <c r="BP74" s="1235"/>
      <c r="BQ74" s="1235"/>
      <c r="BR74" s="1235"/>
      <c r="BS74" s="1235"/>
      <c r="BT74" s="1235"/>
      <c r="BU74" s="1181"/>
      <c r="BV74" s="1181"/>
      <c r="BW74" s="2144"/>
      <c r="BX74" s="2144"/>
      <c r="BY74" s="2144"/>
      <c r="BZ74" s="2144"/>
      <c r="CA74" s="2144"/>
      <c r="CB74" s="2144"/>
      <c r="CC74" s="2144"/>
      <c r="CD74" s="2144"/>
      <c r="CE74" s="2144"/>
      <c r="CF74" s="2144"/>
      <c r="CG74" s="2144"/>
      <c r="CH74" s="2144"/>
      <c r="CI74" s="2144"/>
      <c r="CJ74" s="2144"/>
      <c r="CK74" s="2144"/>
      <c r="CL74" s="2144"/>
      <c r="CM74" s="2144"/>
      <c r="CN74" s="2144"/>
      <c r="CO74" s="2144"/>
      <c r="CP74" s="2144"/>
      <c r="CQ74" s="2144"/>
      <c r="CR74" s="2144"/>
      <c r="CS74" s="2144"/>
      <c r="CT74" s="1181"/>
      <c r="CU74" s="1185"/>
      <c r="CV74" s="1199"/>
      <c r="CW74" s="1199"/>
      <c r="CX74" s="16"/>
      <c r="CY74" s="16"/>
      <c r="CZ74" s="16"/>
      <c r="DA74" s="16"/>
      <c r="DB74" s="16"/>
      <c r="DC74" s="15"/>
      <c r="DD74" s="16"/>
      <c r="DE74" s="16"/>
      <c r="DI74" s="1593"/>
      <c r="DJ74" s="1166"/>
      <c r="DK74" s="1163"/>
      <c r="DL74" s="16"/>
      <c r="DM74" s="148">
        <f>IF(OR($AB$73="一級建築士",$AB$73="二級建築士"),1,0)</f>
        <v>0</v>
      </c>
      <c r="DN74" s="1161" t="s">
        <v>2879</v>
      </c>
      <c r="DO74" s="16"/>
      <c r="DP74" s="16"/>
      <c r="DQ74" s="16"/>
      <c r="DR74" s="84" t="s">
        <v>2901</v>
      </c>
      <c r="DS74" s="1667" t="str">
        <f>IF($AB$74="","",$AB$74)</f>
        <v/>
      </c>
      <c r="DT74" s="1430" t="s">
        <v>2870</v>
      </c>
      <c r="DU74" s="73"/>
      <c r="EG74" s="78"/>
      <c r="EH74" s="78"/>
      <c r="EI74" s="78"/>
      <c r="EJ74" s="78"/>
      <c r="EK74" s="78"/>
      <c r="FO74" s="601"/>
      <c r="FV74" s="78"/>
      <c r="FW74" s="78"/>
      <c r="FX74" s="78"/>
      <c r="FY74" s="78"/>
      <c r="FZ74" s="78"/>
      <c r="GA74" s="16"/>
    </row>
    <row r="75" spans="1:183" s="84" customFormat="1" ht="27" customHeight="1" thickBot="1" x14ac:dyDescent="0.2">
      <c r="A75" s="1201"/>
      <c r="B75" s="1201"/>
      <c r="C75" s="1201"/>
      <c r="D75" s="1201"/>
      <c r="E75" s="1202"/>
      <c r="F75" s="652"/>
      <c r="G75" s="652"/>
      <c r="H75" s="652"/>
      <c r="I75" s="1233"/>
      <c r="J75" s="1234"/>
      <c r="K75" s="1235"/>
      <c r="L75" s="1235"/>
      <c r="M75" s="2182"/>
      <c r="N75" s="2182"/>
      <c r="O75" s="2182"/>
      <c r="P75" s="2182"/>
      <c r="Q75" s="2182"/>
      <c r="R75" s="2182"/>
      <c r="S75" s="2627"/>
      <c r="T75" s="2627"/>
      <c r="U75" s="2627"/>
      <c r="V75" s="2627"/>
      <c r="W75" s="2627"/>
      <c r="X75" s="2627"/>
      <c r="Y75" s="1254"/>
      <c r="Z75" s="2184" t="s">
        <v>888</v>
      </c>
      <c r="AA75" s="2184"/>
      <c r="AB75" s="2162"/>
      <c r="AC75" s="2163"/>
      <c r="AD75" s="2163"/>
      <c r="AE75" s="2163"/>
      <c r="AF75" s="2163"/>
      <c r="AG75" s="2163"/>
      <c r="AH75" s="2163"/>
      <c r="AI75" s="2163"/>
      <c r="AJ75" s="2163"/>
      <c r="AK75" s="2163"/>
      <c r="AL75" s="2163"/>
      <c r="AM75" s="2163"/>
      <c r="AN75" s="2163"/>
      <c r="AO75" s="2163"/>
      <c r="AP75" s="2163"/>
      <c r="AQ75" s="1216" t="s">
        <v>4</v>
      </c>
      <c r="AR75" s="1216"/>
      <c r="AS75" s="1235"/>
      <c r="AT75" s="1235"/>
      <c r="AU75" s="1235"/>
      <c r="AV75" s="1235"/>
      <c r="AW75" s="1235"/>
      <c r="AX75" s="1235"/>
      <c r="AY75" s="1235"/>
      <c r="AZ75" s="1235"/>
      <c r="BA75" s="1235"/>
      <c r="BB75" s="1235"/>
      <c r="BC75" s="1235"/>
      <c r="BD75" s="1235"/>
      <c r="BE75" s="1235"/>
      <c r="BF75" s="1235"/>
      <c r="BG75" s="1235"/>
      <c r="BH75" s="1235"/>
      <c r="BI75" s="1235"/>
      <c r="BJ75" s="1235"/>
      <c r="BK75" s="1235"/>
      <c r="BL75" s="1235"/>
      <c r="BM75" s="1235"/>
      <c r="BN75" s="1235"/>
      <c r="BO75" s="1235"/>
      <c r="BP75" s="1235"/>
      <c r="BQ75" s="1235"/>
      <c r="BR75" s="1235"/>
      <c r="BS75" s="1235"/>
      <c r="BT75" s="1235"/>
      <c r="BU75" s="1181"/>
      <c r="BV75" s="1187"/>
      <c r="BW75" s="2144"/>
      <c r="BX75" s="2144"/>
      <c r="BY75" s="2144"/>
      <c r="BZ75" s="2144"/>
      <c r="CA75" s="2144"/>
      <c r="CB75" s="2144"/>
      <c r="CC75" s="2144"/>
      <c r="CD75" s="2144"/>
      <c r="CE75" s="2144"/>
      <c r="CF75" s="2144"/>
      <c r="CG75" s="2144"/>
      <c r="CH75" s="2144"/>
      <c r="CI75" s="2144"/>
      <c r="CJ75" s="2144"/>
      <c r="CK75" s="2144"/>
      <c r="CL75" s="2144"/>
      <c r="CM75" s="2144"/>
      <c r="CN75" s="2144"/>
      <c r="CO75" s="2144"/>
      <c r="CP75" s="2144"/>
      <c r="CQ75" s="2144"/>
      <c r="CR75" s="2144"/>
      <c r="CS75" s="2144"/>
      <c r="CT75" s="1181"/>
      <c r="CU75" s="1185"/>
      <c r="CV75" s="1199"/>
      <c r="CW75" s="1199"/>
      <c r="CX75" s="16"/>
      <c r="CY75" s="16"/>
      <c r="CZ75" s="16"/>
      <c r="DA75" s="16"/>
      <c r="DB75" s="16"/>
      <c r="DC75" s="15"/>
      <c r="DD75" s="16"/>
      <c r="DE75" s="16"/>
      <c r="DF75" s="16"/>
      <c r="DG75" s="16"/>
      <c r="DH75" s="16"/>
      <c r="DI75" s="1593"/>
      <c r="DJ75" s="1163"/>
      <c r="DK75" s="1163"/>
      <c r="DL75" s="16"/>
      <c r="DM75" s="16"/>
      <c r="DN75" s="16"/>
      <c r="DO75" s="16"/>
      <c r="DP75" s="16"/>
      <c r="DQ75" s="16"/>
      <c r="DR75" s="84" t="s">
        <v>2903</v>
      </c>
      <c r="DS75" s="1667" t="str">
        <f>ASC(IF($AB$75="","",$AB$75))</f>
        <v/>
      </c>
      <c r="DT75" s="1430" t="s">
        <v>2870</v>
      </c>
      <c r="DU75" s="73"/>
      <c r="EG75" s="78"/>
      <c r="EH75" s="78"/>
      <c r="EI75" s="78"/>
      <c r="EJ75" s="78"/>
      <c r="EK75" s="78"/>
      <c r="FO75" s="601"/>
      <c r="FV75" s="78"/>
      <c r="FW75" s="78"/>
      <c r="FX75" s="78"/>
      <c r="FY75" s="78"/>
      <c r="FZ75" s="78"/>
      <c r="GA75" s="16"/>
    </row>
    <row r="76" spans="1:183" s="84" customFormat="1" ht="27" customHeight="1" thickBot="1" x14ac:dyDescent="0.2">
      <c r="A76" s="1201"/>
      <c r="B76" s="1201"/>
      <c r="C76" s="1201"/>
      <c r="D76" s="1201"/>
      <c r="E76" s="1202"/>
      <c r="F76" s="652"/>
      <c r="G76" s="652"/>
      <c r="H76" s="652"/>
      <c r="I76" s="1233"/>
      <c r="J76" s="1234"/>
      <c r="K76" s="1235"/>
      <c r="L76" s="1235"/>
      <c r="M76" s="2604"/>
      <c r="N76" s="2604"/>
      <c r="O76" s="2604"/>
      <c r="P76" s="2604"/>
      <c r="Q76" s="2604"/>
      <c r="R76" s="2604"/>
      <c r="S76" s="2338" t="s">
        <v>1094</v>
      </c>
      <c r="T76" s="2338"/>
      <c r="U76" s="2338"/>
      <c r="V76" s="2338"/>
      <c r="W76" s="2338"/>
      <c r="X76" s="2338"/>
      <c r="Y76" s="2338"/>
      <c r="Z76" s="2339" t="s">
        <v>888</v>
      </c>
      <c r="AA76" s="2339"/>
      <c r="AB76" s="2353"/>
      <c r="AC76" s="2190"/>
      <c r="AD76" s="2190"/>
      <c r="AE76" s="2190"/>
      <c r="AF76" s="2190"/>
      <c r="AG76" s="2190"/>
      <c r="AH76" s="2190"/>
      <c r="AI76" s="2190"/>
      <c r="AJ76" s="2190"/>
      <c r="AK76" s="2190"/>
      <c r="AL76" s="2190"/>
      <c r="AM76" s="2190"/>
      <c r="AN76" s="2190"/>
      <c r="AO76" s="2190"/>
      <c r="AP76" s="2190"/>
      <c r="AQ76" s="1255" t="s">
        <v>4</v>
      </c>
      <c r="AR76" s="1255"/>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6"/>
      <c r="BQ76" s="1256"/>
      <c r="BR76" s="1256"/>
      <c r="BS76" s="1256"/>
      <c r="BT76" s="1256"/>
      <c r="BU76" s="1181"/>
      <c r="BV76" s="1181"/>
      <c r="BW76" s="2144"/>
      <c r="BX76" s="2144"/>
      <c r="BY76" s="2144"/>
      <c r="BZ76" s="2144"/>
      <c r="CA76" s="2144"/>
      <c r="CB76" s="2144"/>
      <c r="CC76" s="2144"/>
      <c r="CD76" s="2144"/>
      <c r="CE76" s="2144"/>
      <c r="CF76" s="2144"/>
      <c r="CG76" s="2144"/>
      <c r="CH76" s="2144"/>
      <c r="CI76" s="2144"/>
      <c r="CJ76" s="2144"/>
      <c r="CK76" s="2144"/>
      <c r="CL76" s="2144"/>
      <c r="CM76" s="2144"/>
      <c r="CN76" s="2144"/>
      <c r="CO76" s="2144"/>
      <c r="CP76" s="2144"/>
      <c r="CQ76" s="2144"/>
      <c r="CR76" s="2144"/>
      <c r="CS76" s="2144"/>
      <c r="CT76" s="1181"/>
      <c r="CU76" s="1185"/>
      <c r="CV76" s="1199"/>
      <c r="CW76" s="1199"/>
      <c r="CX76" s="16"/>
      <c r="CY76" s="16"/>
      <c r="CZ76" s="16"/>
      <c r="DA76" s="16"/>
      <c r="DB76" s="16"/>
      <c r="DC76" s="15"/>
      <c r="DD76" s="16"/>
      <c r="DE76" s="16"/>
      <c r="DF76" s="16"/>
      <c r="DG76" s="16"/>
      <c r="DH76" s="16"/>
      <c r="DI76" s="1593"/>
      <c r="DJ76" s="1163"/>
      <c r="DK76" s="1163"/>
      <c r="DL76" s="16"/>
      <c r="DM76" s="10"/>
      <c r="DN76" s="16"/>
      <c r="DO76" s="16"/>
      <c r="DP76" s="16"/>
      <c r="DQ76" s="16"/>
      <c r="DR76" s="84" t="s">
        <v>2902</v>
      </c>
      <c r="DS76" s="1667" t="str">
        <f>IF($AB$76="","",$AB$76)</f>
        <v/>
      </c>
      <c r="DT76" s="1666" t="s">
        <v>2870</v>
      </c>
      <c r="DU76" s="214"/>
      <c r="EG76" s="78"/>
      <c r="EH76" s="78"/>
      <c r="EI76" s="78"/>
      <c r="EJ76" s="78"/>
      <c r="EK76" s="78"/>
      <c r="FO76" s="601"/>
      <c r="FV76" s="78"/>
      <c r="FW76" s="78"/>
      <c r="FX76" s="78"/>
      <c r="FY76" s="78"/>
      <c r="FZ76" s="78"/>
      <c r="GA76" s="16"/>
    </row>
    <row r="77" spans="1:183" s="78" customFormat="1" ht="27" customHeight="1" thickBot="1" x14ac:dyDescent="0.2">
      <c r="A77" s="1201"/>
      <c r="B77" s="1201"/>
      <c r="C77" s="1201"/>
      <c r="D77" s="1201"/>
      <c r="E77" s="1202"/>
      <c r="F77" s="652"/>
      <c r="G77" s="652"/>
      <c r="H77" s="652"/>
      <c r="I77" s="1249"/>
      <c r="J77" s="1215"/>
      <c r="K77" s="1216"/>
      <c r="L77" s="1216"/>
      <c r="M77" s="2237" t="s">
        <v>318</v>
      </c>
      <c r="N77" s="2238"/>
      <c r="O77" s="2238"/>
      <c r="P77" s="2238"/>
      <c r="Q77" s="2238"/>
      <c r="R77" s="2238"/>
      <c r="S77" s="2231" t="s">
        <v>664</v>
      </c>
      <c r="T77" s="2276"/>
      <c r="U77" s="2276"/>
      <c r="V77" s="2276"/>
      <c r="W77" s="2276"/>
      <c r="X77" s="2276"/>
      <c r="Y77" s="2276"/>
      <c r="Z77" s="2276"/>
      <c r="AA77" s="2276"/>
      <c r="AB77" s="2169"/>
      <c r="AC77" s="2166"/>
      <c r="AD77" s="2166"/>
      <c r="AE77" s="2166"/>
      <c r="AF77" s="2166"/>
      <c r="AG77" s="2166"/>
      <c r="AH77" s="2166"/>
      <c r="AI77" s="2166"/>
      <c r="AJ77" s="2166"/>
      <c r="AK77" s="2166"/>
      <c r="AL77" s="2166"/>
      <c r="AM77" s="2166"/>
      <c r="AN77" s="2166"/>
      <c r="AO77" s="2166"/>
      <c r="AP77" s="2166"/>
      <c r="AQ77" s="2166"/>
      <c r="AR77" s="2166"/>
      <c r="AS77" s="2166"/>
      <c r="AT77" s="2166"/>
      <c r="AU77" s="2166"/>
      <c r="AV77" s="2166"/>
      <c r="AW77" s="2166"/>
      <c r="AX77" s="2166"/>
      <c r="AY77" s="2166"/>
      <c r="AZ77" s="2166"/>
      <c r="BA77" s="2166"/>
      <c r="BB77" s="2166"/>
      <c r="BC77" s="2166"/>
      <c r="BD77" s="2166"/>
      <c r="BE77" s="2166"/>
      <c r="BF77" s="2166"/>
      <c r="BG77" s="2166"/>
      <c r="BH77" s="2166"/>
      <c r="BI77" s="2166"/>
      <c r="BJ77" s="2166"/>
      <c r="BK77" s="2166"/>
      <c r="BL77" s="2166"/>
      <c r="BM77" s="2166"/>
      <c r="BN77" s="2166"/>
      <c r="BO77" s="2166"/>
      <c r="BP77" s="2166"/>
      <c r="BQ77" s="2166"/>
      <c r="BR77" s="2166"/>
      <c r="BS77" s="2166"/>
      <c r="BT77" s="2166"/>
      <c r="BU77" s="584"/>
      <c r="BV77" s="584"/>
      <c r="BW77" s="584"/>
      <c r="BX77" s="584"/>
      <c r="BY77" s="584"/>
      <c r="BZ77" s="584"/>
      <c r="CA77" s="584"/>
      <c r="CB77" s="584"/>
      <c r="CC77" s="584"/>
      <c r="CD77" s="584"/>
      <c r="CE77" s="584"/>
      <c r="CF77" s="584"/>
      <c r="CG77" s="584"/>
      <c r="CH77" s="584"/>
      <c r="CI77" s="584"/>
      <c r="CJ77" s="584"/>
      <c r="CK77" s="584"/>
      <c r="CL77" s="584"/>
      <c r="CM77" s="584"/>
      <c r="CN77" s="584"/>
      <c r="CO77" s="584"/>
      <c r="CP77" s="584"/>
      <c r="CQ77" s="584"/>
      <c r="CR77" s="584"/>
      <c r="CS77" s="584"/>
      <c r="CT77" s="584"/>
      <c r="CU77" s="602"/>
      <c r="CV77" s="388"/>
      <c r="CW77" s="388"/>
      <c r="CX77" s="207"/>
      <c r="CY77" s="207"/>
      <c r="CZ77" s="207"/>
      <c r="DA77" s="207"/>
      <c r="DB77" s="207"/>
      <c r="DC77" s="15"/>
      <c r="DD77" s="16"/>
      <c r="DE77" s="16"/>
      <c r="DF77" s="16"/>
      <c r="DG77" s="16"/>
      <c r="DH77" s="16"/>
      <c r="DI77" s="1593"/>
      <c r="DJ77" s="1163"/>
      <c r="DK77" s="1163"/>
      <c r="DL77" s="77"/>
      <c r="DM77" s="77"/>
      <c r="DN77" s="77"/>
      <c r="DO77" s="77"/>
      <c r="DP77" s="77"/>
      <c r="DQ77" s="77"/>
      <c r="DR77" s="78" t="s">
        <v>2907</v>
      </c>
      <c r="DS77" s="1681" t="str">
        <f>ASC(IF($AB$77="","",$AB$77))</f>
        <v/>
      </c>
      <c r="DT77" s="1435" t="s">
        <v>2872</v>
      </c>
      <c r="EG77" s="221"/>
      <c r="EH77" s="221"/>
      <c r="EI77" s="221"/>
      <c r="EJ77" s="221"/>
      <c r="EK77" s="221"/>
      <c r="FO77" s="579"/>
      <c r="FV77" s="221"/>
      <c r="FW77" s="221"/>
      <c r="FX77" s="221"/>
      <c r="FY77" s="221"/>
      <c r="FZ77" s="221"/>
      <c r="GA77" s="77"/>
    </row>
    <row r="78" spans="1:183" s="78" customFormat="1" ht="27" customHeight="1" thickBot="1" x14ac:dyDescent="0.2">
      <c r="A78" s="1201"/>
      <c r="B78" s="1201"/>
      <c r="C78" s="1201"/>
      <c r="D78" s="1201"/>
      <c r="E78" s="1202"/>
      <c r="F78" s="652"/>
      <c r="G78" s="652"/>
      <c r="H78" s="652"/>
      <c r="I78" s="1249"/>
      <c r="J78" s="1215"/>
      <c r="K78" s="1216"/>
      <c r="L78" s="1216"/>
      <c r="M78" s="2239"/>
      <c r="N78" s="2239"/>
      <c r="O78" s="2239"/>
      <c r="P78" s="2239"/>
      <c r="Q78" s="2239"/>
      <c r="R78" s="2239"/>
      <c r="S78" s="2260" t="s">
        <v>318</v>
      </c>
      <c r="T78" s="2261"/>
      <c r="U78" s="2261"/>
      <c r="V78" s="2261"/>
      <c r="W78" s="2261"/>
      <c r="X78" s="2261"/>
      <c r="Y78" s="2261"/>
      <c r="Z78" s="2261"/>
      <c r="AA78" s="2261"/>
      <c r="AB78" s="2224"/>
      <c r="AC78" s="2198"/>
      <c r="AD78" s="2198"/>
      <c r="AE78" s="2198"/>
      <c r="AF78" s="2198"/>
      <c r="AG78" s="2198"/>
      <c r="AH78" s="2198"/>
      <c r="AI78" s="2198"/>
      <c r="AJ78" s="2198"/>
      <c r="AK78" s="2198"/>
      <c r="AL78" s="2198"/>
      <c r="AM78" s="2198"/>
      <c r="AN78" s="2198"/>
      <c r="AO78" s="2198"/>
      <c r="AP78" s="2198"/>
      <c r="AQ78" s="2198"/>
      <c r="AR78" s="2198"/>
      <c r="AS78" s="2198"/>
      <c r="AT78" s="2198"/>
      <c r="AU78" s="2198"/>
      <c r="AV78" s="2198"/>
      <c r="AW78" s="2198"/>
      <c r="AX78" s="2198"/>
      <c r="AY78" s="2198"/>
      <c r="AZ78" s="2198"/>
      <c r="BA78" s="2198"/>
      <c r="BB78" s="2198"/>
      <c r="BC78" s="2198"/>
      <c r="BD78" s="2198"/>
      <c r="BE78" s="2198"/>
      <c r="BF78" s="2198"/>
      <c r="BG78" s="2198"/>
      <c r="BH78" s="2198"/>
      <c r="BI78" s="2198"/>
      <c r="BJ78" s="2198"/>
      <c r="BK78" s="2198"/>
      <c r="BL78" s="2198"/>
      <c r="BM78" s="2198"/>
      <c r="BN78" s="2198"/>
      <c r="BO78" s="2198"/>
      <c r="BP78" s="2198"/>
      <c r="BQ78" s="2198"/>
      <c r="BR78" s="2198"/>
      <c r="BS78" s="2198"/>
      <c r="BT78" s="2198"/>
      <c r="BU78" s="584"/>
      <c r="BV78" s="584"/>
      <c r="BW78" s="584"/>
      <c r="BX78" s="584"/>
      <c r="BY78" s="584"/>
      <c r="BZ78" s="584"/>
      <c r="CA78" s="584"/>
      <c r="CB78" s="584"/>
      <c r="CC78" s="584"/>
      <c r="CD78" s="584"/>
      <c r="CE78" s="584"/>
      <c r="CF78" s="584"/>
      <c r="CG78" s="584"/>
      <c r="CH78" s="584"/>
      <c r="CI78" s="584"/>
      <c r="CJ78" s="584"/>
      <c r="CK78" s="584"/>
      <c r="CL78" s="584"/>
      <c r="CM78" s="584"/>
      <c r="CN78" s="584"/>
      <c r="CO78" s="584"/>
      <c r="CP78" s="584"/>
      <c r="CQ78" s="584"/>
      <c r="CR78" s="584"/>
      <c r="CS78" s="584"/>
      <c r="CT78" s="584"/>
      <c r="CU78" s="602"/>
      <c r="CV78" s="1252"/>
      <c r="CW78" s="1252"/>
      <c r="CX78" s="599"/>
      <c r="CY78" s="599"/>
      <c r="CZ78" s="599"/>
      <c r="DA78" s="599"/>
      <c r="DB78" s="599"/>
      <c r="DC78" s="195"/>
      <c r="DD78" s="599"/>
      <c r="DE78" s="599"/>
      <c r="DF78" s="600"/>
      <c r="DG78" s="600"/>
      <c r="DH78" s="600"/>
      <c r="DI78" s="1593"/>
      <c r="DJ78" s="1167"/>
      <c r="DK78" s="1163"/>
      <c r="DL78" s="77"/>
      <c r="DM78" s="77"/>
      <c r="DN78" s="77"/>
      <c r="DO78" s="77"/>
      <c r="DP78" s="77"/>
      <c r="DQ78" s="77"/>
      <c r="DR78" s="78" t="s">
        <v>2895</v>
      </c>
      <c r="DS78" s="1543" t="str">
        <f>IF($AB$78="","",$AB$78)</f>
        <v/>
      </c>
      <c r="DT78" s="1666" t="s">
        <v>2869</v>
      </c>
      <c r="EG78" s="221"/>
      <c r="EH78" s="221"/>
      <c r="EI78" s="221"/>
      <c r="EJ78" s="221"/>
      <c r="EK78" s="221"/>
      <c r="FO78" s="579"/>
      <c r="FV78" s="221"/>
      <c r="FW78" s="221"/>
      <c r="FX78" s="221"/>
      <c r="FY78" s="221"/>
      <c r="FZ78" s="221"/>
      <c r="GA78" s="77"/>
    </row>
    <row r="79" spans="1:183" s="78" customFormat="1" ht="27" customHeight="1" thickBot="1" x14ac:dyDescent="0.2">
      <c r="A79" s="1201"/>
      <c r="B79" s="1201"/>
      <c r="C79" s="1201"/>
      <c r="D79" s="1201"/>
      <c r="E79" s="1202"/>
      <c r="F79" s="652"/>
      <c r="G79" s="652"/>
      <c r="H79" s="652"/>
      <c r="I79" s="1249"/>
      <c r="J79" s="1215"/>
      <c r="K79" s="1216"/>
      <c r="L79" s="1216"/>
      <c r="M79" s="2237" t="s">
        <v>223</v>
      </c>
      <c r="N79" s="2238"/>
      <c r="O79" s="2238"/>
      <c r="P79" s="2238"/>
      <c r="Q79" s="2238"/>
      <c r="R79" s="2238"/>
      <c r="S79" s="2231" t="s">
        <v>667</v>
      </c>
      <c r="T79" s="2232"/>
      <c r="U79" s="2232"/>
      <c r="V79" s="2232"/>
      <c r="W79" s="2232"/>
      <c r="X79" s="2232"/>
      <c r="Y79" s="2232"/>
      <c r="Z79" s="2232"/>
      <c r="AA79" s="2232"/>
      <c r="AB79" s="2166"/>
      <c r="AC79" s="2166"/>
      <c r="AD79" s="2166"/>
      <c r="AE79" s="2166"/>
      <c r="AF79" s="2166"/>
      <c r="AG79" s="2166"/>
      <c r="AH79" s="2166"/>
      <c r="AI79" s="2166"/>
      <c r="AJ79" s="2166"/>
      <c r="AK79" s="2166"/>
      <c r="AL79" s="2166"/>
      <c r="AM79" s="2166"/>
      <c r="AN79" s="2166"/>
      <c r="AO79" s="2166"/>
      <c r="AP79" s="2166"/>
      <c r="AQ79" s="2166"/>
      <c r="AR79" s="2166"/>
      <c r="AS79" s="2166"/>
      <c r="AT79" s="2166"/>
      <c r="AU79" s="2166"/>
      <c r="AV79" s="2166"/>
      <c r="AW79" s="2166"/>
      <c r="AX79" s="2166"/>
      <c r="AY79" s="2166"/>
      <c r="AZ79" s="2166"/>
      <c r="BA79" s="2166"/>
      <c r="BB79" s="2166"/>
      <c r="BC79" s="2166"/>
      <c r="BD79" s="2166"/>
      <c r="BE79" s="2166"/>
      <c r="BF79" s="2166"/>
      <c r="BG79" s="2166"/>
      <c r="BH79" s="2166"/>
      <c r="BI79" s="2166"/>
      <c r="BJ79" s="2166"/>
      <c r="BK79" s="2166"/>
      <c r="BL79" s="2166"/>
      <c r="BM79" s="2166"/>
      <c r="BN79" s="2166"/>
      <c r="BO79" s="2166"/>
      <c r="BP79" s="2166"/>
      <c r="BQ79" s="2166"/>
      <c r="BR79" s="2166"/>
      <c r="BS79" s="2166"/>
      <c r="BT79" s="2166"/>
      <c r="BU79" s="584"/>
      <c r="BV79" s="584"/>
      <c r="BW79" s="584"/>
      <c r="BX79" s="584"/>
      <c r="BY79" s="584"/>
      <c r="BZ79" s="584"/>
      <c r="CA79" s="584"/>
      <c r="CB79" s="584"/>
      <c r="CC79" s="584"/>
      <c r="CD79" s="584"/>
      <c r="CE79" s="584"/>
      <c r="CF79" s="584"/>
      <c r="CG79" s="584"/>
      <c r="CH79" s="584"/>
      <c r="CI79" s="584"/>
      <c r="CJ79" s="584"/>
      <c r="CK79" s="584"/>
      <c r="CL79" s="584"/>
      <c r="CM79" s="584"/>
      <c r="CN79" s="584"/>
      <c r="CO79" s="584"/>
      <c r="CP79" s="584"/>
      <c r="CQ79" s="584"/>
      <c r="CR79" s="584"/>
      <c r="CS79" s="584"/>
      <c r="CT79" s="584"/>
      <c r="CU79" s="602"/>
      <c r="CV79" s="1257"/>
      <c r="CW79" s="1257"/>
      <c r="CX79" s="45"/>
      <c r="CY79" s="45"/>
      <c r="CZ79" s="45"/>
      <c r="DA79" s="45"/>
      <c r="DB79" s="207"/>
      <c r="DC79" s="15"/>
      <c r="DD79" s="16"/>
      <c r="DE79" s="16"/>
      <c r="DF79" s="84"/>
      <c r="DG79" s="84"/>
      <c r="DH79" s="84"/>
      <c r="DI79" s="1593"/>
      <c r="DJ79" s="1166"/>
      <c r="DK79" s="1163"/>
      <c r="DL79" s="77"/>
      <c r="DM79" s="77"/>
      <c r="DN79" s="77"/>
      <c r="DO79" s="77"/>
      <c r="DP79" s="77"/>
      <c r="DQ79" s="77"/>
      <c r="DR79" s="78" t="s">
        <v>2904</v>
      </c>
      <c r="DS79" s="1543" t="str">
        <f>IF($AB$79="","",$AB$79)</f>
        <v/>
      </c>
      <c r="DT79" s="1666" t="s">
        <v>2873</v>
      </c>
      <c r="EG79" s="221"/>
      <c r="EH79" s="221"/>
      <c r="EI79" s="221"/>
      <c r="EJ79" s="221"/>
      <c r="EK79" s="221"/>
      <c r="FO79" s="579"/>
      <c r="FV79" s="221"/>
      <c r="FW79" s="221"/>
      <c r="FX79" s="221"/>
      <c r="FY79" s="221"/>
      <c r="FZ79" s="221"/>
      <c r="GA79" s="77"/>
    </row>
    <row r="80" spans="1:183" s="78" customFormat="1" ht="27" customHeight="1" thickBot="1" x14ac:dyDescent="0.2">
      <c r="A80" s="1201"/>
      <c r="B80" s="1201"/>
      <c r="C80" s="1201"/>
      <c r="D80" s="1201"/>
      <c r="E80" s="1202"/>
      <c r="F80" s="652"/>
      <c r="G80" s="652"/>
      <c r="H80" s="652"/>
      <c r="I80" s="1249"/>
      <c r="J80" s="1215"/>
      <c r="K80" s="1216"/>
      <c r="L80" s="1216"/>
      <c r="M80" s="2240"/>
      <c r="N80" s="2240"/>
      <c r="O80" s="2240"/>
      <c r="P80" s="2240"/>
      <c r="Q80" s="2240"/>
      <c r="R80" s="2240"/>
      <c r="S80" s="2181" t="s">
        <v>665</v>
      </c>
      <c r="T80" s="2181"/>
      <c r="U80" s="2181"/>
      <c r="V80" s="2181"/>
      <c r="W80" s="2181"/>
      <c r="X80" s="2181"/>
      <c r="Y80" s="2181"/>
      <c r="Z80" s="2139"/>
      <c r="AA80" s="2139"/>
      <c r="AB80" s="2201"/>
      <c r="AC80" s="2163"/>
      <c r="AD80" s="2163"/>
      <c r="AE80" s="2163"/>
      <c r="AF80" s="2163"/>
      <c r="AG80" s="2163"/>
      <c r="AH80" s="2163"/>
      <c r="AI80" s="2163"/>
      <c r="AJ80" s="2163"/>
      <c r="AK80" s="2163"/>
      <c r="AL80" s="2163"/>
      <c r="AM80" s="2163"/>
      <c r="AN80" s="2163"/>
      <c r="AO80" s="2163"/>
      <c r="AP80" s="2163"/>
      <c r="AQ80" s="1253" t="s">
        <v>316</v>
      </c>
      <c r="AR80" s="1253"/>
      <c r="AS80" s="1253"/>
      <c r="AT80" s="1253"/>
      <c r="AU80" s="1253"/>
      <c r="AV80" s="1253"/>
      <c r="AW80" s="1253"/>
      <c r="AX80" s="1253"/>
      <c r="AY80" s="2181"/>
      <c r="AZ80" s="2582"/>
      <c r="BA80" s="1253"/>
      <c r="BB80" s="1253"/>
      <c r="BC80" s="1253"/>
      <c r="BD80" s="1253"/>
      <c r="BE80" s="1253"/>
      <c r="BF80" s="1253"/>
      <c r="BG80" s="2181"/>
      <c r="BH80" s="2181"/>
      <c r="BI80" s="1253"/>
      <c r="BJ80" s="1253"/>
      <c r="BK80" s="1253"/>
      <c r="BL80" s="1253"/>
      <c r="BM80" s="1253"/>
      <c r="BN80" s="1253"/>
      <c r="BO80" s="1253"/>
      <c r="BP80" s="1253"/>
      <c r="BQ80" s="1253"/>
      <c r="BR80" s="1253"/>
      <c r="BS80" s="1253"/>
      <c r="BT80" s="1253"/>
      <c r="BU80" s="584"/>
      <c r="BV80" s="405" t="s">
        <v>1892</v>
      </c>
      <c r="BW80" s="2141" t="s">
        <v>1895</v>
      </c>
      <c r="BX80" s="2141"/>
      <c r="BY80" s="2141"/>
      <c r="BZ80" s="2141"/>
      <c r="CA80" s="2141"/>
      <c r="CB80" s="2141"/>
      <c r="CC80" s="2141"/>
      <c r="CD80" s="2141"/>
      <c r="CE80" s="2141"/>
      <c r="CF80" s="2141"/>
      <c r="CG80" s="2141"/>
      <c r="CH80" s="2141"/>
      <c r="CI80" s="2141"/>
      <c r="CJ80" s="2141"/>
      <c r="CK80" s="2141"/>
      <c r="CL80" s="2141"/>
      <c r="CM80" s="2141"/>
      <c r="CN80" s="2141"/>
      <c r="CO80" s="2141"/>
      <c r="CP80" s="2141"/>
      <c r="CQ80" s="2141"/>
      <c r="CR80" s="2141"/>
      <c r="CS80" s="2141"/>
      <c r="CT80" s="1177"/>
      <c r="CU80" s="1178"/>
      <c r="CV80" s="1257"/>
      <c r="CW80" s="1257"/>
      <c r="CX80" s="45"/>
      <c r="CY80" s="45"/>
      <c r="CZ80" s="45"/>
      <c r="DA80" s="45"/>
      <c r="DB80" s="599"/>
      <c r="DC80" s="195"/>
      <c r="DD80" s="599"/>
      <c r="DE80" s="599"/>
      <c r="DF80" s="600"/>
      <c r="DG80" s="600"/>
      <c r="DH80" s="600"/>
      <c r="DI80" s="1593"/>
      <c r="DJ80" s="1167"/>
      <c r="DK80" s="1163"/>
      <c r="DL80" s="77"/>
      <c r="DM80" s="83">
        <f>IF(OR(AB80="一級",AB80="二級"),1,0)</f>
        <v>0</v>
      </c>
      <c r="DN80" s="1161" t="s">
        <v>2954</v>
      </c>
      <c r="DO80" s="77"/>
      <c r="DP80" s="77"/>
      <c r="DR80" s="78" t="s">
        <v>2905</v>
      </c>
      <c r="DS80" s="1543" t="str">
        <f>IF($AB$80="","",$AB$80)</f>
        <v/>
      </c>
      <c r="DT80" s="1666" t="s">
        <v>2873</v>
      </c>
      <c r="EG80" s="221"/>
      <c r="EH80" s="221"/>
      <c r="EI80" s="221"/>
      <c r="EJ80" s="221"/>
      <c r="EK80" s="221"/>
      <c r="FO80" s="579"/>
      <c r="FV80" s="221"/>
      <c r="FW80" s="221"/>
      <c r="FX80" s="221"/>
      <c r="FY80" s="221"/>
      <c r="FZ80" s="221"/>
      <c r="GA80" s="77"/>
    </row>
    <row r="81" spans="1:183" s="84" customFormat="1" ht="27" customHeight="1" thickBot="1" x14ac:dyDescent="0.2">
      <c r="A81" s="1201"/>
      <c r="B81" s="1201"/>
      <c r="C81" s="1201"/>
      <c r="D81" s="1201"/>
      <c r="E81" s="1202"/>
      <c r="F81" s="652"/>
      <c r="G81" s="652"/>
      <c r="H81" s="652"/>
      <c r="I81" s="1233"/>
      <c r="J81" s="1234"/>
      <c r="K81" s="1235"/>
      <c r="L81" s="1235"/>
      <c r="M81" s="2240"/>
      <c r="N81" s="2240"/>
      <c r="O81" s="2240"/>
      <c r="P81" s="2240"/>
      <c r="Q81" s="2240"/>
      <c r="R81" s="2240"/>
      <c r="S81" s="2182"/>
      <c r="T81" s="2182"/>
      <c r="U81" s="2182"/>
      <c r="V81" s="2182"/>
      <c r="W81" s="2182"/>
      <c r="X81" s="2182"/>
      <c r="Y81" s="2182"/>
      <c r="Z81" s="2275"/>
      <c r="AA81" s="2275"/>
      <c r="AB81" s="2223"/>
      <c r="AC81" s="2163"/>
      <c r="AD81" s="2163"/>
      <c r="AE81" s="2163"/>
      <c r="AF81" s="2163"/>
      <c r="AG81" s="2163"/>
      <c r="AH81" s="2163"/>
      <c r="AI81" s="2163"/>
      <c r="AJ81" s="2163"/>
      <c r="AK81" s="2163"/>
      <c r="AL81" s="2163"/>
      <c r="AM81" s="2163"/>
      <c r="AN81" s="2163"/>
      <c r="AO81" s="2163"/>
      <c r="AP81" s="2163"/>
      <c r="AQ81" s="1216" t="s">
        <v>651</v>
      </c>
      <c r="AR81" s="1216"/>
      <c r="AS81" s="1235"/>
      <c r="AT81" s="1235"/>
      <c r="AU81" s="1235"/>
      <c r="AV81" s="1235"/>
      <c r="AW81" s="1235"/>
      <c r="AX81" s="1235"/>
      <c r="AY81" s="1235"/>
      <c r="AZ81" s="1235"/>
      <c r="BA81" s="1235"/>
      <c r="BB81" s="1235"/>
      <c r="BC81" s="1235"/>
      <c r="BD81" s="1235"/>
      <c r="BE81" s="1235"/>
      <c r="BF81" s="1235"/>
      <c r="BG81" s="1235"/>
      <c r="BH81" s="1235"/>
      <c r="BI81" s="1235"/>
      <c r="BJ81" s="1235"/>
      <c r="BK81" s="1235"/>
      <c r="BL81" s="1235"/>
      <c r="BM81" s="1235"/>
      <c r="BN81" s="1235"/>
      <c r="BO81" s="1235"/>
      <c r="BP81" s="1235"/>
      <c r="BQ81" s="1235"/>
      <c r="BR81" s="1235"/>
      <c r="BS81" s="1235"/>
      <c r="BT81" s="1235"/>
      <c r="BU81" s="584"/>
      <c r="BV81" s="584"/>
      <c r="BW81" s="2141"/>
      <c r="BX81" s="2141"/>
      <c r="BY81" s="2141"/>
      <c r="BZ81" s="2141"/>
      <c r="CA81" s="2141"/>
      <c r="CB81" s="2141"/>
      <c r="CC81" s="2141"/>
      <c r="CD81" s="2141"/>
      <c r="CE81" s="2141"/>
      <c r="CF81" s="2141"/>
      <c r="CG81" s="2141"/>
      <c r="CH81" s="2141"/>
      <c r="CI81" s="2141"/>
      <c r="CJ81" s="2141"/>
      <c r="CK81" s="2141"/>
      <c r="CL81" s="2141"/>
      <c r="CM81" s="2141"/>
      <c r="CN81" s="2141"/>
      <c r="CO81" s="2141"/>
      <c r="CP81" s="2141"/>
      <c r="CQ81" s="2141"/>
      <c r="CR81" s="2141"/>
      <c r="CS81" s="2141"/>
      <c r="CT81" s="1177"/>
      <c r="CU81" s="1178"/>
      <c r="CV81" s="1257"/>
      <c r="CW81" s="1257"/>
      <c r="CX81" s="45"/>
      <c r="CY81" s="45"/>
      <c r="CZ81" s="45"/>
      <c r="DA81" s="45"/>
      <c r="DB81" s="16"/>
      <c r="DC81" s="15"/>
      <c r="DD81" s="16"/>
      <c r="DE81" s="16"/>
      <c r="DF81" s="16"/>
      <c r="DG81" s="16"/>
      <c r="DH81" s="16"/>
      <c r="DI81" s="1593"/>
      <c r="DJ81" s="1163"/>
      <c r="DK81" s="1163"/>
      <c r="DL81" s="16"/>
      <c r="DM81" s="16"/>
      <c r="DN81" s="16"/>
      <c r="DO81" s="16"/>
      <c r="DP81" s="16"/>
      <c r="DQ81" s="16"/>
      <c r="DR81" s="84" t="s">
        <v>2905</v>
      </c>
      <c r="DS81" s="1543" t="str">
        <f>IF($AB$81="","",$AB$81)</f>
        <v/>
      </c>
      <c r="DT81" s="1666" t="s">
        <v>2873</v>
      </c>
      <c r="EG81" s="221"/>
      <c r="EH81" s="221"/>
      <c r="EI81" s="221"/>
      <c r="EJ81" s="221"/>
      <c r="EK81" s="221"/>
      <c r="FO81" s="601"/>
      <c r="FV81" s="221"/>
      <c r="FW81" s="221"/>
      <c r="FX81" s="221"/>
      <c r="FY81" s="221"/>
      <c r="FZ81" s="221"/>
      <c r="GA81" s="16"/>
    </row>
    <row r="82" spans="1:183" s="84" customFormat="1" ht="27" customHeight="1" thickBot="1" x14ac:dyDescent="0.2">
      <c r="A82" s="1201"/>
      <c r="B82" s="1201"/>
      <c r="C82" s="1201"/>
      <c r="D82" s="1201"/>
      <c r="E82" s="1202"/>
      <c r="F82" s="652"/>
      <c r="G82" s="652"/>
      <c r="H82" s="652"/>
      <c r="I82" s="1233"/>
      <c r="J82" s="1234"/>
      <c r="K82" s="1235"/>
      <c r="L82" s="1235"/>
      <c r="M82" s="2240"/>
      <c r="N82" s="2240"/>
      <c r="O82" s="2240"/>
      <c r="P82" s="2240"/>
      <c r="Q82" s="2240"/>
      <c r="R82" s="2240"/>
      <c r="S82" s="2183"/>
      <c r="T82" s="2183"/>
      <c r="U82" s="2183"/>
      <c r="V82" s="2183"/>
      <c r="W82" s="2183"/>
      <c r="X82" s="2183"/>
      <c r="Y82" s="2183"/>
      <c r="Z82" s="2184" t="s">
        <v>888</v>
      </c>
      <c r="AA82" s="2184"/>
      <c r="AB82" s="2352"/>
      <c r="AC82" s="2163"/>
      <c r="AD82" s="2163"/>
      <c r="AE82" s="2163"/>
      <c r="AF82" s="2163"/>
      <c r="AG82" s="2163"/>
      <c r="AH82" s="2163"/>
      <c r="AI82" s="2163"/>
      <c r="AJ82" s="2163"/>
      <c r="AK82" s="2163"/>
      <c r="AL82" s="2163"/>
      <c r="AM82" s="2163"/>
      <c r="AN82" s="2163"/>
      <c r="AO82" s="2163"/>
      <c r="AP82" s="2163"/>
      <c r="AQ82" s="1216" t="s">
        <v>4</v>
      </c>
      <c r="AR82" s="1216"/>
      <c r="AS82" s="1235"/>
      <c r="AT82" s="1235"/>
      <c r="AU82" s="1235"/>
      <c r="AV82" s="1235"/>
      <c r="AW82" s="1235"/>
      <c r="AX82" s="1235"/>
      <c r="AY82" s="1235"/>
      <c r="AZ82" s="1235"/>
      <c r="BA82" s="1235"/>
      <c r="BB82" s="1235"/>
      <c r="BC82" s="1235"/>
      <c r="BD82" s="1235"/>
      <c r="BE82" s="1235"/>
      <c r="BF82" s="1235"/>
      <c r="BG82" s="1235"/>
      <c r="BH82" s="1235"/>
      <c r="BI82" s="1235"/>
      <c r="BJ82" s="1235"/>
      <c r="BK82" s="1235"/>
      <c r="BL82" s="1235"/>
      <c r="BM82" s="1235"/>
      <c r="BN82" s="1235"/>
      <c r="BO82" s="1235"/>
      <c r="BP82" s="1235"/>
      <c r="BQ82" s="1235"/>
      <c r="BR82" s="1235"/>
      <c r="BS82" s="1235"/>
      <c r="BT82" s="1235"/>
      <c r="BU82" s="584"/>
      <c r="BV82" s="584"/>
      <c r="BW82" s="584"/>
      <c r="BX82" s="584"/>
      <c r="BY82" s="584"/>
      <c r="BZ82" s="584"/>
      <c r="CA82" s="584"/>
      <c r="CB82" s="584"/>
      <c r="CC82" s="584"/>
      <c r="CD82" s="584"/>
      <c r="CE82" s="584"/>
      <c r="CF82" s="584"/>
      <c r="CG82" s="584"/>
      <c r="CH82" s="584"/>
      <c r="CI82" s="584"/>
      <c r="CJ82" s="584"/>
      <c r="CK82" s="584"/>
      <c r="CL82" s="584"/>
      <c r="CM82" s="584"/>
      <c r="CN82" s="584"/>
      <c r="CO82" s="584"/>
      <c r="CP82" s="584"/>
      <c r="CQ82" s="584"/>
      <c r="CR82" s="584"/>
      <c r="CS82" s="584"/>
      <c r="CT82" s="584"/>
      <c r="CU82" s="602"/>
      <c r="CV82" s="1257"/>
      <c r="CW82" s="1257"/>
      <c r="CX82" s="45"/>
      <c r="CY82" s="45"/>
      <c r="CZ82" s="45"/>
      <c r="DA82" s="45"/>
      <c r="DB82" s="16"/>
      <c r="DC82" s="15"/>
      <c r="DD82" s="16"/>
      <c r="DE82" s="16"/>
      <c r="DF82" s="16"/>
      <c r="DG82" s="16"/>
      <c r="DH82" s="16"/>
      <c r="DI82" s="1593"/>
      <c r="DJ82" s="1163"/>
      <c r="DK82" s="1163"/>
      <c r="DL82" s="16"/>
      <c r="DM82" s="212" t="s">
        <v>1627</v>
      </c>
      <c r="DN82" s="1161" t="s">
        <v>2877</v>
      </c>
      <c r="DO82" s="16"/>
      <c r="DP82" s="16"/>
      <c r="DQ82" s="16"/>
      <c r="DR82" s="84" t="s">
        <v>2906</v>
      </c>
      <c r="DS82" s="1543" t="str">
        <f>IF($AB$82="","",$AB$82)</f>
        <v/>
      </c>
      <c r="DT82" s="1666" t="s">
        <v>2873</v>
      </c>
      <c r="EG82" s="73"/>
      <c r="EH82" s="73"/>
      <c r="EI82" s="73"/>
      <c r="EJ82" s="73"/>
      <c r="EK82" s="73"/>
      <c r="FO82" s="601"/>
      <c r="FV82" s="73"/>
      <c r="FW82" s="73"/>
      <c r="FX82" s="73"/>
      <c r="FY82" s="73"/>
      <c r="FZ82" s="73"/>
      <c r="GA82" s="16"/>
    </row>
    <row r="83" spans="1:183" s="78" customFormat="1" ht="27" customHeight="1" thickBot="1" x14ac:dyDescent="0.2">
      <c r="A83" s="1201"/>
      <c r="B83" s="1201"/>
      <c r="C83" s="1201"/>
      <c r="D83" s="1201"/>
      <c r="E83" s="1202"/>
      <c r="F83" s="652"/>
      <c r="G83" s="652"/>
      <c r="H83" s="652"/>
      <c r="I83" s="1249"/>
      <c r="J83" s="1215"/>
      <c r="K83" s="1216"/>
      <c r="L83" s="1216"/>
      <c r="M83" s="2240"/>
      <c r="N83" s="2240"/>
      <c r="O83" s="2240"/>
      <c r="P83" s="2240"/>
      <c r="Q83" s="2240"/>
      <c r="R83" s="2240"/>
      <c r="S83" s="2277" t="s">
        <v>1283</v>
      </c>
      <c r="T83" s="2278"/>
      <c r="U83" s="2278"/>
      <c r="V83" s="2278"/>
      <c r="W83" s="2278"/>
      <c r="X83" s="2278"/>
      <c r="Y83" s="2278"/>
      <c r="Z83" s="2278"/>
      <c r="AA83" s="2278"/>
      <c r="AB83" s="2175"/>
      <c r="AC83" s="2175"/>
      <c r="AD83" s="2175"/>
      <c r="AE83" s="2175"/>
      <c r="AF83" s="2175"/>
      <c r="AG83" s="2175"/>
      <c r="AH83" s="2174" t="s">
        <v>311</v>
      </c>
      <c r="AI83" s="2174"/>
      <c r="AJ83" s="2174"/>
      <c r="AK83" s="2175"/>
      <c r="AL83" s="2175"/>
      <c r="AM83" s="2175"/>
      <c r="AN83" s="2175"/>
      <c r="AO83" s="2175"/>
      <c r="AP83" s="2175"/>
      <c r="AQ83" s="2322"/>
      <c r="AR83" s="2322"/>
      <c r="AS83" s="2322"/>
      <c r="AT83" s="2322"/>
      <c r="AU83" s="2322"/>
      <c r="AV83" s="2322"/>
      <c r="AW83" s="2322"/>
      <c r="AX83" s="2322"/>
      <c r="AY83" s="2322"/>
      <c r="AZ83" s="2322"/>
      <c r="BA83" s="2322"/>
      <c r="BB83" s="2322"/>
      <c r="BC83" s="2322"/>
      <c r="BD83" s="2322"/>
      <c r="BE83" s="2322"/>
      <c r="BF83" s="2322"/>
      <c r="BG83" s="2322"/>
      <c r="BH83" s="2322"/>
      <c r="BI83" s="2322"/>
      <c r="BJ83" s="2322"/>
      <c r="BK83" s="2322"/>
      <c r="BL83" s="2322"/>
      <c r="BM83" s="2322"/>
      <c r="BN83" s="2322"/>
      <c r="BO83" s="2322"/>
      <c r="BP83" s="2322"/>
      <c r="BQ83" s="2322"/>
      <c r="BR83" s="2322"/>
      <c r="BS83" s="2322"/>
      <c r="BT83" s="2322"/>
      <c r="BU83" s="584"/>
      <c r="BV83" s="584"/>
      <c r="BW83" s="584"/>
      <c r="BX83" s="584"/>
      <c r="BY83" s="584"/>
      <c r="BZ83" s="584"/>
      <c r="CA83" s="584"/>
      <c r="CB83" s="584"/>
      <c r="CC83" s="584"/>
      <c r="CD83" s="584"/>
      <c r="CE83" s="584"/>
      <c r="CF83" s="584"/>
      <c r="CG83" s="584"/>
      <c r="CH83" s="584"/>
      <c r="CI83" s="584"/>
      <c r="CJ83" s="584"/>
      <c r="CK83" s="584"/>
      <c r="CL83" s="584"/>
      <c r="CM83" s="584"/>
      <c r="CN83" s="584"/>
      <c r="CO83" s="584"/>
      <c r="CP83" s="584"/>
      <c r="CQ83" s="584"/>
      <c r="CR83" s="584"/>
      <c r="CS83" s="584"/>
      <c r="CT83" s="584"/>
      <c r="CU83" s="602"/>
      <c r="CV83" s="1257"/>
      <c r="CW83" s="1257"/>
      <c r="CX83" s="45"/>
      <c r="CY83" s="45"/>
      <c r="CZ83" s="45"/>
      <c r="DA83" s="45"/>
      <c r="DB83" s="207"/>
      <c r="DC83" s="15"/>
      <c r="DD83" s="16"/>
      <c r="DE83" s="16"/>
      <c r="DF83" s="84"/>
      <c r="DG83" s="84"/>
      <c r="DH83" s="84"/>
      <c r="DI83" s="1593"/>
      <c r="DJ83" s="1166"/>
      <c r="DK83" s="1163"/>
      <c r="DL83" s="77"/>
      <c r="DM83" s="160" t="str">
        <f>CONCATENATE(AB83,"-",AK83)</f>
        <v>-</v>
      </c>
      <c r="DN83" s="160" t="str">
        <f>IF(DM83="-","",ASC(DM83))</f>
        <v/>
      </c>
      <c r="DO83" s="77"/>
      <c r="DP83" s="77"/>
      <c r="DQ83" s="77"/>
      <c r="DR83" s="78" t="s">
        <v>2884</v>
      </c>
      <c r="DS83" s="1543" t="str">
        <f>IF($DN$83="","",$DN$83)</f>
        <v/>
      </c>
      <c r="DT83" s="1666" t="s">
        <v>2874</v>
      </c>
      <c r="FO83" s="579"/>
      <c r="GA83" s="77"/>
    </row>
    <row r="84" spans="1:183" s="78" customFormat="1" ht="27" customHeight="1" thickBot="1" x14ac:dyDescent="0.2">
      <c r="A84" s="1201"/>
      <c r="B84" s="1201"/>
      <c r="C84" s="1201"/>
      <c r="D84" s="1201"/>
      <c r="E84" s="1202"/>
      <c r="F84" s="652"/>
      <c r="G84" s="652"/>
      <c r="H84" s="652"/>
      <c r="I84" s="1249"/>
      <c r="J84" s="1215"/>
      <c r="K84" s="1216"/>
      <c r="L84" s="1216"/>
      <c r="M84" s="2240"/>
      <c r="N84" s="2240"/>
      <c r="O84" s="2240"/>
      <c r="P84" s="2240"/>
      <c r="Q84" s="2240"/>
      <c r="R84" s="2240"/>
      <c r="S84" s="2179" t="s">
        <v>224</v>
      </c>
      <c r="T84" s="2180"/>
      <c r="U84" s="2180"/>
      <c r="V84" s="2180"/>
      <c r="W84" s="2180"/>
      <c r="X84" s="2180"/>
      <c r="Y84" s="2180"/>
      <c r="Z84" s="2180"/>
      <c r="AA84" s="2180"/>
      <c r="AB84" s="2621"/>
      <c r="AC84" s="2572"/>
      <c r="AD84" s="2572"/>
      <c r="AE84" s="2572"/>
      <c r="AF84" s="2572"/>
      <c r="AG84" s="2572"/>
      <c r="AH84" s="2572"/>
      <c r="AI84" s="2572"/>
      <c r="AJ84" s="2572"/>
      <c r="AK84" s="2572"/>
      <c r="AL84" s="2572"/>
      <c r="AM84" s="2572"/>
      <c r="AN84" s="2572"/>
      <c r="AO84" s="2572"/>
      <c r="AP84" s="2572"/>
      <c r="AQ84" s="2572"/>
      <c r="AR84" s="2572"/>
      <c r="AS84" s="2572"/>
      <c r="AT84" s="2572"/>
      <c r="AU84" s="2572"/>
      <c r="AV84" s="2572"/>
      <c r="AW84" s="2572"/>
      <c r="AX84" s="2572"/>
      <c r="AY84" s="2572"/>
      <c r="AZ84" s="2572"/>
      <c r="BA84" s="2572"/>
      <c r="BB84" s="2572"/>
      <c r="BC84" s="2572"/>
      <c r="BD84" s="2572"/>
      <c r="BE84" s="2572"/>
      <c r="BF84" s="2572"/>
      <c r="BG84" s="2572"/>
      <c r="BH84" s="2572"/>
      <c r="BI84" s="2572"/>
      <c r="BJ84" s="2572"/>
      <c r="BK84" s="2572"/>
      <c r="BL84" s="2572"/>
      <c r="BM84" s="2572"/>
      <c r="BN84" s="2572"/>
      <c r="BO84" s="2572"/>
      <c r="BP84" s="2572"/>
      <c r="BQ84" s="2572"/>
      <c r="BR84" s="2572"/>
      <c r="BS84" s="2572"/>
      <c r="BT84" s="2572"/>
      <c r="BU84" s="584"/>
      <c r="BV84" s="405" t="s">
        <v>1892</v>
      </c>
      <c r="BW84" s="2141" t="s">
        <v>1896</v>
      </c>
      <c r="BX84" s="2141"/>
      <c r="BY84" s="2141"/>
      <c r="BZ84" s="2141"/>
      <c r="CA84" s="2141"/>
      <c r="CB84" s="2141"/>
      <c r="CC84" s="2141"/>
      <c r="CD84" s="2141"/>
      <c r="CE84" s="2141"/>
      <c r="CF84" s="2141"/>
      <c r="CG84" s="2141"/>
      <c r="CH84" s="2141"/>
      <c r="CI84" s="2141"/>
      <c r="CJ84" s="2141"/>
      <c r="CK84" s="2141"/>
      <c r="CL84" s="2141"/>
      <c r="CM84" s="2141"/>
      <c r="CN84" s="2141"/>
      <c r="CO84" s="2141"/>
      <c r="CP84" s="2141"/>
      <c r="CQ84" s="2141"/>
      <c r="CR84" s="2141"/>
      <c r="CS84" s="2141"/>
      <c r="CT84" s="1177"/>
      <c r="CU84" s="1178"/>
      <c r="CV84" s="1257"/>
      <c r="CW84" s="1257"/>
      <c r="CX84" s="45"/>
      <c r="CY84" s="45"/>
      <c r="CZ84" s="45"/>
      <c r="DA84" s="45"/>
      <c r="DB84" s="599"/>
      <c r="DC84" s="195"/>
      <c r="DD84" s="599"/>
      <c r="DE84" s="599"/>
      <c r="DF84" s="600"/>
      <c r="DG84" s="600"/>
      <c r="DH84" s="600"/>
      <c r="DI84" s="1593"/>
      <c r="DJ84" s="1167"/>
      <c r="DK84" s="1163"/>
      <c r="DL84" s="77"/>
      <c r="DM84" s="161" t="s">
        <v>1628</v>
      </c>
      <c r="DN84" s="1942" t="s">
        <v>2878</v>
      </c>
      <c r="DO84" s="77"/>
      <c r="DP84" s="77"/>
      <c r="DQ84" s="77"/>
      <c r="DR84" s="78" t="s">
        <v>2886</v>
      </c>
      <c r="DS84" s="1543" t="str">
        <f>IF($AB$84="","",$AB$84)</f>
        <v/>
      </c>
      <c r="DT84" s="1666" t="s">
        <v>2876</v>
      </c>
      <c r="FO84" s="579"/>
      <c r="GA84" s="77"/>
    </row>
    <row r="85" spans="1:183" s="78" customFormat="1" ht="27" customHeight="1" thickBot="1" x14ac:dyDescent="0.2">
      <c r="A85" s="1201"/>
      <c r="B85" s="1201"/>
      <c r="C85" s="1201"/>
      <c r="D85" s="1201"/>
      <c r="E85" s="1202"/>
      <c r="F85" s="652"/>
      <c r="G85" s="652"/>
      <c r="H85" s="652"/>
      <c r="I85" s="1249"/>
      <c r="J85" s="1221"/>
      <c r="K85" s="1222"/>
      <c r="L85" s="1222"/>
      <c r="M85" s="2241"/>
      <c r="N85" s="2241"/>
      <c r="O85" s="2241"/>
      <c r="P85" s="2241"/>
      <c r="Q85" s="2241"/>
      <c r="R85" s="2241"/>
      <c r="S85" s="2177" t="s">
        <v>1284</v>
      </c>
      <c r="T85" s="2345"/>
      <c r="U85" s="2345"/>
      <c r="V85" s="2345"/>
      <c r="W85" s="2345"/>
      <c r="X85" s="2345"/>
      <c r="Y85" s="2345"/>
      <c r="Z85" s="2345"/>
      <c r="AA85" s="2345"/>
      <c r="AB85" s="2161"/>
      <c r="AC85" s="2161"/>
      <c r="AD85" s="2161"/>
      <c r="AE85" s="2161"/>
      <c r="AF85" s="2161"/>
      <c r="AG85" s="2161"/>
      <c r="AH85" s="2176" t="s">
        <v>1093</v>
      </c>
      <c r="AI85" s="2176"/>
      <c r="AJ85" s="2176"/>
      <c r="AK85" s="2161"/>
      <c r="AL85" s="2161"/>
      <c r="AM85" s="2161"/>
      <c r="AN85" s="2161"/>
      <c r="AO85" s="2161"/>
      <c r="AP85" s="2161"/>
      <c r="AQ85" s="2176" t="s">
        <v>1093</v>
      </c>
      <c r="AR85" s="2176"/>
      <c r="AS85" s="2176"/>
      <c r="AT85" s="2161"/>
      <c r="AU85" s="2161"/>
      <c r="AV85" s="2161"/>
      <c r="AW85" s="2161"/>
      <c r="AX85" s="2161"/>
      <c r="AY85" s="2161"/>
      <c r="AZ85" s="2343"/>
      <c r="BA85" s="2343"/>
      <c r="BB85" s="2343"/>
      <c r="BC85" s="2343"/>
      <c r="BD85" s="2343"/>
      <c r="BE85" s="2343"/>
      <c r="BF85" s="2343"/>
      <c r="BG85" s="2343"/>
      <c r="BH85" s="2343"/>
      <c r="BI85" s="2343"/>
      <c r="BJ85" s="2343"/>
      <c r="BK85" s="2343"/>
      <c r="BL85" s="2343"/>
      <c r="BM85" s="2343"/>
      <c r="BN85" s="2343"/>
      <c r="BO85" s="2343"/>
      <c r="BP85" s="2343"/>
      <c r="BQ85" s="2343"/>
      <c r="BR85" s="2343"/>
      <c r="BS85" s="2343"/>
      <c r="BT85" s="2343"/>
      <c r="BU85" s="594"/>
      <c r="BV85" s="398"/>
      <c r="BW85" s="2195"/>
      <c r="BX85" s="2195"/>
      <c r="BY85" s="2195"/>
      <c r="BZ85" s="2195"/>
      <c r="CA85" s="2195"/>
      <c r="CB85" s="2195"/>
      <c r="CC85" s="2195"/>
      <c r="CD85" s="2195"/>
      <c r="CE85" s="2195"/>
      <c r="CF85" s="2195"/>
      <c r="CG85" s="2195"/>
      <c r="CH85" s="2195"/>
      <c r="CI85" s="2195"/>
      <c r="CJ85" s="2195"/>
      <c r="CK85" s="2195"/>
      <c r="CL85" s="2195"/>
      <c r="CM85" s="2195"/>
      <c r="CN85" s="2195"/>
      <c r="CO85" s="2195"/>
      <c r="CP85" s="2195"/>
      <c r="CQ85" s="2195"/>
      <c r="CR85" s="2195"/>
      <c r="CS85" s="2195"/>
      <c r="CT85" s="1175"/>
      <c r="CU85" s="1176"/>
      <c r="CV85" s="1257"/>
      <c r="CW85" s="1257"/>
      <c r="CX85" s="45"/>
      <c r="CY85" s="45"/>
      <c r="CZ85" s="45"/>
      <c r="DA85" s="45"/>
      <c r="DB85" s="207"/>
      <c r="DC85" s="15"/>
      <c r="DD85" s="16"/>
      <c r="DE85" s="16"/>
      <c r="DF85" s="16"/>
      <c r="DG85" s="16"/>
      <c r="DH85" s="16"/>
      <c r="DI85" s="1593"/>
      <c r="DJ85" s="1163"/>
      <c r="DK85" s="1163"/>
      <c r="DL85" s="77"/>
      <c r="DM85" s="160" t="str">
        <f>CONCATENATE(AB85,"-",AK85,"-",AT85)</f>
        <v>--</v>
      </c>
      <c r="DN85" s="160" t="str">
        <f>IF(DM85="--","",ASC(DM85))</f>
        <v/>
      </c>
      <c r="DO85" s="77"/>
      <c r="DP85" s="77"/>
      <c r="DQ85" s="77"/>
      <c r="DR85" s="78" t="s">
        <v>2885</v>
      </c>
      <c r="DS85" s="1543" t="str">
        <f>IF($DN$85="","",$DN$85)</f>
        <v/>
      </c>
      <c r="DT85" s="1666" t="s">
        <v>2875</v>
      </c>
      <c r="FO85" s="579"/>
      <c r="GA85" s="77"/>
    </row>
    <row r="86" spans="1:183" ht="15" customHeight="1" x14ac:dyDescent="0.15">
      <c r="A86" s="1201"/>
      <c r="B86" s="1201"/>
      <c r="C86" s="1201"/>
      <c r="D86" s="1201"/>
      <c r="E86" s="1202"/>
      <c r="BU86" s="578"/>
      <c r="BX86" s="401"/>
      <c r="DD86" s="16"/>
      <c r="DE86" s="16"/>
      <c r="DF86" s="16"/>
      <c r="DG86" s="16"/>
      <c r="DH86" s="16"/>
      <c r="DI86" s="1593"/>
      <c r="DJ86" s="1163"/>
      <c r="EG86" s="73"/>
      <c r="EH86" s="73"/>
      <c r="EI86" s="73"/>
      <c r="EJ86" s="73"/>
      <c r="EK86" s="73"/>
      <c r="FV86" s="73"/>
      <c r="FW86" s="73"/>
      <c r="FX86" s="73"/>
      <c r="FY86" s="73"/>
      <c r="FZ86" s="73"/>
    </row>
    <row r="87" spans="1:183" ht="2.1" customHeight="1" x14ac:dyDescent="0.15">
      <c r="A87" s="1201"/>
      <c r="B87" s="1201"/>
      <c r="C87" s="1201"/>
      <c r="D87" s="1201"/>
      <c r="E87" s="1202"/>
      <c r="BU87" s="578"/>
      <c r="BX87" s="401"/>
      <c r="DD87" s="16"/>
      <c r="DE87" s="16"/>
      <c r="DF87" s="16"/>
      <c r="DG87" s="16"/>
      <c r="DH87" s="16"/>
      <c r="DI87" s="1593"/>
      <c r="DJ87" s="1163"/>
      <c r="EG87" s="73"/>
      <c r="EH87" s="73"/>
      <c r="EI87" s="73"/>
      <c r="EJ87" s="73"/>
      <c r="EK87" s="73"/>
      <c r="FV87" s="73"/>
      <c r="FW87" s="73"/>
      <c r="FX87" s="73"/>
      <c r="FY87" s="73"/>
      <c r="FZ87" s="73"/>
    </row>
    <row r="88" spans="1:183" ht="2.1" customHeight="1" x14ac:dyDescent="0.15">
      <c r="A88" s="1201"/>
      <c r="B88" s="1201"/>
      <c r="C88" s="1201"/>
      <c r="D88" s="1201"/>
      <c r="E88" s="1202"/>
      <c r="BU88" s="578"/>
      <c r="BX88" s="401"/>
      <c r="DD88" s="16"/>
      <c r="DE88" s="16"/>
      <c r="DF88" s="16"/>
      <c r="DG88" s="16"/>
      <c r="DH88" s="16"/>
      <c r="DI88" s="1593"/>
      <c r="DJ88" s="1163"/>
      <c r="EG88" s="73"/>
      <c r="EH88" s="73"/>
      <c r="EI88" s="73"/>
      <c r="EJ88" s="73"/>
      <c r="EK88" s="73"/>
      <c r="FV88" s="73"/>
      <c r="FW88" s="73"/>
      <c r="FX88" s="73"/>
      <c r="FY88" s="73"/>
      <c r="FZ88" s="73"/>
    </row>
    <row r="89" spans="1:183" ht="2.1" customHeight="1" thickBot="1" x14ac:dyDescent="0.2">
      <c r="A89" s="1201"/>
      <c r="B89" s="1201"/>
      <c r="C89" s="1201"/>
      <c r="D89" s="1201"/>
      <c r="E89" s="1202"/>
      <c r="BU89" s="578"/>
      <c r="BX89" s="401"/>
      <c r="DD89" s="16"/>
      <c r="DE89" s="16"/>
      <c r="DF89" s="16"/>
      <c r="DG89" s="16"/>
      <c r="DH89" s="16"/>
      <c r="DI89" s="1593"/>
      <c r="DJ89" s="1163"/>
      <c r="EG89" s="73"/>
      <c r="EH89" s="73"/>
      <c r="EI89" s="73"/>
      <c r="EJ89" s="73"/>
      <c r="EK89" s="73"/>
      <c r="FV89" s="73"/>
      <c r="FW89" s="73"/>
      <c r="FX89" s="73"/>
      <c r="FY89" s="73"/>
      <c r="FZ89" s="73"/>
    </row>
    <row r="90" spans="1:183" ht="35.1" customHeight="1" thickBot="1" x14ac:dyDescent="0.6">
      <c r="A90" s="1201"/>
      <c r="B90" s="1201"/>
      <c r="C90" s="1201"/>
      <c r="D90" s="1201"/>
      <c r="E90" s="1202"/>
      <c r="J90" s="2132" t="s">
        <v>968</v>
      </c>
      <c r="K90" s="2133"/>
      <c r="L90" s="2133"/>
      <c r="M90" s="2133"/>
      <c r="N90" s="2133"/>
      <c r="O90" s="2133"/>
      <c r="P90" s="2133"/>
      <c r="Q90" s="2133"/>
      <c r="R90" s="2133"/>
      <c r="S90" s="2133"/>
      <c r="T90" s="2133"/>
      <c r="U90" s="2133"/>
      <c r="V90" s="2133"/>
      <c r="W90" s="2133"/>
      <c r="X90" s="2133"/>
      <c r="Y90" s="2133"/>
      <c r="Z90" s="2133"/>
      <c r="AA90" s="2133"/>
      <c r="AB90" s="2133"/>
      <c r="AC90" s="2133"/>
      <c r="AD90" s="2133"/>
      <c r="AE90" s="2133"/>
      <c r="AF90" s="2133"/>
      <c r="AG90" s="2133"/>
      <c r="AH90" s="2133"/>
      <c r="AI90" s="1951"/>
      <c r="AJ90" s="1951"/>
      <c r="AK90" s="1951"/>
      <c r="AL90" s="1951"/>
      <c r="AM90" s="1951"/>
      <c r="AN90" s="2134" t="str">
        <f>IF($DS$90=TRUE,"→勤務先が同一の場合は勤務先欄は記入不要です","")</f>
        <v/>
      </c>
      <c r="AO90" s="2134"/>
      <c r="AP90" s="2134"/>
      <c r="AQ90" s="2134"/>
      <c r="AR90" s="2134"/>
      <c r="AS90" s="2134"/>
      <c r="AT90" s="2134"/>
      <c r="AU90" s="2134"/>
      <c r="AV90" s="2134"/>
      <c r="AW90" s="2134"/>
      <c r="AX90" s="2134"/>
      <c r="AY90" s="2134"/>
      <c r="AZ90" s="2134"/>
      <c r="BA90" s="2134"/>
      <c r="BB90" s="2134"/>
      <c r="BC90" s="2134"/>
      <c r="BD90" s="2134"/>
      <c r="BE90" s="2134"/>
      <c r="BF90" s="2134"/>
      <c r="BG90" s="2134"/>
      <c r="BH90" s="1951"/>
      <c r="BI90" s="2155" t="s">
        <v>2863</v>
      </c>
      <c r="BJ90" s="2155"/>
      <c r="BK90" s="2155"/>
      <c r="BL90" s="2155"/>
      <c r="BM90" s="2155"/>
      <c r="BN90" s="2155"/>
      <c r="BO90" s="2155"/>
      <c r="BP90" s="2155"/>
      <c r="BQ90" s="2155"/>
      <c r="BR90" s="2155"/>
      <c r="BS90" s="2155"/>
      <c r="BT90" s="2155"/>
      <c r="BU90" s="1362"/>
      <c r="BV90" s="402" t="s">
        <v>1892</v>
      </c>
      <c r="BW90" s="2280" t="s">
        <v>1894</v>
      </c>
      <c r="BX90" s="2280"/>
      <c r="BY90" s="2280"/>
      <c r="BZ90" s="2280"/>
      <c r="CA90" s="2280"/>
      <c r="CB90" s="2280"/>
      <c r="CC90" s="2280"/>
      <c r="CD90" s="2280"/>
      <c r="CE90" s="2280"/>
      <c r="CF90" s="2280"/>
      <c r="CG90" s="2280"/>
      <c r="CH90" s="2280"/>
      <c r="CI90" s="2280"/>
      <c r="CJ90" s="2280"/>
      <c r="CK90" s="2280"/>
      <c r="CL90" s="2280"/>
      <c r="CM90" s="2280"/>
      <c r="CN90" s="2280"/>
      <c r="CO90" s="2280"/>
      <c r="CP90" s="2280"/>
      <c r="CQ90" s="2280"/>
      <c r="CR90" s="2280"/>
      <c r="CS90" s="2280"/>
      <c r="CT90" s="402"/>
      <c r="CU90" s="403"/>
      <c r="DD90" s="16"/>
      <c r="DE90" s="16"/>
      <c r="DF90" s="16"/>
      <c r="DG90" s="16"/>
      <c r="DH90" s="16"/>
      <c r="DI90" s="1593"/>
      <c r="DJ90" s="1163"/>
      <c r="DM90" s="1436" t="str">
        <f>J90</f>
        <v>６　その他の調査者１</v>
      </c>
      <c r="DN90" s="156"/>
      <c r="DS90" s="1683" t="b">
        <v>0</v>
      </c>
      <c r="DV90" s="1547"/>
      <c r="EG90" s="78"/>
      <c r="EH90" s="78"/>
      <c r="EI90" s="78"/>
      <c r="EJ90" s="78"/>
      <c r="EK90" s="78"/>
      <c r="FV90" s="78"/>
      <c r="FW90" s="78"/>
      <c r="FX90" s="78"/>
      <c r="FY90" s="78"/>
      <c r="FZ90" s="78"/>
    </row>
    <row r="91" spans="1:183" s="78" customFormat="1" ht="27" customHeight="1" thickBot="1" x14ac:dyDescent="0.2">
      <c r="A91" s="1201"/>
      <c r="B91" s="1201"/>
      <c r="C91" s="1201"/>
      <c r="D91" s="1201"/>
      <c r="E91" s="1202"/>
      <c r="F91" s="652"/>
      <c r="G91" s="652"/>
      <c r="H91" s="652"/>
      <c r="I91" s="1249"/>
      <c r="J91" s="1215"/>
      <c r="K91" s="1216"/>
      <c r="L91" s="1216"/>
      <c r="M91" s="2237" t="s">
        <v>887</v>
      </c>
      <c r="N91" s="2237"/>
      <c r="O91" s="2237"/>
      <c r="P91" s="2237"/>
      <c r="Q91" s="2237"/>
      <c r="R91" s="2237"/>
      <c r="S91" s="2231" t="s">
        <v>1019</v>
      </c>
      <c r="T91" s="2232"/>
      <c r="U91" s="2232"/>
      <c r="V91" s="2232"/>
      <c r="W91" s="2232"/>
      <c r="X91" s="2232"/>
      <c r="Y91" s="2232"/>
      <c r="Z91" s="2232"/>
      <c r="AA91" s="2232"/>
      <c r="AB91" s="2137"/>
      <c r="AC91" s="2137"/>
      <c r="AD91" s="2137"/>
      <c r="AE91" s="2137"/>
      <c r="AF91" s="2137"/>
      <c r="AG91" s="2137"/>
      <c r="AH91" s="2137"/>
      <c r="AI91" s="2137"/>
      <c r="AJ91" s="2137"/>
      <c r="AK91" s="2137"/>
      <c r="AL91" s="2137"/>
      <c r="AM91" s="2137"/>
      <c r="AN91" s="2137"/>
      <c r="AO91" s="2137"/>
      <c r="AP91" s="2137"/>
      <c r="AQ91" s="1250"/>
      <c r="AR91" s="1250"/>
      <c r="AS91" s="1258"/>
      <c r="AT91" s="1258"/>
      <c r="AU91" s="1258"/>
      <c r="AV91" s="1258"/>
      <c r="AW91" s="1258"/>
      <c r="AX91" s="1258"/>
      <c r="AY91" s="1258"/>
      <c r="AZ91" s="1259"/>
      <c r="BA91" s="1258"/>
      <c r="BB91" s="1258"/>
      <c r="BC91" s="1258"/>
      <c r="BD91" s="1258"/>
      <c r="BE91" s="1258"/>
      <c r="BF91" s="1258"/>
      <c r="BG91" s="1258"/>
      <c r="BH91" s="1258"/>
      <c r="BI91" s="1258"/>
      <c r="BJ91" s="1258"/>
      <c r="BK91" s="1258"/>
      <c r="BL91" s="1258"/>
      <c r="BM91" s="1258"/>
      <c r="BN91" s="1258"/>
      <c r="BO91" s="1258"/>
      <c r="BP91" s="1258"/>
      <c r="BQ91" s="1258"/>
      <c r="BR91" s="1258"/>
      <c r="BS91" s="1258"/>
      <c r="BT91" s="1258"/>
      <c r="BU91" s="604"/>
      <c r="BV91" s="584"/>
      <c r="BW91" s="2141" t="s">
        <v>1893</v>
      </c>
      <c r="BX91" s="2141"/>
      <c r="BY91" s="2141"/>
      <c r="BZ91" s="2141"/>
      <c r="CA91" s="2141"/>
      <c r="CB91" s="2141"/>
      <c r="CC91" s="2141"/>
      <c r="CD91" s="2141"/>
      <c r="CE91" s="2141"/>
      <c r="CF91" s="2141"/>
      <c r="CG91" s="2141"/>
      <c r="CH91" s="2141"/>
      <c r="CI91" s="2141"/>
      <c r="CJ91" s="2141"/>
      <c r="CK91" s="2141"/>
      <c r="CL91" s="2141"/>
      <c r="CM91" s="2141"/>
      <c r="CN91" s="2141"/>
      <c r="CO91" s="2141"/>
      <c r="CP91" s="2141"/>
      <c r="CQ91" s="2141"/>
      <c r="CR91" s="2141"/>
      <c r="CS91" s="2141"/>
      <c r="CT91" s="1177"/>
      <c r="CU91" s="1178"/>
      <c r="CV91" s="388"/>
      <c r="CW91" s="388"/>
      <c r="CX91" s="207"/>
      <c r="CY91" s="207"/>
      <c r="CZ91" s="207"/>
      <c r="DA91" s="207"/>
      <c r="DB91" s="207"/>
      <c r="DC91" s="15"/>
      <c r="DD91" s="16"/>
      <c r="DE91" s="16"/>
      <c r="DF91" s="16"/>
      <c r="DG91" s="16"/>
      <c r="DH91" s="16"/>
      <c r="DI91" s="1593"/>
      <c r="DJ91" s="1163"/>
      <c r="DK91" s="1163"/>
      <c r="DL91" s="77"/>
      <c r="DM91" s="83">
        <f>IF(AB91="",0,IF(AB91="特定建築物調査員",1,2))</f>
        <v>0</v>
      </c>
      <c r="DN91" s="1161" t="s">
        <v>2871</v>
      </c>
      <c r="DO91" s="77"/>
      <c r="DP91" s="77"/>
      <c r="DQ91" s="77"/>
      <c r="DR91" s="78" t="s">
        <v>2950</v>
      </c>
      <c r="DS91" s="1691" t="str">
        <f>IF(DM91=2,LEFT($AB91,2),"")</f>
        <v/>
      </c>
      <c r="DT91" s="73"/>
      <c r="DV91" s="196"/>
      <c r="DW91" s="196"/>
      <c r="FO91" s="579"/>
      <c r="GA91" s="77"/>
    </row>
    <row r="92" spans="1:183" ht="27" customHeight="1" thickBot="1" x14ac:dyDescent="0.2">
      <c r="A92" s="1201"/>
      <c r="B92" s="1201"/>
      <c r="C92" s="1201"/>
      <c r="D92" s="1201"/>
      <c r="E92" s="1202"/>
      <c r="J92" s="1260"/>
      <c r="K92" s="1261"/>
      <c r="L92" s="1261"/>
      <c r="M92" s="2182"/>
      <c r="N92" s="2182"/>
      <c r="O92" s="2182"/>
      <c r="P92" s="2182"/>
      <c r="Q92" s="2182"/>
      <c r="R92" s="2182"/>
      <c r="S92" s="2181" t="s">
        <v>666</v>
      </c>
      <c r="T92" s="2602"/>
      <c r="U92" s="2602"/>
      <c r="V92" s="2602"/>
      <c r="W92" s="2602"/>
      <c r="X92" s="2602"/>
      <c r="Y92" s="1216"/>
      <c r="Z92" s="2275"/>
      <c r="AA92" s="2275"/>
      <c r="AB92" s="2201"/>
      <c r="AC92" s="2201"/>
      <c r="AD92" s="2201"/>
      <c r="AE92" s="2201"/>
      <c r="AF92" s="2201"/>
      <c r="AG92" s="2201"/>
      <c r="AH92" s="2163"/>
      <c r="AI92" s="2163"/>
      <c r="AJ92" s="2163"/>
      <c r="AK92" s="2163"/>
      <c r="AL92" s="2163"/>
      <c r="AM92" s="2163"/>
      <c r="AN92" s="2163"/>
      <c r="AO92" s="2163"/>
      <c r="AP92" s="2163"/>
      <c r="AQ92" s="1216" t="s">
        <v>652</v>
      </c>
      <c r="AR92" s="1216"/>
      <c r="AS92" s="1227"/>
      <c r="AT92" s="1227"/>
      <c r="AU92" s="1227"/>
      <c r="AV92" s="1227"/>
      <c r="AW92" s="1227"/>
      <c r="AX92" s="1227"/>
      <c r="AY92" s="1227"/>
      <c r="AZ92" s="1227"/>
      <c r="BA92" s="1227"/>
      <c r="BB92" s="1227"/>
      <c r="BC92" s="1227"/>
      <c r="BD92" s="1227"/>
      <c r="BE92" s="1227"/>
      <c r="BF92" s="1227"/>
      <c r="BG92" s="1227"/>
      <c r="BH92" s="1227"/>
      <c r="BI92" s="1227"/>
      <c r="BJ92" s="1227"/>
      <c r="BK92" s="1227"/>
      <c r="BL92" s="1227"/>
      <c r="BM92" s="1227"/>
      <c r="BN92" s="1227"/>
      <c r="BO92" s="1227"/>
      <c r="BP92" s="1227"/>
      <c r="BQ92" s="1227"/>
      <c r="BR92" s="1227"/>
      <c r="BS92" s="1227"/>
      <c r="BT92" s="1227"/>
      <c r="BU92" s="592"/>
      <c r="BV92" s="584"/>
      <c r="BW92" s="2141"/>
      <c r="BX92" s="2141"/>
      <c r="BY92" s="2141"/>
      <c r="BZ92" s="2141"/>
      <c r="CA92" s="2141"/>
      <c r="CB92" s="2141"/>
      <c r="CC92" s="2141"/>
      <c r="CD92" s="2141"/>
      <c r="CE92" s="2141"/>
      <c r="CF92" s="2141"/>
      <c r="CG92" s="2141"/>
      <c r="CH92" s="2141"/>
      <c r="CI92" s="2141"/>
      <c r="CJ92" s="2141"/>
      <c r="CK92" s="2141"/>
      <c r="CL92" s="2141"/>
      <c r="CM92" s="2141"/>
      <c r="CN92" s="2141"/>
      <c r="CO92" s="2141"/>
      <c r="CP92" s="2141"/>
      <c r="CQ92" s="2141"/>
      <c r="CR92" s="2141"/>
      <c r="CS92" s="2141"/>
      <c r="CT92" s="1177"/>
      <c r="CU92" s="1178"/>
      <c r="DD92" s="16"/>
      <c r="DE92" s="16"/>
      <c r="DF92" s="16"/>
      <c r="DG92" s="16"/>
      <c r="DH92" s="16"/>
      <c r="DI92" s="1593"/>
      <c r="DJ92" s="1163"/>
      <c r="DM92" s="605">
        <f>IF(OR(AB98="一級",AB98="二級"),1,0)</f>
        <v>0</v>
      </c>
      <c r="DN92" s="1161" t="s">
        <v>2879</v>
      </c>
      <c r="DO92" s="197"/>
      <c r="DR92" s="84" t="s">
        <v>1300</v>
      </c>
      <c r="DS92" s="1684" t="str">
        <f>IF($AB$92="","",$AB$92)</f>
        <v/>
      </c>
      <c r="DV92" s="683"/>
      <c r="DW92" s="196"/>
      <c r="EG92" s="78"/>
      <c r="EH92" s="78"/>
      <c r="EI92" s="78"/>
      <c r="EJ92" s="78"/>
      <c r="EK92" s="78"/>
      <c r="FV92" s="78"/>
      <c r="FW92" s="78"/>
      <c r="FX92" s="78"/>
      <c r="FY92" s="78"/>
      <c r="FZ92" s="78"/>
    </row>
    <row r="93" spans="1:183" ht="27" customHeight="1" thickBot="1" x14ac:dyDescent="0.2">
      <c r="A93" s="1201"/>
      <c r="B93" s="1201"/>
      <c r="C93" s="1201"/>
      <c r="D93" s="1201"/>
      <c r="E93" s="1202"/>
      <c r="J93" s="1260"/>
      <c r="K93" s="1261"/>
      <c r="L93" s="1261"/>
      <c r="M93" s="2182"/>
      <c r="N93" s="2182"/>
      <c r="O93" s="2182"/>
      <c r="P93" s="2182"/>
      <c r="Q93" s="2182"/>
      <c r="R93" s="2182"/>
      <c r="S93" s="2240"/>
      <c r="T93" s="2240"/>
      <c r="U93" s="2240"/>
      <c r="V93" s="2240"/>
      <c r="W93" s="2240"/>
      <c r="X93" s="2240"/>
      <c r="Y93" s="1216"/>
      <c r="Z93" s="2275" t="s">
        <v>888</v>
      </c>
      <c r="AA93" s="2275"/>
      <c r="AB93" s="2162"/>
      <c r="AC93" s="2162"/>
      <c r="AD93" s="2162"/>
      <c r="AE93" s="2162"/>
      <c r="AF93" s="2162"/>
      <c r="AG93" s="2162"/>
      <c r="AH93" s="2162"/>
      <c r="AI93" s="2163"/>
      <c r="AJ93" s="2163"/>
      <c r="AK93" s="2163"/>
      <c r="AL93" s="2163"/>
      <c r="AM93" s="2163"/>
      <c r="AN93" s="2163"/>
      <c r="AO93" s="2163"/>
      <c r="AP93" s="2163"/>
      <c r="AQ93" s="1262" t="s">
        <v>4</v>
      </c>
      <c r="AR93" s="1262"/>
      <c r="AS93" s="1227"/>
      <c r="AT93" s="1227"/>
      <c r="AU93" s="1227"/>
      <c r="AV93" s="1227"/>
      <c r="AW93" s="1227"/>
      <c r="AX93" s="1227"/>
      <c r="AY93" s="1227"/>
      <c r="AZ93" s="1227"/>
      <c r="BA93" s="1227"/>
      <c r="BB93" s="1227"/>
      <c r="BC93" s="1227"/>
      <c r="BD93" s="1227"/>
      <c r="BE93" s="1227"/>
      <c r="BF93" s="1227"/>
      <c r="BG93" s="1227"/>
      <c r="BH93" s="1227"/>
      <c r="BI93" s="1227"/>
      <c r="BJ93" s="1227"/>
      <c r="BK93" s="1227"/>
      <c r="BL93" s="1227"/>
      <c r="BM93" s="1227"/>
      <c r="BN93" s="1227"/>
      <c r="BO93" s="1227"/>
      <c r="BP93" s="1227"/>
      <c r="BQ93" s="1227"/>
      <c r="BR93" s="1227"/>
      <c r="BS93" s="1227"/>
      <c r="BT93" s="1227"/>
      <c r="BU93" s="592"/>
      <c r="BV93" s="584"/>
      <c r="BW93" s="584"/>
      <c r="BX93" s="584"/>
      <c r="BY93" s="584"/>
      <c r="BZ93" s="584"/>
      <c r="CA93" s="584"/>
      <c r="CB93" s="584"/>
      <c r="CC93" s="584"/>
      <c r="CD93" s="584"/>
      <c r="CE93" s="584"/>
      <c r="CF93" s="584"/>
      <c r="CG93" s="584"/>
      <c r="CH93" s="584"/>
      <c r="CI93" s="584"/>
      <c r="CJ93" s="584"/>
      <c r="CK93" s="584"/>
      <c r="CL93" s="584"/>
      <c r="CM93" s="584"/>
      <c r="CN93" s="584"/>
      <c r="CO93" s="584"/>
      <c r="CP93" s="584"/>
      <c r="CQ93" s="584"/>
      <c r="CR93" s="584"/>
      <c r="CS93" s="584"/>
      <c r="CT93" s="584"/>
      <c r="CU93" s="602"/>
      <c r="DD93" s="16"/>
      <c r="DE93" s="16"/>
      <c r="DF93" s="16"/>
      <c r="DG93" s="16"/>
      <c r="DH93" s="16"/>
      <c r="DI93" s="1593"/>
      <c r="DJ93" s="1163"/>
      <c r="DM93" s="16"/>
      <c r="DN93" s="16"/>
      <c r="DO93" s="197"/>
      <c r="DR93" s="84" t="s">
        <v>2903</v>
      </c>
      <c r="DS93" s="1667" t="str">
        <f>IF($AB$93="","",$AB$93)</f>
        <v/>
      </c>
      <c r="DV93" s="683"/>
      <c r="DW93" s="196"/>
      <c r="EG93" s="78"/>
      <c r="EH93" s="78"/>
      <c r="EI93" s="78"/>
      <c r="EJ93" s="78"/>
      <c r="EK93" s="78"/>
      <c r="FV93" s="78"/>
      <c r="FW93" s="78"/>
      <c r="FX93" s="78"/>
      <c r="FY93" s="78"/>
      <c r="FZ93" s="78"/>
    </row>
    <row r="94" spans="1:183" s="78" customFormat="1" ht="27" customHeight="1" thickBot="1" x14ac:dyDescent="0.2">
      <c r="A94" s="1201"/>
      <c r="B94" s="1201"/>
      <c r="C94" s="1201"/>
      <c r="D94" s="1201"/>
      <c r="E94" s="1202"/>
      <c r="F94" s="652"/>
      <c r="G94" s="652"/>
      <c r="H94" s="652"/>
      <c r="I94" s="1249"/>
      <c r="J94" s="1215"/>
      <c r="K94" s="1216"/>
      <c r="L94" s="1216"/>
      <c r="M94" s="2604"/>
      <c r="N94" s="2604"/>
      <c r="O94" s="2604"/>
      <c r="P94" s="2604"/>
      <c r="Q94" s="2604"/>
      <c r="R94" s="2604"/>
      <c r="S94" s="2338" t="s">
        <v>1095</v>
      </c>
      <c r="T94" s="2338"/>
      <c r="U94" s="2338"/>
      <c r="V94" s="2338"/>
      <c r="W94" s="2338"/>
      <c r="X94" s="2338"/>
      <c r="Y94" s="2338"/>
      <c r="Z94" s="2339" t="s">
        <v>888</v>
      </c>
      <c r="AA94" s="2339"/>
      <c r="AB94" s="2346"/>
      <c r="AC94" s="2346"/>
      <c r="AD94" s="2346"/>
      <c r="AE94" s="2346"/>
      <c r="AF94" s="2346"/>
      <c r="AG94" s="2346"/>
      <c r="AH94" s="2346"/>
      <c r="AI94" s="2347"/>
      <c r="AJ94" s="2347"/>
      <c r="AK94" s="2347"/>
      <c r="AL94" s="2347"/>
      <c r="AM94" s="2347"/>
      <c r="AN94" s="2347"/>
      <c r="AO94" s="2347"/>
      <c r="AP94" s="2347"/>
      <c r="AQ94" s="1263" t="s">
        <v>1606</v>
      </c>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263"/>
      <c r="BS94" s="1263"/>
      <c r="BT94" s="1263"/>
      <c r="BU94" s="604"/>
      <c r="BV94" s="584"/>
      <c r="BW94" s="584"/>
      <c r="BX94" s="584"/>
      <c r="BY94" s="584"/>
      <c r="BZ94" s="584"/>
      <c r="CA94" s="584"/>
      <c r="CB94" s="584"/>
      <c r="CC94" s="584"/>
      <c r="CD94" s="584"/>
      <c r="CE94" s="584"/>
      <c r="CF94" s="584"/>
      <c r="CG94" s="584"/>
      <c r="CH94" s="584"/>
      <c r="CI94" s="584"/>
      <c r="CJ94" s="584"/>
      <c r="CK94" s="584"/>
      <c r="CL94" s="584"/>
      <c r="CM94" s="584"/>
      <c r="CN94" s="584"/>
      <c r="CO94" s="584"/>
      <c r="CP94" s="584"/>
      <c r="CQ94" s="584"/>
      <c r="CR94" s="584"/>
      <c r="CS94" s="584"/>
      <c r="CT94" s="584"/>
      <c r="CU94" s="602"/>
      <c r="CV94" s="388"/>
      <c r="CW94" s="388"/>
      <c r="CX94" s="207"/>
      <c r="CY94" s="207"/>
      <c r="CZ94" s="207"/>
      <c r="DA94" s="207"/>
      <c r="DB94" s="207"/>
      <c r="DC94" s="15"/>
      <c r="DD94" s="16"/>
      <c r="DE94" s="16"/>
      <c r="DF94" s="16"/>
      <c r="DG94" s="16"/>
      <c r="DH94" s="16"/>
      <c r="DI94" s="1593"/>
      <c r="DJ94" s="1163"/>
      <c r="DK94" s="1163"/>
      <c r="DL94" s="77"/>
      <c r="DM94" s="10"/>
      <c r="DN94" s="16"/>
      <c r="DO94" s="197"/>
      <c r="DP94" s="77"/>
      <c r="DQ94" s="77"/>
      <c r="DR94" s="84" t="s">
        <v>2902</v>
      </c>
      <c r="DS94" s="1667" t="str">
        <f>IF($AB$94="","",$AB$94)</f>
        <v/>
      </c>
      <c r="DV94" s="683"/>
      <c r="DW94" s="196"/>
      <c r="FO94" s="579"/>
      <c r="GA94" s="77"/>
    </row>
    <row r="95" spans="1:183" s="78" customFormat="1" ht="27" customHeight="1" thickBot="1" x14ac:dyDescent="0.2">
      <c r="A95" s="1201"/>
      <c r="B95" s="1201"/>
      <c r="C95" s="1201"/>
      <c r="D95" s="1201"/>
      <c r="E95" s="1202"/>
      <c r="F95" s="652"/>
      <c r="G95" s="652"/>
      <c r="H95" s="652"/>
      <c r="I95" s="1249"/>
      <c r="J95" s="1215"/>
      <c r="K95" s="1216"/>
      <c r="L95" s="1216"/>
      <c r="M95" s="2233" t="s">
        <v>318</v>
      </c>
      <c r="N95" s="2255"/>
      <c r="O95" s="2255"/>
      <c r="P95" s="2255"/>
      <c r="Q95" s="2255"/>
      <c r="R95" s="2255"/>
      <c r="S95" s="2231" t="s">
        <v>664</v>
      </c>
      <c r="T95" s="2276"/>
      <c r="U95" s="2276"/>
      <c r="V95" s="2276"/>
      <c r="W95" s="2276"/>
      <c r="X95" s="2276"/>
      <c r="Y95" s="2276"/>
      <c r="Z95" s="2276"/>
      <c r="AA95" s="2276"/>
      <c r="AB95" s="2169"/>
      <c r="AC95" s="2166"/>
      <c r="AD95" s="2166"/>
      <c r="AE95" s="2166"/>
      <c r="AF95" s="2166"/>
      <c r="AG95" s="2166"/>
      <c r="AH95" s="2166"/>
      <c r="AI95" s="2166"/>
      <c r="AJ95" s="2166"/>
      <c r="AK95" s="2166"/>
      <c r="AL95" s="2166"/>
      <c r="AM95" s="2166"/>
      <c r="AN95" s="2166"/>
      <c r="AO95" s="2166"/>
      <c r="AP95" s="2166"/>
      <c r="AQ95" s="2166"/>
      <c r="AR95" s="2166"/>
      <c r="AS95" s="2166"/>
      <c r="AT95" s="2166"/>
      <c r="AU95" s="2166"/>
      <c r="AV95" s="2166"/>
      <c r="AW95" s="2166"/>
      <c r="AX95" s="2166"/>
      <c r="AY95" s="2166"/>
      <c r="AZ95" s="2166"/>
      <c r="BA95" s="2166"/>
      <c r="BB95" s="2166"/>
      <c r="BC95" s="2166"/>
      <c r="BD95" s="2166"/>
      <c r="BE95" s="2166"/>
      <c r="BF95" s="2166"/>
      <c r="BG95" s="2166"/>
      <c r="BH95" s="2166"/>
      <c r="BI95" s="2166"/>
      <c r="BJ95" s="2166"/>
      <c r="BK95" s="2166"/>
      <c r="BL95" s="2166"/>
      <c r="BM95" s="2166"/>
      <c r="BN95" s="2166"/>
      <c r="BO95" s="2166"/>
      <c r="BP95" s="2166"/>
      <c r="BQ95" s="2166"/>
      <c r="BR95" s="2166"/>
      <c r="BS95" s="2166"/>
      <c r="BT95" s="2166"/>
      <c r="BU95" s="604"/>
      <c r="BV95" s="584"/>
      <c r="BW95" s="584"/>
      <c r="BX95" s="584"/>
      <c r="BY95" s="584"/>
      <c r="BZ95" s="584"/>
      <c r="CA95" s="584"/>
      <c r="CB95" s="584"/>
      <c r="CC95" s="584"/>
      <c r="CD95" s="584"/>
      <c r="CE95" s="584"/>
      <c r="CF95" s="584"/>
      <c r="CG95" s="584"/>
      <c r="CH95" s="584"/>
      <c r="CI95" s="584"/>
      <c r="CJ95" s="584"/>
      <c r="CK95" s="584"/>
      <c r="CL95" s="584"/>
      <c r="CM95" s="584"/>
      <c r="CN95" s="584"/>
      <c r="CO95" s="584"/>
      <c r="CP95" s="584"/>
      <c r="CQ95" s="584"/>
      <c r="CR95" s="584"/>
      <c r="CS95" s="584"/>
      <c r="CT95" s="584"/>
      <c r="CU95" s="602"/>
      <c r="CV95" s="388"/>
      <c r="CW95" s="388"/>
      <c r="CX95" s="207"/>
      <c r="CY95" s="207"/>
      <c r="CZ95" s="207"/>
      <c r="DA95" s="207"/>
      <c r="DB95" s="207"/>
      <c r="DC95" s="15"/>
      <c r="DD95" s="16"/>
      <c r="DE95" s="16"/>
      <c r="DF95" s="16"/>
      <c r="DG95" s="16"/>
      <c r="DH95" s="16"/>
      <c r="DI95" s="1593"/>
      <c r="DJ95" s="1163"/>
      <c r="DK95" s="1163"/>
      <c r="DL95" s="77"/>
      <c r="DM95" s="77"/>
      <c r="DN95" s="77"/>
      <c r="DO95" s="77"/>
      <c r="DP95" s="77"/>
      <c r="DQ95" s="77"/>
      <c r="DR95" s="78" t="s">
        <v>2907</v>
      </c>
      <c r="DS95" s="1681" t="str">
        <f>ASC(IF($AB$95="","",$AB$95))</f>
        <v/>
      </c>
      <c r="DV95" s="196"/>
      <c r="DW95" s="196"/>
      <c r="EG95" s="73"/>
      <c r="EH95" s="73"/>
      <c r="EI95" s="73"/>
      <c r="EJ95" s="73"/>
      <c r="EK95" s="73"/>
      <c r="FO95" s="579"/>
      <c r="FV95" s="73"/>
      <c r="FW95" s="73"/>
      <c r="FX95" s="73"/>
      <c r="FY95" s="73"/>
      <c r="FZ95" s="73"/>
      <c r="GA95" s="77"/>
    </row>
    <row r="96" spans="1:183" s="78" customFormat="1" ht="27" customHeight="1" thickBot="1" x14ac:dyDescent="0.2">
      <c r="A96" s="1201"/>
      <c r="B96" s="1201"/>
      <c r="C96" s="1201"/>
      <c r="D96" s="1201"/>
      <c r="E96" s="1202"/>
      <c r="F96" s="652"/>
      <c r="G96" s="652"/>
      <c r="H96" s="652"/>
      <c r="I96" s="1249"/>
      <c r="J96" s="1215"/>
      <c r="K96" s="1216"/>
      <c r="L96" s="1216"/>
      <c r="M96" s="2255"/>
      <c r="N96" s="2255"/>
      <c r="O96" s="2255"/>
      <c r="P96" s="2255"/>
      <c r="Q96" s="2255"/>
      <c r="R96" s="2255"/>
      <c r="S96" s="2260" t="s">
        <v>318</v>
      </c>
      <c r="T96" s="2261"/>
      <c r="U96" s="2261"/>
      <c r="V96" s="2261"/>
      <c r="W96" s="2261"/>
      <c r="X96" s="2261"/>
      <c r="Y96" s="2261"/>
      <c r="Z96" s="2261"/>
      <c r="AA96" s="2261"/>
      <c r="AB96" s="2196"/>
      <c r="AC96" s="2197"/>
      <c r="AD96" s="2197"/>
      <c r="AE96" s="2197"/>
      <c r="AF96" s="2197"/>
      <c r="AG96" s="2198"/>
      <c r="AH96" s="2198"/>
      <c r="AI96" s="2198"/>
      <c r="AJ96" s="2198"/>
      <c r="AK96" s="2198"/>
      <c r="AL96" s="2198"/>
      <c r="AM96" s="2198"/>
      <c r="AN96" s="2198"/>
      <c r="AO96" s="2198"/>
      <c r="AP96" s="2198"/>
      <c r="AQ96" s="2198"/>
      <c r="AR96" s="2198"/>
      <c r="AS96" s="2198"/>
      <c r="AT96" s="2198"/>
      <c r="AU96" s="2198"/>
      <c r="AV96" s="2198"/>
      <c r="AW96" s="2198"/>
      <c r="AX96" s="2198"/>
      <c r="AY96" s="2198"/>
      <c r="AZ96" s="2198"/>
      <c r="BA96" s="2198"/>
      <c r="BB96" s="2198"/>
      <c r="BC96" s="2198"/>
      <c r="BD96" s="2198"/>
      <c r="BE96" s="2198"/>
      <c r="BF96" s="2198"/>
      <c r="BG96" s="2198"/>
      <c r="BH96" s="2198"/>
      <c r="BI96" s="2198"/>
      <c r="BJ96" s="2198"/>
      <c r="BK96" s="2198"/>
      <c r="BL96" s="2198"/>
      <c r="BM96" s="2198"/>
      <c r="BN96" s="2198"/>
      <c r="BO96" s="2198"/>
      <c r="BP96" s="2198"/>
      <c r="BQ96" s="2198"/>
      <c r="BR96" s="2198"/>
      <c r="BS96" s="2198"/>
      <c r="BT96" s="2198"/>
      <c r="BU96" s="604"/>
      <c r="BV96" s="584"/>
      <c r="BW96" s="584"/>
      <c r="BX96" s="584"/>
      <c r="BY96" s="584"/>
      <c r="BZ96" s="584"/>
      <c r="CA96" s="584"/>
      <c r="CB96" s="584"/>
      <c r="CC96" s="584"/>
      <c r="CD96" s="584"/>
      <c r="CE96" s="584"/>
      <c r="CF96" s="584"/>
      <c r="CG96" s="584"/>
      <c r="CH96" s="584"/>
      <c r="CI96" s="584"/>
      <c r="CJ96" s="584"/>
      <c r="CK96" s="584"/>
      <c r="CL96" s="584"/>
      <c r="CM96" s="584"/>
      <c r="CN96" s="584"/>
      <c r="CO96" s="584"/>
      <c r="CP96" s="584"/>
      <c r="CQ96" s="584"/>
      <c r="CR96" s="584"/>
      <c r="CS96" s="584"/>
      <c r="CT96" s="584"/>
      <c r="CU96" s="602"/>
      <c r="CV96" s="388"/>
      <c r="CW96" s="388"/>
      <c r="CX96" s="207"/>
      <c r="CY96" s="207"/>
      <c r="CZ96" s="207"/>
      <c r="DA96" s="207"/>
      <c r="DB96" s="207"/>
      <c r="DC96" s="15"/>
      <c r="DD96" s="16"/>
      <c r="DE96" s="16"/>
      <c r="DF96" s="16"/>
      <c r="DG96" s="16"/>
      <c r="DH96" s="16"/>
      <c r="DI96" s="1593"/>
      <c r="DJ96" s="1163"/>
      <c r="DK96" s="1163"/>
      <c r="DL96" s="77"/>
      <c r="DM96" s="77"/>
      <c r="DN96" s="77"/>
      <c r="DO96" s="77"/>
      <c r="DP96" s="77"/>
      <c r="DQ96" s="77"/>
      <c r="DR96" s="78" t="s">
        <v>1325</v>
      </c>
      <c r="DS96" s="1543" t="str">
        <f>IF($AB$96="","",$AB$96)</f>
        <v/>
      </c>
      <c r="DV96" s="1547" t="s">
        <v>2953</v>
      </c>
      <c r="DW96" s="196"/>
      <c r="EG96" s="73"/>
      <c r="EH96" s="73"/>
      <c r="EI96" s="73"/>
      <c r="EJ96" s="73"/>
      <c r="EK96" s="73"/>
      <c r="FO96" s="579"/>
      <c r="FV96" s="73"/>
      <c r="FW96" s="73"/>
      <c r="FX96" s="73"/>
      <c r="FY96" s="73"/>
      <c r="FZ96" s="73"/>
      <c r="GA96" s="77"/>
    </row>
    <row r="97" spans="1:183" s="78" customFormat="1" ht="27" customHeight="1" thickBot="1" x14ac:dyDescent="0.2">
      <c r="A97" s="1201"/>
      <c r="B97" s="1201"/>
      <c r="C97" s="1201"/>
      <c r="D97" s="1201"/>
      <c r="E97" s="1202"/>
      <c r="F97" s="652"/>
      <c r="G97" s="652"/>
      <c r="H97" s="652"/>
      <c r="I97" s="1249"/>
      <c r="J97" s="1215"/>
      <c r="K97" s="1216"/>
      <c r="L97" s="1216"/>
      <c r="M97" s="2233" t="s">
        <v>223</v>
      </c>
      <c r="N97" s="2255"/>
      <c r="O97" s="2255"/>
      <c r="P97" s="2255"/>
      <c r="Q97" s="2255"/>
      <c r="R97" s="2255"/>
      <c r="S97" s="2231" t="s">
        <v>667</v>
      </c>
      <c r="T97" s="2232"/>
      <c r="U97" s="2232"/>
      <c r="V97" s="2232"/>
      <c r="W97" s="2232"/>
      <c r="X97" s="2232"/>
      <c r="Y97" s="2232"/>
      <c r="Z97" s="2232"/>
      <c r="AA97" s="2232"/>
      <c r="AB97" s="2166"/>
      <c r="AC97" s="2166"/>
      <c r="AD97" s="2166"/>
      <c r="AE97" s="2166"/>
      <c r="AF97" s="2166"/>
      <c r="AG97" s="2166"/>
      <c r="AH97" s="2166"/>
      <c r="AI97" s="2166"/>
      <c r="AJ97" s="2166"/>
      <c r="AK97" s="2166"/>
      <c r="AL97" s="2166"/>
      <c r="AM97" s="2166"/>
      <c r="AN97" s="2166"/>
      <c r="AO97" s="2166"/>
      <c r="AP97" s="2166"/>
      <c r="AQ97" s="2166"/>
      <c r="AR97" s="2166"/>
      <c r="AS97" s="2166"/>
      <c r="AT97" s="2166"/>
      <c r="AU97" s="2166"/>
      <c r="AV97" s="2166"/>
      <c r="AW97" s="2166"/>
      <c r="AX97" s="2166"/>
      <c r="AY97" s="2166"/>
      <c r="AZ97" s="2166"/>
      <c r="BA97" s="2166"/>
      <c r="BB97" s="2166"/>
      <c r="BC97" s="2166"/>
      <c r="BD97" s="2166"/>
      <c r="BE97" s="2166"/>
      <c r="BF97" s="2166"/>
      <c r="BG97" s="2166"/>
      <c r="BH97" s="2166"/>
      <c r="BI97" s="2166"/>
      <c r="BJ97" s="2166"/>
      <c r="BK97" s="2166"/>
      <c r="BL97" s="2166"/>
      <c r="BM97" s="2166"/>
      <c r="BN97" s="2166"/>
      <c r="BO97" s="2166"/>
      <c r="BP97" s="2166"/>
      <c r="BQ97" s="2166"/>
      <c r="BR97" s="2166"/>
      <c r="BS97" s="2166"/>
      <c r="BT97" s="2166"/>
      <c r="BU97" s="604"/>
      <c r="BV97" s="584"/>
      <c r="BW97" s="584"/>
      <c r="BX97" s="584"/>
      <c r="BY97" s="584"/>
      <c r="BZ97" s="584"/>
      <c r="CA97" s="584"/>
      <c r="CB97" s="584"/>
      <c r="CC97" s="584"/>
      <c r="CD97" s="584"/>
      <c r="CE97" s="584"/>
      <c r="CF97" s="584"/>
      <c r="CG97" s="584"/>
      <c r="CH97" s="584"/>
      <c r="CI97" s="584"/>
      <c r="CJ97" s="584"/>
      <c r="CK97" s="584"/>
      <c r="CL97" s="584"/>
      <c r="CM97" s="584"/>
      <c r="CN97" s="584"/>
      <c r="CO97" s="584"/>
      <c r="CP97" s="584"/>
      <c r="CQ97" s="584"/>
      <c r="CR97" s="584"/>
      <c r="CS97" s="584"/>
      <c r="CT97" s="584"/>
      <c r="CU97" s="602"/>
      <c r="CV97" s="388"/>
      <c r="CW97" s="388"/>
      <c r="CX97" s="207"/>
      <c r="CY97" s="207"/>
      <c r="CZ97" s="207"/>
      <c r="DA97" s="207"/>
      <c r="DB97" s="207"/>
      <c r="DC97" s="15"/>
      <c r="DD97" s="16"/>
      <c r="DE97" s="16"/>
      <c r="DF97" s="16"/>
      <c r="DG97" s="16"/>
      <c r="DH97" s="16"/>
      <c r="DI97" s="1593"/>
      <c r="DJ97" s="1163"/>
      <c r="DK97" s="1163"/>
      <c r="DL97" s="77"/>
      <c r="DM97" s="77"/>
      <c r="DN97" s="77"/>
      <c r="DO97" s="77"/>
      <c r="DP97" s="77"/>
      <c r="DQ97" s="77"/>
      <c r="DR97" s="78" t="s">
        <v>2904</v>
      </c>
      <c r="DS97" s="384" t="str">
        <f>IF($AB$97="","",$AB$97)</f>
        <v/>
      </c>
      <c r="DV97" s="196" t="s">
        <v>2904</v>
      </c>
      <c r="DW97" s="1543" t="str">
        <f>IF($DS$90,DS79,DS97)</f>
        <v/>
      </c>
      <c r="EG97" s="73"/>
      <c r="EH97" s="73"/>
      <c r="EI97" s="73"/>
      <c r="EJ97" s="73"/>
      <c r="EK97" s="73"/>
      <c r="FO97" s="579"/>
      <c r="FV97" s="73"/>
      <c r="FW97" s="73"/>
      <c r="FX97" s="73"/>
      <c r="FY97" s="73"/>
      <c r="FZ97" s="73"/>
      <c r="GA97" s="77"/>
    </row>
    <row r="98" spans="1:183" ht="27" customHeight="1" thickBot="1" x14ac:dyDescent="0.2">
      <c r="A98" s="1201"/>
      <c r="B98" s="1201"/>
      <c r="C98" s="1201"/>
      <c r="D98" s="1201"/>
      <c r="E98" s="1202"/>
      <c r="J98" s="1260"/>
      <c r="K98" s="1261"/>
      <c r="L98" s="1261"/>
      <c r="M98" s="2255"/>
      <c r="N98" s="2255"/>
      <c r="O98" s="2255"/>
      <c r="P98" s="2255"/>
      <c r="Q98" s="2255"/>
      <c r="R98" s="2255"/>
      <c r="S98" s="2181" t="s">
        <v>665</v>
      </c>
      <c r="T98" s="2181"/>
      <c r="U98" s="2181"/>
      <c r="V98" s="2181"/>
      <c r="W98" s="2181"/>
      <c r="X98" s="2181"/>
      <c r="Y98" s="2181"/>
      <c r="Z98" s="2139"/>
      <c r="AA98" s="2139"/>
      <c r="AB98" s="2622"/>
      <c r="AC98" s="2201"/>
      <c r="AD98" s="2201"/>
      <c r="AE98" s="2201"/>
      <c r="AF98" s="2163"/>
      <c r="AG98" s="2163"/>
      <c r="AH98" s="2163"/>
      <c r="AI98" s="2163"/>
      <c r="AJ98" s="2163"/>
      <c r="AK98" s="2163"/>
      <c r="AL98" s="2163"/>
      <c r="AM98" s="2163"/>
      <c r="AN98" s="2163"/>
      <c r="AO98" s="2163"/>
      <c r="AP98" s="2163"/>
      <c r="AQ98" s="1253" t="s">
        <v>316</v>
      </c>
      <c r="AR98" s="1253"/>
      <c r="AS98" s="1264"/>
      <c r="AT98" s="1264"/>
      <c r="AU98" s="1264"/>
      <c r="AV98" s="1264"/>
      <c r="AW98" s="1264"/>
      <c r="AX98" s="1264"/>
      <c r="AY98" s="1264"/>
      <c r="AZ98" s="1264"/>
      <c r="BA98" s="1264"/>
      <c r="BB98" s="1264"/>
      <c r="BC98" s="1264"/>
      <c r="BD98" s="1264"/>
      <c r="BE98" s="1264"/>
      <c r="BF98" s="1264"/>
      <c r="BG98" s="1264"/>
      <c r="BH98" s="1264"/>
      <c r="BI98" s="1264"/>
      <c r="BJ98" s="1264"/>
      <c r="BK98" s="1264"/>
      <c r="BL98" s="1264"/>
      <c r="BM98" s="1264"/>
      <c r="BN98" s="1264"/>
      <c r="BO98" s="1264"/>
      <c r="BP98" s="1264"/>
      <c r="BQ98" s="1264"/>
      <c r="BR98" s="1264"/>
      <c r="BS98" s="1264"/>
      <c r="BT98" s="1264"/>
      <c r="BU98" s="584"/>
      <c r="BV98" s="405" t="s">
        <v>1892</v>
      </c>
      <c r="BW98" s="2141" t="s">
        <v>1895</v>
      </c>
      <c r="BX98" s="2141"/>
      <c r="BY98" s="2141"/>
      <c r="BZ98" s="2141"/>
      <c r="CA98" s="2141"/>
      <c r="CB98" s="2141"/>
      <c r="CC98" s="2141"/>
      <c r="CD98" s="2141"/>
      <c r="CE98" s="2141"/>
      <c r="CF98" s="2141"/>
      <c r="CG98" s="2141"/>
      <c r="CH98" s="2141"/>
      <c r="CI98" s="2141"/>
      <c r="CJ98" s="2141"/>
      <c r="CK98" s="2141"/>
      <c r="CL98" s="2141"/>
      <c r="CM98" s="2141"/>
      <c r="CN98" s="2141"/>
      <c r="CO98" s="2141"/>
      <c r="CP98" s="2141"/>
      <c r="CQ98" s="2141"/>
      <c r="CR98" s="2141"/>
      <c r="CS98" s="2141"/>
      <c r="CT98" s="1177"/>
      <c r="CU98" s="1178"/>
      <c r="DD98" s="16"/>
      <c r="DE98" s="16"/>
      <c r="DF98" s="16"/>
      <c r="DG98" s="16"/>
      <c r="DH98" s="16"/>
      <c r="DI98" s="1593"/>
      <c r="DJ98" s="1163"/>
      <c r="DR98" s="78" t="s">
        <v>1981</v>
      </c>
      <c r="DS98" s="155" t="str">
        <f>IF($AB$98="","",$AB$98)</f>
        <v/>
      </c>
      <c r="DV98" s="78" t="s">
        <v>1981</v>
      </c>
      <c r="DW98" s="1543" t="str">
        <f t="shared" ref="DW98:DW103" si="5">IF($DS$90,DS80,DS98)</f>
        <v/>
      </c>
      <c r="EG98" s="73"/>
      <c r="EH98" s="73"/>
      <c r="EI98" s="73"/>
      <c r="EJ98" s="73"/>
      <c r="EK98" s="73"/>
      <c r="FV98" s="73"/>
      <c r="FW98" s="73"/>
      <c r="FX98" s="73"/>
      <c r="FY98" s="73"/>
      <c r="FZ98" s="73"/>
    </row>
    <row r="99" spans="1:183" ht="27" customHeight="1" thickBot="1" x14ac:dyDescent="0.2">
      <c r="A99" s="1201"/>
      <c r="B99" s="1201"/>
      <c r="C99" s="1201"/>
      <c r="D99" s="1201"/>
      <c r="E99" s="1202"/>
      <c r="J99" s="1260"/>
      <c r="K99" s="1261"/>
      <c r="L99" s="1261"/>
      <c r="M99" s="2255"/>
      <c r="N99" s="2255"/>
      <c r="O99" s="2255"/>
      <c r="P99" s="2255"/>
      <c r="Q99" s="2255"/>
      <c r="R99" s="2255"/>
      <c r="S99" s="2182"/>
      <c r="T99" s="2182"/>
      <c r="U99" s="2182"/>
      <c r="V99" s="2182"/>
      <c r="W99" s="2182"/>
      <c r="X99" s="2182"/>
      <c r="Y99" s="2182"/>
      <c r="Z99" s="2275"/>
      <c r="AA99" s="2275"/>
      <c r="AB99" s="2201"/>
      <c r="AC99" s="2201"/>
      <c r="AD99" s="2201"/>
      <c r="AE99" s="2201"/>
      <c r="AF99" s="2201"/>
      <c r="AG99" s="2201"/>
      <c r="AH99" s="2201"/>
      <c r="AI99" s="2201"/>
      <c r="AJ99" s="2201"/>
      <c r="AK99" s="2201"/>
      <c r="AL99" s="2201"/>
      <c r="AM99" s="2201"/>
      <c r="AN99" s="2201"/>
      <c r="AO99" s="2201"/>
      <c r="AP99" s="2201"/>
      <c r="AQ99" s="1216" t="s">
        <v>651</v>
      </c>
      <c r="AR99" s="1216"/>
      <c r="AS99" s="1227"/>
      <c r="AT99" s="1227"/>
      <c r="AU99" s="1227"/>
      <c r="AV99" s="1227"/>
      <c r="AW99" s="1227"/>
      <c r="AX99" s="1227"/>
      <c r="AY99" s="1227"/>
      <c r="AZ99" s="1227"/>
      <c r="BA99" s="1227"/>
      <c r="BB99" s="1227"/>
      <c r="BC99" s="1227"/>
      <c r="BD99" s="1227"/>
      <c r="BE99" s="1227"/>
      <c r="BF99" s="1227"/>
      <c r="BG99" s="1227"/>
      <c r="BH99" s="1227"/>
      <c r="BI99" s="1227"/>
      <c r="BJ99" s="1227"/>
      <c r="BK99" s="1227"/>
      <c r="BL99" s="1227"/>
      <c r="BM99" s="1227"/>
      <c r="BN99" s="1227"/>
      <c r="BO99" s="1227"/>
      <c r="BP99" s="1227"/>
      <c r="BQ99" s="1227"/>
      <c r="BR99" s="1227"/>
      <c r="BS99" s="1227"/>
      <c r="BT99" s="1227"/>
      <c r="BU99" s="584"/>
      <c r="BV99" s="584"/>
      <c r="BW99" s="2141"/>
      <c r="BX99" s="2141"/>
      <c r="BY99" s="2141"/>
      <c r="BZ99" s="2141"/>
      <c r="CA99" s="2141"/>
      <c r="CB99" s="2141"/>
      <c r="CC99" s="2141"/>
      <c r="CD99" s="2141"/>
      <c r="CE99" s="2141"/>
      <c r="CF99" s="2141"/>
      <c r="CG99" s="2141"/>
      <c r="CH99" s="2141"/>
      <c r="CI99" s="2141"/>
      <c r="CJ99" s="2141"/>
      <c r="CK99" s="2141"/>
      <c r="CL99" s="2141"/>
      <c r="CM99" s="2141"/>
      <c r="CN99" s="2141"/>
      <c r="CO99" s="2141"/>
      <c r="CP99" s="2141"/>
      <c r="CQ99" s="2141"/>
      <c r="CR99" s="2141"/>
      <c r="CS99" s="2141"/>
      <c r="CT99" s="1177"/>
      <c r="CU99" s="1178"/>
      <c r="DD99" s="16"/>
      <c r="DE99" s="16"/>
      <c r="DF99" s="16"/>
      <c r="DG99" s="16"/>
      <c r="DH99" s="16"/>
      <c r="DI99" s="1593"/>
      <c r="DJ99" s="1163"/>
      <c r="DR99" s="84" t="s">
        <v>1981</v>
      </c>
      <c r="DS99" s="155" t="str">
        <f>IF($AB$99="","",$AB$99)</f>
        <v/>
      </c>
      <c r="DV99" s="84" t="s">
        <v>1981</v>
      </c>
      <c r="DW99" s="1543" t="str">
        <f t="shared" si="5"/>
        <v/>
      </c>
      <c r="EG99" s="78"/>
      <c r="EH99" s="78"/>
      <c r="EI99" s="78"/>
      <c r="EJ99" s="78"/>
      <c r="EK99" s="78"/>
      <c r="FV99" s="78"/>
      <c r="FW99" s="78"/>
      <c r="FX99" s="78"/>
      <c r="FY99" s="78"/>
      <c r="FZ99" s="78"/>
    </row>
    <row r="100" spans="1:183" s="78" customFormat="1" ht="27" customHeight="1" thickBot="1" x14ac:dyDescent="0.2">
      <c r="A100" s="1201"/>
      <c r="B100" s="1201"/>
      <c r="C100" s="1201"/>
      <c r="D100" s="1201"/>
      <c r="E100" s="1202"/>
      <c r="F100" s="652"/>
      <c r="G100" s="652"/>
      <c r="H100" s="652"/>
      <c r="I100" s="1249"/>
      <c r="J100" s="1215"/>
      <c r="K100" s="1216"/>
      <c r="L100" s="1216"/>
      <c r="M100" s="2255"/>
      <c r="N100" s="2255"/>
      <c r="O100" s="2255"/>
      <c r="P100" s="2255"/>
      <c r="Q100" s="2255"/>
      <c r="R100" s="2255"/>
      <c r="S100" s="2183"/>
      <c r="T100" s="2183"/>
      <c r="U100" s="2183"/>
      <c r="V100" s="2183"/>
      <c r="W100" s="2183"/>
      <c r="X100" s="2183"/>
      <c r="Y100" s="2183"/>
      <c r="Z100" s="2184" t="s">
        <v>888</v>
      </c>
      <c r="AA100" s="2184"/>
      <c r="AB100" s="2162"/>
      <c r="AC100" s="2162"/>
      <c r="AD100" s="2162"/>
      <c r="AE100" s="2162"/>
      <c r="AF100" s="2162"/>
      <c r="AG100" s="2162"/>
      <c r="AH100" s="2162"/>
      <c r="AI100" s="2163"/>
      <c r="AJ100" s="2163"/>
      <c r="AK100" s="2163"/>
      <c r="AL100" s="2163"/>
      <c r="AM100" s="2163"/>
      <c r="AN100" s="2163"/>
      <c r="AO100" s="2163"/>
      <c r="AP100" s="2163"/>
      <c r="AQ100" s="1216" t="s">
        <v>4</v>
      </c>
      <c r="AR100" s="1262"/>
      <c r="AS100" s="1262"/>
      <c r="AT100" s="1262"/>
      <c r="AU100" s="1262"/>
      <c r="AV100" s="1262"/>
      <c r="AW100" s="1262"/>
      <c r="AX100" s="1262"/>
      <c r="AY100" s="1262"/>
      <c r="AZ100" s="1227"/>
      <c r="BA100" s="1262"/>
      <c r="BB100" s="1262"/>
      <c r="BC100" s="1262"/>
      <c r="BD100" s="1262"/>
      <c r="BE100" s="1262"/>
      <c r="BF100" s="1262"/>
      <c r="BG100" s="1262"/>
      <c r="BH100" s="1262"/>
      <c r="BI100" s="1262"/>
      <c r="BJ100" s="1262"/>
      <c r="BK100" s="1262"/>
      <c r="BL100" s="1262"/>
      <c r="BM100" s="1262"/>
      <c r="BN100" s="1262"/>
      <c r="BO100" s="1262"/>
      <c r="BP100" s="1262"/>
      <c r="BQ100" s="1262"/>
      <c r="BR100" s="1262"/>
      <c r="BS100" s="1262"/>
      <c r="BT100" s="1262"/>
      <c r="BU100" s="584"/>
      <c r="BV100" s="584"/>
      <c r="BW100" s="584"/>
      <c r="BX100" s="584"/>
      <c r="BY100" s="584"/>
      <c r="BZ100" s="584"/>
      <c r="CA100" s="584"/>
      <c r="CB100" s="584"/>
      <c r="CC100" s="584"/>
      <c r="CD100" s="584"/>
      <c r="CE100" s="584"/>
      <c r="CF100" s="584"/>
      <c r="CG100" s="584"/>
      <c r="CH100" s="584"/>
      <c r="CI100" s="584"/>
      <c r="CJ100" s="584"/>
      <c r="CK100" s="584"/>
      <c r="CL100" s="584"/>
      <c r="CM100" s="584"/>
      <c r="CN100" s="584"/>
      <c r="CO100" s="584"/>
      <c r="CP100" s="584"/>
      <c r="CQ100" s="584"/>
      <c r="CR100" s="584"/>
      <c r="CS100" s="584"/>
      <c r="CT100" s="584"/>
      <c r="CU100" s="602"/>
      <c r="CV100" s="1252"/>
      <c r="CW100" s="1252"/>
      <c r="CX100" s="599"/>
      <c r="CY100" s="599"/>
      <c r="CZ100" s="599"/>
      <c r="DA100" s="599"/>
      <c r="DB100" s="599"/>
      <c r="DC100" s="195"/>
      <c r="DD100" s="599"/>
      <c r="DE100" s="599"/>
      <c r="DF100" s="600"/>
      <c r="DG100" s="600"/>
      <c r="DH100" s="600"/>
      <c r="DI100" s="1593"/>
      <c r="DJ100" s="1167"/>
      <c r="DK100" s="1166"/>
      <c r="DL100" s="77"/>
      <c r="DM100" s="223" t="s">
        <v>1644</v>
      </c>
      <c r="DN100" s="1161" t="s">
        <v>2956</v>
      </c>
      <c r="DO100" s="211"/>
      <c r="DP100" s="211"/>
      <c r="DQ100" s="81"/>
      <c r="DR100" s="84" t="s">
        <v>2906</v>
      </c>
      <c r="DS100" s="155" t="str">
        <f>IF($AB$100="","",$AB$100)</f>
        <v/>
      </c>
      <c r="DV100" s="84" t="s">
        <v>2906</v>
      </c>
      <c r="DW100" s="1543" t="str">
        <f t="shared" si="5"/>
        <v/>
      </c>
      <c r="FO100" s="579"/>
      <c r="GA100" s="77"/>
    </row>
    <row r="101" spans="1:183" s="78" customFormat="1" ht="27" customHeight="1" thickBot="1" x14ac:dyDescent="0.2">
      <c r="A101" s="1201"/>
      <c r="B101" s="1201"/>
      <c r="C101" s="1201"/>
      <c r="D101" s="1201"/>
      <c r="E101" s="1202"/>
      <c r="F101" s="652"/>
      <c r="G101" s="652"/>
      <c r="H101" s="652"/>
      <c r="I101" s="1249"/>
      <c r="J101" s="1215"/>
      <c r="K101" s="1216"/>
      <c r="L101" s="1216"/>
      <c r="M101" s="2255"/>
      <c r="N101" s="2255"/>
      <c r="O101" s="2255"/>
      <c r="P101" s="2255"/>
      <c r="Q101" s="2255"/>
      <c r="R101" s="2255"/>
      <c r="S101" s="2277" t="s">
        <v>1283</v>
      </c>
      <c r="T101" s="2335"/>
      <c r="U101" s="2335"/>
      <c r="V101" s="2335"/>
      <c r="W101" s="2335"/>
      <c r="X101" s="2335"/>
      <c r="Y101" s="2335"/>
      <c r="Z101" s="2335"/>
      <c r="AA101" s="2335"/>
      <c r="AB101" s="2175"/>
      <c r="AC101" s="2175"/>
      <c r="AD101" s="2175"/>
      <c r="AE101" s="2175"/>
      <c r="AF101" s="2175"/>
      <c r="AG101" s="2175"/>
      <c r="AH101" s="2174" t="s">
        <v>1093</v>
      </c>
      <c r="AI101" s="2174"/>
      <c r="AJ101" s="2174"/>
      <c r="AK101" s="2175"/>
      <c r="AL101" s="2175"/>
      <c r="AM101" s="2175"/>
      <c r="AN101" s="2175"/>
      <c r="AO101" s="2175"/>
      <c r="AP101" s="2175"/>
      <c r="AQ101" s="2322"/>
      <c r="AR101" s="2322"/>
      <c r="AS101" s="2322"/>
      <c r="AT101" s="2322"/>
      <c r="AU101" s="2322"/>
      <c r="AV101" s="2322"/>
      <c r="AW101" s="2322"/>
      <c r="AX101" s="2322"/>
      <c r="AY101" s="2322"/>
      <c r="AZ101" s="2322"/>
      <c r="BA101" s="2322"/>
      <c r="BB101" s="2322"/>
      <c r="BC101" s="2322"/>
      <c r="BD101" s="2322"/>
      <c r="BE101" s="2322"/>
      <c r="BF101" s="2322"/>
      <c r="BG101" s="2322"/>
      <c r="BH101" s="2322"/>
      <c r="BI101" s="2322"/>
      <c r="BJ101" s="2322"/>
      <c r="BK101" s="2322"/>
      <c r="BL101" s="2322"/>
      <c r="BM101" s="2322"/>
      <c r="BN101" s="2322"/>
      <c r="BO101" s="2322"/>
      <c r="BP101" s="2322"/>
      <c r="BQ101" s="2322"/>
      <c r="BR101" s="2322"/>
      <c r="BS101" s="2322"/>
      <c r="BT101" s="2322"/>
      <c r="BU101" s="584"/>
      <c r="BV101" s="584"/>
      <c r="BW101" s="584"/>
      <c r="BX101" s="584"/>
      <c r="BY101" s="584"/>
      <c r="BZ101" s="584"/>
      <c r="CA101" s="584"/>
      <c r="CB101" s="584"/>
      <c r="CC101" s="584"/>
      <c r="CD101" s="584"/>
      <c r="CE101" s="584"/>
      <c r="CF101" s="584"/>
      <c r="CG101" s="584"/>
      <c r="CH101" s="584"/>
      <c r="CI101" s="584"/>
      <c r="CJ101" s="584"/>
      <c r="CK101" s="584"/>
      <c r="CL101" s="584"/>
      <c r="CM101" s="584"/>
      <c r="CN101" s="584"/>
      <c r="CO101" s="584"/>
      <c r="CP101" s="584"/>
      <c r="CQ101" s="584"/>
      <c r="CR101" s="584"/>
      <c r="CS101" s="584"/>
      <c r="CT101" s="584"/>
      <c r="CU101" s="602"/>
      <c r="CV101" s="1252"/>
      <c r="CW101" s="1252"/>
      <c r="CX101" s="599"/>
      <c r="CY101" s="599"/>
      <c r="CZ101" s="599"/>
      <c r="DA101" s="599"/>
      <c r="DB101" s="599"/>
      <c r="DC101" s="195"/>
      <c r="DD101" s="599"/>
      <c r="DE101" s="599"/>
      <c r="DF101" s="600"/>
      <c r="DG101" s="600"/>
      <c r="DH101" s="600"/>
      <c r="DI101" s="1593"/>
      <c r="DJ101" s="1167"/>
      <c r="DK101" s="1166"/>
      <c r="DL101" s="77"/>
      <c r="DM101" s="160" t="str">
        <f>CONCATENATE(AB101,"-",AK101)</f>
        <v>-</v>
      </c>
      <c r="DN101" s="160" t="str">
        <f>IF(DM101="-","",ASC(DM101))</f>
        <v/>
      </c>
      <c r="DO101" s="1571"/>
      <c r="DP101" s="1572"/>
      <c r="DQ101" s="211"/>
      <c r="DR101" s="78" t="s">
        <v>1334</v>
      </c>
      <c r="DS101" s="155" t="str">
        <f>IF($DN$101="","",$DN$101)</f>
        <v/>
      </c>
      <c r="DV101" s="78" t="s">
        <v>1334</v>
      </c>
      <c r="DW101" s="1543" t="str">
        <f t="shared" si="5"/>
        <v/>
      </c>
      <c r="EG101" s="73"/>
      <c r="EH101" s="73"/>
      <c r="EI101" s="73"/>
      <c r="EJ101" s="73"/>
      <c r="EK101" s="73"/>
      <c r="FO101" s="579"/>
      <c r="FV101" s="73"/>
      <c r="FW101" s="73"/>
      <c r="FX101" s="73"/>
      <c r="FY101" s="73"/>
      <c r="FZ101" s="73"/>
      <c r="GA101" s="77"/>
    </row>
    <row r="102" spans="1:183" s="78" customFormat="1" ht="27" customHeight="1" thickBot="1" x14ac:dyDescent="0.2">
      <c r="A102" s="1201"/>
      <c r="B102" s="1201"/>
      <c r="C102" s="1201"/>
      <c r="D102" s="1201"/>
      <c r="E102" s="1202"/>
      <c r="F102" s="652"/>
      <c r="G102" s="652"/>
      <c r="H102" s="652"/>
      <c r="I102" s="1249"/>
      <c r="J102" s="1215"/>
      <c r="K102" s="1216"/>
      <c r="L102" s="1216"/>
      <c r="M102" s="2255"/>
      <c r="N102" s="2255"/>
      <c r="O102" s="2255"/>
      <c r="P102" s="2255"/>
      <c r="Q102" s="2255"/>
      <c r="R102" s="2255"/>
      <c r="S102" s="2179" t="s">
        <v>224</v>
      </c>
      <c r="T102" s="2180"/>
      <c r="U102" s="2180"/>
      <c r="V102" s="2180"/>
      <c r="W102" s="2180"/>
      <c r="X102" s="2180"/>
      <c r="Y102" s="2180"/>
      <c r="Z102" s="2180"/>
      <c r="AA102" s="2180"/>
      <c r="AB102" s="2560"/>
      <c r="AC102" s="2560"/>
      <c r="AD102" s="2560"/>
      <c r="AE102" s="2560"/>
      <c r="AF102" s="2560"/>
      <c r="AG102" s="2560"/>
      <c r="AH102" s="2560"/>
      <c r="AI102" s="2560"/>
      <c r="AJ102" s="2560"/>
      <c r="AK102" s="2560"/>
      <c r="AL102" s="2560"/>
      <c r="AM102" s="2560"/>
      <c r="AN102" s="2621"/>
      <c r="AO102" s="2621"/>
      <c r="AP102" s="2621"/>
      <c r="AQ102" s="2621"/>
      <c r="AR102" s="2621"/>
      <c r="AS102" s="2621"/>
      <c r="AT102" s="2621"/>
      <c r="AU102" s="2621"/>
      <c r="AV102" s="2621"/>
      <c r="AW102" s="2621"/>
      <c r="AX102" s="2621"/>
      <c r="AY102" s="2621"/>
      <c r="AZ102" s="2621"/>
      <c r="BA102" s="2621"/>
      <c r="BB102" s="2621"/>
      <c r="BC102" s="2621"/>
      <c r="BD102" s="2621"/>
      <c r="BE102" s="2621"/>
      <c r="BF102" s="2621"/>
      <c r="BG102" s="2621"/>
      <c r="BH102" s="2621"/>
      <c r="BI102" s="2621"/>
      <c r="BJ102" s="2621"/>
      <c r="BK102" s="2621"/>
      <c r="BL102" s="2621"/>
      <c r="BM102" s="2621"/>
      <c r="BN102" s="2621"/>
      <c r="BO102" s="2621"/>
      <c r="BP102" s="2621"/>
      <c r="BQ102" s="2621"/>
      <c r="BR102" s="2621"/>
      <c r="BS102" s="2621"/>
      <c r="BT102" s="2621"/>
      <c r="BU102" s="584"/>
      <c r="BV102" s="405" t="s">
        <v>1892</v>
      </c>
      <c r="BW102" s="2141" t="s">
        <v>1896</v>
      </c>
      <c r="BX102" s="2141"/>
      <c r="BY102" s="2141"/>
      <c r="BZ102" s="2141"/>
      <c r="CA102" s="2141"/>
      <c r="CB102" s="2141"/>
      <c r="CC102" s="2141"/>
      <c r="CD102" s="2141"/>
      <c r="CE102" s="2141"/>
      <c r="CF102" s="2141"/>
      <c r="CG102" s="2141"/>
      <c r="CH102" s="2141"/>
      <c r="CI102" s="2141"/>
      <c r="CJ102" s="2141"/>
      <c r="CK102" s="2141"/>
      <c r="CL102" s="2141"/>
      <c r="CM102" s="2141"/>
      <c r="CN102" s="2141"/>
      <c r="CO102" s="2141"/>
      <c r="CP102" s="2141"/>
      <c r="CQ102" s="2141"/>
      <c r="CR102" s="2141"/>
      <c r="CS102" s="2141"/>
      <c r="CT102" s="1177"/>
      <c r="CU102" s="1178"/>
      <c r="CV102" s="1252"/>
      <c r="CW102" s="1252"/>
      <c r="CX102" s="599"/>
      <c r="CY102" s="599"/>
      <c r="CZ102" s="599"/>
      <c r="DA102" s="599"/>
      <c r="DB102" s="599"/>
      <c r="DC102" s="195"/>
      <c r="DD102" s="599"/>
      <c r="DE102" s="599"/>
      <c r="DF102" s="600"/>
      <c r="DG102" s="600"/>
      <c r="DH102" s="600"/>
      <c r="DI102" s="1593"/>
      <c r="DJ102" s="1167"/>
      <c r="DK102" s="1166"/>
      <c r="DL102" s="77"/>
      <c r="DM102" s="161" t="s">
        <v>1645</v>
      </c>
      <c r="DN102" s="1942" t="s">
        <v>2959</v>
      </c>
      <c r="DO102" s="211"/>
      <c r="DP102" s="211"/>
      <c r="DQ102" s="211"/>
      <c r="DR102" s="78" t="s">
        <v>222</v>
      </c>
      <c r="DS102" s="155" t="str">
        <f>IF($AB$102="","",$AB$102)</f>
        <v/>
      </c>
      <c r="DV102" s="78" t="s">
        <v>222</v>
      </c>
      <c r="DW102" s="1543" t="str">
        <f t="shared" si="5"/>
        <v/>
      </c>
      <c r="EG102" s="73"/>
      <c r="EH102" s="73"/>
      <c r="EI102" s="73"/>
      <c r="EJ102" s="73"/>
      <c r="EK102" s="73"/>
      <c r="FO102" s="579"/>
      <c r="FV102" s="73"/>
      <c r="FW102" s="73"/>
      <c r="FX102" s="73"/>
      <c r="FY102" s="73"/>
      <c r="FZ102" s="73"/>
      <c r="GA102" s="77"/>
    </row>
    <row r="103" spans="1:183" s="78" customFormat="1" ht="27" customHeight="1" thickBot="1" x14ac:dyDescent="0.2">
      <c r="A103" s="1201"/>
      <c r="B103" s="1201"/>
      <c r="C103" s="1201"/>
      <c r="D103" s="1201"/>
      <c r="E103" s="1202"/>
      <c r="F103" s="652"/>
      <c r="G103" s="652"/>
      <c r="H103" s="652"/>
      <c r="I103" s="1249"/>
      <c r="J103" s="1221"/>
      <c r="K103" s="1222"/>
      <c r="L103" s="1222"/>
      <c r="M103" s="2605"/>
      <c r="N103" s="2605"/>
      <c r="O103" s="2605"/>
      <c r="P103" s="2605"/>
      <c r="Q103" s="2605"/>
      <c r="R103" s="2605"/>
      <c r="S103" s="2177" t="s">
        <v>1284</v>
      </c>
      <c r="T103" s="2178"/>
      <c r="U103" s="2178"/>
      <c r="V103" s="2178"/>
      <c r="W103" s="2178"/>
      <c r="X103" s="2178"/>
      <c r="Y103" s="2178"/>
      <c r="Z103" s="2178"/>
      <c r="AA103" s="2178"/>
      <c r="AB103" s="2161"/>
      <c r="AC103" s="2161"/>
      <c r="AD103" s="2161"/>
      <c r="AE103" s="2161"/>
      <c r="AF103" s="2161"/>
      <c r="AG103" s="2161"/>
      <c r="AH103" s="2176" t="s">
        <v>1093</v>
      </c>
      <c r="AI103" s="2176"/>
      <c r="AJ103" s="2176"/>
      <c r="AK103" s="2161"/>
      <c r="AL103" s="2161"/>
      <c r="AM103" s="2161"/>
      <c r="AN103" s="2161"/>
      <c r="AO103" s="2161"/>
      <c r="AP103" s="2161"/>
      <c r="AQ103" s="2176" t="s">
        <v>1093</v>
      </c>
      <c r="AR103" s="2176"/>
      <c r="AS103" s="2176"/>
      <c r="AT103" s="2161"/>
      <c r="AU103" s="2161"/>
      <c r="AV103" s="2161"/>
      <c r="AW103" s="2161"/>
      <c r="AX103" s="2161"/>
      <c r="AY103" s="2161"/>
      <c r="AZ103" s="2343"/>
      <c r="BA103" s="2343"/>
      <c r="BB103" s="2343"/>
      <c r="BC103" s="2343"/>
      <c r="BD103" s="2343"/>
      <c r="BE103" s="2343"/>
      <c r="BF103" s="2343"/>
      <c r="BG103" s="2343"/>
      <c r="BH103" s="2343"/>
      <c r="BI103" s="2343"/>
      <c r="BJ103" s="2343"/>
      <c r="BK103" s="2343"/>
      <c r="BL103" s="2343"/>
      <c r="BM103" s="2343"/>
      <c r="BN103" s="2343"/>
      <c r="BO103" s="2343"/>
      <c r="BP103" s="2343"/>
      <c r="BQ103" s="2343"/>
      <c r="BR103" s="2343"/>
      <c r="BS103" s="2343"/>
      <c r="BT103" s="2343"/>
      <c r="BU103" s="594"/>
      <c r="BV103" s="398"/>
      <c r="BW103" s="2195"/>
      <c r="BX103" s="2195"/>
      <c r="BY103" s="2195"/>
      <c r="BZ103" s="2195"/>
      <c r="CA103" s="2195"/>
      <c r="CB103" s="2195"/>
      <c r="CC103" s="2195"/>
      <c r="CD103" s="2195"/>
      <c r="CE103" s="2195"/>
      <c r="CF103" s="2195"/>
      <c r="CG103" s="2195"/>
      <c r="CH103" s="2195"/>
      <c r="CI103" s="2195"/>
      <c r="CJ103" s="2195"/>
      <c r="CK103" s="2195"/>
      <c r="CL103" s="2195"/>
      <c r="CM103" s="2195"/>
      <c r="CN103" s="2195"/>
      <c r="CO103" s="2195"/>
      <c r="CP103" s="2195"/>
      <c r="CQ103" s="2195"/>
      <c r="CR103" s="2195"/>
      <c r="CS103" s="2195"/>
      <c r="CT103" s="1175"/>
      <c r="CU103" s="1176"/>
      <c r="CV103" s="388"/>
      <c r="CW103" s="388"/>
      <c r="CX103" s="207"/>
      <c r="CY103" s="207"/>
      <c r="CZ103" s="207"/>
      <c r="DA103" s="207"/>
      <c r="DB103" s="207"/>
      <c r="DC103" s="15"/>
      <c r="DD103" s="16"/>
      <c r="DE103" s="16"/>
      <c r="DF103" s="16"/>
      <c r="DG103" s="16"/>
      <c r="DH103" s="16"/>
      <c r="DI103" s="1593"/>
      <c r="DJ103" s="1163"/>
      <c r="DK103" s="1163"/>
      <c r="DL103" s="77"/>
      <c r="DM103" s="160" t="str">
        <f>CONCATENATE(AB103,"-",AK103,"-",AT103)</f>
        <v>--</v>
      </c>
      <c r="DN103" s="160" t="str">
        <f>IF(DM103="--","",ASC(DM103))</f>
        <v/>
      </c>
      <c r="DO103" s="1571"/>
      <c r="DP103" s="1572"/>
      <c r="DQ103" s="1572"/>
      <c r="DR103" s="78" t="s">
        <v>1327</v>
      </c>
      <c r="DS103" s="155" t="str">
        <f>IF($DN$103="","",$DN$103)</f>
        <v/>
      </c>
      <c r="DV103" s="78" t="s">
        <v>1327</v>
      </c>
      <c r="DW103" s="1543" t="str">
        <f t="shared" si="5"/>
        <v/>
      </c>
      <c r="EG103" s="73"/>
      <c r="EH103" s="73"/>
      <c r="EI103" s="73"/>
      <c r="EJ103" s="73"/>
      <c r="EK103" s="73"/>
      <c r="FO103" s="579"/>
      <c r="FV103" s="73"/>
      <c r="FW103" s="73"/>
      <c r="FX103" s="73"/>
      <c r="FY103" s="73"/>
      <c r="FZ103" s="73"/>
      <c r="GA103" s="77"/>
    </row>
    <row r="104" spans="1:183" ht="15" customHeight="1" x14ac:dyDescent="0.15">
      <c r="A104" s="1201"/>
      <c r="B104" s="1201"/>
      <c r="C104" s="1201"/>
      <c r="D104" s="1201"/>
      <c r="E104" s="1202"/>
      <c r="BU104" s="578"/>
      <c r="BX104" s="401"/>
      <c r="DD104" s="16"/>
      <c r="DE104" s="16"/>
      <c r="DF104" s="16"/>
      <c r="DG104" s="16"/>
      <c r="DH104" s="16"/>
      <c r="DI104" s="1593"/>
      <c r="DJ104" s="1163"/>
      <c r="EG104" s="80"/>
      <c r="EH104" s="80"/>
      <c r="EI104" s="80"/>
      <c r="EJ104" s="80"/>
      <c r="EK104" s="80"/>
      <c r="FV104" s="80"/>
      <c r="FW104" s="80"/>
      <c r="FX104" s="80"/>
      <c r="FY104" s="80"/>
      <c r="FZ104" s="80"/>
    </row>
    <row r="105" spans="1:183" ht="2.1" customHeight="1" x14ac:dyDescent="0.15">
      <c r="A105" s="1201"/>
      <c r="B105" s="1201"/>
      <c r="C105" s="1201"/>
      <c r="D105" s="1201"/>
      <c r="E105" s="1202"/>
      <c r="BU105" s="578"/>
      <c r="BX105" s="401"/>
      <c r="DD105" s="16"/>
      <c r="DE105" s="16"/>
      <c r="DF105" s="16"/>
      <c r="DG105" s="16"/>
      <c r="DH105" s="16"/>
      <c r="DI105" s="1593"/>
      <c r="DJ105" s="1163"/>
      <c r="EG105" s="80"/>
      <c r="EH105" s="80"/>
      <c r="EI105" s="80"/>
      <c r="EJ105" s="80"/>
      <c r="EK105" s="80"/>
      <c r="FV105" s="80"/>
      <c r="FW105" s="80"/>
      <c r="FX105" s="80"/>
      <c r="FY105" s="80"/>
      <c r="FZ105" s="80"/>
    </row>
    <row r="106" spans="1:183" ht="2.1" customHeight="1" x14ac:dyDescent="0.15">
      <c r="A106" s="1201"/>
      <c r="B106" s="1201"/>
      <c r="C106" s="1201"/>
      <c r="D106" s="1201"/>
      <c r="E106" s="1202"/>
      <c r="BU106" s="578"/>
      <c r="BX106" s="401"/>
      <c r="DD106" s="16"/>
      <c r="DE106" s="16"/>
      <c r="DF106" s="16"/>
      <c r="DG106" s="16"/>
      <c r="DH106" s="16"/>
      <c r="DI106" s="1593"/>
      <c r="DJ106" s="1163"/>
      <c r="EG106" s="80"/>
      <c r="EH106" s="80"/>
      <c r="EI106" s="80"/>
      <c r="EJ106" s="80"/>
      <c r="EK106" s="80"/>
      <c r="FV106" s="80"/>
      <c r="FW106" s="80"/>
      <c r="FX106" s="80"/>
      <c r="FY106" s="80"/>
      <c r="FZ106" s="80"/>
    </row>
    <row r="107" spans="1:183" ht="2.1" customHeight="1" thickBot="1" x14ac:dyDescent="0.2">
      <c r="A107" s="1201"/>
      <c r="B107" s="1201"/>
      <c r="C107" s="1201"/>
      <c r="D107" s="1201"/>
      <c r="E107" s="1202"/>
      <c r="BU107" s="578"/>
      <c r="BX107" s="401"/>
      <c r="DD107" s="16"/>
      <c r="DE107" s="16"/>
      <c r="DF107" s="16"/>
      <c r="DG107" s="16"/>
      <c r="DH107" s="16"/>
      <c r="DI107" s="1593"/>
      <c r="DJ107" s="1163"/>
      <c r="EG107" s="80"/>
      <c r="EH107" s="80"/>
      <c r="EI107" s="80"/>
      <c r="EJ107" s="80"/>
      <c r="EK107" s="80"/>
      <c r="FV107" s="80"/>
      <c r="FW107" s="80"/>
      <c r="FX107" s="80"/>
      <c r="FY107" s="80"/>
      <c r="FZ107" s="80"/>
    </row>
    <row r="108" spans="1:183" ht="35.1" customHeight="1" thickBot="1" x14ac:dyDescent="0.6">
      <c r="A108" s="1201"/>
      <c r="B108" s="1201"/>
      <c r="C108" s="1201"/>
      <c r="D108" s="1201"/>
      <c r="E108" s="1202"/>
      <c r="J108" s="2156" t="s">
        <v>969</v>
      </c>
      <c r="K108" s="2538"/>
      <c r="L108" s="2538"/>
      <c r="M108" s="2538"/>
      <c r="N108" s="2538"/>
      <c r="O108" s="2538"/>
      <c r="P108" s="2538"/>
      <c r="Q108" s="2538"/>
      <c r="R108" s="2538"/>
      <c r="S108" s="2538"/>
      <c r="T108" s="2538"/>
      <c r="U108" s="2538"/>
      <c r="V108" s="2538"/>
      <c r="W108" s="2538"/>
      <c r="X108" s="2538"/>
      <c r="Y108" s="2538"/>
      <c r="Z108" s="2538"/>
      <c r="AA108" s="2538"/>
      <c r="AB108" s="2538"/>
      <c r="AC108" s="2538"/>
      <c r="AD108" s="2538"/>
      <c r="AE108" s="2538"/>
      <c r="AF108" s="2538"/>
      <c r="AG108" s="2538"/>
      <c r="AH108" s="2538"/>
      <c r="AI108" s="2273"/>
      <c r="AJ108" s="2274"/>
      <c r="AK108" s="2274"/>
      <c r="AL108" s="2274"/>
      <c r="AM108" s="2274"/>
      <c r="AN108" s="2626" t="str">
        <f>IF($DS$108=TRUE,"→勤務先が同一の場合は勤務先欄は記入不要です","")</f>
        <v/>
      </c>
      <c r="AO108" s="2626"/>
      <c r="AP108" s="2626"/>
      <c r="AQ108" s="2626"/>
      <c r="AR108" s="2626"/>
      <c r="AS108" s="2626"/>
      <c r="AT108" s="2626"/>
      <c r="AU108" s="2626"/>
      <c r="AV108" s="2626"/>
      <c r="AW108" s="2626"/>
      <c r="AX108" s="2626"/>
      <c r="AY108" s="2626"/>
      <c r="AZ108" s="2626"/>
      <c r="BA108" s="2626"/>
      <c r="BB108" s="2626"/>
      <c r="BC108" s="2626"/>
      <c r="BD108" s="2626"/>
      <c r="BE108" s="2626"/>
      <c r="BF108" s="2626"/>
      <c r="BG108" s="2626"/>
      <c r="BH108" s="2155" t="s">
        <v>2861</v>
      </c>
      <c r="BI108" s="2155"/>
      <c r="BJ108" s="2155"/>
      <c r="BK108" s="2155"/>
      <c r="BL108" s="2155"/>
      <c r="BM108" s="2155"/>
      <c r="BN108" s="2155"/>
      <c r="BO108" s="2155"/>
      <c r="BP108" s="2155"/>
      <c r="BQ108" s="2155"/>
      <c r="BR108" s="2155"/>
      <c r="BS108" s="2155"/>
      <c r="BT108" s="2155"/>
      <c r="BU108" s="603"/>
      <c r="BV108" s="402" t="s">
        <v>1892</v>
      </c>
      <c r="BW108" s="2280" t="s">
        <v>1894</v>
      </c>
      <c r="BX108" s="2280"/>
      <c r="BY108" s="2280"/>
      <c r="BZ108" s="2280"/>
      <c r="CA108" s="2280"/>
      <c r="CB108" s="2280"/>
      <c r="CC108" s="2280"/>
      <c r="CD108" s="2280"/>
      <c r="CE108" s="2280"/>
      <c r="CF108" s="2280"/>
      <c r="CG108" s="2280"/>
      <c r="CH108" s="2280"/>
      <c r="CI108" s="2280"/>
      <c r="CJ108" s="2280"/>
      <c r="CK108" s="2280"/>
      <c r="CL108" s="2280"/>
      <c r="CM108" s="2280"/>
      <c r="CN108" s="2280"/>
      <c r="CO108" s="2280"/>
      <c r="CP108" s="2280"/>
      <c r="CQ108" s="2280"/>
      <c r="CR108" s="2280"/>
      <c r="CS108" s="2280"/>
      <c r="CT108" s="402"/>
      <c r="CU108" s="403"/>
      <c r="DD108" s="16"/>
      <c r="DE108" s="16"/>
      <c r="DF108" s="16"/>
      <c r="DG108" s="16"/>
      <c r="DH108" s="16"/>
      <c r="DI108" s="1593"/>
      <c r="DJ108" s="1163"/>
      <c r="DM108" s="1436" t="str">
        <f>J108</f>
        <v>７　その他の調査者２</v>
      </c>
      <c r="DN108" s="156"/>
      <c r="DS108" s="1689" t="b">
        <v>0</v>
      </c>
      <c r="EG108" s="78"/>
      <c r="EH108" s="78"/>
      <c r="EI108" s="78"/>
      <c r="EJ108" s="78"/>
      <c r="EK108" s="78"/>
      <c r="FV108" s="78"/>
      <c r="FW108" s="78"/>
      <c r="FX108" s="78"/>
      <c r="FY108" s="78"/>
      <c r="FZ108" s="78"/>
    </row>
    <row r="109" spans="1:183" s="78" customFormat="1" ht="27" customHeight="1" thickBot="1" x14ac:dyDescent="0.2">
      <c r="A109" s="1201"/>
      <c r="B109" s="1201"/>
      <c r="C109" s="1201"/>
      <c r="D109" s="1201"/>
      <c r="E109" s="1202"/>
      <c r="F109" s="652"/>
      <c r="G109" s="652"/>
      <c r="H109" s="652"/>
      <c r="I109" s="1249"/>
      <c r="J109" s="1215"/>
      <c r="K109" s="1216"/>
      <c r="L109" s="1216"/>
      <c r="M109" s="2237" t="s">
        <v>887</v>
      </c>
      <c r="N109" s="2237"/>
      <c r="O109" s="2237"/>
      <c r="P109" s="2237"/>
      <c r="Q109" s="2237"/>
      <c r="R109" s="2237"/>
      <c r="S109" s="2231" t="s">
        <v>1019</v>
      </c>
      <c r="T109" s="2232"/>
      <c r="U109" s="2232"/>
      <c r="V109" s="2232"/>
      <c r="W109" s="2232"/>
      <c r="X109" s="2232"/>
      <c r="Y109" s="2232"/>
      <c r="Z109" s="2232"/>
      <c r="AA109" s="2232"/>
      <c r="AB109" s="2137"/>
      <c r="AC109" s="2137"/>
      <c r="AD109" s="2137"/>
      <c r="AE109" s="2137"/>
      <c r="AF109" s="2138"/>
      <c r="AG109" s="2138"/>
      <c r="AH109" s="2138"/>
      <c r="AI109" s="2138"/>
      <c r="AJ109" s="2138"/>
      <c r="AK109" s="2138"/>
      <c r="AL109" s="2138"/>
      <c r="AM109" s="2138"/>
      <c r="AN109" s="2138"/>
      <c r="AO109" s="2138"/>
      <c r="AP109" s="2138"/>
      <c r="AQ109" s="1250"/>
      <c r="AR109" s="1258"/>
      <c r="AS109" s="1258"/>
      <c r="AT109" s="1258"/>
      <c r="AU109" s="1258"/>
      <c r="AV109" s="1258"/>
      <c r="AW109" s="1258"/>
      <c r="AX109" s="1258"/>
      <c r="AY109" s="1258"/>
      <c r="AZ109" s="1259"/>
      <c r="BA109" s="1258"/>
      <c r="BB109" s="1258"/>
      <c r="BC109" s="1258"/>
      <c r="BD109" s="1258"/>
      <c r="BE109" s="1258"/>
      <c r="BF109" s="1258"/>
      <c r="BG109" s="1258"/>
      <c r="BH109" s="1258"/>
      <c r="BI109" s="1258"/>
      <c r="BJ109" s="1258"/>
      <c r="BK109" s="1258"/>
      <c r="BL109" s="1258"/>
      <c r="BM109" s="1258"/>
      <c r="BN109" s="1258"/>
      <c r="BO109" s="1258"/>
      <c r="BP109" s="1258"/>
      <c r="BQ109" s="1258"/>
      <c r="BR109" s="1258"/>
      <c r="BS109" s="1258"/>
      <c r="BT109" s="1258"/>
      <c r="BU109" s="604"/>
      <c r="BV109" s="584"/>
      <c r="BW109" s="2141" t="s">
        <v>1893</v>
      </c>
      <c r="BX109" s="2141"/>
      <c r="BY109" s="2141"/>
      <c r="BZ109" s="2141"/>
      <c r="CA109" s="2141"/>
      <c r="CB109" s="2141"/>
      <c r="CC109" s="2141"/>
      <c r="CD109" s="2141"/>
      <c r="CE109" s="2141"/>
      <c r="CF109" s="2141"/>
      <c r="CG109" s="2141"/>
      <c r="CH109" s="2141"/>
      <c r="CI109" s="2141"/>
      <c r="CJ109" s="2141"/>
      <c r="CK109" s="2141"/>
      <c r="CL109" s="2141"/>
      <c r="CM109" s="2141"/>
      <c r="CN109" s="2141"/>
      <c r="CO109" s="2141"/>
      <c r="CP109" s="2141"/>
      <c r="CQ109" s="2141"/>
      <c r="CR109" s="2141"/>
      <c r="CS109" s="2141"/>
      <c r="CT109" s="1177"/>
      <c r="CU109" s="1178"/>
      <c r="CV109" s="388"/>
      <c r="CW109" s="388"/>
      <c r="CX109" s="207"/>
      <c r="CY109" s="207"/>
      <c r="CZ109" s="207"/>
      <c r="DA109" s="207"/>
      <c r="DB109" s="207"/>
      <c r="DC109" s="15"/>
      <c r="DD109" s="16"/>
      <c r="DE109" s="16"/>
      <c r="DF109" s="16"/>
      <c r="DG109" s="16"/>
      <c r="DH109" s="16"/>
      <c r="DI109" s="1593"/>
      <c r="DJ109" s="1163"/>
      <c r="DK109" s="1163"/>
      <c r="DL109" s="77"/>
      <c r="DM109" s="83">
        <f>IF(AB109="",0,IF(AB109="特定建築物調査員",1,2))</f>
        <v>0</v>
      </c>
      <c r="DN109" s="1161" t="s">
        <v>2871</v>
      </c>
      <c r="DO109" s="77"/>
      <c r="DP109" s="77"/>
      <c r="DQ109" s="77"/>
      <c r="DR109" s="78" t="s">
        <v>2950</v>
      </c>
      <c r="DS109" s="1692" t="str">
        <f>IF(DM109=2,LEFT($AB109,2),"")</f>
        <v/>
      </c>
      <c r="DT109" s="73"/>
      <c r="FO109" s="579"/>
      <c r="GA109" s="77"/>
    </row>
    <row r="110" spans="1:183" ht="27" customHeight="1" thickBot="1" x14ac:dyDescent="0.2">
      <c r="A110" s="1201"/>
      <c r="B110" s="1201"/>
      <c r="C110" s="1201"/>
      <c r="D110" s="1201"/>
      <c r="E110" s="1202"/>
      <c r="J110" s="1260"/>
      <c r="K110" s="1261"/>
      <c r="L110" s="1261"/>
      <c r="M110" s="2182"/>
      <c r="N110" s="2182"/>
      <c r="O110" s="2182"/>
      <c r="P110" s="2182"/>
      <c r="Q110" s="2182"/>
      <c r="R110" s="2182"/>
      <c r="S110" s="2181" t="s">
        <v>666</v>
      </c>
      <c r="T110" s="2602"/>
      <c r="U110" s="2602"/>
      <c r="V110" s="2602"/>
      <c r="W110" s="2602"/>
      <c r="X110" s="2602"/>
      <c r="Y110" s="1216"/>
      <c r="Z110" s="2275"/>
      <c r="AA110" s="2275"/>
      <c r="AB110" s="2201"/>
      <c r="AC110" s="2201"/>
      <c r="AD110" s="2201"/>
      <c r="AE110" s="2201"/>
      <c r="AF110" s="2201"/>
      <c r="AG110" s="2201"/>
      <c r="AH110" s="2163"/>
      <c r="AI110" s="2163"/>
      <c r="AJ110" s="2163"/>
      <c r="AK110" s="2163"/>
      <c r="AL110" s="2163"/>
      <c r="AM110" s="2163"/>
      <c r="AN110" s="2163"/>
      <c r="AO110" s="2163"/>
      <c r="AP110" s="2163"/>
      <c r="AQ110" s="1216" t="s">
        <v>652</v>
      </c>
      <c r="AR110" s="1227"/>
      <c r="AS110" s="1227"/>
      <c r="AT110" s="1227"/>
      <c r="AU110" s="1227"/>
      <c r="AV110" s="1227"/>
      <c r="AW110" s="1227"/>
      <c r="AX110" s="1227"/>
      <c r="AY110" s="1227"/>
      <c r="AZ110" s="1227"/>
      <c r="BA110" s="1227"/>
      <c r="BB110" s="1227"/>
      <c r="BC110" s="1227"/>
      <c r="BD110" s="1227"/>
      <c r="BE110" s="1227"/>
      <c r="BF110" s="1227"/>
      <c r="BG110" s="1227"/>
      <c r="BH110" s="1227"/>
      <c r="BI110" s="1227"/>
      <c r="BJ110" s="1227"/>
      <c r="BK110" s="1227"/>
      <c r="BL110" s="1227"/>
      <c r="BM110" s="1227"/>
      <c r="BN110" s="1227"/>
      <c r="BO110" s="1227"/>
      <c r="BP110" s="1227"/>
      <c r="BQ110" s="1227"/>
      <c r="BR110" s="1227"/>
      <c r="BS110" s="1227"/>
      <c r="BT110" s="1227"/>
      <c r="BU110" s="592"/>
      <c r="BV110" s="584"/>
      <c r="BW110" s="2141"/>
      <c r="BX110" s="2141"/>
      <c r="BY110" s="2141"/>
      <c r="BZ110" s="2141"/>
      <c r="CA110" s="2141"/>
      <c r="CB110" s="2141"/>
      <c r="CC110" s="2141"/>
      <c r="CD110" s="2141"/>
      <c r="CE110" s="2141"/>
      <c r="CF110" s="2141"/>
      <c r="CG110" s="2141"/>
      <c r="CH110" s="2141"/>
      <c r="CI110" s="2141"/>
      <c r="CJ110" s="2141"/>
      <c r="CK110" s="2141"/>
      <c r="CL110" s="2141"/>
      <c r="CM110" s="2141"/>
      <c r="CN110" s="2141"/>
      <c r="CO110" s="2141"/>
      <c r="CP110" s="2141"/>
      <c r="CQ110" s="2141"/>
      <c r="CR110" s="2141"/>
      <c r="CS110" s="2141"/>
      <c r="CT110" s="1177"/>
      <c r="CU110" s="1178"/>
      <c r="DD110" s="16"/>
      <c r="DE110" s="16"/>
      <c r="DF110" s="16"/>
      <c r="DG110" s="16"/>
      <c r="DH110" s="16"/>
      <c r="DI110" s="1593"/>
      <c r="DJ110" s="1163"/>
      <c r="DM110" s="148">
        <f>IF(OR($AB$109="一級建築士",$AB$109="二級建築士"),1,0)</f>
        <v>0</v>
      </c>
      <c r="DN110" s="1161" t="s">
        <v>2879</v>
      </c>
      <c r="DO110" s="197"/>
      <c r="DP110" s="197"/>
      <c r="DQ110" s="197"/>
      <c r="DR110" s="84" t="s">
        <v>1300</v>
      </c>
      <c r="DS110" s="1684" t="str">
        <f>IF(AB110="","",AB110)</f>
        <v/>
      </c>
      <c r="EG110" s="78"/>
      <c r="EH110" s="78"/>
      <c r="EI110" s="78"/>
      <c r="EJ110" s="78"/>
      <c r="EK110" s="78"/>
      <c r="FV110" s="78"/>
      <c r="FW110" s="78"/>
      <c r="FX110" s="78"/>
      <c r="FY110" s="78"/>
      <c r="FZ110" s="78"/>
    </row>
    <row r="111" spans="1:183" ht="27" customHeight="1" thickBot="1" x14ac:dyDescent="0.2">
      <c r="A111" s="1201"/>
      <c r="B111" s="1201"/>
      <c r="C111" s="1201"/>
      <c r="D111" s="1201"/>
      <c r="E111" s="1202"/>
      <c r="J111" s="1260"/>
      <c r="K111" s="1261"/>
      <c r="L111" s="1261"/>
      <c r="M111" s="2182"/>
      <c r="N111" s="2182"/>
      <c r="O111" s="2182"/>
      <c r="P111" s="2182"/>
      <c r="Q111" s="2182"/>
      <c r="R111" s="2182"/>
      <c r="S111" s="2240"/>
      <c r="T111" s="2240"/>
      <c r="U111" s="2240"/>
      <c r="V111" s="2240"/>
      <c r="W111" s="2240"/>
      <c r="X111" s="2240"/>
      <c r="Y111" s="1216"/>
      <c r="Z111" s="2275" t="s">
        <v>3</v>
      </c>
      <c r="AA111" s="2275"/>
      <c r="AB111" s="2199"/>
      <c r="AC111" s="2199"/>
      <c r="AD111" s="2199"/>
      <c r="AE111" s="2199"/>
      <c r="AF111" s="2199"/>
      <c r="AG111" s="2199"/>
      <c r="AH111" s="2199"/>
      <c r="AI111" s="2200"/>
      <c r="AJ111" s="2200"/>
      <c r="AK111" s="2200"/>
      <c r="AL111" s="2200"/>
      <c r="AM111" s="2200"/>
      <c r="AN111" s="2200"/>
      <c r="AO111" s="2200"/>
      <c r="AP111" s="2200"/>
      <c r="AQ111" s="1262" t="s">
        <v>4</v>
      </c>
      <c r="AR111" s="1227"/>
      <c r="AS111" s="1227"/>
      <c r="AT111" s="1227"/>
      <c r="AU111" s="1227"/>
      <c r="AV111" s="1227"/>
      <c r="AW111" s="1227"/>
      <c r="AX111" s="1227"/>
      <c r="AY111" s="1227"/>
      <c r="AZ111" s="1227"/>
      <c r="BA111" s="1227"/>
      <c r="BB111" s="1227"/>
      <c r="BC111" s="1227"/>
      <c r="BD111" s="1227"/>
      <c r="BE111" s="1227"/>
      <c r="BF111" s="1227"/>
      <c r="BG111" s="1227"/>
      <c r="BH111" s="1227"/>
      <c r="BI111" s="1227"/>
      <c r="BJ111" s="1227"/>
      <c r="BK111" s="1227"/>
      <c r="BL111" s="1227"/>
      <c r="BM111" s="1227"/>
      <c r="BN111" s="1227"/>
      <c r="BO111" s="1227"/>
      <c r="BP111" s="1227"/>
      <c r="BQ111" s="1227"/>
      <c r="BR111" s="1227"/>
      <c r="BS111" s="1227"/>
      <c r="BT111" s="1227"/>
      <c r="BU111" s="592"/>
      <c r="BV111" s="584"/>
      <c r="BW111" s="584"/>
      <c r="BX111" s="584"/>
      <c r="BY111" s="584"/>
      <c r="BZ111" s="584"/>
      <c r="CA111" s="584"/>
      <c r="CB111" s="584"/>
      <c r="CC111" s="584"/>
      <c r="CD111" s="584"/>
      <c r="CE111" s="584"/>
      <c r="CF111" s="584"/>
      <c r="CG111" s="584"/>
      <c r="CH111" s="584"/>
      <c r="CI111" s="584"/>
      <c r="CJ111" s="584"/>
      <c r="CK111" s="584"/>
      <c r="CL111" s="584"/>
      <c r="CM111" s="584"/>
      <c r="CN111" s="584"/>
      <c r="CO111" s="584"/>
      <c r="CP111" s="584"/>
      <c r="CQ111" s="584"/>
      <c r="CR111" s="584"/>
      <c r="CS111" s="584"/>
      <c r="CT111" s="584"/>
      <c r="CU111" s="602"/>
      <c r="DD111" s="16"/>
      <c r="DE111" s="16"/>
      <c r="DF111" s="16"/>
      <c r="DG111" s="16"/>
      <c r="DH111" s="16"/>
      <c r="DI111" s="1593"/>
      <c r="DJ111" s="1163"/>
      <c r="DM111" s="16"/>
      <c r="DN111" s="16"/>
      <c r="DO111" s="197"/>
      <c r="DP111" s="197"/>
      <c r="DQ111" s="197"/>
      <c r="DR111" s="84" t="s">
        <v>2903</v>
      </c>
      <c r="DS111" s="1684" t="str">
        <f>IF(AB111="","",AB111)</f>
        <v/>
      </c>
      <c r="EG111" s="78"/>
      <c r="EH111" s="78"/>
      <c r="EI111" s="78"/>
      <c r="EJ111" s="78"/>
      <c r="EK111" s="78"/>
      <c r="FV111" s="78"/>
      <c r="FW111" s="78"/>
      <c r="FX111" s="78"/>
      <c r="FY111" s="78"/>
      <c r="FZ111" s="78"/>
    </row>
    <row r="112" spans="1:183" s="78" customFormat="1" ht="27" customHeight="1" thickBot="1" x14ac:dyDescent="0.2">
      <c r="A112" s="1201"/>
      <c r="B112" s="1201"/>
      <c r="C112" s="1201"/>
      <c r="D112" s="1201"/>
      <c r="E112" s="1202"/>
      <c r="F112" s="652"/>
      <c r="G112" s="652"/>
      <c r="H112" s="652"/>
      <c r="I112" s="1249"/>
      <c r="J112" s="1215"/>
      <c r="K112" s="1216"/>
      <c r="L112" s="1216"/>
      <c r="M112" s="2604"/>
      <c r="N112" s="2604"/>
      <c r="O112" s="2604"/>
      <c r="P112" s="2604"/>
      <c r="Q112" s="2604"/>
      <c r="R112" s="2604"/>
      <c r="S112" s="2338" t="s">
        <v>1099</v>
      </c>
      <c r="T112" s="2338"/>
      <c r="U112" s="2338"/>
      <c r="V112" s="2338"/>
      <c r="W112" s="2338"/>
      <c r="X112" s="2338"/>
      <c r="Y112" s="2338"/>
      <c r="Z112" s="2339" t="s">
        <v>3</v>
      </c>
      <c r="AA112" s="2339"/>
      <c r="AB112" s="2346"/>
      <c r="AC112" s="2346"/>
      <c r="AD112" s="2346"/>
      <c r="AE112" s="2346"/>
      <c r="AF112" s="2346"/>
      <c r="AG112" s="2346"/>
      <c r="AH112" s="2346"/>
      <c r="AI112" s="2347"/>
      <c r="AJ112" s="2347"/>
      <c r="AK112" s="2347"/>
      <c r="AL112" s="2347"/>
      <c r="AM112" s="2347"/>
      <c r="AN112" s="2347"/>
      <c r="AO112" s="2347"/>
      <c r="AP112" s="2347"/>
      <c r="AQ112" s="1263" t="s">
        <v>4</v>
      </c>
      <c r="AR112" s="1263"/>
      <c r="AS112" s="1263"/>
      <c r="AT112" s="1263"/>
      <c r="AU112" s="1263"/>
      <c r="AV112" s="1263"/>
      <c r="AW112" s="1263"/>
      <c r="AX112" s="1263"/>
      <c r="AY112" s="1263"/>
      <c r="AZ112" s="1263"/>
      <c r="BA112" s="1263"/>
      <c r="BB112" s="1263"/>
      <c r="BC112" s="1263"/>
      <c r="BD112" s="1263"/>
      <c r="BE112" s="1263"/>
      <c r="BF112" s="1263"/>
      <c r="BG112" s="1263"/>
      <c r="BH112" s="1263"/>
      <c r="BI112" s="1263"/>
      <c r="BJ112" s="1263"/>
      <c r="BK112" s="1263"/>
      <c r="BL112" s="1263"/>
      <c r="BM112" s="1263"/>
      <c r="BN112" s="1263"/>
      <c r="BO112" s="1263"/>
      <c r="BP112" s="1263"/>
      <c r="BQ112" s="1263"/>
      <c r="BR112" s="1263"/>
      <c r="BS112" s="1263"/>
      <c r="BT112" s="1263"/>
      <c r="BU112" s="604"/>
      <c r="BV112" s="584"/>
      <c r="BW112" s="584"/>
      <c r="BX112" s="584"/>
      <c r="BY112" s="584"/>
      <c r="BZ112" s="584"/>
      <c r="CA112" s="584"/>
      <c r="CB112" s="584"/>
      <c r="CC112" s="584"/>
      <c r="CD112" s="584"/>
      <c r="CE112" s="584"/>
      <c r="CF112" s="584"/>
      <c r="CG112" s="584"/>
      <c r="CH112" s="584"/>
      <c r="CI112" s="584"/>
      <c r="CJ112" s="584"/>
      <c r="CK112" s="584"/>
      <c r="CL112" s="584"/>
      <c r="CM112" s="584"/>
      <c r="CN112" s="584"/>
      <c r="CO112" s="584"/>
      <c r="CP112" s="584"/>
      <c r="CQ112" s="584"/>
      <c r="CR112" s="584"/>
      <c r="CS112" s="584"/>
      <c r="CT112" s="584"/>
      <c r="CU112" s="602"/>
      <c r="CV112" s="388"/>
      <c r="CW112" s="388"/>
      <c r="CX112" s="207"/>
      <c r="CY112" s="207"/>
      <c r="CZ112" s="207"/>
      <c r="DA112" s="207"/>
      <c r="DB112" s="207"/>
      <c r="DC112" s="15"/>
      <c r="DD112" s="16"/>
      <c r="DE112" s="16"/>
      <c r="DF112" s="16"/>
      <c r="DG112" s="16"/>
      <c r="DH112" s="16"/>
      <c r="DI112" s="1593"/>
      <c r="DJ112" s="1163"/>
      <c r="DK112" s="1163"/>
      <c r="DL112" s="77"/>
      <c r="DM112" s="10"/>
      <c r="DN112" s="16"/>
      <c r="DO112" s="197"/>
      <c r="DP112" s="197"/>
      <c r="DQ112" s="197"/>
      <c r="DR112" s="84" t="s">
        <v>2902</v>
      </c>
      <c r="DS112" s="1543" t="str">
        <f>IF(AB112="","",AB112)</f>
        <v/>
      </c>
      <c r="FO112" s="579"/>
      <c r="GA112" s="77"/>
    </row>
    <row r="113" spans="1:183" s="78" customFormat="1" ht="27" customHeight="1" thickBot="1" x14ac:dyDescent="0.2">
      <c r="A113" s="1201"/>
      <c r="B113" s="1201"/>
      <c r="C113" s="1201"/>
      <c r="D113" s="1201"/>
      <c r="E113" s="1202"/>
      <c r="F113" s="652"/>
      <c r="G113" s="652"/>
      <c r="H113" s="652"/>
      <c r="I113" s="1249"/>
      <c r="J113" s="1215"/>
      <c r="K113" s="1216"/>
      <c r="L113" s="1216"/>
      <c r="M113" s="2233" t="s">
        <v>318</v>
      </c>
      <c r="N113" s="2255"/>
      <c r="O113" s="2255"/>
      <c r="P113" s="2255"/>
      <c r="Q113" s="2255"/>
      <c r="R113" s="2255"/>
      <c r="S113" s="2231" t="s">
        <v>662</v>
      </c>
      <c r="T113" s="2276"/>
      <c r="U113" s="2276"/>
      <c r="V113" s="2276"/>
      <c r="W113" s="2276"/>
      <c r="X113" s="2276"/>
      <c r="Y113" s="2276"/>
      <c r="Z113" s="2276"/>
      <c r="AA113" s="2276"/>
      <c r="AB113" s="2220"/>
      <c r="AC113" s="2221"/>
      <c r="AD113" s="2221"/>
      <c r="AE113" s="2221"/>
      <c r="AF113" s="2221"/>
      <c r="AG113" s="2221"/>
      <c r="AH113" s="2221"/>
      <c r="AI113" s="2221"/>
      <c r="AJ113" s="2221"/>
      <c r="AK113" s="2221"/>
      <c r="AL113" s="2221"/>
      <c r="AM113" s="2221"/>
      <c r="AN113" s="2221"/>
      <c r="AO113" s="2221"/>
      <c r="AP113" s="2221"/>
      <c r="AQ113" s="2221"/>
      <c r="AR113" s="2221"/>
      <c r="AS113" s="2221"/>
      <c r="AT113" s="2221"/>
      <c r="AU113" s="2221"/>
      <c r="AV113" s="2221"/>
      <c r="AW113" s="2221"/>
      <c r="AX113" s="2221"/>
      <c r="AY113" s="2221"/>
      <c r="AZ113" s="2221"/>
      <c r="BA113" s="2221"/>
      <c r="BB113" s="2221"/>
      <c r="BC113" s="2221"/>
      <c r="BD113" s="2221"/>
      <c r="BE113" s="2221"/>
      <c r="BF113" s="2221"/>
      <c r="BG113" s="2221"/>
      <c r="BH113" s="2221"/>
      <c r="BI113" s="2221"/>
      <c r="BJ113" s="2221"/>
      <c r="BK113" s="2221"/>
      <c r="BL113" s="2221"/>
      <c r="BM113" s="2221"/>
      <c r="BN113" s="2221"/>
      <c r="BO113" s="2221"/>
      <c r="BP113" s="2221"/>
      <c r="BQ113" s="2222"/>
      <c r="BR113" s="2222"/>
      <c r="BS113" s="2222"/>
      <c r="BT113" s="2222"/>
      <c r="BU113" s="604"/>
      <c r="BV113" s="1189"/>
      <c r="BW113" s="1189"/>
      <c r="BX113" s="1189"/>
      <c r="BY113" s="1189"/>
      <c r="BZ113" s="1189"/>
      <c r="CA113" s="1189"/>
      <c r="CB113" s="1189"/>
      <c r="CC113" s="1189"/>
      <c r="CD113" s="1189"/>
      <c r="CE113" s="1189"/>
      <c r="CF113" s="1189"/>
      <c r="CG113" s="1189"/>
      <c r="CH113" s="1189"/>
      <c r="CI113" s="1189"/>
      <c r="CJ113" s="1189"/>
      <c r="CK113" s="1189"/>
      <c r="CL113" s="1189"/>
      <c r="CM113" s="1189"/>
      <c r="CN113" s="1189"/>
      <c r="CO113" s="1189"/>
      <c r="CP113" s="1189"/>
      <c r="CQ113" s="1189"/>
      <c r="CR113" s="1189"/>
      <c r="CS113" s="1189"/>
      <c r="CT113" s="1189"/>
      <c r="CU113" s="397"/>
      <c r="CV113" s="388"/>
      <c r="CW113" s="388"/>
      <c r="CX113" s="207"/>
      <c r="CY113" s="207"/>
      <c r="CZ113" s="207"/>
      <c r="DA113" s="207"/>
      <c r="DB113" s="207"/>
      <c r="DC113" s="15"/>
      <c r="DD113" s="16"/>
      <c r="DE113" s="16"/>
      <c r="DF113" s="16"/>
      <c r="DG113" s="16"/>
      <c r="DH113" s="16"/>
      <c r="DI113" s="1593"/>
      <c r="DJ113" s="1163"/>
      <c r="DK113" s="1163"/>
      <c r="DL113" s="77"/>
      <c r="DM113" s="77"/>
      <c r="DN113" s="77"/>
      <c r="DO113" s="197"/>
      <c r="DP113" s="197"/>
      <c r="DQ113" s="197"/>
      <c r="DR113" s="78" t="s">
        <v>2907</v>
      </c>
      <c r="DS113" s="1543" t="str">
        <f>ASC(IF(AB113="","",AB113))</f>
        <v/>
      </c>
      <c r="EG113" s="73"/>
      <c r="EH113" s="73"/>
      <c r="EI113" s="73"/>
      <c r="EJ113" s="73"/>
      <c r="EK113" s="73"/>
      <c r="FO113" s="579"/>
      <c r="FV113" s="73"/>
      <c r="FW113" s="73"/>
      <c r="FX113" s="73"/>
      <c r="FY113" s="73"/>
      <c r="FZ113" s="73"/>
      <c r="GA113" s="77"/>
    </row>
    <row r="114" spans="1:183" s="78" customFormat="1" ht="27" customHeight="1" thickBot="1" x14ac:dyDescent="0.2">
      <c r="A114" s="1201"/>
      <c r="B114" s="1201"/>
      <c r="C114" s="1201"/>
      <c r="D114" s="1201"/>
      <c r="E114" s="1202"/>
      <c r="F114" s="652"/>
      <c r="G114" s="652"/>
      <c r="H114" s="652"/>
      <c r="I114" s="1249"/>
      <c r="J114" s="1215"/>
      <c r="K114" s="1216"/>
      <c r="L114" s="1216"/>
      <c r="M114" s="2255"/>
      <c r="N114" s="2255"/>
      <c r="O114" s="2255"/>
      <c r="P114" s="2255"/>
      <c r="Q114" s="2255"/>
      <c r="R114" s="2255"/>
      <c r="S114" s="2260" t="s">
        <v>318</v>
      </c>
      <c r="T114" s="2261"/>
      <c r="U114" s="2261"/>
      <c r="V114" s="2261"/>
      <c r="W114" s="2261"/>
      <c r="X114" s="2261"/>
      <c r="Y114" s="2261"/>
      <c r="Z114" s="2261"/>
      <c r="AA114" s="2261"/>
      <c r="AB114" s="2606"/>
      <c r="AC114" s="2607"/>
      <c r="AD114" s="2607"/>
      <c r="AE114" s="2607"/>
      <c r="AF114" s="2607"/>
      <c r="AG114" s="2608"/>
      <c r="AH114" s="2608"/>
      <c r="AI114" s="2608"/>
      <c r="AJ114" s="2608"/>
      <c r="AK114" s="2608"/>
      <c r="AL114" s="2608"/>
      <c r="AM114" s="2608"/>
      <c r="AN114" s="2608"/>
      <c r="AO114" s="2608"/>
      <c r="AP114" s="2608"/>
      <c r="AQ114" s="2608"/>
      <c r="AR114" s="2608"/>
      <c r="AS114" s="2608"/>
      <c r="AT114" s="2608"/>
      <c r="AU114" s="2608"/>
      <c r="AV114" s="2608"/>
      <c r="AW114" s="2608"/>
      <c r="AX114" s="2608"/>
      <c r="AY114" s="2608"/>
      <c r="AZ114" s="2608"/>
      <c r="BA114" s="2608"/>
      <c r="BB114" s="2608"/>
      <c r="BC114" s="2608"/>
      <c r="BD114" s="2608"/>
      <c r="BE114" s="2608"/>
      <c r="BF114" s="2608"/>
      <c r="BG114" s="2608"/>
      <c r="BH114" s="2608"/>
      <c r="BI114" s="2608"/>
      <c r="BJ114" s="2608"/>
      <c r="BK114" s="2608"/>
      <c r="BL114" s="2608"/>
      <c r="BM114" s="2608"/>
      <c r="BN114" s="2608"/>
      <c r="BO114" s="2608"/>
      <c r="BP114" s="2608"/>
      <c r="BQ114" s="2609"/>
      <c r="BR114" s="2609"/>
      <c r="BS114" s="2609"/>
      <c r="BT114" s="2609"/>
      <c r="BU114" s="604"/>
      <c r="BV114" s="1189"/>
      <c r="BW114" s="1189"/>
      <c r="BX114" s="1189"/>
      <c r="BY114" s="1189"/>
      <c r="BZ114" s="1189"/>
      <c r="CA114" s="1189"/>
      <c r="CB114" s="1189"/>
      <c r="CC114" s="1189"/>
      <c r="CD114" s="1189"/>
      <c r="CE114" s="1189"/>
      <c r="CF114" s="1189"/>
      <c r="CG114" s="1189"/>
      <c r="CH114" s="1189"/>
      <c r="CI114" s="1189"/>
      <c r="CJ114" s="1189"/>
      <c r="CK114" s="1189"/>
      <c r="CL114" s="1189"/>
      <c r="CM114" s="1189"/>
      <c r="CN114" s="1189"/>
      <c r="CO114" s="1189"/>
      <c r="CP114" s="1189"/>
      <c r="CQ114" s="1189"/>
      <c r="CR114" s="1189"/>
      <c r="CS114" s="1189"/>
      <c r="CT114" s="1189"/>
      <c r="CU114" s="397"/>
      <c r="CV114" s="388"/>
      <c r="CW114" s="388"/>
      <c r="CX114" s="207"/>
      <c r="CY114" s="207"/>
      <c r="CZ114" s="207"/>
      <c r="DA114" s="207"/>
      <c r="DB114" s="207"/>
      <c r="DC114" s="15"/>
      <c r="DD114" s="16"/>
      <c r="DE114" s="16"/>
      <c r="DF114" s="16"/>
      <c r="DG114" s="16"/>
      <c r="DH114" s="16"/>
      <c r="DI114" s="1593"/>
      <c r="DJ114" s="1163"/>
      <c r="DK114" s="1163"/>
      <c r="DL114" s="77"/>
      <c r="DN114" s="77"/>
      <c r="DO114" s="197"/>
      <c r="DP114" s="197"/>
      <c r="DQ114" s="197"/>
      <c r="DR114" s="78" t="s">
        <v>1325</v>
      </c>
      <c r="DS114" s="1543" t="str">
        <f>IF(AB114="","",AB114)</f>
        <v/>
      </c>
      <c r="DV114" s="1547" t="s">
        <v>2960</v>
      </c>
      <c r="DW114" s="196"/>
      <c r="EG114" s="73"/>
      <c r="EH114" s="73"/>
      <c r="EI114" s="73"/>
      <c r="EJ114" s="73"/>
      <c r="EK114" s="73"/>
      <c r="FO114" s="579"/>
      <c r="FV114" s="73"/>
      <c r="FW114" s="73"/>
      <c r="FX114" s="73"/>
      <c r="FY114" s="73"/>
      <c r="FZ114" s="73"/>
      <c r="GA114" s="77"/>
    </row>
    <row r="115" spans="1:183" s="78" customFormat="1" ht="27" customHeight="1" thickBot="1" x14ac:dyDescent="0.2">
      <c r="A115" s="1201"/>
      <c r="B115" s="1201"/>
      <c r="C115" s="1201"/>
      <c r="D115" s="1201"/>
      <c r="E115" s="1202"/>
      <c r="F115" s="652"/>
      <c r="G115" s="652"/>
      <c r="H115" s="652"/>
      <c r="I115" s="1249"/>
      <c r="J115" s="1215"/>
      <c r="K115" s="1216"/>
      <c r="L115" s="1216"/>
      <c r="M115" s="2233" t="s">
        <v>223</v>
      </c>
      <c r="N115" s="2255"/>
      <c r="O115" s="2255"/>
      <c r="P115" s="2255"/>
      <c r="Q115" s="2255"/>
      <c r="R115" s="2255"/>
      <c r="S115" s="2231" t="s">
        <v>667</v>
      </c>
      <c r="T115" s="2232"/>
      <c r="U115" s="2232"/>
      <c r="V115" s="2232"/>
      <c r="W115" s="2232"/>
      <c r="X115" s="2232"/>
      <c r="Y115" s="2232"/>
      <c r="Z115" s="2232"/>
      <c r="AA115" s="2232"/>
      <c r="AB115" s="2166"/>
      <c r="AC115" s="2166"/>
      <c r="AD115" s="2166"/>
      <c r="AE115" s="2166"/>
      <c r="AF115" s="2166"/>
      <c r="AG115" s="2166"/>
      <c r="AH115" s="2166"/>
      <c r="AI115" s="2166"/>
      <c r="AJ115" s="2166"/>
      <c r="AK115" s="2166"/>
      <c r="AL115" s="2166"/>
      <c r="AM115" s="2166"/>
      <c r="AN115" s="2166"/>
      <c r="AO115" s="2166"/>
      <c r="AP115" s="2166"/>
      <c r="AQ115" s="2166"/>
      <c r="AR115" s="2166"/>
      <c r="AS115" s="2166"/>
      <c r="AT115" s="2166"/>
      <c r="AU115" s="2166"/>
      <c r="AV115" s="2166"/>
      <c r="AW115" s="2166"/>
      <c r="AX115" s="2166"/>
      <c r="AY115" s="2166"/>
      <c r="AZ115" s="2166"/>
      <c r="BA115" s="2166"/>
      <c r="BB115" s="2166"/>
      <c r="BC115" s="2166"/>
      <c r="BD115" s="2166"/>
      <c r="BE115" s="2166"/>
      <c r="BF115" s="2166"/>
      <c r="BG115" s="2166"/>
      <c r="BH115" s="2166"/>
      <c r="BI115" s="2166"/>
      <c r="BJ115" s="2166"/>
      <c r="BK115" s="2166"/>
      <c r="BL115" s="2166"/>
      <c r="BM115" s="2166"/>
      <c r="BN115" s="2166"/>
      <c r="BO115" s="2166"/>
      <c r="BP115" s="2166"/>
      <c r="BQ115" s="2166"/>
      <c r="BR115" s="2166"/>
      <c r="BS115" s="2166"/>
      <c r="BT115" s="2166"/>
      <c r="BU115" s="604"/>
      <c r="BV115" s="1189"/>
      <c r="BW115" s="1189"/>
      <c r="BX115" s="1189"/>
      <c r="BY115" s="1189"/>
      <c r="BZ115" s="1189"/>
      <c r="CA115" s="1189"/>
      <c r="CB115" s="1189"/>
      <c r="CC115" s="1189"/>
      <c r="CD115" s="1189"/>
      <c r="CE115" s="1189"/>
      <c r="CF115" s="1189"/>
      <c r="CG115" s="1189"/>
      <c r="CH115" s="1189"/>
      <c r="CI115" s="1189"/>
      <c r="CJ115" s="1189"/>
      <c r="CK115" s="1189"/>
      <c r="CL115" s="1189"/>
      <c r="CM115" s="1189"/>
      <c r="CN115" s="1189"/>
      <c r="CO115" s="1189"/>
      <c r="CP115" s="1189"/>
      <c r="CQ115" s="1189"/>
      <c r="CR115" s="1189"/>
      <c r="CS115" s="1189"/>
      <c r="CT115" s="1189"/>
      <c r="CU115" s="397"/>
      <c r="CV115" s="388"/>
      <c r="CW115" s="388"/>
      <c r="CX115" s="207"/>
      <c r="CY115" s="207"/>
      <c r="CZ115" s="207"/>
      <c r="DA115" s="207"/>
      <c r="DB115" s="207"/>
      <c r="DC115" s="15"/>
      <c r="DD115" s="16"/>
      <c r="DE115" s="16"/>
      <c r="DF115" s="16"/>
      <c r="DG115" s="16"/>
      <c r="DH115" s="16"/>
      <c r="DI115" s="1593"/>
      <c r="DJ115" s="1163"/>
      <c r="DK115" s="1163"/>
      <c r="DL115" s="77"/>
      <c r="DN115" s="77"/>
      <c r="DO115" s="197"/>
      <c r="DP115" s="197"/>
      <c r="DQ115" s="197"/>
      <c r="DR115" s="78" t="s">
        <v>2904</v>
      </c>
      <c r="DS115" s="384" t="str">
        <f>IF(AB115="","",AB115)</f>
        <v/>
      </c>
      <c r="DV115" s="196" t="s">
        <v>2904</v>
      </c>
      <c r="DW115" s="1543" t="str">
        <f>IF($DS$108,DS79,DS115)</f>
        <v/>
      </c>
      <c r="EG115" s="73"/>
      <c r="EH115" s="73"/>
      <c r="EI115" s="73"/>
      <c r="EJ115" s="73"/>
      <c r="EK115" s="73"/>
      <c r="FO115" s="579"/>
      <c r="FV115" s="73"/>
      <c r="FW115" s="73"/>
      <c r="FX115" s="73"/>
      <c r="FY115" s="73"/>
      <c r="FZ115" s="73"/>
      <c r="GA115" s="77"/>
    </row>
    <row r="116" spans="1:183" ht="27" customHeight="1" thickBot="1" x14ac:dyDescent="0.2">
      <c r="A116" s="1201"/>
      <c r="B116" s="1201"/>
      <c r="C116" s="1201"/>
      <c r="D116" s="1201"/>
      <c r="E116" s="1202"/>
      <c r="J116" s="1260"/>
      <c r="K116" s="1261"/>
      <c r="L116" s="1261"/>
      <c r="M116" s="2255"/>
      <c r="N116" s="2255"/>
      <c r="O116" s="2255"/>
      <c r="P116" s="2255"/>
      <c r="Q116" s="2255"/>
      <c r="R116" s="2255"/>
      <c r="S116" s="2181" t="s">
        <v>665</v>
      </c>
      <c r="T116" s="2181"/>
      <c r="U116" s="2181"/>
      <c r="V116" s="2181"/>
      <c r="W116" s="2181"/>
      <c r="X116" s="2181"/>
      <c r="Y116" s="2181"/>
      <c r="Z116" s="2139"/>
      <c r="AA116" s="2139"/>
      <c r="AB116" s="2622"/>
      <c r="AC116" s="2201"/>
      <c r="AD116" s="2201"/>
      <c r="AE116" s="2201"/>
      <c r="AF116" s="2163"/>
      <c r="AG116" s="2163"/>
      <c r="AH116" s="2163"/>
      <c r="AI116" s="2163"/>
      <c r="AJ116" s="2163"/>
      <c r="AK116" s="2163"/>
      <c r="AL116" s="2163"/>
      <c r="AM116" s="2163"/>
      <c r="AN116" s="2163"/>
      <c r="AO116" s="2163"/>
      <c r="AP116" s="2163"/>
      <c r="AQ116" s="1253" t="s">
        <v>316</v>
      </c>
      <c r="AR116" s="1264"/>
      <c r="AS116" s="1264"/>
      <c r="AT116" s="1264"/>
      <c r="AU116" s="1264"/>
      <c r="AV116" s="1264"/>
      <c r="AW116" s="1264"/>
      <c r="AX116" s="1264"/>
      <c r="AY116" s="1264"/>
      <c r="AZ116" s="1264"/>
      <c r="BA116" s="1264"/>
      <c r="BB116" s="1264"/>
      <c r="BC116" s="1264"/>
      <c r="BD116" s="1264"/>
      <c r="BE116" s="1264"/>
      <c r="BF116" s="1264"/>
      <c r="BG116" s="1264"/>
      <c r="BH116" s="1264"/>
      <c r="BI116" s="1264"/>
      <c r="BJ116" s="1264"/>
      <c r="BK116" s="1264"/>
      <c r="BL116" s="1264"/>
      <c r="BM116" s="1264"/>
      <c r="BN116" s="1264"/>
      <c r="BO116" s="1264"/>
      <c r="BP116" s="1264"/>
      <c r="BQ116" s="1264"/>
      <c r="BR116" s="1264"/>
      <c r="BS116" s="1264"/>
      <c r="BT116" s="1264"/>
      <c r="BU116" s="584"/>
      <c r="BV116" s="405" t="s">
        <v>1892</v>
      </c>
      <c r="BW116" s="2141" t="s">
        <v>1895</v>
      </c>
      <c r="BX116" s="2141"/>
      <c r="BY116" s="2141"/>
      <c r="BZ116" s="2141"/>
      <c r="CA116" s="2141"/>
      <c r="CB116" s="2141"/>
      <c r="CC116" s="2141"/>
      <c r="CD116" s="2141"/>
      <c r="CE116" s="2141"/>
      <c r="CF116" s="2141"/>
      <c r="CG116" s="2141"/>
      <c r="CH116" s="2141"/>
      <c r="CI116" s="2141"/>
      <c r="CJ116" s="2141"/>
      <c r="CK116" s="2141"/>
      <c r="CL116" s="2141"/>
      <c r="CM116" s="2141"/>
      <c r="CN116" s="2141"/>
      <c r="CO116" s="2141"/>
      <c r="CP116" s="2141"/>
      <c r="CQ116" s="2141"/>
      <c r="CR116" s="2141"/>
      <c r="CS116" s="2141"/>
      <c r="CT116" s="1177"/>
      <c r="CU116" s="1178"/>
      <c r="DD116" s="16"/>
      <c r="DE116" s="16"/>
      <c r="DF116" s="16"/>
      <c r="DG116" s="16"/>
      <c r="DH116" s="16"/>
      <c r="DI116" s="1593"/>
      <c r="DJ116" s="1163"/>
      <c r="DM116" s="83">
        <f>IF(OR($AB$116="一級",$AB$116="二級"),1,0)</f>
        <v>0</v>
      </c>
      <c r="DO116" s="197"/>
      <c r="DP116" s="197"/>
      <c r="DQ116" s="197"/>
      <c r="DR116" s="78" t="s">
        <v>1981</v>
      </c>
      <c r="DS116" s="155" t="str">
        <f>IF(AB116="","",AB116)</f>
        <v/>
      </c>
      <c r="DV116" s="78" t="s">
        <v>1981</v>
      </c>
      <c r="DW116" s="1543" t="str">
        <f t="shared" ref="DW116:DW121" si="6">IF($DS$108,DS80,DS116)</f>
        <v/>
      </c>
      <c r="EG116" s="73"/>
      <c r="EH116" s="73"/>
      <c r="EI116" s="73"/>
      <c r="EJ116" s="73"/>
      <c r="EK116" s="73"/>
      <c r="FV116" s="73"/>
      <c r="FW116" s="73"/>
      <c r="FX116" s="73"/>
      <c r="FY116" s="73"/>
      <c r="FZ116" s="73"/>
    </row>
    <row r="117" spans="1:183" ht="27" customHeight="1" thickBot="1" x14ac:dyDescent="0.2">
      <c r="A117" s="1201"/>
      <c r="B117" s="1201"/>
      <c r="C117" s="1201"/>
      <c r="D117" s="1201"/>
      <c r="E117" s="1202"/>
      <c r="J117" s="1260"/>
      <c r="K117" s="1261"/>
      <c r="L117" s="1261"/>
      <c r="M117" s="2255"/>
      <c r="N117" s="2255"/>
      <c r="O117" s="2255"/>
      <c r="P117" s="2255"/>
      <c r="Q117" s="2255"/>
      <c r="R117" s="2255"/>
      <c r="S117" s="2182"/>
      <c r="T117" s="2182"/>
      <c r="U117" s="2182"/>
      <c r="V117" s="2182"/>
      <c r="W117" s="2182"/>
      <c r="X117" s="2182"/>
      <c r="Y117" s="2182"/>
      <c r="Z117" s="2275"/>
      <c r="AA117" s="2275"/>
      <c r="AB117" s="2201"/>
      <c r="AC117" s="2201"/>
      <c r="AD117" s="2201"/>
      <c r="AE117" s="2201"/>
      <c r="AF117" s="2201"/>
      <c r="AG117" s="2201"/>
      <c r="AH117" s="2163"/>
      <c r="AI117" s="2163"/>
      <c r="AJ117" s="2163"/>
      <c r="AK117" s="2163"/>
      <c r="AL117" s="2163"/>
      <c r="AM117" s="2163"/>
      <c r="AN117" s="2163"/>
      <c r="AO117" s="2163"/>
      <c r="AP117" s="2163"/>
      <c r="AQ117" s="1216" t="s">
        <v>651</v>
      </c>
      <c r="AR117" s="1227"/>
      <c r="AS117" s="1227"/>
      <c r="AT117" s="1227"/>
      <c r="AU117" s="1227"/>
      <c r="AV117" s="1227"/>
      <c r="AW117" s="1227"/>
      <c r="AX117" s="1227"/>
      <c r="AY117" s="1227"/>
      <c r="AZ117" s="1227"/>
      <c r="BA117" s="1227"/>
      <c r="BB117" s="1227"/>
      <c r="BC117" s="1227"/>
      <c r="BD117" s="1227"/>
      <c r="BE117" s="1227"/>
      <c r="BF117" s="1227"/>
      <c r="BG117" s="1227"/>
      <c r="BH117" s="1227"/>
      <c r="BI117" s="1227"/>
      <c r="BJ117" s="1227"/>
      <c r="BK117" s="1227"/>
      <c r="BL117" s="1227"/>
      <c r="BM117" s="1227"/>
      <c r="BN117" s="1227"/>
      <c r="BO117" s="1227"/>
      <c r="BP117" s="1227"/>
      <c r="BQ117" s="1227"/>
      <c r="BR117" s="1227"/>
      <c r="BS117" s="1227"/>
      <c r="BT117" s="1227"/>
      <c r="BU117" s="584"/>
      <c r="BV117" s="584"/>
      <c r="BW117" s="2141"/>
      <c r="BX117" s="2141"/>
      <c r="BY117" s="2141"/>
      <c r="BZ117" s="2141"/>
      <c r="CA117" s="2141"/>
      <c r="CB117" s="2141"/>
      <c r="CC117" s="2141"/>
      <c r="CD117" s="2141"/>
      <c r="CE117" s="2141"/>
      <c r="CF117" s="2141"/>
      <c r="CG117" s="2141"/>
      <c r="CH117" s="2141"/>
      <c r="CI117" s="2141"/>
      <c r="CJ117" s="2141"/>
      <c r="CK117" s="2141"/>
      <c r="CL117" s="2141"/>
      <c r="CM117" s="2141"/>
      <c r="CN117" s="2141"/>
      <c r="CO117" s="2141"/>
      <c r="CP117" s="2141"/>
      <c r="CQ117" s="2141"/>
      <c r="CR117" s="2141"/>
      <c r="CS117" s="2141"/>
      <c r="CT117" s="1177"/>
      <c r="CU117" s="1178"/>
      <c r="DD117" s="16"/>
      <c r="DE117" s="16"/>
      <c r="DF117" s="16"/>
      <c r="DG117" s="16"/>
      <c r="DH117" s="16"/>
      <c r="DI117" s="1593"/>
      <c r="DJ117" s="1163"/>
      <c r="DO117" s="197"/>
      <c r="DP117" s="197"/>
      <c r="DQ117" s="197"/>
      <c r="DR117" s="84" t="s">
        <v>1981</v>
      </c>
      <c r="DS117" s="224" t="str">
        <f>IF(AB117="","",AB117)</f>
        <v/>
      </c>
      <c r="DV117" s="84" t="s">
        <v>1981</v>
      </c>
      <c r="DW117" s="1543" t="str">
        <f t="shared" si="6"/>
        <v/>
      </c>
      <c r="EG117" s="78"/>
      <c r="EH117" s="78"/>
      <c r="EI117" s="78"/>
      <c r="EJ117" s="78"/>
      <c r="EK117" s="78"/>
      <c r="FV117" s="78"/>
      <c r="FW117" s="78"/>
      <c r="FX117" s="78"/>
      <c r="FY117" s="78"/>
      <c r="FZ117" s="78"/>
    </row>
    <row r="118" spans="1:183" s="78" customFormat="1" ht="27" customHeight="1" thickBot="1" x14ac:dyDescent="0.2">
      <c r="A118" s="1201"/>
      <c r="B118" s="1201"/>
      <c r="C118" s="1201"/>
      <c r="D118" s="1201"/>
      <c r="E118" s="1202"/>
      <c r="F118" s="652"/>
      <c r="G118" s="652"/>
      <c r="H118" s="652"/>
      <c r="I118" s="1249"/>
      <c r="J118" s="1215"/>
      <c r="K118" s="1216"/>
      <c r="L118" s="1216"/>
      <c r="M118" s="2255"/>
      <c r="N118" s="2255"/>
      <c r="O118" s="2255"/>
      <c r="P118" s="2255"/>
      <c r="Q118" s="2255"/>
      <c r="R118" s="2255"/>
      <c r="S118" s="2183"/>
      <c r="T118" s="2183"/>
      <c r="U118" s="2183"/>
      <c r="V118" s="2183"/>
      <c r="W118" s="2183"/>
      <c r="X118" s="2183"/>
      <c r="Y118" s="2183"/>
      <c r="Z118" s="2184" t="s">
        <v>3</v>
      </c>
      <c r="AA118" s="2184"/>
      <c r="AB118" s="2162"/>
      <c r="AC118" s="2162"/>
      <c r="AD118" s="2162"/>
      <c r="AE118" s="2162"/>
      <c r="AF118" s="2162"/>
      <c r="AG118" s="2162"/>
      <c r="AH118" s="2162"/>
      <c r="AI118" s="2163"/>
      <c r="AJ118" s="2163"/>
      <c r="AK118" s="2163"/>
      <c r="AL118" s="2163"/>
      <c r="AM118" s="2163"/>
      <c r="AN118" s="2163"/>
      <c r="AO118" s="2163"/>
      <c r="AP118" s="2163"/>
      <c r="AQ118" s="1216" t="s">
        <v>4</v>
      </c>
      <c r="AR118" s="1262"/>
      <c r="AS118" s="1262"/>
      <c r="AT118" s="1262"/>
      <c r="AU118" s="1262"/>
      <c r="AV118" s="1262"/>
      <c r="AW118" s="1262"/>
      <c r="AX118" s="1262"/>
      <c r="AY118" s="1262"/>
      <c r="AZ118" s="1227"/>
      <c r="BA118" s="1262"/>
      <c r="BB118" s="1262"/>
      <c r="BC118" s="1262"/>
      <c r="BD118" s="1262"/>
      <c r="BE118" s="1262"/>
      <c r="BF118" s="1262"/>
      <c r="BG118" s="1262"/>
      <c r="BH118" s="1262"/>
      <c r="BI118" s="1262"/>
      <c r="BJ118" s="1262"/>
      <c r="BK118" s="1262"/>
      <c r="BL118" s="1262"/>
      <c r="BM118" s="1262"/>
      <c r="BN118" s="1262"/>
      <c r="BO118" s="1262"/>
      <c r="BP118" s="1262"/>
      <c r="BQ118" s="1262"/>
      <c r="BR118" s="1262"/>
      <c r="BS118" s="1262"/>
      <c r="BT118" s="1262"/>
      <c r="BU118" s="584"/>
      <c r="BV118" s="584"/>
      <c r="BW118" s="584"/>
      <c r="BX118" s="584"/>
      <c r="BY118" s="584"/>
      <c r="BZ118" s="584"/>
      <c r="CA118" s="584"/>
      <c r="CB118" s="584"/>
      <c r="CC118" s="584"/>
      <c r="CD118" s="584"/>
      <c r="CE118" s="584"/>
      <c r="CF118" s="584"/>
      <c r="CG118" s="584"/>
      <c r="CH118" s="584"/>
      <c r="CI118" s="584"/>
      <c r="CJ118" s="584"/>
      <c r="CK118" s="584"/>
      <c r="CL118" s="584"/>
      <c r="CM118" s="584"/>
      <c r="CN118" s="584"/>
      <c r="CO118" s="584"/>
      <c r="CP118" s="584"/>
      <c r="CQ118" s="584"/>
      <c r="CR118" s="584"/>
      <c r="CS118" s="584"/>
      <c r="CT118" s="584"/>
      <c r="CU118" s="602"/>
      <c r="CV118" s="1252"/>
      <c r="CW118" s="1252"/>
      <c r="CX118" s="599"/>
      <c r="CY118" s="599"/>
      <c r="CZ118" s="599"/>
      <c r="DA118" s="599"/>
      <c r="DB118" s="599"/>
      <c r="DC118" s="195"/>
      <c r="DD118" s="599"/>
      <c r="DE118" s="599"/>
      <c r="DF118" s="600"/>
      <c r="DG118" s="600"/>
      <c r="DH118" s="600"/>
      <c r="DI118" s="1593"/>
      <c r="DJ118" s="1167"/>
      <c r="DK118" s="1166"/>
      <c r="DL118" s="77"/>
      <c r="DM118" s="83"/>
      <c r="DN118" s="1161" t="s">
        <v>2958</v>
      </c>
      <c r="DO118" s="197"/>
      <c r="DP118" s="197"/>
      <c r="DQ118" s="197"/>
      <c r="DR118" s="84" t="s">
        <v>2906</v>
      </c>
      <c r="DS118" s="155" t="str">
        <f>IF(AB118="","",AB118)</f>
        <v/>
      </c>
      <c r="DV118" s="84" t="s">
        <v>2906</v>
      </c>
      <c r="DW118" s="1543" t="str">
        <f t="shared" si="6"/>
        <v/>
      </c>
      <c r="FO118" s="579"/>
      <c r="GA118" s="77"/>
    </row>
    <row r="119" spans="1:183" s="78" customFormat="1" ht="27" customHeight="1" thickBot="1" x14ac:dyDescent="0.2">
      <c r="A119" s="1201"/>
      <c r="B119" s="1201"/>
      <c r="C119" s="1201"/>
      <c r="D119" s="1201"/>
      <c r="E119" s="1202"/>
      <c r="F119" s="652"/>
      <c r="G119" s="652"/>
      <c r="H119" s="652"/>
      <c r="I119" s="1249"/>
      <c r="J119" s="1215"/>
      <c r="K119" s="1216"/>
      <c r="L119" s="1216"/>
      <c r="M119" s="2255"/>
      <c r="N119" s="2255"/>
      <c r="O119" s="2255"/>
      <c r="P119" s="2255"/>
      <c r="Q119" s="2255"/>
      <c r="R119" s="2255"/>
      <c r="S119" s="2277" t="s">
        <v>1283</v>
      </c>
      <c r="T119" s="2335"/>
      <c r="U119" s="2335"/>
      <c r="V119" s="2335"/>
      <c r="W119" s="2335"/>
      <c r="X119" s="2335"/>
      <c r="Y119" s="2335"/>
      <c r="Z119" s="2335"/>
      <c r="AA119" s="2335"/>
      <c r="AB119" s="2175"/>
      <c r="AC119" s="2175"/>
      <c r="AD119" s="2175"/>
      <c r="AE119" s="2175"/>
      <c r="AF119" s="2175"/>
      <c r="AG119" s="2175"/>
      <c r="AH119" s="2174" t="s">
        <v>1093</v>
      </c>
      <c r="AI119" s="2174"/>
      <c r="AJ119" s="2174"/>
      <c r="AK119" s="2175"/>
      <c r="AL119" s="2175"/>
      <c r="AM119" s="2175"/>
      <c r="AN119" s="2175"/>
      <c r="AO119" s="2175"/>
      <c r="AP119" s="2175"/>
      <c r="AQ119" s="2600"/>
      <c r="AR119" s="2600"/>
      <c r="AS119" s="2600"/>
      <c r="AT119" s="2600"/>
      <c r="AU119" s="2600"/>
      <c r="AV119" s="2600"/>
      <c r="AW119" s="2600"/>
      <c r="AX119" s="2600"/>
      <c r="AY119" s="2600"/>
      <c r="AZ119" s="2600"/>
      <c r="BA119" s="2600"/>
      <c r="BB119" s="2600"/>
      <c r="BC119" s="2600"/>
      <c r="BD119" s="2600"/>
      <c r="BE119" s="2600"/>
      <c r="BF119" s="2600"/>
      <c r="BG119" s="2600"/>
      <c r="BH119" s="2600"/>
      <c r="BI119" s="2600"/>
      <c r="BJ119" s="2600"/>
      <c r="BK119" s="2600"/>
      <c r="BL119" s="2600"/>
      <c r="BM119" s="2600"/>
      <c r="BN119" s="2600"/>
      <c r="BO119" s="2600"/>
      <c r="BP119" s="2600"/>
      <c r="BQ119" s="2600"/>
      <c r="BR119" s="2600"/>
      <c r="BS119" s="2600"/>
      <c r="BT119" s="2600"/>
      <c r="BU119" s="584"/>
      <c r="BV119" s="584"/>
      <c r="BW119" s="584"/>
      <c r="BX119" s="584"/>
      <c r="BY119" s="584"/>
      <c r="BZ119" s="584"/>
      <c r="CA119" s="584"/>
      <c r="CB119" s="584"/>
      <c r="CC119" s="584"/>
      <c r="CD119" s="584"/>
      <c r="CE119" s="584"/>
      <c r="CF119" s="584"/>
      <c r="CG119" s="584"/>
      <c r="CH119" s="584"/>
      <c r="CI119" s="584"/>
      <c r="CJ119" s="584"/>
      <c r="CK119" s="584"/>
      <c r="CL119" s="584"/>
      <c r="CM119" s="584"/>
      <c r="CN119" s="584"/>
      <c r="CO119" s="584"/>
      <c r="CP119" s="584"/>
      <c r="CQ119" s="584"/>
      <c r="CR119" s="584"/>
      <c r="CS119" s="584"/>
      <c r="CT119" s="584"/>
      <c r="CU119" s="602"/>
      <c r="CV119" s="1252"/>
      <c r="CW119" s="1252"/>
      <c r="CX119" s="599"/>
      <c r="CY119" s="599"/>
      <c r="CZ119" s="599"/>
      <c r="DA119" s="599"/>
      <c r="DB119" s="599"/>
      <c r="DC119" s="195"/>
      <c r="DD119" s="599"/>
      <c r="DE119" s="599"/>
      <c r="DF119" s="600"/>
      <c r="DG119" s="600"/>
      <c r="DH119" s="600"/>
      <c r="DI119" s="1593"/>
      <c r="DJ119" s="1167"/>
      <c r="DK119" s="1166"/>
      <c r="DL119" s="77"/>
      <c r="DM119" s="160" t="str">
        <f>CONCATENATE(AB119,"-",AK119)</f>
        <v>-</v>
      </c>
      <c r="DN119" s="160" t="str">
        <f>IF(DM119="-","",ASC(DM119))</f>
        <v/>
      </c>
      <c r="DO119" s="197"/>
      <c r="DP119" s="197"/>
      <c r="DQ119" s="197"/>
      <c r="DR119" s="78" t="s">
        <v>1334</v>
      </c>
      <c r="DS119" s="155" t="str">
        <f>IF(DN119="","",DN119)</f>
        <v/>
      </c>
      <c r="DV119" s="78" t="s">
        <v>1334</v>
      </c>
      <c r="DW119" s="1543" t="str">
        <f t="shared" si="6"/>
        <v/>
      </c>
      <c r="EG119" s="73"/>
      <c r="EH119" s="73"/>
      <c r="EI119" s="73"/>
      <c r="EJ119" s="73"/>
      <c r="EK119" s="73"/>
      <c r="FO119" s="579"/>
      <c r="FV119" s="73"/>
      <c r="FW119" s="73"/>
      <c r="FX119" s="73"/>
      <c r="FY119" s="73"/>
      <c r="FZ119" s="73"/>
      <c r="GA119" s="77"/>
    </row>
    <row r="120" spans="1:183" s="78" customFormat="1" ht="27" customHeight="1" thickBot="1" x14ac:dyDescent="0.2">
      <c r="A120" s="1201"/>
      <c r="B120" s="1201"/>
      <c r="C120" s="1201"/>
      <c r="D120" s="1201"/>
      <c r="E120" s="1202"/>
      <c r="F120" s="652"/>
      <c r="G120" s="652"/>
      <c r="H120" s="652"/>
      <c r="I120" s="1249"/>
      <c r="J120" s="1215"/>
      <c r="K120" s="1216"/>
      <c r="L120" s="1216"/>
      <c r="M120" s="2255"/>
      <c r="N120" s="2255"/>
      <c r="O120" s="2255"/>
      <c r="P120" s="2255"/>
      <c r="Q120" s="2255"/>
      <c r="R120" s="2255"/>
      <c r="S120" s="2179" t="s">
        <v>224</v>
      </c>
      <c r="T120" s="2180"/>
      <c r="U120" s="2180"/>
      <c r="V120" s="2180"/>
      <c r="W120" s="2180"/>
      <c r="X120" s="2180"/>
      <c r="Y120" s="2180"/>
      <c r="Z120" s="2180"/>
      <c r="AA120" s="2180"/>
      <c r="AB120" s="2170"/>
      <c r="AC120" s="2171"/>
      <c r="AD120" s="2171"/>
      <c r="AE120" s="2171"/>
      <c r="AF120" s="2171"/>
      <c r="AG120" s="2171"/>
      <c r="AH120" s="2171"/>
      <c r="AI120" s="2171"/>
      <c r="AJ120" s="2171"/>
      <c r="AK120" s="2171"/>
      <c r="AL120" s="2171"/>
      <c r="AM120" s="2171"/>
      <c r="AN120" s="2172"/>
      <c r="AO120" s="2172"/>
      <c r="AP120" s="2172"/>
      <c r="AQ120" s="2172"/>
      <c r="AR120" s="2172"/>
      <c r="AS120" s="2172"/>
      <c r="AT120" s="2172"/>
      <c r="AU120" s="2172"/>
      <c r="AV120" s="2172"/>
      <c r="AW120" s="2172"/>
      <c r="AX120" s="2172"/>
      <c r="AY120" s="2172"/>
      <c r="AZ120" s="2172"/>
      <c r="BA120" s="2172"/>
      <c r="BB120" s="2172"/>
      <c r="BC120" s="2172"/>
      <c r="BD120" s="2172"/>
      <c r="BE120" s="2172"/>
      <c r="BF120" s="2172"/>
      <c r="BG120" s="2172"/>
      <c r="BH120" s="2172"/>
      <c r="BI120" s="2172"/>
      <c r="BJ120" s="2172"/>
      <c r="BK120" s="2172"/>
      <c r="BL120" s="2172"/>
      <c r="BM120" s="2172"/>
      <c r="BN120" s="2172"/>
      <c r="BO120" s="2172"/>
      <c r="BP120" s="2172"/>
      <c r="BQ120" s="2173"/>
      <c r="BR120" s="2173"/>
      <c r="BS120" s="2173"/>
      <c r="BT120" s="2173"/>
      <c r="BU120" s="584"/>
      <c r="BV120" s="405" t="s">
        <v>1892</v>
      </c>
      <c r="BW120" s="2141" t="s">
        <v>1896</v>
      </c>
      <c r="BX120" s="2141"/>
      <c r="BY120" s="2141"/>
      <c r="BZ120" s="2141"/>
      <c r="CA120" s="2141"/>
      <c r="CB120" s="2141"/>
      <c r="CC120" s="2141"/>
      <c r="CD120" s="2141"/>
      <c r="CE120" s="2141"/>
      <c r="CF120" s="2141"/>
      <c r="CG120" s="2141"/>
      <c r="CH120" s="2141"/>
      <c r="CI120" s="2141"/>
      <c r="CJ120" s="2141"/>
      <c r="CK120" s="2141"/>
      <c r="CL120" s="2141"/>
      <c r="CM120" s="2141"/>
      <c r="CN120" s="2141"/>
      <c r="CO120" s="2141"/>
      <c r="CP120" s="2141"/>
      <c r="CQ120" s="2141"/>
      <c r="CR120" s="2141"/>
      <c r="CS120" s="2141"/>
      <c r="CT120" s="1177"/>
      <c r="CU120" s="1178"/>
      <c r="CV120" s="1252"/>
      <c r="CW120" s="1252"/>
      <c r="CX120" s="599"/>
      <c r="CY120" s="599"/>
      <c r="CZ120" s="599"/>
      <c r="DA120" s="599"/>
      <c r="DB120" s="599"/>
      <c r="DC120" s="195"/>
      <c r="DD120" s="599"/>
      <c r="DE120" s="599"/>
      <c r="DF120" s="600"/>
      <c r="DG120" s="600"/>
      <c r="DH120" s="600"/>
      <c r="DI120" s="1593"/>
      <c r="DJ120" s="1167"/>
      <c r="DK120" s="1166"/>
      <c r="DL120" s="77"/>
      <c r="DM120" s="161"/>
      <c r="DN120" s="1161" t="s">
        <v>2957</v>
      </c>
      <c r="DO120" s="197"/>
      <c r="DP120" s="197"/>
      <c r="DQ120" s="197"/>
      <c r="DR120" s="78" t="s">
        <v>222</v>
      </c>
      <c r="DS120" s="155" t="str">
        <f>IF(AB120="","",AB120)</f>
        <v/>
      </c>
      <c r="DV120" s="78" t="s">
        <v>222</v>
      </c>
      <c r="DW120" s="1543" t="str">
        <f t="shared" si="6"/>
        <v/>
      </c>
      <c r="EG120" s="73"/>
      <c r="EH120" s="73"/>
      <c r="EI120" s="73"/>
      <c r="EJ120" s="73"/>
      <c r="EK120" s="73"/>
      <c r="FO120" s="579"/>
      <c r="FV120" s="73"/>
      <c r="FW120" s="73"/>
      <c r="FX120" s="73"/>
      <c r="FY120" s="73"/>
      <c r="FZ120" s="73"/>
      <c r="GA120" s="77"/>
    </row>
    <row r="121" spans="1:183" s="78" customFormat="1" ht="27" customHeight="1" thickBot="1" x14ac:dyDescent="0.2">
      <c r="A121" s="1201"/>
      <c r="B121" s="1201"/>
      <c r="C121" s="1201"/>
      <c r="D121" s="1201"/>
      <c r="E121" s="1202"/>
      <c r="F121" s="652"/>
      <c r="G121" s="652"/>
      <c r="H121" s="652"/>
      <c r="I121" s="1249"/>
      <c r="J121" s="1221"/>
      <c r="K121" s="1222"/>
      <c r="L121" s="1222"/>
      <c r="M121" s="2605"/>
      <c r="N121" s="2605"/>
      <c r="O121" s="2605"/>
      <c r="P121" s="2605"/>
      <c r="Q121" s="2605"/>
      <c r="R121" s="2605"/>
      <c r="S121" s="2177" t="s">
        <v>1284</v>
      </c>
      <c r="T121" s="2178"/>
      <c r="U121" s="2178"/>
      <c r="V121" s="2178"/>
      <c r="W121" s="2178"/>
      <c r="X121" s="2178"/>
      <c r="Y121" s="2178"/>
      <c r="Z121" s="2178"/>
      <c r="AA121" s="2178"/>
      <c r="AB121" s="2161"/>
      <c r="AC121" s="2161"/>
      <c r="AD121" s="2161"/>
      <c r="AE121" s="2161"/>
      <c r="AF121" s="2161"/>
      <c r="AG121" s="2161"/>
      <c r="AH121" s="2176" t="s">
        <v>1093</v>
      </c>
      <c r="AI121" s="2176"/>
      <c r="AJ121" s="2176"/>
      <c r="AK121" s="2161"/>
      <c r="AL121" s="2161"/>
      <c r="AM121" s="2161"/>
      <c r="AN121" s="2161"/>
      <c r="AO121" s="2161"/>
      <c r="AP121" s="2161"/>
      <c r="AQ121" s="2176" t="s">
        <v>1093</v>
      </c>
      <c r="AR121" s="2176"/>
      <c r="AS121" s="2176"/>
      <c r="AT121" s="2161"/>
      <c r="AU121" s="2161"/>
      <c r="AV121" s="2161"/>
      <c r="AW121" s="2161"/>
      <c r="AX121" s="2161"/>
      <c r="AY121" s="2161"/>
      <c r="AZ121" s="2343"/>
      <c r="BA121" s="2343"/>
      <c r="BB121" s="2343"/>
      <c r="BC121" s="2343"/>
      <c r="BD121" s="2343"/>
      <c r="BE121" s="2343"/>
      <c r="BF121" s="2343"/>
      <c r="BG121" s="2343"/>
      <c r="BH121" s="2343"/>
      <c r="BI121" s="2343"/>
      <c r="BJ121" s="2343"/>
      <c r="BK121" s="2343"/>
      <c r="BL121" s="2343"/>
      <c r="BM121" s="2343"/>
      <c r="BN121" s="2343"/>
      <c r="BO121" s="2343"/>
      <c r="BP121" s="2343"/>
      <c r="BQ121" s="2343"/>
      <c r="BR121" s="2343"/>
      <c r="BS121" s="2343"/>
      <c r="BT121" s="2343"/>
      <c r="BU121" s="594"/>
      <c r="BV121" s="398"/>
      <c r="BW121" s="2195"/>
      <c r="BX121" s="2195"/>
      <c r="BY121" s="2195"/>
      <c r="BZ121" s="2195"/>
      <c r="CA121" s="2195"/>
      <c r="CB121" s="2195"/>
      <c r="CC121" s="2195"/>
      <c r="CD121" s="2195"/>
      <c r="CE121" s="2195"/>
      <c r="CF121" s="2195"/>
      <c r="CG121" s="2195"/>
      <c r="CH121" s="2195"/>
      <c r="CI121" s="2195"/>
      <c r="CJ121" s="2195"/>
      <c r="CK121" s="2195"/>
      <c r="CL121" s="2195"/>
      <c r="CM121" s="2195"/>
      <c r="CN121" s="2195"/>
      <c r="CO121" s="2195"/>
      <c r="CP121" s="2195"/>
      <c r="CQ121" s="2195"/>
      <c r="CR121" s="2195"/>
      <c r="CS121" s="2195"/>
      <c r="CT121" s="1175"/>
      <c r="CU121" s="1176"/>
      <c r="CV121" s="388"/>
      <c r="CW121" s="388"/>
      <c r="CX121" s="207"/>
      <c r="CY121" s="207"/>
      <c r="CZ121" s="207"/>
      <c r="DA121" s="207"/>
      <c r="DB121" s="207"/>
      <c r="DC121" s="15"/>
      <c r="DD121" s="16"/>
      <c r="DE121" s="16"/>
      <c r="DF121" s="16"/>
      <c r="DG121" s="16"/>
      <c r="DH121" s="16"/>
      <c r="DI121" s="1593"/>
      <c r="DJ121" s="1163"/>
      <c r="DK121" s="1163"/>
      <c r="DL121" s="77"/>
      <c r="DM121" s="160" t="str">
        <f>CONCATENATE(AB121,"-",AK121,"-",AT121)</f>
        <v>--</v>
      </c>
      <c r="DN121" s="160" t="str">
        <f>IF(DM121="--","",ASC(DM121))</f>
        <v/>
      </c>
      <c r="DO121" s="197"/>
      <c r="DP121" s="197"/>
      <c r="DQ121" s="197"/>
      <c r="DR121" s="78" t="s">
        <v>1327</v>
      </c>
      <c r="DS121" s="155" t="str">
        <f>IF(DN121="","",DN121)</f>
        <v/>
      </c>
      <c r="DV121" s="78" t="s">
        <v>1327</v>
      </c>
      <c r="DW121" s="1543" t="str">
        <f t="shared" si="6"/>
        <v/>
      </c>
      <c r="EG121" s="73"/>
      <c r="EH121" s="73"/>
      <c r="EI121" s="73"/>
      <c r="EJ121" s="73"/>
      <c r="EK121" s="73"/>
      <c r="FO121" s="579"/>
      <c r="FV121" s="73"/>
      <c r="FW121" s="73"/>
      <c r="FX121" s="73"/>
      <c r="FY121" s="73"/>
      <c r="FZ121" s="73"/>
      <c r="GA121" s="77"/>
    </row>
    <row r="122" spans="1:183" ht="15" customHeight="1" x14ac:dyDescent="0.15">
      <c r="A122" s="1201"/>
      <c r="B122" s="1201"/>
      <c r="C122" s="1201"/>
      <c r="D122" s="1201"/>
      <c r="E122" s="1202"/>
      <c r="BU122" s="578"/>
      <c r="BX122" s="401"/>
      <c r="DD122" s="16"/>
      <c r="DE122" s="16"/>
      <c r="DF122" s="16"/>
      <c r="DG122" s="16"/>
      <c r="DH122" s="16"/>
      <c r="DI122" s="1593"/>
      <c r="DJ122" s="1163"/>
      <c r="EG122" s="80"/>
      <c r="EH122" s="80"/>
      <c r="EI122" s="80"/>
      <c r="EJ122" s="80"/>
      <c r="EK122" s="80"/>
      <c r="FV122" s="80"/>
      <c r="FW122" s="80"/>
      <c r="FX122" s="80"/>
      <c r="FY122" s="80"/>
      <c r="FZ122" s="80"/>
    </row>
    <row r="123" spans="1:183" ht="2.1" customHeight="1" x14ac:dyDescent="0.15">
      <c r="A123" s="1201"/>
      <c r="B123" s="1201"/>
      <c r="C123" s="1201"/>
      <c r="D123" s="1201"/>
      <c r="E123" s="1202"/>
      <c r="BU123" s="578"/>
      <c r="BX123" s="401"/>
      <c r="DD123" s="16"/>
      <c r="DE123" s="16"/>
      <c r="DF123" s="16"/>
      <c r="DG123" s="16"/>
      <c r="DH123" s="16"/>
      <c r="DI123" s="1593"/>
      <c r="DJ123" s="1163"/>
      <c r="EG123" s="80"/>
      <c r="EH123" s="80"/>
      <c r="EI123" s="80"/>
      <c r="EJ123" s="80"/>
      <c r="EK123" s="80"/>
      <c r="FV123" s="80"/>
      <c r="FW123" s="80"/>
      <c r="FX123" s="80"/>
      <c r="FY123" s="80"/>
      <c r="FZ123" s="80"/>
    </row>
    <row r="124" spans="1:183" ht="2.1" customHeight="1" x14ac:dyDescent="0.15">
      <c r="A124" s="1201"/>
      <c r="B124" s="1201"/>
      <c r="C124" s="1201"/>
      <c r="D124" s="1201"/>
      <c r="E124" s="1202"/>
      <c r="BU124" s="578"/>
      <c r="BX124" s="401"/>
      <c r="DD124" s="16"/>
      <c r="DE124" s="16"/>
      <c r="DF124" s="16"/>
      <c r="DG124" s="16"/>
      <c r="DH124" s="16"/>
      <c r="DI124" s="1593"/>
      <c r="DJ124" s="1163"/>
      <c r="EG124" s="80"/>
      <c r="EH124" s="80"/>
      <c r="EI124" s="80"/>
      <c r="EJ124" s="80"/>
      <c r="EK124" s="80"/>
      <c r="FV124" s="80"/>
      <c r="FW124" s="80"/>
      <c r="FX124" s="80"/>
      <c r="FY124" s="80"/>
      <c r="FZ124" s="80"/>
    </row>
    <row r="125" spans="1:183" ht="2.1" customHeight="1" thickBot="1" x14ac:dyDescent="0.2">
      <c r="A125" s="1201"/>
      <c r="B125" s="1201"/>
      <c r="C125" s="1201"/>
      <c r="D125" s="1201"/>
      <c r="E125" s="1202"/>
      <c r="BU125" s="578"/>
      <c r="BX125" s="401"/>
      <c r="DD125" s="16"/>
      <c r="DE125" s="16"/>
      <c r="DF125" s="16"/>
      <c r="DG125" s="16"/>
      <c r="DH125" s="16"/>
      <c r="DI125" s="1593"/>
      <c r="DJ125" s="1163"/>
      <c r="EG125" s="80"/>
      <c r="EH125" s="80"/>
      <c r="EI125" s="80"/>
      <c r="EJ125" s="80"/>
      <c r="EK125" s="80"/>
      <c r="FV125" s="80"/>
      <c r="FW125" s="80"/>
      <c r="FX125" s="80"/>
      <c r="FY125" s="80"/>
      <c r="FZ125" s="80"/>
    </row>
    <row r="126" spans="1:183" s="80" customFormat="1" ht="35.1" customHeight="1" thickBot="1" x14ac:dyDescent="0.6">
      <c r="A126" s="1201"/>
      <c r="B126" s="1201"/>
      <c r="C126" s="1201"/>
      <c r="D126" s="1201"/>
      <c r="E126" s="1202"/>
      <c r="F126" s="652"/>
      <c r="G126" s="652"/>
      <c r="H126" s="652"/>
      <c r="I126" s="1214"/>
      <c r="J126" s="2132" t="s">
        <v>970</v>
      </c>
      <c r="K126" s="2133"/>
      <c r="L126" s="2133"/>
      <c r="M126" s="2133"/>
      <c r="N126" s="2133"/>
      <c r="O126" s="2133"/>
      <c r="P126" s="2133"/>
      <c r="Q126" s="2133"/>
      <c r="R126" s="2133"/>
      <c r="S126" s="2133"/>
      <c r="T126" s="2133"/>
      <c r="U126" s="2133"/>
      <c r="V126" s="2133"/>
      <c r="W126" s="2133"/>
      <c r="X126" s="2133"/>
      <c r="Y126" s="2133"/>
      <c r="Z126" s="2133"/>
      <c r="AA126" s="2133"/>
      <c r="AB126" s="2133"/>
      <c r="AC126" s="2133"/>
      <c r="AD126" s="2133"/>
      <c r="AE126" s="2133"/>
      <c r="AF126" s="2133"/>
      <c r="AG126" s="2133"/>
      <c r="AH126" s="2133"/>
      <c r="AI126" s="2133"/>
      <c r="AJ126" s="2133"/>
      <c r="AK126" s="2133"/>
      <c r="AL126" s="2133"/>
      <c r="AM126" s="2133"/>
      <c r="AN126" s="2133"/>
      <c r="AO126" s="2133"/>
      <c r="AP126" s="2133"/>
      <c r="AQ126" s="2133"/>
      <c r="AR126" s="2133"/>
      <c r="AS126" s="2133"/>
      <c r="AT126" s="2133"/>
      <c r="AU126" s="2133"/>
      <c r="AV126" s="2133"/>
      <c r="AW126" s="2133"/>
      <c r="AX126" s="2133"/>
      <c r="AY126" s="2133"/>
      <c r="AZ126" s="2133"/>
      <c r="BA126" s="2133"/>
      <c r="BB126" s="2133"/>
      <c r="BC126" s="2133"/>
      <c r="BD126" s="2133"/>
      <c r="BE126" s="2133"/>
      <c r="BF126" s="2133"/>
      <c r="BG126" s="2155" t="s">
        <v>2914</v>
      </c>
      <c r="BH126" s="2155"/>
      <c r="BI126" s="2155"/>
      <c r="BJ126" s="2155"/>
      <c r="BK126" s="2155"/>
      <c r="BL126" s="2155"/>
      <c r="BM126" s="2155"/>
      <c r="BN126" s="2155"/>
      <c r="BO126" s="2155"/>
      <c r="BP126" s="2155"/>
      <c r="BQ126" s="2155"/>
      <c r="BR126" s="2155"/>
      <c r="BS126" s="2155"/>
      <c r="BT126" s="2155"/>
      <c r="BU126" s="581"/>
      <c r="BV126" s="404"/>
      <c r="BW126" s="2164" t="s">
        <v>1899</v>
      </c>
      <c r="BX126" s="2164"/>
      <c r="BY126" s="2164"/>
      <c r="BZ126" s="2164"/>
      <c r="CA126" s="2164"/>
      <c r="CB126" s="2164"/>
      <c r="CC126" s="2164"/>
      <c r="CD126" s="2164"/>
      <c r="CE126" s="2164"/>
      <c r="CF126" s="2164"/>
      <c r="CG126" s="2164"/>
      <c r="CH126" s="2164"/>
      <c r="CI126" s="2164"/>
      <c r="CJ126" s="2164"/>
      <c r="CK126" s="2164"/>
      <c r="CL126" s="2164"/>
      <c r="CM126" s="2164"/>
      <c r="CN126" s="2164"/>
      <c r="CO126" s="2164"/>
      <c r="CP126" s="2164"/>
      <c r="CQ126" s="2164"/>
      <c r="CR126" s="2164"/>
      <c r="CS126" s="2164"/>
      <c r="CT126" s="606"/>
      <c r="CU126" s="607"/>
      <c r="CV126" s="388"/>
      <c r="CW126" s="388"/>
      <c r="CX126" s="207"/>
      <c r="CY126" s="207"/>
      <c r="CZ126" s="207"/>
      <c r="DA126" s="207"/>
      <c r="DB126" s="207"/>
      <c r="DC126" s="15"/>
      <c r="DD126" s="16"/>
      <c r="DE126" s="16"/>
      <c r="DF126" s="16"/>
      <c r="DG126" s="16"/>
      <c r="DH126" s="16"/>
      <c r="DI126" s="1593"/>
      <c r="DJ126" s="1163"/>
      <c r="DK126" s="1163"/>
      <c r="DL126" s="79"/>
      <c r="DM126" s="1436" t="str">
        <f>J126</f>
        <v>８　敷地の位置</v>
      </c>
      <c r="DN126" s="79"/>
      <c r="DO126" s="79"/>
      <c r="DP126" s="79"/>
      <c r="DQ126" s="79"/>
      <c r="DV126" s="1547" t="s">
        <v>2984</v>
      </c>
      <c r="FO126" s="582"/>
      <c r="GA126" s="79"/>
    </row>
    <row r="127" spans="1:183" s="78" customFormat="1" ht="27" customHeight="1" thickBot="1" x14ac:dyDescent="0.2">
      <c r="A127" s="1201"/>
      <c r="B127" s="1201"/>
      <c r="C127" s="1201"/>
      <c r="D127" s="1201"/>
      <c r="E127" s="1202"/>
      <c r="F127" s="652"/>
      <c r="G127" s="652"/>
      <c r="H127" s="652"/>
      <c r="I127" s="1249"/>
      <c r="J127" s="1215"/>
      <c r="K127" s="1216"/>
      <c r="L127" s="1216"/>
      <c r="M127" s="2243" t="s">
        <v>225</v>
      </c>
      <c r="N127" s="2344"/>
      <c r="O127" s="2344"/>
      <c r="P127" s="2344"/>
      <c r="Q127" s="2344"/>
      <c r="R127" s="2344"/>
      <c r="S127" s="2146" t="s">
        <v>669</v>
      </c>
      <c r="T127" s="2494"/>
      <c r="U127" s="2494"/>
      <c r="V127" s="2494"/>
      <c r="W127" s="2494"/>
      <c r="X127" s="2494"/>
      <c r="Y127" s="2494"/>
      <c r="Z127" s="2494"/>
      <c r="AA127" s="2494"/>
      <c r="AB127" s="2187"/>
      <c r="AC127" s="2188"/>
      <c r="AD127" s="2188"/>
      <c r="AE127" s="2188"/>
      <c r="AF127" s="2188"/>
      <c r="AG127" s="2188"/>
      <c r="AH127" s="2188"/>
      <c r="AI127" s="2188"/>
      <c r="AJ127" s="2188"/>
      <c r="AK127" s="2188"/>
      <c r="AL127" s="2188"/>
      <c r="AM127" s="2188"/>
      <c r="AN127" s="2188"/>
      <c r="AO127" s="2188"/>
      <c r="AP127" s="2188"/>
      <c r="AQ127" s="1265" t="str">
        <f>IF(AB127="","←どれか１つ以上選んでください","")</f>
        <v>←どれか１つ以上選んでください</v>
      </c>
      <c r="AR127" s="1250"/>
      <c r="AS127" s="1250"/>
      <c r="AT127" s="1250"/>
      <c r="AU127" s="1250"/>
      <c r="AV127" s="1250"/>
      <c r="AW127" s="1250"/>
      <c r="AX127" s="1250"/>
      <c r="AY127" s="1250"/>
      <c r="AZ127" s="1250"/>
      <c r="BA127" s="1250"/>
      <c r="BB127" s="1250"/>
      <c r="BC127" s="1250"/>
      <c r="BD127" s="1250"/>
      <c r="BE127" s="1250"/>
      <c r="BF127" s="1250"/>
      <c r="BG127" s="1250"/>
      <c r="BH127" s="1250"/>
      <c r="BI127" s="1250"/>
      <c r="BJ127" s="1250"/>
      <c r="BK127" s="1250"/>
      <c r="BL127" s="1250"/>
      <c r="BM127" s="1250"/>
      <c r="BN127" s="1250"/>
      <c r="BO127" s="1250"/>
      <c r="BP127" s="1250"/>
      <c r="BQ127" s="1250"/>
      <c r="BR127" s="1250"/>
      <c r="BS127" s="1250"/>
      <c r="BT127" s="1250"/>
      <c r="BU127" s="395"/>
      <c r="BV127" s="584" t="s">
        <v>1892</v>
      </c>
      <c r="BW127" s="2165"/>
      <c r="BX127" s="2165"/>
      <c r="BY127" s="2165"/>
      <c r="BZ127" s="2165"/>
      <c r="CA127" s="2165"/>
      <c r="CB127" s="2165"/>
      <c r="CC127" s="2165"/>
      <c r="CD127" s="2165"/>
      <c r="CE127" s="2165"/>
      <c r="CF127" s="2165"/>
      <c r="CG127" s="2165"/>
      <c r="CH127" s="2165"/>
      <c r="CI127" s="2165"/>
      <c r="CJ127" s="2165"/>
      <c r="CK127" s="2165"/>
      <c r="CL127" s="2165"/>
      <c r="CM127" s="2165"/>
      <c r="CN127" s="2165"/>
      <c r="CO127" s="2165"/>
      <c r="CP127" s="2165"/>
      <c r="CQ127" s="2165"/>
      <c r="CR127" s="2165"/>
      <c r="CS127" s="2165"/>
      <c r="CT127" s="395"/>
      <c r="CU127" s="621"/>
      <c r="CV127" s="388"/>
      <c r="CW127" s="388"/>
      <c r="CX127" s="207"/>
      <c r="CY127" s="207"/>
      <c r="CZ127" s="207"/>
      <c r="DA127" s="207"/>
      <c r="DB127" s="207"/>
      <c r="DC127" s="15"/>
      <c r="DD127" s="16"/>
      <c r="DE127" s="16"/>
      <c r="DF127" s="600"/>
      <c r="DG127" s="600"/>
      <c r="DH127" s="600"/>
      <c r="DI127" s="1593"/>
      <c r="DJ127" s="1167"/>
      <c r="DK127" s="1166"/>
      <c r="DL127" s="77"/>
      <c r="DM127" s="77" t="s">
        <v>661</v>
      </c>
      <c r="DN127" s="77"/>
      <c r="DO127" s="85" t="s">
        <v>246</v>
      </c>
      <c r="DP127" s="85" t="s">
        <v>324</v>
      </c>
      <c r="DQ127" s="85" t="s">
        <v>1657</v>
      </c>
      <c r="DR127" s="85" t="s">
        <v>137</v>
      </c>
      <c r="DS127" s="85" t="s">
        <v>249</v>
      </c>
      <c r="DV127" s="78" t="s">
        <v>2961</v>
      </c>
      <c r="DW127" s="1537" t="str">
        <f>IF(AB127="","",VLOOKUP(AB127,プルダウン選択肢!$C$3:$D$7,2,FALSE))</f>
        <v/>
      </c>
      <c r="FO127" s="579"/>
      <c r="GA127" s="77"/>
    </row>
    <row r="128" spans="1:183" s="78" customFormat="1" ht="27" customHeight="1" thickBot="1" x14ac:dyDescent="0.2">
      <c r="A128" s="1201"/>
      <c r="B128" s="1201"/>
      <c r="C128" s="1201"/>
      <c r="D128" s="1201"/>
      <c r="E128" s="1202"/>
      <c r="F128" s="652"/>
      <c r="G128" s="652"/>
      <c r="H128" s="652"/>
      <c r="I128" s="1249"/>
      <c r="J128" s="1215"/>
      <c r="K128" s="1216"/>
      <c r="L128" s="1216"/>
      <c r="M128" s="2344"/>
      <c r="N128" s="2344"/>
      <c r="O128" s="2344"/>
      <c r="P128" s="2344"/>
      <c r="Q128" s="2344"/>
      <c r="R128" s="2344"/>
      <c r="S128" s="2192" t="s">
        <v>670</v>
      </c>
      <c r="T128" s="2340"/>
      <c r="U128" s="2340"/>
      <c r="V128" s="2340"/>
      <c r="W128" s="2340"/>
      <c r="X128" s="2340"/>
      <c r="Y128" s="2340"/>
      <c r="Z128" s="2340"/>
      <c r="AA128" s="2340"/>
      <c r="AB128" s="2167"/>
      <c r="AC128" s="2168"/>
      <c r="AD128" s="2168"/>
      <c r="AE128" s="2168"/>
      <c r="AF128" s="2168"/>
      <c r="AG128" s="2168"/>
      <c r="AH128" s="2168"/>
      <c r="AI128" s="2168"/>
      <c r="AJ128" s="2168"/>
      <c r="AK128" s="2168"/>
      <c r="AL128" s="2168"/>
      <c r="AM128" s="2168"/>
      <c r="AN128" s="2168"/>
      <c r="AO128" s="2168"/>
      <c r="AP128" s="2168"/>
      <c r="AQ128" s="1216"/>
      <c r="AR128" s="1216"/>
      <c r="AS128" s="1216"/>
      <c r="AT128" s="1216"/>
      <c r="AU128" s="1216"/>
      <c r="AV128" s="1216"/>
      <c r="AW128" s="1216"/>
      <c r="AX128" s="1216"/>
      <c r="AY128" s="1216"/>
      <c r="AZ128" s="1216"/>
      <c r="BA128" s="1216"/>
      <c r="BB128" s="1216"/>
      <c r="BC128" s="1216"/>
      <c r="BD128" s="1216"/>
      <c r="BE128" s="1216"/>
      <c r="BF128" s="1216"/>
      <c r="BG128" s="1216"/>
      <c r="BH128" s="1216"/>
      <c r="BI128" s="1216"/>
      <c r="BJ128" s="1216"/>
      <c r="BK128" s="1216"/>
      <c r="BL128" s="1216"/>
      <c r="BM128" s="1216"/>
      <c r="BN128" s="1216"/>
      <c r="BO128" s="1216"/>
      <c r="BP128" s="1216"/>
      <c r="BQ128" s="1216"/>
      <c r="BR128" s="1216"/>
      <c r="BS128" s="1216"/>
      <c r="BT128" s="1216"/>
      <c r="BU128" s="395"/>
      <c r="BV128" s="405" t="s">
        <v>1892</v>
      </c>
      <c r="BW128" s="2141" t="s">
        <v>1897</v>
      </c>
      <c r="BX128" s="2141"/>
      <c r="BY128" s="2141"/>
      <c r="BZ128" s="2141"/>
      <c r="CA128" s="2141"/>
      <c r="CB128" s="2141"/>
      <c r="CC128" s="2141"/>
      <c r="CD128" s="2141"/>
      <c r="CE128" s="2141"/>
      <c r="CF128" s="2141"/>
      <c r="CG128" s="2141"/>
      <c r="CH128" s="2141"/>
      <c r="CI128" s="2141"/>
      <c r="CJ128" s="2141"/>
      <c r="CK128" s="2141"/>
      <c r="CL128" s="2141"/>
      <c r="CM128" s="2141"/>
      <c r="CN128" s="2141"/>
      <c r="CO128" s="2141"/>
      <c r="CP128" s="2141"/>
      <c r="CQ128" s="2141"/>
      <c r="CR128" s="2141"/>
      <c r="CS128" s="2141"/>
      <c r="CT128" s="395"/>
      <c r="CU128" s="621"/>
      <c r="CV128" s="388"/>
      <c r="CW128" s="388"/>
      <c r="CX128" s="207"/>
      <c r="CY128" s="207"/>
      <c r="CZ128" s="207"/>
      <c r="DA128" s="207"/>
      <c r="DB128" s="207"/>
      <c r="DC128" s="15"/>
      <c r="DD128" s="16"/>
      <c r="DE128" s="16"/>
      <c r="DF128" s="600"/>
      <c r="DG128" s="600"/>
      <c r="DH128" s="600"/>
      <c r="DI128" s="1593"/>
      <c r="DJ128" s="1167"/>
      <c r="DK128" s="1166"/>
      <c r="DL128" s="77"/>
      <c r="DM128" s="83">
        <f>COUNTIFS(AB127:AP129,"その他")</f>
        <v>0</v>
      </c>
      <c r="DO128" s="1447" t="str">
        <f>IF(COUNTIF($AB$127:$AP$129,DO127)=1,"レ","")</f>
        <v/>
      </c>
      <c r="DP128" s="1447" t="str">
        <f t="shared" ref="DP128:DQ128" si="7">IF(COUNTIF($AB$127:$AP$129,DP127)=1,"レ","")</f>
        <v/>
      </c>
      <c r="DQ128" s="1447" t="str">
        <f t="shared" si="7"/>
        <v/>
      </c>
      <c r="DR128" s="1447" t="str">
        <f>IF(COUNTIF($AB$127:$AP$129,DR127)=1,"レ","")</f>
        <v/>
      </c>
      <c r="DS128" s="1447" t="str">
        <f>IF(COUNTIF($AB$127:$AP$129,DS127)=1,"レ","")</f>
        <v/>
      </c>
      <c r="DV128" s="78" t="s">
        <v>2962</v>
      </c>
      <c r="DW128" s="1537" t="str">
        <f>IF(AB128="","",VLOOKUP(AB128,プルダウン選択肢!$C$3:$D$7,2,FALSE))</f>
        <v/>
      </c>
      <c r="EG128" s="84"/>
      <c r="EH128" s="84"/>
      <c r="EI128" s="84"/>
      <c r="EJ128" s="84"/>
      <c r="EK128" s="84"/>
      <c r="FO128" s="579"/>
      <c r="FV128" s="84"/>
      <c r="FW128" s="84"/>
      <c r="FX128" s="84"/>
      <c r="FY128" s="84"/>
      <c r="FZ128" s="84"/>
      <c r="GA128" s="77"/>
    </row>
    <row r="129" spans="1:183" s="78" customFormat="1" ht="27" customHeight="1" thickBot="1" x14ac:dyDescent="0.2">
      <c r="A129" s="1201"/>
      <c r="B129" s="1201"/>
      <c r="C129" s="1201"/>
      <c r="D129" s="1201"/>
      <c r="E129" s="1202"/>
      <c r="F129" s="652"/>
      <c r="G129" s="652"/>
      <c r="H129" s="652"/>
      <c r="I129" s="1249"/>
      <c r="J129" s="1215"/>
      <c r="K129" s="1216"/>
      <c r="L129" s="1216"/>
      <c r="M129" s="2344"/>
      <c r="N129" s="2344"/>
      <c r="O129" s="2344"/>
      <c r="P129" s="2344"/>
      <c r="Q129" s="2344"/>
      <c r="R129" s="2344"/>
      <c r="S129" s="2192" t="s">
        <v>671</v>
      </c>
      <c r="T129" s="2340"/>
      <c r="U129" s="2340"/>
      <c r="V129" s="2340"/>
      <c r="W129" s="2340"/>
      <c r="X129" s="2340"/>
      <c r="Y129" s="2340"/>
      <c r="Z129" s="2340"/>
      <c r="AA129" s="2340"/>
      <c r="AB129" s="2167"/>
      <c r="AC129" s="2168"/>
      <c r="AD129" s="2168"/>
      <c r="AE129" s="2168"/>
      <c r="AF129" s="2168"/>
      <c r="AG129" s="2168"/>
      <c r="AH129" s="2168"/>
      <c r="AI129" s="2168"/>
      <c r="AJ129" s="2168"/>
      <c r="AK129" s="2168"/>
      <c r="AL129" s="2168"/>
      <c r="AM129" s="2168"/>
      <c r="AN129" s="2168"/>
      <c r="AO129" s="2168"/>
      <c r="AP129" s="2168"/>
      <c r="AQ129" s="1216"/>
      <c r="AR129" s="1216"/>
      <c r="AS129" s="1216"/>
      <c r="AT129" s="1216"/>
      <c r="AU129" s="1216"/>
      <c r="AV129" s="1216"/>
      <c r="AW129" s="1216"/>
      <c r="AX129" s="1216"/>
      <c r="AY129" s="1216"/>
      <c r="AZ129" s="1216"/>
      <c r="BA129" s="1216"/>
      <c r="BB129" s="1216"/>
      <c r="BC129" s="1216"/>
      <c r="BD129" s="1216"/>
      <c r="BE129" s="1216"/>
      <c r="BF129" s="1216"/>
      <c r="BG129" s="1216"/>
      <c r="BH129" s="1216"/>
      <c r="BI129" s="1216"/>
      <c r="BJ129" s="1216"/>
      <c r="BK129" s="1216"/>
      <c r="BL129" s="1216"/>
      <c r="BM129" s="1216"/>
      <c r="BN129" s="1216"/>
      <c r="BO129" s="1216"/>
      <c r="BP129" s="1216"/>
      <c r="BQ129" s="1216"/>
      <c r="BR129" s="1216"/>
      <c r="BS129" s="1216"/>
      <c r="BT129" s="1216"/>
      <c r="BU129" s="395"/>
      <c r="BV129" s="395"/>
      <c r="BW129" s="2141"/>
      <c r="BX129" s="2141"/>
      <c r="BY129" s="2141"/>
      <c r="BZ129" s="2141"/>
      <c r="CA129" s="2141"/>
      <c r="CB129" s="2141"/>
      <c r="CC129" s="2141"/>
      <c r="CD129" s="2141"/>
      <c r="CE129" s="2141"/>
      <c r="CF129" s="2141"/>
      <c r="CG129" s="2141"/>
      <c r="CH129" s="2141"/>
      <c r="CI129" s="2141"/>
      <c r="CJ129" s="2141"/>
      <c r="CK129" s="2141"/>
      <c r="CL129" s="2141"/>
      <c r="CM129" s="2141"/>
      <c r="CN129" s="2141"/>
      <c r="CO129" s="2141"/>
      <c r="CP129" s="2141"/>
      <c r="CQ129" s="2141"/>
      <c r="CR129" s="2141"/>
      <c r="CS129" s="2141"/>
      <c r="CT129" s="395"/>
      <c r="CU129" s="621"/>
      <c r="CV129" s="388"/>
      <c r="CW129" s="388"/>
      <c r="CX129" s="207"/>
      <c r="CY129" s="207"/>
      <c r="CZ129" s="207"/>
      <c r="DA129" s="207"/>
      <c r="DB129" s="207"/>
      <c r="DC129" s="15"/>
      <c r="DD129" s="16"/>
      <c r="DE129" s="16"/>
      <c r="DF129" s="84"/>
      <c r="DG129" s="84"/>
      <c r="DH129" s="84"/>
      <c r="DI129" s="1593"/>
      <c r="DJ129" s="1166"/>
      <c r="DK129" s="1163"/>
      <c r="DL129" s="77"/>
      <c r="DM129" s="77"/>
      <c r="DN129" s="77"/>
      <c r="DO129" s="77"/>
      <c r="DP129" s="77"/>
      <c r="DQ129" s="77"/>
      <c r="DV129" s="78" t="s">
        <v>2963</v>
      </c>
      <c r="DW129" s="1537" t="str">
        <f>IF(AB129="","",VLOOKUP(AB129,プルダウン選択肢!$C$3:$D$7,2,FALSE))</f>
        <v/>
      </c>
      <c r="EG129" s="84"/>
      <c r="EH129" s="84"/>
      <c r="EI129" s="84"/>
      <c r="EJ129" s="84"/>
      <c r="EK129" s="84"/>
      <c r="FO129" s="579"/>
      <c r="FV129" s="84"/>
      <c r="FW129" s="84"/>
      <c r="FX129" s="84"/>
      <c r="FY129" s="84"/>
      <c r="FZ129" s="84"/>
      <c r="GA129" s="77"/>
    </row>
    <row r="130" spans="1:183" ht="27" customHeight="1" thickBot="1" x14ac:dyDescent="0.2">
      <c r="A130" s="1201"/>
      <c r="B130" s="1201"/>
      <c r="C130" s="1201"/>
      <c r="D130" s="1201"/>
      <c r="E130" s="1202"/>
      <c r="J130" s="1260"/>
      <c r="K130" s="1261"/>
      <c r="L130" s="1261"/>
      <c r="M130" s="2344"/>
      <c r="N130" s="2344"/>
      <c r="O130" s="2344"/>
      <c r="P130" s="2344"/>
      <c r="Q130" s="2344"/>
      <c r="R130" s="2344"/>
      <c r="S130" s="2260" t="s">
        <v>137</v>
      </c>
      <c r="T130" s="2261"/>
      <c r="U130" s="2261"/>
      <c r="V130" s="2261"/>
      <c r="W130" s="2261"/>
      <c r="X130" s="2261"/>
      <c r="Y130" s="2261"/>
      <c r="Z130" s="2261"/>
      <c r="AA130" s="2261"/>
      <c r="AB130" s="2136"/>
      <c r="AC130" s="2336"/>
      <c r="AD130" s="2336"/>
      <c r="AE130" s="2336"/>
      <c r="AF130" s="2336"/>
      <c r="AG130" s="2336"/>
      <c r="AH130" s="2336"/>
      <c r="AI130" s="2336"/>
      <c r="AJ130" s="2336"/>
      <c r="AK130" s="2336"/>
      <c r="AL130" s="2336"/>
      <c r="AM130" s="2336"/>
      <c r="AN130" s="2336"/>
      <c r="AO130" s="2337"/>
      <c r="AP130" s="2337"/>
      <c r="AQ130" s="1266" t="str">
        <f>IF(AND(DM128&gt;0,AB130=""),"←その他の場合、説明を入力してください","")</f>
        <v/>
      </c>
      <c r="AR130" s="1256"/>
      <c r="AS130" s="1256"/>
      <c r="AT130" s="1256"/>
      <c r="AU130" s="1256"/>
      <c r="AV130" s="1255"/>
      <c r="AW130" s="1267"/>
      <c r="AX130" s="1255"/>
      <c r="AY130" s="1256"/>
      <c r="AZ130" s="1256"/>
      <c r="BA130" s="1256"/>
      <c r="BB130" s="1256"/>
      <c r="BC130" s="1256"/>
      <c r="BD130" s="1256"/>
      <c r="BE130" s="1256"/>
      <c r="BF130" s="1256"/>
      <c r="BG130" s="1256"/>
      <c r="BH130" s="1256"/>
      <c r="BI130" s="1256"/>
      <c r="BJ130" s="1256"/>
      <c r="BK130" s="1256"/>
      <c r="BL130" s="1256"/>
      <c r="BM130" s="1256"/>
      <c r="BN130" s="1256"/>
      <c r="BO130" s="1256"/>
      <c r="BP130" s="1256"/>
      <c r="BQ130" s="1256"/>
      <c r="BR130" s="1256"/>
      <c r="BS130" s="1256"/>
      <c r="BT130" s="1256"/>
      <c r="BU130" s="584"/>
      <c r="BV130" s="395"/>
      <c r="BW130" s="395"/>
      <c r="BX130" s="395"/>
      <c r="BY130" s="395"/>
      <c r="BZ130" s="395"/>
      <c r="CA130" s="395"/>
      <c r="CB130" s="395"/>
      <c r="CC130" s="395"/>
      <c r="CD130" s="395"/>
      <c r="CE130" s="395"/>
      <c r="CF130" s="395"/>
      <c r="CG130" s="395"/>
      <c r="CH130" s="395"/>
      <c r="CI130" s="395"/>
      <c r="CJ130" s="395"/>
      <c r="CK130" s="395"/>
      <c r="CL130" s="395"/>
      <c r="CM130" s="395"/>
      <c r="CN130" s="395"/>
      <c r="CO130" s="395"/>
      <c r="CP130" s="395"/>
      <c r="CQ130" s="395"/>
      <c r="CR130" s="395"/>
      <c r="CS130" s="395"/>
      <c r="CT130" s="395"/>
      <c r="CU130" s="621"/>
      <c r="DD130" s="16"/>
      <c r="DE130" s="16"/>
      <c r="DF130" s="84"/>
      <c r="DG130" s="84"/>
      <c r="DH130" s="84"/>
      <c r="DI130" s="1593"/>
      <c r="DJ130" s="1166"/>
      <c r="DV130" s="78" t="s">
        <v>2988</v>
      </c>
      <c r="DW130" s="1573" t="str">
        <f>IF(AB130="","",AB130)</f>
        <v/>
      </c>
      <c r="EG130" s="84"/>
      <c r="EH130" s="84"/>
      <c r="EI130" s="84"/>
      <c r="EJ130" s="84"/>
      <c r="EK130" s="84"/>
      <c r="FV130" s="84"/>
      <c r="FW130" s="84"/>
      <c r="FX130" s="84"/>
      <c r="FY130" s="84"/>
      <c r="FZ130" s="84"/>
    </row>
    <row r="131" spans="1:183" s="78" customFormat="1" ht="27" customHeight="1" thickBot="1" x14ac:dyDescent="0.2">
      <c r="A131" s="1201"/>
      <c r="B131" s="1201"/>
      <c r="C131" s="1201"/>
      <c r="D131" s="1201"/>
      <c r="E131" s="1202"/>
      <c r="F131" s="652"/>
      <c r="G131" s="652"/>
      <c r="H131" s="652"/>
      <c r="I131" s="1249"/>
      <c r="J131" s="1215"/>
      <c r="K131" s="1216"/>
      <c r="L131" s="1216"/>
      <c r="M131" s="2243" t="s">
        <v>675</v>
      </c>
      <c r="N131" s="2344"/>
      <c r="O131" s="2344"/>
      <c r="P131" s="2344"/>
      <c r="Q131" s="2344"/>
      <c r="R131" s="2344"/>
      <c r="S131" s="2231" t="s">
        <v>672</v>
      </c>
      <c r="T131" s="2276"/>
      <c r="U131" s="2276"/>
      <c r="V131" s="2276"/>
      <c r="W131" s="2276"/>
      <c r="X131" s="2276"/>
      <c r="Y131" s="2276"/>
      <c r="Z131" s="2276"/>
      <c r="AA131" s="2276"/>
      <c r="AB131" s="2187"/>
      <c r="AC131" s="2188"/>
      <c r="AD131" s="2188"/>
      <c r="AE131" s="2188"/>
      <c r="AF131" s="2188"/>
      <c r="AG131" s="2188"/>
      <c r="AH131" s="2188"/>
      <c r="AI131" s="2188"/>
      <c r="AJ131" s="2188"/>
      <c r="AK131" s="2188"/>
      <c r="AL131" s="2188"/>
      <c r="AM131" s="2188"/>
      <c r="AN131" s="2188"/>
      <c r="AO131" s="2188"/>
      <c r="AP131" s="2188"/>
      <c r="AQ131" s="1265" t="str">
        <f>IF(AB131="","←どれか１つ以上選んでください","")</f>
        <v>←どれか１つ以上選んでください</v>
      </c>
      <c r="AR131" s="1251"/>
      <c r="AS131" s="1251"/>
      <c r="AT131" s="1251"/>
      <c r="AU131" s="1251"/>
      <c r="AV131" s="1251"/>
      <c r="AW131" s="1251"/>
      <c r="AX131" s="1251"/>
      <c r="AY131" s="1251"/>
      <c r="AZ131" s="1251"/>
      <c r="BA131" s="1251"/>
      <c r="BB131" s="1251"/>
      <c r="BC131" s="1251"/>
      <c r="BD131" s="1251"/>
      <c r="BE131" s="1251"/>
      <c r="BF131" s="1251"/>
      <c r="BG131" s="1251"/>
      <c r="BH131" s="1251"/>
      <c r="BI131" s="1251"/>
      <c r="BJ131" s="1251"/>
      <c r="BK131" s="1251"/>
      <c r="BL131" s="1251"/>
      <c r="BM131" s="1251"/>
      <c r="BN131" s="1251"/>
      <c r="BO131" s="1251"/>
      <c r="BP131" s="1251"/>
      <c r="BQ131" s="1251"/>
      <c r="BR131" s="1251"/>
      <c r="BS131" s="1251"/>
      <c r="BT131" s="1251"/>
      <c r="BU131" s="395"/>
      <c r="BV131" s="405" t="s">
        <v>1892</v>
      </c>
      <c r="BW131" s="2141" t="s">
        <v>1898</v>
      </c>
      <c r="BX131" s="2141"/>
      <c r="BY131" s="2141"/>
      <c r="BZ131" s="2141"/>
      <c r="CA131" s="2141"/>
      <c r="CB131" s="2141"/>
      <c r="CC131" s="2141"/>
      <c r="CD131" s="2141"/>
      <c r="CE131" s="2141"/>
      <c r="CF131" s="2141"/>
      <c r="CG131" s="2141"/>
      <c r="CH131" s="2141"/>
      <c r="CI131" s="2141"/>
      <c r="CJ131" s="2141"/>
      <c r="CK131" s="2141"/>
      <c r="CL131" s="2141"/>
      <c r="CM131" s="2141"/>
      <c r="CN131" s="2141"/>
      <c r="CO131" s="2141"/>
      <c r="CP131" s="2141"/>
      <c r="CQ131" s="2141"/>
      <c r="CR131" s="2141"/>
      <c r="CS131" s="2141"/>
      <c r="CT131" s="395"/>
      <c r="CU131" s="621"/>
      <c r="CV131" s="1252"/>
      <c r="CW131" s="1252"/>
      <c r="CX131" s="599"/>
      <c r="CY131" s="599"/>
      <c r="CZ131" s="599"/>
      <c r="DA131" s="599"/>
      <c r="DB131" s="599"/>
      <c r="DC131" s="195"/>
      <c r="DD131" s="16"/>
      <c r="DE131" s="16"/>
      <c r="DF131" s="84"/>
      <c r="DG131" s="84"/>
      <c r="DH131" s="84"/>
      <c r="DI131" s="1593"/>
      <c r="DJ131" s="1166"/>
      <c r="DK131" s="1163"/>
      <c r="DL131" s="77"/>
      <c r="DM131" s="77"/>
      <c r="DN131" s="77"/>
      <c r="DO131" s="77"/>
      <c r="DP131" s="77"/>
      <c r="DQ131" s="77"/>
      <c r="DV131" s="78" t="s">
        <v>2985</v>
      </c>
      <c r="DW131" s="1537" t="str">
        <f>IF(AB131="","",VLOOKUP(AB131,プルダウン選択肢!$E$3:$F$17,2,FALSE))</f>
        <v/>
      </c>
      <c r="FO131" s="579"/>
      <c r="GA131" s="77"/>
    </row>
    <row r="132" spans="1:183" s="78" customFormat="1" ht="27" customHeight="1" thickBot="1" x14ac:dyDescent="0.2">
      <c r="A132" s="1201"/>
      <c r="B132" s="1201"/>
      <c r="C132" s="1201"/>
      <c r="D132" s="1201"/>
      <c r="E132" s="1202"/>
      <c r="F132" s="652"/>
      <c r="G132" s="652"/>
      <c r="H132" s="652"/>
      <c r="I132" s="1249"/>
      <c r="J132" s="1215"/>
      <c r="K132" s="1216"/>
      <c r="L132" s="1216"/>
      <c r="M132" s="2344"/>
      <c r="N132" s="2344"/>
      <c r="O132" s="2344"/>
      <c r="P132" s="2344"/>
      <c r="Q132" s="2344"/>
      <c r="R132" s="2344"/>
      <c r="S132" s="2179" t="s">
        <v>673</v>
      </c>
      <c r="T132" s="2180"/>
      <c r="U132" s="2180"/>
      <c r="V132" s="2180"/>
      <c r="W132" s="2180"/>
      <c r="X132" s="2180"/>
      <c r="Y132" s="2180"/>
      <c r="Z132" s="2180"/>
      <c r="AA132" s="2180"/>
      <c r="AB132" s="2167"/>
      <c r="AC132" s="2168"/>
      <c r="AD132" s="2168"/>
      <c r="AE132" s="2168"/>
      <c r="AF132" s="2168"/>
      <c r="AG132" s="2168"/>
      <c r="AH132" s="2168"/>
      <c r="AI132" s="2168"/>
      <c r="AJ132" s="2168"/>
      <c r="AK132" s="2168"/>
      <c r="AL132" s="2168"/>
      <c r="AM132" s="2168"/>
      <c r="AN132" s="2168"/>
      <c r="AO132" s="2168"/>
      <c r="AP132" s="2168"/>
      <c r="AQ132" s="1216"/>
      <c r="AR132" s="1216"/>
      <c r="AS132" s="1216"/>
      <c r="AT132" s="1216"/>
      <c r="AU132" s="1216"/>
      <c r="AV132" s="1216"/>
      <c r="AW132" s="1216"/>
      <c r="AX132" s="1216"/>
      <c r="AY132" s="1216"/>
      <c r="AZ132" s="1216"/>
      <c r="BA132" s="1216"/>
      <c r="BB132" s="1216"/>
      <c r="BC132" s="1216"/>
      <c r="BD132" s="1216"/>
      <c r="BE132" s="1216"/>
      <c r="BF132" s="1216"/>
      <c r="BG132" s="1216"/>
      <c r="BH132" s="1216"/>
      <c r="BI132" s="1216"/>
      <c r="BJ132" s="1216"/>
      <c r="BK132" s="1216"/>
      <c r="BL132" s="1216"/>
      <c r="BM132" s="1216"/>
      <c r="BN132" s="1216"/>
      <c r="BO132" s="1216"/>
      <c r="BP132" s="1216"/>
      <c r="BQ132" s="1216"/>
      <c r="BR132" s="1216"/>
      <c r="BS132" s="1216"/>
      <c r="BT132" s="1216"/>
      <c r="BU132" s="395"/>
      <c r="BV132" s="395"/>
      <c r="BW132" s="2141"/>
      <c r="BX132" s="2141"/>
      <c r="BY132" s="2141"/>
      <c r="BZ132" s="2141"/>
      <c r="CA132" s="2141"/>
      <c r="CB132" s="2141"/>
      <c r="CC132" s="2141"/>
      <c r="CD132" s="2141"/>
      <c r="CE132" s="2141"/>
      <c r="CF132" s="2141"/>
      <c r="CG132" s="2141"/>
      <c r="CH132" s="2141"/>
      <c r="CI132" s="2141"/>
      <c r="CJ132" s="2141"/>
      <c r="CK132" s="2141"/>
      <c r="CL132" s="2141"/>
      <c r="CM132" s="2141"/>
      <c r="CN132" s="2141"/>
      <c r="CO132" s="2141"/>
      <c r="CP132" s="2141"/>
      <c r="CQ132" s="2141"/>
      <c r="CR132" s="2141"/>
      <c r="CS132" s="2141"/>
      <c r="CT132" s="395"/>
      <c r="CU132" s="621"/>
      <c r="CV132" s="1252"/>
      <c r="CW132" s="1252"/>
      <c r="CX132" s="599"/>
      <c r="CY132" s="599"/>
      <c r="CZ132" s="599"/>
      <c r="DA132" s="599"/>
      <c r="DB132" s="599"/>
      <c r="DC132" s="195"/>
      <c r="DD132" s="599"/>
      <c r="DE132" s="599"/>
      <c r="DF132" s="600"/>
      <c r="DG132" s="600"/>
      <c r="DH132" s="84"/>
      <c r="DI132" s="1593"/>
      <c r="DJ132" s="1166"/>
      <c r="DK132" s="1163"/>
      <c r="DL132" s="77"/>
      <c r="DM132" s="77"/>
      <c r="DN132" s="77"/>
      <c r="DO132" s="77"/>
      <c r="DP132" s="77"/>
      <c r="DQ132" s="77"/>
      <c r="DV132" s="78" t="s">
        <v>2986</v>
      </c>
      <c r="DW132" s="1573" t="str">
        <f>IF(AB132="","",VLOOKUP(AB132,プルダウン選択肢!$E$3:$F$17,2,FALSE))</f>
        <v/>
      </c>
      <c r="FO132" s="579"/>
      <c r="GA132" s="77"/>
    </row>
    <row r="133" spans="1:183" ht="27" customHeight="1" thickBot="1" x14ac:dyDescent="0.2">
      <c r="A133" s="1201"/>
      <c r="B133" s="1201"/>
      <c r="C133" s="1201"/>
      <c r="D133" s="1201"/>
      <c r="E133" s="1202"/>
      <c r="J133" s="1247"/>
      <c r="K133" s="624"/>
      <c r="L133" s="624"/>
      <c r="M133" s="2545"/>
      <c r="N133" s="2545"/>
      <c r="O133" s="2545"/>
      <c r="P133" s="2545"/>
      <c r="Q133" s="2545"/>
      <c r="R133" s="2545"/>
      <c r="S133" s="2248" t="s">
        <v>674</v>
      </c>
      <c r="T133" s="2249"/>
      <c r="U133" s="2249"/>
      <c r="V133" s="2249"/>
      <c r="W133" s="2249"/>
      <c r="X133" s="2249"/>
      <c r="Y133" s="2249"/>
      <c r="Z133" s="2249"/>
      <c r="AA133" s="2249"/>
      <c r="AB133" s="2568"/>
      <c r="AC133" s="2569"/>
      <c r="AD133" s="2569"/>
      <c r="AE133" s="2569"/>
      <c r="AF133" s="2569"/>
      <c r="AG133" s="2569"/>
      <c r="AH133" s="2569"/>
      <c r="AI133" s="2569"/>
      <c r="AJ133" s="2569"/>
      <c r="AK133" s="2569"/>
      <c r="AL133" s="2569"/>
      <c r="AM133" s="2569"/>
      <c r="AN133" s="2569"/>
      <c r="AO133" s="2569"/>
      <c r="AP133" s="2569"/>
      <c r="AQ133" s="625"/>
      <c r="AR133" s="625"/>
      <c r="AS133" s="625"/>
      <c r="AT133" s="625"/>
      <c r="AU133" s="625"/>
      <c r="AV133" s="625"/>
      <c r="AW133" s="625"/>
      <c r="AX133" s="625"/>
      <c r="AY133" s="625"/>
      <c r="AZ133" s="625"/>
      <c r="BA133" s="625"/>
      <c r="BB133" s="625"/>
      <c r="BC133" s="625"/>
      <c r="BD133" s="625"/>
      <c r="BE133" s="625"/>
      <c r="BF133" s="625"/>
      <c r="BG133" s="625"/>
      <c r="BH133" s="625"/>
      <c r="BI133" s="625"/>
      <c r="BJ133" s="625"/>
      <c r="BK133" s="625"/>
      <c r="BL133" s="625"/>
      <c r="BM133" s="625"/>
      <c r="BN133" s="625"/>
      <c r="BO133" s="625"/>
      <c r="BP133" s="625"/>
      <c r="BQ133" s="625"/>
      <c r="BR133" s="625"/>
      <c r="BS133" s="625"/>
      <c r="BT133" s="625"/>
      <c r="BU133" s="608"/>
      <c r="BV133" s="1175"/>
      <c r="BW133" s="1175"/>
      <c r="BX133" s="1175"/>
      <c r="BY133" s="1175"/>
      <c r="BZ133" s="1175"/>
      <c r="CA133" s="1175"/>
      <c r="CB133" s="1175"/>
      <c r="CC133" s="1175"/>
      <c r="CD133" s="1175"/>
      <c r="CE133" s="1175"/>
      <c r="CF133" s="1175"/>
      <c r="CG133" s="1175"/>
      <c r="CH133" s="1175"/>
      <c r="CI133" s="1175"/>
      <c r="CJ133" s="1175"/>
      <c r="CK133" s="1175"/>
      <c r="CL133" s="1175"/>
      <c r="CM133" s="1175"/>
      <c r="CN133" s="1175"/>
      <c r="CO133" s="1175"/>
      <c r="CP133" s="1175"/>
      <c r="CQ133" s="1175"/>
      <c r="CR133" s="1175"/>
      <c r="CS133" s="1175"/>
      <c r="CT133" s="1175"/>
      <c r="CU133" s="1176"/>
      <c r="DD133" s="16"/>
      <c r="DE133" s="16"/>
      <c r="DF133" s="16"/>
      <c r="DG133" s="16"/>
      <c r="DH133" s="16"/>
      <c r="DI133" s="1593"/>
      <c r="DJ133" s="1163"/>
      <c r="DV133" s="78" t="s">
        <v>2987</v>
      </c>
      <c r="DW133" s="1573" t="str">
        <f>IF(AB133="","",VLOOKUP(AB133,プルダウン選択肢!$E$3:$F$17,2,FALSE))</f>
        <v/>
      </c>
      <c r="EG133" s="78"/>
      <c r="EH133" s="78"/>
      <c r="EI133" s="78"/>
      <c r="EJ133" s="78"/>
      <c r="EK133" s="78"/>
      <c r="FV133" s="78"/>
      <c r="FW133" s="78"/>
      <c r="FX133" s="78"/>
      <c r="FY133" s="78"/>
      <c r="FZ133" s="78"/>
    </row>
    <row r="134" spans="1:183" ht="15" customHeight="1" x14ac:dyDescent="0.15">
      <c r="A134" s="1201"/>
      <c r="B134" s="1201"/>
      <c r="C134" s="1201"/>
      <c r="D134" s="1201"/>
      <c r="E134" s="1202"/>
      <c r="BU134" s="578"/>
      <c r="BX134" s="401"/>
      <c r="DD134" s="16"/>
      <c r="DE134" s="16"/>
      <c r="DF134" s="16"/>
      <c r="DG134" s="16"/>
      <c r="DH134" s="16"/>
      <c r="DI134" s="1593"/>
      <c r="DJ134" s="1163"/>
      <c r="EG134" s="78"/>
      <c r="EH134" s="78"/>
      <c r="EI134" s="78"/>
      <c r="EJ134" s="78"/>
      <c r="EK134" s="78"/>
      <c r="FV134" s="78"/>
      <c r="FW134" s="78"/>
      <c r="FX134" s="78"/>
      <c r="FY134" s="78"/>
      <c r="FZ134" s="78"/>
    </row>
    <row r="135" spans="1:183" ht="2.1" customHeight="1" x14ac:dyDescent="0.15">
      <c r="A135" s="1201"/>
      <c r="B135" s="1201"/>
      <c r="C135" s="1201"/>
      <c r="D135" s="1201"/>
      <c r="E135" s="1202"/>
      <c r="BU135" s="578"/>
      <c r="BX135" s="401"/>
      <c r="DD135" s="16"/>
      <c r="DE135" s="16"/>
      <c r="DF135" s="16"/>
      <c r="DG135" s="16"/>
      <c r="DH135" s="16"/>
      <c r="DI135" s="1593"/>
      <c r="DJ135" s="1163"/>
      <c r="EG135" s="78"/>
      <c r="EH135" s="78"/>
      <c r="EI135" s="78"/>
      <c r="EJ135" s="78"/>
      <c r="EK135" s="78"/>
      <c r="FV135" s="78"/>
      <c r="FW135" s="78"/>
      <c r="FX135" s="78"/>
      <c r="FY135" s="78"/>
      <c r="FZ135" s="78"/>
    </row>
    <row r="136" spans="1:183" ht="2.1" customHeight="1" x14ac:dyDescent="0.15">
      <c r="A136" s="1201"/>
      <c r="B136" s="1201"/>
      <c r="C136" s="1201"/>
      <c r="D136" s="1201"/>
      <c r="E136" s="1202"/>
      <c r="BU136" s="578"/>
      <c r="BX136" s="401"/>
      <c r="DD136" s="16"/>
      <c r="DE136" s="16"/>
      <c r="DF136" s="16"/>
      <c r="DG136" s="16"/>
      <c r="DH136" s="16"/>
      <c r="DI136" s="1593"/>
      <c r="DJ136" s="1163"/>
      <c r="EG136" s="78"/>
      <c r="EH136" s="78"/>
      <c r="EI136" s="78"/>
      <c r="EJ136" s="78"/>
      <c r="EK136" s="78"/>
      <c r="FV136" s="78"/>
      <c r="FW136" s="78"/>
      <c r="FX136" s="78"/>
      <c r="FY136" s="78"/>
      <c r="FZ136" s="78"/>
    </row>
    <row r="137" spans="1:183" ht="2.1" customHeight="1" thickBot="1" x14ac:dyDescent="0.2">
      <c r="A137" s="1201"/>
      <c r="B137" s="1201"/>
      <c r="C137" s="1201"/>
      <c r="D137" s="1201"/>
      <c r="E137" s="1202"/>
      <c r="BU137" s="578"/>
      <c r="BX137" s="401"/>
      <c r="DD137" s="16"/>
      <c r="DE137" s="16"/>
      <c r="DF137" s="16"/>
      <c r="DG137" s="16"/>
      <c r="DH137" s="16"/>
      <c r="DI137" s="1593"/>
      <c r="DJ137" s="1163"/>
      <c r="EG137" s="78"/>
      <c r="EH137" s="78"/>
      <c r="EI137" s="78"/>
      <c r="EJ137" s="78"/>
      <c r="EK137" s="78"/>
      <c r="FV137" s="78"/>
      <c r="FW137" s="78"/>
      <c r="FX137" s="78"/>
      <c r="FY137" s="78"/>
      <c r="FZ137" s="78"/>
    </row>
    <row r="138" spans="1:183" ht="35.1" customHeight="1" thickBot="1" x14ac:dyDescent="0.6">
      <c r="A138" s="1201"/>
      <c r="B138" s="1201"/>
      <c r="C138" s="1201"/>
      <c r="D138" s="1201"/>
      <c r="E138" s="1202"/>
      <c r="J138" s="1363" t="s">
        <v>971</v>
      </c>
      <c r="K138" s="1406"/>
      <c r="L138" s="1406"/>
      <c r="M138" s="1406"/>
      <c r="N138" s="1406"/>
      <c r="O138" s="1406"/>
      <c r="P138" s="1406"/>
      <c r="Q138" s="1406"/>
      <c r="R138" s="1406"/>
      <c r="S138" s="1406"/>
      <c r="T138" s="1406"/>
      <c r="U138" s="1406"/>
      <c r="V138" s="1406"/>
      <c r="W138" s="1406"/>
      <c r="X138" s="1406"/>
      <c r="Y138" s="1406"/>
      <c r="Z138" s="1406"/>
      <c r="AA138" s="1406"/>
      <c r="AB138" s="1406"/>
      <c r="AC138" s="1406"/>
      <c r="AD138" s="1406"/>
      <c r="AE138" s="1406"/>
      <c r="AF138" s="1406"/>
      <c r="AG138" s="1406"/>
      <c r="AH138" s="1406"/>
      <c r="AI138" s="1406"/>
      <c r="AJ138" s="1406"/>
      <c r="AK138" s="1406"/>
      <c r="AL138" s="1406"/>
      <c r="AM138" s="1406"/>
      <c r="AN138" s="1406"/>
      <c r="AO138" s="1406"/>
      <c r="AP138" s="1406"/>
      <c r="AQ138" s="1406"/>
      <c r="AR138" s="1406"/>
      <c r="AS138" s="1406"/>
      <c r="AT138" s="1406"/>
      <c r="AU138" s="1406"/>
      <c r="AV138" s="1406"/>
      <c r="AW138" s="1406"/>
      <c r="AX138" s="1406"/>
      <c r="AY138" s="1406"/>
      <c r="AZ138" s="1406"/>
      <c r="BA138" s="1406"/>
      <c r="BB138" s="1406"/>
      <c r="BC138" s="1406"/>
      <c r="BD138" s="1406"/>
      <c r="BE138" s="1406"/>
      <c r="BF138" s="1406"/>
      <c r="BG138" s="2155" t="s">
        <v>2915</v>
      </c>
      <c r="BH138" s="2155"/>
      <c r="BI138" s="2155"/>
      <c r="BJ138" s="2155"/>
      <c r="BK138" s="2155"/>
      <c r="BL138" s="2155"/>
      <c r="BM138" s="2155"/>
      <c r="BN138" s="2155"/>
      <c r="BO138" s="2155"/>
      <c r="BP138" s="2155"/>
      <c r="BQ138" s="2155"/>
      <c r="BR138" s="2155"/>
      <c r="BS138" s="2155"/>
      <c r="BT138" s="2155"/>
      <c r="BU138" s="609"/>
      <c r="BV138" s="1191"/>
      <c r="BW138" s="1191"/>
      <c r="BX138" s="1191"/>
      <c r="BY138" s="1191"/>
      <c r="BZ138" s="1191"/>
      <c r="CA138" s="1191"/>
      <c r="CB138" s="1191"/>
      <c r="CC138" s="1191"/>
      <c r="CD138" s="1191"/>
      <c r="CE138" s="1191"/>
      <c r="CF138" s="1191"/>
      <c r="CG138" s="1191"/>
      <c r="CH138" s="1191"/>
      <c r="CI138" s="1191"/>
      <c r="CJ138" s="1191"/>
      <c r="CK138" s="1191"/>
      <c r="CL138" s="1191"/>
      <c r="CM138" s="1191"/>
      <c r="CN138" s="1191"/>
      <c r="CO138" s="1191"/>
      <c r="CP138" s="1191"/>
      <c r="CQ138" s="1191"/>
      <c r="CR138" s="1191"/>
      <c r="CS138" s="1191"/>
      <c r="CT138" s="1191"/>
      <c r="CU138" s="390"/>
      <c r="DD138" s="16"/>
      <c r="DE138" s="16"/>
      <c r="DF138" s="16"/>
      <c r="DG138" s="16"/>
      <c r="DH138" s="16"/>
      <c r="DI138" s="1593"/>
      <c r="DJ138" s="1163"/>
      <c r="DM138" s="1436" t="str">
        <f>J138</f>
        <v>９　建物及びその敷地の概要</v>
      </c>
      <c r="DO138" s="73"/>
      <c r="DP138" s="73"/>
      <c r="DV138" s="1547" t="s">
        <v>2989</v>
      </c>
      <c r="EG138" s="84"/>
      <c r="EH138" s="84"/>
      <c r="EI138" s="84"/>
      <c r="EJ138" s="84"/>
      <c r="EK138" s="84"/>
      <c r="FV138" s="84"/>
      <c r="FW138" s="84"/>
      <c r="FX138" s="84"/>
      <c r="FY138" s="84"/>
      <c r="FZ138" s="84"/>
    </row>
    <row r="139" spans="1:183" s="78" customFormat="1" ht="27" customHeight="1" thickBot="1" x14ac:dyDescent="0.2">
      <c r="A139" s="1201"/>
      <c r="B139" s="1201"/>
      <c r="C139" s="1201"/>
      <c r="D139" s="1201"/>
      <c r="E139" s="1202"/>
      <c r="F139" s="652"/>
      <c r="G139" s="652"/>
      <c r="H139" s="652"/>
      <c r="I139" s="1249"/>
      <c r="J139" s="1215"/>
      <c r="K139" s="1216"/>
      <c r="L139" s="1216"/>
      <c r="M139" s="2243" t="s">
        <v>226</v>
      </c>
      <c r="N139" s="2344"/>
      <c r="O139" s="2344"/>
      <c r="P139" s="2344"/>
      <c r="Q139" s="2344"/>
      <c r="R139" s="2344"/>
      <c r="S139" s="2146" t="s">
        <v>676</v>
      </c>
      <c r="T139" s="2571"/>
      <c r="U139" s="2571"/>
      <c r="V139" s="2571"/>
      <c r="W139" s="2571"/>
      <c r="X139" s="2571"/>
      <c r="Y139" s="2571"/>
      <c r="Z139" s="2571"/>
      <c r="AA139" s="2571"/>
      <c r="AB139" s="2187"/>
      <c r="AC139" s="2188"/>
      <c r="AD139" s="2188"/>
      <c r="AE139" s="2188"/>
      <c r="AF139" s="2188"/>
      <c r="AG139" s="2188"/>
      <c r="AH139" s="2188"/>
      <c r="AI139" s="2188"/>
      <c r="AJ139" s="2188"/>
      <c r="AK139" s="2188"/>
      <c r="AL139" s="2188"/>
      <c r="AM139" s="2188"/>
      <c r="AN139" s="2188"/>
      <c r="AO139" s="2188"/>
      <c r="AP139" s="2188"/>
      <c r="AQ139" s="1265" t="str">
        <f>IF(AB139="","←どれか１つ以上選んでください","")</f>
        <v>←どれか１つ以上選んでください</v>
      </c>
      <c r="AR139" s="1258"/>
      <c r="AS139" s="1258"/>
      <c r="AT139" s="1258"/>
      <c r="AU139" s="1258"/>
      <c r="AV139" s="1258"/>
      <c r="AW139" s="1258"/>
      <c r="AX139" s="1258"/>
      <c r="AY139" s="1258"/>
      <c r="AZ139" s="1258"/>
      <c r="BA139" s="1258"/>
      <c r="BB139" s="1258"/>
      <c r="BC139" s="1258"/>
      <c r="BD139" s="1258"/>
      <c r="BE139" s="1258"/>
      <c r="BF139" s="1258"/>
      <c r="BG139" s="1258"/>
      <c r="BH139" s="1258"/>
      <c r="BI139" s="1258"/>
      <c r="BJ139" s="1258"/>
      <c r="BK139" s="1258"/>
      <c r="BL139" s="1258"/>
      <c r="BM139" s="1258"/>
      <c r="BN139" s="1258"/>
      <c r="BO139" s="1258"/>
      <c r="BP139" s="1258"/>
      <c r="BQ139" s="1258"/>
      <c r="BR139" s="1258"/>
      <c r="BS139" s="1258"/>
      <c r="BT139" s="1258"/>
      <c r="BU139" s="395"/>
      <c r="BV139" s="405" t="s">
        <v>1892</v>
      </c>
      <c r="BW139" s="405" t="s">
        <v>1900</v>
      </c>
      <c r="BX139" s="405"/>
      <c r="BY139" s="405"/>
      <c r="BZ139" s="405"/>
      <c r="CA139" s="405"/>
      <c r="CB139" s="405"/>
      <c r="CC139" s="405"/>
      <c r="CD139" s="405"/>
      <c r="CE139" s="405"/>
      <c r="CF139" s="405"/>
      <c r="CG139" s="405"/>
      <c r="CH139" s="405"/>
      <c r="CI139" s="405"/>
      <c r="CJ139" s="405"/>
      <c r="CK139" s="405"/>
      <c r="CL139" s="405"/>
      <c r="CM139" s="405"/>
      <c r="CN139" s="405"/>
      <c r="CO139" s="405"/>
      <c r="CP139" s="405"/>
      <c r="CQ139" s="405"/>
      <c r="CR139" s="405"/>
      <c r="CS139" s="405"/>
      <c r="CT139" s="1177"/>
      <c r="CU139" s="1178"/>
      <c r="CV139" s="388"/>
      <c r="CW139" s="388"/>
      <c r="CX139" s="207"/>
      <c r="CY139" s="207"/>
      <c r="CZ139" s="207"/>
      <c r="DA139" s="207"/>
      <c r="DB139" s="207"/>
      <c r="DC139" s="15"/>
      <c r="DD139" s="16"/>
      <c r="DE139" s="16"/>
      <c r="DF139" s="84"/>
      <c r="DG139" s="84"/>
      <c r="DH139" s="84"/>
      <c r="DI139" s="1593"/>
      <c r="DJ139" s="1166"/>
      <c r="DK139" s="1163"/>
      <c r="DL139" s="77"/>
      <c r="DM139" s="78" t="s">
        <v>661</v>
      </c>
      <c r="DN139" s="77"/>
      <c r="DO139" s="85" t="s">
        <v>1661</v>
      </c>
      <c r="DP139" s="85" t="s">
        <v>1662</v>
      </c>
      <c r="DQ139" s="85" t="s">
        <v>654</v>
      </c>
      <c r="DR139" s="85" t="s">
        <v>655</v>
      </c>
      <c r="DV139" s="78" t="s">
        <v>2990</v>
      </c>
      <c r="DW139" s="1537" t="str">
        <f>IF(AB139="","",VLOOKUP(AB139,プルダウン選択肢!$G$3:$H$6,2,FALSE))</f>
        <v/>
      </c>
      <c r="EG139" s="84"/>
      <c r="EH139" s="84"/>
      <c r="EI139" s="84"/>
      <c r="EJ139" s="84"/>
      <c r="EK139" s="84"/>
      <c r="FO139" s="579"/>
      <c r="FV139" s="84"/>
      <c r="FW139" s="84"/>
      <c r="FX139" s="84"/>
      <c r="FY139" s="84"/>
      <c r="FZ139" s="84"/>
      <c r="GA139" s="77"/>
    </row>
    <row r="140" spans="1:183" s="78" customFormat="1" ht="27" customHeight="1" thickBot="1" x14ac:dyDescent="0.2">
      <c r="A140" s="1201"/>
      <c r="B140" s="1201"/>
      <c r="C140" s="1201"/>
      <c r="D140" s="1201"/>
      <c r="E140" s="1202"/>
      <c r="F140" s="652"/>
      <c r="G140" s="652"/>
      <c r="H140" s="652"/>
      <c r="I140" s="1249"/>
      <c r="J140" s="1215"/>
      <c r="K140" s="1216"/>
      <c r="L140" s="1216"/>
      <c r="M140" s="2344"/>
      <c r="N140" s="2344"/>
      <c r="O140" s="2344"/>
      <c r="P140" s="2344"/>
      <c r="Q140" s="2344"/>
      <c r="R140" s="2344"/>
      <c r="S140" s="2192" t="s">
        <v>678</v>
      </c>
      <c r="T140" s="2193"/>
      <c r="U140" s="2193"/>
      <c r="V140" s="2193"/>
      <c r="W140" s="2193"/>
      <c r="X140" s="2193"/>
      <c r="Y140" s="2193"/>
      <c r="Z140" s="2193"/>
      <c r="AA140" s="2193"/>
      <c r="AB140" s="2167"/>
      <c r="AC140" s="2168"/>
      <c r="AD140" s="2168"/>
      <c r="AE140" s="2168"/>
      <c r="AF140" s="2168"/>
      <c r="AG140" s="2168"/>
      <c r="AH140" s="2168"/>
      <c r="AI140" s="2168"/>
      <c r="AJ140" s="2168"/>
      <c r="AK140" s="2168"/>
      <c r="AL140" s="2168"/>
      <c r="AM140" s="2168"/>
      <c r="AN140" s="2168"/>
      <c r="AO140" s="2168"/>
      <c r="AP140" s="2168"/>
      <c r="AQ140" s="1262"/>
      <c r="AR140" s="1262"/>
      <c r="AS140" s="1262"/>
      <c r="AT140" s="1262"/>
      <c r="AU140" s="1262"/>
      <c r="AV140" s="1262"/>
      <c r="AW140" s="1262"/>
      <c r="AX140" s="1262"/>
      <c r="AY140" s="1262"/>
      <c r="AZ140" s="1262"/>
      <c r="BA140" s="1262"/>
      <c r="BB140" s="1262"/>
      <c r="BC140" s="1262"/>
      <c r="BD140" s="1262"/>
      <c r="BE140" s="1262"/>
      <c r="BF140" s="1262"/>
      <c r="BG140" s="1262"/>
      <c r="BH140" s="1262"/>
      <c r="BI140" s="1262"/>
      <c r="BJ140" s="1262"/>
      <c r="BK140" s="1262"/>
      <c r="BL140" s="1262"/>
      <c r="BM140" s="1262"/>
      <c r="BN140" s="1262"/>
      <c r="BO140" s="1262"/>
      <c r="BP140" s="1262"/>
      <c r="BQ140" s="1262"/>
      <c r="BR140" s="1262"/>
      <c r="BS140" s="1262"/>
      <c r="BT140" s="1262"/>
      <c r="BU140" s="395"/>
      <c r="BV140" s="1177"/>
      <c r="BW140" s="2141" t="s">
        <v>1901</v>
      </c>
      <c r="BX140" s="2141"/>
      <c r="BY140" s="2141"/>
      <c r="BZ140" s="2141"/>
      <c r="CA140" s="2141"/>
      <c r="CB140" s="2141"/>
      <c r="CC140" s="2141"/>
      <c r="CD140" s="2141"/>
      <c r="CE140" s="2141"/>
      <c r="CF140" s="2141"/>
      <c r="CG140" s="2141"/>
      <c r="CH140" s="2141"/>
      <c r="CI140" s="2141"/>
      <c r="CJ140" s="2141"/>
      <c r="CK140" s="2141"/>
      <c r="CL140" s="2141"/>
      <c r="CM140" s="2141"/>
      <c r="CN140" s="2141"/>
      <c r="CO140" s="2141"/>
      <c r="CP140" s="2141"/>
      <c r="CQ140" s="2141"/>
      <c r="CR140" s="2141"/>
      <c r="CS140" s="2141"/>
      <c r="CT140" s="1177"/>
      <c r="CU140" s="1178"/>
      <c r="CV140" s="388"/>
      <c r="CW140" s="388"/>
      <c r="CX140" s="207"/>
      <c r="CY140" s="207"/>
      <c r="CZ140" s="207"/>
      <c r="DA140" s="207"/>
      <c r="DB140" s="207"/>
      <c r="DC140" s="15"/>
      <c r="DD140" s="16"/>
      <c r="DE140" s="16"/>
      <c r="DF140" s="84"/>
      <c r="DG140" s="84"/>
      <c r="DH140" s="84"/>
      <c r="DI140" s="1593"/>
      <c r="DJ140" s="1166"/>
      <c r="DK140" s="1163"/>
      <c r="DL140" s="77"/>
      <c r="DM140" s="83">
        <f>COUNTIFS(AB139:AP141,"その他")</f>
        <v>0</v>
      </c>
      <c r="DO140" s="1447" t="str">
        <f>IF(COUNTIF($AB$139:$AP$141,DO139)=1,"レ","")</f>
        <v/>
      </c>
      <c r="DP140" s="1447" t="str">
        <f t="shared" ref="DP140:DR140" si="8">IF(COUNTIF($AB$139:$AP$141,DP139)=1,"レ","")</f>
        <v/>
      </c>
      <c r="DQ140" s="1447" t="str">
        <f t="shared" si="8"/>
        <v/>
      </c>
      <c r="DR140" s="1447" t="str">
        <f t="shared" si="8"/>
        <v/>
      </c>
      <c r="DV140" s="78" t="s">
        <v>2990</v>
      </c>
      <c r="DW140" s="1537" t="str">
        <f>IF(AB140="","",VLOOKUP(AB140,プルダウン選択肢!$G$3:$H$6,2,FALSE))</f>
        <v/>
      </c>
      <c r="FO140" s="579"/>
      <c r="GA140" s="77"/>
    </row>
    <row r="141" spans="1:183" s="78" customFormat="1" ht="27" customHeight="1" thickBot="1" x14ac:dyDescent="0.2">
      <c r="A141" s="1201"/>
      <c r="B141" s="1201"/>
      <c r="C141" s="1201"/>
      <c r="D141" s="1201"/>
      <c r="E141" s="1202"/>
      <c r="F141" s="652"/>
      <c r="G141" s="652"/>
      <c r="H141" s="652"/>
      <c r="I141" s="1249"/>
      <c r="J141" s="1215"/>
      <c r="K141" s="1216"/>
      <c r="L141" s="1216"/>
      <c r="M141" s="2344"/>
      <c r="N141" s="2344"/>
      <c r="O141" s="2344"/>
      <c r="P141" s="2344"/>
      <c r="Q141" s="2344"/>
      <c r="R141" s="2344"/>
      <c r="S141" s="2192" t="s">
        <v>679</v>
      </c>
      <c r="T141" s="2193"/>
      <c r="U141" s="2193"/>
      <c r="V141" s="2193"/>
      <c r="W141" s="2193"/>
      <c r="X141" s="2193"/>
      <c r="Y141" s="2193"/>
      <c r="Z141" s="2193"/>
      <c r="AA141" s="2193"/>
      <c r="AB141" s="2167"/>
      <c r="AC141" s="2168"/>
      <c r="AD141" s="2168"/>
      <c r="AE141" s="2168"/>
      <c r="AF141" s="2168"/>
      <c r="AG141" s="2168"/>
      <c r="AH141" s="2168"/>
      <c r="AI141" s="2168"/>
      <c r="AJ141" s="2168"/>
      <c r="AK141" s="2168"/>
      <c r="AL141" s="2168"/>
      <c r="AM141" s="2168"/>
      <c r="AN141" s="2168"/>
      <c r="AO141" s="2168"/>
      <c r="AP141" s="2168"/>
      <c r="AQ141" s="1262"/>
      <c r="AR141" s="1262"/>
      <c r="AS141" s="1262"/>
      <c r="AT141" s="1262"/>
      <c r="AU141" s="1262"/>
      <c r="AV141" s="1262"/>
      <c r="AW141" s="1268"/>
      <c r="AX141" s="1262"/>
      <c r="AY141" s="1262"/>
      <c r="AZ141" s="1262"/>
      <c r="BA141" s="1262"/>
      <c r="BB141" s="1262"/>
      <c r="BC141" s="1262"/>
      <c r="BD141" s="1262"/>
      <c r="BE141" s="1262"/>
      <c r="BF141" s="1262"/>
      <c r="BG141" s="1262"/>
      <c r="BH141" s="1262"/>
      <c r="BI141" s="1262"/>
      <c r="BJ141" s="1262"/>
      <c r="BK141" s="1262"/>
      <c r="BL141" s="1262"/>
      <c r="BM141" s="1262"/>
      <c r="BN141" s="1262"/>
      <c r="BO141" s="1262"/>
      <c r="BP141" s="1262"/>
      <c r="BQ141" s="1262"/>
      <c r="BR141" s="1262"/>
      <c r="BS141" s="1262"/>
      <c r="BT141" s="1262"/>
      <c r="BU141" s="395"/>
      <c r="BV141" s="1177"/>
      <c r="BW141" s="2141"/>
      <c r="BX141" s="2141"/>
      <c r="BY141" s="2141"/>
      <c r="BZ141" s="2141"/>
      <c r="CA141" s="2141"/>
      <c r="CB141" s="2141"/>
      <c r="CC141" s="2141"/>
      <c r="CD141" s="2141"/>
      <c r="CE141" s="2141"/>
      <c r="CF141" s="2141"/>
      <c r="CG141" s="2141"/>
      <c r="CH141" s="2141"/>
      <c r="CI141" s="2141"/>
      <c r="CJ141" s="2141"/>
      <c r="CK141" s="2141"/>
      <c r="CL141" s="2141"/>
      <c r="CM141" s="2141"/>
      <c r="CN141" s="2141"/>
      <c r="CO141" s="2141"/>
      <c r="CP141" s="2141"/>
      <c r="CQ141" s="2141"/>
      <c r="CR141" s="2141"/>
      <c r="CS141" s="2141"/>
      <c r="CT141" s="1177"/>
      <c r="CU141" s="1178"/>
      <c r="CV141" s="388"/>
      <c r="CW141" s="388"/>
      <c r="CX141" s="207"/>
      <c r="CY141" s="207"/>
      <c r="CZ141" s="207"/>
      <c r="DA141" s="207"/>
      <c r="DB141" s="207"/>
      <c r="DC141" s="15"/>
      <c r="DD141" s="16"/>
      <c r="DE141" s="16"/>
      <c r="DF141" s="600"/>
      <c r="DG141" s="600"/>
      <c r="DH141" s="600"/>
      <c r="DI141" s="1593"/>
      <c r="DJ141" s="1167"/>
      <c r="DK141" s="1163"/>
      <c r="DL141" s="77"/>
      <c r="DM141" s="87"/>
      <c r="DQ141" s="77"/>
      <c r="DV141" s="78" t="s">
        <v>2990</v>
      </c>
      <c r="DW141" s="1537" t="str">
        <f>IF(AB141="","",VLOOKUP(AB141,プルダウン選択肢!$G$3:$H$6,2,FALSE))</f>
        <v/>
      </c>
      <c r="FO141" s="579"/>
      <c r="GA141" s="77"/>
    </row>
    <row r="142" spans="1:183" ht="27" customHeight="1" thickBot="1" x14ac:dyDescent="0.2">
      <c r="A142" s="1201"/>
      <c r="B142" s="1201"/>
      <c r="C142" s="1201"/>
      <c r="D142" s="1201"/>
      <c r="E142" s="1202"/>
      <c r="J142" s="1260"/>
      <c r="K142" s="1261"/>
      <c r="L142" s="1261"/>
      <c r="M142" s="2344"/>
      <c r="N142" s="2344"/>
      <c r="O142" s="2344"/>
      <c r="P142" s="2344"/>
      <c r="Q142" s="2344"/>
      <c r="R142" s="2344"/>
      <c r="S142" s="2508" t="s">
        <v>677</v>
      </c>
      <c r="T142" s="2573"/>
      <c r="U142" s="2573"/>
      <c r="V142" s="2573"/>
      <c r="W142" s="2573"/>
      <c r="X142" s="2573"/>
      <c r="Y142" s="2573"/>
      <c r="Z142" s="2573"/>
      <c r="AA142" s="2573"/>
      <c r="AB142" s="2136"/>
      <c r="AC142" s="2336"/>
      <c r="AD142" s="2336"/>
      <c r="AE142" s="2336"/>
      <c r="AF142" s="2336"/>
      <c r="AG142" s="2336"/>
      <c r="AH142" s="2336"/>
      <c r="AI142" s="2336"/>
      <c r="AJ142" s="2336"/>
      <c r="AK142" s="2336"/>
      <c r="AL142" s="2336"/>
      <c r="AM142" s="2336"/>
      <c r="AN142" s="2336"/>
      <c r="AO142" s="2337"/>
      <c r="AP142" s="2337"/>
      <c r="AQ142" s="1266" t="str">
        <f>IF(AND(DM140&gt;0,AB142=""),"←その他の場合、説明を入力してください","")</f>
        <v/>
      </c>
      <c r="AR142" s="1269"/>
      <c r="AS142" s="1269"/>
      <c r="AT142" s="1269"/>
      <c r="AU142" s="1269"/>
      <c r="AV142" s="1269"/>
      <c r="AW142" s="1269"/>
      <c r="AX142" s="1269"/>
      <c r="AY142" s="1269"/>
      <c r="AZ142" s="1269"/>
      <c r="BA142" s="1269"/>
      <c r="BB142" s="1269"/>
      <c r="BC142" s="1269"/>
      <c r="BD142" s="1269"/>
      <c r="BE142" s="1269"/>
      <c r="BF142" s="1269"/>
      <c r="BG142" s="1269"/>
      <c r="BH142" s="1269"/>
      <c r="BI142" s="1269"/>
      <c r="BJ142" s="1269"/>
      <c r="BK142" s="1269"/>
      <c r="BL142" s="1269"/>
      <c r="BM142" s="1269"/>
      <c r="BN142" s="1269"/>
      <c r="BO142" s="1269"/>
      <c r="BP142" s="1269"/>
      <c r="BQ142" s="1269"/>
      <c r="BR142" s="1269"/>
      <c r="BS142" s="1269"/>
      <c r="BT142" s="1269"/>
      <c r="BU142" s="584"/>
      <c r="BV142" s="1177"/>
      <c r="BW142" s="1177"/>
      <c r="BX142" s="1177"/>
      <c r="BY142" s="1177"/>
      <c r="BZ142" s="1177"/>
      <c r="CA142" s="1177"/>
      <c r="CB142" s="1177"/>
      <c r="CC142" s="1177"/>
      <c r="CD142" s="1177"/>
      <c r="CE142" s="1177"/>
      <c r="CF142" s="1177"/>
      <c r="CG142" s="1177"/>
      <c r="CH142" s="1177"/>
      <c r="CI142" s="1177"/>
      <c r="CJ142" s="1177"/>
      <c r="CK142" s="1177"/>
      <c r="CL142" s="1177"/>
      <c r="CM142" s="1177"/>
      <c r="CN142" s="1177"/>
      <c r="CO142" s="1177"/>
      <c r="CP142" s="1177"/>
      <c r="CQ142" s="1177"/>
      <c r="CR142" s="1177"/>
      <c r="CS142" s="1177"/>
      <c r="CT142" s="1177"/>
      <c r="CU142" s="1178"/>
      <c r="DD142" s="16"/>
      <c r="DE142" s="16"/>
      <c r="DF142" s="16"/>
      <c r="DG142" s="16"/>
      <c r="DH142" s="16"/>
      <c r="DI142" s="1593"/>
      <c r="DJ142" s="1163"/>
      <c r="DV142" s="78" t="s">
        <v>2991</v>
      </c>
      <c r="DW142" s="1573" t="str">
        <f>IF(AB142="","",AB142)</f>
        <v/>
      </c>
      <c r="EG142" s="78"/>
      <c r="EH142" s="78"/>
      <c r="EI142" s="78"/>
      <c r="EJ142" s="78"/>
      <c r="EK142" s="78"/>
      <c r="FV142" s="78"/>
      <c r="FW142" s="78"/>
      <c r="FX142" s="78"/>
      <c r="FY142" s="78"/>
      <c r="FZ142" s="78"/>
    </row>
    <row r="143" spans="1:183" s="78" customFormat="1" ht="27" customHeight="1" x14ac:dyDescent="0.15">
      <c r="A143" s="1201"/>
      <c r="B143" s="1201"/>
      <c r="C143" s="1201"/>
      <c r="D143" s="1201"/>
      <c r="E143" s="1202"/>
      <c r="F143" s="652"/>
      <c r="G143" s="652"/>
      <c r="H143" s="652"/>
      <c r="I143" s="1249"/>
      <c r="J143" s="1215"/>
      <c r="K143" s="1216"/>
      <c r="L143" s="1216"/>
      <c r="M143" s="2243" t="s">
        <v>227</v>
      </c>
      <c r="N143" s="2344"/>
      <c r="O143" s="2344"/>
      <c r="P143" s="2344"/>
      <c r="Q143" s="2344"/>
      <c r="R143" s="2344"/>
      <c r="S143" s="2231" t="s">
        <v>262</v>
      </c>
      <c r="T143" s="2589"/>
      <c r="U143" s="2589"/>
      <c r="V143" s="2276"/>
      <c r="W143" s="2276"/>
      <c r="X143" s="2276"/>
      <c r="Y143" s="2276"/>
      <c r="Z143" s="2276"/>
      <c r="AA143" s="2276"/>
      <c r="AB143" s="2539"/>
      <c r="AC143" s="2539"/>
      <c r="AD143" s="2539"/>
      <c r="AE143" s="2540"/>
      <c r="AF143" s="2540"/>
      <c r="AG143" s="2540"/>
      <c r="AH143" s="1250" t="s">
        <v>17</v>
      </c>
      <c r="AI143" s="1250"/>
      <c r="AJ143" s="1250"/>
      <c r="AK143" s="1250"/>
      <c r="AL143" s="1250"/>
      <c r="AM143" s="1250"/>
      <c r="AN143" s="1250"/>
      <c r="AO143" s="1250"/>
      <c r="AP143" s="1250"/>
      <c r="AQ143" s="1250"/>
      <c r="AR143" s="1250"/>
      <c r="AS143" s="1250"/>
      <c r="AT143" s="1250"/>
      <c r="AU143" s="1250"/>
      <c r="AV143" s="1250"/>
      <c r="AW143" s="1250"/>
      <c r="AX143" s="1250"/>
      <c r="AY143" s="1250"/>
      <c r="AZ143" s="1250"/>
      <c r="BA143" s="1250"/>
      <c r="BB143" s="1250"/>
      <c r="BC143" s="1250"/>
      <c r="BD143" s="1250"/>
      <c r="BE143" s="1250"/>
      <c r="BF143" s="1250"/>
      <c r="BG143" s="1250"/>
      <c r="BH143" s="1250"/>
      <c r="BI143" s="1250"/>
      <c r="BJ143" s="1250"/>
      <c r="BK143" s="1250"/>
      <c r="BL143" s="1250"/>
      <c r="BM143" s="1250"/>
      <c r="BN143" s="1250"/>
      <c r="BO143" s="1250"/>
      <c r="BP143" s="1250"/>
      <c r="BQ143" s="1250"/>
      <c r="BR143" s="1250"/>
      <c r="BS143" s="1250"/>
      <c r="BT143" s="1250"/>
      <c r="BU143" s="395"/>
      <c r="BV143" s="405" t="s">
        <v>1892</v>
      </c>
      <c r="BW143" s="2141" t="s">
        <v>1902</v>
      </c>
      <c r="BX143" s="2141"/>
      <c r="BY143" s="2141"/>
      <c r="BZ143" s="2141"/>
      <c r="CA143" s="2141"/>
      <c r="CB143" s="2141"/>
      <c r="CC143" s="2141"/>
      <c r="CD143" s="2141"/>
      <c r="CE143" s="2141"/>
      <c r="CF143" s="2141"/>
      <c r="CG143" s="2141"/>
      <c r="CH143" s="2141"/>
      <c r="CI143" s="2141"/>
      <c r="CJ143" s="2141"/>
      <c r="CK143" s="2141"/>
      <c r="CL143" s="2141"/>
      <c r="CM143" s="2141"/>
      <c r="CN143" s="2141"/>
      <c r="CO143" s="2141"/>
      <c r="CP143" s="2141"/>
      <c r="CQ143" s="2141"/>
      <c r="CR143" s="2141"/>
      <c r="CS143" s="2141"/>
      <c r="CT143" s="1177"/>
      <c r="CU143" s="1178"/>
      <c r="CV143" s="388"/>
      <c r="CW143" s="388"/>
      <c r="CX143" s="207"/>
      <c r="CY143" s="207"/>
      <c r="CZ143" s="207"/>
      <c r="DA143" s="207"/>
      <c r="DB143" s="207"/>
      <c r="DC143" s="15"/>
      <c r="DD143" s="16"/>
      <c r="DE143" s="16"/>
      <c r="DF143" s="16"/>
      <c r="DG143" s="16"/>
      <c r="DH143" s="16"/>
      <c r="DI143" s="1593"/>
      <c r="DJ143" s="1163"/>
      <c r="DK143" s="1163"/>
      <c r="DL143" s="77"/>
      <c r="DM143" s="77"/>
      <c r="DQ143" s="77"/>
      <c r="DW143" s="1693"/>
      <c r="EG143" s="73"/>
      <c r="EH143" s="73"/>
      <c r="EI143" s="73"/>
      <c r="EJ143" s="73"/>
      <c r="EK143" s="73"/>
      <c r="FO143" s="579"/>
      <c r="FV143" s="73"/>
      <c r="FW143" s="73"/>
      <c r="FX143" s="73"/>
      <c r="FY143" s="73"/>
      <c r="FZ143" s="73"/>
      <c r="GA143" s="77"/>
    </row>
    <row r="144" spans="1:183" s="78" customFormat="1" ht="27" customHeight="1" x14ac:dyDescent="0.15">
      <c r="A144" s="1201"/>
      <c r="B144" s="1201"/>
      <c r="C144" s="1201"/>
      <c r="D144" s="1201"/>
      <c r="E144" s="1202"/>
      <c r="F144" s="652"/>
      <c r="G144" s="652"/>
      <c r="H144" s="652"/>
      <c r="I144" s="1249"/>
      <c r="J144" s="1215"/>
      <c r="K144" s="1216"/>
      <c r="L144" s="1216"/>
      <c r="M144" s="2344"/>
      <c r="N144" s="2344"/>
      <c r="O144" s="2344"/>
      <c r="P144" s="2344"/>
      <c r="Q144" s="2344"/>
      <c r="R144" s="2344"/>
      <c r="S144" s="2260" t="s">
        <v>263</v>
      </c>
      <c r="T144" s="2544"/>
      <c r="U144" s="2544"/>
      <c r="V144" s="2261"/>
      <c r="W144" s="2261"/>
      <c r="X144" s="2261"/>
      <c r="Y144" s="2261"/>
      <c r="Z144" s="2261"/>
      <c r="AA144" s="2261"/>
      <c r="AB144" s="2542"/>
      <c r="AC144" s="2542"/>
      <c r="AD144" s="2542"/>
      <c r="AE144" s="2543"/>
      <c r="AF144" s="2543"/>
      <c r="AG144" s="2543"/>
      <c r="AH144" s="1255" t="s">
        <v>17</v>
      </c>
      <c r="AI144" s="1255"/>
      <c r="AJ144" s="1267" t="s">
        <v>3096</v>
      </c>
      <c r="AK144" s="1255"/>
      <c r="AL144" s="1255"/>
      <c r="AM144" s="1255"/>
      <c r="AN144" s="1255"/>
      <c r="AO144" s="1255"/>
      <c r="AP144" s="1255"/>
      <c r="AQ144" s="1255"/>
      <c r="AR144" s="1255"/>
      <c r="AS144" s="1255"/>
      <c r="AT144" s="1255"/>
      <c r="AU144" s="1255"/>
      <c r="AV144" s="1255"/>
      <c r="AW144" s="1255"/>
      <c r="AX144" s="1255"/>
      <c r="AY144" s="1255"/>
      <c r="AZ144" s="1255"/>
      <c r="BA144" s="1255"/>
      <c r="BB144" s="1255"/>
      <c r="BC144" s="1255"/>
      <c r="BD144" s="1255"/>
      <c r="BE144" s="1255"/>
      <c r="BF144" s="1255"/>
      <c r="BG144" s="1255"/>
      <c r="BH144" s="1255"/>
      <c r="BI144" s="1255"/>
      <c r="BJ144" s="1255"/>
      <c r="BK144" s="1255"/>
      <c r="BL144" s="1255"/>
      <c r="BM144" s="1255"/>
      <c r="BN144" s="1255"/>
      <c r="BO144" s="1255"/>
      <c r="BP144" s="1255"/>
      <c r="BQ144" s="1255"/>
      <c r="BR144" s="1255"/>
      <c r="BS144" s="1255"/>
      <c r="BT144" s="1255"/>
      <c r="BU144" s="395"/>
      <c r="BV144" s="1177"/>
      <c r="BW144" s="2141"/>
      <c r="BX144" s="2141"/>
      <c r="BY144" s="2141"/>
      <c r="BZ144" s="2141"/>
      <c r="CA144" s="2141"/>
      <c r="CB144" s="2141"/>
      <c r="CC144" s="2141"/>
      <c r="CD144" s="2141"/>
      <c r="CE144" s="2141"/>
      <c r="CF144" s="2141"/>
      <c r="CG144" s="2141"/>
      <c r="CH144" s="2141"/>
      <c r="CI144" s="2141"/>
      <c r="CJ144" s="2141"/>
      <c r="CK144" s="2141"/>
      <c r="CL144" s="2141"/>
      <c r="CM144" s="2141"/>
      <c r="CN144" s="2141"/>
      <c r="CO144" s="2141"/>
      <c r="CP144" s="2141"/>
      <c r="CQ144" s="2141"/>
      <c r="CR144" s="2141"/>
      <c r="CS144" s="2141"/>
      <c r="CT144" s="1177"/>
      <c r="CU144" s="1178"/>
      <c r="CV144" s="388"/>
      <c r="CW144" s="388"/>
      <c r="CX144" s="207"/>
      <c r="CY144" s="207"/>
      <c r="CZ144" s="207"/>
      <c r="DA144" s="207"/>
      <c r="DB144" s="207"/>
      <c r="DC144" s="15"/>
      <c r="DD144" s="16"/>
      <c r="DE144" s="16"/>
      <c r="DF144" s="16"/>
      <c r="DG144" s="16"/>
      <c r="DH144" s="16"/>
      <c r="DI144" s="1593"/>
      <c r="DJ144" s="1163"/>
      <c r="DK144" s="1163"/>
      <c r="DL144" s="77"/>
      <c r="DM144" s="77"/>
      <c r="DO144" s="77"/>
      <c r="DP144" s="77"/>
      <c r="DQ144" s="77"/>
      <c r="DW144" s="196"/>
      <c r="EG144" s="73"/>
      <c r="EH144" s="73"/>
      <c r="EI144" s="73"/>
      <c r="EJ144" s="73"/>
      <c r="EK144" s="73"/>
      <c r="FO144" s="579"/>
      <c r="FV144" s="73"/>
      <c r="FW144" s="73"/>
      <c r="FX144" s="73"/>
      <c r="FY144" s="73"/>
      <c r="FZ144" s="73"/>
      <c r="GA144" s="77"/>
    </row>
    <row r="145" spans="1:183" s="78" customFormat="1" ht="27" customHeight="1" x14ac:dyDescent="0.15">
      <c r="A145" s="1201"/>
      <c r="B145" s="1201"/>
      <c r="C145" s="1201"/>
      <c r="D145" s="1201"/>
      <c r="E145" s="1202"/>
      <c r="F145" s="652"/>
      <c r="G145" s="652"/>
      <c r="H145" s="652"/>
      <c r="I145" s="1249"/>
      <c r="J145" s="1215"/>
      <c r="K145" s="1216"/>
      <c r="L145" s="1216"/>
      <c r="M145" s="2243" t="s">
        <v>228</v>
      </c>
      <c r="N145" s="2497"/>
      <c r="O145" s="2497"/>
      <c r="P145" s="2497"/>
      <c r="Q145" s="2497"/>
      <c r="R145" s="2497"/>
      <c r="S145" s="2497"/>
      <c r="T145" s="2497"/>
      <c r="U145" s="2497"/>
      <c r="V145" s="2497"/>
      <c r="W145" s="2497"/>
      <c r="X145" s="2497"/>
      <c r="Y145" s="2497"/>
      <c r="Z145" s="2497"/>
      <c r="AA145" s="2497"/>
      <c r="AB145" s="2541"/>
      <c r="AC145" s="2541"/>
      <c r="AD145" s="2541"/>
      <c r="AE145" s="2541"/>
      <c r="AF145" s="2541"/>
      <c r="AG145" s="2541"/>
      <c r="AH145" s="1212" t="s">
        <v>28</v>
      </c>
      <c r="AI145" s="1212"/>
      <c r="AJ145" s="1270" t="str">
        <f>IF(OR($DM$145&gt;1,$DM$145=0),"","←建築物の申請ですので敷地・建物それぞれの面積が必要です。")</f>
        <v/>
      </c>
      <c r="AK145" s="1212"/>
      <c r="AL145" s="1212"/>
      <c r="AM145" s="1270"/>
      <c r="AN145" s="1270"/>
      <c r="AO145" s="1270"/>
      <c r="AP145" s="1270"/>
      <c r="AQ145" s="1212"/>
      <c r="AR145" s="1212"/>
      <c r="AS145" s="1212"/>
      <c r="AT145" s="1212"/>
      <c r="AU145" s="1212"/>
      <c r="AV145" s="1212"/>
      <c r="AW145" s="1212"/>
      <c r="AX145" s="1212"/>
      <c r="AY145" s="1212"/>
      <c r="AZ145" s="1212"/>
      <c r="BA145" s="1212"/>
      <c r="BB145" s="1212"/>
      <c r="BC145" s="1212"/>
      <c r="BD145" s="1212"/>
      <c r="BE145" s="1212"/>
      <c r="BF145" s="1212"/>
      <c r="BG145" s="1212"/>
      <c r="BH145" s="1212"/>
      <c r="BI145" s="1212"/>
      <c r="BJ145" s="1212"/>
      <c r="BK145" s="1212"/>
      <c r="BL145" s="1212"/>
      <c r="BM145" s="1212"/>
      <c r="BN145" s="1212"/>
      <c r="BO145" s="1212"/>
      <c r="BP145" s="1212"/>
      <c r="BQ145" s="1212"/>
      <c r="BR145" s="1212"/>
      <c r="BS145" s="1212"/>
      <c r="BT145" s="1212"/>
      <c r="BU145" s="395"/>
      <c r="BV145" s="1177"/>
      <c r="BW145" s="1177"/>
      <c r="BX145" s="1177"/>
      <c r="BY145" s="1177"/>
      <c r="BZ145" s="1177"/>
      <c r="CA145" s="1177"/>
      <c r="CB145" s="1177"/>
      <c r="CC145" s="1177"/>
      <c r="CD145" s="1177"/>
      <c r="CE145" s="1177"/>
      <c r="CF145" s="1177"/>
      <c r="CG145" s="1177"/>
      <c r="CH145" s="1177"/>
      <c r="CI145" s="1177"/>
      <c r="CJ145" s="1177"/>
      <c r="CK145" s="1177"/>
      <c r="CL145" s="1177"/>
      <c r="CM145" s="1177"/>
      <c r="CN145" s="1177"/>
      <c r="CO145" s="1177"/>
      <c r="CP145" s="1177"/>
      <c r="CQ145" s="1177"/>
      <c r="CR145" s="1177"/>
      <c r="CS145" s="1177"/>
      <c r="CT145" s="1177"/>
      <c r="CU145" s="1178"/>
      <c r="CV145" s="388"/>
      <c r="CW145" s="388"/>
      <c r="CX145" s="207"/>
      <c r="CY145" s="207"/>
      <c r="CZ145" s="207"/>
      <c r="DA145" s="207"/>
      <c r="DB145" s="207"/>
      <c r="DC145" s="15"/>
      <c r="DD145" s="16"/>
      <c r="DE145" s="16"/>
      <c r="DF145" s="16"/>
      <c r="DG145" s="16"/>
      <c r="DH145" s="16"/>
      <c r="DI145" s="1593"/>
      <c r="DJ145" s="1163"/>
      <c r="DK145" s="1163"/>
      <c r="DL145" s="77"/>
      <c r="DM145" s="77"/>
      <c r="DN145" s="77"/>
      <c r="DO145" s="77"/>
      <c r="DP145" s="77"/>
      <c r="DQ145" s="77"/>
      <c r="DW145" s="196"/>
      <c r="FO145" s="579"/>
      <c r="GA145" s="77"/>
    </row>
    <row r="146" spans="1:183" s="78" customFormat="1" ht="27" customHeight="1" thickBot="1" x14ac:dyDescent="0.2">
      <c r="A146" s="1201"/>
      <c r="B146" s="1201"/>
      <c r="C146" s="1201"/>
      <c r="D146" s="1201"/>
      <c r="E146" s="1202"/>
      <c r="F146" s="652"/>
      <c r="G146" s="652"/>
      <c r="H146" s="652"/>
      <c r="I146" s="1249"/>
      <c r="J146" s="1221"/>
      <c r="K146" s="1222"/>
      <c r="L146" s="1222"/>
      <c r="M146" s="2566" t="s">
        <v>319</v>
      </c>
      <c r="N146" s="2567"/>
      <c r="O146" s="2567"/>
      <c r="P146" s="2567"/>
      <c r="Q146" s="2567"/>
      <c r="R146" s="2567"/>
      <c r="S146" s="2567"/>
      <c r="T146" s="2567"/>
      <c r="U146" s="2567"/>
      <c r="V146" s="2567"/>
      <c r="W146" s="2567"/>
      <c r="X146" s="2567"/>
      <c r="Y146" s="2567"/>
      <c r="Z146" s="2567"/>
      <c r="AA146" s="2567"/>
      <c r="AB146" s="2570"/>
      <c r="AC146" s="2570"/>
      <c r="AD146" s="2570"/>
      <c r="AE146" s="2570"/>
      <c r="AF146" s="2570"/>
      <c r="AG146" s="2570"/>
      <c r="AH146" s="1271" t="s">
        <v>28</v>
      </c>
      <c r="AI146" s="1271"/>
      <c r="AJ146" s="1271"/>
      <c r="AK146" s="1271"/>
      <c r="AL146" s="1271"/>
      <c r="AM146" s="1271"/>
      <c r="AN146" s="1271"/>
      <c r="AO146" s="1271"/>
      <c r="AP146" s="1272" t="s">
        <v>2187</v>
      </c>
      <c r="AQ146" s="2153" t="s">
        <v>2807</v>
      </c>
      <c r="AR146" s="2153"/>
      <c r="AS146" s="2153"/>
      <c r="AT146" s="2153"/>
      <c r="AU146" s="2153"/>
      <c r="AV146" s="2153"/>
      <c r="AW146" s="2153"/>
      <c r="AX146" s="2153"/>
      <c r="AY146" s="2153"/>
      <c r="AZ146" s="2153"/>
      <c r="BA146" s="2153"/>
      <c r="BB146" s="2153"/>
      <c r="BC146" s="2153"/>
      <c r="BD146" s="2153"/>
      <c r="BE146" s="2153"/>
      <c r="BF146" s="2153"/>
      <c r="BG146" s="2153"/>
      <c r="BH146" s="2153"/>
      <c r="BI146" s="2153"/>
      <c r="BJ146" s="1271"/>
      <c r="BK146" s="1271"/>
      <c r="BL146" s="1271"/>
      <c r="BM146" s="1271"/>
      <c r="BN146" s="1271"/>
      <c r="BO146" s="1271"/>
      <c r="BP146" s="1271"/>
      <c r="BQ146" s="1271"/>
      <c r="BR146" s="1271"/>
      <c r="BS146" s="1271"/>
      <c r="BT146" s="1271"/>
      <c r="BU146" s="585"/>
      <c r="BV146" s="1175"/>
      <c r="BW146" s="1175"/>
      <c r="BX146" s="1175"/>
      <c r="BY146" s="1175"/>
      <c r="BZ146" s="1175"/>
      <c r="CA146" s="1175"/>
      <c r="CB146" s="1175"/>
      <c r="CC146" s="1175"/>
      <c r="CD146" s="1175"/>
      <c r="CE146" s="1175"/>
      <c r="CF146" s="1175"/>
      <c r="CG146" s="1175"/>
      <c r="CH146" s="1175"/>
      <c r="CI146" s="1175"/>
      <c r="CJ146" s="1175"/>
      <c r="CK146" s="1175"/>
      <c r="CL146" s="1175"/>
      <c r="CM146" s="1175"/>
      <c r="CN146" s="1175"/>
      <c r="CO146" s="1175"/>
      <c r="CP146" s="1175"/>
      <c r="CQ146" s="1175"/>
      <c r="CR146" s="1175"/>
      <c r="CS146" s="1175"/>
      <c r="CT146" s="1175"/>
      <c r="CU146" s="1176"/>
      <c r="CV146" s="388"/>
      <c r="CW146" s="388"/>
      <c r="CX146" s="207"/>
      <c r="CY146" s="207"/>
      <c r="CZ146" s="207"/>
      <c r="DA146" s="207"/>
      <c r="DB146" s="207"/>
      <c r="DC146" s="15"/>
      <c r="DD146" s="16"/>
      <c r="DE146" s="16"/>
      <c r="DF146" s="16"/>
      <c r="DG146" s="16"/>
      <c r="DH146" s="16"/>
      <c r="DI146" s="1593"/>
      <c r="DJ146" s="1163"/>
      <c r="DK146" s="1163"/>
      <c r="DL146" s="77"/>
      <c r="DM146" s="77"/>
      <c r="DN146" s="77"/>
      <c r="DO146" s="77"/>
      <c r="DP146" s="77"/>
      <c r="DQ146" s="77"/>
      <c r="DW146" s="196"/>
      <c r="EG146" s="73"/>
      <c r="EH146" s="73"/>
      <c r="EI146" s="73"/>
      <c r="EJ146" s="73"/>
      <c r="EK146" s="73"/>
      <c r="FO146" s="579"/>
      <c r="FV146" s="73"/>
      <c r="FW146" s="73"/>
      <c r="FX146" s="73"/>
      <c r="FY146" s="73"/>
      <c r="FZ146" s="73"/>
      <c r="GA146" s="77"/>
    </row>
    <row r="147" spans="1:183" ht="15" customHeight="1" x14ac:dyDescent="0.15">
      <c r="A147" s="1201"/>
      <c r="B147" s="1201"/>
      <c r="C147" s="1201"/>
      <c r="D147" s="1201"/>
      <c r="E147" s="1202"/>
      <c r="BU147" s="578"/>
      <c r="BX147" s="401"/>
      <c r="DD147" s="16"/>
      <c r="DE147" s="16"/>
      <c r="DF147" s="16"/>
      <c r="DG147" s="16"/>
      <c r="DH147" s="16"/>
      <c r="DI147" s="1593"/>
      <c r="DJ147" s="1163"/>
      <c r="EG147" s="73"/>
      <c r="EH147" s="73"/>
      <c r="EI147" s="73"/>
      <c r="EJ147" s="73"/>
      <c r="EK147" s="73"/>
      <c r="FV147" s="73"/>
      <c r="FW147" s="73"/>
      <c r="FX147" s="73"/>
      <c r="FY147" s="73"/>
      <c r="FZ147" s="73"/>
    </row>
    <row r="148" spans="1:183" ht="2.1" customHeight="1" x14ac:dyDescent="0.15">
      <c r="A148" s="1201"/>
      <c r="B148" s="1201"/>
      <c r="C148" s="1201"/>
      <c r="D148" s="1201"/>
      <c r="E148" s="1202"/>
      <c r="BU148" s="578"/>
      <c r="BX148" s="401"/>
      <c r="DD148" s="16"/>
      <c r="DE148" s="16"/>
      <c r="DF148" s="16"/>
      <c r="DG148" s="16"/>
      <c r="DH148" s="16"/>
      <c r="DI148" s="1593"/>
      <c r="DJ148" s="1163"/>
      <c r="EG148" s="73"/>
      <c r="EH148" s="73"/>
      <c r="EI148" s="73"/>
      <c r="EJ148" s="73"/>
      <c r="EK148" s="73"/>
      <c r="FV148" s="73"/>
      <c r="FW148" s="73"/>
      <c r="FX148" s="73"/>
      <c r="FY148" s="73"/>
      <c r="FZ148" s="73"/>
    </row>
    <row r="149" spans="1:183" ht="2.1" customHeight="1" x14ac:dyDescent="0.15">
      <c r="A149" s="1201"/>
      <c r="B149" s="1201"/>
      <c r="C149" s="1201"/>
      <c r="D149" s="1201"/>
      <c r="E149" s="1202"/>
      <c r="BU149" s="578"/>
      <c r="BX149" s="401"/>
      <c r="DD149" s="16"/>
      <c r="DE149" s="16"/>
      <c r="DF149" s="16"/>
      <c r="DG149" s="16"/>
      <c r="DH149" s="16"/>
      <c r="DI149" s="1593"/>
      <c r="DJ149" s="1163"/>
      <c r="EG149" s="73"/>
      <c r="EH149" s="73"/>
      <c r="EI149" s="73"/>
      <c r="EJ149" s="73"/>
      <c r="EK149" s="73"/>
      <c r="FV149" s="73"/>
      <c r="FW149" s="73"/>
      <c r="FX149" s="73"/>
      <c r="FY149" s="73"/>
      <c r="FZ149" s="73"/>
    </row>
    <row r="150" spans="1:183" ht="2.1" customHeight="1" thickBot="1" x14ac:dyDescent="0.2">
      <c r="A150" s="1201"/>
      <c r="B150" s="1201"/>
      <c r="C150" s="1201"/>
      <c r="D150" s="1201"/>
      <c r="E150" s="1202"/>
      <c r="BU150" s="578"/>
      <c r="BX150" s="401"/>
      <c r="DD150" s="16"/>
      <c r="DE150" s="16"/>
      <c r="DF150" s="16"/>
      <c r="DG150" s="16"/>
      <c r="DH150" s="16"/>
      <c r="DI150" s="1593"/>
      <c r="DJ150" s="1163"/>
      <c r="EG150" s="73"/>
      <c r="EH150" s="73"/>
      <c r="EI150" s="73"/>
      <c r="EJ150" s="73"/>
      <c r="EK150" s="73"/>
      <c r="FV150" s="73"/>
      <c r="FW150" s="73"/>
      <c r="FX150" s="73"/>
      <c r="FY150" s="73"/>
      <c r="FZ150" s="73"/>
    </row>
    <row r="151" spans="1:183" ht="35.1" customHeight="1" thickBot="1" x14ac:dyDescent="0.6">
      <c r="A151" s="1201"/>
      <c r="B151" s="1201"/>
      <c r="C151" s="1201"/>
      <c r="D151" s="1201"/>
      <c r="E151" s="1202"/>
      <c r="J151" s="2156" t="s">
        <v>1081</v>
      </c>
      <c r="K151" s="2157"/>
      <c r="L151" s="2157"/>
      <c r="M151" s="2157"/>
      <c r="N151" s="2157"/>
      <c r="O151" s="2157"/>
      <c r="P151" s="2157"/>
      <c r="Q151" s="2157"/>
      <c r="R151" s="2157"/>
      <c r="S151" s="2157"/>
      <c r="T151" s="2157"/>
      <c r="U151" s="2157"/>
      <c r="V151" s="2157"/>
      <c r="W151" s="2157"/>
      <c r="X151" s="2157"/>
      <c r="Y151" s="2157"/>
      <c r="Z151" s="2157"/>
      <c r="AA151" s="2157"/>
      <c r="AB151" s="2157"/>
      <c r="AC151" s="2157"/>
      <c r="AD151" s="2157"/>
      <c r="AE151" s="2157"/>
      <c r="AF151" s="2157"/>
      <c r="AG151" s="2157"/>
      <c r="AH151" s="2157"/>
      <c r="AI151" s="2157"/>
      <c r="AJ151" s="2157"/>
      <c r="AK151" s="2157"/>
      <c r="AL151" s="2157"/>
      <c r="AM151" s="2157"/>
      <c r="AN151" s="2157"/>
      <c r="AO151" s="2157"/>
      <c r="AP151" s="2157"/>
      <c r="AQ151" s="2157"/>
      <c r="AR151" s="2157"/>
      <c r="AS151" s="2157"/>
      <c r="AT151" s="2157"/>
      <c r="AU151" s="2157"/>
      <c r="AV151" s="2157"/>
      <c r="AW151" s="2157"/>
      <c r="AX151" s="2157"/>
      <c r="AY151" s="2157"/>
      <c r="AZ151" s="2157"/>
      <c r="BA151" s="2157"/>
      <c r="BB151" s="2157"/>
      <c r="BC151" s="2157"/>
      <c r="BD151" s="2157"/>
      <c r="BE151" s="2157"/>
      <c r="BF151" s="2157"/>
      <c r="BG151" s="2157"/>
      <c r="BH151" s="2155" t="s">
        <v>2916</v>
      </c>
      <c r="BI151" s="2155"/>
      <c r="BJ151" s="2155"/>
      <c r="BK151" s="2155"/>
      <c r="BL151" s="2155"/>
      <c r="BM151" s="2155"/>
      <c r="BN151" s="2155"/>
      <c r="BO151" s="2155"/>
      <c r="BP151" s="2155"/>
      <c r="BQ151" s="2155"/>
      <c r="BR151" s="2155"/>
      <c r="BS151" s="2155"/>
      <c r="BT151" s="2155"/>
      <c r="BU151" s="609"/>
      <c r="BV151" s="1191"/>
      <c r="BW151" s="1191"/>
      <c r="BX151" s="1191"/>
      <c r="BY151" s="1191"/>
      <c r="BZ151" s="1191"/>
      <c r="CA151" s="1191"/>
      <c r="CB151" s="1191"/>
      <c r="CC151" s="1191"/>
      <c r="CD151" s="1191"/>
      <c r="CE151" s="1191"/>
      <c r="CF151" s="1191"/>
      <c r="CG151" s="1191"/>
      <c r="CH151" s="1191"/>
      <c r="CI151" s="1191"/>
      <c r="CJ151" s="1191"/>
      <c r="CK151" s="1191"/>
      <c r="CL151" s="1191"/>
      <c r="CM151" s="1191"/>
      <c r="CN151" s="1191"/>
      <c r="CO151" s="1191"/>
      <c r="CP151" s="1191"/>
      <c r="CQ151" s="1191"/>
      <c r="CR151" s="1191"/>
      <c r="CS151" s="1191"/>
      <c r="CT151" s="1191"/>
      <c r="CU151" s="390"/>
      <c r="DD151" s="16"/>
      <c r="DE151" s="16"/>
      <c r="DF151" s="16"/>
      <c r="DG151" s="16"/>
      <c r="DH151" s="16"/>
      <c r="DI151" s="1593"/>
      <c r="DJ151" s="1163"/>
      <c r="DM151" s="72" t="s">
        <v>1758</v>
      </c>
      <c r="DN151" s="72" t="s">
        <v>1763</v>
      </c>
      <c r="EG151" s="78"/>
      <c r="EH151" s="78"/>
      <c r="EI151" s="78"/>
      <c r="EJ151" s="78"/>
      <c r="EK151" s="78"/>
      <c r="FV151" s="78"/>
      <c r="FW151" s="78"/>
      <c r="FX151" s="78"/>
      <c r="FY151" s="78"/>
      <c r="FZ151" s="78"/>
    </row>
    <row r="152" spans="1:183" s="78" customFormat="1" ht="27" customHeight="1" thickBot="1" x14ac:dyDescent="0.2">
      <c r="A152" s="1201"/>
      <c r="B152" s="1201"/>
      <c r="C152" s="1201"/>
      <c r="D152" s="1201"/>
      <c r="E152" s="1202"/>
      <c r="F152" s="652"/>
      <c r="G152" s="652"/>
      <c r="H152" s="652"/>
      <c r="I152" s="1249"/>
      <c r="J152" s="1215"/>
      <c r="K152" s="1216"/>
      <c r="L152" s="1216"/>
      <c r="M152" s="1273" t="s">
        <v>264</v>
      </c>
      <c r="N152" s="1273"/>
      <c r="O152" s="1273"/>
      <c r="P152" s="1273"/>
      <c r="Q152" s="1273"/>
      <c r="R152" s="1273"/>
      <c r="S152" s="1273"/>
      <c r="T152" s="1273"/>
      <c r="U152" s="1273"/>
      <c r="V152" s="1273"/>
      <c r="W152" s="1273"/>
      <c r="X152" s="1273"/>
      <c r="Y152" s="1273"/>
      <c r="Z152" s="1273"/>
      <c r="AA152" s="1273"/>
      <c r="AB152" s="2590"/>
      <c r="AC152" s="2590"/>
      <c r="AD152" s="2590"/>
      <c r="AE152" s="2237"/>
      <c r="AF152" s="2237"/>
      <c r="AG152" s="2237"/>
      <c r="AH152" s="2237"/>
      <c r="AI152" s="2237"/>
      <c r="AJ152" s="2237"/>
      <c r="AK152" s="2237"/>
      <c r="AL152" s="2237"/>
      <c r="AM152" s="1438"/>
      <c r="AN152" s="1438"/>
      <c r="AO152" s="1525"/>
      <c r="AP152" s="1438"/>
      <c r="AQ152" s="1438"/>
      <c r="AR152" s="1438"/>
      <c r="AS152" s="1438"/>
      <c r="AT152" s="1438"/>
      <c r="AU152" s="1438"/>
      <c r="AV152" s="1438"/>
      <c r="AW152" s="1438"/>
      <c r="AX152" s="1438"/>
      <c r="AY152" s="1438"/>
      <c r="AZ152" s="1438"/>
      <c r="BA152" s="1438"/>
      <c r="BB152" s="1438"/>
      <c r="BC152" s="1438"/>
      <c r="BD152" s="1438"/>
      <c r="BE152" s="1438"/>
      <c r="BF152" s="1438"/>
      <c r="BG152" s="1438"/>
      <c r="BH152" s="1216"/>
      <c r="BI152" s="1216"/>
      <c r="BJ152" s="1216"/>
      <c r="BK152" s="1216"/>
      <c r="BL152" s="1250"/>
      <c r="BM152" s="1250"/>
      <c r="BN152" s="1250"/>
      <c r="BO152" s="1250"/>
      <c r="BP152" s="1250"/>
      <c r="BQ152" s="1250"/>
      <c r="BR152" s="1250"/>
      <c r="BS152" s="1250"/>
      <c r="BT152" s="1250"/>
      <c r="BU152" s="395"/>
      <c r="BV152" s="405" t="s">
        <v>1892</v>
      </c>
      <c r="BW152" s="405" t="s">
        <v>1903</v>
      </c>
      <c r="BX152" s="1177"/>
      <c r="BY152" s="1177"/>
      <c r="BZ152" s="1177"/>
      <c r="CA152" s="1177"/>
      <c r="CB152" s="1177"/>
      <c r="CC152" s="1177"/>
      <c r="CD152" s="1177"/>
      <c r="CE152" s="1177"/>
      <c r="CF152" s="1177"/>
      <c r="CG152" s="1177"/>
      <c r="CH152" s="1177"/>
      <c r="CI152" s="1177"/>
      <c r="CJ152" s="1177"/>
      <c r="CK152" s="1177"/>
      <c r="CL152" s="1177"/>
      <c r="CM152" s="1177"/>
      <c r="CN152" s="1177"/>
      <c r="CO152" s="1177"/>
      <c r="CP152" s="1177"/>
      <c r="CQ152" s="1177"/>
      <c r="CR152" s="1177"/>
      <c r="CS152" s="1177"/>
      <c r="CT152" s="1177"/>
      <c r="CU152" s="1178"/>
      <c r="CV152" s="388"/>
      <c r="CW152" s="388"/>
      <c r="CX152" s="207"/>
      <c r="CY152" s="207"/>
      <c r="CZ152" s="207"/>
      <c r="DA152" s="207"/>
      <c r="DB152" s="207"/>
      <c r="DC152" s="15"/>
      <c r="DD152" s="16"/>
      <c r="DE152" s="16"/>
      <c r="DF152" s="16"/>
      <c r="DG152" s="16"/>
      <c r="DH152" s="16"/>
      <c r="DI152" s="1593"/>
      <c r="DJ152" s="1163"/>
      <c r="DK152" s="1163"/>
      <c r="DL152" s="77"/>
      <c r="DM152" s="97">
        <f>COUNTIFS(AB152:AD157,"適用")</f>
        <v>0</v>
      </c>
      <c r="DN152" s="86">
        <f t="shared" ref="DN152:DN157" si="9">IF(AB152="適用",1,0)</f>
        <v>0</v>
      </c>
      <c r="DO152" s="151" t="s">
        <v>264</v>
      </c>
      <c r="DP152" s="56" t="s">
        <v>265</v>
      </c>
      <c r="DQ152" s="56" t="s">
        <v>266</v>
      </c>
      <c r="DR152" s="56" t="s">
        <v>267</v>
      </c>
      <c r="DS152" s="56" t="s">
        <v>268</v>
      </c>
      <c r="DT152" s="56" t="s">
        <v>248</v>
      </c>
      <c r="FO152" s="579"/>
      <c r="GA152" s="77"/>
    </row>
    <row r="153" spans="1:183" s="78" customFormat="1" ht="27" customHeight="1" x14ac:dyDescent="0.15">
      <c r="A153" s="1201"/>
      <c r="B153" s="1201"/>
      <c r="C153" s="1201"/>
      <c r="D153" s="1201"/>
      <c r="E153" s="1202"/>
      <c r="F153" s="652"/>
      <c r="G153" s="652"/>
      <c r="H153" s="652"/>
      <c r="I153" s="1249"/>
      <c r="J153" s="1215"/>
      <c r="K153" s="1216"/>
      <c r="L153" s="1216"/>
      <c r="M153" s="1274" t="s">
        <v>265</v>
      </c>
      <c r="N153" s="1274"/>
      <c r="O153" s="1274"/>
      <c r="P153" s="1274"/>
      <c r="Q153" s="1274"/>
      <c r="R153" s="1274"/>
      <c r="S153" s="1274"/>
      <c r="T153" s="1274"/>
      <c r="U153" s="1274"/>
      <c r="V153" s="1274"/>
      <c r="W153" s="1274"/>
      <c r="X153" s="1274"/>
      <c r="Y153" s="1274"/>
      <c r="Z153" s="1274"/>
      <c r="AA153" s="1274"/>
      <c r="AB153" s="2201"/>
      <c r="AC153" s="2201"/>
      <c r="AD153" s="2201"/>
      <c r="AE153" s="1216"/>
      <c r="AF153" s="1216"/>
      <c r="AG153" s="1216"/>
      <c r="AH153" s="1216"/>
      <c r="AI153" s="1216"/>
      <c r="AJ153" s="1216"/>
      <c r="AK153" s="1216"/>
      <c r="AL153" s="1216"/>
      <c r="AM153" s="1216"/>
      <c r="AN153" s="1216"/>
      <c r="AO153" s="1216"/>
      <c r="AP153" s="1216"/>
      <c r="AQ153" s="1216"/>
      <c r="AR153" s="1216"/>
      <c r="AS153" s="1216"/>
      <c r="AT153" s="1216"/>
      <c r="AU153" s="1216"/>
      <c r="AV153" s="1216"/>
      <c r="AW153" s="1216"/>
      <c r="AX153" s="1216"/>
      <c r="AY153" s="1216"/>
      <c r="AZ153" s="1216"/>
      <c r="BA153" s="1216"/>
      <c r="BB153" s="1216"/>
      <c r="BC153" s="1216"/>
      <c r="BD153" s="1216"/>
      <c r="BE153" s="1216"/>
      <c r="BF153" s="1216"/>
      <c r="BG153" s="1216"/>
      <c r="BH153" s="1216"/>
      <c r="BI153" s="1216"/>
      <c r="BJ153" s="1216"/>
      <c r="BK153" s="1216"/>
      <c r="BL153" s="1216"/>
      <c r="BM153" s="1216"/>
      <c r="BN153" s="1216"/>
      <c r="BO153" s="1216"/>
      <c r="BP153" s="1216"/>
      <c r="BQ153" s="1216"/>
      <c r="BR153" s="1216"/>
      <c r="BS153" s="1216"/>
      <c r="BT153" s="1216"/>
      <c r="BU153" s="395"/>
      <c r="BV153" s="1177"/>
      <c r="BW153" s="1177"/>
      <c r="BX153" s="1177"/>
      <c r="BY153" s="1177"/>
      <c r="BZ153" s="1177"/>
      <c r="CA153" s="1177"/>
      <c r="CB153" s="1177"/>
      <c r="CC153" s="1177"/>
      <c r="CD153" s="1177"/>
      <c r="CE153" s="1177"/>
      <c r="CF153" s="1177"/>
      <c r="CG153" s="1177"/>
      <c r="CH153" s="1177"/>
      <c r="CI153" s="1177"/>
      <c r="CJ153" s="1177"/>
      <c r="CK153" s="1177"/>
      <c r="CL153" s="1177"/>
      <c r="CM153" s="1177"/>
      <c r="CN153" s="1177"/>
      <c r="CO153" s="1177"/>
      <c r="CP153" s="1177"/>
      <c r="CQ153" s="1177"/>
      <c r="CR153" s="1177"/>
      <c r="CS153" s="1177"/>
      <c r="CT153" s="1177"/>
      <c r="CU153" s="1178"/>
      <c r="CV153" s="388"/>
      <c r="CW153" s="388"/>
      <c r="CX153" s="207"/>
      <c r="CY153" s="207"/>
      <c r="CZ153" s="207"/>
      <c r="DA153" s="207"/>
      <c r="DB153" s="207"/>
      <c r="DC153" s="15"/>
      <c r="DD153" s="16"/>
      <c r="DE153" s="16"/>
      <c r="DF153" s="16"/>
      <c r="DG153" s="16"/>
      <c r="DH153" s="16"/>
      <c r="DI153" s="1593"/>
      <c r="DJ153" s="1163"/>
      <c r="DK153" s="1163"/>
      <c r="DL153" s="77"/>
      <c r="DM153" s="77"/>
      <c r="DN153" s="86">
        <f t="shared" si="9"/>
        <v>0</v>
      </c>
      <c r="DO153" s="113" t="str">
        <f>IF($AB152="適用","レ","")</f>
        <v/>
      </c>
      <c r="DP153" s="86" t="str">
        <f>IF($AB153="適用","レ","")</f>
        <v/>
      </c>
      <c r="DQ153" s="86" t="str">
        <f>IF($AB154="適用","レ","")</f>
        <v/>
      </c>
      <c r="DR153" s="86" t="str">
        <f>IF($AB155="適用","レ","")</f>
        <v/>
      </c>
      <c r="DS153" s="86" t="str">
        <f>IF($AB156="適用","レ","")</f>
        <v/>
      </c>
      <c r="DT153" s="86" t="str">
        <f>IF($AB157="適用","レ","")</f>
        <v/>
      </c>
      <c r="FO153" s="579"/>
      <c r="GA153" s="77"/>
    </row>
    <row r="154" spans="1:183" s="78" customFormat="1" ht="27" customHeight="1" x14ac:dyDescent="0.15">
      <c r="A154" s="1201"/>
      <c r="B154" s="1201"/>
      <c r="C154" s="1201"/>
      <c r="D154" s="1201"/>
      <c r="E154" s="1202"/>
      <c r="F154" s="652"/>
      <c r="G154" s="652"/>
      <c r="H154" s="652"/>
      <c r="I154" s="1249"/>
      <c r="J154" s="1215"/>
      <c r="K154" s="1216"/>
      <c r="L154" s="1216"/>
      <c r="M154" s="1274" t="s">
        <v>266</v>
      </c>
      <c r="N154" s="1274"/>
      <c r="O154" s="1274"/>
      <c r="P154" s="1274"/>
      <c r="Q154" s="1274"/>
      <c r="R154" s="1274"/>
      <c r="S154" s="1274"/>
      <c r="T154" s="1274"/>
      <c r="U154" s="1274"/>
      <c r="V154" s="1274"/>
      <c r="W154" s="1274"/>
      <c r="X154" s="1274"/>
      <c r="Y154" s="1274"/>
      <c r="Z154" s="1274"/>
      <c r="AA154" s="1274"/>
      <c r="AB154" s="2201"/>
      <c r="AC154" s="2201"/>
      <c r="AD154" s="2201"/>
      <c r="AE154" s="1216" t="s">
        <v>432</v>
      </c>
      <c r="AF154" s="2561"/>
      <c r="AG154" s="2561"/>
      <c r="AH154" s="2561"/>
      <c r="AI154" s="2561"/>
      <c r="AJ154" s="2561"/>
      <c r="AK154" s="2561"/>
      <c r="AL154" s="1216" t="s">
        <v>353</v>
      </c>
      <c r="AM154" s="1216"/>
      <c r="AN154" s="1275" t="str">
        <f>IF(AND(AB154="適用",AF154=""),"←対象階を入力してください","")</f>
        <v/>
      </c>
      <c r="AO154" s="1216"/>
      <c r="AP154" s="1216"/>
      <c r="AQ154" s="1216"/>
      <c r="AR154" s="1216"/>
      <c r="AS154" s="1216"/>
      <c r="AT154" s="1216"/>
      <c r="AU154" s="1216"/>
      <c r="AV154" s="1216"/>
      <c r="AW154" s="1275"/>
      <c r="AX154" s="1216"/>
      <c r="AY154" s="1216"/>
      <c r="AZ154" s="1216"/>
      <c r="BA154" s="1216"/>
      <c r="BB154" s="1216"/>
      <c r="BC154" s="1216"/>
      <c r="BD154" s="1216"/>
      <c r="BE154" s="1216"/>
      <c r="BF154" s="1216"/>
      <c r="BG154" s="1216"/>
      <c r="BH154" s="1216"/>
      <c r="BI154" s="1216"/>
      <c r="BJ154" s="1216"/>
      <c r="BK154" s="1216"/>
      <c r="BL154" s="1216"/>
      <c r="BM154" s="1216"/>
      <c r="BN154" s="1216"/>
      <c r="BO154" s="1216"/>
      <c r="BP154" s="1216"/>
      <c r="BQ154" s="1216"/>
      <c r="BR154" s="1216"/>
      <c r="BS154" s="1216"/>
      <c r="BT154" s="1216"/>
      <c r="BU154" s="395"/>
      <c r="BV154" s="1177"/>
      <c r="BW154" s="1177"/>
      <c r="BX154" s="1177"/>
      <c r="BY154" s="1177"/>
      <c r="BZ154" s="1177"/>
      <c r="CA154" s="1177"/>
      <c r="CB154" s="1177"/>
      <c r="CC154" s="1177"/>
      <c r="CD154" s="1177"/>
      <c r="CE154" s="1177"/>
      <c r="CF154" s="1177"/>
      <c r="CG154" s="1177"/>
      <c r="CH154" s="1177"/>
      <c r="CI154" s="1177"/>
      <c r="CJ154" s="1177"/>
      <c r="CK154" s="1177"/>
      <c r="CL154" s="1177"/>
      <c r="CM154" s="1177"/>
      <c r="CN154" s="1177"/>
      <c r="CO154" s="1177"/>
      <c r="CP154" s="1177"/>
      <c r="CQ154" s="1177"/>
      <c r="CR154" s="1177"/>
      <c r="CS154" s="1177"/>
      <c r="CT154" s="1177"/>
      <c r="CU154" s="1178"/>
      <c r="CV154" s="388"/>
      <c r="CW154" s="388"/>
      <c r="CX154" s="207"/>
      <c r="CY154" s="207"/>
      <c r="CZ154" s="207"/>
      <c r="DA154" s="207"/>
      <c r="DB154" s="207"/>
      <c r="DC154" s="15"/>
      <c r="DD154" s="16"/>
      <c r="DE154" s="16"/>
      <c r="DF154" s="16"/>
      <c r="DG154" s="16"/>
      <c r="DH154" s="16"/>
      <c r="DI154" s="1593"/>
      <c r="DJ154" s="1163"/>
      <c r="DK154" s="1163"/>
      <c r="DL154" s="77"/>
      <c r="DM154" s="77"/>
      <c r="DN154" s="86">
        <f t="shared" si="9"/>
        <v>0</v>
      </c>
      <c r="DO154" s="77"/>
      <c r="DP154" s="77"/>
      <c r="DQ154" s="77"/>
      <c r="FO154" s="579"/>
      <c r="GA154" s="77"/>
    </row>
    <row r="155" spans="1:183" s="78" customFormat="1" ht="27" customHeight="1" x14ac:dyDescent="0.15">
      <c r="A155" s="1201"/>
      <c r="B155" s="1201"/>
      <c r="C155" s="1201"/>
      <c r="D155" s="1201"/>
      <c r="E155" s="1202"/>
      <c r="F155" s="652"/>
      <c r="G155" s="652"/>
      <c r="H155" s="652"/>
      <c r="I155" s="1249"/>
      <c r="J155" s="1215"/>
      <c r="K155" s="1216"/>
      <c r="L155" s="1216"/>
      <c r="M155" s="1274" t="s">
        <v>267</v>
      </c>
      <c r="N155" s="1274"/>
      <c r="O155" s="1274"/>
      <c r="P155" s="1274"/>
      <c r="Q155" s="1274"/>
      <c r="R155" s="1274"/>
      <c r="S155" s="1274"/>
      <c r="T155" s="1274"/>
      <c r="U155" s="1274"/>
      <c r="V155" s="1274"/>
      <c r="W155" s="1274"/>
      <c r="X155" s="1274"/>
      <c r="Y155" s="1274"/>
      <c r="Z155" s="1274"/>
      <c r="AA155" s="1274"/>
      <c r="AB155" s="2201"/>
      <c r="AC155" s="2201"/>
      <c r="AD155" s="2201"/>
      <c r="AE155" s="1216" t="s">
        <v>432</v>
      </c>
      <c r="AF155" s="2561"/>
      <c r="AG155" s="2561"/>
      <c r="AH155" s="2561"/>
      <c r="AI155" s="2561"/>
      <c r="AJ155" s="2561"/>
      <c r="AK155" s="2561"/>
      <c r="AL155" s="1216" t="s">
        <v>353</v>
      </c>
      <c r="AM155" s="1216"/>
      <c r="AN155" s="1275" t="str">
        <f>IF(AND(AB155="適用",AF155=""),"←対象階を入力してください","")</f>
        <v/>
      </c>
      <c r="AO155" s="1216"/>
      <c r="AP155" s="1216"/>
      <c r="AQ155" s="1216"/>
      <c r="AR155" s="1216"/>
      <c r="AS155" s="1216"/>
      <c r="AT155" s="1216"/>
      <c r="AU155" s="1216"/>
      <c r="AV155" s="1216"/>
      <c r="AW155" s="1275"/>
      <c r="AX155" s="1216"/>
      <c r="AY155" s="1216"/>
      <c r="AZ155" s="1216"/>
      <c r="BA155" s="1216"/>
      <c r="BB155" s="1216"/>
      <c r="BC155" s="1216"/>
      <c r="BD155" s="1216"/>
      <c r="BE155" s="1216"/>
      <c r="BF155" s="1216"/>
      <c r="BG155" s="1216"/>
      <c r="BH155" s="1216"/>
      <c r="BI155" s="1216"/>
      <c r="BJ155" s="1216"/>
      <c r="BK155" s="1216"/>
      <c r="BL155" s="1216"/>
      <c r="BM155" s="1216"/>
      <c r="BN155" s="1216"/>
      <c r="BO155" s="1216"/>
      <c r="BP155" s="1216"/>
      <c r="BQ155" s="1216"/>
      <c r="BR155" s="1216"/>
      <c r="BS155" s="1216"/>
      <c r="BT155" s="1216"/>
      <c r="BU155" s="395"/>
      <c r="BV155" s="1177"/>
      <c r="BW155" s="1177"/>
      <c r="BX155" s="1177"/>
      <c r="BY155" s="1177"/>
      <c r="BZ155" s="1177"/>
      <c r="CA155" s="1177"/>
      <c r="CB155" s="1177"/>
      <c r="CC155" s="1177"/>
      <c r="CD155" s="1177"/>
      <c r="CE155" s="1177"/>
      <c r="CF155" s="1177"/>
      <c r="CG155" s="1177"/>
      <c r="CH155" s="1177"/>
      <c r="CI155" s="1177"/>
      <c r="CJ155" s="1177"/>
      <c r="CK155" s="1177"/>
      <c r="CL155" s="1177"/>
      <c r="CM155" s="1177"/>
      <c r="CN155" s="1177"/>
      <c r="CO155" s="1177"/>
      <c r="CP155" s="1177"/>
      <c r="CQ155" s="1177"/>
      <c r="CR155" s="1177"/>
      <c r="CS155" s="1177"/>
      <c r="CT155" s="1177"/>
      <c r="CU155" s="1178"/>
      <c r="CV155" s="388"/>
      <c r="CW155" s="388"/>
      <c r="CX155" s="207"/>
      <c r="CY155" s="207"/>
      <c r="CZ155" s="207"/>
      <c r="DA155" s="207"/>
      <c r="DB155" s="207"/>
      <c r="DC155" s="15"/>
      <c r="DD155" s="16"/>
      <c r="DE155" s="16"/>
      <c r="DF155" s="16"/>
      <c r="DG155" s="16"/>
      <c r="DH155" s="16"/>
      <c r="DI155" s="1593"/>
      <c r="DJ155" s="1163"/>
      <c r="DK155" s="1163"/>
      <c r="DL155" s="77"/>
      <c r="DM155" s="77"/>
      <c r="DN155" s="86">
        <f t="shared" si="9"/>
        <v>0</v>
      </c>
      <c r="DO155" s="77"/>
      <c r="DP155" s="77"/>
      <c r="DQ155" s="77"/>
      <c r="EG155" s="73"/>
      <c r="EH155" s="73"/>
      <c r="EI155" s="73"/>
      <c r="EJ155" s="73"/>
      <c r="EK155" s="73"/>
      <c r="FO155" s="579"/>
      <c r="FV155" s="73"/>
      <c r="FW155" s="73"/>
      <c r="FX155" s="73"/>
      <c r="FY155" s="73"/>
      <c r="FZ155" s="73"/>
      <c r="GA155" s="77"/>
    </row>
    <row r="156" spans="1:183" s="78" customFormat="1" ht="27" customHeight="1" x14ac:dyDescent="0.15">
      <c r="A156" s="1201"/>
      <c r="B156" s="1201"/>
      <c r="C156" s="1201"/>
      <c r="D156" s="1201"/>
      <c r="E156" s="1202"/>
      <c r="F156" s="652"/>
      <c r="G156" s="652"/>
      <c r="H156" s="652"/>
      <c r="I156" s="1249"/>
      <c r="J156" s="1215"/>
      <c r="K156" s="1216"/>
      <c r="L156" s="1216"/>
      <c r="M156" s="1274" t="s">
        <v>268</v>
      </c>
      <c r="N156" s="1274"/>
      <c r="O156" s="1274"/>
      <c r="P156" s="1274"/>
      <c r="Q156" s="1274"/>
      <c r="R156" s="1274"/>
      <c r="S156" s="1274"/>
      <c r="T156" s="1274"/>
      <c r="U156" s="1274"/>
      <c r="V156" s="1274"/>
      <c r="W156" s="1274"/>
      <c r="X156" s="1274"/>
      <c r="Y156" s="1274"/>
      <c r="Z156" s="1274"/>
      <c r="AA156" s="1274"/>
      <c r="AB156" s="2201"/>
      <c r="AC156" s="2201"/>
      <c r="AD156" s="2201"/>
      <c r="AE156" s="1216"/>
      <c r="AF156" s="1216"/>
      <c r="AG156" s="1216"/>
      <c r="AH156" s="1216"/>
      <c r="AI156" s="1216"/>
      <c r="AJ156" s="1216"/>
      <c r="AK156" s="1216"/>
      <c r="AL156" s="1216"/>
      <c r="AM156" s="1216"/>
      <c r="AN156" s="1216"/>
      <c r="AO156" s="1216"/>
      <c r="AP156" s="1216"/>
      <c r="AQ156" s="1216"/>
      <c r="AR156" s="1216"/>
      <c r="AS156" s="1216"/>
      <c r="AT156" s="1216"/>
      <c r="AU156" s="1216"/>
      <c r="AV156" s="1216"/>
      <c r="AW156" s="1216"/>
      <c r="AX156" s="1216"/>
      <c r="AY156" s="1216"/>
      <c r="AZ156" s="1216"/>
      <c r="BA156" s="1216"/>
      <c r="BB156" s="1216"/>
      <c r="BC156" s="1216"/>
      <c r="BD156" s="1216"/>
      <c r="BE156" s="1216"/>
      <c r="BF156" s="1216"/>
      <c r="BG156" s="1216"/>
      <c r="BH156" s="1216"/>
      <c r="BI156" s="1216"/>
      <c r="BJ156" s="1216"/>
      <c r="BK156" s="1216"/>
      <c r="BL156" s="1216"/>
      <c r="BM156" s="1216"/>
      <c r="BN156" s="1216"/>
      <c r="BO156" s="1216"/>
      <c r="BP156" s="1216"/>
      <c r="BQ156" s="1216"/>
      <c r="BR156" s="1216"/>
      <c r="BS156" s="1216"/>
      <c r="BT156" s="1216"/>
      <c r="BU156" s="395"/>
      <c r="BV156" s="1177"/>
      <c r="BW156" s="1177"/>
      <c r="BX156" s="1177"/>
      <c r="BY156" s="1177"/>
      <c r="BZ156" s="1177"/>
      <c r="CA156" s="1177"/>
      <c r="CB156" s="1177"/>
      <c r="CC156" s="1177"/>
      <c r="CD156" s="1177"/>
      <c r="CE156" s="1177"/>
      <c r="CF156" s="1177"/>
      <c r="CG156" s="1177"/>
      <c r="CH156" s="1177"/>
      <c r="CI156" s="1177"/>
      <c r="CJ156" s="1177"/>
      <c r="CK156" s="1177"/>
      <c r="CL156" s="1177"/>
      <c r="CM156" s="1177"/>
      <c r="CN156" s="1177"/>
      <c r="CO156" s="1177"/>
      <c r="CP156" s="1177"/>
      <c r="CQ156" s="1177"/>
      <c r="CR156" s="1177"/>
      <c r="CS156" s="1177"/>
      <c r="CT156" s="1177"/>
      <c r="CU156" s="1178"/>
      <c r="CV156" s="388"/>
      <c r="CW156" s="388"/>
      <c r="CX156" s="207"/>
      <c r="CY156" s="207"/>
      <c r="CZ156" s="207"/>
      <c r="DA156" s="207"/>
      <c r="DB156" s="207"/>
      <c r="DC156" s="15"/>
      <c r="DD156" s="16"/>
      <c r="DE156" s="16"/>
      <c r="DF156" s="16"/>
      <c r="DG156" s="16"/>
      <c r="DH156" s="16"/>
      <c r="DI156" s="1593"/>
      <c r="DJ156" s="1163"/>
      <c r="DK156" s="1163"/>
      <c r="DL156" s="77"/>
      <c r="DM156" s="77"/>
      <c r="DN156" s="86">
        <f t="shared" si="9"/>
        <v>0</v>
      </c>
      <c r="DO156" s="77"/>
      <c r="DP156" s="77"/>
      <c r="DQ156" s="77"/>
      <c r="EG156" s="73"/>
      <c r="EH156" s="73"/>
      <c r="EI156" s="73"/>
      <c r="EJ156" s="73"/>
      <c r="EK156" s="73"/>
      <c r="FO156" s="579"/>
      <c r="FV156" s="73"/>
      <c r="FW156" s="73"/>
      <c r="FX156" s="73"/>
      <c r="FY156" s="73"/>
      <c r="FZ156" s="73"/>
      <c r="GA156" s="77"/>
    </row>
    <row r="157" spans="1:183" s="78" customFormat="1" ht="27" customHeight="1" thickBot="1" x14ac:dyDescent="0.2">
      <c r="A157" s="1201"/>
      <c r="B157" s="1201"/>
      <c r="C157" s="1201"/>
      <c r="D157" s="1201"/>
      <c r="E157" s="1202"/>
      <c r="F157" s="652"/>
      <c r="G157" s="652"/>
      <c r="H157" s="652"/>
      <c r="I157" s="1249"/>
      <c r="J157" s="1221"/>
      <c r="K157" s="1222"/>
      <c r="L157" s="1222"/>
      <c r="M157" s="1276" t="s">
        <v>248</v>
      </c>
      <c r="N157" s="1276"/>
      <c r="O157" s="1276"/>
      <c r="P157" s="1276"/>
      <c r="Q157" s="1276"/>
      <c r="R157" s="1276"/>
      <c r="S157" s="1276"/>
      <c r="T157" s="1276"/>
      <c r="U157" s="1276"/>
      <c r="V157" s="1276"/>
      <c r="W157" s="1276"/>
      <c r="X157" s="1276"/>
      <c r="Y157" s="1276"/>
      <c r="Z157" s="1276"/>
      <c r="AA157" s="1276"/>
      <c r="AB157" s="2505"/>
      <c r="AC157" s="2505"/>
      <c r="AD157" s="2505"/>
      <c r="AE157" s="1222" t="s">
        <v>432</v>
      </c>
      <c r="AF157" s="2562"/>
      <c r="AG157" s="2563"/>
      <c r="AH157" s="2563"/>
      <c r="AI157" s="2563"/>
      <c r="AJ157" s="2563"/>
      <c r="AK157" s="2563"/>
      <c r="AL157" s="2563"/>
      <c r="AM157" s="2563"/>
      <c r="AN157" s="2563"/>
      <c r="AO157" s="2563"/>
      <c r="AP157" s="2563"/>
      <c r="AQ157" s="2563"/>
      <c r="AR157" s="2563"/>
      <c r="AS157" s="2563"/>
      <c r="AT157" s="2563"/>
      <c r="AU157" s="2563"/>
      <c r="AV157" s="2563"/>
      <c r="AW157" s="2563"/>
      <c r="AX157" s="2563"/>
      <c r="AY157" s="2563"/>
      <c r="AZ157" s="2563"/>
      <c r="BA157" s="1222" t="s">
        <v>242</v>
      </c>
      <c r="BB157" s="2549" t="str">
        <f>IF(AND(AB157="適用",AF157=""),"←「その他」の場合、検証法の入力が必要です","")</f>
        <v/>
      </c>
      <c r="BC157" s="2550"/>
      <c r="BD157" s="2550"/>
      <c r="BE157" s="2550"/>
      <c r="BF157" s="2550"/>
      <c r="BG157" s="2550"/>
      <c r="BH157" s="2550"/>
      <c r="BI157" s="2550"/>
      <c r="BJ157" s="2550"/>
      <c r="BK157" s="2550"/>
      <c r="BL157" s="2550"/>
      <c r="BM157" s="2550"/>
      <c r="BN157" s="2550"/>
      <c r="BO157" s="2550"/>
      <c r="BP157" s="2550"/>
      <c r="BQ157" s="2550"/>
      <c r="BR157" s="2550"/>
      <c r="BS157" s="2550"/>
      <c r="BT157" s="2550"/>
      <c r="BU157" s="585"/>
      <c r="BV157" s="1175"/>
      <c r="BW157" s="1175"/>
      <c r="BX157" s="1175"/>
      <c r="BY157" s="1175"/>
      <c r="BZ157" s="1175"/>
      <c r="CA157" s="1175"/>
      <c r="CB157" s="1175"/>
      <c r="CC157" s="1175"/>
      <c r="CD157" s="1175"/>
      <c r="CE157" s="1175"/>
      <c r="CF157" s="1175"/>
      <c r="CG157" s="1175"/>
      <c r="CH157" s="1175"/>
      <c r="CI157" s="1175"/>
      <c r="CJ157" s="1175"/>
      <c r="CK157" s="1175"/>
      <c r="CL157" s="1175"/>
      <c r="CM157" s="1175"/>
      <c r="CN157" s="1175"/>
      <c r="CO157" s="1175"/>
      <c r="CP157" s="1175"/>
      <c r="CQ157" s="1175"/>
      <c r="CR157" s="1175"/>
      <c r="CS157" s="1175"/>
      <c r="CT157" s="1175"/>
      <c r="CU157" s="1176"/>
      <c r="CV157" s="388"/>
      <c r="CW157" s="388"/>
      <c r="CX157" s="207"/>
      <c r="CY157" s="207"/>
      <c r="CZ157" s="207"/>
      <c r="DA157" s="207"/>
      <c r="DB157" s="207"/>
      <c r="DC157" s="15"/>
      <c r="DD157" s="16"/>
      <c r="DE157" s="16"/>
      <c r="DF157" s="16"/>
      <c r="DG157" s="16"/>
      <c r="DH157" s="16"/>
      <c r="DI157" s="1593"/>
      <c r="DJ157" s="1163"/>
      <c r="DK157" s="1163"/>
      <c r="DL157" s="77"/>
      <c r="DM157" s="77"/>
      <c r="DN157" s="86">
        <f t="shared" si="9"/>
        <v>0</v>
      </c>
      <c r="DO157" s="77"/>
      <c r="DP157" s="77"/>
      <c r="DQ157" s="77"/>
      <c r="FO157" s="579"/>
      <c r="GA157" s="77"/>
    </row>
    <row r="158" spans="1:183" ht="15" customHeight="1" x14ac:dyDescent="0.15">
      <c r="A158" s="1201"/>
      <c r="B158" s="1201"/>
      <c r="C158" s="1201"/>
      <c r="D158" s="1201"/>
      <c r="E158" s="1202"/>
      <c r="BU158" s="578"/>
      <c r="BX158" s="401"/>
      <c r="DD158" s="16"/>
      <c r="DE158" s="16"/>
      <c r="DF158" s="16"/>
      <c r="DG158" s="16"/>
      <c r="DH158" s="16"/>
      <c r="DI158" s="1593"/>
      <c r="DJ158" s="1163"/>
      <c r="EG158" s="78"/>
      <c r="EH158" s="78"/>
      <c r="EI158" s="78"/>
      <c r="EJ158" s="78"/>
      <c r="EK158" s="78"/>
      <c r="FV158" s="78"/>
      <c r="FW158" s="78"/>
      <c r="FX158" s="78"/>
      <c r="FY158" s="78"/>
      <c r="FZ158" s="78"/>
    </row>
    <row r="159" spans="1:183" ht="2.1" customHeight="1" x14ac:dyDescent="0.15">
      <c r="A159" s="1201"/>
      <c r="B159" s="1201"/>
      <c r="C159" s="1201"/>
      <c r="D159" s="1201"/>
      <c r="E159" s="1202"/>
      <c r="BU159" s="578"/>
      <c r="BX159" s="401"/>
      <c r="DD159" s="16"/>
      <c r="DE159" s="16"/>
      <c r="DF159" s="16"/>
      <c r="DG159" s="16"/>
      <c r="DH159" s="16"/>
      <c r="DI159" s="1593"/>
      <c r="DJ159" s="1163"/>
      <c r="EG159" s="78"/>
      <c r="EH159" s="78"/>
      <c r="EI159" s="78"/>
      <c r="EJ159" s="78"/>
      <c r="EK159" s="78"/>
      <c r="FV159" s="78"/>
      <c r="FW159" s="78"/>
      <c r="FX159" s="78"/>
      <c r="FY159" s="78"/>
      <c r="FZ159" s="78"/>
    </row>
    <row r="160" spans="1:183" ht="2.1" customHeight="1" x14ac:dyDescent="0.15">
      <c r="A160" s="1201"/>
      <c r="B160" s="1201"/>
      <c r="C160" s="1201"/>
      <c r="D160" s="1201"/>
      <c r="E160" s="1202"/>
      <c r="BU160" s="578"/>
      <c r="BX160" s="401"/>
      <c r="DD160" s="16"/>
      <c r="DE160" s="16"/>
      <c r="DF160" s="16"/>
      <c r="DG160" s="16"/>
      <c r="DH160" s="16"/>
      <c r="DI160" s="1593"/>
      <c r="DJ160" s="1163"/>
      <c r="EG160" s="78"/>
      <c r="EH160" s="78"/>
      <c r="EI160" s="78"/>
      <c r="EJ160" s="78"/>
      <c r="EK160" s="78"/>
      <c r="FV160" s="78"/>
      <c r="FW160" s="78"/>
      <c r="FX160" s="78"/>
      <c r="FY160" s="78"/>
      <c r="FZ160" s="78"/>
    </row>
    <row r="161" spans="1:183" ht="2.1" customHeight="1" thickBot="1" x14ac:dyDescent="0.2">
      <c r="A161" s="1201"/>
      <c r="B161" s="1201"/>
      <c r="C161" s="1201"/>
      <c r="D161" s="1201"/>
      <c r="E161" s="1202"/>
      <c r="BU161" s="578"/>
      <c r="BX161" s="401"/>
      <c r="DD161" s="16"/>
      <c r="DE161" s="16"/>
      <c r="DF161" s="16"/>
      <c r="DG161" s="16"/>
      <c r="DH161" s="16"/>
      <c r="DI161" s="1593"/>
      <c r="DJ161" s="1163"/>
      <c r="EG161" s="78"/>
      <c r="EH161" s="78"/>
      <c r="EI161" s="78"/>
      <c r="EJ161" s="78"/>
      <c r="EK161" s="78"/>
      <c r="FV161" s="78"/>
      <c r="FW161" s="78"/>
      <c r="FX161" s="78"/>
      <c r="FY161" s="78"/>
      <c r="FZ161" s="78"/>
    </row>
    <row r="162" spans="1:183" ht="35.1" customHeight="1" thickBot="1" x14ac:dyDescent="0.6">
      <c r="A162" s="1201"/>
      <c r="B162" s="1201"/>
      <c r="C162" s="1201"/>
      <c r="D162" s="1201"/>
      <c r="E162" s="1202"/>
      <c r="J162" s="2156" t="s">
        <v>1082</v>
      </c>
      <c r="K162" s="2538"/>
      <c r="L162" s="2538"/>
      <c r="M162" s="2538"/>
      <c r="N162" s="2538"/>
      <c r="O162" s="2538"/>
      <c r="P162" s="2538"/>
      <c r="Q162" s="2538"/>
      <c r="R162" s="2538"/>
      <c r="S162" s="2538"/>
      <c r="T162" s="2538"/>
      <c r="U162" s="2538"/>
      <c r="V162" s="2538"/>
      <c r="W162" s="2538"/>
      <c r="X162" s="2538"/>
      <c r="Y162" s="2538"/>
      <c r="Z162" s="2538"/>
      <c r="AA162" s="2538"/>
      <c r="AB162" s="2538"/>
      <c r="AC162" s="2538"/>
      <c r="AD162" s="2538"/>
      <c r="AE162" s="2538"/>
      <c r="AF162" s="2538"/>
      <c r="AG162" s="2538"/>
      <c r="AH162" s="1409" t="s">
        <v>1020</v>
      </c>
      <c r="AI162" s="1408"/>
      <c r="AJ162" s="1408"/>
      <c r="AK162" s="1408"/>
      <c r="AL162" s="1408"/>
      <c r="AM162" s="1408"/>
      <c r="AN162" s="1408"/>
      <c r="AO162" s="1408"/>
      <c r="AP162" s="1408"/>
      <c r="AQ162" s="1408"/>
      <c r="AR162" s="1408"/>
      <c r="AS162" s="1408"/>
      <c r="AT162" s="1408"/>
      <c r="AU162" s="1408"/>
      <c r="AV162" s="1408"/>
      <c r="AW162" s="1408"/>
      <c r="AX162" s="1408"/>
      <c r="AY162" s="1408"/>
      <c r="AZ162" s="1408"/>
      <c r="BA162" s="1408"/>
      <c r="BB162" s="1408"/>
      <c r="BC162" s="1408"/>
      <c r="BD162" s="1408"/>
      <c r="BE162" s="1408"/>
      <c r="BF162" s="1408"/>
      <c r="BG162" s="2155" t="s">
        <v>2917</v>
      </c>
      <c r="BH162" s="2155"/>
      <c r="BI162" s="2155"/>
      <c r="BJ162" s="2155"/>
      <c r="BK162" s="2155"/>
      <c r="BL162" s="2155"/>
      <c r="BM162" s="2155"/>
      <c r="BN162" s="2155"/>
      <c r="BO162" s="2155"/>
      <c r="BP162" s="2155"/>
      <c r="BQ162" s="2155"/>
      <c r="BR162" s="2155"/>
      <c r="BS162" s="2155"/>
      <c r="BT162" s="2155"/>
      <c r="BU162" s="603"/>
      <c r="BV162" s="402"/>
      <c r="BW162" s="402"/>
      <c r="BX162" s="402"/>
      <c r="BY162" s="402"/>
      <c r="BZ162" s="402"/>
      <c r="CA162" s="402"/>
      <c r="CB162" s="402"/>
      <c r="CC162" s="402"/>
      <c r="CD162" s="402"/>
      <c r="CE162" s="402"/>
      <c r="CF162" s="402"/>
      <c r="CG162" s="402"/>
      <c r="CH162" s="402"/>
      <c r="CI162" s="402"/>
      <c r="CJ162" s="402"/>
      <c r="CK162" s="402"/>
      <c r="CL162" s="402"/>
      <c r="CM162" s="402"/>
      <c r="CN162" s="402"/>
      <c r="CO162" s="402"/>
      <c r="CP162" s="402"/>
      <c r="CQ162" s="402"/>
      <c r="CR162" s="402"/>
      <c r="CS162" s="402"/>
      <c r="CT162" s="402"/>
      <c r="CU162" s="403"/>
      <c r="DD162" s="16"/>
      <c r="DE162" s="16"/>
      <c r="DF162" s="84"/>
      <c r="DG162" s="84"/>
      <c r="DH162" s="84"/>
      <c r="DI162" s="1593"/>
      <c r="DJ162" s="1166"/>
      <c r="DM162" s="1436" t="str">
        <f>J162</f>
        <v>１１　増築、改築、用途変更等の経過</v>
      </c>
      <c r="DN162" s="72" t="s">
        <v>1648</v>
      </c>
      <c r="EG162" s="78"/>
      <c r="EH162" s="78"/>
      <c r="EI162" s="78"/>
      <c r="EJ162" s="78"/>
      <c r="EK162" s="78"/>
      <c r="FV162" s="78"/>
      <c r="FW162" s="78"/>
      <c r="FX162" s="78"/>
      <c r="FY162" s="78"/>
      <c r="FZ162" s="78"/>
    </row>
    <row r="163" spans="1:183" s="78" customFormat="1" ht="27" customHeight="1" thickBot="1" x14ac:dyDescent="0.2">
      <c r="A163" s="1201"/>
      <c r="B163" s="1201"/>
      <c r="C163" s="1201"/>
      <c r="D163" s="1201"/>
      <c r="E163" s="1202"/>
      <c r="F163" s="652"/>
      <c r="G163" s="652"/>
      <c r="H163" s="652"/>
      <c r="I163" s="1206"/>
      <c r="J163" s="1277"/>
      <c r="K163" s="1278"/>
      <c r="L163" s="1278"/>
      <c r="M163" s="2146" t="s">
        <v>708</v>
      </c>
      <c r="N163" s="2147"/>
      <c r="O163" s="2147"/>
      <c r="P163" s="2147"/>
      <c r="Q163" s="2147"/>
      <c r="R163" s="2147"/>
      <c r="S163" s="2147"/>
      <c r="T163" s="2147"/>
      <c r="U163" s="2147"/>
      <c r="V163" s="2147"/>
      <c r="W163" s="2147"/>
      <c r="X163" s="2147"/>
      <c r="Y163" s="2147"/>
      <c r="Z163" s="2147"/>
      <c r="AA163" s="2147"/>
      <c r="AB163" s="2564"/>
      <c r="AC163" s="2565"/>
      <c r="AD163" s="2565"/>
      <c r="AE163" s="2547"/>
      <c r="AF163" s="2547"/>
      <c r="AG163" s="2548"/>
      <c r="AH163" s="1279" t="s">
        <v>12</v>
      </c>
      <c r="AI163" s="1280"/>
      <c r="AJ163" s="2137"/>
      <c r="AK163" s="2137"/>
      <c r="AL163" s="2137"/>
      <c r="AM163" s="1273" t="s">
        <v>348</v>
      </c>
      <c r="AN163" s="1273"/>
      <c r="AO163" s="2137"/>
      <c r="AP163" s="2137"/>
      <c r="AQ163" s="2137"/>
      <c r="AR163" s="1250" t="s">
        <v>164</v>
      </c>
      <c r="AS163" s="1250"/>
      <c r="AT163" s="1250"/>
      <c r="AU163" s="1250"/>
      <c r="AV163" s="1250"/>
      <c r="AW163" s="1250"/>
      <c r="AX163" s="1250"/>
      <c r="AY163" s="1250"/>
      <c r="AZ163" s="1250"/>
      <c r="BA163" s="1250"/>
      <c r="BB163" s="1250"/>
      <c r="BC163" s="1250"/>
      <c r="BD163" s="1250"/>
      <c r="BE163" s="1250"/>
      <c r="BF163" s="1250"/>
      <c r="BG163" s="1250"/>
      <c r="BH163" s="1250"/>
      <c r="BI163" s="1250"/>
      <c r="BJ163" s="1250"/>
      <c r="BK163" s="1250"/>
      <c r="BL163" s="1250"/>
      <c r="BM163" s="1250"/>
      <c r="BN163" s="1250"/>
      <c r="BO163" s="1250"/>
      <c r="BP163" s="1250"/>
      <c r="BQ163" s="1250"/>
      <c r="BR163" s="1250"/>
      <c r="BS163" s="1250"/>
      <c r="BT163" s="1250"/>
      <c r="BU163" s="604"/>
      <c r="BV163" s="405" t="s">
        <v>1892</v>
      </c>
      <c r="BW163" s="2936" t="s">
        <v>3354</v>
      </c>
      <c r="BX163" s="2936"/>
      <c r="BY163" s="2936"/>
      <c r="BZ163" s="2936"/>
      <c r="CA163" s="2936"/>
      <c r="CB163" s="2936"/>
      <c r="CC163" s="2936"/>
      <c r="CD163" s="2936"/>
      <c r="CE163" s="2936"/>
      <c r="CF163" s="2936"/>
      <c r="CG163" s="2936"/>
      <c r="CH163" s="2936"/>
      <c r="CI163" s="2936"/>
      <c r="CJ163" s="2936"/>
      <c r="CK163" s="2936"/>
      <c r="CL163" s="2936"/>
      <c r="CM163" s="2936"/>
      <c r="CN163" s="2936"/>
      <c r="CO163" s="2936"/>
      <c r="CP163" s="2936"/>
      <c r="CQ163" s="2936"/>
      <c r="CR163" s="2936"/>
      <c r="CS163" s="2936"/>
      <c r="CT163" s="406"/>
      <c r="CU163" s="407"/>
      <c r="CV163" s="388"/>
      <c r="CW163" s="388"/>
      <c r="CX163" s="207"/>
      <c r="CY163" s="207"/>
      <c r="CZ163" s="207"/>
      <c r="DA163" s="207"/>
      <c r="DB163" s="207"/>
      <c r="DC163" s="15"/>
      <c r="DD163" s="16"/>
      <c r="DE163" s="16"/>
      <c r="DF163" s="84"/>
      <c r="DG163" s="84"/>
      <c r="DH163" s="84"/>
      <c r="DI163" s="1593"/>
      <c r="DJ163" s="1166"/>
      <c r="DK163" s="1163"/>
      <c r="DL163" s="77"/>
      <c r="DM163" s="197"/>
      <c r="DN163" s="83">
        <f>COUNTBLANK(AB163:AQ163)</f>
        <v>14</v>
      </c>
      <c r="DO163" s="1701" t="s">
        <v>3102</v>
      </c>
      <c r="DP163" s="77"/>
      <c r="DQ163" s="77"/>
      <c r="DS163" s="196"/>
      <c r="FO163" s="579"/>
      <c r="GA163" s="77"/>
    </row>
    <row r="164" spans="1:183" ht="27" customHeight="1" x14ac:dyDescent="0.15">
      <c r="A164" s="1201"/>
      <c r="B164" s="1201"/>
      <c r="C164" s="1201"/>
      <c r="D164" s="1201"/>
      <c r="E164" s="1202"/>
      <c r="J164" s="1281"/>
      <c r="K164" s="1227"/>
      <c r="L164" s="1227"/>
      <c r="M164" s="2192" t="s">
        <v>1021</v>
      </c>
      <c r="N164" s="2559"/>
      <c r="O164" s="2559"/>
      <c r="P164" s="2559"/>
      <c r="Q164" s="2559"/>
      <c r="R164" s="2559"/>
      <c r="S164" s="2559"/>
      <c r="T164" s="2559"/>
      <c r="U164" s="2559"/>
      <c r="V164" s="2559"/>
      <c r="W164" s="2559"/>
      <c r="X164" s="2559"/>
      <c r="Y164" s="2559"/>
      <c r="Z164" s="2559"/>
      <c r="AA164" s="2559"/>
      <c r="AB164" s="2572"/>
      <c r="AC164" s="2572"/>
      <c r="AD164" s="2572"/>
      <c r="AE164" s="2572"/>
      <c r="AF164" s="2572"/>
      <c r="AG164" s="2572"/>
      <c r="AH164" s="2572"/>
      <c r="AI164" s="2572"/>
      <c r="AJ164" s="2572"/>
      <c r="AK164" s="2572"/>
      <c r="AL164" s="2572"/>
      <c r="AM164" s="2572"/>
      <c r="AN164" s="2572"/>
      <c r="AO164" s="2572"/>
      <c r="AP164" s="2572"/>
      <c r="AQ164" s="2572"/>
      <c r="AR164" s="1282" t="s">
        <v>1608</v>
      </c>
      <c r="AS164" s="1283"/>
      <c r="AT164" s="1282"/>
      <c r="AU164" s="1284"/>
      <c r="AV164" s="1284"/>
      <c r="AW164" s="1284"/>
      <c r="AX164" s="1284"/>
      <c r="AY164" s="1284"/>
      <c r="AZ164" s="1284"/>
      <c r="BA164" s="1284"/>
      <c r="BB164" s="1284"/>
      <c r="BC164" s="1284"/>
      <c r="BD164" s="1284"/>
      <c r="BE164" s="1284"/>
      <c r="BF164" s="1284"/>
      <c r="BG164" s="1284"/>
      <c r="BH164" s="1284"/>
      <c r="BI164" s="1284"/>
      <c r="BJ164" s="1284"/>
      <c r="BK164" s="1284"/>
      <c r="BL164" s="1284"/>
      <c r="BM164" s="1284"/>
      <c r="BN164" s="1284"/>
      <c r="BO164" s="1284"/>
      <c r="BP164" s="1284"/>
      <c r="BQ164" s="1284"/>
      <c r="BR164" s="1284"/>
      <c r="BS164" s="1284"/>
      <c r="BT164" s="1284"/>
      <c r="BU164" s="592"/>
      <c r="BV164" s="406"/>
      <c r="BW164" s="2936"/>
      <c r="BX164" s="2936"/>
      <c r="BY164" s="2936"/>
      <c r="BZ164" s="2936"/>
      <c r="CA164" s="2936"/>
      <c r="CB164" s="2936"/>
      <c r="CC164" s="2936"/>
      <c r="CD164" s="2936"/>
      <c r="CE164" s="2936"/>
      <c r="CF164" s="2936"/>
      <c r="CG164" s="2936"/>
      <c r="CH164" s="2936"/>
      <c r="CI164" s="2936"/>
      <c r="CJ164" s="2936"/>
      <c r="CK164" s="2936"/>
      <c r="CL164" s="2936"/>
      <c r="CM164" s="2936"/>
      <c r="CN164" s="2936"/>
      <c r="CO164" s="2936"/>
      <c r="CP164" s="2936"/>
      <c r="CQ164" s="2936"/>
      <c r="CR164" s="2936"/>
      <c r="CS164" s="2936"/>
      <c r="CT164" s="406"/>
      <c r="CU164" s="407"/>
      <c r="DD164" s="16"/>
      <c r="DE164" s="16"/>
      <c r="DF164" s="84"/>
      <c r="DG164" s="84"/>
      <c r="DH164" s="84"/>
      <c r="DI164" s="1593"/>
      <c r="DJ164" s="1166"/>
      <c r="DM164" s="197"/>
      <c r="EG164" s="78"/>
      <c r="EH164" s="78"/>
      <c r="EI164" s="78"/>
      <c r="EJ164" s="78"/>
      <c r="EK164" s="78"/>
      <c r="FV164" s="78"/>
      <c r="FW164" s="78"/>
      <c r="FX164" s="78"/>
      <c r="FY164" s="78"/>
      <c r="FZ164" s="78"/>
    </row>
    <row r="165" spans="1:183" s="78" customFormat="1" ht="27" customHeight="1" thickBot="1" x14ac:dyDescent="0.2">
      <c r="A165" s="1201"/>
      <c r="B165" s="1201"/>
      <c r="C165" s="1201"/>
      <c r="D165" s="1201"/>
      <c r="E165" s="1202"/>
      <c r="F165" s="652"/>
      <c r="G165" s="652"/>
      <c r="H165" s="652"/>
      <c r="I165" s="1206"/>
      <c r="J165" s="1277"/>
      <c r="K165" s="1278"/>
      <c r="L165" s="1278"/>
      <c r="M165" s="2508" t="s">
        <v>709</v>
      </c>
      <c r="N165" s="2546"/>
      <c r="O165" s="2546"/>
      <c r="P165" s="2546"/>
      <c r="Q165" s="2546"/>
      <c r="R165" s="2546"/>
      <c r="S165" s="2546"/>
      <c r="T165" s="2546"/>
      <c r="U165" s="2546"/>
      <c r="V165" s="2546"/>
      <c r="W165" s="2546"/>
      <c r="X165" s="2546"/>
      <c r="Y165" s="2546"/>
      <c r="Z165" s="2546"/>
      <c r="AA165" s="2546"/>
      <c r="AB165" s="2580"/>
      <c r="AC165" s="2580"/>
      <c r="AD165" s="2580"/>
      <c r="AE165" s="2580"/>
      <c r="AF165" s="2580"/>
      <c r="AG165" s="2580"/>
      <c r="AH165" s="2580"/>
      <c r="AI165" s="2580"/>
      <c r="AJ165" s="2580"/>
      <c r="AK165" s="2580"/>
      <c r="AL165" s="2580"/>
      <c r="AM165" s="2580"/>
      <c r="AN165" s="2580"/>
      <c r="AO165" s="2580"/>
      <c r="AP165" s="2580"/>
      <c r="AQ165" s="2580"/>
      <c r="AR165" s="2224"/>
      <c r="AS165" s="2224"/>
      <c r="AT165" s="2224"/>
      <c r="AU165" s="2224"/>
      <c r="AV165" s="2224"/>
      <c r="AW165" s="2224"/>
      <c r="AX165" s="2469"/>
      <c r="AY165" s="2469"/>
      <c r="AZ165" s="2469"/>
      <c r="BA165" s="2469"/>
      <c r="BB165" s="2469"/>
      <c r="BC165" s="2469"/>
      <c r="BD165" s="2469"/>
      <c r="BE165" s="2469"/>
      <c r="BF165" s="2469"/>
      <c r="BG165" s="2469"/>
      <c r="BH165" s="2469"/>
      <c r="BI165" s="2469"/>
      <c r="BJ165" s="2469"/>
      <c r="BK165" s="2469"/>
      <c r="BL165" s="2469"/>
      <c r="BM165" s="2469"/>
      <c r="BN165" s="2469"/>
      <c r="BO165" s="2469"/>
      <c r="BP165" s="2469"/>
      <c r="BQ165" s="2469"/>
      <c r="BR165" s="2469"/>
      <c r="BS165" s="2469"/>
      <c r="BT165" s="2469"/>
      <c r="BU165" s="604"/>
      <c r="BV165" s="406"/>
      <c r="BW165" s="2936"/>
      <c r="BX165" s="2936"/>
      <c r="BY165" s="2936"/>
      <c r="BZ165" s="2936"/>
      <c r="CA165" s="2936"/>
      <c r="CB165" s="2936"/>
      <c r="CC165" s="2936"/>
      <c r="CD165" s="2936"/>
      <c r="CE165" s="2936"/>
      <c r="CF165" s="2936"/>
      <c r="CG165" s="2936"/>
      <c r="CH165" s="2936"/>
      <c r="CI165" s="2936"/>
      <c r="CJ165" s="2936"/>
      <c r="CK165" s="2936"/>
      <c r="CL165" s="2936"/>
      <c r="CM165" s="2936"/>
      <c r="CN165" s="2936"/>
      <c r="CO165" s="2936"/>
      <c r="CP165" s="2936"/>
      <c r="CQ165" s="2936"/>
      <c r="CR165" s="2936"/>
      <c r="CS165" s="2936"/>
      <c r="CT165" s="406"/>
      <c r="CU165" s="407"/>
      <c r="CV165" s="388"/>
      <c r="CW165" s="388"/>
      <c r="CX165" s="207"/>
      <c r="CY165" s="207"/>
      <c r="CZ165" s="207"/>
      <c r="DA165" s="207"/>
      <c r="DB165" s="207"/>
      <c r="DC165" s="15"/>
      <c r="DD165" s="16"/>
      <c r="DE165" s="16"/>
      <c r="DF165" s="84"/>
      <c r="DG165" s="84"/>
      <c r="DH165" s="84"/>
      <c r="DI165" s="1593"/>
      <c r="DJ165" s="1166"/>
      <c r="DK165" s="1163"/>
      <c r="DL165" s="77"/>
      <c r="DM165" s="197"/>
      <c r="DN165" s="72" t="s">
        <v>1648</v>
      </c>
      <c r="DO165" s="77"/>
      <c r="DP165" s="77"/>
      <c r="DQ165" s="77"/>
      <c r="EG165" s="73"/>
      <c r="EH165" s="73"/>
      <c r="EI165" s="73"/>
      <c r="EJ165" s="73"/>
      <c r="EK165" s="73"/>
      <c r="FO165" s="579"/>
      <c r="FV165" s="73"/>
      <c r="FW165" s="73"/>
      <c r="FX165" s="73"/>
      <c r="FY165" s="73"/>
      <c r="FZ165" s="73"/>
      <c r="GA165" s="77"/>
    </row>
    <row r="166" spans="1:183" s="78" customFormat="1" ht="27" customHeight="1" thickBot="1" x14ac:dyDescent="0.2">
      <c r="A166" s="1201"/>
      <c r="B166" s="1201"/>
      <c r="C166" s="1201"/>
      <c r="D166" s="1201"/>
      <c r="E166" s="1202"/>
      <c r="F166" s="652"/>
      <c r="G166" s="652"/>
      <c r="H166" s="652"/>
      <c r="I166" s="1206"/>
      <c r="J166" s="1277"/>
      <c r="K166" s="1278"/>
      <c r="L166" s="1278"/>
      <c r="M166" s="2192" t="s">
        <v>708</v>
      </c>
      <c r="N166" s="2559"/>
      <c r="O166" s="2559"/>
      <c r="P166" s="2559"/>
      <c r="Q166" s="2559"/>
      <c r="R166" s="2559"/>
      <c r="S166" s="2559"/>
      <c r="T166" s="2559"/>
      <c r="U166" s="2559"/>
      <c r="V166" s="2559"/>
      <c r="W166" s="2559"/>
      <c r="X166" s="2559"/>
      <c r="Y166" s="2559"/>
      <c r="Z166" s="2559"/>
      <c r="AA166" s="2559"/>
      <c r="AB166" s="2564"/>
      <c r="AC166" s="2565"/>
      <c r="AD166" s="2565"/>
      <c r="AE166" s="2547"/>
      <c r="AF166" s="2547"/>
      <c r="AG166" s="2548"/>
      <c r="AH166" s="1279" t="s">
        <v>12</v>
      </c>
      <c r="AI166" s="1280"/>
      <c r="AJ166" s="2137"/>
      <c r="AK166" s="2137"/>
      <c r="AL166" s="2137"/>
      <c r="AM166" s="1273" t="s">
        <v>348</v>
      </c>
      <c r="AN166" s="1273"/>
      <c r="AO166" s="2137"/>
      <c r="AP166" s="2137"/>
      <c r="AQ166" s="2137"/>
      <c r="AR166" s="1250" t="s">
        <v>164</v>
      </c>
      <c r="AS166" s="1250"/>
      <c r="AT166" s="1250"/>
      <c r="AU166" s="1250"/>
      <c r="AV166" s="1250"/>
      <c r="AW166" s="1250"/>
      <c r="AX166" s="1250"/>
      <c r="AY166" s="1250"/>
      <c r="AZ166" s="1250"/>
      <c r="BA166" s="1250"/>
      <c r="BB166" s="1250"/>
      <c r="BC166" s="1250"/>
      <c r="BD166" s="1250"/>
      <c r="BE166" s="1250"/>
      <c r="BF166" s="1250"/>
      <c r="BG166" s="1250"/>
      <c r="BH166" s="1250"/>
      <c r="BI166" s="1250"/>
      <c r="BJ166" s="1250"/>
      <c r="BK166" s="1250"/>
      <c r="BL166" s="1250"/>
      <c r="BM166" s="1250"/>
      <c r="BN166" s="1250"/>
      <c r="BO166" s="1250"/>
      <c r="BP166" s="1250"/>
      <c r="BQ166" s="1250"/>
      <c r="BR166" s="1250"/>
      <c r="BS166" s="1250"/>
      <c r="BT166" s="1250"/>
      <c r="BU166" s="604"/>
      <c r="BV166" s="406"/>
      <c r="BW166" s="2936"/>
      <c r="BX166" s="2936"/>
      <c r="BY166" s="2936"/>
      <c r="BZ166" s="2936"/>
      <c r="CA166" s="2936"/>
      <c r="CB166" s="2936"/>
      <c r="CC166" s="2936"/>
      <c r="CD166" s="2936"/>
      <c r="CE166" s="2936"/>
      <c r="CF166" s="2936"/>
      <c r="CG166" s="2936"/>
      <c r="CH166" s="2936"/>
      <c r="CI166" s="2936"/>
      <c r="CJ166" s="2936"/>
      <c r="CK166" s="2936"/>
      <c r="CL166" s="2936"/>
      <c r="CM166" s="2936"/>
      <c r="CN166" s="2936"/>
      <c r="CO166" s="2936"/>
      <c r="CP166" s="2936"/>
      <c r="CQ166" s="2936"/>
      <c r="CR166" s="2936"/>
      <c r="CS166" s="2936"/>
      <c r="CT166" s="406"/>
      <c r="CU166" s="407"/>
      <c r="CV166" s="388"/>
      <c r="CW166" s="388"/>
      <c r="CX166" s="207"/>
      <c r="CY166" s="207"/>
      <c r="CZ166" s="207"/>
      <c r="DA166" s="207"/>
      <c r="DB166" s="207"/>
      <c r="DC166" s="15"/>
      <c r="DD166" s="16"/>
      <c r="DE166" s="16"/>
      <c r="DF166" s="84"/>
      <c r="DG166" s="84"/>
      <c r="DH166" s="84"/>
      <c r="DI166" s="1593"/>
      <c r="DJ166" s="1166"/>
      <c r="DK166" s="1163"/>
      <c r="DL166" s="77"/>
      <c r="DM166" s="197"/>
      <c r="DN166" s="83">
        <f>COUNTBLANK(AB166:AQ166)</f>
        <v>14</v>
      </c>
      <c r="DO166" s="77"/>
      <c r="DP166" s="77"/>
      <c r="DQ166" s="77"/>
      <c r="EG166" s="73"/>
      <c r="EH166" s="73"/>
      <c r="EI166" s="73"/>
      <c r="EJ166" s="73"/>
      <c r="EK166" s="73"/>
      <c r="FO166" s="579"/>
      <c r="FV166" s="73"/>
      <c r="FW166" s="73"/>
      <c r="FX166" s="73"/>
      <c r="FY166" s="73"/>
      <c r="FZ166" s="73"/>
      <c r="GA166" s="77"/>
    </row>
    <row r="167" spans="1:183" ht="27" customHeight="1" x14ac:dyDescent="0.15">
      <c r="A167" s="1201"/>
      <c r="B167" s="1201"/>
      <c r="C167" s="1201"/>
      <c r="D167" s="1201"/>
      <c r="E167" s="1202"/>
      <c r="J167" s="1281"/>
      <c r="K167" s="1227"/>
      <c r="L167" s="1227"/>
      <c r="M167" s="2192" t="s">
        <v>1021</v>
      </c>
      <c r="N167" s="2559"/>
      <c r="O167" s="2559"/>
      <c r="P167" s="2559"/>
      <c r="Q167" s="2559"/>
      <c r="R167" s="2559"/>
      <c r="S167" s="2559"/>
      <c r="T167" s="2559"/>
      <c r="U167" s="2559"/>
      <c r="V167" s="2559"/>
      <c r="W167" s="2559"/>
      <c r="X167" s="2559"/>
      <c r="Y167" s="2559"/>
      <c r="Z167" s="2559"/>
      <c r="AA167" s="2559"/>
      <c r="AB167" s="2560"/>
      <c r="AC167" s="2560"/>
      <c r="AD167" s="2560"/>
      <c r="AE167" s="2560"/>
      <c r="AF167" s="2560"/>
      <c r="AG167" s="2560"/>
      <c r="AH167" s="2560"/>
      <c r="AI167" s="2560"/>
      <c r="AJ167" s="2560"/>
      <c r="AK167" s="2560"/>
      <c r="AL167" s="2560"/>
      <c r="AM167" s="2560"/>
      <c r="AN167" s="2560"/>
      <c r="AO167" s="2560"/>
      <c r="AP167" s="2560"/>
      <c r="AQ167" s="2560"/>
      <c r="AR167" s="1282" t="s">
        <v>1608</v>
      </c>
      <c r="AS167" s="1283"/>
      <c r="AT167" s="1282"/>
      <c r="AU167" s="1283"/>
      <c r="AV167" s="1283"/>
      <c r="AW167" s="1283"/>
      <c r="AX167" s="1283"/>
      <c r="AY167" s="1283"/>
      <c r="AZ167" s="1283"/>
      <c r="BA167" s="1283"/>
      <c r="BB167" s="1283"/>
      <c r="BC167" s="1283"/>
      <c r="BD167" s="1283"/>
      <c r="BE167" s="1283"/>
      <c r="BF167" s="1283"/>
      <c r="BG167" s="1283"/>
      <c r="BH167" s="1283"/>
      <c r="BI167" s="1283"/>
      <c r="BJ167" s="1283"/>
      <c r="BK167" s="1283"/>
      <c r="BL167" s="1285"/>
      <c r="BM167" s="1286"/>
      <c r="BN167" s="1286"/>
      <c r="BO167" s="1286"/>
      <c r="BP167" s="1286"/>
      <c r="BQ167" s="1286"/>
      <c r="BR167" s="1286"/>
      <c r="BS167" s="1286"/>
      <c r="BT167" s="1286"/>
      <c r="BU167" s="592"/>
      <c r="BV167" s="406"/>
      <c r="BW167" s="2936"/>
      <c r="BX167" s="2936"/>
      <c r="BY167" s="2936"/>
      <c r="BZ167" s="2936"/>
      <c r="CA167" s="2936"/>
      <c r="CB167" s="2936"/>
      <c r="CC167" s="2936"/>
      <c r="CD167" s="2936"/>
      <c r="CE167" s="2936"/>
      <c r="CF167" s="2936"/>
      <c r="CG167" s="2936"/>
      <c r="CH167" s="2936"/>
      <c r="CI167" s="2936"/>
      <c r="CJ167" s="2936"/>
      <c r="CK167" s="2936"/>
      <c r="CL167" s="2936"/>
      <c r="CM167" s="2936"/>
      <c r="CN167" s="2936"/>
      <c r="CO167" s="2936"/>
      <c r="CP167" s="2936"/>
      <c r="CQ167" s="2936"/>
      <c r="CR167" s="2936"/>
      <c r="CS167" s="2936"/>
      <c r="CT167" s="406"/>
      <c r="CU167" s="407"/>
      <c r="DD167" s="16"/>
      <c r="DE167" s="16"/>
      <c r="DF167" s="84"/>
      <c r="DG167" s="84"/>
      <c r="DH167" s="84"/>
      <c r="DI167" s="1593"/>
      <c r="DJ167" s="1166"/>
      <c r="DM167" s="197"/>
      <c r="EG167" s="78"/>
      <c r="EH167" s="78"/>
      <c r="EI167" s="78"/>
      <c r="EJ167" s="78"/>
      <c r="EK167" s="78"/>
      <c r="FV167" s="78"/>
      <c r="FW167" s="78"/>
      <c r="FX167" s="78"/>
      <c r="FY167" s="78"/>
      <c r="FZ167" s="78"/>
    </row>
    <row r="168" spans="1:183" s="78" customFormat="1" ht="27" customHeight="1" thickBot="1" x14ac:dyDescent="0.2">
      <c r="A168" s="1201"/>
      <c r="B168" s="1201"/>
      <c r="C168" s="1201"/>
      <c r="D168" s="1201"/>
      <c r="E168" s="1202"/>
      <c r="F168" s="652"/>
      <c r="G168" s="652"/>
      <c r="H168" s="652"/>
      <c r="I168" s="1206"/>
      <c r="J168" s="1277"/>
      <c r="K168" s="1278"/>
      <c r="L168" s="1278"/>
      <c r="M168" s="2508" t="s">
        <v>709</v>
      </c>
      <c r="N168" s="2546"/>
      <c r="O168" s="2546"/>
      <c r="P168" s="2546"/>
      <c r="Q168" s="2546"/>
      <c r="R168" s="2546"/>
      <c r="S168" s="2546"/>
      <c r="T168" s="2546"/>
      <c r="U168" s="2546"/>
      <c r="V168" s="2546"/>
      <c r="W168" s="2546"/>
      <c r="X168" s="2546"/>
      <c r="Y168" s="2546"/>
      <c r="Z168" s="2546"/>
      <c r="AA168" s="2546"/>
      <c r="AB168" s="2224"/>
      <c r="AC168" s="2224"/>
      <c r="AD168" s="2224"/>
      <c r="AE168" s="2224"/>
      <c r="AF168" s="2224"/>
      <c r="AG168" s="2224"/>
      <c r="AH168" s="2224"/>
      <c r="AI168" s="2224"/>
      <c r="AJ168" s="2224"/>
      <c r="AK168" s="2224"/>
      <c r="AL168" s="2224"/>
      <c r="AM168" s="2224"/>
      <c r="AN168" s="2224"/>
      <c r="AO168" s="2224"/>
      <c r="AP168" s="2224"/>
      <c r="AQ168" s="2224"/>
      <c r="AR168" s="2224"/>
      <c r="AS168" s="2224"/>
      <c r="AT168" s="2224"/>
      <c r="AU168" s="2224"/>
      <c r="AV168" s="2224"/>
      <c r="AW168" s="2224"/>
      <c r="AX168" s="2469"/>
      <c r="AY168" s="2469"/>
      <c r="AZ168" s="2469"/>
      <c r="BA168" s="2469"/>
      <c r="BB168" s="2469"/>
      <c r="BC168" s="2469"/>
      <c r="BD168" s="2469"/>
      <c r="BE168" s="2469"/>
      <c r="BF168" s="2469"/>
      <c r="BG168" s="2469"/>
      <c r="BH168" s="2469"/>
      <c r="BI168" s="2469"/>
      <c r="BJ168" s="2469"/>
      <c r="BK168" s="2469"/>
      <c r="BL168" s="2469"/>
      <c r="BM168" s="2469"/>
      <c r="BN168" s="2469"/>
      <c r="BO168" s="2469"/>
      <c r="BP168" s="2469"/>
      <c r="BQ168" s="2469"/>
      <c r="BR168" s="2469"/>
      <c r="BS168" s="2469"/>
      <c r="BT168" s="2469"/>
      <c r="BU168" s="604"/>
      <c r="BV168" s="592"/>
      <c r="BW168" s="2936"/>
      <c r="BX168" s="2936"/>
      <c r="BY168" s="2936"/>
      <c r="BZ168" s="2936"/>
      <c r="CA168" s="2936"/>
      <c r="CB168" s="2936"/>
      <c r="CC168" s="2936"/>
      <c r="CD168" s="2936"/>
      <c r="CE168" s="2936"/>
      <c r="CF168" s="2936"/>
      <c r="CG168" s="2936"/>
      <c r="CH168" s="2936"/>
      <c r="CI168" s="2936"/>
      <c r="CJ168" s="2936"/>
      <c r="CK168" s="2936"/>
      <c r="CL168" s="2936"/>
      <c r="CM168" s="2936"/>
      <c r="CN168" s="2936"/>
      <c r="CO168" s="2936"/>
      <c r="CP168" s="2936"/>
      <c r="CQ168" s="2936"/>
      <c r="CR168" s="2936"/>
      <c r="CS168" s="2936"/>
      <c r="CT168" s="1189"/>
      <c r="CU168" s="397"/>
      <c r="CV168" s="388"/>
      <c r="CW168" s="388"/>
      <c r="CX168" s="207"/>
      <c r="CY168" s="207"/>
      <c r="CZ168" s="207"/>
      <c r="DA168" s="207"/>
      <c r="DB168" s="207"/>
      <c r="DC168" s="15"/>
      <c r="DD168" s="16"/>
      <c r="DE168" s="16"/>
      <c r="DF168" s="84"/>
      <c r="DG168" s="84"/>
      <c r="DH168" s="84"/>
      <c r="DI168" s="1593"/>
      <c r="DJ168" s="1166"/>
      <c r="DK168" s="1163"/>
      <c r="DL168" s="77"/>
      <c r="DM168" s="197"/>
      <c r="DN168" s="72" t="s">
        <v>1648</v>
      </c>
      <c r="DO168" s="77"/>
      <c r="DP168" s="77"/>
      <c r="DQ168" s="77"/>
      <c r="FO168" s="579"/>
      <c r="GA168" s="77"/>
    </row>
    <row r="169" spans="1:183" s="78" customFormat="1" ht="27" customHeight="1" thickBot="1" x14ac:dyDescent="0.2">
      <c r="A169" s="1201"/>
      <c r="B169" s="1201"/>
      <c r="C169" s="1201"/>
      <c r="D169" s="1201"/>
      <c r="E169" s="1202"/>
      <c r="F169" s="652"/>
      <c r="G169" s="652"/>
      <c r="H169" s="652"/>
      <c r="I169" s="1206"/>
      <c r="J169" s="1277"/>
      <c r="K169" s="1278"/>
      <c r="L169" s="1278"/>
      <c r="M169" s="2146" t="s">
        <v>708</v>
      </c>
      <c r="N169" s="2147"/>
      <c r="O169" s="2147"/>
      <c r="P169" s="2147"/>
      <c r="Q169" s="2147"/>
      <c r="R169" s="2147"/>
      <c r="S169" s="2147"/>
      <c r="T169" s="2147"/>
      <c r="U169" s="2147"/>
      <c r="V169" s="2147"/>
      <c r="W169" s="2147"/>
      <c r="X169" s="2147"/>
      <c r="Y169" s="2147"/>
      <c r="Z169" s="2147"/>
      <c r="AA169" s="2147"/>
      <c r="AB169" s="2564"/>
      <c r="AC169" s="2565"/>
      <c r="AD169" s="2565"/>
      <c r="AE169" s="2547"/>
      <c r="AF169" s="2547"/>
      <c r="AG169" s="2548"/>
      <c r="AH169" s="1279" t="s">
        <v>12</v>
      </c>
      <c r="AI169" s="1280"/>
      <c r="AJ169" s="2137"/>
      <c r="AK169" s="2137"/>
      <c r="AL169" s="2137"/>
      <c r="AM169" s="1273" t="s">
        <v>348</v>
      </c>
      <c r="AN169" s="1273"/>
      <c r="AO169" s="2137"/>
      <c r="AP169" s="2137"/>
      <c r="AQ169" s="2137"/>
      <c r="AR169" s="1250" t="s">
        <v>164</v>
      </c>
      <c r="AS169" s="1250"/>
      <c r="AT169" s="1250"/>
      <c r="AU169" s="1250"/>
      <c r="AV169" s="1250"/>
      <c r="AW169" s="1250"/>
      <c r="AX169" s="1250"/>
      <c r="AY169" s="1250"/>
      <c r="AZ169" s="1250"/>
      <c r="BA169" s="1250"/>
      <c r="BB169" s="1250"/>
      <c r="BC169" s="1250"/>
      <c r="BD169" s="1250"/>
      <c r="BE169" s="1250"/>
      <c r="BF169" s="1250"/>
      <c r="BG169" s="1250"/>
      <c r="BH169" s="1250"/>
      <c r="BI169" s="1250"/>
      <c r="BJ169" s="1250"/>
      <c r="BK169" s="1250"/>
      <c r="BL169" s="1250"/>
      <c r="BM169" s="1250"/>
      <c r="BN169" s="1250"/>
      <c r="BO169" s="1250"/>
      <c r="BP169" s="1250"/>
      <c r="BQ169" s="1250"/>
      <c r="BR169" s="1250"/>
      <c r="BS169" s="1250"/>
      <c r="BT169" s="1250"/>
      <c r="BU169" s="604"/>
      <c r="BV169" s="592"/>
      <c r="BW169" s="2936"/>
      <c r="BX169" s="2936"/>
      <c r="BY169" s="2936"/>
      <c r="BZ169" s="2936"/>
      <c r="CA169" s="2936"/>
      <c r="CB169" s="2936"/>
      <c r="CC169" s="2936"/>
      <c r="CD169" s="2936"/>
      <c r="CE169" s="2936"/>
      <c r="CF169" s="2936"/>
      <c r="CG169" s="2936"/>
      <c r="CH169" s="2936"/>
      <c r="CI169" s="2936"/>
      <c r="CJ169" s="2936"/>
      <c r="CK169" s="2936"/>
      <c r="CL169" s="2936"/>
      <c r="CM169" s="2936"/>
      <c r="CN169" s="2936"/>
      <c r="CO169" s="2936"/>
      <c r="CP169" s="2936"/>
      <c r="CQ169" s="2936"/>
      <c r="CR169" s="2936"/>
      <c r="CS169" s="2936"/>
      <c r="CT169" s="610"/>
      <c r="CU169" s="611"/>
      <c r="CV169" s="1252"/>
      <c r="CW169" s="1252"/>
      <c r="CX169" s="599"/>
      <c r="CY169" s="599"/>
      <c r="CZ169" s="599"/>
      <c r="DA169" s="599"/>
      <c r="DB169" s="599"/>
      <c r="DC169" s="195"/>
      <c r="DD169" s="599"/>
      <c r="DE169" s="599"/>
      <c r="DF169" s="600"/>
      <c r="DG169" s="600"/>
      <c r="DH169" s="84"/>
      <c r="DI169" s="1593"/>
      <c r="DJ169" s="1166"/>
      <c r="DK169" s="1163"/>
      <c r="DL169" s="77"/>
      <c r="DM169" s="197"/>
      <c r="DN169" s="83">
        <f>COUNTBLANK(AB169:AQ169)</f>
        <v>14</v>
      </c>
      <c r="DO169" s="77"/>
      <c r="DP169" s="77"/>
      <c r="DQ169" s="77"/>
      <c r="FO169" s="579"/>
      <c r="GA169" s="77"/>
    </row>
    <row r="170" spans="1:183" ht="27" customHeight="1" x14ac:dyDescent="0.15">
      <c r="A170" s="1201"/>
      <c r="B170" s="1201"/>
      <c r="C170" s="1201"/>
      <c r="D170" s="1201"/>
      <c r="E170" s="1202"/>
      <c r="J170" s="1281"/>
      <c r="K170" s="1227"/>
      <c r="L170" s="1227"/>
      <c r="M170" s="2192" t="s">
        <v>1021</v>
      </c>
      <c r="N170" s="2559"/>
      <c r="O170" s="2559"/>
      <c r="P170" s="2559"/>
      <c r="Q170" s="2559"/>
      <c r="R170" s="2559"/>
      <c r="S170" s="2559"/>
      <c r="T170" s="2559"/>
      <c r="U170" s="2559"/>
      <c r="V170" s="2559"/>
      <c r="W170" s="2559"/>
      <c r="X170" s="2559"/>
      <c r="Y170" s="2559"/>
      <c r="Z170" s="2559"/>
      <c r="AA170" s="2559"/>
      <c r="AB170" s="2572"/>
      <c r="AC170" s="2572"/>
      <c r="AD170" s="2572"/>
      <c r="AE170" s="2572"/>
      <c r="AF170" s="2572"/>
      <c r="AG170" s="2572"/>
      <c r="AH170" s="2572"/>
      <c r="AI170" s="2572"/>
      <c r="AJ170" s="2572"/>
      <c r="AK170" s="2572"/>
      <c r="AL170" s="2572"/>
      <c r="AM170" s="2572"/>
      <c r="AN170" s="2572"/>
      <c r="AO170" s="2572"/>
      <c r="AP170" s="2572"/>
      <c r="AQ170" s="2572"/>
      <c r="AR170" s="1282" t="s">
        <v>1608</v>
      </c>
      <c r="AS170" s="1283"/>
      <c r="AT170" s="1282"/>
      <c r="AU170" s="1283"/>
      <c r="AV170" s="1283"/>
      <c r="AW170" s="1283"/>
      <c r="AX170" s="1283"/>
      <c r="AY170" s="1283"/>
      <c r="AZ170" s="1283"/>
      <c r="BA170" s="1283"/>
      <c r="BB170" s="1283"/>
      <c r="BC170" s="1283"/>
      <c r="BD170" s="1283"/>
      <c r="BE170" s="1283"/>
      <c r="BF170" s="1283"/>
      <c r="BG170" s="1283"/>
      <c r="BH170" s="1283"/>
      <c r="BI170" s="1283"/>
      <c r="BJ170" s="1283"/>
      <c r="BK170" s="1283"/>
      <c r="BL170" s="1287"/>
      <c r="BM170" s="1286"/>
      <c r="BN170" s="1286"/>
      <c r="BO170" s="1286"/>
      <c r="BP170" s="1286"/>
      <c r="BQ170" s="1286"/>
      <c r="BR170" s="1286"/>
      <c r="BS170" s="1286"/>
      <c r="BT170" s="1286"/>
      <c r="BU170" s="592"/>
      <c r="BV170" s="1189"/>
      <c r="BW170" s="2936"/>
      <c r="BX170" s="2936"/>
      <c r="BY170" s="2936"/>
      <c r="BZ170" s="2936"/>
      <c r="CA170" s="2936"/>
      <c r="CB170" s="2936"/>
      <c r="CC170" s="2936"/>
      <c r="CD170" s="2936"/>
      <c r="CE170" s="2936"/>
      <c r="CF170" s="2936"/>
      <c r="CG170" s="2936"/>
      <c r="CH170" s="2936"/>
      <c r="CI170" s="2936"/>
      <c r="CJ170" s="2936"/>
      <c r="CK170" s="2936"/>
      <c r="CL170" s="2936"/>
      <c r="CM170" s="2936"/>
      <c r="CN170" s="2936"/>
      <c r="CO170" s="2936"/>
      <c r="CP170" s="2936"/>
      <c r="CQ170" s="2936"/>
      <c r="CR170" s="2936"/>
      <c r="CS170" s="2936"/>
      <c r="CT170" s="1189"/>
      <c r="CU170" s="397"/>
      <c r="DD170" s="16"/>
      <c r="DE170" s="16"/>
      <c r="DF170" s="84"/>
      <c r="DG170" s="84"/>
      <c r="DH170" s="84"/>
      <c r="DI170" s="1593"/>
      <c r="DJ170" s="1166"/>
      <c r="DM170" s="197"/>
      <c r="EG170" s="78"/>
      <c r="EH170" s="78"/>
      <c r="EI170" s="78"/>
      <c r="EJ170" s="78"/>
      <c r="EK170" s="78"/>
      <c r="FV170" s="78"/>
      <c r="FW170" s="78"/>
      <c r="FX170" s="78"/>
      <c r="FY170" s="78"/>
      <c r="FZ170" s="78"/>
    </row>
    <row r="171" spans="1:183" s="78" customFormat="1" ht="27" customHeight="1" thickBot="1" x14ac:dyDescent="0.2">
      <c r="A171" s="1201"/>
      <c r="B171" s="1201"/>
      <c r="C171" s="1201"/>
      <c r="D171" s="1201"/>
      <c r="E171" s="1202"/>
      <c r="F171" s="652"/>
      <c r="G171" s="652"/>
      <c r="H171" s="652"/>
      <c r="I171" s="1206"/>
      <c r="J171" s="1277"/>
      <c r="K171" s="1278"/>
      <c r="L171" s="1278"/>
      <c r="M171" s="2508" t="s">
        <v>709</v>
      </c>
      <c r="N171" s="2546"/>
      <c r="O171" s="2546"/>
      <c r="P171" s="2546"/>
      <c r="Q171" s="2546"/>
      <c r="R171" s="2546"/>
      <c r="S171" s="2546"/>
      <c r="T171" s="2546"/>
      <c r="U171" s="2546"/>
      <c r="V171" s="2546"/>
      <c r="W171" s="2546"/>
      <c r="X171" s="2546"/>
      <c r="Y171" s="2546"/>
      <c r="Z171" s="2546"/>
      <c r="AA171" s="2546"/>
      <c r="AB171" s="2224"/>
      <c r="AC171" s="2224"/>
      <c r="AD171" s="2224"/>
      <c r="AE171" s="2224"/>
      <c r="AF171" s="2224"/>
      <c r="AG171" s="2224"/>
      <c r="AH171" s="2224"/>
      <c r="AI171" s="2224"/>
      <c r="AJ171" s="2224"/>
      <c r="AK171" s="2224"/>
      <c r="AL171" s="2224"/>
      <c r="AM171" s="2224"/>
      <c r="AN171" s="2224"/>
      <c r="AO171" s="2224"/>
      <c r="AP171" s="2224"/>
      <c r="AQ171" s="2224"/>
      <c r="AR171" s="2224"/>
      <c r="AS171" s="2224"/>
      <c r="AT171" s="2224"/>
      <c r="AU171" s="2224"/>
      <c r="AV171" s="2224"/>
      <c r="AW171" s="2224"/>
      <c r="AX171" s="2469"/>
      <c r="AY171" s="2469"/>
      <c r="AZ171" s="2469"/>
      <c r="BA171" s="2469"/>
      <c r="BB171" s="2469"/>
      <c r="BC171" s="2469"/>
      <c r="BD171" s="2469"/>
      <c r="BE171" s="2469"/>
      <c r="BF171" s="2469"/>
      <c r="BG171" s="2469"/>
      <c r="BH171" s="2469"/>
      <c r="BI171" s="2469"/>
      <c r="BJ171" s="2469"/>
      <c r="BK171" s="2469"/>
      <c r="BL171" s="2469"/>
      <c r="BM171" s="2469"/>
      <c r="BN171" s="2469"/>
      <c r="BO171" s="2469"/>
      <c r="BP171" s="2469"/>
      <c r="BQ171" s="2469"/>
      <c r="BR171" s="2469"/>
      <c r="BS171" s="2469"/>
      <c r="BT171" s="2469"/>
      <c r="BU171" s="604"/>
      <c r="BV171" s="592"/>
      <c r="BW171" s="2936"/>
      <c r="BX171" s="2936"/>
      <c r="BY171" s="2936"/>
      <c r="BZ171" s="2936"/>
      <c r="CA171" s="2936"/>
      <c r="CB171" s="2936"/>
      <c r="CC171" s="2936"/>
      <c r="CD171" s="2936"/>
      <c r="CE171" s="2936"/>
      <c r="CF171" s="2936"/>
      <c r="CG171" s="2936"/>
      <c r="CH171" s="2936"/>
      <c r="CI171" s="2936"/>
      <c r="CJ171" s="2936"/>
      <c r="CK171" s="2936"/>
      <c r="CL171" s="2936"/>
      <c r="CM171" s="2936"/>
      <c r="CN171" s="2936"/>
      <c r="CO171" s="2936"/>
      <c r="CP171" s="2936"/>
      <c r="CQ171" s="2936"/>
      <c r="CR171" s="2936"/>
      <c r="CS171" s="2936"/>
      <c r="CT171" s="1189"/>
      <c r="CU171" s="397"/>
      <c r="CV171" s="388"/>
      <c r="CW171" s="388"/>
      <c r="CX171" s="207"/>
      <c r="CY171" s="207"/>
      <c r="CZ171" s="207"/>
      <c r="DA171" s="207"/>
      <c r="DB171" s="207"/>
      <c r="DC171" s="15"/>
      <c r="DD171" s="16"/>
      <c r="DE171" s="16"/>
      <c r="DF171" s="84"/>
      <c r="DG171" s="84"/>
      <c r="DH171" s="84"/>
      <c r="DI171" s="1593"/>
      <c r="DJ171" s="1166"/>
      <c r="DK171" s="1163"/>
      <c r="DL171" s="77"/>
      <c r="DM171" s="197"/>
      <c r="DN171" s="72" t="s">
        <v>1648</v>
      </c>
      <c r="DO171" s="77"/>
      <c r="DP171" s="77"/>
      <c r="DQ171" s="77"/>
      <c r="FO171" s="579"/>
      <c r="GA171" s="77"/>
    </row>
    <row r="172" spans="1:183" s="78" customFormat="1" ht="27" customHeight="1" thickBot="1" x14ac:dyDescent="0.2">
      <c r="A172" s="1201"/>
      <c r="B172" s="1201"/>
      <c r="C172" s="1201"/>
      <c r="D172" s="1201"/>
      <c r="E172" s="1202"/>
      <c r="F172" s="652"/>
      <c r="G172" s="652"/>
      <c r="H172" s="652"/>
      <c r="I172" s="1206"/>
      <c r="J172" s="1277"/>
      <c r="K172" s="1278"/>
      <c r="L172" s="1278"/>
      <c r="M172" s="2146" t="s">
        <v>708</v>
      </c>
      <c r="N172" s="2147"/>
      <c r="O172" s="2147"/>
      <c r="P172" s="2147"/>
      <c r="Q172" s="2147"/>
      <c r="R172" s="2147"/>
      <c r="S172" s="2147"/>
      <c r="T172" s="2147"/>
      <c r="U172" s="2147"/>
      <c r="V172" s="2147"/>
      <c r="W172" s="2147"/>
      <c r="X172" s="2147"/>
      <c r="Y172" s="2147"/>
      <c r="Z172" s="2147"/>
      <c r="AA172" s="2147"/>
      <c r="AB172" s="2564"/>
      <c r="AC172" s="2565"/>
      <c r="AD172" s="2565"/>
      <c r="AE172" s="2547"/>
      <c r="AF172" s="2547"/>
      <c r="AG172" s="2548"/>
      <c r="AH172" s="1279" t="s">
        <v>12</v>
      </c>
      <c r="AI172" s="1280"/>
      <c r="AJ172" s="2137"/>
      <c r="AK172" s="2137"/>
      <c r="AL172" s="2137"/>
      <c r="AM172" s="1273" t="s">
        <v>348</v>
      </c>
      <c r="AN172" s="1273"/>
      <c r="AO172" s="2137"/>
      <c r="AP172" s="2137"/>
      <c r="AQ172" s="2137"/>
      <c r="AR172" s="1250" t="s">
        <v>164</v>
      </c>
      <c r="AS172" s="1250"/>
      <c r="AT172" s="1250"/>
      <c r="AU172" s="1250"/>
      <c r="AV172" s="1250"/>
      <c r="AW172" s="1250"/>
      <c r="AX172" s="1250"/>
      <c r="AY172" s="1250"/>
      <c r="AZ172" s="1250"/>
      <c r="BA172" s="1250"/>
      <c r="BB172" s="1250"/>
      <c r="BC172" s="1250"/>
      <c r="BD172" s="1250"/>
      <c r="BE172" s="1250"/>
      <c r="BF172" s="1250"/>
      <c r="BG172" s="1250"/>
      <c r="BH172" s="1250"/>
      <c r="BI172" s="1250"/>
      <c r="BJ172" s="1250"/>
      <c r="BK172" s="1250"/>
      <c r="BL172" s="1250"/>
      <c r="BM172" s="1250"/>
      <c r="BN172" s="1250"/>
      <c r="BO172" s="1250"/>
      <c r="BP172" s="1250"/>
      <c r="BQ172" s="1250"/>
      <c r="BR172" s="1250"/>
      <c r="BS172" s="1250"/>
      <c r="BT172" s="1250"/>
      <c r="BU172" s="604"/>
      <c r="BV172" s="1189"/>
      <c r="BW172" s="1189"/>
      <c r="BX172" s="1189"/>
      <c r="BY172" s="604"/>
      <c r="BZ172" s="604"/>
      <c r="CA172" s="604"/>
      <c r="CB172" s="604"/>
      <c r="CC172" s="604"/>
      <c r="CD172" s="604"/>
      <c r="CE172" s="604"/>
      <c r="CF172" s="604"/>
      <c r="CG172" s="604"/>
      <c r="CH172" s="604"/>
      <c r="CI172" s="604"/>
      <c r="CJ172" s="604"/>
      <c r="CK172" s="604"/>
      <c r="CL172" s="604"/>
      <c r="CM172" s="604"/>
      <c r="CN172" s="604"/>
      <c r="CO172" s="604"/>
      <c r="CP172" s="604"/>
      <c r="CQ172" s="604"/>
      <c r="CR172" s="610"/>
      <c r="CS172" s="610"/>
      <c r="CT172" s="610"/>
      <c r="CU172" s="611"/>
      <c r="CV172" s="1252"/>
      <c r="CW172" s="1252"/>
      <c r="CX172" s="599"/>
      <c r="CY172" s="599"/>
      <c r="CZ172" s="599"/>
      <c r="DA172" s="599"/>
      <c r="DB172" s="599"/>
      <c r="DC172" s="195"/>
      <c r="DD172" s="599"/>
      <c r="DE172" s="599"/>
      <c r="DF172" s="600"/>
      <c r="DG172" s="600"/>
      <c r="DH172" s="600"/>
      <c r="DI172" s="1593"/>
      <c r="DJ172" s="1167"/>
      <c r="DK172" s="1163"/>
      <c r="DL172" s="77"/>
      <c r="DM172" s="197"/>
      <c r="DN172" s="83">
        <f>COUNTBLANK(AB172:AQ172)</f>
        <v>14</v>
      </c>
      <c r="DO172" s="77"/>
      <c r="DP172" s="77"/>
      <c r="DQ172" s="77"/>
      <c r="FO172" s="579"/>
      <c r="GA172" s="77"/>
    </row>
    <row r="173" spans="1:183" ht="27" customHeight="1" x14ac:dyDescent="0.15">
      <c r="A173" s="1201"/>
      <c r="B173" s="1201"/>
      <c r="C173" s="1201"/>
      <c r="D173" s="1201"/>
      <c r="E173" s="1202"/>
      <c r="J173" s="1281"/>
      <c r="K173" s="1227"/>
      <c r="L173" s="1227"/>
      <c r="M173" s="2192" t="s">
        <v>1021</v>
      </c>
      <c r="N173" s="2559"/>
      <c r="O173" s="2559"/>
      <c r="P173" s="2559"/>
      <c r="Q173" s="2559"/>
      <c r="R173" s="2559"/>
      <c r="S173" s="2559"/>
      <c r="T173" s="2559"/>
      <c r="U173" s="2559"/>
      <c r="V173" s="2559"/>
      <c r="W173" s="2559"/>
      <c r="X173" s="2559"/>
      <c r="Y173" s="2559"/>
      <c r="Z173" s="2559"/>
      <c r="AA173" s="2559"/>
      <c r="AB173" s="2572"/>
      <c r="AC173" s="2572"/>
      <c r="AD173" s="2572"/>
      <c r="AE173" s="2572"/>
      <c r="AF173" s="2572"/>
      <c r="AG173" s="2572"/>
      <c r="AH173" s="2572"/>
      <c r="AI173" s="2572"/>
      <c r="AJ173" s="2572"/>
      <c r="AK173" s="2572"/>
      <c r="AL173" s="2572"/>
      <c r="AM173" s="2572"/>
      <c r="AN173" s="2572"/>
      <c r="AO173" s="2572"/>
      <c r="AP173" s="2572"/>
      <c r="AQ173" s="2572"/>
      <c r="AR173" s="1282" t="s">
        <v>1608</v>
      </c>
      <c r="AS173" s="1283"/>
      <c r="AT173" s="1282"/>
      <c r="AU173" s="1283"/>
      <c r="AV173" s="1283"/>
      <c r="AW173" s="1283"/>
      <c r="AX173" s="1283"/>
      <c r="AY173" s="1283"/>
      <c r="AZ173" s="1283"/>
      <c r="BA173" s="1283"/>
      <c r="BB173" s="1283"/>
      <c r="BC173" s="1283"/>
      <c r="BD173" s="1283"/>
      <c r="BE173" s="1283"/>
      <c r="BF173" s="1283"/>
      <c r="BG173" s="1283"/>
      <c r="BH173" s="1283"/>
      <c r="BI173" s="1283"/>
      <c r="BJ173" s="1283"/>
      <c r="BK173" s="1283"/>
      <c r="BL173" s="1287"/>
      <c r="BM173" s="1286"/>
      <c r="BN173" s="1286"/>
      <c r="BO173" s="1286"/>
      <c r="BP173" s="1286"/>
      <c r="BQ173" s="1286"/>
      <c r="BR173" s="1286"/>
      <c r="BS173" s="1286"/>
      <c r="BT173" s="1286"/>
      <c r="BU173" s="592"/>
      <c r="BV173" s="1189"/>
      <c r="BW173" s="1189"/>
      <c r="BX173" s="1189"/>
      <c r="BY173" s="1189"/>
      <c r="BZ173" s="1189"/>
      <c r="CA173" s="1189"/>
      <c r="CB173" s="1189"/>
      <c r="CC173" s="1189"/>
      <c r="CD173" s="1189"/>
      <c r="CE173" s="1189"/>
      <c r="CF173" s="1189"/>
      <c r="CG173" s="1189"/>
      <c r="CH173" s="1189"/>
      <c r="CI173" s="1189"/>
      <c r="CJ173" s="1189"/>
      <c r="CK173" s="1189"/>
      <c r="CL173" s="1189"/>
      <c r="CM173" s="1189"/>
      <c r="CN173" s="1189"/>
      <c r="CO173" s="1189"/>
      <c r="CP173" s="1189"/>
      <c r="CQ173" s="1189"/>
      <c r="CR173" s="1189"/>
      <c r="CS173" s="1189"/>
      <c r="CT173" s="1189"/>
      <c r="CU173" s="397"/>
      <c r="DD173" s="16"/>
      <c r="DE173" s="16"/>
      <c r="DF173" s="84"/>
      <c r="DG173" s="84"/>
      <c r="DH173" s="84"/>
      <c r="DI173" s="1593"/>
      <c r="DJ173" s="1166"/>
      <c r="DM173" s="197"/>
      <c r="EG173" s="78"/>
      <c r="EH173" s="78"/>
      <c r="EI173" s="78"/>
      <c r="EJ173" s="78"/>
      <c r="EK173" s="78"/>
      <c r="FV173" s="78"/>
      <c r="FW173" s="78"/>
      <c r="FX173" s="78"/>
      <c r="FY173" s="78"/>
      <c r="FZ173" s="78"/>
    </row>
    <row r="174" spans="1:183" s="78" customFormat="1" ht="27" customHeight="1" thickBot="1" x14ac:dyDescent="0.2">
      <c r="A174" s="1201"/>
      <c r="B174" s="1201"/>
      <c r="C174" s="1201"/>
      <c r="D174" s="1201"/>
      <c r="E174" s="1202"/>
      <c r="F174" s="652"/>
      <c r="G174" s="652"/>
      <c r="H174" s="652"/>
      <c r="I174" s="1206"/>
      <c r="J174" s="1288"/>
      <c r="K174" s="1289"/>
      <c r="L174" s="1289"/>
      <c r="M174" s="2498" t="s">
        <v>709</v>
      </c>
      <c r="N174" s="2585"/>
      <c r="O174" s="2585"/>
      <c r="P174" s="2585"/>
      <c r="Q174" s="2585"/>
      <c r="R174" s="2585"/>
      <c r="S174" s="2585"/>
      <c r="T174" s="2585"/>
      <c r="U174" s="2585"/>
      <c r="V174" s="2585"/>
      <c r="W174" s="2585"/>
      <c r="X174" s="2585"/>
      <c r="Y174" s="2585"/>
      <c r="Z174" s="2585"/>
      <c r="AA174" s="2585"/>
      <c r="AB174" s="2501"/>
      <c r="AC174" s="2501"/>
      <c r="AD174" s="2501"/>
      <c r="AE174" s="2501"/>
      <c r="AF174" s="2501"/>
      <c r="AG174" s="2501"/>
      <c r="AH174" s="2501"/>
      <c r="AI174" s="2501"/>
      <c r="AJ174" s="2501"/>
      <c r="AK174" s="2501"/>
      <c r="AL174" s="2501"/>
      <c r="AM174" s="2501"/>
      <c r="AN174" s="2501"/>
      <c r="AO174" s="2501"/>
      <c r="AP174" s="2501"/>
      <c r="AQ174" s="2501"/>
      <c r="AR174" s="2501"/>
      <c r="AS174" s="2501"/>
      <c r="AT174" s="2501"/>
      <c r="AU174" s="2501"/>
      <c r="AV174" s="2501"/>
      <c r="AW174" s="2501"/>
      <c r="AX174" s="2577"/>
      <c r="AY174" s="2577"/>
      <c r="AZ174" s="2577"/>
      <c r="BA174" s="2577"/>
      <c r="BB174" s="2577"/>
      <c r="BC174" s="2577"/>
      <c r="BD174" s="2577"/>
      <c r="BE174" s="2577"/>
      <c r="BF174" s="2577"/>
      <c r="BG174" s="2577"/>
      <c r="BH174" s="2577"/>
      <c r="BI174" s="2577"/>
      <c r="BJ174" s="2577"/>
      <c r="BK174" s="2577"/>
      <c r="BL174" s="2577"/>
      <c r="BM174" s="2577"/>
      <c r="BN174" s="2577"/>
      <c r="BO174" s="2577"/>
      <c r="BP174" s="2577"/>
      <c r="BQ174" s="2577"/>
      <c r="BR174" s="2577"/>
      <c r="BS174" s="2577"/>
      <c r="BT174" s="2577"/>
      <c r="BU174" s="612"/>
      <c r="BV174" s="594"/>
      <c r="BW174" s="612"/>
      <c r="BX174" s="612"/>
      <c r="BY174" s="612"/>
      <c r="BZ174" s="612"/>
      <c r="CA174" s="612"/>
      <c r="CB174" s="612"/>
      <c r="CC174" s="612"/>
      <c r="CD174" s="612"/>
      <c r="CE174" s="612"/>
      <c r="CF174" s="612"/>
      <c r="CG174" s="612"/>
      <c r="CH174" s="612"/>
      <c r="CI174" s="612"/>
      <c r="CJ174" s="612"/>
      <c r="CK174" s="612"/>
      <c r="CL174" s="612"/>
      <c r="CM174" s="612"/>
      <c r="CN174" s="398"/>
      <c r="CO174" s="398"/>
      <c r="CP174" s="398"/>
      <c r="CQ174" s="398"/>
      <c r="CR174" s="398"/>
      <c r="CS174" s="398"/>
      <c r="CT174" s="398"/>
      <c r="CU174" s="399"/>
      <c r="CV174" s="388"/>
      <c r="CW174" s="388"/>
      <c r="CX174" s="207"/>
      <c r="CY174" s="207"/>
      <c r="CZ174" s="207"/>
      <c r="DA174" s="207"/>
      <c r="DB174" s="207"/>
      <c r="DC174" s="15"/>
      <c r="DD174" s="16"/>
      <c r="DE174" s="16"/>
      <c r="DF174" s="84"/>
      <c r="DG174" s="84"/>
      <c r="DH174" s="84"/>
      <c r="DI174" s="1593"/>
      <c r="DJ174" s="1166"/>
      <c r="DK174" s="1163"/>
      <c r="DL174" s="77"/>
      <c r="DM174" s="197"/>
      <c r="DN174" s="77"/>
      <c r="DO174" s="77"/>
      <c r="DP174" s="77"/>
      <c r="DQ174" s="77"/>
      <c r="FO174" s="579"/>
      <c r="GA174" s="77"/>
    </row>
    <row r="175" spans="1:183" ht="15" customHeight="1" x14ac:dyDescent="0.15">
      <c r="A175" s="1201"/>
      <c r="B175" s="1201"/>
      <c r="C175" s="1201"/>
      <c r="D175" s="1201"/>
      <c r="E175" s="1202"/>
      <c r="BU175" s="578"/>
      <c r="DD175" s="16"/>
      <c r="DE175" s="16"/>
      <c r="DF175" s="16"/>
      <c r="DG175" s="16"/>
      <c r="DH175" s="16"/>
      <c r="DI175" s="1593"/>
      <c r="DJ175" s="1163"/>
      <c r="EG175" s="78"/>
      <c r="EH175" s="78"/>
      <c r="EI175" s="78"/>
      <c r="EJ175" s="78"/>
      <c r="EK175" s="78"/>
      <c r="FV175" s="78"/>
      <c r="FW175" s="78"/>
      <c r="FX175" s="78"/>
      <c r="FY175" s="78"/>
      <c r="FZ175" s="78"/>
    </row>
    <row r="176" spans="1:183" ht="2.1" customHeight="1" x14ac:dyDescent="0.15">
      <c r="A176" s="1201"/>
      <c r="B176" s="1201"/>
      <c r="C176" s="1201"/>
      <c r="D176" s="1201"/>
      <c r="E176" s="1202"/>
      <c r="BU176" s="578"/>
      <c r="DD176" s="16"/>
      <c r="DE176" s="16"/>
      <c r="DF176" s="16"/>
      <c r="DG176" s="16"/>
      <c r="DH176" s="16"/>
      <c r="DI176" s="1593"/>
      <c r="DJ176" s="1163"/>
      <c r="EG176" s="78"/>
      <c r="EH176" s="78"/>
      <c r="EI176" s="78"/>
      <c r="EJ176" s="78"/>
      <c r="EK176" s="78"/>
      <c r="FV176" s="78"/>
      <c r="FW176" s="78"/>
      <c r="FX176" s="78"/>
      <c r="FY176" s="78"/>
      <c r="FZ176" s="78"/>
    </row>
    <row r="177" spans="1:183" ht="2.1" customHeight="1" x14ac:dyDescent="0.15">
      <c r="A177" s="1201"/>
      <c r="B177" s="1201"/>
      <c r="C177" s="1201"/>
      <c r="D177" s="1201"/>
      <c r="E177" s="1202"/>
      <c r="BU177" s="578"/>
      <c r="DD177" s="16"/>
      <c r="DE177" s="16"/>
      <c r="DF177" s="16"/>
      <c r="DG177" s="16"/>
      <c r="DH177" s="16"/>
      <c r="DI177" s="1593"/>
      <c r="DJ177" s="1163"/>
      <c r="EG177" s="78"/>
      <c r="EH177" s="78"/>
      <c r="EI177" s="78"/>
      <c r="EJ177" s="78"/>
      <c r="EK177" s="78"/>
      <c r="FV177" s="78"/>
      <c r="FW177" s="78"/>
      <c r="FX177" s="78"/>
      <c r="FY177" s="78"/>
      <c r="FZ177" s="78"/>
    </row>
    <row r="178" spans="1:183" ht="2.1" customHeight="1" thickBot="1" x14ac:dyDescent="0.2">
      <c r="A178" s="1201"/>
      <c r="B178" s="1201"/>
      <c r="C178" s="1201"/>
      <c r="D178" s="1201"/>
      <c r="E178" s="1202"/>
      <c r="BU178" s="578"/>
      <c r="DD178" s="16"/>
      <c r="DE178" s="16"/>
      <c r="DF178" s="16"/>
      <c r="DG178" s="16"/>
      <c r="DH178" s="16"/>
      <c r="DI178" s="1593"/>
      <c r="DJ178" s="1163"/>
      <c r="EG178" s="78"/>
      <c r="EH178" s="78"/>
      <c r="EI178" s="78"/>
      <c r="EJ178" s="78"/>
      <c r="EK178" s="78"/>
      <c r="FV178" s="78"/>
      <c r="FW178" s="78"/>
      <c r="FX178" s="78"/>
      <c r="FY178" s="78"/>
      <c r="FZ178" s="78"/>
    </row>
    <row r="179" spans="1:183" ht="35.1" customHeight="1" x14ac:dyDescent="0.55000000000000004">
      <c r="A179" s="1201"/>
      <c r="B179" s="1201"/>
      <c r="C179" s="1201"/>
      <c r="D179" s="1201"/>
      <c r="E179" s="1202"/>
      <c r="J179" s="1363" t="s">
        <v>1083</v>
      </c>
      <c r="K179" s="1362"/>
      <c r="L179" s="1362"/>
      <c r="M179" s="1362"/>
      <c r="N179" s="1362"/>
      <c r="O179" s="1362"/>
      <c r="P179" s="1362"/>
      <c r="Q179" s="1362"/>
      <c r="R179" s="1362"/>
      <c r="S179" s="1362"/>
      <c r="T179" s="1362"/>
      <c r="U179" s="1362"/>
      <c r="V179" s="1362"/>
      <c r="W179" s="1362"/>
      <c r="X179" s="1362"/>
      <c r="Y179" s="1362"/>
      <c r="Z179" s="1362"/>
      <c r="AA179" s="1362"/>
      <c r="AB179" s="1362"/>
      <c r="AC179" s="1362"/>
      <c r="AD179" s="1362"/>
      <c r="AE179" s="1362"/>
      <c r="AF179" s="1362"/>
      <c r="AG179" s="1362"/>
      <c r="AH179" s="1362"/>
      <c r="AI179" s="1362"/>
      <c r="AJ179" s="1362"/>
      <c r="AK179" s="1362"/>
      <c r="AL179" s="1362"/>
      <c r="AM179" s="1362"/>
      <c r="AN179" s="1362"/>
      <c r="AO179" s="1362"/>
      <c r="AP179" s="1362"/>
      <c r="AQ179" s="1362"/>
      <c r="AR179" s="1362"/>
      <c r="AS179" s="1362"/>
      <c r="AT179" s="1362"/>
      <c r="AU179" s="1362"/>
      <c r="AV179" s="1362"/>
      <c r="AW179" s="1362"/>
      <c r="AX179" s="1362"/>
      <c r="AY179" s="1362"/>
      <c r="AZ179" s="1362"/>
      <c r="BA179" s="1362"/>
      <c r="BB179" s="1362"/>
      <c r="BC179" s="1362"/>
      <c r="BD179" s="1526"/>
      <c r="BE179" s="1526"/>
      <c r="BF179" s="1526"/>
      <c r="BG179" s="1526"/>
      <c r="BH179" s="1526"/>
      <c r="BI179" s="1527"/>
      <c r="BJ179" s="1527"/>
      <c r="BK179" s="1527"/>
      <c r="BL179" s="1527"/>
      <c r="BM179" s="1527"/>
      <c r="BN179" s="1527"/>
      <c r="BO179" s="1527"/>
      <c r="BP179" s="1527"/>
      <c r="BQ179" s="1527"/>
      <c r="BR179" s="1527"/>
      <c r="BS179" s="1527"/>
      <c r="BT179" s="1439" t="s">
        <v>2918</v>
      </c>
      <c r="BU179" s="389"/>
      <c r="BV179" s="389"/>
      <c r="BW179" s="389"/>
      <c r="BX179" s="1191"/>
      <c r="BY179" s="609"/>
      <c r="BZ179" s="609"/>
      <c r="CA179" s="609"/>
      <c r="CB179" s="609"/>
      <c r="CC179" s="609"/>
      <c r="CD179" s="609"/>
      <c r="CE179" s="609"/>
      <c r="CF179" s="609"/>
      <c r="CG179" s="609"/>
      <c r="CH179" s="609"/>
      <c r="CI179" s="609"/>
      <c r="CJ179" s="609"/>
      <c r="CK179" s="609"/>
      <c r="CL179" s="609"/>
      <c r="CM179" s="609"/>
      <c r="CN179" s="1191"/>
      <c r="CO179" s="1191"/>
      <c r="CP179" s="1191"/>
      <c r="CQ179" s="1191"/>
      <c r="CR179" s="1191"/>
      <c r="CS179" s="1191"/>
      <c r="CT179" s="1191"/>
      <c r="CU179" s="390"/>
      <c r="DD179" s="16"/>
      <c r="DE179" s="16"/>
      <c r="DF179" s="16"/>
      <c r="DG179" s="16"/>
      <c r="DH179" s="16"/>
      <c r="DI179" s="1593"/>
      <c r="DJ179" s="1163"/>
      <c r="DM179" s="1436" t="str">
        <f>J179</f>
        <v>１２　関連図書の整備</v>
      </c>
      <c r="EG179" s="78"/>
      <c r="EH179" s="78"/>
      <c r="EI179" s="78"/>
      <c r="EJ179" s="78"/>
      <c r="EK179" s="78"/>
      <c r="FV179" s="78"/>
      <c r="FW179" s="78"/>
      <c r="FX179" s="78"/>
      <c r="FY179" s="78"/>
      <c r="FZ179" s="78"/>
    </row>
    <row r="180" spans="1:183" ht="33" customHeight="1" x14ac:dyDescent="0.15">
      <c r="A180" s="1201"/>
      <c r="B180" s="1201"/>
      <c r="C180" s="1201"/>
      <c r="D180" s="1201"/>
      <c r="E180" s="1202"/>
      <c r="J180" s="1260"/>
      <c r="K180" s="1261"/>
      <c r="L180" s="1261"/>
      <c r="M180" s="1225" t="s">
        <v>2770</v>
      </c>
      <c r="N180" s="1225"/>
      <c r="O180" s="1225"/>
      <c r="P180" s="1217"/>
      <c r="Q180" s="1217"/>
      <c r="R180" s="1217"/>
      <c r="S180" s="1217"/>
      <c r="T180" s="1217"/>
      <c r="U180" s="1217"/>
      <c r="V180" s="1217"/>
      <c r="W180" s="1217"/>
      <c r="X180" s="1217"/>
      <c r="Y180" s="1217"/>
      <c r="Z180" s="1217"/>
      <c r="AA180" s="1217"/>
      <c r="AB180" s="1217"/>
      <c r="AC180" s="1217"/>
      <c r="AD180" s="1217"/>
      <c r="AE180" s="1217"/>
      <c r="AF180" s="1217"/>
      <c r="AG180" s="1217"/>
      <c r="AH180" s="1217"/>
      <c r="AI180" s="1217"/>
      <c r="AJ180" s="1217"/>
      <c r="AK180" s="1217"/>
      <c r="AL180" s="1217"/>
      <c r="AM180" s="1217"/>
      <c r="AN180" s="1217"/>
      <c r="AO180" s="1217"/>
      <c r="AP180" s="1217"/>
      <c r="AQ180" s="1217"/>
      <c r="AR180" s="1217"/>
      <c r="AS180" s="1217"/>
      <c r="AT180" s="1217"/>
      <c r="AU180" s="1217"/>
      <c r="AV180" s="1217"/>
      <c r="AW180" s="1217"/>
      <c r="AX180" s="1217"/>
      <c r="AY180" s="1217"/>
      <c r="AZ180" s="1217"/>
      <c r="BA180" s="1217"/>
      <c r="BB180" s="1217"/>
      <c r="BC180" s="1217"/>
      <c r="BD180" s="1217"/>
      <c r="BE180" s="1217"/>
      <c r="BF180" s="1217"/>
      <c r="BG180" s="1217"/>
      <c r="BH180" s="1217"/>
      <c r="BI180" s="1217"/>
      <c r="BJ180" s="1217"/>
      <c r="BK180" s="1217"/>
      <c r="BL180" s="1217"/>
      <c r="BM180" s="1217"/>
      <c r="BN180" s="1217"/>
      <c r="BO180" s="1217"/>
      <c r="BP180" s="1217"/>
      <c r="BQ180" s="1217"/>
      <c r="BR180" s="1217"/>
      <c r="BS180" s="1217"/>
      <c r="BT180" s="1217"/>
      <c r="BU180" s="613"/>
      <c r="BV180" s="614" t="s">
        <v>2794</v>
      </c>
      <c r="BW180" s="615"/>
      <c r="BX180" s="1188"/>
      <c r="BY180" s="1188"/>
      <c r="BZ180" s="1188"/>
      <c r="CA180" s="1188"/>
      <c r="CB180" s="1188"/>
      <c r="CC180" s="1188"/>
      <c r="CD180" s="1188"/>
      <c r="CE180" s="1188"/>
      <c r="CF180" s="1188"/>
      <c r="CG180" s="1188"/>
      <c r="CH180" s="1188"/>
      <c r="CI180" s="1188"/>
      <c r="CJ180" s="1188"/>
      <c r="CK180" s="1188"/>
      <c r="CL180" s="1188"/>
      <c r="CM180" s="1188"/>
      <c r="CN180" s="1188"/>
      <c r="CO180" s="1188"/>
      <c r="CP180" s="1188"/>
      <c r="CQ180" s="1188"/>
      <c r="CR180" s="1188"/>
      <c r="CS180" s="1188"/>
      <c r="CT180" s="1188"/>
      <c r="CU180" s="1178"/>
      <c r="DD180" s="16"/>
      <c r="DE180" s="16"/>
      <c r="DF180" s="16"/>
      <c r="DG180" s="16"/>
      <c r="DH180" s="16"/>
      <c r="DI180" s="1593"/>
      <c r="DJ180" s="1163"/>
      <c r="DO180" s="92" t="s">
        <v>828</v>
      </c>
      <c r="DP180" s="92" t="s">
        <v>830</v>
      </c>
      <c r="DQ180" s="92" t="s">
        <v>829</v>
      </c>
      <c r="EG180" s="78"/>
      <c r="EH180" s="78"/>
      <c r="EI180" s="78"/>
      <c r="EJ180" s="78"/>
      <c r="EK180" s="78"/>
      <c r="FV180" s="78"/>
      <c r="FW180" s="78"/>
      <c r="FX180" s="78"/>
      <c r="FY180" s="78"/>
      <c r="FZ180" s="78"/>
    </row>
    <row r="181" spans="1:183" s="78" customFormat="1" ht="27" customHeight="1" thickBot="1" x14ac:dyDescent="0.2">
      <c r="A181" s="1201"/>
      <c r="B181" s="1201"/>
      <c r="C181" s="1201"/>
      <c r="D181" s="1201"/>
      <c r="E181" s="1202"/>
      <c r="F181" s="652"/>
      <c r="G181" s="652"/>
      <c r="H181" s="652"/>
      <c r="I181" s="1249"/>
      <c r="J181" s="1215"/>
      <c r="K181" s="1216"/>
      <c r="L181" s="1216"/>
      <c r="M181" s="2578"/>
      <c r="N181" s="2579"/>
      <c r="O181" s="2579"/>
      <c r="P181" s="2191" t="s">
        <v>681</v>
      </c>
      <c r="Q181" s="2576"/>
      <c r="R181" s="2576"/>
      <c r="S181" s="2576"/>
      <c r="T181" s="2576"/>
      <c r="U181" s="2576"/>
      <c r="V181" s="2576"/>
      <c r="W181" s="2576"/>
      <c r="X181" s="2576"/>
      <c r="Y181" s="2576"/>
      <c r="Z181" s="2576"/>
      <c r="AA181" s="2576"/>
      <c r="AB181" s="2574"/>
      <c r="AC181" s="2574"/>
      <c r="AD181" s="2574"/>
      <c r="AE181" s="2575"/>
      <c r="AF181" s="2575"/>
      <c r="AG181" s="2575"/>
      <c r="AH181" s="2575"/>
      <c r="AI181" s="2575"/>
      <c r="AJ181" s="2575"/>
      <c r="AK181" s="2575"/>
      <c r="AL181" s="1275" t="str">
        <f>IF(AND(DN181=FALSE,AB181=""),"←どれか１つ選んでください","")</f>
        <v>←どれか１つ選んでください</v>
      </c>
      <c r="AM181" s="1254"/>
      <c r="AN181" s="1254"/>
      <c r="AO181" s="1254"/>
      <c r="AP181" s="1254"/>
      <c r="AQ181" s="1254"/>
      <c r="AR181" s="1254"/>
      <c r="AS181" s="1254"/>
      <c r="AT181" s="1254"/>
      <c r="AU181" s="1254"/>
      <c r="AV181" s="1254"/>
      <c r="AW181" s="1254"/>
      <c r="AX181" s="1290"/>
      <c r="AY181" s="1254"/>
      <c r="AZ181" s="1254"/>
      <c r="BA181" s="1254"/>
      <c r="BB181" s="1254"/>
      <c r="BC181" s="1254"/>
      <c r="BD181" s="1254"/>
      <c r="BE181" s="1254"/>
      <c r="BF181" s="1254"/>
      <c r="BG181" s="1254"/>
      <c r="BH181" s="1254"/>
      <c r="BI181" s="1254"/>
      <c r="BJ181" s="1254"/>
      <c r="BK181" s="1254"/>
      <c r="BL181" s="1254"/>
      <c r="BM181" s="1254"/>
      <c r="BN181" s="1255"/>
      <c r="BO181" s="1255"/>
      <c r="BP181" s="1255"/>
      <c r="BQ181" s="1255"/>
      <c r="BR181" s="1255"/>
      <c r="BS181" s="1255"/>
      <c r="BT181" s="1255"/>
      <c r="BU181" s="616"/>
      <c r="BV181" s="617" t="s">
        <v>1844</v>
      </c>
      <c r="BW181" s="2160" t="s">
        <v>1904</v>
      </c>
      <c r="BX181" s="2160"/>
      <c r="BY181" s="2160"/>
      <c r="BZ181" s="2160"/>
      <c r="CA181" s="2160"/>
      <c r="CB181" s="2160"/>
      <c r="CC181" s="2160"/>
      <c r="CD181" s="2160"/>
      <c r="CE181" s="2160"/>
      <c r="CF181" s="2160"/>
      <c r="CG181" s="2160"/>
      <c r="CH181" s="2160"/>
      <c r="CI181" s="2160"/>
      <c r="CJ181" s="2160"/>
      <c r="CK181" s="2160"/>
      <c r="CL181" s="2160"/>
      <c r="CM181" s="2160"/>
      <c r="CN181" s="2160"/>
      <c r="CO181" s="2160"/>
      <c r="CP181" s="2160"/>
      <c r="CQ181" s="2160"/>
      <c r="CR181" s="2160"/>
      <c r="CS181" s="2160"/>
      <c r="CT181" s="1180"/>
      <c r="CU181" s="409"/>
      <c r="CV181" s="388"/>
      <c r="CW181" s="388"/>
      <c r="CX181" s="207"/>
      <c r="CY181" s="207"/>
      <c r="CZ181" s="207"/>
      <c r="DA181" s="207"/>
      <c r="DB181" s="207"/>
      <c r="DC181" s="15"/>
      <c r="DD181" s="16"/>
      <c r="DE181" s="16"/>
      <c r="DF181" s="84"/>
      <c r="DG181" s="84"/>
      <c r="DH181" s="84"/>
      <c r="DI181" s="1593"/>
      <c r="DJ181" s="1166"/>
      <c r="DK181" s="1163"/>
      <c r="DL181" s="77"/>
      <c r="DM181" s="77"/>
      <c r="DN181" s="223"/>
      <c r="DO181" s="1447" t="str">
        <f>IF($AB$181="有","レ","")</f>
        <v/>
      </c>
      <c r="DP181" s="1447" t="str">
        <f>IF($AB$181="有(各階平面図のみあり)","レ","")</f>
        <v/>
      </c>
      <c r="DQ181" s="1447" t="str">
        <f>IF($AB$181="無","レ","")</f>
        <v/>
      </c>
      <c r="FO181" s="579"/>
      <c r="GA181" s="77"/>
    </row>
    <row r="182" spans="1:183" s="78" customFormat="1" ht="27" customHeight="1" thickBot="1" x14ac:dyDescent="0.2">
      <c r="A182" s="1201"/>
      <c r="B182" s="1201"/>
      <c r="C182" s="1201"/>
      <c r="D182" s="1201"/>
      <c r="E182" s="1202"/>
      <c r="F182" s="652"/>
      <c r="G182" s="652"/>
      <c r="H182" s="652"/>
      <c r="I182" s="1249"/>
      <c r="J182" s="1215"/>
      <c r="K182" s="1216"/>
      <c r="L182" s="1216"/>
      <c r="M182" s="2595"/>
      <c r="N182" s="2596"/>
      <c r="O182" s="2596"/>
      <c r="P182" s="2514" t="s">
        <v>972</v>
      </c>
      <c r="Q182" s="2591"/>
      <c r="R182" s="2591"/>
      <c r="S182" s="2591"/>
      <c r="T182" s="2591"/>
      <c r="U182" s="2588" t="s">
        <v>1101</v>
      </c>
      <c r="V182" s="2588"/>
      <c r="W182" s="2588"/>
      <c r="X182" s="2588"/>
      <c r="Y182" s="2588"/>
      <c r="Z182" s="2588"/>
      <c r="AA182" s="2588"/>
      <c r="AB182" s="2137"/>
      <c r="AC182" s="2138"/>
      <c r="AD182" s="2138"/>
      <c r="AE182" s="1291" t="str">
        <f>IF(AND(AB182="", DN181=FALSE),"←どちらかは必ず選んでください","")</f>
        <v>←どちらかは必ず選んでください</v>
      </c>
      <c r="AF182" s="1292"/>
      <c r="AG182" s="1292"/>
      <c r="AH182" s="1292"/>
      <c r="AI182" s="1292"/>
      <c r="AJ182" s="1292"/>
      <c r="AK182" s="1292"/>
      <c r="AL182" s="1293"/>
      <c r="AM182" s="1293"/>
      <c r="AN182" s="1293"/>
      <c r="AO182" s="1293"/>
      <c r="AP182" s="1293"/>
      <c r="AQ182" s="1293"/>
      <c r="AR182" s="1293"/>
      <c r="AS182" s="1293"/>
      <c r="AT182" s="1293"/>
      <c r="AU182" s="1293"/>
      <c r="AV182" s="1293"/>
      <c r="AW182" s="1293"/>
      <c r="AX182" s="1293"/>
      <c r="AY182" s="1293"/>
      <c r="AZ182" s="1293"/>
      <c r="BA182" s="1293"/>
      <c r="BB182" s="1293"/>
      <c r="BC182" s="1293"/>
      <c r="BD182" s="1293"/>
      <c r="BE182" s="1293"/>
      <c r="BF182" s="1293"/>
      <c r="BG182" s="1293"/>
      <c r="BH182" s="1293"/>
      <c r="BI182" s="1293"/>
      <c r="BJ182" s="1293"/>
      <c r="BK182" s="1293"/>
      <c r="BL182" s="1293"/>
      <c r="BM182" s="1293"/>
      <c r="BN182" s="1293"/>
      <c r="BO182" s="1293"/>
      <c r="BP182" s="1293"/>
      <c r="BQ182" s="1293"/>
      <c r="BR182" s="1293"/>
      <c r="BS182" s="1250"/>
      <c r="BT182" s="1250"/>
      <c r="BU182" s="395"/>
      <c r="BV182" s="1180"/>
      <c r="BW182" s="2160"/>
      <c r="BX182" s="2160"/>
      <c r="BY182" s="2160"/>
      <c r="BZ182" s="2160"/>
      <c r="CA182" s="2160"/>
      <c r="CB182" s="2160"/>
      <c r="CC182" s="2160"/>
      <c r="CD182" s="2160"/>
      <c r="CE182" s="2160"/>
      <c r="CF182" s="2160"/>
      <c r="CG182" s="2160"/>
      <c r="CH182" s="2160"/>
      <c r="CI182" s="2160"/>
      <c r="CJ182" s="2160"/>
      <c r="CK182" s="2160"/>
      <c r="CL182" s="2160"/>
      <c r="CM182" s="2160"/>
      <c r="CN182" s="2160"/>
      <c r="CO182" s="2160"/>
      <c r="CP182" s="2160"/>
      <c r="CQ182" s="2160"/>
      <c r="CR182" s="2160"/>
      <c r="CS182" s="2160"/>
      <c r="CT182" s="1180"/>
      <c r="CU182" s="409"/>
      <c r="CV182" s="388"/>
      <c r="CW182" s="388"/>
      <c r="CX182" s="207"/>
      <c r="CY182" s="207"/>
      <c r="CZ182" s="207"/>
      <c r="DA182" s="207"/>
      <c r="DB182" s="207"/>
      <c r="DC182" s="15"/>
      <c r="DD182" s="16"/>
      <c r="DE182" s="16"/>
      <c r="DF182" s="84"/>
      <c r="DG182" s="84"/>
      <c r="DH182" s="84"/>
      <c r="DI182" s="1593"/>
      <c r="DJ182" s="1166"/>
      <c r="DK182" s="1163"/>
      <c r="DL182" s="77"/>
      <c r="DM182" s="90"/>
      <c r="DN182" s="89">
        <f>COUNTA(AB183,AB184,AE184,AJ184,AO184,AB185,AB186,AB187)</f>
        <v>0</v>
      </c>
      <c r="DO182" s="92" t="s">
        <v>831</v>
      </c>
      <c r="DP182" s="92" t="s">
        <v>833</v>
      </c>
      <c r="DR182" s="92" t="s">
        <v>834</v>
      </c>
      <c r="DS182" s="92" t="s">
        <v>835</v>
      </c>
      <c r="DT182" s="92" t="s">
        <v>839</v>
      </c>
      <c r="DU182" s="92" t="s">
        <v>840</v>
      </c>
      <c r="DV182" s="92" t="s">
        <v>837</v>
      </c>
      <c r="DW182" s="92" t="s">
        <v>838</v>
      </c>
      <c r="DX182" s="92" t="s">
        <v>836</v>
      </c>
      <c r="DY182" s="92" t="s">
        <v>836</v>
      </c>
      <c r="FO182" s="579"/>
      <c r="GA182" s="77"/>
    </row>
    <row r="183" spans="1:183" s="78" customFormat="1" ht="27" customHeight="1" x14ac:dyDescent="0.15">
      <c r="A183" s="1201"/>
      <c r="B183" s="1201"/>
      <c r="C183" s="1201"/>
      <c r="D183" s="1201"/>
      <c r="E183" s="1202"/>
      <c r="F183" s="652"/>
      <c r="G183" s="652"/>
      <c r="H183" s="652"/>
      <c r="I183" s="1249"/>
      <c r="J183" s="1215"/>
      <c r="K183" s="1216"/>
      <c r="L183" s="1216"/>
      <c r="M183" s="2596"/>
      <c r="N183" s="2596"/>
      <c r="O183" s="2596"/>
      <c r="P183" s="2592"/>
      <c r="Q183" s="2592"/>
      <c r="R183" s="2592"/>
      <c r="S183" s="2592"/>
      <c r="T183" s="2592"/>
      <c r="U183" s="2192" t="s">
        <v>974</v>
      </c>
      <c r="V183" s="2193"/>
      <c r="W183" s="2193"/>
      <c r="X183" s="2193"/>
      <c r="Y183" s="2193"/>
      <c r="Z183" s="2193"/>
      <c r="AA183" s="2193"/>
      <c r="AB183" s="2201"/>
      <c r="AC183" s="2201"/>
      <c r="AD183" s="2201"/>
      <c r="AE183" s="2201"/>
      <c r="AF183" s="2201"/>
      <c r="AG183" s="2201"/>
      <c r="AH183" s="2201"/>
      <c r="AI183" s="2201"/>
      <c r="AJ183" s="2201"/>
      <c r="AK183" s="2163"/>
      <c r="AL183" s="1254"/>
      <c r="AM183" s="1254"/>
      <c r="AN183" s="1254"/>
      <c r="AO183" s="1254"/>
      <c r="AP183" s="1254"/>
      <c r="AQ183" s="1254"/>
      <c r="AR183" s="1216"/>
      <c r="AS183" s="1295" t="str">
        <f>IF(AND(AB182="有",DN182&lt;7),"←確認済証が有る場合、種別と交付番号等の入力が必要です","")</f>
        <v/>
      </c>
      <c r="AT183" s="1216"/>
      <c r="AU183" s="1216"/>
      <c r="AV183" s="1216"/>
      <c r="AW183" s="1216"/>
      <c r="AX183" s="1216"/>
      <c r="AY183" s="1216"/>
      <c r="AZ183" s="1216"/>
      <c r="BA183" s="1216"/>
      <c r="BB183" s="1216"/>
      <c r="BC183" s="1216"/>
      <c r="BD183" s="1216"/>
      <c r="BE183" s="1216"/>
      <c r="BF183" s="1216"/>
      <c r="BG183" s="1216"/>
      <c r="BH183" s="1216"/>
      <c r="BI183" s="1216"/>
      <c r="BJ183" s="1216"/>
      <c r="BK183" s="1216"/>
      <c r="BL183" s="1216"/>
      <c r="BM183" s="1216"/>
      <c r="BN183" s="1216"/>
      <c r="BO183" s="1216"/>
      <c r="BP183" s="1216"/>
      <c r="BQ183" s="1216"/>
      <c r="BR183" s="1216"/>
      <c r="BS183" s="1216"/>
      <c r="BT183" s="1216"/>
      <c r="BU183" s="395"/>
      <c r="BV183" s="1180"/>
      <c r="BW183" s="1180"/>
      <c r="BX183" s="1180"/>
      <c r="BY183" s="1180"/>
      <c r="BZ183" s="1180"/>
      <c r="CA183" s="1180"/>
      <c r="CB183" s="1180"/>
      <c r="CC183" s="1180"/>
      <c r="CD183" s="1180"/>
      <c r="CE183" s="1180"/>
      <c r="CF183" s="1180"/>
      <c r="CG183" s="1180"/>
      <c r="CH183" s="1180"/>
      <c r="CI183" s="1180"/>
      <c r="CJ183" s="1180"/>
      <c r="CK183" s="1180"/>
      <c r="CL183" s="1180"/>
      <c r="CM183" s="1180"/>
      <c r="CN183" s="1180"/>
      <c r="CO183" s="1180"/>
      <c r="CP183" s="1180"/>
      <c r="CQ183" s="1180"/>
      <c r="CR183" s="1180"/>
      <c r="CS183" s="1180"/>
      <c r="CT183" s="1180"/>
      <c r="CU183" s="409"/>
      <c r="CV183" s="388"/>
      <c r="CW183" s="388"/>
      <c r="CX183" s="207"/>
      <c r="CY183" s="207"/>
      <c r="CZ183" s="207"/>
      <c r="DA183" s="207"/>
      <c r="DB183" s="207"/>
      <c r="DC183" s="15"/>
      <c r="DD183" s="16"/>
      <c r="DE183" s="16"/>
      <c r="DF183" s="84"/>
      <c r="DG183" s="84"/>
      <c r="DH183" s="84"/>
      <c r="DI183" s="1593"/>
      <c r="DJ183" s="1166"/>
      <c r="DK183" s="1163"/>
      <c r="DL183" s="77"/>
      <c r="DM183" s="77"/>
      <c r="DN183" s="77"/>
      <c r="DO183" s="1447" t="str">
        <f>IF($AB$182="有","レ","")</f>
        <v/>
      </c>
      <c r="DP183" s="1447" t="str">
        <f>IF($AB$182="無","レ","")</f>
        <v/>
      </c>
      <c r="DQ183" s="77"/>
      <c r="DR183" s="86" t="str">
        <f>IF($AB$183="新築","レ","")</f>
        <v/>
      </c>
      <c r="DS183" s="86" t="str">
        <f>IF($AB$183="増築","レ","")</f>
        <v/>
      </c>
      <c r="DT183" s="86" t="str">
        <f>IF($AB$183="改築","レ","")</f>
        <v/>
      </c>
      <c r="DU183" s="86" t="str">
        <f>IF($AB$183="移転","レ","")</f>
        <v/>
      </c>
      <c r="DV183" s="86" t="str">
        <f>IF($AB$183="用途変更","レ","")</f>
        <v/>
      </c>
      <c r="DW183" s="86" t="str">
        <f>IF($AB$183="大規模の修繕","レ","")</f>
        <v/>
      </c>
      <c r="DX183" s="86" t="str">
        <f>IF($AB$183="大規模の模様替","レ","")</f>
        <v/>
      </c>
      <c r="DY183" s="86" t="str">
        <f>IF($AB$183="大規模の模様替","レ","")</f>
        <v/>
      </c>
      <c r="EC183" s="1707" t="s">
        <v>3103</v>
      </c>
      <c r="FO183" s="579"/>
      <c r="GA183" s="77"/>
    </row>
    <row r="184" spans="1:183" s="78" customFormat="1" ht="27" customHeight="1" x14ac:dyDescent="0.15">
      <c r="A184" s="1201"/>
      <c r="B184" s="1201"/>
      <c r="C184" s="1201"/>
      <c r="D184" s="1201"/>
      <c r="E184" s="1202"/>
      <c r="F184" s="652"/>
      <c r="G184" s="652"/>
      <c r="H184" s="652"/>
      <c r="I184" s="1249"/>
      <c r="J184" s="1215"/>
      <c r="K184" s="1216"/>
      <c r="L184" s="1216"/>
      <c r="M184" s="2596"/>
      <c r="N184" s="2596"/>
      <c r="O184" s="2596"/>
      <c r="P184" s="2592"/>
      <c r="Q184" s="2592"/>
      <c r="R184" s="2592"/>
      <c r="S184" s="2592"/>
      <c r="T184" s="2592"/>
      <c r="U184" s="2192" t="s">
        <v>687</v>
      </c>
      <c r="V184" s="2193"/>
      <c r="W184" s="2193"/>
      <c r="X184" s="2193"/>
      <c r="Y184" s="2193"/>
      <c r="Z184" s="2193"/>
      <c r="AA184" s="2193"/>
      <c r="AB184" s="2552"/>
      <c r="AC184" s="2553"/>
      <c r="AD184" s="2553"/>
      <c r="AE184" s="2519"/>
      <c r="AF184" s="2519"/>
      <c r="AG184" s="2520"/>
      <c r="AH184" s="1296" t="s">
        <v>12</v>
      </c>
      <c r="AI184" s="1297"/>
      <c r="AJ184" s="2140"/>
      <c r="AK184" s="2140"/>
      <c r="AL184" s="2140"/>
      <c r="AM184" s="1253" t="s">
        <v>163</v>
      </c>
      <c r="AN184" s="1253"/>
      <c r="AO184" s="2140"/>
      <c r="AP184" s="2140"/>
      <c r="AQ184" s="2140"/>
      <c r="AR184" s="1216" t="s">
        <v>164</v>
      </c>
      <c r="AS184" s="1216"/>
      <c r="AT184" s="1216"/>
      <c r="AU184" s="1216"/>
      <c r="AV184" s="1216"/>
      <c r="AW184" s="1216"/>
      <c r="AX184" s="1216"/>
      <c r="AY184" s="1216"/>
      <c r="AZ184" s="1216"/>
      <c r="BA184" s="1216"/>
      <c r="BB184" s="1216"/>
      <c r="BC184" s="1216"/>
      <c r="BD184" s="1216"/>
      <c r="BE184" s="1216"/>
      <c r="BF184" s="1216"/>
      <c r="BG184" s="1216"/>
      <c r="BH184" s="1216"/>
      <c r="BI184" s="1216"/>
      <c r="BJ184" s="1216"/>
      <c r="BK184" s="1216"/>
      <c r="BL184" s="1216"/>
      <c r="BM184" s="1216"/>
      <c r="BN184" s="1216"/>
      <c r="BO184" s="1216"/>
      <c r="BP184" s="1216"/>
      <c r="BQ184" s="1216"/>
      <c r="BR184" s="1216"/>
      <c r="BS184" s="1216"/>
      <c r="BT184" s="1216"/>
      <c r="BU184" s="395"/>
      <c r="BV184" s="618" t="s">
        <v>2793</v>
      </c>
      <c r="BW184" s="619"/>
      <c r="BX184" s="619"/>
      <c r="BY184" s="619"/>
      <c r="BZ184" s="619"/>
      <c r="CA184" s="619"/>
      <c r="CB184" s="619"/>
      <c r="CC184" s="619"/>
      <c r="CD184" s="619"/>
      <c r="CE184" s="619"/>
      <c r="CF184" s="619"/>
      <c r="CG184" s="619"/>
      <c r="CH184" s="619"/>
      <c r="CI184" s="619"/>
      <c r="CJ184" s="619"/>
      <c r="CK184" s="619"/>
      <c r="CL184" s="619"/>
      <c r="CM184" s="619"/>
      <c r="CN184" s="619"/>
      <c r="CO184" s="619"/>
      <c r="CP184" s="619"/>
      <c r="CQ184" s="619"/>
      <c r="CR184" s="619"/>
      <c r="CS184" s="619"/>
      <c r="CT184" s="619"/>
      <c r="CU184" s="409"/>
      <c r="CV184" s="388"/>
      <c r="CW184" s="388"/>
      <c r="CX184" s="207"/>
      <c r="CY184" s="207"/>
      <c r="CZ184" s="207"/>
      <c r="DA184" s="207"/>
      <c r="DB184" s="207"/>
      <c r="DC184" s="15"/>
      <c r="DD184" s="16"/>
      <c r="DE184" s="16"/>
      <c r="DF184" s="84"/>
      <c r="DG184" s="84"/>
      <c r="DH184" s="84"/>
      <c r="DI184" s="1593"/>
      <c r="DJ184" s="1166"/>
      <c r="DK184" s="1163"/>
      <c r="DL184" s="77"/>
      <c r="DM184" s="77"/>
      <c r="DN184" s="77"/>
      <c r="DZ184" s="1715"/>
      <c r="EA184" s="1945" t="str">
        <f>IF(AB184&lt;&gt;"",DATE(VLOOKUP(AB184,$EB$184:$EC$187,2,FALSE)+AE184,AJ184,AO184),"")</f>
        <v/>
      </c>
      <c r="EB184" s="1716" t="str">
        <f>DT6</f>
        <v>昭和</v>
      </c>
      <c r="EC184" s="155">
        <f>DV6</f>
        <v>1925</v>
      </c>
      <c r="FO184" s="579"/>
      <c r="GA184" s="77"/>
    </row>
    <row r="185" spans="1:183" s="78" customFormat="1" ht="27" customHeight="1" x14ac:dyDescent="0.15">
      <c r="A185" s="1201"/>
      <c r="B185" s="1201"/>
      <c r="C185" s="1201"/>
      <c r="D185" s="1201"/>
      <c r="E185" s="1202"/>
      <c r="F185" s="652"/>
      <c r="G185" s="652"/>
      <c r="H185" s="652"/>
      <c r="I185" s="1249"/>
      <c r="J185" s="1215"/>
      <c r="K185" s="1216"/>
      <c r="L185" s="1216"/>
      <c r="M185" s="2596"/>
      <c r="N185" s="2596"/>
      <c r="O185" s="2596"/>
      <c r="P185" s="2592"/>
      <c r="Q185" s="2592"/>
      <c r="R185" s="2592"/>
      <c r="S185" s="2592"/>
      <c r="T185" s="2592"/>
      <c r="U185" s="2192" t="s">
        <v>683</v>
      </c>
      <c r="V185" s="2193"/>
      <c r="W185" s="2193"/>
      <c r="X185" s="2193"/>
      <c r="Y185" s="2193"/>
      <c r="Z185" s="2193"/>
      <c r="AA185" s="2193"/>
      <c r="AB185" s="2167"/>
      <c r="AC185" s="2167"/>
      <c r="AD185" s="2167"/>
      <c r="AE185" s="2167"/>
      <c r="AF185" s="2167"/>
      <c r="AG185" s="2167"/>
      <c r="AH185" s="2167"/>
      <c r="AI185" s="2167"/>
      <c r="AJ185" s="2167"/>
      <c r="AK185" s="2167"/>
      <c r="AL185" s="2167"/>
      <c r="AM185" s="2167"/>
      <c r="AN185" s="2167"/>
      <c r="AO185" s="2167"/>
      <c r="AP185" s="2167"/>
      <c r="AQ185" s="2167"/>
      <c r="AR185" s="2167"/>
      <c r="AS185" s="2167"/>
      <c r="AT185" s="2167"/>
      <c r="AU185" s="2167"/>
      <c r="AV185" s="1216" t="s">
        <v>4</v>
      </c>
      <c r="AW185" s="1298"/>
      <c r="AX185" s="1298"/>
      <c r="AY185" s="1298"/>
      <c r="AZ185" s="1298"/>
      <c r="BA185" s="1298"/>
      <c r="BB185" s="1298"/>
      <c r="BC185" s="1298"/>
      <c r="BD185" s="1298"/>
      <c r="BE185" s="1298"/>
      <c r="BF185" s="1298"/>
      <c r="BG185" s="1298"/>
      <c r="BH185" s="1298"/>
      <c r="BI185" s="1298"/>
      <c r="BJ185" s="1298"/>
      <c r="BK185" s="1298"/>
      <c r="BL185" s="1298"/>
      <c r="BM185" s="1298"/>
      <c r="BN185" s="1298"/>
      <c r="BO185" s="1298"/>
      <c r="BP185" s="1298"/>
      <c r="BQ185" s="1298"/>
      <c r="BR185" s="1298"/>
      <c r="BS185" s="1298"/>
      <c r="BT185" s="1298"/>
      <c r="BU185" s="395"/>
      <c r="BV185" s="1180"/>
      <c r="BW185" s="2160" t="s">
        <v>3391</v>
      </c>
      <c r="BX185" s="2160"/>
      <c r="BY185" s="2160"/>
      <c r="BZ185" s="2160"/>
      <c r="CA185" s="2160"/>
      <c r="CB185" s="2160"/>
      <c r="CC185" s="2160"/>
      <c r="CD185" s="2160"/>
      <c r="CE185" s="2160"/>
      <c r="CF185" s="2160"/>
      <c r="CG185" s="2160"/>
      <c r="CH185" s="2160"/>
      <c r="CI185" s="2160"/>
      <c r="CJ185" s="2160"/>
      <c r="CK185" s="2160"/>
      <c r="CL185" s="2160"/>
      <c r="CM185" s="2160"/>
      <c r="CN185" s="2160"/>
      <c r="CO185" s="2160"/>
      <c r="CP185" s="2160"/>
      <c r="CQ185" s="2160"/>
      <c r="CR185" s="2160"/>
      <c r="CS185" s="2160"/>
      <c r="CT185" s="1180"/>
      <c r="CU185" s="409"/>
      <c r="CV185" s="388"/>
      <c r="CW185" s="388"/>
      <c r="CX185" s="207"/>
      <c r="CY185" s="207"/>
      <c r="CZ185" s="207"/>
      <c r="DA185" s="207"/>
      <c r="DB185" s="207"/>
      <c r="DC185" s="15"/>
      <c r="DD185" s="16"/>
      <c r="DE185" s="16"/>
      <c r="DF185" s="16"/>
      <c r="DG185" s="16"/>
      <c r="DH185" s="16"/>
      <c r="DI185" s="1593"/>
      <c r="DJ185" s="1163"/>
      <c r="DK185" s="1163"/>
      <c r="DL185" s="77"/>
      <c r="DM185" s="77"/>
      <c r="DN185" s="77"/>
      <c r="DZ185" s="1715" t="s">
        <v>3107</v>
      </c>
      <c r="EA185" s="155" t="str">
        <f>TEXT($EA$184,"yyyy/mm/dd")</f>
        <v/>
      </c>
      <c r="EB185" s="1716" t="str">
        <f>DT7</f>
        <v>平成</v>
      </c>
      <c r="EC185" s="155">
        <f>DV7</f>
        <v>1988</v>
      </c>
      <c r="EG185" s="73"/>
      <c r="EH185" s="73"/>
      <c r="EI185" s="73"/>
      <c r="EJ185" s="73"/>
      <c r="EK185" s="73"/>
      <c r="FO185" s="579"/>
      <c r="FV185" s="73"/>
      <c r="FW185" s="73"/>
      <c r="FX185" s="73"/>
      <c r="FY185" s="73"/>
      <c r="FZ185" s="73"/>
      <c r="GA185" s="77"/>
    </row>
    <row r="186" spans="1:183" s="10" customFormat="1" ht="27" customHeight="1" x14ac:dyDescent="0.15">
      <c r="A186" s="1201"/>
      <c r="B186" s="1201"/>
      <c r="C186" s="1201"/>
      <c r="D186" s="1201"/>
      <c r="E186" s="1202"/>
      <c r="F186" s="652"/>
      <c r="G186" s="652"/>
      <c r="H186" s="652"/>
      <c r="I186" s="1203"/>
      <c r="J186" s="1260"/>
      <c r="K186" s="1261"/>
      <c r="L186" s="1261"/>
      <c r="M186" s="2596"/>
      <c r="N186" s="2596"/>
      <c r="O186" s="2596"/>
      <c r="P186" s="2592"/>
      <c r="Q186" s="2592"/>
      <c r="R186" s="2592"/>
      <c r="S186" s="2592"/>
      <c r="T186" s="2592"/>
      <c r="U186" s="2192" t="s">
        <v>684</v>
      </c>
      <c r="V186" s="2193"/>
      <c r="W186" s="2193"/>
      <c r="X186" s="2193"/>
      <c r="Y186" s="2193"/>
      <c r="Z186" s="2193"/>
      <c r="AA186" s="2193"/>
      <c r="AB186" s="2167"/>
      <c r="AC186" s="2167"/>
      <c r="AD186" s="2167"/>
      <c r="AE186" s="2167"/>
      <c r="AF186" s="2167"/>
      <c r="AG186" s="2167"/>
      <c r="AH186" s="2167"/>
      <c r="AI186" s="2167"/>
      <c r="AJ186" s="2167"/>
      <c r="AK186" s="2167"/>
      <c r="AL186" s="2167"/>
      <c r="AM186" s="2167"/>
      <c r="AN186" s="2167"/>
      <c r="AO186" s="2167"/>
      <c r="AP186" s="2167"/>
      <c r="AQ186" s="2167"/>
      <c r="AR186" s="2167"/>
      <c r="AS186" s="2167"/>
      <c r="AT186" s="2167"/>
      <c r="AU186" s="2167"/>
      <c r="AV186" s="1298"/>
      <c r="AW186" s="1298"/>
      <c r="AX186" s="1298"/>
      <c r="AY186" s="1298"/>
      <c r="AZ186" s="1298"/>
      <c r="BA186" s="1298"/>
      <c r="BB186" s="1298"/>
      <c r="BC186" s="1298"/>
      <c r="BD186" s="1298"/>
      <c r="BE186" s="1298"/>
      <c r="BF186" s="1298"/>
      <c r="BG186" s="1298"/>
      <c r="BH186" s="1298"/>
      <c r="BI186" s="1298"/>
      <c r="BJ186" s="1298"/>
      <c r="BK186" s="1298"/>
      <c r="BL186" s="1298"/>
      <c r="BM186" s="1298"/>
      <c r="BN186" s="1298"/>
      <c r="BO186" s="1298"/>
      <c r="BP186" s="1298"/>
      <c r="BQ186" s="1298"/>
      <c r="BR186" s="1298"/>
      <c r="BS186" s="1298"/>
      <c r="BT186" s="1298"/>
      <c r="BU186" s="410"/>
      <c r="BV186" s="1180"/>
      <c r="BW186" s="2160"/>
      <c r="BX186" s="2160"/>
      <c r="BY186" s="2160"/>
      <c r="BZ186" s="2160"/>
      <c r="CA186" s="2160"/>
      <c r="CB186" s="2160"/>
      <c r="CC186" s="2160"/>
      <c r="CD186" s="2160"/>
      <c r="CE186" s="2160"/>
      <c r="CF186" s="2160"/>
      <c r="CG186" s="2160"/>
      <c r="CH186" s="2160"/>
      <c r="CI186" s="2160"/>
      <c r="CJ186" s="2160"/>
      <c r="CK186" s="2160"/>
      <c r="CL186" s="2160"/>
      <c r="CM186" s="2160"/>
      <c r="CN186" s="2160"/>
      <c r="CO186" s="2160"/>
      <c r="CP186" s="2160"/>
      <c r="CQ186" s="2160"/>
      <c r="CR186" s="2160"/>
      <c r="CS186" s="2160"/>
      <c r="CT186" s="1180"/>
      <c r="CU186" s="409"/>
      <c r="CV186" s="388"/>
      <c r="CW186" s="388"/>
      <c r="CX186" s="207"/>
      <c r="CY186" s="207"/>
      <c r="CZ186" s="207"/>
      <c r="DA186" s="207"/>
      <c r="DB186" s="207"/>
      <c r="DC186" s="15"/>
      <c r="DD186" s="16"/>
      <c r="DE186" s="16"/>
      <c r="DF186" s="18"/>
      <c r="DG186" s="18"/>
      <c r="DH186" s="18"/>
      <c r="DI186" s="1594"/>
      <c r="DJ186" s="1154"/>
      <c r="DK186" s="1600"/>
      <c r="DL186" s="18"/>
      <c r="DO186" s="93" t="s">
        <v>3364</v>
      </c>
      <c r="DP186" s="93" t="s">
        <v>841</v>
      </c>
      <c r="EA186" s="196" t="s">
        <v>3104</v>
      </c>
      <c r="EB186" s="155" t="str">
        <f>DT8</f>
        <v>令和</v>
      </c>
      <c r="EC186" s="155">
        <f>DV8</f>
        <v>2018</v>
      </c>
      <c r="EG186" s="80"/>
      <c r="EH186" s="80"/>
      <c r="EI186" s="80"/>
      <c r="EJ186" s="80"/>
      <c r="EK186" s="80"/>
      <c r="FO186" s="620"/>
      <c r="FV186" s="80"/>
      <c r="FW186" s="80"/>
      <c r="FX186" s="80"/>
      <c r="FY186" s="80"/>
      <c r="FZ186" s="80"/>
    </row>
    <row r="187" spans="1:183" ht="27" customHeight="1" x14ac:dyDescent="0.15">
      <c r="A187" s="1201"/>
      <c r="B187" s="1201"/>
      <c r="C187" s="1201"/>
      <c r="D187" s="1201"/>
      <c r="E187" s="1202"/>
      <c r="J187" s="1260"/>
      <c r="K187" s="1261"/>
      <c r="L187" s="1261"/>
      <c r="M187" s="2596"/>
      <c r="N187" s="2596"/>
      <c r="O187" s="2596"/>
      <c r="P187" s="2593"/>
      <c r="Q187" s="2593"/>
      <c r="R187" s="2593"/>
      <c r="S187" s="2593"/>
      <c r="T187" s="2593"/>
      <c r="U187" s="2508" t="s">
        <v>686</v>
      </c>
      <c r="V187" s="2573"/>
      <c r="W187" s="2573"/>
      <c r="X187" s="2573"/>
      <c r="Y187" s="2573"/>
      <c r="Z187" s="2573"/>
      <c r="AA187" s="2573"/>
      <c r="AB187" s="2224"/>
      <c r="AC187" s="2224"/>
      <c r="AD187" s="2224"/>
      <c r="AE187" s="2198"/>
      <c r="AF187" s="2198"/>
      <c r="AG187" s="2198"/>
      <c r="AH187" s="2198"/>
      <c r="AI187" s="2198"/>
      <c r="AJ187" s="2198"/>
      <c r="AK187" s="2198"/>
      <c r="AL187" s="2198"/>
      <c r="AM187" s="2198"/>
      <c r="AN187" s="2198"/>
      <c r="AO187" s="2198"/>
      <c r="AP187" s="2198"/>
      <c r="AQ187" s="2198"/>
      <c r="AR187" s="2198"/>
      <c r="AS187" s="2198"/>
      <c r="AT187" s="2198"/>
      <c r="AU187" s="2198"/>
      <c r="AV187" s="1266" t="str">
        <f>IF(AND(AB182="有",AB186="指定確認検査機関",AB187=""),"←指定確認検査機関名が必要です","")</f>
        <v/>
      </c>
      <c r="AW187" s="1299"/>
      <c r="AX187" s="1299"/>
      <c r="AY187" s="1299"/>
      <c r="AZ187" s="1299"/>
      <c r="BA187" s="1299"/>
      <c r="BB187" s="1299"/>
      <c r="BC187" s="1299"/>
      <c r="BD187" s="1299"/>
      <c r="BE187" s="1299"/>
      <c r="BF187" s="1299"/>
      <c r="BG187" s="1299"/>
      <c r="BH187" s="1299"/>
      <c r="BI187" s="1299"/>
      <c r="BJ187" s="1299"/>
      <c r="BK187" s="1299"/>
      <c r="BL187" s="1299"/>
      <c r="BM187" s="1299"/>
      <c r="BN187" s="1299"/>
      <c r="BO187" s="1299"/>
      <c r="BP187" s="1299"/>
      <c r="BQ187" s="1299"/>
      <c r="BR187" s="1299"/>
      <c r="BS187" s="1299"/>
      <c r="BT187" s="1299"/>
      <c r="BU187" s="584"/>
      <c r="BV187" s="1180"/>
      <c r="BW187" s="2160"/>
      <c r="BX187" s="2160"/>
      <c r="BY187" s="2160"/>
      <c r="BZ187" s="2160"/>
      <c r="CA187" s="2160"/>
      <c r="CB187" s="2160"/>
      <c r="CC187" s="2160"/>
      <c r="CD187" s="2160"/>
      <c r="CE187" s="2160"/>
      <c r="CF187" s="2160"/>
      <c r="CG187" s="2160"/>
      <c r="CH187" s="2160"/>
      <c r="CI187" s="2160"/>
      <c r="CJ187" s="2160"/>
      <c r="CK187" s="2160"/>
      <c r="CL187" s="2160"/>
      <c r="CM187" s="2160"/>
      <c r="CN187" s="2160"/>
      <c r="CO187" s="2160"/>
      <c r="CP187" s="2160"/>
      <c r="CQ187" s="2160"/>
      <c r="CR187" s="2160"/>
      <c r="CS187" s="2160"/>
      <c r="CT187" s="1180"/>
      <c r="CU187" s="409"/>
      <c r="DD187" s="16"/>
      <c r="DE187" s="16"/>
      <c r="DF187" s="16"/>
      <c r="DG187" s="16"/>
      <c r="DH187" s="16"/>
      <c r="DI187" s="1593"/>
      <c r="DJ187" s="1163"/>
      <c r="DO187" s="1555" t="str">
        <f>IF(AB186="建築主事等","レ","")</f>
        <v/>
      </c>
      <c r="DP187" s="1555" t="str">
        <f>IF(AB186="指定確認検査機関","レ","")</f>
        <v/>
      </c>
      <c r="EA187" s="196"/>
      <c r="EB187" s="155">
        <f>DT9</f>
        <v>0</v>
      </c>
      <c r="EC187" s="155">
        <f>DV9</f>
        <v>0</v>
      </c>
      <c r="EG187" s="80"/>
      <c r="EH187" s="80"/>
      <c r="EI187" s="80"/>
      <c r="EJ187" s="80"/>
      <c r="EK187" s="80"/>
      <c r="FV187" s="80"/>
      <c r="FW187" s="80"/>
      <c r="FX187" s="80"/>
      <c r="FY187" s="80"/>
      <c r="FZ187" s="80"/>
    </row>
    <row r="188" spans="1:183" s="78" customFormat="1" ht="27" customHeight="1" thickBot="1" x14ac:dyDescent="0.2">
      <c r="A188" s="1201"/>
      <c r="B188" s="1201"/>
      <c r="C188" s="1201"/>
      <c r="D188" s="1201"/>
      <c r="E188" s="1202"/>
      <c r="F188" s="652"/>
      <c r="G188" s="652"/>
      <c r="H188" s="652"/>
      <c r="I188" s="1249"/>
      <c r="J188" s="1215"/>
      <c r="K188" s="1216"/>
      <c r="L188" s="1216"/>
      <c r="M188" s="2596"/>
      <c r="N188" s="2596"/>
      <c r="O188" s="2596"/>
      <c r="P188" s="2243" t="s">
        <v>682</v>
      </c>
      <c r="Q188" s="2497"/>
      <c r="R188" s="2497"/>
      <c r="S188" s="2497"/>
      <c r="T188" s="2497"/>
      <c r="U188" s="2497"/>
      <c r="V188" s="2497"/>
      <c r="W188" s="2497"/>
      <c r="X188" s="2497"/>
      <c r="Y188" s="2497"/>
      <c r="Z188" s="2497"/>
      <c r="AA188" s="2497"/>
      <c r="AB188" s="2581"/>
      <c r="AC188" s="2581"/>
      <c r="AD188" s="2581"/>
      <c r="AE188" s="1300" t="str">
        <f>IF(AND(DN181=FALSE,AB188="",$AB$183&lt;&gt;"用途変更"),"←どちらかは必ず選んでください","")</f>
        <v>←どちらかは必ず選んでください</v>
      </c>
      <c r="AF188" s="1212"/>
      <c r="AG188" s="1212"/>
      <c r="AH188" s="1212"/>
      <c r="AI188" s="1212"/>
      <c r="AJ188" s="1212"/>
      <c r="AK188" s="1212"/>
      <c r="AL188" s="1212"/>
      <c r="AM188" s="1212"/>
      <c r="AN188" s="1212"/>
      <c r="AO188" s="1212"/>
      <c r="AP188" s="1212"/>
      <c r="AQ188" s="1212"/>
      <c r="AR188" s="1212"/>
      <c r="AS188" s="1212"/>
      <c r="AT188" s="1212"/>
      <c r="AU188" s="1212"/>
      <c r="AV188" s="1282"/>
      <c r="AW188" s="1212"/>
      <c r="AX188" s="1212"/>
      <c r="AY188" s="1212"/>
      <c r="AZ188" s="1212"/>
      <c r="BA188" s="1212"/>
      <c r="BB188" s="1212"/>
      <c r="BC188" s="1212"/>
      <c r="BD188" s="1212"/>
      <c r="BE188" s="1212"/>
      <c r="BF188" s="1212"/>
      <c r="BG188" s="1212"/>
      <c r="BH188" s="1212"/>
      <c r="BI188" s="1212"/>
      <c r="BJ188" s="1212"/>
      <c r="BK188" s="1212"/>
      <c r="BL188" s="1212"/>
      <c r="BM188" s="1212"/>
      <c r="BN188" s="1212"/>
      <c r="BO188" s="1212"/>
      <c r="BP188" s="1212"/>
      <c r="BQ188" s="1212"/>
      <c r="BR188" s="1212"/>
      <c r="BS188" s="1212"/>
      <c r="BT188" s="1212"/>
      <c r="BU188" s="395"/>
      <c r="BV188" s="1180"/>
      <c r="BW188" s="2160"/>
      <c r="BX188" s="2160"/>
      <c r="BY188" s="2160"/>
      <c r="BZ188" s="2160"/>
      <c r="CA188" s="2160"/>
      <c r="CB188" s="2160"/>
      <c r="CC188" s="2160"/>
      <c r="CD188" s="2160"/>
      <c r="CE188" s="2160"/>
      <c r="CF188" s="2160"/>
      <c r="CG188" s="2160"/>
      <c r="CH188" s="2160"/>
      <c r="CI188" s="2160"/>
      <c r="CJ188" s="2160"/>
      <c r="CK188" s="2160"/>
      <c r="CL188" s="2160"/>
      <c r="CM188" s="2160"/>
      <c r="CN188" s="2160"/>
      <c r="CO188" s="2160"/>
      <c r="CP188" s="2160"/>
      <c r="CQ188" s="2160"/>
      <c r="CR188" s="2160"/>
      <c r="CS188" s="2160"/>
      <c r="CT188" s="1180"/>
      <c r="CU188" s="1178"/>
      <c r="CV188" s="388"/>
      <c r="CW188" s="388"/>
      <c r="CX188" s="207"/>
      <c r="CY188" s="207"/>
      <c r="CZ188" s="207"/>
      <c r="DA188" s="207"/>
      <c r="DB188" s="207"/>
      <c r="DC188" s="15"/>
      <c r="DD188" s="16"/>
      <c r="DE188" s="16"/>
      <c r="DF188" s="84"/>
      <c r="DG188" s="84"/>
      <c r="DH188" s="84"/>
      <c r="DI188" s="1593"/>
      <c r="DJ188" s="1166"/>
      <c r="DK188" s="1163"/>
      <c r="DL188" s="77"/>
      <c r="DM188" s="77"/>
      <c r="DN188" s="77"/>
      <c r="DO188" s="92" t="s">
        <v>831</v>
      </c>
      <c r="DP188" s="92" t="s">
        <v>833</v>
      </c>
      <c r="DQ188" s="77"/>
      <c r="DR188" s="92" t="s">
        <v>831</v>
      </c>
      <c r="DS188" s="92" t="s">
        <v>833</v>
      </c>
      <c r="EA188" s="196"/>
      <c r="EB188" s="196"/>
      <c r="EC188" s="196"/>
      <c r="FO188" s="579"/>
      <c r="GA188" s="77"/>
    </row>
    <row r="189" spans="1:183" s="78" customFormat="1" ht="27" customHeight="1" thickBot="1" x14ac:dyDescent="0.2">
      <c r="A189" s="1201"/>
      <c r="B189" s="1201"/>
      <c r="C189" s="1201"/>
      <c r="D189" s="1201"/>
      <c r="E189" s="1202"/>
      <c r="F189" s="652"/>
      <c r="G189" s="652"/>
      <c r="H189" s="652"/>
      <c r="I189" s="1249"/>
      <c r="J189" s="1215"/>
      <c r="K189" s="1216"/>
      <c r="L189" s="1216"/>
      <c r="M189" s="2596"/>
      <c r="N189" s="2596"/>
      <c r="O189" s="2596"/>
      <c r="P189" s="2243" t="s">
        <v>975</v>
      </c>
      <c r="Q189" s="2556"/>
      <c r="R189" s="2556"/>
      <c r="S189" s="2556"/>
      <c r="T189" s="2556"/>
      <c r="U189" s="2588" t="s">
        <v>1772</v>
      </c>
      <c r="V189" s="2588"/>
      <c r="W189" s="2588"/>
      <c r="X189" s="2588"/>
      <c r="Y189" s="2588"/>
      <c r="Z189" s="2588"/>
      <c r="AA189" s="2588"/>
      <c r="AB189" s="2137"/>
      <c r="AC189" s="2138"/>
      <c r="AD189" s="2138"/>
      <c r="AE189" s="1291" t="str">
        <f>IF(AND(DN181=FALSE,AB189="",$AB$183&lt;&gt;"用途変更"),"←どちらかは必ず選んでください","")</f>
        <v>←どちらかは必ず選んでください</v>
      </c>
      <c r="AF189" s="1273"/>
      <c r="AG189" s="1273"/>
      <c r="AH189" s="1273"/>
      <c r="AI189" s="1273"/>
      <c r="AJ189" s="1273"/>
      <c r="AK189" s="1273"/>
      <c r="AL189" s="1273"/>
      <c r="AM189" s="1273"/>
      <c r="AN189" s="1273"/>
      <c r="AO189" s="1273"/>
      <c r="AP189" s="1273"/>
      <c r="AQ189" s="1273"/>
      <c r="AR189" s="1250"/>
      <c r="AS189" s="1250"/>
      <c r="AT189" s="1250"/>
      <c r="AU189" s="1250"/>
      <c r="AV189" s="1250"/>
      <c r="AW189" s="1250"/>
      <c r="AX189" s="1250"/>
      <c r="AY189" s="1250"/>
      <c r="AZ189" s="1250"/>
      <c r="BA189" s="1250"/>
      <c r="BB189" s="1250"/>
      <c r="BC189" s="1250"/>
      <c r="BD189" s="1250"/>
      <c r="BE189" s="1250"/>
      <c r="BF189" s="1250"/>
      <c r="BG189" s="1250"/>
      <c r="BH189" s="1250"/>
      <c r="BI189" s="1250"/>
      <c r="BJ189" s="1250"/>
      <c r="BK189" s="1250"/>
      <c r="BL189" s="1250"/>
      <c r="BM189" s="1250"/>
      <c r="BN189" s="1250"/>
      <c r="BO189" s="1250"/>
      <c r="BP189" s="1250"/>
      <c r="BQ189" s="1250"/>
      <c r="BR189" s="1250"/>
      <c r="BS189" s="1250"/>
      <c r="BT189" s="1250"/>
      <c r="BU189" s="395"/>
      <c r="BV189" s="1177"/>
      <c r="BW189" s="2160"/>
      <c r="BX189" s="2160"/>
      <c r="BY189" s="2160"/>
      <c r="BZ189" s="2160"/>
      <c r="CA189" s="2160"/>
      <c r="CB189" s="2160"/>
      <c r="CC189" s="2160"/>
      <c r="CD189" s="2160"/>
      <c r="CE189" s="2160"/>
      <c r="CF189" s="2160"/>
      <c r="CG189" s="2160"/>
      <c r="CH189" s="2160"/>
      <c r="CI189" s="2160"/>
      <c r="CJ189" s="2160"/>
      <c r="CK189" s="2160"/>
      <c r="CL189" s="2160"/>
      <c r="CM189" s="2160"/>
      <c r="CN189" s="2160"/>
      <c r="CO189" s="2160"/>
      <c r="CP189" s="2160"/>
      <c r="CQ189" s="2160"/>
      <c r="CR189" s="2160"/>
      <c r="CS189" s="2160"/>
      <c r="CT189" s="1177"/>
      <c r="CU189" s="1178"/>
      <c r="CV189" s="388"/>
      <c r="CW189" s="388"/>
      <c r="CX189" s="207"/>
      <c r="CY189" s="207"/>
      <c r="CZ189" s="207"/>
      <c r="DA189" s="207"/>
      <c r="DB189" s="207"/>
      <c r="DC189" s="15"/>
      <c r="DD189" s="16"/>
      <c r="DE189" s="16"/>
      <c r="DF189" s="16"/>
      <c r="DG189" s="16"/>
      <c r="DH189" s="16"/>
      <c r="DI189" s="1593"/>
      <c r="DJ189" s="1163"/>
      <c r="DK189" s="1163"/>
      <c r="DL189" s="77"/>
      <c r="DM189" s="77"/>
      <c r="DN189" s="83">
        <f>COUNTA(AB190,AE190,AJ190,AO190,AB191,AB192,AB193)</f>
        <v>0</v>
      </c>
      <c r="DO189" s="86" t="str">
        <f>IF($AB$188="有","レ","")</f>
        <v/>
      </c>
      <c r="DP189" s="86" t="str">
        <f>IF($AB$188="無","レ","")</f>
        <v/>
      </c>
      <c r="DQ189" s="77"/>
      <c r="DR189" s="86" t="str">
        <f>IF($AB$189="有","レ","")</f>
        <v/>
      </c>
      <c r="DS189" s="86" t="str">
        <f>IF($AB$189="無","レ","")</f>
        <v/>
      </c>
      <c r="EA189" s="196"/>
      <c r="EB189" s="196"/>
      <c r="EC189" s="196"/>
      <c r="EG189" s="84"/>
      <c r="EH189" s="84"/>
      <c r="EI189" s="84"/>
      <c r="EJ189" s="84"/>
      <c r="EK189" s="84"/>
      <c r="FO189" s="579"/>
      <c r="FV189" s="84"/>
      <c r="FW189" s="84"/>
      <c r="FX189" s="84"/>
      <c r="FY189" s="84"/>
      <c r="FZ189" s="84"/>
      <c r="GA189" s="77"/>
    </row>
    <row r="190" spans="1:183" s="78" customFormat="1" ht="27" customHeight="1" x14ac:dyDescent="0.15">
      <c r="A190" s="1201"/>
      <c r="B190" s="1201"/>
      <c r="C190" s="1201"/>
      <c r="D190" s="1201"/>
      <c r="E190" s="1202"/>
      <c r="F190" s="652"/>
      <c r="G190" s="652"/>
      <c r="H190" s="652"/>
      <c r="I190" s="1249"/>
      <c r="J190" s="1215"/>
      <c r="K190" s="1216"/>
      <c r="L190" s="1216"/>
      <c r="M190" s="2596"/>
      <c r="N190" s="2596"/>
      <c r="O190" s="2596"/>
      <c r="P190" s="2344"/>
      <c r="Q190" s="2344"/>
      <c r="R190" s="2344"/>
      <c r="S190" s="2344"/>
      <c r="T190" s="2344"/>
      <c r="U190" s="2192" t="s">
        <v>687</v>
      </c>
      <c r="V190" s="2193"/>
      <c r="W190" s="2193"/>
      <c r="X190" s="2193"/>
      <c r="Y190" s="2193"/>
      <c r="Z190" s="2193"/>
      <c r="AA190" s="2193"/>
      <c r="AB190" s="2552"/>
      <c r="AC190" s="2553"/>
      <c r="AD190" s="2553"/>
      <c r="AE190" s="2519"/>
      <c r="AF190" s="2519"/>
      <c r="AG190" s="2520"/>
      <c r="AH190" s="1253" t="s">
        <v>12</v>
      </c>
      <c r="AI190" s="1253"/>
      <c r="AJ190" s="2140"/>
      <c r="AK190" s="2140"/>
      <c r="AL190" s="2140"/>
      <c r="AM190" s="1253" t="s">
        <v>163</v>
      </c>
      <c r="AN190" s="1253"/>
      <c r="AO190" s="2140"/>
      <c r="AP190" s="2140"/>
      <c r="AQ190" s="2140"/>
      <c r="AR190" s="1216" t="s">
        <v>164</v>
      </c>
      <c r="AS190" s="1216"/>
      <c r="AT190" s="1216"/>
      <c r="AU190" s="1216"/>
      <c r="AV190" s="1216"/>
      <c r="AW190" s="1216"/>
      <c r="AX190" s="1216"/>
      <c r="AY190" s="1216"/>
      <c r="AZ190" s="1216"/>
      <c r="BA190" s="1216"/>
      <c r="BB190" s="1216"/>
      <c r="BC190" s="1216"/>
      <c r="BD190" s="1216"/>
      <c r="BE190" s="1216"/>
      <c r="BF190" s="1216"/>
      <c r="BG190" s="1216"/>
      <c r="BH190" s="1216"/>
      <c r="BI190" s="1216"/>
      <c r="BJ190" s="1216"/>
      <c r="BK190" s="1216"/>
      <c r="BL190" s="1216"/>
      <c r="BM190" s="1216"/>
      <c r="BN190" s="1216"/>
      <c r="BO190" s="1216"/>
      <c r="BP190" s="1216"/>
      <c r="BQ190" s="1216"/>
      <c r="BR190" s="1216"/>
      <c r="BS190" s="1216"/>
      <c r="BT190" s="1216"/>
      <c r="BU190" s="395"/>
      <c r="BV190" s="1177"/>
      <c r="BW190" s="2160"/>
      <c r="BX190" s="2160"/>
      <c r="BY190" s="2160"/>
      <c r="BZ190" s="2160"/>
      <c r="CA190" s="2160"/>
      <c r="CB190" s="2160"/>
      <c r="CC190" s="2160"/>
      <c r="CD190" s="2160"/>
      <c r="CE190" s="2160"/>
      <c r="CF190" s="2160"/>
      <c r="CG190" s="2160"/>
      <c r="CH190" s="2160"/>
      <c r="CI190" s="2160"/>
      <c r="CJ190" s="2160"/>
      <c r="CK190" s="2160"/>
      <c r="CL190" s="2160"/>
      <c r="CM190" s="2160"/>
      <c r="CN190" s="2160"/>
      <c r="CO190" s="2160"/>
      <c r="CP190" s="2160"/>
      <c r="CQ190" s="2160"/>
      <c r="CR190" s="2160"/>
      <c r="CS190" s="2160"/>
      <c r="CT190" s="1177"/>
      <c r="CU190" s="1178"/>
      <c r="CV190" s="388"/>
      <c r="CW190" s="388"/>
      <c r="CX190" s="207"/>
      <c r="CY190" s="207"/>
      <c r="CZ190" s="207"/>
      <c r="DA190" s="207"/>
      <c r="DB190" s="207"/>
      <c r="DC190" s="15"/>
      <c r="DD190" s="16"/>
      <c r="DE190" s="16"/>
      <c r="DF190" s="16"/>
      <c r="DG190" s="16"/>
      <c r="DH190" s="16"/>
      <c r="DI190" s="1593"/>
      <c r="DJ190" s="1163"/>
      <c r="DK190" s="1163"/>
      <c r="DL190" s="77"/>
      <c r="DM190" s="77"/>
      <c r="DN190" s="77"/>
      <c r="DO190" s="77"/>
      <c r="DP190" s="77"/>
      <c r="DQ190" s="77"/>
      <c r="DZ190" s="1715"/>
      <c r="EA190" s="1945" t="str">
        <f>IF(AB190&lt;&gt;"",DATE(VLOOKUP(AB190,$EB$184:$EC$187,2,FALSE)+AE190,AJ190,AO190),"")</f>
        <v/>
      </c>
      <c r="EG190" s="84"/>
      <c r="EH190" s="84"/>
      <c r="EI190" s="84"/>
      <c r="EJ190" s="84"/>
      <c r="EK190" s="84"/>
      <c r="FO190" s="579"/>
      <c r="FV190" s="84"/>
      <c r="FW190" s="84"/>
      <c r="FX190" s="84"/>
      <c r="FY190" s="84"/>
      <c r="FZ190" s="84"/>
      <c r="GA190" s="77"/>
    </row>
    <row r="191" spans="1:183" s="78" customFormat="1" ht="27" customHeight="1" x14ac:dyDescent="0.15">
      <c r="A191" s="1201"/>
      <c r="B191" s="1201"/>
      <c r="C191" s="1201"/>
      <c r="D191" s="1201"/>
      <c r="E191" s="1202"/>
      <c r="F191" s="652"/>
      <c r="G191" s="652"/>
      <c r="H191" s="652"/>
      <c r="I191" s="1249"/>
      <c r="J191" s="1215"/>
      <c r="K191" s="1216"/>
      <c r="L191" s="1216"/>
      <c r="M191" s="2596"/>
      <c r="N191" s="2596"/>
      <c r="O191" s="2596"/>
      <c r="P191" s="2344"/>
      <c r="Q191" s="2344"/>
      <c r="R191" s="2344"/>
      <c r="S191" s="2344"/>
      <c r="T191" s="2344"/>
      <c r="U191" s="2192" t="s">
        <v>683</v>
      </c>
      <c r="V191" s="2193"/>
      <c r="W191" s="2193"/>
      <c r="X191" s="2193"/>
      <c r="Y191" s="2193"/>
      <c r="Z191" s="2193"/>
      <c r="AA191" s="2193"/>
      <c r="AB191" s="2167"/>
      <c r="AC191" s="2167"/>
      <c r="AD191" s="2167"/>
      <c r="AE191" s="2167"/>
      <c r="AF191" s="2167"/>
      <c r="AG191" s="2167"/>
      <c r="AH191" s="2167"/>
      <c r="AI191" s="2167"/>
      <c r="AJ191" s="2167"/>
      <c r="AK191" s="2167"/>
      <c r="AL191" s="2167"/>
      <c r="AM191" s="2167"/>
      <c r="AN191" s="2167"/>
      <c r="AO191" s="2167"/>
      <c r="AP191" s="2167"/>
      <c r="AQ191" s="2167"/>
      <c r="AR191" s="2167"/>
      <c r="AS191" s="2167"/>
      <c r="AT191" s="2167"/>
      <c r="AU191" s="2167"/>
      <c r="AV191" s="1216" t="s">
        <v>4</v>
      </c>
      <c r="AW191" s="1216"/>
      <c r="AX191" s="1216"/>
      <c r="AY191" s="1216"/>
      <c r="AZ191" s="1216"/>
      <c r="BA191" s="1216"/>
      <c r="BB191" s="1216"/>
      <c r="BC191" s="1216"/>
      <c r="BD191" s="1216"/>
      <c r="BE191" s="1216"/>
      <c r="BF191" s="1301"/>
      <c r="BG191" s="1301"/>
      <c r="BH191" s="1301"/>
      <c r="BI191" s="1301"/>
      <c r="BJ191" s="1301"/>
      <c r="BK191" s="1298"/>
      <c r="BL191" s="1298"/>
      <c r="BM191" s="1298"/>
      <c r="BN191" s="1298"/>
      <c r="BO191" s="1298"/>
      <c r="BP191" s="1298"/>
      <c r="BQ191" s="1298"/>
      <c r="BR191" s="1298"/>
      <c r="BS191" s="1298"/>
      <c r="BT191" s="1298"/>
      <c r="BU191" s="395"/>
      <c r="BV191" s="1177"/>
      <c r="BW191" s="2160"/>
      <c r="BX191" s="2160"/>
      <c r="BY191" s="2160"/>
      <c r="BZ191" s="2160"/>
      <c r="CA191" s="2160"/>
      <c r="CB191" s="2160"/>
      <c r="CC191" s="2160"/>
      <c r="CD191" s="2160"/>
      <c r="CE191" s="2160"/>
      <c r="CF191" s="2160"/>
      <c r="CG191" s="2160"/>
      <c r="CH191" s="2160"/>
      <c r="CI191" s="2160"/>
      <c r="CJ191" s="2160"/>
      <c r="CK191" s="2160"/>
      <c r="CL191" s="2160"/>
      <c r="CM191" s="2160"/>
      <c r="CN191" s="2160"/>
      <c r="CO191" s="2160"/>
      <c r="CP191" s="2160"/>
      <c r="CQ191" s="2160"/>
      <c r="CR191" s="2160"/>
      <c r="CS191" s="2160"/>
      <c r="CT191" s="1177"/>
      <c r="CU191" s="1178"/>
      <c r="CV191" s="388"/>
      <c r="CW191" s="388"/>
      <c r="CX191" s="207"/>
      <c r="CY191" s="207"/>
      <c r="CZ191" s="207"/>
      <c r="DA191" s="207"/>
      <c r="DB191" s="207"/>
      <c r="DC191" s="15"/>
      <c r="DD191" s="16"/>
      <c r="DE191" s="16"/>
      <c r="DF191" s="16"/>
      <c r="DG191" s="16"/>
      <c r="DH191" s="16"/>
      <c r="DI191" s="1593"/>
      <c r="DJ191" s="1163"/>
      <c r="DK191" s="1163"/>
      <c r="DL191" s="77"/>
      <c r="DM191" s="77"/>
      <c r="DN191" s="77"/>
      <c r="DO191" s="77"/>
      <c r="DP191" s="77"/>
      <c r="DQ191" s="77"/>
      <c r="DZ191" s="1715" t="s">
        <v>3108</v>
      </c>
      <c r="EA191" s="155" t="str">
        <f>TEXT($EA$190,"yyyy/mm/dd")</f>
        <v/>
      </c>
      <c r="EG191" s="84"/>
      <c r="EH191" s="84"/>
      <c r="EI191" s="84"/>
      <c r="EJ191" s="84"/>
      <c r="EK191" s="84"/>
      <c r="FO191" s="579"/>
      <c r="FV191" s="84"/>
      <c r="FW191" s="84"/>
      <c r="FX191" s="84"/>
      <c r="FY191" s="84"/>
      <c r="FZ191" s="84"/>
      <c r="GA191" s="77"/>
    </row>
    <row r="192" spans="1:183" ht="27" customHeight="1" x14ac:dyDescent="0.15">
      <c r="A192" s="1201"/>
      <c r="B192" s="1201"/>
      <c r="C192" s="1201"/>
      <c r="D192" s="1201"/>
      <c r="E192" s="1202"/>
      <c r="J192" s="1215"/>
      <c r="K192" s="1216"/>
      <c r="L192" s="1216"/>
      <c r="M192" s="2596"/>
      <c r="N192" s="2596"/>
      <c r="O192" s="2596"/>
      <c r="P192" s="2344"/>
      <c r="Q192" s="2344"/>
      <c r="R192" s="2344"/>
      <c r="S192" s="2344"/>
      <c r="T192" s="2344"/>
      <c r="U192" s="2192" t="s">
        <v>684</v>
      </c>
      <c r="V192" s="2193"/>
      <c r="W192" s="2193"/>
      <c r="X192" s="2193"/>
      <c r="Y192" s="2193"/>
      <c r="Z192" s="2193"/>
      <c r="AA192" s="2193"/>
      <c r="AB192" s="2167"/>
      <c r="AC192" s="2167"/>
      <c r="AD192" s="2167"/>
      <c r="AE192" s="2167"/>
      <c r="AF192" s="2167"/>
      <c r="AG192" s="2167"/>
      <c r="AH192" s="2167"/>
      <c r="AI192" s="2167"/>
      <c r="AJ192" s="2167"/>
      <c r="AK192" s="2167"/>
      <c r="AL192" s="2167"/>
      <c r="AM192" s="2167"/>
      <c r="AN192" s="2167"/>
      <c r="AO192" s="2167"/>
      <c r="AP192" s="2167"/>
      <c r="AQ192" s="2167"/>
      <c r="AR192" s="2167"/>
      <c r="AS192" s="2167"/>
      <c r="AT192" s="2167"/>
      <c r="AU192" s="2167"/>
      <c r="AV192" s="1235"/>
      <c r="AW192" s="1235"/>
      <c r="AX192" s="1235"/>
      <c r="AY192" s="1235"/>
      <c r="AZ192" s="1235"/>
      <c r="BA192" s="1235"/>
      <c r="BB192" s="1235"/>
      <c r="BC192" s="1235"/>
      <c r="BD192" s="1235"/>
      <c r="BE192" s="1235"/>
      <c r="BF192" s="1235"/>
      <c r="BG192" s="1235"/>
      <c r="BH192" s="1235"/>
      <c r="BI192" s="1235"/>
      <c r="BJ192" s="1235"/>
      <c r="BK192" s="1235"/>
      <c r="BL192" s="1235"/>
      <c r="BM192" s="1235"/>
      <c r="BN192" s="1235"/>
      <c r="BO192" s="1235"/>
      <c r="BP192" s="1235"/>
      <c r="BQ192" s="1235"/>
      <c r="BR192" s="1235"/>
      <c r="BS192" s="1235"/>
      <c r="BT192" s="1235"/>
      <c r="BU192" s="584"/>
      <c r="BV192" s="1177"/>
      <c r="BW192" s="2160"/>
      <c r="BX192" s="2160"/>
      <c r="BY192" s="2160"/>
      <c r="BZ192" s="2160"/>
      <c r="CA192" s="2160"/>
      <c r="CB192" s="2160"/>
      <c r="CC192" s="2160"/>
      <c r="CD192" s="2160"/>
      <c r="CE192" s="2160"/>
      <c r="CF192" s="2160"/>
      <c r="CG192" s="2160"/>
      <c r="CH192" s="2160"/>
      <c r="CI192" s="2160"/>
      <c r="CJ192" s="2160"/>
      <c r="CK192" s="2160"/>
      <c r="CL192" s="2160"/>
      <c r="CM192" s="2160"/>
      <c r="CN192" s="2160"/>
      <c r="CO192" s="2160"/>
      <c r="CP192" s="2160"/>
      <c r="CQ192" s="2160"/>
      <c r="CR192" s="2160"/>
      <c r="CS192" s="2160"/>
      <c r="CT192" s="1177"/>
      <c r="CU192" s="1178"/>
      <c r="DD192" s="16"/>
      <c r="DE192" s="16"/>
      <c r="DF192" s="16"/>
      <c r="DG192" s="16"/>
      <c r="DH192" s="16"/>
      <c r="DI192" s="1593"/>
      <c r="DJ192" s="1163"/>
      <c r="DO192" s="93" t="s">
        <v>3364</v>
      </c>
      <c r="DP192" s="93" t="s">
        <v>841</v>
      </c>
      <c r="EA192" s="196" t="s">
        <v>3104</v>
      </c>
      <c r="EG192" s="78"/>
      <c r="EH192" s="78"/>
      <c r="EI192" s="78"/>
      <c r="EJ192" s="78"/>
      <c r="EK192" s="78"/>
      <c r="FV192" s="78"/>
      <c r="FW192" s="78"/>
      <c r="FX192" s="78"/>
      <c r="FY192" s="78"/>
      <c r="FZ192" s="78"/>
    </row>
    <row r="193" spans="1:183" ht="27" customHeight="1" thickBot="1" x14ac:dyDescent="0.2">
      <c r="A193" s="1201"/>
      <c r="B193" s="1201"/>
      <c r="C193" s="1201"/>
      <c r="D193" s="1201"/>
      <c r="E193" s="1202"/>
      <c r="J193" s="1215"/>
      <c r="K193" s="1216"/>
      <c r="L193" s="1216"/>
      <c r="M193" s="2596"/>
      <c r="N193" s="2596"/>
      <c r="O193" s="2596"/>
      <c r="P193" s="2515"/>
      <c r="Q193" s="2515"/>
      <c r="R193" s="2515"/>
      <c r="S193" s="2515"/>
      <c r="T193" s="2515"/>
      <c r="U193" s="2557" t="s">
        <v>686</v>
      </c>
      <c r="V193" s="2558"/>
      <c r="W193" s="2558"/>
      <c r="X193" s="2558"/>
      <c r="Y193" s="2558"/>
      <c r="Z193" s="2558"/>
      <c r="AA193" s="2558"/>
      <c r="AB193" s="2551"/>
      <c r="AC193" s="2551"/>
      <c r="AD193" s="2551"/>
      <c r="AE193" s="2551"/>
      <c r="AF193" s="2551"/>
      <c r="AG193" s="2551"/>
      <c r="AH193" s="2551"/>
      <c r="AI193" s="2551"/>
      <c r="AJ193" s="2551"/>
      <c r="AK193" s="2551"/>
      <c r="AL193" s="2551"/>
      <c r="AM193" s="2551"/>
      <c r="AN193" s="2551"/>
      <c r="AO193" s="2551"/>
      <c r="AP193" s="2551"/>
      <c r="AQ193" s="2551"/>
      <c r="AR193" s="2551"/>
      <c r="AS193" s="2551"/>
      <c r="AT193" s="2551"/>
      <c r="AU193" s="2551"/>
      <c r="AV193" s="1275" t="str">
        <f>IF(AND(AB189="有",AB192="指定確認検査機関",AB193=""),"←指定確認検査機関名が必要です","")</f>
        <v/>
      </c>
      <c r="AW193" s="1235"/>
      <c r="AX193" s="1235"/>
      <c r="AY193" s="1235"/>
      <c r="AZ193" s="1235"/>
      <c r="BA193" s="1235"/>
      <c r="BB193" s="1235"/>
      <c r="BC193" s="1235"/>
      <c r="BD193" s="1235"/>
      <c r="BE193" s="1235"/>
      <c r="BF193" s="1235"/>
      <c r="BG193" s="1235"/>
      <c r="BH193" s="1235"/>
      <c r="BI193" s="1235"/>
      <c r="BJ193" s="1235"/>
      <c r="BK193" s="1235"/>
      <c r="BL193" s="1235"/>
      <c r="BM193" s="1235"/>
      <c r="BN193" s="1235"/>
      <c r="BO193" s="1235"/>
      <c r="BP193" s="1235"/>
      <c r="BQ193" s="1235"/>
      <c r="BR193" s="1235"/>
      <c r="BS193" s="1235"/>
      <c r="BT193" s="1235"/>
      <c r="BU193" s="584"/>
      <c r="BV193" s="2194" t="s">
        <v>3393</v>
      </c>
      <c r="BW193" s="2194"/>
      <c r="BX193" s="2194"/>
      <c r="BY193" s="2194"/>
      <c r="BZ193" s="2194"/>
      <c r="CA193" s="2194"/>
      <c r="CB193" s="2194"/>
      <c r="CC193" s="2194"/>
      <c r="CD193" s="2194"/>
      <c r="CE193" s="2194"/>
      <c r="CF193" s="2194"/>
      <c r="CG193" s="2194"/>
      <c r="CH193" s="2194"/>
      <c r="CI193" s="2194"/>
      <c r="CJ193" s="2194"/>
      <c r="CK193" s="2194"/>
      <c r="CL193" s="2194"/>
      <c r="CM193" s="2194"/>
      <c r="CN193" s="2194"/>
      <c r="CO193" s="2194"/>
      <c r="CP193" s="2194"/>
      <c r="CQ193" s="2194"/>
      <c r="CR193" s="2194"/>
      <c r="CS193" s="2194"/>
      <c r="CT193" s="1177"/>
      <c r="CU193" s="1178"/>
      <c r="DD193" s="16"/>
      <c r="DE193" s="16"/>
      <c r="DF193" s="16"/>
      <c r="DG193" s="16"/>
      <c r="DH193" s="16"/>
      <c r="DI193" s="1593"/>
      <c r="DJ193" s="1163"/>
      <c r="DO193" s="94" t="str">
        <f>IF(AB192="建築主事等","レ","")</f>
        <v/>
      </c>
      <c r="DP193" s="94" t="str">
        <f>IF(AB192="指定確認検査機関","レ","")</f>
        <v/>
      </c>
      <c r="EG193" s="78"/>
      <c r="EH193" s="78"/>
      <c r="EI193" s="78"/>
      <c r="EJ193" s="78"/>
      <c r="EK193" s="78"/>
      <c r="FV193" s="78"/>
      <c r="FW193" s="78"/>
      <c r="FX193" s="78"/>
      <c r="FY193" s="78"/>
      <c r="FZ193" s="78"/>
    </row>
    <row r="194" spans="1:183" ht="33" customHeight="1" thickBot="1" x14ac:dyDescent="0.2">
      <c r="A194" s="1201"/>
      <c r="B194" s="1201"/>
      <c r="C194" s="1201"/>
      <c r="D194" s="1201"/>
      <c r="E194" s="1202"/>
      <c r="J194" s="1218"/>
      <c r="K194" s="1235"/>
      <c r="L194" s="1235"/>
      <c r="M194" s="1225" t="s">
        <v>2771</v>
      </c>
      <c r="N194" s="1225"/>
      <c r="O194" s="1225"/>
      <c r="P194" s="1217"/>
      <c r="Q194" s="1217"/>
      <c r="R194" s="1217"/>
      <c r="S194" s="1217"/>
      <c r="T194" s="1217"/>
      <c r="U194" s="1217"/>
      <c r="V194" s="1217"/>
      <c r="W194" s="1217"/>
      <c r="X194" s="1217"/>
      <c r="Y194" s="1217"/>
      <c r="Z194" s="1217"/>
      <c r="AA194" s="1217"/>
      <c r="AB194" s="1217"/>
      <c r="AC194" s="1217"/>
      <c r="AD194" s="1217"/>
      <c r="AE194" s="1217"/>
      <c r="AF194" s="1217"/>
      <c r="AG194" s="1217"/>
      <c r="AH194" s="1217"/>
      <c r="AI194" s="1217"/>
      <c r="AJ194" s="1217"/>
      <c r="AK194" s="1217"/>
      <c r="AL194" s="1302" t="s">
        <v>3330</v>
      </c>
      <c r="AM194" s="1217"/>
      <c r="AN194" s="1217"/>
      <c r="AO194" s="1217"/>
      <c r="AP194" s="1217"/>
      <c r="AQ194" s="1217"/>
      <c r="AR194" s="1217"/>
      <c r="AS194" s="1217"/>
      <c r="AT194" s="1217"/>
      <c r="AU194" s="1217"/>
      <c r="AV194" s="1217"/>
      <c r="AW194" s="1217"/>
      <c r="AX194" s="1217"/>
      <c r="AY194" s="1217"/>
      <c r="AZ194" s="1217"/>
      <c r="BA194" s="1217"/>
      <c r="BB194" s="1217"/>
      <c r="BC194" s="1217"/>
      <c r="BD194" s="1217"/>
      <c r="BE194" s="1217"/>
      <c r="BF194" s="1217"/>
      <c r="BG194" s="1217"/>
      <c r="BH194" s="1217"/>
      <c r="BI194" s="1217"/>
      <c r="BJ194" s="1217"/>
      <c r="BK194" s="1217"/>
      <c r="BL194" s="1217"/>
      <c r="BM194" s="1217"/>
      <c r="BN194" s="1217"/>
      <c r="BO194" s="1217"/>
      <c r="BP194" s="1217"/>
      <c r="BQ194" s="1217"/>
      <c r="BR194" s="1217"/>
      <c r="BS194" s="1217"/>
      <c r="BT194" s="1217"/>
      <c r="BU194" s="584"/>
      <c r="BV194" s="2194"/>
      <c r="BW194" s="2194"/>
      <c r="BX194" s="2194"/>
      <c r="BY194" s="2194"/>
      <c r="BZ194" s="2194"/>
      <c r="CA194" s="2194"/>
      <c r="CB194" s="2194"/>
      <c r="CC194" s="2194"/>
      <c r="CD194" s="2194"/>
      <c r="CE194" s="2194"/>
      <c r="CF194" s="2194"/>
      <c r="CG194" s="2194"/>
      <c r="CH194" s="2194"/>
      <c r="CI194" s="2194"/>
      <c r="CJ194" s="2194"/>
      <c r="CK194" s="2194"/>
      <c r="CL194" s="2194"/>
      <c r="CM194" s="2194"/>
      <c r="CN194" s="2194"/>
      <c r="CO194" s="2194"/>
      <c r="CP194" s="2194"/>
      <c r="CQ194" s="2194"/>
      <c r="CR194" s="2194"/>
      <c r="CS194" s="2194"/>
      <c r="CT194" s="1177"/>
      <c r="CU194" s="1178"/>
      <c r="DD194" s="16"/>
      <c r="DE194" s="16"/>
      <c r="DF194" s="16"/>
      <c r="DG194" s="16"/>
      <c r="DH194" s="16"/>
      <c r="DI194" s="1593"/>
      <c r="DJ194" s="1163"/>
      <c r="DN194" s="193" t="b">
        <v>0</v>
      </c>
      <c r="DO194" s="379"/>
      <c r="DP194" s="380"/>
      <c r="DQ194" s="382"/>
      <c r="DV194" s="1547" t="s">
        <v>3106</v>
      </c>
      <c r="EG194" s="78"/>
      <c r="EH194" s="78"/>
      <c r="EI194" s="78"/>
      <c r="EJ194" s="78"/>
      <c r="EK194" s="78"/>
      <c r="FV194" s="78"/>
      <c r="FW194" s="78"/>
      <c r="FX194" s="78"/>
      <c r="FY194" s="78"/>
      <c r="FZ194" s="78"/>
    </row>
    <row r="195" spans="1:183" s="78" customFormat="1" ht="27" customHeight="1" thickBot="1" x14ac:dyDescent="0.2">
      <c r="A195" s="1201"/>
      <c r="B195" s="1201"/>
      <c r="C195" s="1201"/>
      <c r="D195" s="1201"/>
      <c r="E195" s="1202"/>
      <c r="F195" s="652"/>
      <c r="G195" s="652"/>
      <c r="H195" s="652"/>
      <c r="I195" s="1249"/>
      <c r="J195" s="1215"/>
      <c r="K195" s="1216"/>
      <c r="L195" s="1216"/>
      <c r="M195" s="2578"/>
      <c r="N195" s="2579"/>
      <c r="O195" s="2579"/>
      <c r="P195" s="2191" t="s">
        <v>681</v>
      </c>
      <c r="Q195" s="2191"/>
      <c r="R195" s="2191"/>
      <c r="S195" s="2191"/>
      <c r="T195" s="2191"/>
      <c r="U195" s="2191"/>
      <c r="V195" s="2191"/>
      <c r="W195" s="2191"/>
      <c r="X195" s="2191"/>
      <c r="Y195" s="2191"/>
      <c r="Z195" s="2191"/>
      <c r="AA195" s="2191"/>
      <c r="AB195" s="2574"/>
      <c r="AC195" s="2574"/>
      <c r="AD195" s="2574"/>
      <c r="AE195" s="2575"/>
      <c r="AF195" s="2575"/>
      <c r="AG195" s="2575"/>
      <c r="AH195" s="2575"/>
      <c r="AI195" s="2575"/>
      <c r="AJ195" s="2575"/>
      <c r="AK195" s="2575"/>
      <c r="AL195" s="1275" t="str">
        <f>IF(AND(DN194=FALSE,AB195=""),"←どれか１つ選んでください","")</f>
        <v>←どれか１つ選んでください</v>
      </c>
      <c r="AM195" s="1216"/>
      <c r="AN195" s="1216"/>
      <c r="AO195" s="1216"/>
      <c r="AP195" s="1216"/>
      <c r="AQ195" s="1216"/>
      <c r="AR195" s="1216"/>
      <c r="AS195" s="1216"/>
      <c r="AT195" s="1216"/>
      <c r="AU195" s="1216"/>
      <c r="AV195" s="1216"/>
      <c r="AW195" s="1216"/>
      <c r="AX195" s="1216"/>
      <c r="AY195" s="1216"/>
      <c r="AZ195" s="1216"/>
      <c r="BA195" s="1216"/>
      <c r="BB195" s="1216"/>
      <c r="BC195" s="1216"/>
      <c r="BD195" s="1216"/>
      <c r="BE195" s="1216"/>
      <c r="BF195" s="1254"/>
      <c r="BG195" s="1254"/>
      <c r="BH195" s="1254"/>
      <c r="BI195" s="1254"/>
      <c r="BJ195" s="1254"/>
      <c r="BK195" s="1254"/>
      <c r="BL195" s="1254"/>
      <c r="BM195" s="1254"/>
      <c r="BN195" s="1255"/>
      <c r="BO195" s="1255"/>
      <c r="BP195" s="1255"/>
      <c r="BQ195" s="1255"/>
      <c r="BR195" s="1255"/>
      <c r="BS195" s="1255"/>
      <c r="BT195" s="1255"/>
      <c r="BU195" s="394"/>
      <c r="BV195" s="617" t="s">
        <v>1844</v>
      </c>
      <c r="BW195" s="2160" t="s">
        <v>1904</v>
      </c>
      <c r="BX195" s="2160"/>
      <c r="BY195" s="2160"/>
      <c r="BZ195" s="2160"/>
      <c r="CA195" s="2160"/>
      <c r="CB195" s="2160"/>
      <c r="CC195" s="2160"/>
      <c r="CD195" s="2160"/>
      <c r="CE195" s="2160"/>
      <c r="CF195" s="2160"/>
      <c r="CG195" s="2160"/>
      <c r="CH195" s="2160"/>
      <c r="CI195" s="2160"/>
      <c r="CJ195" s="2160"/>
      <c r="CK195" s="2160"/>
      <c r="CL195" s="2160"/>
      <c r="CM195" s="2160"/>
      <c r="CN195" s="2160"/>
      <c r="CO195" s="2160"/>
      <c r="CP195" s="2160"/>
      <c r="CQ195" s="2160"/>
      <c r="CR195" s="2160"/>
      <c r="CS195" s="2160"/>
      <c r="CT195" s="395"/>
      <c r="CU195" s="621"/>
      <c r="CV195" s="578"/>
      <c r="CW195" s="578"/>
      <c r="CX195" s="77"/>
      <c r="CY195" s="77"/>
      <c r="CZ195" s="77"/>
      <c r="DA195" s="77"/>
      <c r="DB195" s="77"/>
      <c r="DC195" s="195"/>
      <c r="DD195" s="599"/>
      <c r="DE195" s="599"/>
      <c r="DF195" s="600"/>
      <c r="DG195" s="600"/>
      <c r="DH195" s="600"/>
      <c r="DI195" s="1593"/>
      <c r="DJ195" s="1167"/>
      <c r="DK195" s="1163"/>
      <c r="DL195" s="77"/>
      <c r="DM195" s="77"/>
      <c r="DN195" s="157" t="s">
        <v>1629</v>
      </c>
      <c r="DO195" s="381"/>
      <c r="DP195" s="221"/>
      <c r="DQ195" s="221"/>
      <c r="DS195" s="196"/>
      <c r="DT195" s="196"/>
      <c r="DV195" s="78" t="s">
        <v>1846</v>
      </c>
      <c r="DW195" s="155" t="str">
        <f t="shared" ref="DW195:DW207" si="10">IF($DN$194,IF(AB181="","",AB181),IF(AB195="","",AB195))</f>
        <v/>
      </c>
      <c r="FO195" s="579"/>
      <c r="GA195" s="77"/>
    </row>
    <row r="196" spans="1:183" s="78" customFormat="1" ht="27" customHeight="1" thickBot="1" x14ac:dyDescent="0.2">
      <c r="A196" s="1201"/>
      <c r="B196" s="1201"/>
      <c r="C196" s="1201"/>
      <c r="D196" s="1201"/>
      <c r="E196" s="1202"/>
      <c r="F196" s="652"/>
      <c r="G196" s="652"/>
      <c r="H196" s="652"/>
      <c r="I196" s="1249"/>
      <c r="J196" s="1215"/>
      <c r="K196" s="1216"/>
      <c r="L196" s="1216"/>
      <c r="M196" s="2597"/>
      <c r="N196" s="2598"/>
      <c r="O196" s="2598"/>
      <c r="P196" s="2514" t="s">
        <v>972</v>
      </c>
      <c r="Q196" s="2591"/>
      <c r="R196" s="2591"/>
      <c r="S196" s="2591"/>
      <c r="T196" s="2591"/>
      <c r="U196" s="2588" t="s">
        <v>973</v>
      </c>
      <c r="V196" s="2588"/>
      <c r="W196" s="2588"/>
      <c r="X196" s="2588"/>
      <c r="Y196" s="2588"/>
      <c r="Z196" s="2588"/>
      <c r="AA196" s="2588"/>
      <c r="AB196" s="2137"/>
      <c r="AC196" s="2138"/>
      <c r="AD196" s="2138"/>
      <c r="AE196" s="1291" t="str">
        <f>IF(AND(DN194=FALSE,AB197=""),"←どれか１つ選んでください","")</f>
        <v>←どれか１つ選んでください</v>
      </c>
      <c r="AF196" s="1303"/>
      <c r="AG196" s="1303"/>
      <c r="AH196" s="1303"/>
      <c r="AI196" s="1304"/>
      <c r="AJ196" s="1303"/>
      <c r="AK196" s="1258"/>
      <c r="AL196" s="1258"/>
      <c r="AM196" s="1258"/>
      <c r="AN196" s="1258"/>
      <c r="AO196" s="1258"/>
      <c r="AP196" s="1258"/>
      <c r="AQ196" s="1258"/>
      <c r="AR196" s="1258"/>
      <c r="AS196" s="1305"/>
      <c r="AT196" s="1258"/>
      <c r="AU196" s="1305"/>
      <c r="AV196" s="1258"/>
      <c r="AW196" s="1258"/>
      <c r="AX196" s="1258"/>
      <c r="AY196" s="1258"/>
      <c r="AZ196" s="1258"/>
      <c r="BA196" s="1258"/>
      <c r="BB196" s="1258"/>
      <c r="BC196" s="1258"/>
      <c r="BD196" s="1258"/>
      <c r="BE196" s="1258"/>
      <c r="BF196" s="1293"/>
      <c r="BG196" s="1293"/>
      <c r="BH196" s="1293"/>
      <c r="BI196" s="1293"/>
      <c r="BJ196" s="1293"/>
      <c r="BK196" s="1293"/>
      <c r="BL196" s="1293"/>
      <c r="BM196" s="1293"/>
      <c r="BN196" s="1293"/>
      <c r="BO196" s="1293"/>
      <c r="BP196" s="1293"/>
      <c r="BQ196" s="1293"/>
      <c r="BR196" s="1293"/>
      <c r="BS196" s="1250"/>
      <c r="BT196" s="1250"/>
      <c r="BU196" s="613"/>
      <c r="BV196" s="622"/>
      <c r="BW196" s="2160"/>
      <c r="BX196" s="2160"/>
      <c r="BY196" s="2160"/>
      <c r="BZ196" s="2160"/>
      <c r="CA196" s="2160"/>
      <c r="CB196" s="2160"/>
      <c r="CC196" s="2160"/>
      <c r="CD196" s="2160"/>
      <c r="CE196" s="2160"/>
      <c r="CF196" s="2160"/>
      <c r="CG196" s="2160"/>
      <c r="CH196" s="2160"/>
      <c r="CI196" s="2160"/>
      <c r="CJ196" s="2160"/>
      <c r="CK196" s="2160"/>
      <c r="CL196" s="2160"/>
      <c r="CM196" s="2160"/>
      <c r="CN196" s="2160"/>
      <c r="CO196" s="2160"/>
      <c r="CP196" s="2160"/>
      <c r="CQ196" s="2160"/>
      <c r="CR196" s="2160"/>
      <c r="CS196" s="2160"/>
      <c r="CT196" s="1177"/>
      <c r="CU196" s="1178"/>
      <c r="CV196" s="388"/>
      <c r="CW196" s="388"/>
      <c r="CX196" s="207"/>
      <c r="CY196" s="207"/>
      <c r="CZ196" s="207"/>
      <c r="DA196" s="207"/>
      <c r="DB196" s="207"/>
      <c r="DC196" s="15"/>
      <c r="DD196" s="16"/>
      <c r="DE196" s="16"/>
      <c r="DF196" s="16"/>
      <c r="DG196" s="16"/>
      <c r="DH196" s="16"/>
      <c r="DI196" s="1593"/>
      <c r="DJ196" s="1163"/>
      <c r="DK196" s="1163"/>
      <c r="DL196" s="77"/>
      <c r="DM196" s="90"/>
      <c r="DN196" s="91">
        <f>COUNTA(AB197,AB198,AE198,AJ198,AO198,AB199,AB200,AB201)</f>
        <v>0</v>
      </c>
      <c r="DO196" s="77"/>
      <c r="DP196" s="77"/>
      <c r="DQ196" s="77"/>
      <c r="DS196" s="196"/>
      <c r="DT196" s="196"/>
      <c r="DV196" s="78" t="s">
        <v>1847</v>
      </c>
      <c r="DW196" s="155" t="str">
        <f t="shared" si="10"/>
        <v/>
      </c>
      <c r="FO196" s="579"/>
      <c r="GA196" s="77"/>
    </row>
    <row r="197" spans="1:183" s="78" customFormat="1" ht="27" customHeight="1" x14ac:dyDescent="0.15">
      <c r="A197" s="1201"/>
      <c r="B197" s="1201"/>
      <c r="C197" s="1201"/>
      <c r="D197" s="1201"/>
      <c r="E197" s="1202"/>
      <c r="F197" s="652"/>
      <c r="G197" s="652"/>
      <c r="H197" s="652"/>
      <c r="I197" s="1249"/>
      <c r="J197" s="1215"/>
      <c r="K197" s="1216"/>
      <c r="L197" s="1216"/>
      <c r="M197" s="2598"/>
      <c r="N197" s="2598"/>
      <c r="O197" s="2598"/>
      <c r="P197" s="2592"/>
      <c r="Q197" s="2592"/>
      <c r="R197" s="2592"/>
      <c r="S197" s="2592"/>
      <c r="T197" s="2592"/>
      <c r="U197" s="2192" t="s">
        <v>974</v>
      </c>
      <c r="V197" s="2193"/>
      <c r="W197" s="2193"/>
      <c r="X197" s="2193"/>
      <c r="Y197" s="2193"/>
      <c r="Z197" s="2193"/>
      <c r="AA197" s="2193"/>
      <c r="AB197" s="2140"/>
      <c r="AC197" s="2140"/>
      <c r="AD197" s="2140"/>
      <c r="AE197" s="2140"/>
      <c r="AF197" s="2140"/>
      <c r="AG197" s="2140"/>
      <c r="AH197" s="2140"/>
      <c r="AI197" s="2140"/>
      <c r="AJ197" s="2140"/>
      <c r="AK197" s="1216"/>
      <c r="AL197" s="1216"/>
      <c r="AM197" s="1216"/>
      <c r="AN197" s="1216"/>
      <c r="AO197" s="1216"/>
      <c r="AP197" s="1216"/>
      <c r="AQ197" s="1216"/>
      <c r="AR197" s="1216"/>
      <c r="AS197" s="1295" t="str">
        <f>IF(AND(AB196="有",DN196&lt;7),"←確認済証が有る場合、種別と交付番号等の入力が必要です","")</f>
        <v/>
      </c>
      <c r="AT197" s="1216"/>
      <c r="AU197" s="1216"/>
      <c r="AV197" s="1216"/>
      <c r="AW197" s="1216"/>
      <c r="AX197" s="1216"/>
      <c r="AY197" s="1216"/>
      <c r="AZ197" s="1216"/>
      <c r="BA197" s="1216"/>
      <c r="BB197" s="1216"/>
      <c r="BC197" s="1216"/>
      <c r="BD197" s="1216"/>
      <c r="BE197" s="1216"/>
      <c r="BF197" s="1216"/>
      <c r="BG197" s="1216"/>
      <c r="BH197" s="1216"/>
      <c r="BI197" s="1216"/>
      <c r="BJ197" s="1216"/>
      <c r="BK197" s="1216"/>
      <c r="BL197" s="1216"/>
      <c r="BM197" s="1216"/>
      <c r="BN197" s="1216"/>
      <c r="BO197" s="1216"/>
      <c r="BP197" s="1216"/>
      <c r="BQ197" s="1216"/>
      <c r="BR197" s="1216"/>
      <c r="BS197" s="1216"/>
      <c r="BT197" s="1216"/>
      <c r="BU197" s="613"/>
      <c r="BV197" s="615"/>
      <c r="BW197" s="2154" t="s">
        <v>3392</v>
      </c>
      <c r="BX197" s="2154"/>
      <c r="BY197" s="2154"/>
      <c r="BZ197" s="2154"/>
      <c r="CA197" s="2154"/>
      <c r="CB197" s="2154"/>
      <c r="CC197" s="2154"/>
      <c r="CD197" s="2154"/>
      <c r="CE197" s="2154"/>
      <c r="CF197" s="2154"/>
      <c r="CG197" s="2154"/>
      <c r="CH197" s="2154"/>
      <c r="CI197" s="2154"/>
      <c r="CJ197" s="2154"/>
      <c r="CK197" s="2154"/>
      <c r="CL197" s="2154"/>
      <c r="CM197" s="2154"/>
      <c r="CN197" s="2154"/>
      <c r="CO197" s="2154"/>
      <c r="CP197" s="2154"/>
      <c r="CQ197" s="2154"/>
      <c r="CR197" s="2154"/>
      <c r="CS197" s="2154"/>
      <c r="CT197" s="1177"/>
      <c r="CU197" s="1178"/>
      <c r="CV197" s="388"/>
      <c r="CW197" s="388"/>
      <c r="CX197" s="207"/>
      <c r="CY197" s="207"/>
      <c r="CZ197" s="207"/>
      <c r="DA197" s="207"/>
      <c r="DB197" s="207"/>
      <c r="DC197" s="15"/>
      <c r="DD197" s="16"/>
      <c r="DE197" s="16"/>
      <c r="DF197" s="16"/>
      <c r="DG197" s="16"/>
      <c r="DH197" s="16"/>
      <c r="DI197" s="1593"/>
      <c r="DJ197" s="1163"/>
      <c r="DK197" s="1163"/>
      <c r="DL197" s="77"/>
      <c r="DM197" s="77"/>
      <c r="DN197" s="77"/>
      <c r="DO197" s="77"/>
      <c r="DP197" s="77"/>
      <c r="DQ197" s="77"/>
      <c r="DS197" s="196"/>
      <c r="DT197" s="196"/>
      <c r="DV197" s="78" t="s">
        <v>1848</v>
      </c>
      <c r="DW197" s="383" t="str">
        <f t="shared" si="10"/>
        <v/>
      </c>
      <c r="EA197" s="78" t="s">
        <v>3333</v>
      </c>
      <c r="EB197" s="78" t="s">
        <v>1684</v>
      </c>
      <c r="FO197" s="579"/>
      <c r="GA197" s="77"/>
    </row>
    <row r="198" spans="1:183" s="78" customFormat="1" ht="27" customHeight="1" thickBot="1" x14ac:dyDescent="0.2">
      <c r="A198" s="1201"/>
      <c r="B198" s="1201"/>
      <c r="C198" s="1201"/>
      <c r="D198" s="1201"/>
      <c r="E198" s="1202"/>
      <c r="F198" s="652"/>
      <c r="G198" s="652"/>
      <c r="H198" s="652"/>
      <c r="I198" s="1249"/>
      <c r="J198" s="1215"/>
      <c r="K198" s="1216"/>
      <c r="L198" s="1216"/>
      <c r="M198" s="2598"/>
      <c r="N198" s="2598"/>
      <c r="O198" s="2598"/>
      <c r="P198" s="2592"/>
      <c r="Q198" s="2592"/>
      <c r="R198" s="2592"/>
      <c r="S198" s="2592"/>
      <c r="T198" s="2592"/>
      <c r="U198" s="2192" t="s">
        <v>687</v>
      </c>
      <c r="V198" s="2193"/>
      <c r="W198" s="2193"/>
      <c r="X198" s="2193"/>
      <c r="Y198" s="2193"/>
      <c r="Z198" s="2193"/>
      <c r="AA198" s="2193"/>
      <c r="AB198" s="2552"/>
      <c r="AC198" s="2553"/>
      <c r="AD198" s="2553"/>
      <c r="AE198" s="2519"/>
      <c r="AF198" s="2519"/>
      <c r="AG198" s="2520"/>
      <c r="AH198" s="1296" t="s">
        <v>12</v>
      </c>
      <c r="AI198" s="1297"/>
      <c r="AJ198" s="2140"/>
      <c r="AK198" s="2140"/>
      <c r="AL198" s="2140"/>
      <c r="AM198" s="1253" t="s">
        <v>163</v>
      </c>
      <c r="AN198" s="1253"/>
      <c r="AO198" s="2140"/>
      <c r="AP198" s="2140"/>
      <c r="AQ198" s="2140"/>
      <c r="AR198" s="1216" t="s">
        <v>164</v>
      </c>
      <c r="AS198" s="1216"/>
      <c r="AT198" s="1216"/>
      <c r="AU198" s="1216"/>
      <c r="AV198" s="1216"/>
      <c r="AW198" s="1216"/>
      <c r="AX198" s="1216"/>
      <c r="AY198" s="1216"/>
      <c r="AZ198" s="1216"/>
      <c r="BA198" s="1216"/>
      <c r="BB198" s="1216"/>
      <c r="BC198" s="1216"/>
      <c r="BD198" s="1216"/>
      <c r="BE198" s="1216"/>
      <c r="BF198" s="1216"/>
      <c r="BG198" s="1216"/>
      <c r="BH198" s="1216"/>
      <c r="BI198" s="1216"/>
      <c r="BJ198" s="1216"/>
      <c r="BK198" s="1216"/>
      <c r="BL198" s="1216"/>
      <c r="BM198" s="1216"/>
      <c r="BN198" s="1216"/>
      <c r="BO198" s="1216"/>
      <c r="BP198" s="1216"/>
      <c r="BQ198" s="1216"/>
      <c r="BR198" s="1216"/>
      <c r="BS198" s="1216"/>
      <c r="BT198" s="1216"/>
      <c r="BU198" s="613"/>
      <c r="BV198" s="615"/>
      <c r="BW198" s="2154"/>
      <c r="BX198" s="2154"/>
      <c r="BY198" s="2154"/>
      <c r="BZ198" s="2154"/>
      <c r="CA198" s="2154"/>
      <c r="CB198" s="2154"/>
      <c r="CC198" s="2154"/>
      <c r="CD198" s="2154"/>
      <c r="CE198" s="2154"/>
      <c r="CF198" s="2154"/>
      <c r="CG198" s="2154"/>
      <c r="CH198" s="2154"/>
      <c r="CI198" s="2154"/>
      <c r="CJ198" s="2154"/>
      <c r="CK198" s="2154"/>
      <c r="CL198" s="2154"/>
      <c r="CM198" s="2154"/>
      <c r="CN198" s="2154"/>
      <c r="CO198" s="2154"/>
      <c r="CP198" s="2154"/>
      <c r="CQ198" s="2154"/>
      <c r="CR198" s="2154"/>
      <c r="CS198" s="2154"/>
      <c r="CT198" s="1177"/>
      <c r="CU198" s="1178"/>
      <c r="CV198" s="388"/>
      <c r="CW198" s="388"/>
      <c r="CX198" s="207"/>
      <c r="CY198" s="207"/>
      <c r="CZ198" s="207"/>
      <c r="DA198" s="207"/>
      <c r="DB198" s="207"/>
      <c r="DC198" s="15"/>
      <c r="DD198" s="16"/>
      <c r="DE198" s="16"/>
      <c r="DF198" s="16"/>
      <c r="DG198" s="16"/>
      <c r="DH198" s="16"/>
      <c r="DI198" s="1593"/>
      <c r="DJ198" s="1163"/>
      <c r="DK198" s="1163"/>
      <c r="DL198" s="77"/>
      <c r="DM198" s="77"/>
      <c r="DN198" s="77"/>
      <c r="DO198" s="77"/>
      <c r="DP198" s="77"/>
      <c r="DQ198" s="77"/>
      <c r="DS198" s="196"/>
      <c r="DT198" s="196"/>
      <c r="DV198" s="78" t="s">
        <v>1849</v>
      </c>
      <c r="DW198" s="1648" t="str">
        <f t="shared" si="10"/>
        <v/>
      </c>
      <c r="DX198" s="1447" t="str">
        <f>IF($DN$194,IF(AE184="","",AE184),IF(AE198="","",AE198))</f>
        <v/>
      </c>
      <c r="DY198" s="1447" t="str">
        <f>IF($DN$194,IF(AJ184="","",AJ184),IF(AJ198="","",AJ198))</f>
        <v/>
      </c>
      <c r="DZ198" s="1447" t="str">
        <f>IF($DN$194,IF(AO184="","",AO184),IF(AO198="","",AO198))</f>
        <v/>
      </c>
      <c r="EA198" s="1944" t="str">
        <f>IF(DW198&lt;&gt;"",DATE(VLOOKUP(DW198,$EB$184:$EC$187,2,FALSE)+DX198,DY198,DZ198),"")</f>
        <v/>
      </c>
      <c r="EB198" s="434" t="str">
        <f>IF($DN$194,EA184,EA198)</f>
        <v/>
      </c>
      <c r="EG198" s="73"/>
      <c r="EH198" s="73"/>
      <c r="EI198" s="73"/>
      <c r="EJ198" s="73"/>
      <c r="EK198" s="73"/>
      <c r="FO198" s="579"/>
      <c r="FV198" s="73"/>
      <c r="FW198" s="73"/>
      <c r="FX198" s="73"/>
      <c r="FY198" s="73"/>
      <c r="FZ198" s="73"/>
      <c r="GA198" s="77"/>
    </row>
    <row r="199" spans="1:183" ht="27" customHeight="1" thickBot="1" x14ac:dyDescent="0.2">
      <c r="A199" s="1201"/>
      <c r="B199" s="1201"/>
      <c r="C199" s="1201"/>
      <c r="D199" s="1201"/>
      <c r="E199" s="1202"/>
      <c r="J199" s="1260"/>
      <c r="K199" s="1261"/>
      <c r="L199" s="1261"/>
      <c r="M199" s="2598"/>
      <c r="N199" s="2598"/>
      <c r="O199" s="2598"/>
      <c r="P199" s="2592"/>
      <c r="Q199" s="2592"/>
      <c r="R199" s="2592"/>
      <c r="S199" s="2592"/>
      <c r="T199" s="2592"/>
      <c r="U199" s="2192" t="s">
        <v>683</v>
      </c>
      <c r="V199" s="2193"/>
      <c r="W199" s="2193"/>
      <c r="X199" s="2193"/>
      <c r="Y199" s="2193"/>
      <c r="Z199" s="2193"/>
      <c r="AA199" s="2193"/>
      <c r="AB199" s="2167"/>
      <c r="AC199" s="2167"/>
      <c r="AD199" s="2167"/>
      <c r="AE199" s="2167"/>
      <c r="AF199" s="2167"/>
      <c r="AG199" s="2167"/>
      <c r="AH199" s="2167"/>
      <c r="AI199" s="2167"/>
      <c r="AJ199" s="2167"/>
      <c r="AK199" s="2167"/>
      <c r="AL199" s="2167"/>
      <c r="AM199" s="2167"/>
      <c r="AN199" s="2167"/>
      <c r="AO199" s="2167"/>
      <c r="AP199" s="2167"/>
      <c r="AQ199" s="2167"/>
      <c r="AR199" s="2167"/>
      <c r="AS199" s="2167"/>
      <c r="AT199" s="2167"/>
      <c r="AU199" s="2167"/>
      <c r="AV199" s="1216" t="s">
        <v>4</v>
      </c>
      <c r="AW199" s="1235"/>
      <c r="AX199" s="1235"/>
      <c r="AY199" s="1235"/>
      <c r="AZ199" s="1235"/>
      <c r="BA199" s="1235"/>
      <c r="BB199" s="1235"/>
      <c r="BC199" s="1235"/>
      <c r="BD199" s="1235"/>
      <c r="BE199" s="1235"/>
      <c r="BF199" s="1235"/>
      <c r="BG199" s="1235"/>
      <c r="BH199" s="1235"/>
      <c r="BI199" s="1235"/>
      <c r="BJ199" s="1235"/>
      <c r="BK199" s="1235"/>
      <c r="BL199" s="1235"/>
      <c r="BM199" s="1235"/>
      <c r="BN199" s="1235"/>
      <c r="BO199" s="1235"/>
      <c r="BP199" s="1235"/>
      <c r="BQ199" s="1235"/>
      <c r="BR199" s="1235"/>
      <c r="BS199" s="1235"/>
      <c r="BT199" s="1235"/>
      <c r="BU199" s="613"/>
      <c r="BV199" s="1188"/>
      <c r="BW199" s="2154"/>
      <c r="BX199" s="2154"/>
      <c r="BY199" s="2154"/>
      <c r="BZ199" s="2154"/>
      <c r="CA199" s="2154"/>
      <c r="CB199" s="2154"/>
      <c r="CC199" s="2154"/>
      <c r="CD199" s="2154"/>
      <c r="CE199" s="2154"/>
      <c r="CF199" s="2154"/>
      <c r="CG199" s="2154"/>
      <c r="CH199" s="2154"/>
      <c r="CI199" s="2154"/>
      <c r="CJ199" s="2154"/>
      <c r="CK199" s="2154"/>
      <c r="CL199" s="2154"/>
      <c r="CM199" s="2154"/>
      <c r="CN199" s="2154"/>
      <c r="CO199" s="2154"/>
      <c r="CP199" s="2154"/>
      <c r="CQ199" s="2154"/>
      <c r="CR199" s="2154"/>
      <c r="CS199" s="2154"/>
      <c r="CT199" s="1177"/>
      <c r="CU199" s="1178"/>
      <c r="DD199" s="16"/>
      <c r="DE199" s="16"/>
      <c r="DF199" s="16"/>
      <c r="DG199" s="16"/>
      <c r="DH199" s="16"/>
      <c r="DI199" s="1593"/>
      <c r="DJ199" s="1163"/>
      <c r="DS199" s="196"/>
      <c r="DT199" s="196"/>
      <c r="DV199" s="73" t="s">
        <v>1304</v>
      </c>
      <c r="DW199" s="1537" t="str">
        <f t="shared" si="10"/>
        <v/>
      </c>
      <c r="DZ199" s="1715" t="s">
        <v>3109</v>
      </c>
      <c r="EA199" s="1537" t="str">
        <f>TEXT($EA$198,"yyyy/mm/dd")</f>
        <v/>
      </c>
      <c r="EB199" s="623">
        <f>IF($DN$194,AB185,AB199)</f>
        <v>0</v>
      </c>
      <c r="EG199" s="73"/>
      <c r="EH199" s="73"/>
      <c r="EI199" s="73"/>
      <c r="EJ199" s="73"/>
      <c r="EK199" s="73"/>
      <c r="FV199" s="73"/>
      <c r="FW199" s="73"/>
      <c r="FX199" s="73"/>
      <c r="FY199" s="73"/>
      <c r="FZ199" s="73"/>
    </row>
    <row r="200" spans="1:183" s="78" customFormat="1" ht="27" customHeight="1" x14ac:dyDescent="0.15">
      <c r="A200" s="1201"/>
      <c r="B200" s="1201"/>
      <c r="C200" s="1201"/>
      <c r="D200" s="1201"/>
      <c r="E200" s="1202"/>
      <c r="F200" s="652"/>
      <c r="G200" s="652"/>
      <c r="H200" s="652"/>
      <c r="I200" s="1249"/>
      <c r="J200" s="1215"/>
      <c r="K200" s="1216"/>
      <c r="L200" s="1216"/>
      <c r="M200" s="2598"/>
      <c r="N200" s="2598"/>
      <c r="O200" s="2598"/>
      <c r="P200" s="2592"/>
      <c r="Q200" s="2592"/>
      <c r="R200" s="2592"/>
      <c r="S200" s="2592"/>
      <c r="T200" s="2592"/>
      <c r="U200" s="2192" t="s">
        <v>684</v>
      </c>
      <c r="V200" s="2193"/>
      <c r="W200" s="2193"/>
      <c r="X200" s="2193"/>
      <c r="Y200" s="2193"/>
      <c r="Z200" s="2193"/>
      <c r="AA200" s="2193"/>
      <c r="AB200" s="2167"/>
      <c r="AC200" s="2167"/>
      <c r="AD200" s="2167"/>
      <c r="AE200" s="2167"/>
      <c r="AF200" s="2167"/>
      <c r="AG200" s="2167"/>
      <c r="AH200" s="2167"/>
      <c r="AI200" s="2167"/>
      <c r="AJ200" s="2167"/>
      <c r="AK200" s="2167"/>
      <c r="AL200" s="2167"/>
      <c r="AM200" s="2167"/>
      <c r="AN200" s="2167"/>
      <c r="AO200" s="2167"/>
      <c r="AP200" s="2167"/>
      <c r="AQ200" s="2167"/>
      <c r="AR200" s="2167"/>
      <c r="AS200" s="2167"/>
      <c r="AT200" s="2167"/>
      <c r="AU200" s="2167"/>
      <c r="AV200" s="1216"/>
      <c r="AW200" s="1216"/>
      <c r="AX200" s="1216"/>
      <c r="AY200" s="1216"/>
      <c r="AZ200" s="1216"/>
      <c r="BA200" s="1216"/>
      <c r="BB200" s="1216"/>
      <c r="BC200" s="1216"/>
      <c r="BD200" s="1216"/>
      <c r="BE200" s="1216"/>
      <c r="BF200" s="1216"/>
      <c r="BG200" s="1216"/>
      <c r="BH200" s="1216"/>
      <c r="BI200" s="1216"/>
      <c r="BJ200" s="1216"/>
      <c r="BK200" s="1216"/>
      <c r="BL200" s="1298"/>
      <c r="BM200" s="1298"/>
      <c r="BN200" s="1298"/>
      <c r="BO200" s="1298"/>
      <c r="BP200" s="1298"/>
      <c r="BQ200" s="1298"/>
      <c r="BR200" s="1298"/>
      <c r="BS200" s="1298"/>
      <c r="BT200" s="1298"/>
      <c r="BU200" s="613"/>
      <c r="BV200" s="1188"/>
      <c r="BW200" s="2154"/>
      <c r="BX200" s="2154"/>
      <c r="BY200" s="2154"/>
      <c r="BZ200" s="2154"/>
      <c r="CA200" s="2154"/>
      <c r="CB200" s="2154"/>
      <c r="CC200" s="2154"/>
      <c r="CD200" s="2154"/>
      <c r="CE200" s="2154"/>
      <c r="CF200" s="2154"/>
      <c r="CG200" s="2154"/>
      <c r="CH200" s="2154"/>
      <c r="CI200" s="2154"/>
      <c r="CJ200" s="2154"/>
      <c r="CK200" s="2154"/>
      <c r="CL200" s="2154"/>
      <c r="CM200" s="2154"/>
      <c r="CN200" s="2154"/>
      <c r="CO200" s="2154"/>
      <c r="CP200" s="2154"/>
      <c r="CQ200" s="2154"/>
      <c r="CR200" s="2154"/>
      <c r="CS200" s="2154"/>
      <c r="CT200" s="1177"/>
      <c r="CU200" s="1178"/>
      <c r="CV200" s="388"/>
      <c r="CW200" s="388"/>
      <c r="CX200" s="207"/>
      <c r="CY200" s="207"/>
      <c r="CZ200" s="207"/>
      <c r="DA200" s="207"/>
      <c r="DB200" s="207"/>
      <c r="DC200" s="15"/>
      <c r="DD200" s="16"/>
      <c r="DE200" s="16"/>
      <c r="DF200" s="16"/>
      <c r="DG200" s="16"/>
      <c r="DH200" s="16"/>
      <c r="DI200" s="1593"/>
      <c r="DJ200" s="1163"/>
      <c r="DK200" s="1163"/>
      <c r="DL200" s="77"/>
      <c r="DM200" s="77"/>
      <c r="DN200" s="77"/>
      <c r="DO200" s="77"/>
      <c r="DP200" s="77"/>
      <c r="DQ200" s="77"/>
      <c r="DV200" s="78" t="s">
        <v>1305</v>
      </c>
      <c r="DW200" s="384" t="str">
        <f t="shared" si="10"/>
        <v/>
      </c>
      <c r="EA200" s="196" t="s">
        <v>3104</v>
      </c>
      <c r="EG200" s="73"/>
      <c r="EH200" s="73"/>
      <c r="EI200" s="73"/>
      <c r="EJ200" s="73"/>
      <c r="EK200" s="73"/>
      <c r="FO200" s="579"/>
      <c r="FV200" s="73"/>
      <c r="FW200" s="73"/>
      <c r="FX200" s="73"/>
      <c r="FY200" s="73"/>
      <c r="FZ200" s="73"/>
      <c r="GA200" s="77"/>
    </row>
    <row r="201" spans="1:183" s="78" customFormat="1" ht="27" customHeight="1" x14ac:dyDescent="0.15">
      <c r="A201" s="1201"/>
      <c r="B201" s="1201"/>
      <c r="C201" s="1201"/>
      <c r="D201" s="1201"/>
      <c r="E201" s="1202"/>
      <c r="F201" s="652"/>
      <c r="G201" s="652"/>
      <c r="H201" s="652"/>
      <c r="I201" s="1249"/>
      <c r="J201" s="1215"/>
      <c r="K201" s="1216"/>
      <c r="L201" s="1216"/>
      <c r="M201" s="2598"/>
      <c r="N201" s="2598"/>
      <c r="O201" s="2598"/>
      <c r="P201" s="2593"/>
      <c r="Q201" s="2593"/>
      <c r="R201" s="2593"/>
      <c r="S201" s="2593"/>
      <c r="T201" s="2593"/>
      <c r="U201" s="2508" t="s">
        <v>686</v>
      </c>
      <c r="V201" s="2573"/>
      <c r="W201" s="2573"/>
      <c r="X201" s="2573"/>
      <c r="Y201" s="2573"/>
      <c r="Z201" s="2573"/>
      <c r="AA201" s="2573"/>
      <c r="AB201" s="2136"/>
      <c r="AC201" s="2136"/>
      <c r="AD201" s="2136"/>
      <c r="AE201" s="2336"/>
      <c r="AF201" s="2336"/>
      <c r="AG201" s="2336"/>
      <c r="AH201" s="2336"/>
      <c r="AI201" s="2336"/>
      <c r="AJ201" s="2336"/>
      <c r="AK201" s="2336"/>
      <c r="AL201" s="2336"/>
      <c r="AM201" s="2336"/>
      <c r="AN201" s="2336"/>
      <c r="AO201" s="2336"/>
      <c r="AP201" s="2336"/>
      <c r="AQ201" s="2336"/>
      <c r="AR201" s="2336"/>
      <c r="AS201" s="2336"/>
      <c r="AT201" s="2336"/>
      <c r="AU201" s="2336"/>
      <c r="AV201" s="1266" t="str">
        <f>IF(AND(AB196="有",AB200="指定確認検査機関",AB201=""),"←指定確認検査機関名が必要です","")</f>
        <v/>
      </c>
      <c r="AW201" s="1255"/>
      <c r="AX201" s="1255"/>
      <c r="AY201" s="1255"/>
      <c r="AZ201" s="1255"/>
      <c r="BA201" s="1255"/>
      <c r="BB201" s="1255"/>
      <c r="BC201" s="1255"/>
      <c r="BD201" s="1255"/>
      <c r="BE201" s="1255"/>
      <c r="BF201" s="1267"/>
      <c r="BG201" s="1255"/>
      <c r="BH201" s="1255"/>
      <c r="BI201" s="1299"/>
      <c r="BJ201" s="1299"/>
      <c r="BK201" s="1299"/>
      <c r="BL201" s="1299"/>
      <c r="BM201" s="1299"/>
      <c r="BN201" s="1299"/>
      <c r="BO201" s="1299"/>
      <c r="BP201" s="1299"/>
      <c r="BQ201" s="1299"/>
      <c r="BR201" s="1299"/>
      <c r="BS201" s="1299"/>
      <c r="BT201" s="1299"/>
      <c r="BU201" s="613"/>
      <c r="BV201" s="613"/>
      <c r="BW201" s="2154"/>
      <c r="BX201" s="2154"/>
      <c r="BY201" s="2154"/>
      <c r="BZ201" s="2154"/>
      <c r="CA201" s="2154"/>
      <c r="CB201" s="2154"/>
      <c r="CC201" s="2154"/>
      <c r="CD201" s="2154"/>
      <c r="CE201" s="2154"/>
      <c r="CF201" s="2154"/>
      <c r="CG201" s="2154"/>
      <c r="CH201" s="2154"/>
      <c r="CI201" s="2154"/>
      <c r="CJ201" s="2154"/>
      <c r="CK201" s="2154"/>
      <c r="CL201" s="2154"/>
      <c r="CM201" s="2154"/>
      <c r="CN201" s="2154"/>
      <c r="CO201" s="2154"/>
      <c r="CP201" s="2154"/>
      <c r="CQ201" s="2154"/>
      <c r="CR201" s="2154"/>
      <c r="CS201" s="2154"/>
      <c r="CT201" s="1177"/>
      <c r="CU201" s="1178"/>
      <c r="CV201" s="388"/>
      <c r="CW201" s="388"/>
      <c r="CX201" s="207"/>
      <c r="CY201" s="207"/>
      <c r="CZ201" s="207"/>
      <c r="DA201" s="207"/>
      <c r="DB201" s="207"/>
      <c r="DC201" s="15"/>
      <c r="DD201" s="16"/>
      <c r="DE201" s="16"/>
      <c r="DF201" s="16"/>
      <c r="DG201" s="16"/>
      <c r="DH201" s="16"/>
      <c r="DI201" s="1593"/>
      <c r="DJ201" s="1163"/>
      <c r="DK201" s="1163"/>
      <c r="DL201" s="77"/>
      <c r="DM201" s="77"/>
      <c r="DN201" s="77"/>
      <c r="DO201" s="77"/>
      <c r="DP201" s="77"/>
      <c r="DQ201" s="77"/>
      <c r="DV201" s="78" t="s">
        <v>1850</v>
      </c>
      <c r="DW201" s="155" t="str">
        <f t="shared" si="10"/>
        <v/>
      </c>
      <c r="EG201" s="73"/>
      <c r="EH201" s="73"/>
      <c r="EI201" s="73"/>
      <c r="EJ201" s="73"/>
      <c r="EK201" s="73"/>
      <c r="FO201" s="579"/>
      <c r="FV201" s="73"/>
      <c r="FW201" s="73"/>
      <c r="FX201" s="73"/>
      <c r="FY201" s="73"/>
      <c r="FZ201" s="73"/>
      <c r="GA201" s="77"/>
    </row>
    <row r="202" spans="1:183" s="78" customFormat="1" ht="27" customHeight="1" thickBot="1" x14ac:dyDescent="0.2">
      <c r="A202" s="1201"/>
      <c r="B202" s="1201"/>
      <c r="C202" s="1201"/>
      <c r="D202" s="1201"/>
      <c r="E202" s="1202"/>
      <c r="F202" s="652"/>
      <c r="G202" s="652"/>
      <c r="H202" s="652"/>
      <c r="I202" s="1249"/>
      <c r="J202" s="1215"/>
      <c r="K202" s="1216"/>
      <c r="L202" s="1216"/>
      <c r="M202" s="2598"/>
      <c r="N202" s="2598"/>
      <c r="O202" s="2598"/>
      <c r="P202" s="2243" t="s">
        <v>682</v>
      </c>
      <c r="Q202" s="2243"/>
      <c r="R202" s="2243"/>
      <c r="S202" s="2243"/>
      <c r="T202" s="2243"/>
      <c r="U202" s="2243"/>
      <c r="V202" s="2243"/>
      <c r="W202" s="2243"/>
      <c r="X202" s="2243"/>
      <c r="Y202" s="2243"/>
      <c r="Z202" s="2243"/>
      <c r="AA202" s="2243"/>
      <c r="AB202" s="2185"/>
      <c r="AC202" s="2185"/>
      <c r="AD202" s="2185"/>
      <c r="AE202" s="1300" t="str">
        <f>IF(AND(DN194=FALSE,AB202=""),"←どちらかは必ず選んでください","")</f>
        <v>←どちらかは必ず選んでください</v>
      </c>
      <c r="AF202" s="1212"/>
      <c r="AG202" s="1212"/>
      <c r="AH202" s="1212"/>
      <c r="AI202" s="1212"/>
      <c r="AJ202" s="1212"/>
      <c r="AK202" s="1212"/>
      <c r="AL202" s="1212"/>
      <c r="AM202" s="1212"/>
      <c r="AN202" s="1212"/>
      <c r="AO202" s="1212"/>
      <c r="AP202" s="1212"/>
      <c r="AQ202" s="1212"/>
      <c r="AR202" s="1212"/>
      <c r="AS202" s="1212"/>
      <c r="AT202" s="1212"/>
      <c r="AU202" s="1212"/>
      <c r="AV202" s="1212"/>
      <c r="AW202" s="1212"/>
      <c r="AX202" s="1212"/>
      <c r="AY202" s="1212"/>
      <c r="AZ202" s="1212"/>
      <c r="BA202" s="1212"/>
      <c r="BB202" s="1212"/>
      <c r="BC202" s="1212"/>
      <c r="BD202" s="1212"/>
      <c r="BE202" s="1212"/>
      <c r="BF202" s="1212"/>
      <c r="BG202" s="1212"/>
      <c r="BH202" s="1212"/>
      <c r="BI202" s="1212"/>
      <c r="BJ202" s="1212"/>
      <c r="BK202" s="1212"/>
      <c r="BL202" s="1212"/>
      <c r="BM202" s="1212"/>
      <c r="BN202" s="1212"/>
      <c r="BO202" s="1212"/>
      <c r="BP202" s="1212"/>
      <c r="BQ202" s="1212"/>
      <c r="BR202" s="1212"/>
      <c r="BS202" s="1212"/>
      <c r="BT202" s="1212"/>
      <c r="BU202" s="613"/>
      <c r="BV202" s="613"/>
      <c r="BW202" s="2154"/>
      <c r="BX202" s="2154"/>
      <c r="BY202" s="2154"/>
      <c r="BZ202" s="2154"/>
      <c r="CA202" s="2154"/>
      <c r="CB202" s="2154"/>
      <c r="CC202" s="2154"/>
      <c r="CD202" s="2154"/>
      <c r="CE202" s="2154"/>
      <c r="CF202" s="2154"/>
      <c r="CG202" s="2154"/>
      <c r="CH202" s="2154"/>
      <c r="CI202" s="2154"/>
      <c r="CJ202" s="2154"/>
      <c r="CK202" s="2154"/>
      <c r="CL202" s="2154"/>
      <c r="CM202" s="2154"/>
      <c r="CN202" s="2154"/>
      <c r="CO202" s="2154"/>
      <c r="CP202" s="2154"/>
      <c r="CQ202" s="2154"/>
      <c r="CR202" s="2154"/>
      <c r="CS202" s="2154"/>
      <c r="CT202" s="1177"/>
      <c r="CU202" s="1178"/>
      <c r="CV202" s="388"/>
      <c r="CW202" s="388"/>
      <c r="CX202" s="207"/>
      <c r="CY202" s="207"/>
      <c r="CZ202" s="207"/>
      <c r="DA202" s="207"/>
      <c r="DB202" s="207"/>
      <c r="DC202" s="15"/>
      <c r="DD202" s="16"/>
      <c r="DE202" s="16"/>
      <c r="DF202" s="16"/>
      <c r="DG202" s="16"/>
      <c r="DH202" s="16"/>
      <c r="DI202" s="1593"/>
      <c r="DJ202" s="1163"/>
      <c r="DK202" s="1163"/>
      <c r="DL202" s="77"/>
      <c r="DM202" s="77"/>
      <c r="DN202" s="77"/>
      <c r="DO202" s="77"/>
      <c r="DP202" s="77"/>
      <c r="DQ202" s="77"/>
      <c r="DV202" s="78" t="s">
        <v>1303</v>
      </c>
      <c r="DW202" s="155" t="str">
        <f t="shared" si="10"/>
        <v/>
      </c>
      <c r="EG202" s="73"/>
      <c r="EH202" s="73"/>
      <c r="EI202" s="73"/>
      <c r="EJ202" s="73"/>
      <c r="EK202" s="73"/>
      <c r="FO202" s="579"/>
      <c r="FV202" s="73"/>
      <c r="FW202" s="73"/>
      <c r="FX202" s="73"/>
      <c r="FY202" s="73"/>
      <c r="FZ202" s="73"/>
      <c r="GA202" s="77"/>
    </row>
    <row r="203" spans="1:183" s="78" customFormat="1" ht="27" customHeight="1" thickBot="1" x14ac:dyDescent="0.2">
      <c r="A203" s="1201"/>
      <c r="B203" s="1201"/>
      <c r="C203" s="1201"/>
      <c r="D203" s="1201"/>
      <c r="E203" s="1202"/>
      <c r="F203" s="652"/>
      <c r="G203" s="652"/>
      <c r="H203" s="652"/>
      <c r="I203" s="1249"/>
      <c r="J203" s="1215"/>
      <c r="K203" s="1216"/>
      <c r="L203" s="1216"/>
      <c r="M203" s="2598"/>
      <c r="N203" s="2598"/>
      <c r="O203" s="2598"/>
      <c r="P203" s="2243" t="s">
        <v>975</v>
      </c>
      <c r="Q203" s="2556"/>
      <c r="R203" s="2556"/>
      <c r="S203" s="2556"/>
      <c r="T203" s="2556"/>
      <c r="U203" s="2594" t="s">
        <v>1106</v>
      </c>
      <c r="V203" s="2594"/>
      <c r="W203" s="2594"/>
      <c r="X203" s="2594"/>
      <c r="Y203" s="2594"/>
      <c r="Z203" s="2594"/>
      <c r="AA203" s="2594"/>
      <c r="AB203" s="2137"/>
      <c r="AC203" s="2138"/>
      <c r="AD203" s="2138"/>
      <c r="AE203" s="1291" t="str">
        <f>IF(AND(DN194=FALSE,AB203=""),"←どちらかは必ず選んでください","")</f>
        <v>←どちらかは必ず選んでください</v>
      </c>
      <c r="AF203" s="1273"/>
      <c r="AG203" s="1273"/>
      <c r="AH203" s="1273"/>
      <c r="AI203" s="1273"/>
      <c r="AJ203" s="1273"/>
      <c r="AK203" s="1273"/>
      <c r="AL203" s="1273"/>
      <c r="AM203" s="1273"/>
      <c r="AN203" s="1273"/>
      <c r="AO203" s="1273"/>
      <c r="AP203" s="1273"/>
      <c r="AQ203" s="1273"/>
      <c r="AR203" s="1250"/>
      <c r="AS203" s="1250"/>
      <c r="AT203" s="1250"/>
      <c r="AU203" s="1250"/>
      <c r="AV203" s="1250"/>
      <c r="AW203" s="1250"/>
      <c r="AX203" s="1250"/>
      <c r="AY203" s="1250"/>
      <c r="AZ203" s="1250"/>
      <c r="BA203" s="1250"/>
      <c r="BB203" s="1250"/>
      <c r="BC203" s="1250"/>
      <c r="BD203" s="1250"/>
      <c r="BE203" s="1250"/>
      <c r="BF203" s="1250"/>
      <c r="BG203" s="1250"/>
      <c r="BH203" s="1250"/>
      <c r="BI203" s="1250"/>
      <c r="BJ203" s="1250"/>
      <c r="BK203" s="1250"/>
      <c r="BL203" s="1250"/>
      <c r="BM203" s="1250"/>
      <c r="BN203" s="1250"/>
      <c r="BO203" s="1250"/>
      <c r="BP203" s="1250"/>
      <c r="BQ203" s="1250"/>
      <c r="BR203" s="1250"/>
      <c r="BS203" s="1250"/>
      <c r="BT203" s="1250"/>
      <c r="BU203" s="613"/>
      <c r="BV203" s="613"/>
      <c r="BW203" s="2154"/>
      <c r="BX203" s="2154"/>
      <c r="BY203" s="2154"/>
      <c r="BZ203" s="2154"/>
      <c r="CA203" s="2154"/>
      <c r="CB203" s="2154"/>
      <c r="CC203" s="2154"/>
      <c r="CD203" s="2154"/>
      <c r="CE203" s="2154"/>
      <c r="CF203" s="2154"/>
      <c r="CG203" s="2154"/>
      <c r="CH203" s="2154"/>
      <c r="CI203" s="2154"/>
      <c r="CJ203" s="2154"/>
      <c r="CK203" s="2154"/>
      <c r="CL203" s="2154"/>
      <c r="CM203" s="2154"/>
      <c r="CN203" s="2154"/>
      <c r="CO203" s="2154"/>
      <c r="CP203" s="2154"/>
      <c r="CQ203" s="2154"/>
      <c r="CR203" s="2154"/>
      <c r="CS203" s="2154"/>
      <c r="CT203" s="1177"/>
      <c r="CU203" s="1178"/>
      <c r="CV203" s="388"/>
      <c r="CW203" s="388"/>
      <c r="CX203" s="207"/>
      <c r="CY203" s="207"/>
      <c r="CZ203" s="207"/>
      <c r="DA203" s="207"/>
      <c r="DB203" s="207"/>
      <c r="DC203" s="15"/>
      <c r="DD203" s="16"/>
      <c r="DE203" s="16"/>
      <c r="DF203" s="16"/>
      <c r="DG203" s="16"/>
      <c r="DH203" s="16"/>
      <c r="DI203" s="1593"/>
      <c r="DJ203" s="1163"/>
      <c r="DK203" s="1163"/>
      <c r="DL203" s="77"/>
      <c r="DM203" s="77"/>
      <c r="DN203" s="83">
        <f>COUNTA(AB204,AE204,AJ204,AO204,AB205,AB206,AB207)</f>
        <v>0</v>
      </c>
      <c r="DO203" s="77"/>
      <c r="DP203" s="77"/>
      <c r="DQ203" s="77"/>
      <c r="DV203" s="78" t="s">
        <v>1851</v>
      </c>
      <c r="DW203" s="383" t="str">
        <f t="shared" si="10"/>
        <v/>
      </c>
      <c r="EA203" s="78" t="s">
        <v>3333</v>
      </c>
      <c r="FO203" s="579"/>
      <c r="GA203" s="77"/>
    </row>
    <row r="204" spans="1:183" s="78" customFormat="1" ht="27" customHeight="1" thickBot="1" x14ac:dyDescent="0.2">
      <c r="A204" s="1201"/>
      <c r="B204" s="1201"/>
      <c r="C204" s="1201"/>
      <c r="D204" s="1201"/>
      <c r="E204" s="1202"/>
      <c r="F204" s="652"/>
      <c r="G204" s="652"/>
      <c r="H204" s="652"/>
      <c r="I204" s="1249"/>
      <c r="J204" s="1215"/>
      <c r="K204" s="1216"/>
      <c r="L204" s="1216"/>
      <c r="M204" s="2598"/>
      <c r="N204" s="2598"/>
      <c r="O204" s="2598"/>
      <c r="P204" s="2344"/>
      <c r="Q204" s="2344"/>
      <c r="R204" s="2344"/>
      <c r="S204" s="2344"/>
      <c r="T204" s="2344"/>
      <c r="U204" s="2192" t="s">
        <v>687</v>
      </c>
      <c r="V204" s="2193"/>
      <c r="W204" s="2193"/>
      <c r="X204" s="2193"/>
      <c r="Y204" s="2193"/>
      <c r="Z204" s="2193"/>
      <c r="AA204" s="2193"/>
      <c r="AB204" s="2552"/>
      <c r="AC204" s="2553"/>
      <c r="AD204" s="2553"/>
      <c r="AE204" s="2519"/>
      <c r="AF204" s="2519"/>
      <c r="AG204" s="2520"/>
      <c r="AH204" s="1296" t="s">
        <v>12</v>
      </c>
      <c r="AI204" s="1297"/>
      <c r="AJ204" s="2140"/>
      <c r="AK204" s="2140"/>
      <c r="AL204" s="2140"/>
      <c r="AM204" s="1253" t="s">
        <v>163</v>
      </c>
      <c r="AN204" s="1253"/>
      <c r="AO204" s="2140"/>
      <c r="AP204" s="2140"/>
      <c r="AQ204" s="2140"/>
      <c r="AR204" s="1216" t="s">
        <v>164</v>
      </c>
      <c r="AS204" s="1216"/>
      <c r="AT204" s="1216"/>
      <c r="AU204" s="1216"/>
      <c r="AV204" s="1216"/>
      <c r="AW204" s="1216"/>
      <c r="AX204" s="1216"/>
      <c r="AY204" s="1216"/>
      <c r="AZ204" s="1216"/>
      <c r="BA204" s="1216"/>
      <c r="BB204" s="1216"/>
      <c r="BC204" s="1216"/>
      <c r="BD204" s="1216"/>
      <c r="BE204" s="1216"/>
      <c r="BF204" s="1216"/>
      <c r="BG204" s="1216"/>
      <c r="BH204" s="1216"/>
      <c r="BI204" s="1216"/>
      <c r="BJ204" s="1216"/>
      <c r="BK204" s="1216"/>
      <c r="BL204" s="1216"/>
      <c r="BM204" s="1216"/>
      <c r="BN204" s="1216"/>
      <c r="BO204" s="1216"/>
      <c r="BP204" s="1216"/>
      <c r="BQ204" s="1216"/>
      <c r="BR204" s="1216"/>
      <c r="BS204" s="1216"/>
      <c r="BT204" s="1216"/>
      <c r="BU204" s="613"/>
      <c r="BV204" s="613"/>
      <c r="BW204" s="2154"/>
      <c r="BX204" s="2154"/>
      <c r="BY204" s="2154"/>
      <c r="BZ204" s="2154"/>
      <c r="CA204" s="2154"/>
      <c r="CB204" s="2154"/>
      <c r="CC204" s="2154"/>
      <c r="CD204" s="2154"/>
      <c r="CE204" s="2154"/>
      <c r="CF204" s="2154"/>
      <c r="CG204" s="2154"/>
      <c r="CH204" s="2154"/>
      <c r="CI204" s="2154"/>
      <c r="CJ204" s="2154"/>
      <c r="CK204" s="2154"/>
      <c r="CL204" s="2154"/>
      <c r="CM204" s="2154"/>
      <c r="CN204" s="2154"/>
      <c r="CO204" s="2154"/>
      <c r="CP204" s="2154"/>
      <c r="CQ204" s="2154"/>
      <c r="CR204" s="2154"/>
      <c r="CS204" s="2154"/>
      <c r="CT204" s="1177"/>
      <c r="CU204" s="1178"/>
      <c r="CV204" s="388"/>
      <c r="CW204" s="388"/>
      <c r="CX204" s="207"/>
      <c r="CY204" s="207"/>
      <c r="CZ204" s="207"/>
      <c r="DA204" s="207"/>
      <c r="DB204" s="207"/>
      <c r="DC204" s="15"/>
      <c r="DD204" s="16"/>
      <c r="DE204" s="16"/>
      <c r="DF204" s="16"/>
      <c r="DG204" s="16"/>
      <c r="DH204" s="16"/>
      <c r="DI204" s="1593"/>
      <c r="DJ204" s="1163"/>
      <c r="DK204" s="1163"/>
      <c r="DL204" s="77"/>
      <c r="DM204" s="77"/>
      <c r="DN204" s="77"/>
      <c r="DO204" s="77"/>
      <c r="DP204" s="77"/>
      <c r="DQ204" s="77"/>
      <c r="DV204" s="78" t="s">
        <v>1849</v>
      </c>
      <c r="DW204" s="1648" t="str">
        <f t="shared" si="10"/>
        <v/>
      </c>
      <c r="DX204" s="1447" t="str">
        <f>IF($DN$194,IF(AE190="","",AE190),IF(AE204="","",AE204))</f>
        <v/>
      </c>
      <c r="DY204" s="1447" t="str">
        <f>IF($DN$194,IF(AJ190="","",AJ190),IF(AJ204="","",AJ204))</f>
        <v/>
      </c>
      <c r="DZ204" s="1447" t="str">
        <f>IF($DN$194,IF(AO190="","",AO190),IF(AO204="","",AO204))</f>
        <v/>
      </c>
      <c r="EA204" s="1944" t="str">
        <f>IF(DW204&lt;&gt;"",DATE(VLOOKUP(DW204,$EB$184:$EC$187,2,FALSE)+DX204,DY204,DZ204),"")</f>
        <v/>
      </c>
      <c r="EB204" s="434" t="str">
        <f>IF($DN$194,EA190,EA204)</f>
        <v/>
      </c>
      <c r="FO204" s="579"/>
      <c r="GA204" s="77"/>
    </row>
    <row r="205" spans="1:183" s="78" customFormat="1" ht="27" customHeight="1" thickBot="1" x14ac:dyDescent="0.2">
      <c r="A205" s="1201"/>
      <c r="B205" s="1201"/>
      <c r="C205" s="1201"/>
      <c r="D205" s="1201"/>
      <c r="E205" s="1202"/>
      <c r="F205" s="652"/>
      <c r="G205" s="652"/>
      <c r="H205" s="652"/>
      <c r="I205" s="1249"/>
      <c r="J205" s="1215"/>
      <c r="K205" s="1216"/>
      <c r="L205" s="1216"/>
      <c r="M205" s="2598"/>
      <c r="N205" s="2598"/>
      <c r="O205" s="2598"/>
      <c r="P205" s="2344"/>
      <c r="Q205" s="2344"/>
      <c r="R205" s="2344"/>
      <c r="S205" s="2344"/>
      <c r="T205" s="2344"/>
      <c r="U205" s="2192" t="s">
        <v>683</v>
      </c>
      <c r="V205" s="2193"/>
      <c r="W205" s="2193"/>
      <c r="X205" s="2193"/>
      <c r="Y205" s="2193"/>
      <c r="Z205" s="2193"/>
      <c r="AA205" s="2193"/>
      <c r="AB205" s="2167"/>
      <c r="AC205" s="2167"/>
      <c r="AD205" s="2167"/>
      <c r="AE205" s="2167"/>
      <c r="AF205" s="2167"/>
      <c r="AG205" s="2167"/>
      <c r="AH205" s="2167"/>
      <c r="AI205" s="2167"/>
      <c r="AJ205" s="2167"/>
      <c r="AK205" s="2167"/>
      <c r="AL205" s="2167"/>
      <c r="AM205" s="2167"/>
      <c r="AN205" s="2167"/>
      <c r="AO205" s="2167"/>
      <c r="AP205" s="2167"/>
      <c r="AQ205" s="2167"/>
      <c r="AR205" s="2167"/>
      <c r="AS205" s="2167"/>
      <c r="AT205" s="2167"/>
      <c r="AU205" s="2167"/>
      <c r="AV205" s="1216" t="s">
        <v>4</v>
      </c>
      <c r="AW205" s="1216"/>
      <c r="AX205" s="1216"/>
      <c r="AY205" s="1216"/>
      <c r="AZ205" s="1216"/>
      <c r="BA205" s="1216"/>
      <c r="BB205" s="1216"/>
      <c r="BC205" s="1216"/>
      <c r="BD205" s="1216"/>
      <c r="BE205" s="1216"/>
      <c r="BF205" s="1301"/>
      <c r="BG205" s="1301"/>
      <c r="BH205" s="1301"/>
      <c r="BI205" s="1301"/>
      <c r="BJ205" s="1301"/>
      <c r="BK205" s="1298"/>
      <c r="BL205" s="1298"/>
      <c r="BM205" s="1298"/>
      <c r="BN205" s="1298"/>
      <c r="BO205" s="1298"/>
      <c r="BP205" s="1298"/>
      <c r="BQ205" s="1298"/>
      <c r="BR205" s="1298"/>
      <c r="BS205" s="1298"/>
      <c r="BT205" s="1298"/>
      <c r="BU205" s="613"/>
      <c r="BV205" s="613"/>
      <c r="BW205" s="2154"/>
      <c r="BX205" s="2154"/>
      <c r="BY205" s="2154"/>
      <c r="BZ205" s="2154"/>
      <c r="CA205" s="2154"/>
      <c r="CB205" s="2154"/>
      <c r="CC205" s="2154"/>
      <c r="CD205" s="2154"/>
      <c r="CE205" s="2154"/>
      <c r="CF205" s="2154"/>
      <c r="CG205" s="2154"/>
      <c r="CH205" s="2154"/>
      <c r="CI205" s="2154"/>
      <c r="CJ205" s="2154"/>
      <c r="CK205" s="2154"/>
      <c r="CL205" s="2154"/>
      <c r="CM205" s="2154"/>
      <c r="CN205" s="2154"/>
      <c r="CO205" s="2154"/>
      <c r="CP205" s="2154"/>
      <c r="CQ205" s="2154"/>
      <c r="CR205" s="2154"/>
      <c r="CS205" s="2154"/>
      <c r="CT205" s="1177"/>
      <c r="CU205" s="1178"/>
      <c r="CV205" s="388"/>
      <c r="CW205" s="388"/>
      <c r="CX205" s="207"/>
      <c r="CY205" s="207"/>
      <c r="CZ205" s="207"/>
      <c r="DA205" s="207"/>
      <c r="DB205" s="207"/>
      <c r="DC205" s="15"/>
      <c r="DD205" s="16"/>
      <c r="DE205" s="16"/>
      <c r="DF205" s="16"/>
      <c r="DG205" s="16"/>
      <c r="DH205" s="16"/>
      <c r="DI205" s="1593"/>
      <c r="DJ205" s="1163"/>
      <c r="DK205" s="1163"/>
      <c r="DL205" s="77"/>
      <c r="DM205" s="77"/>
      <c r="DN205" s="77"/>
      <c r="DO205" s="77"/>
      <c r="DP205" s="77"/>
      <c r="DQ205" s="77"/>
      <c r="DV205" s="78" t="s">
        <v>1304</v>
      </c>
      <c r="DW205" s="1537" t="str">
        <f t="shared" si="10"/>
        <v/>
      </c>
      <c r="DZ205" s="1715" t="s">
        <v>3111</v>
      </c>
      <c r="EA205" s="1537" t="str">
        <f>TEXT($EA$204,"yyyy/mm/dd")</f>
        <v/>
      </c>
      <c r="EB205" s="623">
        <f>IF($DN$194,AB191,AB205)</f>
        <v>0</v>
      </c>
      <c r="FO205" s="579"/>
      <c r="GA205" s="77"/>
    </row>
    <row r="206" spans="1:183" ht="27" customHeight="1" x14ac:dyDescent="0.15">
      <c r="A206" s="1201"/>
      <c r="B206" s="1201"/>
      <c r="C206" s="1201"/>
      <c r="D206" s="1201"/>
      <c r="E206" s="1202"/>
      <c r="J206" s="1260"/>
      <c r="K206" s="1261"/>
      <c r="L206" s="1261"/>
      <c r="M206" s="2598"/>
      <c r="N206" s="2598"/>
      <c r="O206" s="2598"/>
      <c r="P206" s="2344"/>
      <c r="Q206" s="2344"/>
      <c r="R206" s="2344"/>
      <c r="S206" s="2344"/>
      <c r="T206" s="2344"/>
      <c r="U206" s="2192" t="s">
        <v>684</v>
      </c>
      <c r="V206" s="2193"/>
      <c r="W206" s="2193"/>
      <c r="X206" s="2193"/>
      <c r="Y206" s="2193"/>
      <c r="Z206" s="2193"/>
      <c r="AA206" s="2193"/>
      <c r="AB206" s="2167"/>
      <c r="AC206" s="2167"/>
      <c r="AD206" s="2167"/>
      <c r="AE206" s="2167"/>
      <c r="AF206" s="2167"/>
      <c r="AG206" s="2167"/>
      <c r="AH206" s="2167"/>
      <c r="AI206" s="2167"/>
      <c r="AJ206" s="2167"/>
      <c r="AK206" s="2167"/>
      <c r="AL206" s="2167"/>
      <c r="AM206" s="2167"/>
      <c r="AN206" s="2167"/>
      <c r="AO206" s="2167"/>
      <c r="AP206" s="2167"/>
      <c r="AQ206" s="2167"/>
      <c r="AR206" s="2167"/>
      <c r="AS206" s="2167"/>
      <c r="AT206" s="2167"/>
      <c r="AU206" s="2167"/>
      <c r="AV206" s="1235"/>
      <c r="AW206" s="1235"/>
      <c r="AX206" s="1235"/>
      <c r="AY206" s="1235"/>
      <c r="AZ206" s="1235"/>
      <c r="BA206" s="1235"/>
      <c r="BB206" s="1235"/>
      <c r="BC206" s="1235"/>
      <c r="BD206" s="1235"/>
      <c r="BE206" s="1235"/>
      <c r="BF206" s="1235"/>
      <c r="BG206" s="1235"/>
      <c r="BH206" s="1235"/>
      <c r="BI206" s="1235"/>
      <c r="BJ206" s="1235"/>
      <c r="BK206" s="1235"/>
      <c r="BL206" s="1235"/>
      <c r="BM206" s="1235"/>
      <c r="BN206" s="1235"/>
      <c r="BO206" s="1235"/>
      <c r="BP206" s="1235"/>
      <c r="BQ206" s="1235"/>
      <c r="BR206" s="1235"/>
      <c r="BS206" s="1235"/>
      <c r="BT206" s="1235"/>
      <c r="BU206" s="613"/>
      <c r="BV206" s="613"/>
      <c r="BW206" s="2154"/>
      <c r="BX206" s="2154"/>
      <c r="BY206" s="2154"/>
      <c r="BZ206" s="2154"/>
      <c r="CA206" s="2154"/>
      <c r="CB206" s="2154"/>
      <c r="CC206" s="2154"/>
      <c r="CD206" s="2154"/>
      <c r="CE206" s="2154"/>
      <c r="CF206" s="2154"/>
      <c r="CG206" s="2154"/>
      <c r="CH206" s="2154"/>
      <c r="CI206" s="2154"/>
      <c r="CJ206" s="2154"/>
      <c r="CK206" s="2154"/>
      <c r="CL206" s="2154"/>
      <c r="CM206" s="2154"/>
      <c r="CN206" s="2154"/>
      <c r="CO206" s="2154"/>
      <c r="CP206" s="2154"/>
      <c r="CQ206" s="2154"/>
      <c r="CR206" s="2154"/>
      <c r="CS206" s="2154"/>
      <c r="CT206" s="1177"/>
      <c r="CU206" s="1178"/>
      <c r="DD206" s="16"/>
      <c r="DE206" s="16"/>
      <c r="DF206" s="16"/>
      <c r="DG206" s="16"/>
      <c r="DH206" s="16"/>
      <c r="DI206" s="1593"/>
      <c r="DJ206" s="1163"/>
      <c r="DV206" s="73" t="s">
        <v>1305</v>
      </c>
      <c r="DW206" s="384" t="str">
        <f t="shared" si="10"/>
        <v/>
      </c>
      <c r="EA206" s="196" t="s">
        <v>3104</v>
      </c>
      <c r="EG206" s="78"/>
      <c r="EH206" s="78"/>
      <c r="EI206" s="78"/>
      <c r="EJ206" s="78"/>
      <c r="EK206" s="78"/>
      <c r="FV206" s="78"/>
      <c r="FW206" s="78"/>
      <c r="FX206" s="78"/>
      <c r="FY206" s="78"/>
      <c r="FZ206" s="78"/>
    </row>
    <row r="207" spans="1:183" ht="27" customHeight="1" x14ac:dyDescent="0.15">
      <c r="A207" s="1201"/>
      <c r="B207" s="1201"/>
      <c r="C207" s="1201"/>
      <c r="D207" s="1201"/>
      <c r="E207" s="1202"/>
      <c r="J207" s="1260"/>
      <c r="K207" s="1261"/>
      <c r="L207" s="1261"/>
      <c r="M207" s="2599"/>
      <c r="N207" s="2599"/>
      <c r="O207" s="2599"/>
      <c r="P207" s="2344"/>
      <c r="Q207" s="2344"/>
      <c r="R207" s="2344"/>
      <c r="S207" s="2344"/>
      <c r="T207" s="2344"/>
      <c r="U207" s="2508" t="s">
        <v>686</v>
      </c>
      <c r="V207" s="2573"/>
      <c r="W207" s="2573"/>
      <c r="X207" s="2573"/>
      <c r="Y207" s="2573"/>
      <c r="Z207" s="2573"/>
      <c r="AA207" s="2573"/>
      <c r="AB207" s="2136"/>
      <c r="AC207" s="2136"/>
      <c r="AD207" s="2136"/>
      <c r="AE207" s="2136"/>
      <c r="AF207" s="2136"/>
      <c r="AG207" s="2136"/>
      <c r="AH207" s="2136"/>
      <c r="AI207" s="2136"/>
      <c r="AJ207" s="2136"/>
      <c r="AK207" s="2136"/>
      <c r="AL207" s="2136"/>
      <c r="AM207" s="2136"/>
      <c r="AN207" s="2136"/>
      <c r="AO207" s="2136"/>
      <c r="AP207" s="2136"/>
      <c r="AQ207" s="2136"/>
      <c r="AR207" s="2136"/>
      <c r="AS207" s="2136"/>
      <c r="AT207" s="2136"/>
      <c r="AU207" s="2136"/>
      <c r="AV207" s="1266" t="str">
        <f>IF(AND(AB203="有",AB206="指定確認検査機関",AB207=""),"←指定確認検査機関名が必要です","")</f>
        <v/>
      </c>
      <c r="AW207" s="1256"/>
      <c r="AX207" s="1256"/>
      <c r="AY207" s="1256"/>
      <c r="AZ207" s="1256"/>
      <c r="BA207" s="1256"/>
      <c r="BB207" s="1256"/>
      <c r="BC207" s="1256"/>
      <c r="BD207" s="1256"/>
      <c r="BE207" s="1256"/>
      <c r="BF207" s="1256"/>
      <c r="BG207" s="1256"/>
      <c r="BH207" s="1256"/>
      <c r="BI207" s="1256"/>
      <c r="BJ207" s="1256"/>
      <c r="BK207" s="1256"/>
      <c r="BL207" s="1256"/>
      <c r="BM207" s="1256"/>
      <c r="BN207" s="1256"/>
      <c r="BO207" s="1256"/>
      <c r="BP207" s="1256"/>
      <c r="BQ207" s="1256"/>
      <c r="BR207" s="1256"/>
      <c r="BS207" s="1256"/>
      <c r="BT207" s="1256"/>
      <c r="BU207" s="613"/>
      <c r="BV207" s="615"/>
      <c r="BW207" s="2186" t="s">
        <v>1906</v>
      </c>
      <c r="BX207" s="2186"/>
      <c r="BY207" s="2186"/>
      <c r="BZ207" s="2186"/>
      <c r="CA207" s="2186"/>
      <c r="CB207" s="2186"/>
      <c r="CC207" s="2186"/>
      <c r="CD207" s="2186"/>
      <c r="CE207" s="2186"/>
      <c r="CF207" s="2186"/>
      <c r="CG207" s="2186"/>
      <c r="CH207" s="2186"/>
      <c r="CI207" s="2186"/>
      <c r="CJ207" s="2186"/>
      <c r="CK207" s="2186"/>
      <c r="CL207" s="2186"/>
      <c r="CM207" s="2186"/>
      <c r="CN207" s="2186"/>
      <c r="CO207" s="2186"/>
      <c r="CP207" s="2186"/>
      <c r="CQ207" s="2186"/>
      <c r="CR207" s="2186"/>
      <c r="CS207" s="2186"/>
      <c r="CT207" s="1177"/>
      <c r="CU207" s="1178"/>
      <c r="DD207" s="16"/>
      <c r="DE207" s="16"/>
      <c r="DF207" s="16"/>
      <c r="DG207" s="16"/>
      <c r="DH207" s="16"/>
      <c r="DI207" s="1593"/>
      <c r="DJ207" s="1163"/>
      <c r="DO207" s="152"/>
      <c r="DP207" s="152"/>
      <c r="DQ207" s="152"/>
      <c r="DR207" s="11"/>
      <c r="DV207" s="73" t="s">
        <v>1850</v>
      </c>
      <c r="DW207" s="155" t="str">
        <f t="shared" si="10"/>
        <v/>
      </c>
      <c r="EG207" s="78"/>
      <c r="EH207" s="78"/>
      <c r="EI207" s="78"/>
      <c r="EJ207" s="78"/>
      <c r="EK207" s="78"/>
      <c r="FV207" s="78"/>
      <c r="FW207" s="78"/>
      <c r="FX207" s="78"/>
      <c r="FY207" s="78"/>
      <c r="FZ207" s="78"/>
    </row>
    <row r="208" spans="1:183" s="78" customFormat="1" ht="27" customHeight="1" x14ac:dyDescent="0.15">
      <c r="A208" s="1201"/>
      <c r="B208" s="1201"/>
      <c r="C208" s="1201"/>
      <c r="D208" s="1201"/>
      <c r="E208" s="1202"/>
      <c r="F208" s="652"/>
      <c r="G208" s="652"/>
      <c r="H208" s="652"/>
      <c r="I208" s="1249"/>
      <c r="J208" s="1215"/>
      <c r="K208" s="1216"/>
      <c r="L208" s="1216"/>
      <c r="M208" s="2583" t="s">
        <v>270</v>
      </c>
      <c r="N208" s="2584"/>
      <c r="O208" s="2584"/>
      <c r="P208" s="2584"/>
      <c r="Q208" s="2584"/>
      <c r="R208" s="2584"/>
      <c r="S208" s="2584"/>
      <c r="T208" s="2584"/>
      <c r="U208" s="2584"/>
      <c r="V208" s="2584"/>
      <c r="W208" s="2584"/>
      <c r="X208" s="2584"/>
      <c r="Y208" s="2584"/>
      <c r="Z208" s="2584"/>
      <c r="AA208" s="2584"/>
      <c r="AB208" s="2189"/>
      <c r="AC208" s="2189"/>
      <c r="AD208" s="2189"/>
      <c r="AE208" s="2190"/>
      <c r="AF208" s="2190"/>
      <c r="AG208" s="2190"/>
      <c r="AH208" s="1306" t="str">
        <f>IF(AB208="","←どちらかは必ず選んでください","")</f>
        <v>←どちらかは必ず選んでください</v>
      </c>
      <c r="AI208" s="1255"/>
      <c r="AJ208" s="1255"/>
      <c r="AK208" s="1255"/>
      <c r="AL208" s="1267"/>
      <c r="AM208" s="1255"/>
      <c r="AN208" s="1255"/>
      <c r="AO208" s="1267"/>
      <c r="AP208" s="1255"/>
      <c r="AQ208" s="1255"/>
      <c r="AR208" s="1255"/>
      <c r="AS208" s="1255"/>
      <c r="AT208" s="1255"/>
      <c r="AU208" s="1255"/>
      <c r="AV208" s="1255"/>
      <c r="AW208" s="1255"/>
      <c r="AX208" s="1255"/>
      <c r="AY208" s="1255"/>
      <c r="AZ208" s="1255"/>
      <c r="BA208" s="1255"/>
      <c r="BB208" s="1255"/>
      <c r="BC208" s="1255"/>
      <c r="BD208" s="1255"/>
      <c r="BE208" s="1255"/>
      <c r="BF208" s="1255"/>
      <c r="BG208" s="1255"/>
      <c r="BH208" s="1255"/>
      <c r="BI208" s="1255"/>
      <c r="BJ208" s="1255"/>
      <c r="BK208" s="1255"/>
      <c r="BL208" s="1255"/>
      <c r="BM208" s="1255"/>
      <c r="BN208" s="1255"/>
      <c r="BO208" s="1255"/>
      <c r="BP208" s="1255"/>
      <c r="BQ208" s="1255"/>
      <c r="BR208" s="1255"/>
      <c r="BS208" s="1255"/>
      <c r="BT208" s="1255"/>
      <c r="BU208" s="395"/>
      <c r="BV208" s="617" t="s">
        <v>1844</v>
      </c>
      <c r="BW208" s="2186"/>
      <c r="BX208" s="2186"/>
      <c r="BY208" s="2186"/>
      <c r="BZ208" s="2186"/>
      <c r="CA208" s="2186"/>
      <c r="CB208" s="2186"/>
      <c r="CC208" s="2186"/>
      <c r="CD208" s="2186"/>
      <c r="CE208" s="2186"/>
      <c r="CF208" s="2186"/>
      <c r="CG208" s="2186"/>
      <c r="CH208" s="2186"/>
      <c r="CI208" s="2186"/>
      <c r="CJ208" s="2186"/>
      <c r="CK208" s="2186"/>
      <c r="CL208" s="2186"/>
      <c r="CM208" s="2186"/>
      <c r="CN208" s="2186"/>
      <c r="CO208" s="2186"/>
      <c r="CP208" s="2186"/>
      <c r="CQ208" s="2186"/>
      <c r="CR208" s="2186"/>
      <c r="CS208" s="2186"/>
      <c r="CT208" s="1189"/>
      <c r="CU208" s="397"/>
      <c r="CV208" s="388"/>
      <c r="CW208" s="388"/>
      <c r="CX208" s="207"/>
      <c r="CY208" s="207"/>
      <c r="CZ208" s="207"/>
      <c r="DA208" s="207"/>
      <c r="DB208" s="207"/>
      <c r="DC208" s="15"/>
      <c r="DD208" s="16"/>
      <c r="DE208" s="16"/>
      <c r="DF208" s="84"/>
      <c r="DG208" s="84"/>
      <c r="DH208" s="84"/>
      <c r="DI208" s="1593"/>
      <c r="DJ208" s="1166"/>
      <c r="DK208" s="1163"/>
      <c r="DL208" s="77"/>
      <c r="DM208" s="77"/>
      <c r="DN208" s="77"/>
      <c r="DO208" s="92" t="s">
        <v>831</v>
      </c>
      <c r="DP208" s="92" t="s">
        <v>833</v>
      </c>
      <c r="DQ208" s="77"/>
      <c r="DR208" s="92" t="s">
        <v>831</v>
      </c>
      <c r="DS208" s="92" t="s">
        <v>833</v>
      </c>
      <c r="DT208" s="92" t="s">
        <v>842</v>
      </c>
      <c r="FO208" s="579"/>
      <c r="GA208" s="77"/>
    </row>
    <row r="209" spans="1:183" s="78" customFormat="1" ht="27" customHeight="1" thickBot="1" x14ac:dyDescent="0.2">
      <c r="A209" s="1201"/>
      <c r="B209" s="1201"/>
      <c r="C209" s="1201"/>
      <c r="D209" s="1201"/>
      <c r="E209" s="1202"/>
      <c r="F209" s="652"/>
      <c r="G209" s="652"/>
      <c r="H209" s="652"/>
      <c r="I209" s="1249"/>
      <c r="J209" s="1221"/>
      <c r="K209" s="1222"/>
      <c r="L209" s="1222"/>
      <c r="M209" s="2554" t="s">
        <v>272</v>
      </c>
      <c r="N209" s="2555"/>
      <c r="O209" s="2555"/>
      <c r="P209" s="2555"/>
      <c r="Q209" s="2555"/>
      <c r="R209" s="2555"/>
      <c r="S209" s="2555"/>
      <c r="T209" s="2555"/>
      <c r="U209" s="2555"/>
      <c r="V209" s="2555"/>
      <c r="W209" s="2555"/>
      <c r="X209" s="2555"/>
      <c r="Y209" s="2555"/>
      <c r="Z209" s="2555"/>
      <c r="AA209" s="2555"/>
      <c r="AB209" s="2629"/>
      <c r="AC209" s="2629"/>
      <c r="AD209" s="2629"/>
      <c r="AE209" s="2630"/>
      <c r="AF209" s="2630"/>
      <c r="AG209" s="2630"/>
      <c r="AH209" s="1307" t="str">
        <f>IF(AB209="","←どちらかは必ず選んでください","")</f>
        <v>←どちらかは必ず選んでください</v>
      </c>
      <c r="AI209" s="1271"/>
      <c r="AJ209" s="1271"/>
      <c r="AK209" s="1271"/>
      <c r="AL209" s="1308"/>
      <c r="AM209" s="1271"/>
      <c r="AN209" s="1271"/>
      <c r="AO209" s="1308"/>
      <c r="AP209" s="1271"/>
      <c r="AQ209" s="1271"/>
      <c r="AR209" s="1271"/>
      <c r="AS209" s="1271"/>
      <c r="AT209" s="1271"/>
      <c r="AU209" s="1271"/>
      <c r="AV209" s="1271"/>
      <c r="AW209" s="1271"/>
      <c r="AX209" s="1271"/>
      <c r="AY209" s="1271"/>
      <c r="AZ209" s="1271"/>
      <c r="BA209" s="1271"/>
      <c r="BB209" s="1271"/>
      <c r="BC209" s="1271"/>
      <c r="BD209" s="1271"/>
      <c r="BE209" s="1271"/>
      <c r="BF209" s="1271"/>
      <c r="BG209" s="1271"/>
      <c r="BH209" s="1271"/>
      <c r="BI209" s="1271"/>
      <c r="BJ209" s="1271"/>
      <c r="BK209" s="1271"/>
      <c r="BL209" s="1271"/>
      <c r="BM209" s="1271"/>
      <c r="BN209" s="1271"/>
      <c r="BO209" s="1271"/>
      <c r="BP209" s="1271"/>
      <c r="BQ209" s="1271"/>
      <c r="BR209" s="1271"/>
      <c r="BS209" s="1271"/>
      <c r="BT209" s="1271"/>
      <c r="BU209" s="585"/>
      <c r="BV209" s="624" t="s">
        <v>1843</v>
      </c>
      <c r="BW209" s="625" t="s">
        <v>1905</v>
      </c>
      <c r="BX209" s="626"/>
      <c r="BY209" s="626"/>
      <c r="BZ209" s="626"/>
      <c r="CA209" s="626"/>
      <c r="CB209" s="626"/>
      <c r="CC209" s="626"/>
      <c r="CD209" s="626"/>
      <c r="CE209" s="626"/>
      <c r="CF209" s="626"/>
      <c r="CG209" s="626"/>
      <c r="CH209" s="626"/>
      <c r="CI209" s="626"/>
      <c r="CJ209" s="626"/>
      <c r="CK209" s="626"/>
      <c r="CL209" s="626"/>
      <c r="CM209" s="626"/>
      <c r="CN209" s="626"/>
      <c r="CO209" s="626"/>
      <c r="CP209" s="626"/>
      <c r="CQ209" s="626"/>
      <c r="CR209" s="626"/>
      <c r="CS209" s="626"/>
      <c r="CT209" s="398"/>
      <c r="CU209" s="399"/>
      <c r="CV209" s="388"/>
      <c r="CW209" s="388"/>
      <c r="CX209" s="207"/>
      <c r="CY209" s="207"/>
      <c r="CZ209" s="207"/>
      <c r="DA209" s="207"/>
      <c r="DB209" s="207"/>
      <c r="DC209" s="15"/>
      <c r="DD209" s="16"/>
      <c r="DE209" s="16"/>
      <c r="DF209" s="84"/>
      <c r="DG209" s="84"/>
      <c r="DH209" s="84"/>
      <c r="DI209" s="1593"/>
      <c r="DJ209" s="1166"/>
      <c r="DK209" s="1163"/>
      <c r="DL209" s="77"/>
      <c r="DM209" s="77"/>
      <c r="DN209" s="77"/>
      <c r="DO209" s="1648" t="str">
        <f>IF(AB208="有","レ","")</f>
        <v/>
      </c>
      <c r="DP209" s="1648" t="str">
        <f>IF(AB208="無","レ","")</f>
        <v/>
      </c>
      <c r="DQ209" s="77"/>
      <c r="DR209" s="1447" t="str">
        <f>IF(AB209="有","レ","")</f>
        <v/>
      </c>
      <c r="DS209" s="1447" t="str">
        <f>IF(AB209="無","レ","")</f>
        <v/>
      </c>
      <c r="DT209" s="1447" t="str">
        <f>IF(AB209="対象外","レ","")</f>
        <v/>
      </c>
      <c r="FO209" s="579"/>
      <c r="GA209" s="77"/>
    </row>
    <row r="210" spans="1:183" ht="24.95" customHeight="1" thickBot="1" x14ac:dyDescent="0.2">
      <c r="A210" s="1201"/>
      <c r="B210" s="1201"/>
      <c r="C210" s="1201"/>
      <c r="D210" s="1201"/>
      <c r="E210" s="1202"/>
      <c r="BU210" s="578"/>
      <c r="DD210" s="16"/>
      <c r="DE210" s="16"/>
      <c r="DF210" s="16"/>
      <c r="DG210" s="16"/>
      <c r="DH210" s="16"/>
      <c r="DI210" s="1593"/>
      <c r="DJ210" s="1163"/>
      <c r="DO210" s="1748" t="str">
        <f>IF(AB208="有",1,"")</f>
        <v/>
      </c>
      <c r="DP210" s="1748" t="str">
        <f>IF(AB208="無",1,"")</f>
        <v/>
      </c>
      <c r="EG210" s="84"/>
      <c r="EH210" s="84"/>
      <c r="EI210" s="84"/>
      <c r="EJ210" s="84"/>
      <c r="EK210" s="84"/>
      <c r="FV210" s="84"/>
      <c r="FW210" s="84"/>
      <c r="FX210" s="84"/>
      <c r="FY210" s="84"/>
      <c r="FZ210" s="84"/>
    </row>
    <row r="211" spans="1:183" ht="35.1" customHeight="1" x14ac:dyDescent="0.55000000000000004">
      <c r="A211" s="1201"/>
      <c r="B211" s="1201"/>
      <c r="C211" s="1201"/>
      <c r="D211" s="1201"/>
      <c r="E211" s="1202"/>
      <c r="J211" s="1363" t="s">
        <v>2424</v>
      </c>
      <c r="K211" s="1362"/>
      <c r="L211" s="1362"/>
      <c r="M211" s="1362"/>
      <c r="N211" s="1362"/>
      <c r="O211" s="1362"/>
      <c r="P211" s="1362"/>
      <c r="Q211" s="1362"/>
      <c r="R211" s="1362"/>
      <c r="S211" s="1362"/>
      <c r="T211" s="1362"/>
      <c r="U211" s="1362"/>
      <c r="V211" s="1362"/>
      <c r="W211" s="1362"/>
      <c r="X211" s="1362"/>
      <c r="Y211" s="1362"/>
      <c r="Z211" s="1362"/>
      <c r="AA211" s="1362"/>
      <c r="AB211" s="1362"/>
      <c r="AC211" s="1362"/>
      <c r="AD211" s="1362"/>
      <c r="AE211" s="1362"/>
      <c r="AF211" s="1362"/>
      <c r="AG211" s="1362"/>
      <c r="AH211" s="1362"/>
      <c r="AI211" s="1362"/>
      <c r="AJ211" s="1362"/>
      <c r="AK211" s="1362"/>
      <c r="AL211" s="1362"/>
      <c r="AM211" s="1362"/>
      <c r="AN211" s="1362"/>
      <c r="AO211" s="1362"/>
      <c r="AP211" s="1362"/>
      <c r="AQ211" s="1362"/>
      <c r="AR211" s="1362"/>
      <c r="AS211" s="1362"/>
      <c r="AT211" s="1362"/>
      <c r="AU211" s="1362"/>
      <c r="AV211" s="1362"/>
      <c r="AW211" s="1362"/>
      <c r="AX211" s="1362"/>
      <c r="AY211" s="1362"/>
      <c r="AZ211" s="1362"/>
      <c r="BA211" s="1362"/>
      <c r="BB211" s="1362"/>
      <c r="BC211" s="1362"/>
      <c r="BD211" s="1362"/>
      <c r="BE211" s="1362"/>
      <c r="BF211" s="1362"/>
      <c r="BG211" s="1362"/>
      <c r="BH211" s="1362"/>
      <c r="BI211" s="1362"/>
      <c r="BJ211" s="1362"/>
      <c r="BK211" s="1362"/>
      <c r="BL211" s="1406"/>
      <c r="BM211" s="1362"/>
      <c r="BN211" s="1362"/>
      <c r="BO211" s="1362"/>
      <c r="BP211" s="1362"/>
      <c r="BQ211" s="1362"/>
      <c r="BR211" s="1362"/>
      <c r="BS211" s="1362"/>
      <c r="BT211" s="1440" t="s">
        <v>2919</v>
      </c>
      <c r="BU211" s="609"/>
      <c r="BV211" s="1191"/>
      <c r="BW211" s="2794" t="s">
        <v>2425</v>
      </c>
      <c r="BX211" s="2794"/>
      <c r="BY211" s="2794"/>
      <c r="BZ211" s="2794"/>
      <c r="CA211" s="2794"/>
      <c r="CB211" s="2794"/>
      <c r="CC211" s="2794"/>
      <c r="CD211" s="2794"/>
      <c r="CE211" s="2794"/>
      <c r="CF211" s="2794"/>
      <c r="CG211" s="2794"/>
      <c r="CH211" s="2794"/>
      <c r="CI211" s="2794"/>
      <c r="CJ211" s="2794"/>
      <c r="CK211" s="2794"/>
      <c r="CL211" s="2794"/>
      <c r="CM211" s="2794"/>
      <c r="CN211" s="2794"/>
      <c r="CO211" s="2794"/>
      <c r="CP211" s="2794"/>
      <c r="CQ211" s="2794"/>
      <c r="CR211" s="2794"/>
      <c r="CS211" s="2794"/>
      <c r="CT211" s="1191"/>
      <c r="CU211" s="390"/>
      <c r="DD211" s="16"/>
      <c r="DE211" s="16"/>
      <c r="DF211" s="16"/>
      <c r="DG211" s="16"/>
      <c r="DH211" s="16"/>
      <c r="DI211" s="1593"/>
      <c r="DJ211" s="1163"/>
      <c r="DK211" s="1601"/>
      <c r="EG211" s="84"/>
      <c r="EH211" s="84"/>
      <c r="EI211" s="84"/>
      <c r="EJ211" s="84"/>
      <c r="EK211" s="84"/>
      <c r="FV211" s="84"/>
      <c r="FW211" s="84"/>
      <c r="FX211" s="84"/>
      <c r="FY211" s="84"/>
      <c r="FZ211" s="84"/>
    </row>
    <row r="212" spans="1:183" s="78" customFormat="1" ht="31.5" customHeight="1" x14ac:dyDescent="0.15">
      <c r="A212" s="1201"/>
      <c r="B212" s="1201"/>
      <c r="C212" s="1201"/>
      <c r="D212" s="1201"/>
      <c r="E212" s="1202"/>
      <c r="F212" s="652"/>
      <c r="G212" s="652"/>
      <c r="H212" s="652"/>
      <c r="I212" s="1249"/>
      <c r="J212" s="1215"/>
      <c r="K212" s="1216"/>
      <c r="L212" s="1216"/>
      <c r="M212" s="2514" t="s">
        <v>657</v>
      </c>
      <c r="N212" s="2533"/>
      <c r="O212" s="2533"/>
      <c r="P212" s="2533"/>
      <c r="Q212" s="2533"/>
      <c r="R212" s="2533"/>
      <c r="S212" s="2533"/>
      <c r="T212" s="2533"/>
      <c r="U212" s="2533"/>
      <c r="V212" s="2533"/>
      <c r="W212" s="2533"/>
      <c r="X212" s="2533"/>
      <c r="Y212" s="2533"/>
      <c r="Z212" s="2533"/>
      <c r="AA212" s="2533"/>
      <c r="AB212" s="2521"/>
      <c r="AC212" s="2522"/>
      <c r="AD212" s="2522"/>
      <c r="AE212" s="2522"/>
      <c r="AF212" s="2522"/>
      <c r="AG212" s="2522"/>
      <c r="AH212" s="2522"/>
      <c r="AI212" s="2522"/>
      <c r="AJ212" s="2522"/>
      <c r="AK212" s="2522"/>
      <c r="AL212" s="2522"/>
      <c r="AM212" s="2522"/>
      <c r="AN212" s="2522"/>
      <c r="AO212" s="2522"/>
      <c r="AP212" s="2522"/>
      <c r="AQ212" s="2522"/>
      <c r="AR212" s="2522"/>
      <c r="AS212" s="2522"/>
      <c r="AT212" s="2522"/>
      <c r="AU212" s="2522"/>
      <c r="AV212" s="2522"/>
      <c r="AW212" s="2522"/>
      <c r="AX212" s="2522"/>
      <c r="AY212" s="2522"/>
      <c r="AZ212" s="2522"/>
      <c r="BA212" s="2522"/>
      <c r="BB212" s="2522"/>
      <c r="BC212" s="2522"/>
      <c r="BD212" s="2522"/>
      <c r="BE212" s="2522"/>
      <c r="BF212" s="2522"/>
      <c r="BG212" s="2522"/>
      <c r="BH212" s="2522"/>
      <c r="BI212" s="2522"/>
      <c r="BJ212" s="2522"/>
      <c r="BK212" s="2522"/>
      <c r="BL212" s="2522"/>
      <c r="BM212" s="2522"/>
      <c r="BN212" s="2522"/>
      <c r="BO212" s="2522"/>
      <c r="BP212" s="2522"/>
      <c r="BQ212" s="2522"/>
      <c r="BR212" s="2522"/>
      <c r="BS212" s="2522"/>
      <c r="BT212" s="2523"/>
      <c r="BU212" s="395"/>
      <c r="BV212" s="617" t="s">
        <v>1844</v>
      </c>
      <c r="BW212" s="2144"/>
      <c r="BX212" s="2144"/>
      <c r="BY212" s="2144"/>
      <c r="BZ212" s="2144"/>
      <c r="CA212" s="2144"/>
      <c r="CB212" s="2144"/>
      <c r="CC212" s="2144"/>
      <c r="CD212" s="2144"/>
      <c r="CE212" s="2144"/>
      <c r="CF212" s="2144"/>
      <c r="CG212" s="2144"/>
      <c r="CH212" s="2144"/>
      <c r="CI212" s="2144"/>
      <c r="CJ212" s="2144"/>
      <c r="CK212" s="2144"/>
      <c r="CL212" s="2144"/>
      <c r="CM212" s="2144"/>
      <c r="CN212" s="2144"/>
      <c r="CO212" s="2144"/>
      <c r="CP212" s="2144"/>
      <c r="CQ212" s="2144"/>
      <c r="CR212" s="2144"/>
      <c r="CS212" s="2144"/>
      <c r="CT212" s="411"/>
      <c r="CU212" s="409"/>
      <c r="CV212" s="388"/>
      <c r="CW212" s="388"/>
      <c r="CX212" s="207"/>
      <c r="CY212" s="207"/>
      <c r="CZ212" s="207"/>
      <c r="DA212" s="207"/>
      <c r="DB212" s="207"/>
      <c r="DC212" s="15"/>
      <c r="DD212" s="16"/>
      <c r="DE212" s="16"/>
      <c r="DF212" s="84"/>
      <c r="DG212" s="84"/>
      <c r="DH212" s="84"/>
      <c r="DI212" s="1593"/>
      <c r="DJ212" s="1166"/>
      <c r="DK212" s="1163"/>
      <c r="DL212" s="77"/>
      <c r="DM212" s="77"/>
      <c r="DN212" s="77"/>
      <c r="DO212" s="77"/>
      <c r="DP212" s="77"/>
      <c r="DQ212" s="77"/>
      <c r="DW212" s="1447" t="str">
        <f>IF(DN194,"",IF(DW197="","","新築")&amp;IF(AB198="",""," 確認 "&amp;DW198&amp;DX198&amp;"."&amp;DY198&amp;"."&amp;DZ198&amp;" "&amp;DW199)&amp;IF(AB204="","","、完了 "&amp;DW204&amp;DX204&amp;"."&amp;DY204&amp;"."&amp;DZ204&amp;" "&amp;DW205))</f>
        <v/>
      </c>
      <c r="FO212" s="579"/>
      <c r="GA212" s="77"/>
    </row>
    <row r="213" spans="1:183" s="78" customFormat="1" ht="31.5" customHeight="1" x14ac:dyDescent="0.15">
      <c r="A213" s="1201"/>
      <c r="B213" s="1201"/>
      <c r="C213" s="1201"/>
      <c r="D213" s="1201"/>
      <c r="E213" s="1202"/>
      <c r="F213" s="652"/>
      <c r="G213" s="652"/>
      <c r="H213" s="652"/>
      <c r="I213" s="1249"/>
      <c r="J213" s="1215"/>
      <c r="K213" s="1216"/>
      <c r="L213" s="1216"/>
      <c r="M213" s="2534"/>
      <c r="N213" s="2535"/>
      <c r="O213" s="2535"/>
      <c r="P213" s="2535"/>
      <c r="Q213" s="2535"/>
      <c r="R213" s="2535"/>
      <c r="S213" s="2535"/>
      <c r="T213" s="2535"/>
      <c r="U213" s="2535"/>
      <c r="V213" s="2535"/>
      <c r="W213" s="2535"/>
      <c r="X213" s="2535"/>
      <c r="Y213" s="2535"/>
      <c r="Z213" s="2535"/>
      <c r="AA213" s="2535"/>
      <c r="AB213" s="2521"/>
      <c r="AC213" s="2522"/>
      <c r="AD213" s="2522"/>
      <c r="AE213" s="2522"/>
      <c r="AF213" s="2522"/>
      <c r="AG213" s="2522"/>
      <c r="AH213" s="2522"/>
      <c r="AI213" s="2522"/>
      <c r="AJ213" s="2522"/>
      <c r="AK213" s="2522"/>
      <c r="AL213" s="2522"/>
      <c r="AM213" s="2522"/>
      <c r="AN213" s="2522"/>
      <c r="AO213" s="2522"/>
      <c r="AP213" s="2522"/>
      <c r="AQ213" s="2522"/>
      <c r="AR213" s="2522"/>
      <c r="AS213" s="2522"/>
      <c r="AT213" s="2522"/>
      <c r="AU213" s="2522"/>
      <c r="AV213" s="2522"/>
      <c r="AW213" s="2522"/>
      <c r="AX213" s="2522"/>
      <c r="AY213" s="2522"/>
      <c r="AZ213" s="2522"/>
      <c r="BA213" s="2522"/>
      <c r="BB213" s="2522"/>
      <c r="BC213" s="2522"/>
      <c r="BD213" s="2522"/>
      <c r="BE213" s="2522"/>
      <c r="BF213" s="2522"/>
      <c r="BG213" s="2522"/>
      <c r="BH213" s="2522"/>
      <c r="BI213" s="2522"/>
      <c r="BJ213" s="2522"/>
      <c r="BK213" s="2522"/>
      <c r="BL213" s="2522"/>
      <c r="BM213" s="2522"/>
      <c r="BN213" s="2522"/>
      <c r="BO213" s="2522"/>
      <c r="BP213" s="2522"/>
      <c r="BQ213" s="2522"/>
      <c r="BR213" s="2522"/>
      <c r="BS213" s="2522"/>
      <c r="BT213" s="2523"/>
      <c r="BU213" s="395"/>
      <c r="BV213" s="411"/>
      <c r="BW213" s="2144"/>
      <c r="BX213" s="2144"/>
      <c r="BY213" s="2144"/>
      <c r="BZ213" s="2144"/>
      <c r="CA213" s="2144"/>
      <c r="CB213" s="2144"/>
      <c r="CC213" s="2144"/>
      <c r="CD213" s="2144"/>
      <c r="CE213" s="2144"/>
      <c r="CF213" s="2144"/>
      <c r="CG213" s="2144"/>
      <c r="CH213" s="2144"/>
      <c r="CI213" s="2144"/>
      <c r="CJ213" s="2144"/>
      <c r="CK213" s="2144"/>
      <c r="CL213" s="2144"/>
      <c r="CM213" s="2144"/>
      <c r="CN213" s="2144"/>
      <c r="CO213" s="2144"/>
      <c r="CP213" s="2144"/>
      <c r="CQ213" s="2144"/>
      <c r="CR213" s="2144"/>
      <c r="CS213" s="2144"/>
      <c r="CT213" s="411"/>
      <c r="CU213" s="409"/>
      <c r="CV213" s="388"/>
      <c r="CW213" s="388"/>
      <c r="CX213" s="207"/>
      <c r="CY213" s="207"/>
      <c r="CZ213" s="207"/>
      <c r="DA213" s="207"/>
      <c r="DB213" s="207"/>
      <c r="DC213" s="15"/>
      <c r="DD213" s="16"/>
      <c r="DE213" s="16"/>
      <c r="DF213" s="84"/>
      <c r="DG213" s="84"/>
      <c r="DH213" s="84"/>
      <c r="DI213" s="1593"/>
      <c r="DJ213" s="1166"/>
      <c r="DK213" s="1163"/>
      <c r="DL213" s="77"/>
      <c r="DM213" s="77"/>
      <c r="DN213" s="77"/>
      <c r="DO213" s="77"/>
      <c r="DP213" s="77"/>
      <c r="DQ213" s="77"/>
      <c r="FO213" s="579"/>
      <c r="GA213" s="77"/>
    </row>
    <row r="214" spans="1:183" s="78" customFormat="1" ht="31.5" customHeight="1" thickBot="1" x14ac:dyDescent="0.2">
      <c r="A214" s="1201"/>
      <c r="B214" s="1201"/>
      <c r="C214" s="1201"/>
      <c r="D214" s="1201"/>
      <c r="E214" s="1202"/>
      <c r="F214" s="652"/>
      <c r="G214" s="652"/>
      <c r="H214" s="652"/>
      <c r="I214" s="1249"/>
      <c r="J214" s="1215"/>
      <c r="K214" s="1216"/>
      <c r="L214" s="1216"/>
      <c r="M214" s="2534"/>
      <c r="N214" s="2535"/>
      <c r="O214" s="2535"/>
      <c r="P214" s="2535"/>
      <c r="Q214" s="2535"/>
      <c r="R214" s="2535"/>
      <c r="S214" s="2535"/>
      <c r="T214" s="2535"/>
      <c r="U214" s="2535"/>
      <c r="V214" s="2535"/>
      <c r="W214" s="2535"/>
      <c r="X214" s="2535"/>
      <c r="Y214" s="2535"/>
      <c r="Z214" s="2535"/>
      <c r="AA214" s="2535"/>
      <c r="AB214" s="2521"/>
      <c r="AC214" s="2522"/>
      <c r="AD214" s="2522"/>
      <c r="AE214" s="2522"/>
      <c r="AF214" s="2522"/>
      <c r="AG214" s="2522"/>
      <c r="AH214" s="2522"/>
      <c r="AI214" s="2522"/>
      <c r="AJ214" s="2522"/>
      <c r="AK214" s="2522"/>
      <c r="AL214" s="2522"/>
      <c r="AM214" s="2522"/>
      <c r="AN214" s="2522"/>
      <c r="AO214" s="2522"/>
      <c r="AP214" s="2522"/>
      <c r="AQ214" s="2522"/>
      <c r="AR214" s="2522"/>
      <c r="AS214" s="2522"/>
      <c r="AT214" s="2522"/>
      <c r="AU214" s="2522"/>
      <c r="AV214" s="2522"/>
      <c r="AW214" s="2522"/>
      <c r="AX214" s="2522"/>
      <c r="AY214" s="2522"/>
      <c r="AZ214" s="2522"/>
      <c r="BA214" s="2522"/>
      <c r="BB214" s="2522"/>
      <c r="BC214" s="2522"/>
      <c r="BD214" s="2522"/>
      <c r="BE214" s="2522"/>
      <c r="BF214" s="2522"/>
      <c r="BG214" s="2522"/>
      <c r="BH214" s="2522"/>
      <c r="BI214" s="2522"/>
      <c r="BJ214" s="2522"/>
      <c r="BK214" s="2522"/>
      <c r="BL214" s="2522"/>
      <c r="BM214" s="2522"/>
      <c r="BN214" s="2522"/>
      <c r="BO214" s="2522"/>
      <c r="BP214" s="2522"/>
      <c r="BQ214" s="2522"/>
      <c r="BR214" s="2522"/>
      <c r="BS214" s="2522"/>
      <c r="BT214" s="2523"/>
      <c r="BU214" s="395"/>
      <c r="BV214" s="627"/>
      <c r="BW214" s="2144"/>
      <c r="BX214" s="2144"/>
      <c r="BY214" s="2144"/>
      <c r="BZ214" s="2144"/>
      <c r="CA214" s="2144"/>
      <c r="CB214" s="2144"/>
      <c r="CC214" s="2144"/>
      <c r="CD214" s="2144"/>
      <c r="CE214" s="2144"/>
      <c r="CF214" s="2144"/>
      <c r="CG214" s="2144"/>
      <c r="CH214" s="2144"/>
      <c r="CI214" s="2144"/>
      <c r="CJ214" s="2144"/>
      <c r="CK214" s="2144"/>
      <c r="CL214" s="2144"/>
      <c r="CM214" s="2144"/>
      <c r="CN214" s="2144"/>
      <c r="CO214" s="2144"/>
      <c r="CP214" s="2144"/>
      <c r="CQ214" s="2144"/>
      <c r="CR214" s="2144"/>
      <c r="CS214" s="2144"/>
      <c r="CT214" s="411"/>
      <c r="CU214" s="409"/>
      <c r="CV214" s="578"/>
      <c r="CW214" s="578"/>
      <c r="CX214" s="77"/>
      <c r="CY214" s="77"/>
      <c r="CZ214" s="77"/>
      <c r="DA214" s="77"/>
      <c r="DB214" s="77"/>
      <c r="DC214" s="195"/>
      <c r="DD214" s="599"/>
      <c r="DE214" s="599"/>
      <c r="DF214" s="600"/>
      <c r="DG214" s="600"/>
      <c r="DH214" s="600"/>
      <c r="DI214" s="1593"/>
      <c r="DJ214" s="1167"/>
      <c r="DK214" s="1166"/>
      <c r="DL214" s="77"/>
      <c r="DM214" s="77"/>
      <c r="DN214" s="77" t="s">
        <v>2460</v>
      </c>
      <c r="DO214" s="77"/>
      <c r="DP214" s="77"/>
      <c r="DQ214" s="77"/>
      <c r="FO214" s="579"/>
      <c r="GA214" s="77"/>
    </row>
    <row r="215" spans="1:183" s="78" customFormat="1" ht="15.75" customHeight="1" thickBot="1" x14ac:dyDescent="0.2">
      <c r="A215" s="1201"/>
      <c r="B215" s="1201"/>
      <c r="C215" s="1201"/>
      <c r="D215" s="1201"/>
      <c r="E215" s="1202"/>
      <c r="F215" s="652"/>
      <c r="G215" s="652"/>
      <c r="H215" s="652"/>
      <c r="I215" s="1249"/>
      <c r="J215" s="1221"/>
      <c r="K215" s="1222"/>
      <c r="L215" s="1222"/>
      <c r="M215" s="2536"/>
      <c r="N215" s="2537"/>
      <c r="O215" s="2537"/>
      <c r="P215" s="2537"/>
      <c r="Q215" s="2537"/>
      <c r="R215" s="2537"/>
      <c r="S215" s="2537"/>
      <c r="T215" s="2537"/>
      <c r="U215" s="2537"/>
      <c r="V215" s="2537"/>
      <c r="W215" s="2537"/>
      <c r="X215" s="2537"/>
      <c r="Y215" s="2537"/>
      <c r="Z215" s="2537"/>
      <c r="AA215" s="2537"/>
      <c r="AB215" s="2524"/>
      <c r="AC215" s="2525"/>
      <c r="AD215" s="2525"/>
      <c r="AE215" s="2525"/>
      <c r="AF215" s="2525"/>
      <c r="AG215" s="2525"/>
      <c r="AH215" s="2525"/>
      <c r="AI215" s="2525"/>
      <c r="AJ215" s="2525"/>
      <c r="AK215" s="2525"/>
      <c r="AL215" s="2525"/>
      <c r="AM215" s="2525"/>
      <c r="AN215" s="2525"/>
      <c r="AO215" s="2525"/>
      <c r="AP215" s="2525"/>
      <c r="AQ215" s="2525"/>
      <c r="AR215" s="2525"/>
      <c r="AS215" s="2525"/>
      <c r="AT215" s="2525"/>
      <c r="AU215" s="2525"/>
      <c r="AV215" s="2525"/>
      <c r="AW215" s="2525"/>
      <c r="AX215" s="2525"/>
      <c r="AY215" s="2525"/>
      <c r="AZ215" s="2525"/>
      <c r="BA215" s="2525"/>
      <c r="BB215" s="2525"/>
      <c r="BC215" s="2525"/>
      <c r="BD215" s="2525"/>
      <c r="BE215" s="2525"/>
      <c r="BF215" s="2525"/>
      <c r="BG215" s="2525"/>
      <c r="BH215" s="2525"/>
      <c r="BI215" s="2525"/>
      <c r="BJ215" s="2525"/>
      <c r="BK215" s="2525"/>
      <c r="BL215" s="2525"/>
      <c r="BM215" s="2525"/>
      <c r="BN215" s="2525"/>
      <c r="BO215" s="2525"/>
      <c r="BP215" s="2525"/>
      <c r="BQ215" s="2525"/>
      <c r="BR215" s="2525"/>
      <c r="BS215" s="2525"/>
      <c r="BT215" s="2526"/>
      <c r="BU215" s="585"/>
      <c r="BV215" s="2795" t="str">
        <f>IF(DN215,"←第二面7欄に納まっているか確認してください。","←")</f>
        <v>←</v>
      </c>
      <c r="BW215" s="2795"/>
      <c r="BX215" s="2795"/>
      <c r="BY215" s="2795"/>
      <c r="BZ215" s="2795"/>
      <c r="CA215" s="2795"/>
      <c r="CB215" s="2795"/>
      <c r="CC215" s="2795"/>
      <c r="CD215" s="2795"/>
      <c r="CE215" s="2795"/>
      <c r="CF215" s="2795"/>
      <c r="CG215" s="2795"/>
      <c r="CH215" s="2795"/>
      <c r="CI215" s="2795"/>
      <c r="CJ215" s="2795"/>
      <c r="CK215" s="2795"/>
      <c r="CL215" s="2795"/>
      <c r="CM215" s="2795"/>
      <c r="CN215" s="2795"/>
      <c r="CO215" s="2795"/>
      <c r="CP215" s="2795"/>
      <c r="CQ215" s="2795"/>
      <c r="CR215" s="2795"/>
      <c r="CS215" s="2795"/>
      <c r="CT215" s="412"/>
      <c r="CU215" s="413"/>
      <c r="CV215" s="578"/>
      <c r="CW215" s="578"/>
      <c r="CX215" s="77"/>
      <c r="CY215" s="77"/>
      <c r="CZ215" s="77"/>
      <c r="DA215" s="77"/>
      <c r="DB215" s="77"/>
      <c r="DC215" s="195"/>
      <c r="DD215" s="599"/>
      <c r="DE215" s="599"/>
      <c r="DF215" s="600"/>
      <c r="DG215" s="600"/>
      <c r="DH215" s="600"/>
      <c r="DI215" s="1593"/>
      <c r="DJ215" s="1167"/>
      <c r="DK215" s="1166"/>
      <c r="DL215" s="77"/>
      <c r="DM215" s="77"/>
      <c r="DN215" s="83" t="b">
        <f>LENB(SUBSTITUTE(AB212,CHAR(10),REPT("A",90))&amp;DW212)&gt;560</f>
        <v>0</v>
      </c>
      <c r="DO215" s="77"/>
      <c r="DP215" s="77"/>
      <c r="DQ215" s="77"/>
      <c r="EG215" s="73"/>
      <c r="EH215" s="73"/>
      <c r="EI215" s="73"/>
      <c r="EJ215" s="73"/>
      <c r="EK215" s="73"/>
      <c r="FO215" s="579"/>
      <c r="FV215" s="73"/>
      <c r="FW215" s="73"/>
      <c r="FX215" s="73"/>
      <c r="FY215" s="73"/>
      <c r="FZ215" s="73"/>
      <c r="GA215" s="77"/>
    </row>
    <row r="216" spans="1:183" ht="15" customHeight="1" x14ac:dyDescent="0.15">
      <c r="A216" s="1201"/>
      <c r="B216" s="1201"/>
      <c r="C216" s="1201"/>
      <c r="D216" s="1201"/>
      <c r="E216" s="1202"/>
      <c r="BU216" s="578"/>
      <c r="DD216" s="16"/>
      <c r="DE216" s="16"/>
      <c r="DF216" s="16"/>
      <c r="DG216" s="16"/>
      <c r="DH216" s="16"/>
      <c r="DI216" s="1593"/>
      <c r="DJ216" s="1163"/>
      <c r="EG216" s="73"/>
      <c r="EH216" s="73"/>
      <c r="EI216" s="73"/>
      <c r="EJ216" s="73"/>
      <c r="EK216" s="73"/>
      <c r="FV216" s="73"/>
      <c r="FW216" s="73"/>
      <c r="FX216" s="73"/>
      <c r="FY216" s="73"/>
      <c r="FZ216" s="73"/>
    </row>
    <row r="217" spans="1:183" ht="2.1" customHeight="1" x14ac:dyDescent="0.15">
      <c r="A217" s="1201"/>
      <c r="B217" s="1201"/>
      <c r="C217" s="1201"/>
      <c r="D217" s="1201"/>
      <c r="E217" s="1202"/>
      <c r="BU217" s="578"/>
      <c r="DD217" s="16"/>
      <c r="DE217" s="16"/>
      <c r="DF217" s="16"/>
      <c r="DG217" s="16"/>
      <c r="DH217" s="16"/>
      <c r="DI217" s="1593"/>
      <c r="DJ217" s="1163"/>
      <c r="EG217" s="73"/>
      <c r="EH217" s="73"/>
      <c r="EI217" s="73"/>
      <c r="EJ217" s="73"/>
      <c r="EK217" s="73"/>
      <c r="FV217" s="73"/>
      <c r="FW217" s="73"/>
      <c r="FX217" s="73"/>
      <c r="FY217" s="73"/>
      <c r="FZ217" s="73"/>
    </row>
    <row r="218" spans="1:183" ht="2.1" customHeight="1" x14ac:dyDescent="0.15">
      <c r="A218" s="1201"/>
      <c r="B218" s="1201"/>
      <c r="C218" s="1201"/>
      <c r="D218" s="1201"/>
      <c r="E218" s="1202"/>
      <c r="BU218" s="578"/>
      <c r="DD218" s="16"/>
      <c r="DE218" s="16"/>
      <c r="DF218" s="16"/>
      <c r="DG218" s="16"/>
      <c r="DH218" s="16"/>
      <c r="DI218" s="1593"/>
      <c r="DJ218" s="1163"/>
      <c r="EG218" s="73"/>
      <c r="EH218" s="73"/>
      <c r="EI218" s="73"/>
      <c r="EJ218" s="73"/>
      <c r="EK218" s="73"/>
      <c r="FV218" s="73"/>
      <c r="FW218" s="73"/>
      <c r="FX218" s="73"/>
      <c r="FY218" s="73"/>
      <c r="FZ218" s="73"/>
    </row>
    <row r="219" spans="1:183" ht="2.1" customHeight="1" thickBot="1" x14ac:dyDescent="0.2">
      <c r="A219" s="1201"/>
      <c r="B219" s="1201"/>
      <c r="C219" s="1201"/>
      <c r="D219" s="1201"/>
      <c r="E219" s="1202"/>
      <c r="BU219" s="578"/>
      <c r="DD219" s="16"/>
      <c r="DE219" s="16"/>
      <c r="DF219" s="16"/>
      <c r="DG219" s="16"/>
      <c r="DH219" s="16"/>
      <c r="DI219" s="1593"/>
      <c r="DJ219" s="1163"/>
      <c r="EG219" s="73"/>
      <c r="EH219" s="73"/>
      <c r="EI219" s="73"/>
      <c r="EJ219" s="73"/>
      <c r="EK219" s="73"/>
      <c r="FV219" s="73"/>
      <c r="FW219" s="73"/>
      <c r="FX219" s="73"/>
      <c r="FY219" s="73"/>
      <c r="FZ219" s="73"/>
    </row>
    <row r="220" spans="1:183" ht="35.1" customHeight="1" thickBot="1" x14ac:dyDescent="0.6">
      <c r="A220" s="1201"/>
      <c r="B220" s="1201"/>
      <c r="C220" s="1201"/>
      <c r="D220" s="1201"/>
      <c r="E220" s="1202"/>
      <c r="J220" s="2156" t="s">
        <v>1084</v>
      </c>
      <c r="K220" s="2538"/>
      <c r="L220" s="2538"/>
      <c r="M220" s="2538"/>
      <c r="N220" s="2538"/>
      <c r="O220" s="2538"/>
      <c r="P220" s="2538"/>
      <c r="Q220" s="2538"/>
      <c r="R220" s="2538"/>
      <c r="S220" s="2538"/>
      <c r="T220" s="2538"/>
      <c r="U220" s="2538"/>
      <c r="V220" s="2538"/>
      <c r="W220" s="2538"/>
      <c r="X220" s="2538"/>
      <c r="Y220" s="2538"/>
      <c r="Z220" s="2538"/>
      <c r="AA220" s="2538"/>
      <c r="AB220" s="1413" t="s">
        <v>1759</v>
      </c>
      <c r="AC220" s="1309"/>
      <c r="AD220" s="1309"/>
      <c r="AE220" s="1309"/>
      <c r="AF220" s="1309"/>
      <c r="AG220" s="1309"/>
      <c r="AH220" s="1309"/>
      <c r="AI220" s="1309"/>
      <c r="AJ220" s="1309"/>
      <c r="AK220" s="1309"/>
      <c r="AL220" s="1309"/>
      <c r="AM220" s="1309"/>
      <c r="AN220" s="1309"/>
      <c r="AO220" s="1309"/>
      <c r="AP220" s="1309"/>
      <c r="AQ220" s="1309"/>
      <c r="AR220" s="1309"/>
      <c r="AS220" s="1309"/>
      <c r="AT220" s="1309"/>
      <c r="AU220" s="1309"/>
      <c r="AV220" s="1309"/>
      <c r="AW220" s="1309"/>
      <c r="AX220" s="1309"/>
      <c r="AY220" s="1309"/>
      <c r="AZ220" s="1309"/>
      <c r="BA220" s="1309"/>
      <c r="BB220" s="1309"/>
      <c r="BC220" s="1309"/>
      <c r="BD220" s="1309"/>
      <c r="BE220" s="1309"/>
      <c r="BF220" s="1309"/>
      <c r="BG220" s="1309"/>
      <c r="BH220" s="1309"/>
      <c r="BI220" s="1309"/>
      <c r="BJ220" s="1309"/>
      <c r="BK220" s="1309"/>
      <c r="BL220" s="1751"/>
      <c r="BM220" s="1751"/>
      <c r="BN220" s="1751"/>
      <c r="BO220" s="1751"/>
      <c r="BP220" s="1751"/>
      <c r="BQ220" s="1751"/>
      <c r="BR220" s="1751"/>
      <c r="BS220" s="1751"/>
      <c r="BT220" s="1659" t="s">
        <v>3193</v>
      </c>
      <c r="BU220" s="609"/>
      <c r="BV220" s="1191"/>
      <c r="BW220" s="1191"/>
      <c r="BX220" s="1191"/>
      <c r="BY220" s="1191"/>
      <c r="BZ220" s="1191"/>
      <c r="CA220" s="1191"/>
      <c r="CB220" s="1191"/>
      <c r="CC220" s="1191"/>
      <c r="CD220" s="1191"/>
      <c r="CE220" s="1191"/>
      <c r="CF220" s="1191"/>
      <c r="CG220" s="1191"/>
      <c r="CH220" s="1191"/>
      <c r="CI220" s="1191"/>
      <c r="CJ220" s="1191"/>
      <c r="CK220" s="1191"/>
      <c r="CL220" s="1191"/>
      <c r="CM220" s="1191"/>
      <c r="CN220" s="1191"/>
      <c r="CO220" s="1191"/>
      <c r="CP220" s="1191"/>
      <c r="CQ220" s="1191"/>
      <c r="CR220" s="1191"/>
      <c r="CS220" s="1191"/>
      <c r="CT220" s="1191"/>
      <c r="CU220" s="390"/>
      <c r="DD220" s="16"/>
      <c r="DE220" s="16"/>
      <c r="DF220" s="16"/>
      <c r="DG220" s="16"/>
      <c r="DH220" s="16"/>
      <c r="DI220" s="1593"/>
      <c r="DJ220" s="1163"/>
      <c r="DM220" s="1436" t="str">
        <f>J220</f>
        <v>１４　調査及び検査の状況</v>
      </c>
      <c r="DN220" s="72" t="s">
        <v>1630</v>
      </c>
      <c r="EA220" s="78" t="s">
        <v>3333</v>
      </c>
      <c r="EG220" s="78"/>
      <c r="EH220" s="78"/>
      <c r="EI220" s="78"/>
      <c r="EJ220" s="78"/>
      <c r="EK220" s="78"/>
      <c r="FV220" s="78"/>
      <c r="FW220" s="78"/>
      <c r="FX220" s="78"/>
      <c r="FY220" s="78"/>
      <c r="FZ220" s="78"/>
    </row>
    <row r="221" spans="1:183" s="78" customFormat="1" ht="27" customHeight="1" thickBot="1" x14ac:dyDescent="0.2">
      <c r="A221" s="1201"/>
      <c r="B221" s="1201"/>
      <c r="C221" s="1201"/>
      <c r="D221" s="1201"/>
      <c r="E221" s="1202"/>
      <c r="F221" s="652"/>
      <c r="G221" s="652"/>
      <c r="H221" s="652"/>
      <c r="I221" s="1249"/>
      <c r="J221" s="1310"/>
      <c r="K221" s="1262"/>
      <c r="L221" s="1262"/>
      <c r="M221" s="2243" t="s">
        <v>688</v>
      </c>
      <c r="N221" s="2497"/>
      <c r="O221" s="2497"/>
      <c r="P221" s="2497"/>
      <c r="Q221" s="2497"/>
      <c r="R221" s="2497"/>
      <c r="S221" s="2497"/>
      <c r="T221" s="2497"/>
      <c r="U221" s="2497"/>
      <c r="V221" s="2497"/>
      <c r="W221" s="2497"/>
      <c r="X221" s="2497"/>
      <c r="Y221" s="2497"/>
      <c r="Z221" s="2497"/>
      <c r="AA221" s="2497"/>
      <c r="AB221" s="2233" t="s">
        <v>294</v>
      </c>
      <c r="AC221" s="2532"/>
      <c r="AD221" s="2532"/>
      <c r="AE221" s="2185"/>
      <c r="AF221" s="2185"/>
      <c r="AG221" s="2185"/>
      <c r="AH221" s="1212" t="s">
        <v>12</v>
      </c>
      <c r="AI221" s="1212"/>
      <c r="AJ221" s="2185"/>
      <c r="AK221" s="2185"/>
      <c r="AL221" s="2185"/>
      <c r="AM221" s="1212" t="s">
        <v>163</v>
      </c>
      <c r="AN221" s="1212"/>
      <c r="AO221" s="2185"/>
      <c r="AP221" s="2185"/>
      <c r="AQ221" s="2185"/>
      <c r="AR221" s="1212" t="s">
        <v>2768</v>
      </c>
      <c r="AS221" s="1212"/>
      <c r="AT221" s="1212"/>
      <c r="AU221" s="1270"/>
      <c r="AV221" s="1270" t="s">
        <v>976</v>
      </c>
      <c r="AW221" s="1212"/>
      <c r="AX221" s="1212"/>
      <c r="AY221" s="1212"/>
      <c r="AZ221" s="1212"/>
      <c r="BA221" s="1212"/>
      <c r="BB221" s="1212"/>
      <c r="BC221" s="1212"/>
      <c r="BD221" s="1212"/>
      <c r="BE221" s="1212"/>
      <c r="BF221" s="1212"/>
      <c r="BG221" s="1212"/>
      <c r="BH221" s="1212"/>
      <c r="BI221" s="1212"/>
      <c r="BJ221" s="1212"/>
      <c r="BK221" s="1212"/>
      <c r="BL221" s="1212"/>
      <c r="BM221" s="1212"/>
      <c r="BN221" s="1212"/>
      <c r="BO221" s="1212"/>
      <c r="BP221" s="1212"/>
      <c r="BQ221" s="1212"/>
      <c r="BR221" s="1212"/>
      <c r="BS221" s="1212"/>
      <c r="BT221" s="1212"/>
      <c r="BU221" s="395"/>
      <c r="BV221" s="617" t="s">
        <v>1844</v>
      </c>
      <c r="BW221" s="405" t="s">
        <v>1907</v>
      </c>
      <c r="BX221" s="1177"/>
      <c r="BY221" s="1177"/>
      <c r="BZ221" s="1177"/>
      <c r="CA221" s="1177"/>
      <c r="CB221" s="1177"/>
      <c r="CC221" s="1177"/>
      <c r="CD221" s="1177"/>
      <c r="CE221" s="1177"/>
      <c r="CF221" s="1177"/>
      <c r="CG221" s="1177"/>
      <c r="CH221" s="1177"/>
      <c r="CI221" s="1177"/>
      <c r="CJ221" s="1177"/>
      <c r="CK221" s="1177"/>
      <c r="CL221" s="1177"/>
      <c r="CM221" s="1177"/>
      <c r="CN221" s="1177"/>
      <c r="CO221" s="1177"/>
      <c r="CP221" s="1177"/>
      <c r="CQ221" s="1177"/>
      <c r="CR221" s="1177"/>
      <c r="CS221" s="1177"/>
      <c r="CT221" s="1177"/>
      <c r="CU221" s="1178"/>
      <c r="CV221" s="388"/>
      <c r="CW221" s="388"/>
      <c r="CX221" s="207"/>
      <c r="CY221" s="207"/>
      <c r="CZ221" s="207"/>
      <c r="DA221" s="207"/>
      <c r="DB221" s="207"/>
      <c r="DC221" s="15"/>
      <c r="DD221" s="16"/>
      <c r="DE221" s="16"/>
      <c r="DF221" s="84"/>
      <c r="DG221" s="84"/>
      <c r="DH221" s="84"/>
      <c r="DI221" s="1593"/>
      <c r="DJ221" s="1166"/>
      <c r="DK221" s="1163"/>
      <c r="DL221" s="77"/>
      <c r="DM221" s="77"/>
      <c r="DN221" s="88">
        <f>COUNTA(AE221,AJ221,AO221)</f>
        <v>0</v>
      </c>
      <c r="DO221" s="77"/>
      <c r="DP221" s="77"/>
      <c r="DQ221" s="1701"/>
      <c r="DV221" s="78" t="s">
        <v>3436</v>
      </c>
      <c r="DW221" s="86" t="str">
        <f>IF(AB221="","",AB221)</f>
        <v>令和</v>
      </c>
      <c r="DX221" s="86" t="str">
        <f>IF(AE221="","",AE221)</f>
        <v/>
      </c>
      <c r="DY221" s="86" t="str">
        <f>IF(AJ221="","",AJ221)</f>
        <v/>
      </c>
      <c r="DZ221" s="86" t="str">
        <f>IF(AO221="","",AO221)</f>
        <v/>
      </c>
      <c r="EA221" s="1944" t="str">
        <f>IF(DX221&lt;&gt;"",DATE(VLOOKUP(DW221,$EB$184:$EC$187,2,FALSE)+DX221,DY221,DZ221),"")</f>
        <v/>
      </c>
      <c r="EG221" s="73"/>
      <c r="EH221" s="73"/>
      <c r="EI221" s="73"/>
      <c r="EJ221" s="73"/>
      <c r="EK221" s="73"/>
      <c r="FO221" s="579"/>
      <c r="FV221" s="73"/>
      <c r="FW221" s="73"/>
      <c r="FX221" s="73"/>
      <c r="FY221" s="73"/>
      <c r="FZ221" s="73"/>
      <c r="GA221" s="77"/>
    </row>
    <row r="222" spans="1:183" s="78" customFormat="1" ht="27" customHeight="1" thickBot="1" x14ac:dyDescent="0.2">
      <c r="A222" s="1201"/>
      <c r="B222" s="1201"/>
      <c r="C222" s="1201"/>
      <c r="D222" s="1201"/>
      <c r="E222" s="1202"/>
      <c r="F222" s="652"/>
      <c r="G222" s="652"/>
      <c r="H222" s="652"/>
      <c r="I222" s="1249"/>
      <c r="J222" s="1310"/>
      <c r="K222" s="1262"/>
      <c r="L222" s="1262"/>
      <c r="M222" s="2514" t="s">
        <v>273</v>
      </c>
      <c r="N222" s="2515"/>
      <c r="O222" s="2515"/>
      <c r="P222" s="2515"/>
      <c r="Q222" s="2515"/>
      <c r="R222" s="2515"/>
      <c r="S222" s="2146" t="s">
        <v>685</v>
      </c>
      <c r="T222" s="2494"/>
      <c r="U222" s="2494"/>
      <c r="V222" s="2494"/>
      <c r="W222" s="2494"/>
      <c r="X222" s="2494"/>
      <c r="Y222" s="2494"/>
      <c r="Z222" s="2494"/>
      <c r="AA222" s="2494"/>
      <c r="AB222" s="2137"/>
      <c r="AC222" s="2137"/>
      <c r="AD222" s="2137"/>
      <c r="AE222" s="2138"/>
      <c r="AF222" s="2138"/>
      <c r="AG222" s="2138"/>
      <c r="AH222" s="1311" t="str">
        <f>IF(AB222="","←どれか１つ選んでください","")</f>
        <v>←どれか１つ選んでください</v>
      </c>
      <c r="AI222" s="1273"/>
      <c r="AJ222" s="1273"/>
      <c r="AK222" s="1273"/>
      <c r="AL222" s="1273"/>
      <c r="AM222" s="1273"/>
      <c r="AN222" s="1273"/>
      <c r="AO222" s="1273"/>
      <c r="AP222" s="1273"/>
      <c r="AQ222" s="1273"/>
      <c r="AR222" s="1250"/>
      <c r="AS222" s="1250"/>
      <c r="AT222" s="1250"/>
      <c r="AU222" s="1250"/>
      <c r="AV222" s="1250"/>
      <c r="AW222" s="1250"/>
      <c r="AX222" s="1250"/>
      <c r="AY222" s="1250"/>
      <c r="AZ222" s="1250"/>
      <c r="BA222" s="1265"/>
      <c r="BB222" s="1250"/>
      <c r="BC222" s="1250"/>
      <c r="BD222" s="1250"/>
      <c r="BE222" s="1250"/>
      <c r="BF222" s="1250"/>
      <c r="BG222" s="1250"/>
      <c r="BH222" s="1250"/>
      <c r="BI222" s="1250"/>
      <c r="BJ222" s="1250"/>
      <c r="BK222" s="1250"/>
      <c r="BL222" s="1250"/>
      <c r="BM222" s="1250"/>
      <c r="BN222" s="1250"/>
      <c r="BO222" s="1250"/>
      <c r="BP222" s="1250"/>
      <c r="BQ222" s="1250"/>
      <c r="BR222" s="1250"/>
      <c r="BS222" s="1250"/>
      <c r="BT222" s="1250"/>
      <c r="BU222" s="395"/>
      <c r="BV222" s="617" t="s">
        <v>1844</v>
      </c>
      <c r="BW222" s="405" t="s">
        <v>2400</v>
      </c>
      <c r="BX222" s="1177"/>
      <c r="BY222" s="1177"/>
      <c r="BZ222" s="1177"/>
      <c r="CA222" s="1177"/>
      <c r="CB222" s="1177"/>
      <c r="CC222" s="1177"/>
      <c r="CD222" s="1177"/>
      <c r="CE222" s="1177"/>
      <c r="CF222" s="1177"/>
      <c r="CG222" s="1177"/>
      <c r="CH222" s="1177"/>
      <c r="CI222" s="1177"/>
      <c r="CJ222" s="1177"/>
      <c r="CK222" s="1177"/>
      <c r="CL222" s="1177"/>
      <c r="CM222" s="1177"/>
      <c r="CN222" s="1177"/>
      <c r="CO222" s="1177"/>
      <c r="CP222" s="1177"/>
      <c r="CQ222" s="1177"/>
      <c r="CR222" s="1177"/>
      <c r="CS222" s="1177"/>
      <c r="CT222" s="1177"/>
      <c r="CU222" s="1178"/>
      <c r="CV222" s="388"/>
      <c r="CW222" s="388"/>
      <c r="CX222" s="207"/>
      <c r="CY222" s="207"/>
      <c r="CZ222" s="207"/>
      <c r="DA222" s="207"/>
      <c r="DB222" s="207"/>
      <c r="DC222" s="15"/>
      <c r="DD222" s="16"/>
      <c r="DE222" s="16"/>
      <c r="DF222" s="16"/>
      <c r="DG222" s="16"/>
      <c r="DH222" s="16"/>
      <c r="DI222" s="1593"/>
      <c r="DJ222" s="1163"/>
      <c r="DK222" s="1163"/>
      <c r="DL222" s="77"/>
      <c r="DM222" s="77"/>
      <c r="DO222" s="92" t="s">
        <v>843</v>
      </c>
      <c r="DP222" s="1749" t="s">
        <v>895</v>
      </c>
      <c r="DQ222" s="117"/>
      <c r="EA222" s="1537" t="str">
        <f>TEXT($EA$221,"yyyy/mm/dd")</f>
        <v/>
      </c>
      <c r="EG222" s="73"/>
      <c r="EH222" s="73"/>
      <c r="EI222" s="73"/>
      <c r="EJ222" s="73"/>
      <c r="EK222" s="73"/>
      <c r="FO222" s="579"/>
      <c r="FV222" s="73"/>
      <c r="FW222" s="73"/>
      <c r="FX222" s="73"/>
      <c r="FY222" s="73"/>
      <c r="FZ222" s="73"/>
      <c r="GA222" s="77"/>
    </row>
    <row r="223" spans="1:183" ht="27" customHeight="1" thickBot="1" x14ac:dyDescent="0.2">
      <c r="A223" s="1201"/>
      <c r="B223" s="1201"/>
      <c r="C223" s="1201"/>
      <c r="D223" s="1201"/>
      <c r="E223" s="1202"/>
      <c r="J223" s="1312"/>
      <c r="K223" s="1313"/>
      <c r="L223" s="1313"/>
      <c r="M223" s="2516"/>
      <c r="N223" s="2516"/>
      <c r="O223" s="2516"/>
      <c r="P223" s="2516"/>
      <c r="Q223" s="2516"/>
      <c r="R223" s="2516"/>
      <c r="S223" s="2508" t="s">
        <v>653</v>
      </c>
      <c r="T223" s="2509"/>
      <c r="U223" s="2509"/>
      <c r="V223" s="2509"/>
      <c r="W223" s="2509"/>
      <c r="X223" s="2509"/>
      <c r="Y223" s="2509"/>
      <c r="Z223" s="2509"/>
      <c r="AA223" s="2509"/>
      <c r="AB223" s="2586"/>
      <c r="AC223" s="2587"/>
      <c r="AD223" s="2587"/>
      <c r="AE223" s="2528"/>
      <c r="AF223" s="2528"/>
      <c r="AG223" s="2529"/>
      <c r="AH223" s="1314" t="s">
        <v>12</v>
      </c>
      <c r="AI223" s="1315"/>
      <c r="AJ223" s="2502"/>
      <c r="AK223" s="2502"/>
      <c r="AL223" s="2502"/>
      <c r="AM223" s="1316" t="s">
        <v>163</v>
      </c>
      <c r="AN223" s="1316"/>
      <c r="AO223" s="2502"/>
      <c r="AP223" s="2502"/>
      <c r="AQ223" s="2502"/>
      <c r="AR223" s="1255" t="s">
        <v>2767</v>
      </c>
      <c r="AS223" s="1255"/>
      <c r="AT223" s="1256"/>
      <c r="AU223" s="1256"/>
      <c r="AV223" s="1256"/>
      <c r="AW223" s="1256"/>
      <c r="AX223" s="1256"/>
      <c r="AY223" s="1256"/>
      <c r="AZ223" s="1256"/>
      <c r="BA223" s="1266" t="str">
        <f>IF(AND(AB222="実施",DN223&lt;&gt;4),"←報告日を入力してください","")</f>
        <v/>
      </c>
      <c r="BB223" s="1256"/>
      <c r="BC223" s="1256"/>
      <c r="BD223" s="1256"/>
      <c r="BE223" s="1256"/>
      <c r="BF223" s="1256"/>
      <c r="BG223" s="1256"/>
      <c r="BH223" s="1256"/>
      <c r="BI223" s="1256"/>
      <c r="BJ223" s="1256"/>
      <c r="BK223" s="1256"/>
      <c r="BL223" s="1256"/>
      <c r="BM223" s="1256"/>
      <c r="BN223" s="1256"/>
      <c r="BO223" s="1256"/>
      <c r="BP223" s="1256"/>
      <c r="BQ223" s="1256"/>
      <c r="BR223" s="1256"/>
      <c r="BS223" s="1256"/>
      <c r="BT223" s="1256"/>
      <c r="BU223" s="584"/>
      <c r="BV223" s="1177"/>
      <c r="BW223" s="1177"/>
      <c r="BX223" s="1177"/>
      <c r="BY223" s="1177"/>
      <c r="BZ223" s="1177"/>
      <c r="CA223" s="1177"/>
      <c r="CB223" s="1177"/>
      <c r="CC223" s="1177"/>
      <c r="CD223" s="1177"/>
      <c r="CE223" s="1177"/>
      <c r="CF223" s="1177"/>
      <c r="CG223" s="1177"/>
      <c r="CH223" s="1177"/>
      <c r="CI223" s="1177"/>
      <c r="CJ223" s="1177"/>
      <c r="CK223" s="1177"/>
      <c r="CL223" s="1177"/>
      <c r="CM223" s="1177"/>
      <c r="CN223" s="1177"/>
      <c r="CO223" s="1177"/>
      <c r="CP223" s="1177"/>
      <c r="CQ223" s="1177"/>
      <c r="CR223" s="1177"/>
      <c r="CS223" s="1177"/>
      <c r="CT223" s="1177"/>
      <c r="CU223" s="1178"/>
      <c r="DD223" s="16"/>
      <c r="DE223" s="16"/>
      <c r="DF223" s="16"/>
      <c r="DG223" s="16"/>
      <c r="DH223" s="16"/>
      <c r="DI223" s="1593"/>
      <c r="DJ223" s="1163"/>
      <c r="DN223" s="88">
        <f>COUNTA(AB223,AE223,AJ223,AO223)</f>
        <v>0</v>
      </c>
      <c r="DO223" s="1447" t="str">
        <f>IF(AB222="実施","レ","")</f>
        <v/>
      </c>
      <c r="DP223" s="86" t="str">
        <f>IF(OR(AB222="未実施",AB222="対象外"),"レ","")</f>
        <v/>
      </c>
      <c r="DQ223" s="1750"/>
      <c r="EA223" s="196" t="s">
        <v>3104</v>
      </c>
      <c r="EG223" s="78"/>
      <c r="EH223" s="78"/>
      <c r="EI223" s="78"/>
      <c r="EJ223" s="78"/>
      <c r="EK223" s="78"/>
      <c r="FV223" s="78"/>
      <c r="FW223" s="78"/>
      <c r="FX223" s="78"/>
      <c r="FY223" s="78"/>
      <c r="FZ223" s="78"/>
    </row>
    <row r="224" spans="1:183" s="78" customFormat="1" ht="27" customHeight="1" thickBot="1" x14ac:dyDescent="0.2">
      <c r="A224" s="1201"/>
      <c r="B224" s="1201"/>
      <c r="C224" s="1201"/>
      <c r="D224" s="1201"/>
      <c r="E224" s="1202"/>
      <c r="F224" s="652"/>
      <c r="G224" s="652"/>
      <c r="H224" s="652"/>
      <c r="I224" s="1249"/>
      <c r="J224" s="1310"/>
      <c r="K224" s="1262"/>
      <c r="L224" s="1262"/>
      <c r="M224" s="2514" t="s">
        <v>274</v>
      </c>
      <c r="N224" s="2515"/>
      <c r="O224" s="2515"/>
      <c r="P224" s="2515"/>
      <c r="Q224" s="2515"/>
      <c r="R224" s="2515"/>
      <c r="S224" s="2146" t="s">
        <v>685</v>
      </c>
      <c r="T224" s="2494"/>
      <c r="U224" s="2494"/>
      <c r="V224" s="2494"/>
      <c r="W224" s="2494"/>
      <c r="X224" s="2494"/>
      <c r="Y224" s="2494"/>
      <c r="Z224" s="2494"/>
      <c r="AA224" s="2494"/>
      <c r="AB224" s="2137"/>
      <c r="AC224" s="2137"/>
      <c r="AD224" s="2137"/>
      <c r="AE224" s="2137"/>
      <c r="AF224" s="2137"/>
      <c r="AG224" s="2137"/>
      <c r="AH224" s="1311" t="str">
        <f>IF(AB224="","←どれか１つ選んでください","")</f>
        <v>←どれか１つ選んでください</v>
      </c>
      <c r="AI224" s="1273"/>
      <c r="AJ224" s="1273"/>
      <c r="AK224" s="1273"/>
      <c r="AL224" s="1273"/>
      <c r="AM224" s="1273"/>
      <c r="AN224" s="1273"/>
      <c r="AO224" s="1273"/>
      <c r="AP224" s="1273"/>
      <c r="AQ224" s="1273"/>
      <c r="AR224" s="1250"/>
      <c r="AS224" s="1250"/>
      <c r="AT224" s="1250"/>
      <c r="AU224" s="1250"/>
      <c r="AV224" s="1250"/>
      <c r="AW224" s="1250"/>
      <c r="AX224" s="1250"/>
      <c r="AY224" s="1250"/>
      <c r="AZ224" s="1250"/>
      <c r="BA224" s="1265"/>
      <c r="BB224" s="1250"/>
      <c r="BC224" s="1250"/>
      <c r="BD224" s="1250"/>
      <c r="BE224" s="1250"/>
      <c r="BF224" s="1250"/>
      <c r="BG224" s="1250"/>
      <c r="BH224" s="1250"/>
      <c r="BI224" s="1250"/>
      <c r="BJ224" s="1250"/>
      <c r="BK224" s="1250"/>
      <c r="BL224" s="1250"/>
      <c r="BM224" s="1250"/>
      <c r="BN224" s="1250"/>
      <c r="BO224" s="1250"/>
      <c r="BP224" s="1250"/>
      <c r="BQ224" s="1250"/>
      <c r="BR224" s="1250"/>
      <c r="BS224" s="1250"/>
      <c r="BT224" s="1250"/>
      <c r="BU224" s="395"/>
      <c r="BV224" s="1177"/>
      <c r="BW224" s="2144" t="s">
        <v>3343</v>
      </c>
      <c r="BX224" s="2144"/>
      <c r="BY224" s="2144"/>
      <c r="BZ224" s="2144"/>
      <c r="CA224" s="2144"/>
      <c r="CB224" s="2144"/>
      <c r="CC224" s="2144"/>
      <c r="CD224" s="2144"/>
      <c r="CE224" s="2144"/>
      <c r="CF224" s="2144"/>
      <c r="CG224" s="2144"/>
      <c r="CH224" s="2144"/>
      <c r="CI224" s="2144"/>
      <c r="CJ224" s="2144"/>
      <c r="CK224" s="2144"/>
      <c r="CL224" s="2144"/>
      <c r="CM224" s="2144"/>
      <c r="CN224" s="2144"/>
      <c r="CO224" s="2144"/>
      <c r="CP224" s="2144"/>
      <c r="CQ224" s="2144"/>
      <c r="CR224" s="2144"/>
      <c r="CS224" s="2144"/>
      <c r="CT224" s="1177"/>
      <c r="CU224" s="1178"/>
      <c r="CV224" s="388"/>
      <c r="CW224" s="388"/>
      <c r="CX224" s="207"/>
      <c r="CY224" s="207"/>
      <c r="CZ224" s="207"/>
      <c r="DA224" s="207"/>
      <c r="DB224" s="207"/>
      <c r="DC224" s="15"/>
      <c r="DD224" s="16"/>
      <c r="DE224" s="16"/>
      <c r="DF224" s="16"/>
      <c r="DG224" s="16"/>
      <c r="DH224" s="16"/>
      <c r="DI224" s="1593"/>
      <c r="DJ224" s="1163"/>
      <c r="DK224" s="1163"/>
      <c r="DL224" s="77"/>
      <c r="DM224" s="77"/>
      <c r="DO224" s="92" t="s">
        <v>843</v>
      </c>
      <c r="DP224" s="1749" t="s">
        <v>895</v>
      </c>
      <c r="DQ224" s="117"/>
      <c r="FO224" s="579"/>
      <c r="GA224" s="77"/>
    </row>
    <row r="225" spans="1:183" ht="27" customHeight="1" thickBot="1" x14ac:dyDescent="0.2">
      <c r="A225" s="1201"/>
      <c r="B225" s="1201"/>
      <c r="C225" s="1201"/>
      <c r="D225" s="1201"/>
      <c r="E225" s="1202"/>
      <c r="J225" s="1312"/>
      <c r="K225" s="1313"/>
      <c r="L225" s="1313"/>
      <c r="M225" s="2516"/>
      <c r="N225" s="2516"/>
      <c r="O225" s="2516"/>
      <c r="P225" s="2516"/>
      <c r="Q225" s="2516"/>
      <c r="R225" s="2516"/>
      <c r="S225" s="2508" t="s">
        <v>2728</v>
      </c>
      <c r="T225" s="2509"/>
      <c r="U225" s="2509"/>
      <c r="V225" s="2509"/>
      <c r="W225" s="2509"/>
      <c r="X225" s="2509"/>
      <c r="Y225" s="2509"/>
      <c r="Z225" s="2509"/>
      <c r="AA225" s="2509"/>
      <c r="AB225" s="2586"/>
      <c r="AC225" s="2587"/>
      <c r="AD225" s="2587"/>
      <c r="AE225" s="2528"/>
      <c r="AF225" s="2528"/>
      <c r="AG225" s="2529"/>
      <c r="AH225" s="1314" t="s">
        <v>12</v>
      </c>
      <c r="AI225" s="1315"/>
      <c r="AJ225" s="2502"/>
      <c r="AK225" s="2502"/>
      <c r="AL225" s="2502"/>
      <c r="AM225" s="1316" t="s">
        <v>163</v>
      </c>
      <c r="AN225" s="1316"/>
      <c r="AO225" s="2502"/>
      <c r="AP225" s="2502"/>
      <c r="AQ225" s="2502"/>
      <c r="AR225" s="1255" t="s">
        <v>2767</v>
      </c>
      <c r="AS225" s="1256"/>
      <c r="AT225" s="1256"/>
      <c r="AU225" s="1256"/>
      <c r="AV225" s="1256"/>
      <c r="AW225" s="1256"/>
      <c r="AX225" s="1256"/>
      <c r="AY225" s="1256"/>
      <c r="AZ225" s="1256"/>
      <c r="BA225" s="1266" t="str">
        <f>IF(AND(AB224="実施",DN225&lt;&gt;4),"←報告日を入力してください","")</f>
        <v/>
      </c>
      <c r="BB225" s="1256"/>
      <c r="BC225" s="1256"/>
      <c r="BD225" s="1256"/>
      <c r="BE225" s="1256"/>
      <c r="BF225" s="1256"/>
      <c r="BG225" s="1256"/>
      <c r="BH225" s="1256"/>
      <c r="BI225" s="1256"/>
      <c r="BJ225" s="1256"/>
      <c r="BK225" s="1256"/>
      <c r="BL225" s="1256"/>
      <c r="BM225" s="1256"/>
      <c r="BN225" s="1256"/>
      <c r="BO225" s="1256"/>
      <c r="BP225" s="1256"/>
      <c r="BQ225" s="1256"/>
      <c r="BR225" s="1256"/>
      <c r="BS225" s="1256"/>
      <c r="BT225" s="1256"/>
      <c r="BU225" s="584"/>
      <c r="BV225" s="1177"/>
      <c r="BW225" s="2144"/>
      <c r="BX225" s="2144"/>
      <c r="BY225" s="2144"/>
      <c r="BZ225" s="2144"/>
      <c r="CA225" s="2144"/>
      <c r="CB225" s="2144"/>
      <c r="CC225" s="2144"/>
      <c r="CD225" s="2144"/>
      <c r="CE225" s="2144"/>
      <c r="CF225" s="2144"/>
      <c r="CG225" s="2144"/>
      <c r="CH225" s="2144"/>
      <c r="CI225" s="2144"/>
      <c r="CJ225" s="2144"/>
      <c r="CK225" s="2144"/>
      <c r="CL225" s="2144"/>
      <c r="CM225" s="2144"/>
      <c r="CN225" s="2144"/>
      <c r="CO225" s="2144"/>
      <c r="CP225" s="2144"/>
      <c r="CQ225" s="2144"/>
      <c r="CR225" s="2144"/>
      <c r="CS225" s="2144"/>
      <c r="CT225" s="1177"/>
      <c r="CU225" s="1178"/>
      <c r="DD225" s="16"/>
      <c r="DE225" s="16"/>
      <c r="DF225" s="16"/>
      <c r="DG225" s="16"/>
      <c r="DH225" s="16"/>
      <c r="DI225" s="1593"/>
      <c r="DJ225" s="1163"/>
      <c r="DN225" s="88">
        <f>COUNTA(AB225,AE225,AJ225,AO225)</f>
        <v>0</v>
      </c>
      <c r="DO225" s="1447" t="str">
        <f>IF(AB224="実施","レ","")</f>
        <v/>
      </c>
      <c r="DP225" s="86" t="str">
        <f>IF(OR(AB224="未実施",AB224="対象外"),"レ","")</f>
        <v/>
      </c>
      <c r="DQ225" s="1750"/>
      <c r="EG225" s="78"/>
      <c r="EH225" s="78"/>
      <c r="EI225" s="78"/>
      <c r="EJ225" s="78"/>
      <c r="EK225" s="78"/>
      <c r="FV225" s="78"/>
      <c r="FW225" s="78"/>
      <c r="FX225" s="78"/>
      <c r="FY225" s="78"/>
      <c r="FZ225" s="78"/>
    </row>
    <row r="226" spans="1:183" s="78" customFormat="1" ht="27" customHeight="1" thickBot="1" x14ac:dyDescent="0.2">
      <c r="A226" s="1201"/>
      <c r="B226" s="1201"/>
      <c r="C226" s="1201"/>
      <c r="D226" s="1201"/>
      <c r="E226" s="1202"/>
      <c r="F226" s="652"/>
      <c r="G226" s="652"/>
      <c r="H226" s="652"/>
      <c r="I226" s="1249"/>
      <c r="J226" s="1310"/>
      <c r="K226" s="1262"/>
      <c r="L226" s="1262"/>
      <c r="M226" s="2514" t="s">
        <v>689</v>
      </c>
      <c r="N226" s="2515"/>
      <c r="O226" s="2515"/>
      <c r="P226" s="2515"/>
      <c r="Q226" s="2515"/>
      <c r="R226" s="2515"/>
      <c r="S226" s="2146" t="s">
        <v>685</v>
      </c>
      <c r="T226" s="2494"/>
      <c r="U226" s="2494"/>
      <c r="V226" s="2494"/>
      <c r="W226" s="2494"/>
      <c r="X226" s="2494"/>
      <c r="Y226" s="2494"/>
      <c r="Z226" s="2494"/>
      <c r="AA226" s="2494"/>
      <c r="AB226" s="2137"/>
      <c r="AC226" s="2137"/>
      <c r="AD226" s="2137"/>
      <c r="AE226" s="2138"/>
      <c r="AF226" s="2138"/>
      <c r="AG226" s="2138"/>
      <c r="AH226" s="1311" t="str">
        <f>IF(AB226="","←どれか１つ選んでください","")</f>
        <v>←どれか１つ選んでください</v>
      </c>
      <c r="AI226" s="1273"/>
      <c r="AJ226" s="1273"/>
      <c r="AK226" s="1273"/>
      <c r="AL226" s="1273"/>
      <c r="AM226" s="1273"/>
      <c r="AN226" s="1273"/>
      <c r="AO226" s="1273"/>
      <c r="AP226" s="1273"/>
      <c r="AQ226" s="1273"/>
      <c r="AR226" s="1250"/>
      <c r="AS226" s="1250"/>
      <c r="AT226" s="1250"/>
      <c r="AU226" s="1250"/>
      <c r="AV226" s="1250"/>
      <c r="AW226" s="1250"/>
      <c r="AX226" s="1250"/>
      <c r="AY226" s="1250"/>
      <c r="AZ226" s="1250"/>
      <c r="BA226" s="1265"/>
      <c r="BB226" s="1250"/>
      <c r="BC226" s="1250"/>
      <c r="BD226" s="1250"/>
      <c r="BE226" s="1250"/>
      <c r="BF226" s="1250"/>
      <c r="BG226" s="1250"/>
      <c r="BH226" s="1250"/>
      <c r="BI226" s="1250"/>
      <c r="BJ226" s="1250"/>
      <c r="BK226" s="1250"/>
      <c r="BL226" s="1250"/>
      <c r="BM226" s="1250"/>
      <c r="BN226" s="1250"/>
      <c r="BO226" s="1250"/>
      <c r="BP226" s="1250"/>
      <c r="BQ226" s="1250"/>
      <c r="BR226" s="1250"/>
      <c r="BS226" s="1250"/>
      <c r="BT226" s="1250"/>
      <c r="BU226" s="395"/>
      <c r="BV226" s="1177"/>
      <c r="BW226" s="2144"/>
      <c r="BX226" s="2144"/>
      <c r="BY226" s="2144"/>
      <c r="BZ226" s="2144"/>
      <c r="CA226" s="2144"/>
      <c r="CB226" s="2144"/>
      <c r="CC226" s="2144"/>
      <c r="CD226" s="2144"/>
      <c r="CE226" s="2144"/>
      <c r="CF226" s="2144"/>
      <c r="CG226" s="2144"/>
      <c r="CH226" s="2144"/>
      <c r="CI226" s="2144"/>
      <c r="CJ226" s="2144"/>
      <c r="CK226" s="2144"/>
      <c r="CL226" s="2144"/>
      <c r="CM226" s="2144"/>
      <c r="CN226" s="2144"/>
      <c r="CO226" s="2144"/>
      <c r="CP226" s="2144"/>
      <c r="CQ226" s="2144"/>
      <c r="CR226" s="2144"/>
      <c r="CS226" s="2144"/>
      <c r="CT226" s="1177"/>
      <c r="CU226" s="1178"/>
      <c r="CV226" s="388"/>
      <c r="CW226" s="388"/>
      <c r="CX226" s="207"/>
      <c r="CY226" s="207"/>
      <c r="CZ226" s="207"/>
      <c r="DA226" s="207"/>
      <c r="DB226" s="207"/>
      <c r="DC226" s="15"/>
      <c r="DD226" s="16"/>
      <c r="DE226" s="16"/>
      <c r="DF226" s="16"/>
      <c r="DG226" s="16"/>
      <c r="DH226" s="16"/>
      <c r="DI226" s="1593"/>
      <c r="DJ226" s="1163"/>
      <c r="DK226" s="1163"/>
      <c r="DL226" s="77"/>
      <c r="DM226" s="77"/>
      <c r="DO226" s="92" t="s">
        <v>843</v>
      </c>
      <c r="DP226" s="1749" t="s">
        <v>895</v>
      </c>
      <c r="DQ226" s="117"/>
      <c r="FO226" s="579"/>
      <c r="GA226" s="77"/>
    </row>
    <row r="227" spans="1:183" ht="27" customHeight="1" thickBot="1" x14ac:dyDescent="0.2">
      <c r="A227" s="1201"/>
      <c r="B227" s="1201"/>
      <c r="C227" s="1201"/>
      <c r="D227" s="1201"/>
      <c r="E227" s="1202"/>
      <c r="J227" s="1312"/>
      <c r="K227" s="1313"/>
      <c r="L227" s="1313"/>
      <c r="M227" s="2516"/>
      <c r="N227" s="2516"/>
      <c r="O227" s="2516"/>
      <c r="P227" s="2516"/>
      <c r="Q227" s="2516"/>
      <c r="R227" s="2516"/>
      <c r="S227" s="2508" t="s">
        <v>2728</v>
      </c>
      <c r="T227" s="2509"/>
      <c r="U227" s="2509"/>
      <c r="V227" s="2509"/>
      <c r="W227" s="2509"/>
      <c r="X227" s="2509"/>
      <c r="Y227" s="2509"/>
      <c r="Z227" s="2509"/>
      <c r="AA227" s="2509"/>
      <c r="AB227" s="2586"/>
      <c r="AC227" s="2587"/>
      <c r="AD227" s="2587"/>
      <c r="AE227" s="2528"/>
      <c r="AF227" s="2528"/>
      <c r="AG227" s="2529"/>
      <c r="AH227" s="1317" t="s">
        <v>12</v>
      </c>
      <c r="AI227" s="1318"/>
      <c r="AJ227" s="2502"/>
      <c r="AK227" s="2502"/>
      <c r="AL227" s="2502"/>
      <c r="AM227" s="1316" t="s">
        <v>163</v>
      </c>
      <c r="AN227" s="1316"/>
      <c r="AO227" s="2502"/>
      <c r="AP227" s="2502"/>
      <c r="AQ227" s="2502"/>
      <c r="AR227" s="1255" t="s">
        <v>2767</v>
      </c>
      <c r="AS227" s="1256"/>
      <c r="AT227" s="1256"/>
      <c r="AU227" s="1256"/>
      <c r="AV227" s="1256"/>
      <c r="AW227" s="1256"/>
      <c r="AX227" s="1256"/>
      <c r="AY227" s="1256"/>
      <c r="AZ227" s="1256"/>
      <c r="BA227" s="1266" t="str">
        <f>IF(AND(AB226="実施",DN227&lt;&gt;4),"←報告日を入力してください","")</f>
        <v/>
      </c>
      <c r="BB227" s="1256"/>
      <c r="BC227" s="1256"/>
      <c r="BD227" s="1256"/>
      <c r="BE227" s="1256"/>
      <c r="BF227" s="1256"/>
      <c r="BG227" s="1256"/>
      <c r="BH227" s="1256"/>
      <c r="BI227" s="1256"/>
      <c r="BJ227" s="1256"/>
      <c r="BK227" s="1256"/>
      <c r="BL227" s="1256"/>
      <c r="BM227" s="1256"/>
      <c r="BN227" s="1256"/>
      <c r="BO227" s="1256"/>
      <c r="BP227" s="1256"/>
      <c r="BQ227" s="1256"/>
      <c r="BR227" s="1256"/>
      <c r="BS227" s="1256"/>
      <c r="BT227" s="1256"/>
      <c r="BU227" s="584"/>
      <c r="BV227" s="1177"/>
      <c r="BW227" s="2144"/>
      <c r="BX227" s="2144"/>
      <c r="BY227" s="2144"/>
      <c r="BZ227" s="2144"/>
      <c r="CA227" s="2144"/>
      <c r="CB227" s="2144"/>
      <c r="CC227" s="2144"/>
      <c r="CD227" s="2144"/>
      <c r="CE227" s="2144"/>
      <c r="CF227" s="2144"/>
      <c r="CG227" s="2144"/>
      <c r="CH227" s="2144"/>
      <c r="CI227" s="2144"/>
      <c r="CJ227" s="2144"/>
      <c r="CK227" s="2144"/>
      <c r="CL227" s="2144"/>
      <c r="CM227" s="2144"/>
      <c r="CN227" s="2144"/>
      <c r="CO227" s="2144"/>
      <c r="CP227" s="2144"/>
      <c r="CQ227" s="2144"/>
      <c r="CR227" s="2144"/>
      <c r="CS227" s="2144"/>
      <c r="CT227" s="1177"/>
      <c r="CU227" s="1178"/>
      <c r="DD227" s="16"/>
      <c r="DE227" s="16"/>
      <c r="DF227" s="16"/>
      <c r="DG227" s="16"/>
      <c r="DH227" s="16"/>
      <c r="DI227" s="1593"/>
      <c r="DJ227" s="1163"/>
      <c r="DN227" s="88">
        <f>COUNTA(AB227,AE227,AJ227,AO227)</f>
        <v>0</v>
      </c>
      <c r="DO227" s="1447" t="str">
        <f>IF(AB226="実施","レ","")</f>
        <v/>
      </c>
      <c r="DP227" s="86" t="str">
        <f>IF(OR(AB226="未実施",AB226="対象外"),"レ","")</f>
        <v/>
      </c>
      <c r="DQ227" s="1750"/>
      <c r="EG227" s="73"/>
      <c r="EH227" s="73"/>
      <c r="EI227" s="73"/>
      <c r="EJ227" s="73"/>
      <c r="EK227" s="73"/>
      <c r="FV227" s="73"/>
      <c r="FW227" s="73"/>
      <c r="FX227" s="73"/>
      <c r="FY227" s="73"/>
      <c r="FZ227" s="73"/>
    </row>
    <row r="228" spans="1:183" s="78" customFormat="1" ht="27" customHeight="1" thickBot="1" x14ac:dyDescent="0.2">
      <c r="A228" s="1201"/>
      <c r="B228" s="1201"/>
      <c r="C228" s="1201"/>
      <c r="D228" s="1201"/>
      <c r="E228" s="1202"/>
      <c r="F228" s="652"/>
      <c r="G228" s="652"/>
      <c r="H228" s="652"/>
      <c r="I228" s="1249"/>
      <c r="J228" s="1310"/>
      <c r="K228" s="1262"/>
      <c r="L228" s="1262"/>
      <c r="M228" s="2514" t="s">
        <v>690</v>
      </c>
      <c r="N228" s="2515"/>
      <c r="O228" s="2515"/>
      <c r="P228" s="2515"/>
      <c r="Q228" s="2515"/>
      <c r="R228" s="2515"/>
      <c r="S228" s="2146" t="s">
        <v>685</v>
      </c>
      <c r="T228" s="2494"/>
      <c r="U228" s="2494"/>
      <c r="V228" s="2494"/>
      <c r="W228" s="2494"/>
      <c r="X228" s="2494"/>
      <c r="Y228" s="2494"/>
      <c r="Z228" s="2494"/>
      <c r="AA228" s="2494"/>
      <c r="AB228" s="2137"/>
      <c r="AC228" s="2137"/>
      <c r="AD228" s="2137"/>
      <c r="AE228" s="2138"/>
      <c r="AF228" s="2138"/>
      <c r="AG228" s="2138"/>
      <c r="AH228" s="1311" t="str">
        <f>IF(AB228="","←どれか１つ選んでください","")</f>
        <v>←どれか１つ選んでください</v>
      </c>
      <c r="AI228" s="1273"/>
      <c r="AJ228" s="1273"/>
      <c r="AK228" s="1273"/>
      <c r="AL228" s="1273"/>
      <c r="AM228" s="1273"/>
      <c r="AN228" s="1273"/>
      <c r="AO228" s="1273"/>
      <c r="AP228" s="1273"/>
      <c r="AQ228" s="1273"/>
      <c r="AR228" s="1250"/>
      <c r="AS228" s="1250"/>
      <c r="AT228" s="1250"/>
      <c r="AU228" s="1250"/>
      <c r="AV228" s="1250"/>
      <c r="AW228" s="1250"/>
      <c r="AX228" s="1250"/>
      <c r="AY228" s="1250"/>
      <c r="AZ228" s="1250"/>
      <c r="BA228" s="1265"/>
      <c r="BB228" s="1250"/>
      <c r="BC228" s="1250"/>
      <c r="BD228" s="1250"/>
      <c r="BE228" s="1250"/>
      <c r="BF228" s="1250"/>
      <c r="BG228" s="1250"/>
      <c r="BH228" s="1250"/>
      <c r="BI228" s="1250"/>
      <c r="BJ228" s="1250"/>
      <c r="BK228" s="1250"/>
      <c r="BL228" s="1250"/>
      <c r="BM228" s="1250"/>
      <c r="BN228" s="1250"/>
      <c r="BO228" s="1250"/>
      <c r="BP228" s="1250"/>
      <c r="BQ228" s="1250"/>
      <c r="BR228" s="1250"/>
      <c r="BS228" s="1250"/>
      <c r="BT228" s="1250"/>
      <c r="BU228" s="395"/>
      <c r="BV228" s="1177"/>
      <c r="BW228" s="2144"/>
      <c r="BX228" s="2144"/>
      <c r="BY228" s="2144"/>
      <c r="BZ228" s="2144"/>
      <c r="CA228" s="2144"/>
      <c r="CB228" s="2144"/>
      <c r="CC228" s="2144"/>
      <c r="CD228" s="2144"/>
      <c r="CE228" s="2144"/>
      <c r="CF228" s="2144"/>
      <c r="CG228" s="2144"/>
      <c r="CH228" s="2144"/>
      <c r="CI228" s="2144"/>
      <c r="CJ228" s="2144"/>
      <c r="CK228" s="2144"/>
      <c r="CL228" s="2144"/>
      <c r="CM228" s="2144"/>
      <c r="CN228" s="2144"/>
      <c r="CO228" s="2144"/>
      <c r="CP228" s="2144"/>
      <c r="CQ228" s="2144"/>
      <c r="CR228" s="2144"/>
      <c r="CS228" s="2144"/>
      <c r="CT228" s="1177"/>
      <c r="CU228" s="1178"/>
      <c r="CV228" s="388"/>
      <c r="CW228" s="388"/>
      <c r="CX228" s="207"/>
      <c r="CY228" s="207"/>
      <c r="CZ228" s="207"/>
      <c r="DA228" s="207"/>
      <c r="DB228" s="207"/>
      <c r="DC228" s="15"/>
      <c r="DD228" s="16"/>
      <c r="DE228" s="16"/>
      <c r="DF228" s="16"/>
      <c r="DG228" s="16"/>
      <c r="DH228" s="16"/>
      <c r="DI228" s="1593"/>
      <c r="DJ228" s="1163"/>
      <c r="DK228" s="1163"/>
      <c r="DL228" s="77"/>
      <c r="DM228" s="77"/>
      <c r="DO228" s="92" t="s">
        <v>843</v>
      </c>
      <c r="DP228" s="1749" t="s">
        <v>895</v>
      </c>
      <c r="DQ228" s="117"/>
      <c r="EG228" s="73"/>
      <c r="EH228" s="73"/>
      <c r="EI228" s="73"/>
      <c r="EJ228" s="73"/>
      <c r="EK228" s="73"/>
      <c r="FO228" s="579"/>
      <c r="FV228" s="73"/>
      <c r="FW228" s="73"/>
      <c r="FX228" s="73"/>
      <c r="FY228" s="73"/>
      <c r="FZ228" s="73"/>
      <c r="GA228" s="77"/>
    </row>
    <row r="229" spans="1:183" ht="27" customHeight="1" thickBot="1" x14ac:dyDescent="0.2">
      <c r="A229" s="1201"/>
      <c r="B229" s="1201"/>
      <c r="C229" s="1201"/>
      <c r="D229" s="1201"/>
      <c r="E229" s="1202"/>
      <c r="J229" s="1319"/>
      <c r="K229" s="1320"/>
      <c r="L229" s="1320"/>
      <c r="M229" s="2527"/>
      <c r="N229" s="2527"/>
      <c r="O229" s="2527"/>
      <c r="P229" s="2527"/>
      <c r="Q229" s="2527"/>
      <c r="R229" s="2527"/>
      <c r="S229" s="2498" t="s">
        <v>2728</v>
      </c>
      <c r="T229" s="2499"/>
      <c r="U229" s="2499"/>
      <c r="V229" s="2499"/>
      <c r="W229" s="2499"/>
      <c r="X229" s="2499"/>
      <c r="Y229" s="2499"/>
      <c r="Z229" s="2499"/>
      <c r="AA229" s="2499"/>
      <c r="AB229" s="2517"/>
      <c r="AC229" s="2518"/>
      <c r="AD229" s="2518"/>
      <c r="AE229" s="2530"/>
      <c r="AF229" s="2530"/>
      <c r="AG229" s="2531"/>
      <c r="AH229" s="1321" t="s">
        <v>12</v>
      </c>
      <c r="AI229" s="1322"/>
      <c r="AJ229" s="2505"/>
      <c r="AK229" s="2505"/>
      <c r="AL229" s="2505"/>
      <c r="AM229" s="1276" t="s">
        <v>163</v>
      </c>
      <c r="AN229" s="1276"/>
      <c r="AO229" s="2505"/>
      <c r="AP229" s="2505"/>
      <c r="AQ229" s="2505"/>
      <c r="AR229" s="1222" t="s">
        <v>2767</v>
      </c>
      <c r="AS229" s="625"/>
      <c r="AT229" s="625"/>
      <c r="AU229" s="625"/>
      <c r="AV229" s="625"/>
      <c r="AW229" s="625"/>
      <c r="AX229" s="625"/>
      <c r="AY229" s="625"/>
      <c r="AZ229" s="625"/>
      <c r="BA229" s="1323" t="str">
        <f>IF(AND(AB228="実施",DN229&lt;&gt;4),"←報告日を入力してください","")</f>
        <v/>
      </c>
      <c r="BB229" s="625"/>
      <c r="BC229" s="625"/>
      <c r="BD229" s="625"/>
      <c r="BE229" s="625"/>
      <c r="BF229" s="625"/>
      <c r="BG229" s="625"/>
      <c r="BH229" s="625"/>
      <c r="BI229" s="625"/>
      <c r="BJ229" s="625"/>
      <c r="BK229" s="625"/>
      <c r="BL229" s="625"/>
      <c r="BM229" s="625"/>
      <c r="BN229" s="625"/>
      <c r="BO229" s="625"/>
      <c r="BP229" s="625"/>
      <c r="BQ229" s="625"/>
      <c r="BR229" s="625"/>
      <c r="BS229" s="625"/>
      <c r="BT229" s="625"/>
      <c r="BU229" s="608"/>
      <c r="BV229" s="1175"/>
      <c r="BW229" s="2145"/>
      <c r="BX229" s="2145"/>
      <c r="BY229" s="2145"/>
      <c r="BZ229" s="2145"/>
      <c r="CA229" s="2145"/>
      <c r="CB229" s="2145"/>
      <c r="CC229" s="2145"/>
      <c r="CD229" s="2145"/>
      <c r="CE229" s="2145"/>
      <c r="CF229" s="2145"/>
      <c r="CG229" s="2145"/>
      <c r="CH229" s="2145"/>
      <c r="CI229" s="2145"/>
      <c r="CJ229" s="2145"/>
      <c r="CK229" s="2145"/>
      <c r="CL229" s="2145"/>
      <c r="CM229" s="2145"/>
      <c r="CN229" s="2145"/>
      <c r="CO229" s="2145"/>
      <c r="CP229" s="2145"/>
      <c r="CQ229" s="2145"/>
      <c r="CR229" s="2145"/>
      <c r="CS229" s="2145"/>
      <c r="CT229" s="1175"/>
      <c r="CU229" s="1176"/>
      <c r="DD229" s="16"/>
      <c r="DE229" s="16"/>
      <c r="DF229" s="16"/>
      <c r="DG229" s="16"/>
      <c r="DH229" s="16"/>
      <c r="DI229" s="1593"/>
      <c r="DJ229" s="1163"/>
      <c r="DN229" s="88">
        <f>COUNTA(AB229,AE229,AJ229,AO229)</f>
        <v>0</v>
      </c>
      <c r="DO229" s="1447" t="str">
        <f>IF(AB228="実施","レ","")</f>
        <v/>
      </c>
      <c r="DP229" s="86" t="str">
        <f>IF(OR(AB228="未実施",AB228="対象外"),"レ","")</f>
        <v/>
      </c>
      <c r="DQ229" s="1750"/>
      <c r="EG229" s="78"/>
      <c r="EH229" s="78"/>
      <c r="EI229" s="78"/>
      <c r="EJ229" s="78"/>
      <c r="EK229" s="78"/>
      <c r="FV229" s="78"/>
      <c r="FW229" s="78"/>
      <c r="FX229" s="78"/>
      <c r="FY229" s="78"/>
      <c r="FZ229" s="78"/>
    </row>
    <row r="230" spans="1:183" ht="15" customHeight="1" x14ac:dyDescent="0.15">
      <c r="A230" s="1201"/>
      <c r="B230" s="1201"/>
      <c r="C230" s="1201"/>
      <c r="D230" s="1201"/>
      <c r="E230" s="1202"/>
      <c r="BU230" s="578"/>
      <c r="DD230" s="16"/>
      <c r="DE230" s="16"/>
      <c r="DF230" s="16"/>
      <c r="DG230" s="16"/>
      <c r="DH230" s="16"/>
      <c r="DI230" s="1593"/>
      <c r="DJ230" s="1163"/>
      <c r="EG230" s="78"/>
      <c r="EH230" s="78"/>
      <c r="EI230" s="78"/>
      <c r="EJ230" s="78"/>
      <c r="EK230" s="78"/>
      <c r="FV230" s="78"/>
      <c r="FW230" s="78"/>
      <c r="FX230" s="78"/>
      <c r="FY230" s="78"/>
      <c r="FZ230" s="78"/>
    </row>
    <row r="231" spans="1:183" ht="2.1" customHeight="1" x14ac:dyDescent="0.15">
      <c r="A231" s="1201"/>
      <c r="B231" s="1201"/>
      <c r="C231" s="1201"/>
      <c r="D231" s="1201"/>
      <c r="E231" s="1202"/>
      <c r="BU231" s="578"/>
      <c r="DD231" s="16"/>
      <c r="DE231" s="16"/>
      <c r="DF231" s="16"/>
      <c r="DG231" s="16"/>
      <c r="DH231" s="16"/>
      <c r="DI231" s="1593"/>
      <c r="DJ231" s="1163"/>
      <c r="EG231" s="78"/>
      <c r="EH231" s="78"/>
      <c r="EI231" s="78"/>
      <c r="EJ231" s="78"/>
      <c r="EK231" s="78"/>
      <c r="FV231" s="78"/>
      <c r="FW231" s="78"/>
      <c r="FX231" s="78"/>
      <c r="FY231" s="78"/>
      <c r="FZ231" s="78"/>
    </row>
    <row r="232" spans="1:183" ht="2.1" customHeight="1" x14ac:dyDescent="0.15">
      <c r="A232" s="1201"/>
      <c r="B232" s="1201"/>
      <c r="C232" s="1201"/>
      <c r="D232" s="1201"/>
      <c r="E232" s="1202"/>
      <c r="BU232" s="578"/>
      <c r="DD232" s="16"/>
      <c r="DE232" s="16"/>
      <c r="DF232" s="16"/>
      <c r="DG232" s="16"/>
      <c r="DH232" s="16"/>
      <c r="DI232" s="1593"/>
      <c r="DJ232" s="1163"/>
      <c r="EG232" s="78"/>
      <c r="EH232" s="78"/>
      <c r="EI232" s="78"/>
      <c r="EJ232" s="78"/>
      <c r="EK232" s="78"/>
      <c r="FV232" s="78"/>
      <c r="FW232" s="78"/>
      <c r="FX232" s="78"/>
      <c r="FY232" s="78"/>
      <c r="FZ232" s="78"/>
    </row>
    <row r="233" spans="1:183" ht="2.1" customHeight="1" thickBot="1" x14ac:dyDescent="0.2">
      <c r="A233" s="1201"/>
      <c r="B233" s="1201"/>
      <c r="C233" s="1201"/>
      <c r="D233" s="1201"/>
      <c r="E233" s="1202"/>
      <c r="BU233" s="578"/>
      <c r="DD233" s="16"/>
      <c r="DE233" s="16"/>
      <c r="DF233" s="16"/>
      <c r="DG233" s="16"/>
      <c r="DH233" s="16"/>
      <c r="DI233" s="1593"/>
      <c r="DJ233" s="1163"/>
      <c r="EG233" s="78"/>
      <c r="EH233" s="78"/>
      <c r="EI233" s="78"/>
      <c r="EJ233" s="78"/>
      <c r="EK233" s="78"/>
      <c r="FV233" s="78"/>
      <c r="FW233" s="78"/>
      <c r="FX233" s="78"/>
      <c r="FY233" s="78"/>
      <c r="FZ233" s="78"/>
    </row>
    <row r="234" spans="1:183" ht="35.1" customHeight="1" thickBot="1" x14ac:dyDescent="0.6">
      <c r="A234" s="1201"/>
      <c r="B234" s="1201"/>
      <c r="C234" s="1201"/>
      <c r="D234" s="1201"/>
      <c r="E234" s="1202"/>
      <c r="J234" s="2132" t="s">
        <v>1085</v>
      </c>
      <c r="K234" s="2133"/>
      <c r="L234" s="2133"/>
      <c r="M234" s="2133"/>
      <c r="N234" s="2133"/>
      <c r="O234" s="2133"/>
      <c r="P234" s="2133"/>
      <c r="Q234" s="2133"/>
      <c r="R234" s="2133"/>
      <c r="S234" s="2133"/>
      <c r="T234" s="2133"/>
      <c r="U234" s="2133"/>
      <c r="V234" s="2133"/>
      <c r="W234" s="2133"/>
      <c r="X234" s="2133"/>
      <c r="Y234" s="2133"/>
      <c r="Z234" s="2133"/>
      <c r="AA234" s="2133"/>
      <c r="AB234" s="2133"/>
      <c r="AC234" s="2133"/>
      <c r="AD234" s="2133"/>
      <c r="AE234" s="2133"/>
      <c r="AF234" s="2133"/>
      <c r="AG234" s="2133"/>
      <c r="AH234" s="2133"/>
      <c r="AI234" s="2133"/>
      <c r="AJ234" s="2133"/>
      <c r="AK234" s="2133"/>
      <c r="AL234" s="2133"/>
      <c r="AM234" s="2133"/>
      <c r="AN234" s="2133"/>
      <c r="AO234" s="1362"/>
      <c r="AP234" s="1362"/>
      <c r="AQ234" s="1362"/>
      <c r="AR234" s="1362"/>
      <c r="AS234" s="1362"/>
      <c r="AT234" s="1362"/>
      <c r="AU234" s="1362"/>
      <c r="AV234" s="1362"/>
      <c r="AW234" s="1362"/>
      <c r="AX234" s="1362"/>
      <c r="AY234" s="1362"/>
      <c r="AZ234" s="1362"/>
      <c r="BA234" s="1362"/>
      <c r="BB234" s="1362"/>
      <c r="BC234" s="1362"/>
      <c r="BD234" s="1362"/>
      <c r="BE234" s="1362"/>
      <c r="BF234" s="1362"/>
      <c r="BG234" s="1362"/>
      <c r="BH234" s="1362"/>
      <c r="BI234" s="1362"/>
      <c r="BJ234" s="1362"/>
      <c r="BK234" s="1362"/>
      <c r="BL234" s="1713"/>
      <c r="BM234" s="1713"/>
      <c r="BN234" s="1713"/>
      <c r="BO234" s="1713"/>
      <c r="BP234" s="1713"/>
      <c r="BQ234" s="1713"/>
      <c r="BR234" s="1713"/>
      <c r="BS234" s="1713"/>
      <c r="BT234" s="1708" t="s">
        <v>3121</v>
      </c>
      <c r="BU234" s="609"/>
      <c r="BV234" s="1191"/>
      <c r="BW234" s="2945" t="s">
        <v>3125</v>
      </c>
      <c r="BX234" s="2945"/>
      <c r="BY234" s="2945"/>
      <c r="BZ234" s="2945"/>
      <c r="CA234" s="2945"/>
      <c r="CB234" s="2945"/>
      <c r="CC234" s="2945"/>
      <c r="CD234" s="2945"/>
      <c r="CE234" s="2945"/>
      <c r="CF234" s="2945"/>
      <c r="CG234" s="2945"/>
      <c r="CH234" s="2945"/>
      <c r="CI234" s="2945"/>
      <c r="CJ234" s="2945"/>
      <c r="CK234" s="2945"/>
      <c r="CL234" s="2945"/>
      <c r="CM234" s="2945"/>
      <c r="CN234" s="2945"/>
      <c r="CO234" s="2945"/>
      <c r="CP234" s="2945"/>
      <c r="CQ234" s="2945"/>
      <c r="CR234" s="2945"/>
      <c r="CS234" s="2945"/>
      <c r="CT234" s="1191"/>
      <c r="CU234" s="390"/>
      <c r="DD234" s="16"/>
      <c r="DE234" s="16"/>
      <c r="DF234" s="16"/>
      <c r="DG234" s="16"/>
      <c r="DH234" s="16"/>
      <c r="DI234" s="1593"/>
      <c r="DJ234" s="1163"/>
      <c r="DM234" s="1436" t="str">
        <f>J234</f>
        <v>１５　石綿を添加した建築材料の調査状況</v>
      </c>
      <c r="DS234" s="1752" t="s">
        <v>3126</v>
      </c>
      <c r="DX234" s="1752" t="s">
        <v>3122</v>
      </c>
      <c r="EA234" s="78" t="s">
        <v>3131</v>
      </c>
      <c r="EB234" s="1573" t="str">
        <f>IF(OR(DO236="レ",DR236="レ"),1,"")</f>
        <v/>
      </c>
      <c r="ED234" s="78" t="s">
        <v>3127</v>
      </c>
      <c r="EE234" s="1573" t="str">
        <f>IF(DS236=1,AB236,DR237)</f>
        <v/>
      </c>
      <c r="EG234" s="78"/>
      <c r="EH234" s="78"/>
      <c r="EI234" s="78"/>
      <c r="EJ234" s="78"/>
      <c r="EK234" s="78"/>
      <c r="FV234" s="78"/>
      <c r="FW234" s="78"/>
      <c r="FX234" s="78"/>
      <c r="FY234" s="78"/>
      <c r="FZ234" s="78"/>
    </row>
    <row r="235" spans="1:183" s="78" customFormat="1" ht="27" customHeight="1" thickBot="1" x14ac:dyDescent="0.2">
      <c r="A235" s="1201"/>
      <c r="B235" s="1201"/>
      <c r="C235" s="1201"/>
      <c r="D235" s="1201"/>
      <c r="E235" s="1202"/>
      <c r="F235" s="652"/>
      <c r="G235" s="652"/>
      <c r="H235" s="652"/>
      <c r="I235" s="1249"/>
      <c r="J235" s="1215"/>
      <c r="K235" s="1709"/>
      <c r="L235" s="1709"/>
      <c r="M235" s="2514" t="s">
        <v>703</v>
      </c>
      <c r="N235" s="2514"/>
      <c r="O235" s="2514"/>
      <c r="P235" s="2514"/>
      <c r="Q235" s="2514"/>
      <c r="R235" s="2514"/>
      <c r="S235" s="2146" t="s">
        <v>702</v>
      </c>
      <c r="T235" s="2146"/>
      <c r="U235" s="2146"/>
      <c r="V235" s="2146"/>
      <c r="W235" s="2146"/>
      <c r="X235" s="2146"/>
      <c r="Y235" s="2146"/>
      <c r="Z235" s="2146"/>
      <c r="AA235" s="2146"/>
      <c r="AB235" s="2137"/>
      <c r="AC235" s="2137"/>
      <c r="AD235" s="2137"/>
      <c r="AE235" s="2137"/>
      <c r="AF235" s="2137"/>
      <c r="AG235" s="2137"/>
      <c r="AH235" s="2137"/>
      <c r="AI235" s="2137"/>
      <c r="AJ235" s="2137"/>
      <c r="AK235" s="2137"/>
      <c r="AL235" s="2137"/>
      <c r="AM235" s="2137"/>
      <c r="AN235" s="2137"/>
      <c r="AO235" s="1311" t="str">
        <f>IF(AB235="","←どれか１つ選んでください","")</f>
        <v>←どれか１つ選んでください</v>
      </c>
      <c r="AP235" s="1711"/>
      <c r="AQ235" s="1711"/>
      <c r="AR235" s="1711"/>
      <c r="AS235" s="1711"/>
      <c r="AT235" s="1711"/>
      <c r="AU235" s="1711"/>
      <c r="AV235" s="1250"/>
      <c r="AW235" s="1250"/>
      <c r="AX235" s="1250"/>
      <c r="AY235" s="1250"/>
      <c r="AZ235" s="1250"/>
      <c r="BA235" s="1250"/>
      <c r="BB235" s="1324"/>
      <c r="BC235" s="1324"/>
      <c r="BD235" s="1324"/>
      <c r="BE235" s="1324"/>
      <c r="BF235" s="1324"/>
      <c r="BG235" s="1324"/>
      <c r="BH235" s="1324"/>
      <c r="BI235" s="1324"/>
      <c r="BJ235" s="1324"/>
      <c r="BK235" s="1324"/>
      <c r="BL235" s="1324"/>
      <c r="BM235" s="1324"/>
      <c r="BN235" s="1324"/>
      <c r="BO235" s="1324"/>
      <c r="BP235" s="1324"/>
      <c r="BQ235" s="1324"/>
      <c r="BR235" s="1324"/>
      <c r="BS235" s="1324"/>
      <c r="BT235" s="1324"/>
      <c r="BU235" s="395"/>
      <c r="BV235" s="617" t="s">
        <v>1844</v>
      </c>
      <c r="BW235" s="2946"/>
      <c r="BX235" s="2946"/>
      <c r="BY235" s="2946"/>
      <c r="BZ235" s="2946"/>
      <c r="CA235" s="2946"/>
      <c r="CB235" s="2946"/>
      <c r="CC235" s="2946"/>
      <c r="CD235" s="2946"/>
      <c r="CE235" s="2946"/>
      <c r="CF235" s="2946"/>
      <c r="CG235" s="2946"/>
      <c r="CH235" s="2946"/>
      <c r="CI235" s="2946"/>
      <c r="CJ235" s="2946"/>
      <c r="CK235" s="2946"/>
      <c r="CL235" s="2946"/>
      <c r="CM235" s="2946"/>
      <c r="CN235" s="2946"/>
      <c r="CO235" s="2946"/>
      <c r="CP235" s="2946"/>
      <c r="CQ235" s="2946"/>
      <c r="CR235" s="2946"/>
      <c r="CS235" s="2946"/>
      <c r="CT235" s="1190"/>
      <c r="CU235" s="628"/>
      <c r="CV235" s="388"/>
      <c r="CW235" s="388"/>
      <c r="CX235" s="207"/>
      <c r="CY235" s="207"/>
      <c r="CZ235" s="207"/>
      <c r="DA235" s="207"/>
      <c r="DB235" s="207"/>
      <c r="DC235" s="15"/>
      <c r="DD235" s="16"/>
      <c r="DE235" s="16"/>
      <c r="DF235" s="84"/>
      <c r="DG235" s="84"/>
      <c r="DH235" s="84"/>
      <c r="DI235" s="1593"/>
      <c r="DJ235" s="1166"/>
      <c r="DK235" s="1163"/>
      <c r="DL235" s="77"/>
      <c r="DM235" s="77"/>
      <c r="DN235" s="77"/>
      <c r="DO235" s="92" t="s">
        <v>844</v>
      </c>
      <c r="DP235" s="92" t="s">
        <v>846</v>
      </c>
      <c r="DQ235" s="92" t="s">
        <v>832</v>
      </c>
      <c r="DR235" s="95" t="s">
        <v>845</v>
      </c>
      <c r="DS235" s="194" t="s">
        <v>1311</v>
      </c>
      <c r="DT235" s="197"/>
      <c r="DU235" s="197"/>
      <c r="DX235" s="189" t="s">
        <v>1279</v>
      </c>
      <c r="EA235" s="78" t="s">
        <v>3132</v>
      </c>
      <c r="EB235" s="1537" t="str">
        <f>IF(DP236="レ",1,"")</f>
        <v/>
      </c>
      <c r="ED235" s="78" t="s">
        <v>3128</v>
      </c>
      <c r="EE235" s="1537" t="str">
        <f>IF(DP236="レ",AB236,"")</f>
        <v/>
      </c>
      <c r="FO235" s="579"/>
      <c r="GA235" s="77"/>
    </row>
    <row r="236" spans="1:183" ht="27" customHeight="1" thickBot="1" x14ac:dyDescent="0.2">
      <c r="A236" s="1201"/>
      <c r="B236" s="1201"/>
      <c r="C236" s="1201"/>
      <c r="D236" s="1201"/>
      <c r="E236" s="1202"/>
      <c r="J236" s="1260"/>
      <c r="K236" s="1712"/>
      <c r="L236" s="1712"/>
      <c r="M236" s="2191"/>
      <c r="N236" s="2191"/>
      <c r="O236" s="2191"/>
      <c r="P236" s="2191"/>
      <c r="Q236" s="2191"/>
      <c r="R236" s="2191"/>
      <c r="S236" s="2260" t="s">
        <v>276</v>
      </c>
      <c r="T236" s="2260"/>
      <c r="U236" s="2260"/>
      <c r="V236" s="2260"/>
      <c r="W236" s="2260"/>
      <c r="X236" s="2260"/>
      <c r="Y236" s="2260"/>
      <c r="Z236" s="2260"/>
      <c r="AA236" s="2260"/>
      <c r="AB236" s="2502"/>
      <c r="AC236" s="2502"/>
      <c r="AD236" s="2502"/>
      <c r="AE236" s="2502"/>
      <c r="AF236" s="2502"/>
      <c r="AG236" s="2502"/>
      <c r="AH236" s="2502"/>
      <c r="AI236" s="2502"/>
      <c r="AJ236" s="2502"/>
      <c r="AK236" s="2502"/>
      <c r="AL236" s="2502"/>
      <c r="AM236" s="2502"/>
      <c r="AN236" s="2502"/>
      <c r="AO236" s="2502"/>
      <c r="AP236" s="2502"/>
      <c r="AQ236" s="2502"/>
      <c r="AR236" s="2502"/>
      <c r="AS236" s="2502"/>
      <c r="AT236" s="2502"/>
      <c r="AU236" s="2502"/>
      <c r="AV236" s="1266" t="str">
        <f>IF(AND(AB235&lt;&gt;"無",AB235&lt;&gt;"",AB236=""),"←該当建築材料が確認された部屋・室名を入力してください","")</f>
        <v/>
      </c>
      <c r="AW236" s="1710"/>
      <c r="AX236" s="1710"/>
      <c r="AY236" s="1710"/>
      <c r="AZ236" s="1710"/>
      <c r="BA236" s="1710"/>
      <c r="BB236" s="1710"/>
      <c r="BC236" s="1710"/>
      <c r="BD236" s="1710"/>
      <c r="BE236" s="1710"/>
      <c r="BF236" s="1710"/>
      <c r="BG236" s="1710"/>
      <c r="BH236" s="1710"/>
      <c r="BI236" s="1710"/>
      <c r="BJ236" s="1710"/>
      <c r="BK236" s="1710"/>
      <c r="BL236" s="1710"/>
      <c r="BM236" s="1710"/>
      <c r="BN236" s="1710"/>
      <c r="BO236" s="1710"/>
      <c r="BP236" s="1710"/>
      <c r="BQ236" s="1710"/>
      <c r="BR236" s="1710"/>
      <c r="BS236" s="1710"/>
      <c r="BT236" s="1710"/>
      <c r="BU236" s="584"/>
      <c r="BV236" s="1190"/>
      <c r="BW236" s="2946"/>
      <c r="BX236" s="2946"/>
      <c r="BY236" s="2946"/>
      <c r="BZ236" s="2946"/>
      <c r="CA236" s="2946"/>
      <c r="CB236" s="2946"/>
      <c r="CC236" s="2946"/>
      <c r="CD236" s="2946"/>
      <c r="CE236" s="2946"/>
      <c r="CF236" s="2946"/>
      <c r="CG236" s="2946"/>
      <c r="CH236" s="2946"/>
      <c r="CI236" s="2946"/>
      <c r="CJ236" s="2946"/>
      <c r="CK236" s="2946"/>
      <c r="CL236" s="2946"/>
      <c r="CM236" s="2946"/>
      <c r="CN236" s="2946"/>
      <c r="CO236" s="2946"/>
      <c r="CP236" s="2946"/>
      <c r="CQ236" s="2946"/>
      <c r="CR236" s="2946"/>
      <c r="CS236" s="2946"/>
      <c r="CT236" s="1190"/>
      <c r="CU236" s="628"/>
      <c r="DD236" s="16"/>
      <c r="DE236" s="16"/>
      <c r="DF236" s="16"/>
      <c r="DG236" s="16"/>
      <c r="DH236" s="16"/>
      <c r="DI236" s="1593"/>
      <c r="DJ236" s="1163"/>
      <c r="DO236" s="1447" t="str">
        <f>IF($AB235="有（飛散防止措置無）","レ","")</f>
        <v/>
      </c>
      <c r="DP236" s="1447" t="str">
        <f>IF($AB235="有（飛散防止措置有）","レ","")</f>
        <v/>
      </c>
      <c r="DQ236" s="1447" t="str">
        <f>IF($AB235="無","レ","")</f>
        <v/>
      </c>
      <c r="DR236" s="86" t="str">
        <f>IF($AB235="未調査","レ","")</f>
        <v/>
      </c>
      <c r="DS236" s="96">
        <f>IF(OR(AB235="有（飛散防止措置無）",AB235="未調査"),IF(AB235="有（飛散防止措置無）",1,2),0)</f>
        <v>0</v>
      </c>
      <c r="DT236" s="197"/>
      <c r="DU236" s="197"/>
      <c r="DX236" s="190">
        <f>IF(AB235="無",1,0)</f>
        <v>0</v>
      </c>
      <c r="EA236" s="73" t="s">
        <v>3134</v>
      </c>
      <c r="EB236" s="1573" t="str">
        <f>IF(DQ236="レ",1,"")</f>
        <v/>
      </c>
      <c r="EE236" s="73" t="s">
        <v>3136</v>
      </c>
      <c r="EF236" s="73" t="s">
        <v>3137</v>
      </c>
      <c r="EG236" s="73" t="s">
        <v>3138</v>
      </c>
      <c r="EH236" s="73"/>
      <c r="EI236" s="73"/>
      <c r="EJ236" s="73"/>
      <c r="EK236" s="73"/>
      <c r="FV236" s="73"/>
      <c r="FW236" s="73"/>
      <c r="FX236" s="73"/>
      <c r="FY236" s="73"/>
      <c r="FZ236" s="73"/>
    </row>
    <row r="237" spans="1:183" s="78" customFormat="1" ht="27" customHeight="1" thickBot="1" x14ac:dyDescent="0.2">
      <c r="A237" s="1201"/>
      <c r="B237" s="1201"/>
      <c r="C237" s="1201"/>
      <c r="D237" s="1201"/>
      <c r="E237" s="1202"/>
      <c r="F237" s="652"/>
      <c r="G237" s="652"/>
      <c r="H237" s="652"/>
      <c r="I237" s="1249"/>
      <c r="J237" s="1215"/>
      <c r="K237" s="1216"/>
      <c r="L237" s="1216"/>
      <c r="M237" s="2514" t="s">
        <v>705</v>
      </c>
      <c r="N237" s="2238"/>
      <c r="O237" s="2238"/>
      <c r="P237" s="2238"/>
      <c r="Q237" s="2238"/>
      <c r="R237" s="2238"/>
      <c r="S237" s="2146" t="s">
        <v>702</v>
      </c>
      <c r="T237" s="2494"/>
      <c r="U237" s="2494"/>
      <c r="V237" s="2494"/>
      <c r="W237" s="2494"/>
      <c r="X237" s="2494"/>
      <c r="Y237" s="2494"/>
      <c r="Z237" s="2494"/>
      <c r="AA237" s="2494"/>
      <c r="AB237" s="2137"/>
      <c r="AC237" s="2137"/>
      <c r="AD237" s="2137"/>
      <c r="AE237" s="2138"/>
      <c r="AF237" s="2138"/>
      <c r="AG237" s="2138"/>
      <c r="AH237" s="1291" t="str">
        <f>IF(AND(AB237="",AB235&lt;&gt;"無"),"←どれか１つ選んでください","")</f>
        <v>←どれか１つ選んでください</v>
      </c>
      <c r="AI237" s="1273"/>
      <c r="AJ237" s="1273"/>
      <c r="AK237" s="1273"/>
      <c r="AL237" s="1273"/>
      <c r="AM237" s="1250"/>
      <c r="AN237" s="1250"/>
      <c r="AO237" s="1250"/>
      <c r="AP237" s="1250"/>
      <c r="AQ237" s="1250"/>
      <c r="AR237" s="1250"/>
      <c r="AS237" s="1250"/>
      <c r="AT237" s="1250"/>
      <c r="AU237" s="1250"/>
      <c r="AV237" s="1250"/>
      <c r="AW237" s="1250"/>
      <c r="AX237" s="1250"/>
      <c r="AY237" s="1250"/>
      <c r="AZ237" s="1250"/>
      <c r="BA237" s="1250"/>
      <c r="BB237" s="1250"/>
      <c r="BC237" s="1250"/>
      <c r="BD237" s="1250"/>
      <c r="BE237" s="1250"/>
      <c r="BF237" s="1250"/>
      <c r="BG237" s="1250"/>
      <c r="BH237" s="1250"/>
      <c r="BI237" s="1250"/>
      <c r="BJ237" s="1250"/>
      <c r="BK237" s="1250"/>
      <c r="BL237" s="1250"/>
      <c r="BM237" s="1250"/>
      <c r="BN237" s="1250"/>
      <c r="BO237" s="1250"/>
      <c r="BP237" s="1250"/>
      <c r="BQ237" s="1250"/>
      <c r="BR237" s="1250"/>
      <c r="BS237" s="1250"/>
      <c r="BT237" s="1250"/>
      <c r="BU237" s="395"/>
      <c r="BV237" s="629" t="s">
        <v>3159</v>
      </c>
      <c r="BW237" s="2452" t="s">
        <v>3123</v>
      </c>
      <c r="BX237" s="2452"/>
      <c r="BY237" s="2452"/>
      <c r="BZ237" s="2452"/>
      <c r="CA237" s="2452"/>
      <c r="CB237" s="2452"/>
      <c r="CC237" s="2452"/>
      <c r="CD237" s="2452"/>
      <c r="CE237" s="2452"/>
      <c r="CF237" s="2452"/>
      <c r="CG237" s="2452"/>
      <c r="CH237" s="2452"/>
      <c r="CI237" s="2452"/>
      <c r="CJ237" s="2452"/>
      <c r="CK237" s="2452"/>
      <c r="CL237" s="2452"/>
      <c r="CM237" s="2452"/>
      <c r="CN237" s="2452"/>
      <c r="CO237" s="2452"/>
      <c r="CP237" s="2452"/>
      <c r="CQ237" s="2452"/>
      <c r="CR237" s="2452"/>
      <c r="CS237" s="2452"/>
      <c r="CT237" s="630"/>
      <c r="CU237" s="631"/>
      <c r="CV237" s="388"/>
      <c r="CW237" s="388"/>
      <c r="CX237" s="207"/>
      <c r="CY237" s="207"/>
      <c r="CZ237" s="207"/>
      <c r="DA237" s="207"/>
      <c r="DB237" s="207"/>
      <c r="DC237" s="15"/>
      <c r="DD237" s="16"/>
      <c r="DE237" s="16"/>
      <c r="DF237" s="84"/>
      <c r="DG237" s="84"/>
      <c r="DH237" s="84"/>
      <c r="DI237" s="1593"/>
      <c r="DJ237" s="1166"/>
      <c r="DK237" s="1163"/>
      <c r="DL237" s="77" t="s">
        <v>3123</v>
      </c>
      <c r="DM237" s="77"/>
      <c r="DO237" s="92" t="s">
        <v>831</v>
      </c>
      <c r="DP237" s="92" t="s">
        <v>1313</v>
      </c>
      <c r="DQ237" s="77"/>
      <c r="DR237" s="155" t="str">
        <f>IF(DR236="レ",AB236 &amp; "(未調査)","")</f>
        <v/>
      </c>
      <c r="EA237" s="78" t="s">
        <v>3129</v>
      </c>
      <c r="EB237" s="1537" t="str">
        <f>IF(DO238="レ",1,"")</f>
        <v/>
      </c>
      <c r="ED237" s="78" t="s">
        <v>3135</v>
      </c>
      <c r="EE237" s="1537" t="str">
        <f>IF(EB237=1,AB238,"")</f>
        <v/>
      </c>
      <c r="EF237" s="1537" t="str">
        <f>IF(EB237=1,AE238,"")</f>
        <v/>
      </c>
      <c r="EG237" s="1573" t="str">
        <f>IF(EB237=1,AJ238,"")</f>
        <v/>
      </c>
      <c r="EH237" s="73"/>
      <c r="EI237" s="73"/>
      <c r="EJ237" s="73"/>
      <c r="EK237" s="73"/>
      <c r="FO237" s="579"/>
      <c r="FV237" s="73"/>
      <c r="FW237" s="73"/>
      <c r="FX237" s="73"/>
      <c r="FY237" s="73"/>
      <c r="FZ237" s="73"/>
      <c r="GA237" s="77"/>
    </row>
    <row r="238" spans="1:183" ht="27" customHeight="1" thickBot="1" x14ac:dyDescent="0.2">
      <c r="A238" s="1201"/>
      <c r="B238" s="1201"/>
      <c r="C238" s="1201"/>
      <c r="D238" s="1201"/>
      <c r="E238" s="1202"/>
      <c r="J238" s="1247"/>
      <c r="K238" s="624"/>
      <c r="L238" s="624"/>
      <c r="M238" s="2241"/>
      <c r="N238" s="2241"/>
      <c r="O238" s="2241"/>
      <c r="P238" s="2241"/>
      <c r="Q238" s="2241"/>
      <c r="R238" s="2241"/>
      <c r="S238" s="2498" t="s">
        <v>704</v>
      </c>
      <c r="T238" s="2499"/>
      <c r="U238" s="2499"/>
      <c r="V238" s="2499"/>
      <c r="W238" s="2499"/>
      <c r="X238" s="2499"/>
      <c r="Y238" s="2499"/>
      <c r="Z238" s="2499"/>
      <c r="AA238" s="2499"/>
      <c r="AB238" s="2248" t="s">
        <v>294</v>
      </c>
      <c r="AC238" s="2507"/>
      <c r="AD238" s="2507"/>
      <c r="AE238" s="2505"/>
      <c r="AF238" s="2505"/>
      <c r="AG238" s="2505"/>
      <c r="AH238" s="1276" t="s">
        <v>12</v>
      </c>
      <c r="AI238" s="1276"/>
      <c r="AJ238" s="2505"/>
      <c r="AK238" s="2505"/>
      <c r="AL238" s="2505"/>
      <c r="AM238" s="1222" t="s">
        <v>163</v>
      </c>
      <c r="AN238" s="625"/>
      <c r="AO238" s="1325" t="str">
        <f>IF(AND(AB237="有",DN238&lt;2),IF(DS236=1,"←改善予定年月を入力してください",IF(DS236=2,"←調査予定年月を入力してください","")),"")</f>
        <v/>
      </c>
      <c r="AP238" s="625"/>
      <c r="AQ238" s="625"/>
      <c r="AR238" s="625"/>
      <c r="AS238" s="625"/>
      <c r="AT238" s="625"/>
      <c r="AU238" s="625"/>
      <c r="AV238" s="625"/>
      <c r="AW238" s="625"/>
      <c r="AX238" s="625"/>
      <c r="AY238" s="625"/>
      <c r="AZ238" s="625"/>
      <c r="BA238" s="625"/>
      <c r="BB238" s="625"/>
      <c r="BC238" s="625"/>
      <c r="BD238" s="625"/>
      <c r="BE238" s="625"/>
      <c r="BF238" s="625"/>
      <c r="BG238" s="625"/>
      <c r="BH238" s="625"/>
      <c r="BI238" s="625"/>
      <c r="BJ238" s="625"/>
      <c r="BK238" s="625"/>
      <c r="BL238" s="625"/>
      <c r="BM238" s="625"/>
      <c r="BN238" s="625"/>
      <c r="BO238" s="625"/>
      <c r="BP238" s="625"/>
      <c r="BQ238" s="625"/>
      <c r="BR238" s="625"/>
      <c r="BS238" s="625"/>
      <c r="BT238" s="625"/>
      <c r="BU238" s="608"/>
      <c r="BV238" s="632"/>
      <c r="BW238" s="2195" t="s">
        <v>3124</v>
      </c>
      <c r="BX238" s="2195"/>
      <c r="BY238" s="2195"/>
      <c r="BZ238" s="2195"/>
      <c r="CA238" s="2195"/>
      <c r="CB238" s="2195"/>
      <c r="CC238" s="2195"/>
      <c r="CD238" s="2195"/>
      <c r="CE238" s="2195"/>
      <c r="CF238" s="2195"/>
      <c r="CG238" s="2195"/>
      <c r="CH238" s="2195"/>
      <c r="CI238" s="2195"/>
      <c r="CJ238" s="2195"/>
      <c r="CK238" s="2195"/>
      <c r="CL238" s="2195"/>
      <c r="CM238" s="2195"/>
      <c r="CN238" s="2195"/>
      <c r="CO238" s="2195"/>
      <c r="CP238" s="2195"/>
      <c r="CQ238" s="2195"/>
      <c r="CR238" s="2195"/>
      <c r="CS238" s="2195"/>
      <c r="CT238" s="633"/>
      <c r="CU238" s="634"/>
      <c r="DD238" s="16"/>
      <c r="DE238" s="16"/>
      <c r="DF238" s="84"/>
      <c r="DG238" s="84"/>
      <c r="DH238" s="84"/>
      <c r="DI238" s="1593"/>
      <c r="DJ238" s="1166"/>
      <c r="DL238" s="72" t="s">
        <v>3124</v>
      </c>
      <c r="DN238" s="605">
        <f>COUNTA(AE238,AJ238)</f>
        <v>0</v>
      </c>
      <c r="DO238" s="113" t="str">
        <f>IF($AB237="有","レ","")</f>
        <v/>
      </c>
      <c r="DP238" s="86" t="str">
        <f>IF(OR($AB237="無",$AB237="未定"),"レ","")</f>
        <v/>
      </c>
      <c r="EA238" s="73" t="s">
        <v>3130</v>
      </c>
      <c r="EB238" s="1573" t="str">
        <f>IF(DP238="レ",1,"")</f>
        <v/>
      </c>
      <c r="EG238" s="78"/>
      <c r="EH238" s="78"/>
      <c r="EI238" s="78"/>
      <c r="EJ238" s="78"/>
      <c r="EK238" s="78"/>
      <c r="FV238" s="78"/>
      <c r="FW238" s="78"/>
      <c r="FX238" s="78"/>
      <c r="FY238" s="78"/>
      <c r="FZ238" s="78"/>
    </row>
    <row r="239" spans="1:183" ht="15" customHeight="1" x14ac:dyDescent="0.15">
      <c r="A239" s="1201"/>
      <c r="B239" s="1201"/>
      <c r="C239" s="1201"/>
      <c r="D239" s="1201"/>
      <c r="E239" s="1202"/>
      <c r="BU239" s="578"/>
      <c r="DD239" s="16"/>
      <c r="DE239" s="16"/>
      <c r="DF239" s="16"/>
      <c r="DG239" s="16"/>
      <c r="DH239" s="16"/>
      <c r="DI239" s="1593"/>
      <c r="DJ239" s="1163"/>
      <c r="EG239" s="78"/>
      <c r="EH239" s="78"/>
      <c r="EI239" s="78"/>
      <c r="EJ239" s="78"/>
      <c r="EK239" s="78"/>
      <c r="FV239" s="78"/>
      <c r="FW239" s="78"/>
      <c r="FX239" s="78"/>
      <c r="FY239" s="78"/>
      <c r="FZ239" s="78"/>
    </row>
    <row r="240" spans="1:183" ht="2.1" customHeight="1" x14ac:dyDescent="0.15">
      <c r="A240" s="1201"/>
      <c r="B240" s="1201"/>
      <c r="C240" s="1201"/>
      <c r="D240" s="1201"/>
      <c r="E240" s="1202"/>
      <c r="BU240" s="578"/>
      <c r="DD240" s="16"/>
      <c r="DE240" s="16"/>
      <c r="DF240" s="16"/>
      <c r="DG240" s="16"/>
      <c r="DH240" s="16"/>
      <c r="DI240" s="1593"/>
      <c r="DJ240" s="1163"/>
      <c r="EG240" s="78"/>
      <c r="EH240" s="78"/>
      <c r="EI240" s="78"/>
      <c r="EJ240" s="78"/>
      <c r="EK240" s="78"/>
      <c r="FV240" s="78"/>
      <c r="FW240" s="78"/>
      <c r="FX240" s="78"/>
      <c r="FY240" s="78"/>
      <c r="FZ240" s="78"/>
    </row>
    <row r="241" spans="1:183" ht="2.1" customHeight="1" x14ac:dyDescent="0.15">
      <c r="A241" s="1201"/>
      <c r="B241" s="1201"/>
      <c r="C241" s="1201"/>
      <c r="D241" s="1201"/>
      <c r="E241" s="1202"/>
      <c r="BU241" s="578"/>
      <c r="DD241" s="16"/>
      <c r="DE241" s="16"/>
      <c r="DF241" s="16"/>
      <c r="DG241" s="16"/>
      <c r="DH241" s="16"/>
      <c r="DI241" s="1593"/>
      <c r="DJ241" s="1163"/>
      <c r="EG241" s="78"/>
      <c r="EH241" s="78"/>
      <c r="EI241" s="78"/>
      <c r="EJ241" s="78"/>
      <c r="EK241" s="78"/>
      <c r="FV241" s="78"/>
      <c r="FW241" s="78"/>
      <c r="FX241" s="78"/>
      <c r="FY241" s="78"/>
      <c r="FZ241" s="78"/>
    </row>
    <row r="242" spans="1:183" ht="2.1" customHeight="1" thickBot="1" x14ac:dyDescent="0.2">
      <c r="A242" s="1201"/>
      <c r="B242" s="1201"/>
      <c r="C242" s="1201"/>
      <c r="D242" s="1201"/>
      <c r="E242" s="1202"/>
      <c r="BU242" s="578"/>
      <c r="DD242" s="16"/>
      <c r="DE242" s="16"/>
      <c r="DF242" s="16"/>
      <c r="DG242" s="16"/>
      <c r="DH242" s="16"/>
      <c r="DI242" s="1593"/>
      <c r="DJ242" s="1163"/>
      <c r="EG242" s="78"/>
      <c r="EH242" s="78"/>
      <c r="EI242" s="78"/>
      <c r="EJ242" s="78"/>
      <c r="EK242" s="78"/>
      <c r="FV242" s="78"/>
      <c r="FW242" s="78"/>
      <c r="FX242" s="78"/>
      <c r="FY242" s="78"/>
      <c r="FZ242" s="78"/>
    </row>
    <row r="243" spans="1:183" ht="35.1" customHeight="1" thickBot="1" x14ac:dyDescent="0.6">
      <c r="A243" s="1201"/>
      <c r="B243" s="1201"/>
      <c r="C243" s="1201"/>
      <c r="D243" s="1201"/>
      <c r="E243" s="1202"/>
      <c r="J243" s="2156" t="s">
        <v>1086</v>
      </c>
      <c r="K243" s="2538"/>
      <c r="L243" s="2538"/>
      <c r="M243" s="2538"/>
      <c r="N243" s="2538"/>
      <c r="O243" s="2538"/>
      <c r="P243" s="2538"/>
      <c r="Q243" s="2538"/>
      <c r="R243" s="2538"/>
      <c r="S243" s="2538"/>
      <c r="T243" s="2538"/>
      <c r="U243" s="2538"/>
      <c r="V243" s="2538"/>
      <c r="W243" s="2538"/>
      <c r="X243" s="2538"/>
      <c r="Y243" s="2538"/>
      <c r="Z243" s="2538"/>
      <c r="AA243" s="2538"/>
      <c r="AB243" s="2538"/>
      <c r="AC243" s="2538"/>
      <c r="AD243" s="2538"/>
      <c r="AE243" s="2538"/>
      <c r="AF243" s="2538"/>
      <c r="AG243" s="2538"/>
      <c r="AH243" s="2538"/>
      <c r="AI243" s="2538"/>
      <c r="AJ243" s="2538"/>
      <c r="AK243" s="2538"/>
      <c r="AL243" s="2538"/>
      <c r="AM243" s="2538"/>
      <c r="AN243" s="2538"/>
      <c r="AO243" s="2538"/>
      <c r="AP243" s="2538"/>
      <c r="AQ243" s="2538"/>
      <c r="AR243" s="2538"/>
      <c r="AS243" s="2538"/>
      <c r="AT243" s="2538"/>
      <c r="AU243" s="2538"/>
      <c r="AV243" s="2538"/>
      <c r="AW243" s="2538"/>
      <c r="AX243" s="2538"/>
      <c r="AY243" s="2538"/>
      <c r="AZ243" s="2538"/>
      <c r="BA243" s="2538"/>
      <c r="BB243" s="2538"/>
      <c r="BC243" s="2538"/>
      <c r="BD243" s="2538"/>
      <c r="BE243" s="2538"/>
      <c r="BF243" s="2538"/>
      <c r="BG243" s="2538"/>
      <c r="BH243" s="2538"/>
      <c r="BI243" s="2538"/>
      <c r="BJ243" s="2538"/>
      <c r="BK243" s="2538"/>
      <c r="BL243" s="1713"/>
      <c r="BM243" s="1362"/>
      <c r="BN243" s="1362"/>
      <c r="BO243" s="1362"/>
      <c r="BP243" s="1362"/>
      <c r="BQ243" s="1362"/>
      <c r="BR243" s="1362"/>
      <c r="BS243" s="1362"/>
      <c r="BT243" s="1708" t="s">
        <v>3160</v>
      </c>
      <c r="BU243" s="609"/>
      <c r="BV243" s="635"/>
      <c r="BW243" s="636"/>
      <c r="BX243" s="636"/>
      <c r="BY243" s="636"/>
      <c r="BZ243" s="636"/>
      <c r="CA243" s="636"/>
      <c r="CB243" s="636"/>
      <c r="CC243" s="636"/>
      <c r="CD243" s="636"/>
      <c r="CE243" s="636"/>
      <c r="CF243" s="636"/>
      <c r="CG243" s="636"/>
      <c r="CH243" s="636"/>
      <c r="CI243" s="636"/>
      <c r="CJ243" s="636"/>
      <c r="CK243" s="636"/>
      <c r="CL243" s="636"/>
      <c r="CM243" s="636"/>
      <c r="CN243" s="636"/>
      <c r="CO243" s="636"/>
      <c r="CP243" s="636"/>
      <c r="CQ243" s="636"/>
      <c r="CR243" s="636"/>
      <c r="CS243" s="636"/>
      <c r="CT243" s="636"/>
      <c r="CU243" s="637"/>
      <c r="CV243" s="1326"/>
      <c r="DD243" s="16"/>
      <c r="DE243" s="16"/>
      <c r="DF243" s="16"/>
      <c r="DG243" s="16"/>
      <c r="DH243" s="84"/>
      <c r="DI243" s="1593"/>
      <c r="DJ243" s="1166"/>
      <c r="DN243" s="72" t="s">
        <v>1630</v>
      </c>
      <c r="EA243" s="1547" t="s">
        <v>3165</v>
      </c>
      <c r="EE243" s="73" t="s">
        <v>3136</v>
      </c>
      <c r="EF243" s="73" t="s">
        <v>3137</v>
      </c>
      <c r="EG243" s="73" t="s">
        <v>3138</v>
      </c>
      <c r="EH243" s="78"/>
      <c r="EI243" s="1547" t="s">
        <v>3166</v>
      </c>
      <c r="EJ243" s="78"/>
      <c r="EK243" s="78"/>
      <c r="EN243" s="73" t="s">
        <v>3136</v>
      </c>
      <c r="EO243" s="73" t="s">
        <v>3137</v>
      </c>
      <c r="EP243" s="73" t="s">
        <v>3138</v>
      </c>
      <c r="FV243" s="78"/>
      <c r="FW243" s="78"/>
      <c r="FX243" s="78"/>
      <c r="FY243" s="78"/>
      <c r="FZ243" s="78"/>
    </row>
    <row r="244" spans="1:183" s="78" customFormat="1" ht="27" customHeight="1" thickBot="1" x14ac:dyDescent="0.2">
      <c r="A244" s="1201"/>
      <c r="B244" s="1201"/>
      <c r="C244" s="1201"/>
      <c r="D244" s="1201"/>
      <c r="E244" s="1202"/>
      <c r="F244" s="652"/>
      <c r="G244" s="652"/>
      <c r="H244" s="652"/>
      <c r="I244" s="1249"/>
      <c r="J244" s="1215"/>
      <c r="K244" s="1216"/>
      <c r="L244" s="1216"/>
      <c r="M244" s="2514" t="s">
        <v>277</v>
      </c>
      <c r="N244" s="2515"/>
      <c r="O244" s="2515"/>
      <c r="P244" s="2515"/>
      <c r="Q244" s="2515"/>
      <c r="R244" s="2515"/>
      <c r="S244" s="2146" t="s">
        <v>702</v>
      </c>
      <c r="T244" s="2494"/>
      <c r="U244" s="2494"/>
      <c r="V244" s="2494"/>
      <c r="W244" s="2494"/>
      <c r="X244" s="2494"/>
      <c r="Y244" s="2494"/>
      <c r="Z244" s="2494"/>
      <c r="AA244" s="2494"/>
      <c r="AB244" s="2187"/>
      <c r="AC244" s="2187"/>
      <c r="AD244" s="2187"/>
      <c r="AE244" s="2187"/>
      <c r="AF244" s="2187"/>
      <c r="AG244" s="2187"/>
      <c r="AH244" s="2187"/>
      <c r="AI244" s="2187"/>
      <c r="AJ244" s="2187"/>
      <c r="AK244" s="2187"/>
      <c r="AL244" s="2187"/>
      <c r="AM244" s="2187"/>
      <c r="AN244" s="2187"/>
      <c r="AO244" s="1265" t="str">
        <f>IF(AB244="","←どれか１つ選んでください","")</f>
        <v>←どれか１つ選んでください</v>
      </c>
      <c r="AP244" s="1250"/>
      <c r="AQ244" s="1250"/>
      <c r="AR244" s="1250"/>
      <c r="AS244" s="1250"/>
      <c r="AT244" s="1250"/>
      <c r="AU244" s="1250"/>
      <c r="AV244" s="1250"/>
      <c r="AW244" s="1250"/>
      <c r="AX244" s="1250"/>
      <c r="AY244" s="1250"/>
      <c r="AZ244" s="1327"/>
      <c r="BA244" s="1250"/>
      <c r="BB244" s="1250"/>
      <c r="BC244" s="1250"/>
      <c r="BD244" s="1327"/>
      <c r="BE244" s="1250"/>
      <c r="BF244" s="1250"/>
      <c r="BG244" s="1250"/>
      <c r="BH244" s="1250"/>
      <c r="BI244" s="1250"/>
      <c r="BJ244" s="1250"/>
      <c r="BK244" s="1250"/>
      <c r="BL244" s="1250"/>
      <c r="BM244" s="1250"/>
      <c r="BN244" s="1250"/>
      <c r="BO244" s="1250"/>
      <c r="BP244" s="1250"/>
      <c r="BQ244" s="1250"/>
      <c r="BR244" s="1250"/>
      <c r="BS244" s="1250"/>
      <c r="BT244" s="1250"/>
      <c r="BU244" s="395"/>
      <c r="BV244" s="617"/>
      <c r="BW244" s="1188"/>
      <c r="BX244" s="1188"/>
      <c r="BY244" s="1188"/>
      <c r="BZ244" s="1188"/>
      <c r="CA244" s="1188"/>
      <c r="CB244" s="1188"/>
      <c r="CC244" s="1188"/>
      <c r="CD244" s="1188"/>
      <c r="CE244" s="1188"/>
      <c r="CF244" s="1188"/>
      <c r="CG244" s="1188"/>
      <c r="CH244" s="1188"/>
      <c r="CI244" s="1188"/>
      <c r="CJ244" s="1188"/>
      <c r="CK244" s="1188"/>
      <c r="CL244" s="1188"/>
      <c r="CM244" s="1188"/>
      <c r="CN244" s="1188"/>
      <c r="CO244" s="1188"/>
      <c r="CP244" s="1188"/>
      <c r="CQ244" s="1188"/>
      <c r="CR244" s="1188"/>
      <c r="CS244" s="1188"/>
      <c r="CT244" s="619"/>
      <c r="CU244" s="638"/>
      <c r="CV244" s="1328"/>
      <c r="CW244" s="1329"/>
      <c r="DC244" s="465"/>
      <c r="DD244" s="600"/>
      <c r="DE244" s="600"/>
      <c r="DF244" s="600"/>
      <c r="DG244" s="600"/>
      <c r="DH244" s="600"/>
      <c r="DI244" s="1593"/>
      <c r="DJ244" s="1167"/>
      <c r="DK244" s="1163"/>
      <c r="DL244" s="77"/>
      <c r="DM244" s="77"/>
      <c r="DN244" s="97">
        <f>COUNTA(AB245,AE245,AJ245)</f>
        <v>0</v>
      </c>
      <c r="DO244" s="92" t="s">
        <v>1872</v>
      </c>
      <c r="DP244" s="92" t="s">
        <v>847</v>
      </c>
      <c r="DQ244" s="92" t="s">
        <v>848</v>
      </c>
      <c r="DV244" s="155" t="s">
        <v>1870</v>
      </c>
      <c r="DW244" s="155" t="s">
        <v>1876</v>
      </c>
      <c r="DX244" s="155" t="s">
        <v>1875</v>
      </c>
      <c r="DY244" s="155" t="s">
        <v>1878</v>
      </c>
      <c r="EA244" s="78" t="s">
        <v>3161</v>
      </c>
      <c r="EB244" s="1537" t="str">
        <f>IF(DO245="レ",1,"")</f>
        <v/>
      </c>
      <c r="ED244" s="78" t="s">
        <v>3164</v>
      </c>
      <c r="EE244" s="1537" t="str">
        <f>IF(AB245="","",AB245)</f>
        <v/>
      </c>
      <c r="EF244" s="1537" t="str">
        <f>IF(AE245="","",AE245)</f>
        <v/>
      </c>
      <c r="EG244" s="1573" t="str">
        <f>IF(AJ245="","",AJ245)</f>
        <v/>
      </c>
      <c r="EI244" s="78" t="s">
        <v>3167</v>
      </c>
      <c r="EJ244" s="1537" t="str">
        <f>IF(DO247="レ",1,"")</f>
        <v/>
      </c>
      <c r="EM244" s="78" t="s">
        <v>3170</v>
      </c>
      <c r="EN244" s="1537" t="str">
        <f>IF(AB247="","",AB247)</f>
        <v/>
      </c>
      <c r="EO244" s="1537" t="str">
        <f>IF(AE247="","",AE247)</f>
        <v/>
      </c>
      <c r="EP244" s="1537" t="str">
        <f>IF(AJ247="","",AJ247)</f>
        <v/>
      </c>
      <c r="FO244" s="579"/>
      <c r="GA244" s="77"/>
    </row>
    <row r="245" spans="1:183" ht="27" customHeight="1" thickBot="1" x14ac:dyDescent="0.2">
      <c r="A245" s="1201"/>
      <c r="B245" s="1201"/>
      <c r="C245" s="1201"/>
      <c r="D245" s="1201"/>
      <c r="E245" s="1202"/>
      <c r="J245" s="1260"/>
      <c r="K245" s="1261"/>
      <c r="L245" s="1261"/>
      <c r="M245" s="2516"/>
      <c r="N245" s="2516"/>
      <c r="O245" s="2516"/>
      <c r="P245" s="2516"/>
      <c r="Q245" s="2516"/>
      <c r="R245" s="2516"/>
      <c r="S245" s="2508" t="s">
        <v>2188</v>
      </c>
      <c r="T245" s="2509"/>
      <c r="U245" s="2509"/>
      <c r="V245" s="2509"/>
      <c r="W245" s="2509"/>
      <c r="X245" s="2509"/>
      <c r="Y245" s="2509"/>
      <c r="Z245" s="2509"/>
      <c r="AA245" s="2509"/>
      <c r="AB245" s="2224"/>
      <c r="AC245" s="2224"/>
      <c r="AD245" s="2224"/>
      <c r="AE245" s="2506"/>
      <c r="AF245" s="2506"/>
      <c r="AG245" s="2506"/>
      <c r="AH245" s="1316" t="s">
        <v>12</v>
      </c>
      <c r="AI245" s="1316"/>
      <c r="AJ245" s="2506"/>
      <c r="AK245" s="2506"/>
      <c r="AL245" s="2506"/>
      <c r="AM245" s="1255" t="s">
        <v>893</v>
      </c>
      <c r="AN245" s="1255"/>
      <c r="AO245" s="1255" t="str">
        <f>IF(DN245=1,"実施済",IF(DN245=2,"実施予定",""))</f>
        <v/>
      </c>
      <c r="AP245" s="1256"/>
      <c r="AQ245" s="1256"/>
      <c r="AR245" s="1256"/>
      <c r="AS245" s="1306" t="str">
        <f>IF(DN244&lt;3,IF(DN245=1,"←実施年月を入力してください",IF(DN245=2,"←実施予定年月を入力してください","")),"")</f>
        <v/>
      </c>
      <c r="AT245" s="1256"/>
      <c r="AU245" s="1256"/>
      <c r="AV245" s="1256"/>
      <c r="AW245" s="1256"/>
      <c r="AX245" s="1256"/>
      <c r="AY245" s="1256"/>
      <c r="AZ245" s="1256"/>
      <c r="BA245" s="1256"/>
      <c r="BB245" s="1256"/>
      <c r="BC245" s="1256"/>
      <c r="BD245" s="1256"/>
      <c r="BE245" s="1256"/>
      <c r="BF245" s="1256"/>
      <c r="BG245" s="1256"/>
      <c r="BH245" s="1256"/>
      <c r="BI245" s="1256"/>
      <c r="BJ245" s="1256"/>
      <c r="BK245" s="1256"/>
      <c r="BL245" s="1256"/>
      <c r="BM245" s="1256"/>
      <c r="BN245" s="1256"/>
      <c r="BO245" s="1256"/>
      <c r="BP245" s="1256"/>
      <c r="BQ245" s="1256"/>
      <c r="BR245" s="1256"/>
      <c r="BS245" s="1256"/>
      <c r="BT245" s="1256"/>
      <c r="BU245" s="584"/>
      <c r="BV245" s="618"/>
      <c r="BW245" s="2154" t="s">
        <v>1908</v>
      </c>
      <c r="BX245" s="2154"/>
      <c r="BY245" s="2154"/>
      <c r="BZ245" s="2154"/>
      <c r="CA245" s="2154"/>
      <c r="CB245" s="2154"/>
      <c r="CC245" s="2154"/>
      <c r="CD245" s="2154"/>
      <c r="CE245" s="2154"/>
      <c r="CF245" s="2154"/>
      <c r="CG245" s="2154"/>
      <c r="CH245" s="2154"/>
      <c r="CI245" s="2154"/>
      <c r="CJ245" s="2154"/>
      <c r="CK245" s="2154"/>
      <c r="CL245" s="2154"/>
      <c r="CM245" s="2154"/>
      <c r="CN245" s="2154"/>
      <c r="CO245" s="2154"/>
      <c r="CP245" s="2154"/>
      <c r="CQ245" s="2154"/>
      <c r="CR245" s="2154"/>
      <c r="CS245" s="2154"/>
      <c r="CT245" s="619"/>
      <c r="CU245" s="638"/>
      <c r="CV245" s="1326"/>
      <c r="DD245" s="16"/>
      <c r="DE245" s="16"/>
      <c r="DF245" s="16"/>
      <c r="DG245" s="16"/>
      <c r="DH245" s="16"/>
      <c r="DI245" s="1593"/>
      <c r="DJ245" s="1163"/>
      <c r="DN245" s="385">
        <f>IFERROR(MATCH(AB244,DV244:DY244,0),9)</f>
        <v>9</v>
      </c>
      <c r="DO245" s="113" t="str">
        <f>IF($AB244="診断済","レ","")</f>
        <v/>
      </c>
      <c r="DP245" s="86" t="str">
        <f>IF(OR($AB244="未実施（実施予定あり）",$AB244="未実施（実施時期未定）"),"レ","")</f>
        <v/>
      </c>
      <c r="DQ245" s="86" t="str">
        <f>IF($AB244="対象外","レ","")</f>
        <v/>
      </c>
      <c r="EA245" s="78" t="s">
        <v>3162</v>
      </c>
      <c r="EB245" s="1537" t="str">
        <f>IF(DP245="レ",1,"")</f>
        <v/>
      </c>
      <c r="EG245" s="77"/>
      <c r="EH245" s="77"/>
      <c r="EI245" s="78" t="s">
        <v>3168</v>
      </c>
      <c r="EJ245" s="1649" t="str">
        <f>IF(DP247="レ",1,"")</f>
        <v/>
      </c>
      <c r="EK245" s="77"/>
      <c r="FV245" s="77"/>
      <c r="FW245" s="77"/>
      <c r="FX245" s="77"/>
      <c r="FY245" s="77"/>
      <c r="FZ245" s="77"/>
    </row>
    <row r="246" spans="1:183" s="78" customFormat="1" ht="27" customHeight="1" thickBot="1" x14ac:dyDescent="0.2">
      <c r="A246" s="1201"/>
      <c r="B246" s="1201"/>
      <c r="C246" s="1201"/>
      <c r="D246" s="1201"/>
      <c r="E246" s="1202"/>
      <c r="F246" s="652"/>
      <c r="G246" s="652"/>
      <c r="H246" s="652"/>
      <c r="I246" s="1249"/>
      <c r="J246" s="1215"/>
      <c r="K246" s="1216"/>
      <c r="L246" s="1216"/>
      <c r="M246" s="2514" t="s">
        <v>278</v>
      </c>
      <c r="N246" s="2515"/>
      <c r="O246" s="2515"/>
      <c r="P246" s="2515"/>
      <c r="Q246" s="2515"/>
      <c r="R246" s="2515"/>
      <c r="S246" s="2146" t="s">
        <v>702</v>
      </c>
      <c r="T246" s="2494"/>
      <c r="U246" s="2494"/>
      <c r="V246" s="2494"/>
      <c r="W246" s="2494"/>
      <c r="X246" s="2494"/>
      <c r="Y246" s="2494"/>
      <c r="Z246" s="2494"/>
      <c r="AA246" s="2494"/>
      <c r="AB246" s="2457"/>
      <c r="AC246" s="2457"/>
      <c r="AD246" s="2457"/>
      <c r="AE246" s="2457"/>
      <c r="AF246" s="2457"/>
      <c r="AG246" s="2457"/>
      <c r="AH246" s="2457"/>
      <c r="AI246" s="2457"/>
      <c r="AJ246" s="2457"/>
      <c r="AK246" s="2457"/>
      <c r="AL246" s="2457"/>
      <c r="AM246" s="2457"/>
      <c r="AN246" s="2457"/>
      <c r="AO246" s="1265" t="str">
        <f>IF(AB246="","←どれか１つ選んでください","")</f>
        <v>←どれか１つ選んでください</v>
      </c>
      <c r="AP246" s="1250"/>
      <c r="AQ246" s="1250"/>
      <c r="AR246" s="1250"/>
      <c r="AS246" s="1250"/>
      <c r="AT246" s="1250"/>
      <c r="AU246" s="1250"/>
      <c r="AV246" s="1250"/>
      <c r="AW246" s="1250"/>
      <c r="AX246" s="1250"/>
      <c r="AY246" s="1250"/>
      <c r="AZ246" s="1327"/>
      <c r="BA246" s="1250"/>
      <c r="BB246" s="1250"/>
      <c r="BC246" s="1250"/>
      <c r="BD246" s="1327"/>
      <c r="BE246" s="1250"/>
      <c r="BF246" s="1250"/>
      <c r="BG246" s="1250"/>
      <c r="BH246" s="1250"/>
      <c r="BI246" s="1250"/>
      <c r="BJ246" s="1250"/>
      <c r="BK246" s="1250"/>
      <c r="BL246" s="1250"/>
      <c r="BM246" s="1250"/>
      <c r="BN246" s="1250"/>
      <c r="BO246" s="1250"/>
      <c r="BP246" s="1250"/>
      <c r="BQ246" s="1250"/>
      <c r="BR246" s="1250"/>
      <c r="BS246" s="1250"/>
      <c r="BT246" s="1250"/>
      <c r="BU246" s="395"/>
      <c r="BV246" s="619"/>
      <c r="BW246" s="2154"/>
      <c r="BX246" s="2154"/>
      <c r="BY246" s="2154"/>
      <c r="BZ246" s="2154"/>
      <c r="CA246" s="2154"/>
      <c r="CB246" s="2154"/>
      <c r="CC246" s="2154"/>
      <c r="CD246" s="2154"/>
      <c r="CE246" s="2154"/>
      <c r="CF246" s="2154"/>
      <c r="CG246" s="2154"/>
      <c r="CH246" s="2154"/>
      <c r="CI246" s="2154"/>
      <c r="CJ246" s="2154"/>
      <c r="CK246" s="2154"/>
      <c r="CL246" s="2154"/>
      <c r="CM246" s="2154"/>
      <c r="CN246" s="2154"/>
      <c r="CO246" s="2154"/>
      <c r="CP246" s="2154"/>
      <c r="CQ246" s="2154"/>
      <c r="CR246" s="2154"/>
      <c r="CS246" s="2154"/>
      <c r="CT246" s="619"/>
      <c r="CU246" s="638"/>
      <c r="CV246" s="1328"/>
      <c r="CW246" s="578"/>
      <c r="CX246" s="77"/>
      <c r="CY246" s="77"/>
      <c r="CZ246" s="77"/>
      <c r="DA246" s="77"/>
      <c r="DB246" s="77"/>
      <c r="DC246" s="195"/>
      <c r="DD246" s="599"/>
      <c r="DE246" s="599"/>
      <c r="DF246" s="600"/>
      <c r="DG246" s="600"/>
      <c r="DH246" s="600"/>
      <c r="DI246" s="1593"/>
      <c r="DJ246" s="1167"/>
      <c r="DK246" s="1163"/>
      <c r="DL246" s="77"/>
      <c r="DM246" s="77"/>
      <c r="DN246" s="88">
        <f>COUNTA(AB247,AE247,AJ247)</f>
        <v>0</v>
      </c>
      <c r="DO246" s="92" t="s">
        <v>1745</v>
      </c>
      <c r="DP246" s="92" t="s">
        <v>847</v>
      </c>
      <c r="DQ246" s="92" t="s">
        <v>848</v>
      </c>
      <c r="DV246" s="155" t="s">
        <v>1745</v>
      </c>
      <c r="DW246" s="155" t="s">
        <v>1876</v>
      </c>
      <c r="DX246" s="155" t="s">
        <v>1875</v>
      </c>
      <c r="DY246" s="155" t="s">
        <v>1878</v>
      </c>
      <c r="EA246" s="78" t="s">
        <v>3163</v>
      </c>
      <c r="EB246" s="1537" t="str">
        <f>IF(DQ245="レ",1,"")</f>
        <v/>
      </c>
      <c r="EG246" s="77"/>
      <c r="EH246" s="77"/>
      <c r="EI246" s="78" t="s">
        <v>3169</v>
      </c>
      <c r="EJ246" s="1649" t="str">
        <f>IF(DQ247="レ",1,"")</f>
        <v/>
      </c>
      <c r="EK246" s="77"/>
      <c r="FO246" s="579"/>
      <c r="FV246" s="77"/>
      <c r="FW246" s="77"/>
      <c r="FX246" s="77"/>
      <c r="FY246" s="77"/>
      <c r="FZ246" s="77"/>
      <c r="GA246" s="77"/>
    </row>
    <row r="247" spans="1:183" ht="27" customHeight="1" thickBot="1" x14ac:dyDescent="0.2">
      <c r="A247" s="1201"/>
      <c r="B247" s="1201"/>
      <c r="C247" s="1201"/>
      <c r="D247" s="1201"/>
      <c r="E247" s="1202"/>
      <c r="J247" s="1247"/>
      <c r="K247" s="624"/>
      <c r="L247" s="624"/>
      <c r="M247" s="2527"/>
      <c r="N247" s="2527"/>
      <c r="O247" s="2527"/>
      <c r="P247" s="2527"/>
      <c r="Q247" s="2527"/>
      <c r="R247" s="2527"/>
      <c r="S247" s="2498" t="s">
        <v>2188</v>
      </c>
      <c r="T247" s="2499"/>
      <c r="U247" s="2499"/>
      <c r="V247" s="2499"/>
      <c r="W247" s="2499"/>
      <c r="X247" s="2499"/>
      <c r="Y247" s="2499"/>
      <c r="Z247" s="2499"/>
      <c r="AA247" s="2499"/>
      <c r="AB247" s="2501"/>
      <c r="AC247" s="2501"/>
      <c r="AD247" s="2501"/>
      <c r="AE247" s="2822"/>
      <c r="AF247" s="2822"/>
      <c r="AG247" s="2822"/>
      <c r="AH247" s="1276" t="s">
        <v>12</v>
      </c>
      <c r="AI247" s="1276"/>
      <c r="AJ247" s="2822"/>
      <c r="AK247" s="2822"/>
      <c r="AL247" s="2822"/>
      <c r="AM247" s="1222" t="s">
        <v>893</v>
      </c>
      <c r="AN247" s="1222"/>
      <c r="AO247" s="1222" t="str">
        <f>IF(DN247=1,"実施済",IF(DN247=2,"実施予定",""))</f>
        <v/>
      </c>
      <c r="AP247" s="625"/>
      <c r="AQ247" s="625"/>
      <c r="AR247" s="625"/>
      <c r="AS247" s="1325" t="str">
        <f>IF(DN246&lt;3,IF(DN247=1,"←実施年月を入力してください",IF(DN247=2,"←実施予定年月を入力してください","")),"")</f>
        <v/>
      </c>
      <c r="AT247" s="625"/>
      <c r="AU247" s="625"/>
      <c r="AV247" s="625"/>
      <c r="AW247" s="625"/>
      <c r="AX247" s="625"/>
      <c r="AY247" s="625"/>
      <c r="AZ247" s="625"/>
      <c r="BA247" s="625"/>
      <c r="BB247" s="625"/>
      <c r="BC247" s="625"/>
      <c r="BD247" s="625"/>
      <c r="BE247" s="625"/>
      <c r="BF247" s="625"/>
      <c r="BG247" s="625"/>
      <c r="BH247" s="625"/>
      <c r="BI247" s="625"/>
      <c r="BJ247" s="625"/>
      <c r="BK247" s="625"/>
      <c r="BL247" s="625"/>
      <c r="BM247" s="625"/>
      <c r="BN247" s="625"/>
      <c r="BO247" s="625"/>
      <c r="BP247" s="625"/>
      <c r="BQ247" s="625"/>
      <c r="BR247" s="625"/>
      <c r="BS247" s="625"/>
      <c r="BT247" s="625"/>
      <c r="BU247" s="608"/>
      <c r="BV247" s="639"/>
      <c r="BW247" s="640"/>
      <c r="BX247" s="640"/>
      <c r="BY247" s="640"/>
      <c r="BZ247" s="640"/>
      <c r="CA247" s="640"/>
      <c r="CB247" s="640"/>
      <c r="CC247" s="640"/>
      <c r="CD247" s="640"/>
      <c r="CE247" s="640"/>
      <c r="CF247" s="640"/>
      <c r="CG247" s="640"/>
      <c r="CH247" s="640"/>
      <c r="CI247" s="640"/>
      <c r="CJ247" s="640"/>
      <c r="CK247" s="640"/>
      <c r="CL247" s="640"/>
      <c r="CM247" s="640"/>
      <c r="CN247" s="640"/>
      <c r="CO247" s="640"/>
      <c r="CP247" s="640"/>
      <c r="CQ247" s="640"/>
      <c r="CR247" s="640"/>
      <c r="CS247" s="640"/>
      <c r="CT247" s="640"/>
      <c r="CU247" s="641"/>
      <c r="CV247" s="1326"/>
      <c r="DD247" s="16"/>
      <c r="DE247" s="16"/>
      <c r="DF247" s="16"/>
      <c r="DG247" s="16"/>
      <c r="DH247" s="16"/>
      <c r="DI247" s="1593"/>
      <c r="DJ247" s="1163"/>
      <c r="DN247" s="385">
        <f>IFERROR(MATCH(AB246,DV246:DY246,0),9)</f>
        <v>9</v>
      </c>
      <c r="DO247" s="113" t="str">
        <f>IF($AB246="改修済","レ","")</f>
        <v/>
      </c>
      <c r="DP247" s="86" t="str">
        <f>IF(OR($AB246="未実施（実施予定あり）",$AB246="未実施（実施時期未定）"),"レ","")</f>
        <v/>
      </c>
      <c r="DQ247" s="86" t="str">
        <f>IF($AB246="対象外","レ","")</f>
        <v/>
      </c>
      <c r="EG247" s="77"/>
      <c r="EH247" s="77"/>
      <c r="EI247" s="77"/>
      <c r="EJ247" s="77"/>
      <c r="EK247" s="77"/>
      <c r="FV247" s="77"/>
      <c r="FW247" s="77"/>
      <c r="FX247" s="77"/>
      <c r="FY247" s="77"/>
      <c r="FZ247" s="77"/>
    </row>
    <row r="248" spans="1:183" ht="15" customHeight="1" x14ac:dyDescent="0.15">
      <c r="A248" s="1201"/>
      <c r="B248" s="1201"/>
      <c r="C248" s="1201"/>
      <c r="D248" s="1201"/>
      <c r="E248" s="1202"/>
      <c r="BU248" s="578"/>
      <c r="DD248" s="16"/>
      <c r="DE248" s="16"/>
      <c r="DF248" s="16"/>
      <c r="DG248" s="16"/>
      <c r="DH248" s="16"/>
      <c r="DI248" s="1593"/>
      <c r="DJ248" s="1163"/>
      <c r="EG248" s="77"/>
      <c r="EH248" s="77"/>
      <c r="EI248" s="77"/>
      <c r="EJ248" s="77"/>
      <c r="EK248" s="77"/>
      <c r="FV248" s="77"/>
      <c r="FW248" s="77"/>
      <c r="FX248" s="77"/>
      <c r="FY248" s="77"/>
      <c r="FZ248" s="77"/>
    </row>
    <row r="249" spans="1:183" ht="2.1" customHeight="1" x14ac:dyDescent="0.15">
      <c r="A249" s="1201"/>
      <c r="B249" s="1201"/>
      <c r="C249" s="1201"/>
      <c r="D249" s="1201"/>
      <c r="E249" s="1202"/>
      <c r="BU249" s="578"/>
      <c r="DD249" s="16"/>
      <c r="DE249" s="16"/>
      <c r="DF249" s="16"/>
      <c r="DG249" s="16"/>
      <c r="DH249" s="16"/>
      <c r="DI249" s="1593"/>
      <c r="DJ249" s="1163"/>
      <c r="EG249" s="77"/>
      <c r="EH249" s="77"/>
      <c r="EI249" s="77"/>
      <c r="EJ249" s="77"/>
      <c r="EK249" s="77"/>
      <c r="FV249" s="77"/>
      <c r="FW249" s="77"/>
      <c r="FX249" s="77"/>
      <c r="FY249" s="77"/>
      <c r="FZ249" s="77"/>
    </row>
    <row r="250" spans="1:183" ht="2.1" customHeight="1" x14ac:dyDescent="0.15">
      <c r="A250" s="1201"/>
      <c r="B250" s="1201"/>
      <c r="C250" s="1201"/>
      <c r="D250" s="1201"/>
      <c r="E250" s="1202"/>
      <c r="BU250" s="578"/>
      <c r="DD250" s="16"/>
      <c r="DE250" s="16"/>
      <c r="DF250" s="16"/>
      <c r="DG250" s="16"/>
      <c r="DH250" s="16"/>
      <c r="DI250" s="1593"/>
      <c r="DJ250" s="1163"/>
      <c r="EG250" s="77"/>
      <c r="EH250" s="77"/>
      <c r="EI250" s="77"/>
      <c r="EJ250" s="77"/>
      <c r="EK250" s="77"/>
      <c r="FV250" s="77"/>
      <c r="FW250" s="77"/>
      <c r="FX250" s="77"/>
      <c r="FY250" s="77"/>
      <c r="FZ250" s="77"/>
    </row>
    <row r="251" spans="1:183" ht="2.1" customHeight="1" thickBot="1" x14ac:dyDescent="0.2">
      <c r="A251" s="1201"/>
      <c r="B251" s="1201"/>
      <c r="C251" s="1201"/>
      <c r="D251" s="1201"/>
      <c r="E251" s="1202"/>
      <c r="BU251" s="578"/>
      <c r="DD251" s="16"/>
      <c r="DE251" s="16"/>
      <c r="DF251" s="16"/>
      <c r="DG251" s="16"/>
      <c r="DH251" s="16"/>
      <c r="DI251" s="1593"/>
      <c r="DJ251" s="1163"/>
      <c r="EG251" s="77"/>
      <c r="EH251" s="77"/>
      <c r="EI251" s="77"/>
      <c r="EJ251" s="77"/>
      <c r="EK251" s="77"/>
      <c r="FV251" s="77"/>
      <c r="FW251" s="77"/>
      <c r="FX251" s="77"/>
      <c r="FY251" s="77"/>
      <c r="FZ251" s="77"/>
    </row>
    <row r="252" spans="1:183" ht="35.1" customHeight="1" x14ac:dyDescent="0.55000000000000004">
      <c r="A252" s="1201"/>
      <c r="B252" s="1201"/>
      <c r="C252" s="1201"/>
      <c r="D252" s="1201"/>
      <c r="E252" s="1202"/>
      <c r="J252" s="2639" t="s">
        <v>1087</v>
      </c>
      <c r="K252" s="2640"/>
      <c r="L252" s="2640"/>
      <c r="M252" s="2640"/>
      <c r="N252" s="2640"/>
      <c r="O252" s="2640"/>
      <c r="P252" s="2640"/>
      <c r="Q252" s="2640"/>
      <c r="R252" s="2640"/>
      <c r="S252" s="2640"/>
      <c r="T252" s="2640"/>
      <c r="U252" s="2640"/>
      <c r="V252" s="2640"/>
      <c r="W252" s="2640"/>
      <c r="X252" s="2640"/>
      <c r="Y252" s="2640"/>
      <c r="Z252" s="2640"/>
      <c r="AA252" s="2640"/>
      <c r="AB252" s="2640"/>
      <c r="AC252" s="2640"/>
      <c r="AD252" s="2640"/>
      <c r="AE252" s="2641"/>
      <c r="AF252" s="2641"/>
      <c r="AG252" s="2642" t="s">
        <v>877</v>
      </c>
      <c r="AH252" s="2643"/>
      <c r="AI252" s="2643"/>
      <c r="AJ252" s="2643"/>
      <c r="AK252" s="2643"/>
      <c r="AL252" s="2643"/>
      <c r="AM252" s="2643"/>
      <c r="AN252" s="2643"/>
      <c r="AO252" s="2643"/>
      <c r="AP252" s="2643"/>
      <c r="AQ252" s="2643"/>
      <c r="AR252" s="2643"/>
      <c r="AS252" s="2643"/>
      <c r="AT252" s="2643"/>
      <c r="AU252" s="2643"/>
      <c r="AV252" s="2643"/>
      <c r="AW252" s="2643"/>
      <c r="AX252" s="2643"/>
      <c r="AY252" s="2643"/>
      <c r="AZ252" s="2643"/>
      <c r="BA252" s="2643"/>
      <c r="BB252" s="2643"/>
      <c r="BC252" s="2643"/>
      <c r="BD252" s="2643"/>
      <c r="BE252" s="2643"/>
      <c r="BF252" s="2643"/>
      <c r="BG252" s="2643"/>
      <c r="BH252" s="2643"/>
      <c r="BI252" s="1755"/>
      <c r="BJ252" s="1755"/>
      <c r="BK252" s="1755"/>
      <c r="BL252" s="1755"/>
      <c r="BM252" s="1755"/>
      <c r="BN252" s="1755"/>
      <c r="BO252" s="1755"/>
      <c r="BP252" s="1755"/>
      <c r="BQ252" s="1755"/>
      <c r="BR252" s="1755"/>
      <c r="BS252" s="1755"/>
      <c r="BT252" s="1756" t="s">
        <v>3176</v>
      </c>
      <c r="BU252" s="609"/>
      <c r="BV252" s="1191"/>
      <c r="BW252" s="1191"/>
      <c r="BX252" s="1191"/>
      <c r="BY252" s="400"/>
      <c r="BZ252" s="389"/>
      <c r="CA252" s="389"/>
      <c r="CB252" s="389"/>
      <c r="CC252" s="389"/>
      <c r="CD252" s="389"/>
      <c r="CE252" s="389"/>
      <c r="CF252" s="389"/>
      <c r="CG252" s="389"/>
      <c r="CH252" s="389"/>
      <c r="CI252" s="389"/>
      <c r="CJ252" s="389"/>
      <c r="CK252" s="389"/>
      <c r="CL252" s="389"/>
      <c r="CM252" s="389"/>
      <c r="CN252" s="1191"/>
      <c r="CO252" s="1191"/>
      <c r="CP252" s="1191"/>
      <c r="CQ252" s="1191"/>
      <c r="CR252" s="1191"/>
      <c r="CS252" s="1191"/>
      <c r="CT252" s="1191"/>
      <c r="CU252" s="1191"/>
      <c r="CV252" s="1326"/>
      <c r="DD252" s="16"/>
      <c r="DE252" s="16"/>
      <c r="DF252" s="84"/>
      <c r="DG252" s="84"/>
      <c r="DH252" s="84"/>
      <c r="DI252" s="1593"/>
      <c r="DJ252" s="1166"/>
      <c r="DO252" s="1757" t="s">
        <v>3177</v>
      </c>
      <c r="DR252" s="1752" t="s">
        <v>3178</v>
      </c>
      <c r="EA252" s="73" t="s">
        <v>883</v>
      </c>
      <c r="EG252" s="77"/>
      <c r="EH252" s="77"/>
      <c r="EI252" s="77"/>
      <c r="EJ252" s="77"/>
      <c r="EK252" s="77"/>
      <c r="FV252" s="77"/>
      <c r="FW252" s="77"/>
      <c r="FX252" s="77"/>
      <c r="FY252" s="77"/>
      <c r="FZ252" s="77"/>
    </row>
    <row r="253" spans="1:183" s="78" customFormat="1" ht="27" customHeight="1" x14ac:dyDescent="0.15">
      <c r="A253" s="1201"/>
      <c r="B253" s="1201"/>
      <c r="C253" s="1201"/>
      <c r="D253" s="1201"/>
      <c r="E253" s="1202"/>
      <c r="F253" s="652"/>
      <c r="G253" s="652"/>
      <c r="H253" s="652"/>
      <c r="I253" s="1249"/>
      <c r="J253" s="1215"/>
      <c r="K253" s="1216"/>
      <c r="L253" s="1216"/>
      <c r="M253" s="2243" t="s">
        <v>2760</v>
      </c>
      <c r="N253" s="2497"/>
      <c r="O253" s="2497"/>
      <c r="P253" s="2497"/>
      <c r="Q253" s="2497"/>
      <c r="R253" s="2497"/>
      <c r="S253" s="2497"/>
      <c r="T253" s="2497"/>
      <c r="U253" s="2497"/>
      <c r="V253" s="2497"/>
      <c r="W253" s="2497"/>
      <c r="X253" s="2497"/>
      <c r="Y253" s="2497"/>
      <c r="Z253" s="2497"/>
      <c r="AA253" s="2497"/>
      <c r="AB253" s="2581"/>
      <c r="AC253" s="2636"/>
      <c r="AD253" s="2636"/>
      <c r="AE253" s="1330" t="str">
        <f>IF(AB253="","←どちらかは必ず選んでください","")</f>
        <v>←どちらかは必ず選んでください</v>
      </c>
      <c r="AF253" s="1331"/>
      <c r="AG253" s="1250"/>
      <c r="AH253" s="1250"/>
      <c r="AI253" s="1250"/>
      <c r="AJ253" s="1250"/>
      <c r="AK253" s="1250"/>
      <c r="AL253" s="1250"/>
      <c r="AM253" s="1250"/>
      <c r="AN253" s="1250"/>
      <c r="AO253" s="1250"/>
      <c r="AP253" s="1250"/>
      <c r="AQ253" s="1250"/>
      <c r="AR253" s="1250"/>
      <c r="AS253" s="1250"/>
      <c r="AT253" s="1250"/>
      <c r="AU253" s="1250"/>
      <c r="AV253" s="1250"/>
      <c r="AW253" s="1250"/>
      <c r="AX253" s="1250"/>
      <c r="AY253" s="1250"/>
      <c r="AZ253" s="1250"/>
      <c r="BA253" s="1250"/>
      <c r="BB253" s="1250"/>
      <c r="BC253" s="1250"/>
      <c r="BD253" s="1250"/>
      <c r="BE253" s="1250"/>
      <c r="BF253" s="1250"/>
      <c r="BG253" s="1250"/>
      <c r="BH253" s="1250"/>
      <c r="BI253" s="1250"/>
      <c r="BJ253" s="1250"/>
      <c r="BK253" s="1250"/>
      <c r="BL253" s="1250"/>
      <c r="BM253" s="1250"/>
      <c r="BN253" s="1250"/>
      <c r="BO253" s="1250"/>
      <c r="BP253" s="1250"/>
      <c r="BQ253" s="1250"/>
      <c r="BR253" s="1250"/>
      <c r="BS253" s="1250"/>
      <c r="BT253" s="1250"/>
      <c r="BU253" s="395"/>
      <c r="BV253" s="1177"/>
      <c r="BW253" s="595" t="s">
        <v>1909</v>
      </c>
      <c r="BX253" s="1177"/>
      <c r="BY253" s="1177"/>
      <c r="BZ253" s="1177"/>
      <c r="CA253" s="1177"/>
      <c r="CB253" s="1177"/>
      <c r="CC253" s="1188"/>
      <c r="CD253" s="2154" t="s">
        <v>2757</v>
      </c>
      <c r="CE253" s="2154"/>
      <c r="CF253" s="2154"/>
      <c r="CG253" s="2154"/>
      <c r="CH253" s="2154"/>
      <c r="CI253" s="2154"/>
      <c r="CJ253" s="2154"/>
      <c r="CK253" s="2154"/>
      <c r="CL253" s="2154"/>
      <c r="CM253" s="2154"/>
      <c r="CN253" s="2154"/>
      <c r="CO253" s="2154"/>
      <c r="CP253" s="2154"/>
      <c r="CQ253" s="2154"/>
      <c r="CR253" s="2154"/>
      <c r="CS253" s="2154"/>
      <c r="CT253" s="1180"/>
      <c r="CU253" s="1177"/>
      <c r="CV253" s="1328"/>
      <c r="CW253" s="578"/>
      <c r="CX253" s="77"/>
      <c r="CY253" s="77"/>
      <c r="CZ253" s="77"/>
      <c r="DA253" s="77"/>
      <c r="DB253" s="207"/>
      <c r="DC253" s="15"/>
      <c r="DD253" s="16"/>
      <c r="DE253" s="16"/>
      <c r="DF253" s="84"/>
      <c r="DG253" s="84"/>
      <c r="DH253" s="84"/>
      <c r="DI253" s="1593"/>
      <c r="DJ253" s="1166"/>
      <c r="DK253" s="1163"/>
      <c r="DL253" s="77"/>
      <c r="DM253" s="72"/>
      <c r="DN253" s="72"/>
      <c r="DO253" s="92" t="s">
        <v>831</v>
      </c>
      <c r="DP253" s="92" t="s">
        <v>849</v>
      </c>
      <c r="DQ253" s="77"/>
      <c r="DR253" s="92" t="s">
        <v>831</v>
      </c>
      <c r="DS253" s="92" t="s">
        <v>849</v>
      </c>
      <c r="EG253" s="77"/>
      <c r="EH253" s="77"/>
      <c r="EI253" s="77"/>
      <c r="EJ253" s="77"/>
      <c r="EK253" s="77"/>
      <c r="FO253" s="579"/>
      <c r="FV253" s="77"/>
      <c r="FW253" s="77"/>
      <c r="FX253" s="77"/>
      <c r="FY253" s="77"/>
      <c r="FZ253" s="77"/>
      <c r="GA253" s="77"/>
    </row>
    <row r="254" spans="1:183" s="78" customFormat="1" ht="27" customHeight="1" x14ac:dyDescent="0.15">
      <c r="A254" s="1201"/>
      <c r="B254" s="1201"/>
      <c r="C254" s="1201"/>
      <c r="D254" s="1201"/>
      <c r="E254" s="1202"/>
      <c r="F254" s="652"/>
      <c r="G254" s="652"/>
      <c r="H254" s="652"/>
      <c r="I254" s="1249"/>
      <c r="J254" s="1215"/>
      <c r="K254" s="1216"/>
      <c r="L254" s="1216"/>
      <c r="M254" s="2243" t="s">
        <v>295</v>
      </c>
      <c r="N254" s="2497"/>
      <c r="O254" s="2497"/>
      <c r="P254" s="2497"/>
      <c r="Q254" s="2497"/>
      <c r="R254" s="2497"/>
      <c r="S254" s="2497"/>
      <c r="T254" s="2497"/>
      <c r="U254" s="2497"/>
      <c r="V254" s="2497"/>
      <c r="W254" s="2497"/>
      <c r="X254" s="2497"/>
      <c r="Y254" s="2497"/>
      <c r="Z254" s="2497"/>
      <c r="AA254" s="2497"/>
      <c r="AB254" s="2185"/>
      <c r="AC254" s="2628"/>
      <c r="AD254" s="2628"/>
      <c r="AE254" s="1266"/>
      <c r="AF254" s="1266"/>
      <c r="AG254" s="1255"/>
      <c r="AH254" s="1255"/>
      <c r="AI254" s="1255"/>
      <c r="AJ254" s="1255"/>
      <c r="AK254" s="1255"/>
      <c r="AL254" s="1255"/>
      <c r="AM254" s="1255"/>
      <c r="AN254" s="1255"/>
      <c r="AO254" s="1255"/>
      <c r="AP254" s="1255"/>
      <c r="AQ254" s="1255"/>
      <c r="AR254" s="1255"/>
      <c r="AS254" s="1255"/>
      <c r="AT254" s="1255"/>
      <c r="AU254" s="1255"/>
      <c r="AV254" s="1255"/>
      <c r="AW254" s="1255"/>
      <c r="AX254" s="1255"/>
      <c r="AY254" s="1255"/>
      <c r="AZ254" s="1255"/>
      <c r="BA254" s="1255"/>
      <c r="BB254" s="1255"/>
      <c r="BC254" s="1255"/>
      <c r="BD254" s="1255"/>
      <c r="BE254" s="1255"/>
      <c r="BF254" s="1255"/>
      <c r="BG254" s="1255"/>
      <c r="BH254" s="1216"/>
      <c r="BI254" s="1216"/>
      <c r="BJ254" s="1216"/>
      <c r="BK254" s="1216"/>
      <c r="BL254" s="1216"/>
      <c r="BM254" s="1216"/>
      <c r="BN254" s="1216"/>
      <c r="BO254" s="1216"/>
      <c r="BP254" s="1216"/>
      <c r="BQ254" s="1216"/>
      <c r="BR254" s="1216"/>
      <c r="BS254" s="1216"/>
      <c r="BT254" s="1216"/>
      <c r="BU254" s="395"/>
      <c r="BV254" s="1177"/>
      <c r="BW254" s="1177"/>
      <c r="BX254" s="1177"/>
      <c r="BY254" s="1177"/>
      <c r="BZ254" s="1177"/>
      <c r="CA254" s="1177"/>
      <c r="CB254" s="1177"/>
      <c r="CC254" s="1188"/>
      <c r="CD254" s="2154"/>
      <c r="CE254" s="2154"/>
      <c r="CF254" s="2154"/>
      <c r="CG254" s="2154"/>
      <c r="CH254" s="2154"/>
      <c r="CI254" s="2154"/>
      <c r="CJ254" s="2154"/>
      <c r="CK254" s="2154"/>
      <c r="CL254" s="2154"/>
      <c r="CM254" s="2154"/>
      <c r="CN254" s="2154"/>
      <c r="CO254" s="2154"/>
      <c r="CP254" s="2154"/>
      <c r="CQ254" s="2154"/>
      <c r="CR254" s="2154"/>
      <c r="CS254" s="2154"/>
      <c r="CT254" s="1180"/>
      <c r="CU254" s="1177"/>
      <c r="CV254" s="1328"/>
      <c r="CW254" s="578"/>
      <c r="CX254" s="77"/>
      <c r="CY254" s="77"/>
      <c r="CZ254" s="77"/>
      <c r="DA254" s="77"/>
      <c r="DB254" s="77"/>
      <c r="DC254" s="195"/>
      <c r="DD254" s="599"/>
      <c r="DE254" s="599"/>
      <c r="DF254" s="600"/>
      <c r="DG254" s="600"/>
      <c r="DH254" s="600"/>
      <c r="DI254" s="1593"/>
      <c r="DJ254" s="1167"/>
      <c r="DK254" s="1601"/>
      <c r="DL254" s="77"/>
      <c r="DM254" s="72"/>
      <c r="DN254" s="72"/>
      <c r="DO254" s="1648" t="str">
        <f>IF($AB253="有","レ","")</f>
        <v/>
      </c>
      <c r="DP254" s="1648" t="str">
        <f>IF($AB253="無","レ","")</f>
        <v/>
      </c>
      <c r="DQ254" s="77"/>
      <c r="DR254" s="1447" t="str">
        <f>IF(AB254="有","レ","")</f>
        <v/>
      </c>
      <c r="DS254" s="1447" t="str">
        <f>IF(AB254="無","レ","")</f>
        <v/>
      </c>
      <c r="DY254" s="78" t="s">
        <v>1632</v>
      </c>
      <c r="DZ254" s="78" t="s">
        <v>1632</v>
      </c>
      <c r="EG254" s="77"/>
      <c r="EH254" s="77"/>
      <c r="EI254" s="77"/>
      <c r="EJ254" s="77"/>
      <c r="EK254" s="77"/>
      <c r="FO254" s="579"/>
      <c r="FV254" s="77"/>
      <c r="FW254" s="77"/>
      <c r="FX254" s="77"/>
      <c r="FY254" s="77"/>
      <c r="FZ254" s="77"/>
      <c r="GA254" s="77"/>
    </row>
    <row r="255" spans="1:183" s="78" customFormat="1" ht="30" customHeight="1" x14ac:dyDescent="0.15">
      <c r="A255" s="1201"/>
      <c r="B255" s="1201"/>
      <c r="C255" s="1201"/>
      <c r="D255" s="1201"/>
      <c r="E255" s="1202"/>
      <c r="F255" s="652"/>
      <c r="G255" s="652"/>
      <c r="H255" s="652"/>
      <c r="I255" s="1206"/>
      <c r="J255" s="1215"/>
      <c r="K255" s="1216"/>
      <c r="L255" s="1216"/>
      <c r="M255" s="2514" t="s">
        <v>350</v>
      </c>
      <c r="N255" s="2514"/>
      <c r="O255" s="2514"/>
      <c r="P255" s="2514"/>
      <c r="Q255" s="2514"/>
      <c r="R255" s="2514"/>
      <c r="S255" s="2514"/>
      <c r="T255" s="2514"/>
      <c r="U255" s="2514"/>
      <c r="V255" s="2654" t="s">
        <v>351</v>
      </c>
      <c r="W255" s="2654"/>
      <c r="X255" s="2654"/>
      <c r="Y255" s="2654"/>
      <c r="Z255" s="2654"/>
      <c r="AA255" s="2654"/>
      <c r="AB255" s="2654"/>
      <c r="AC255" s="2654"/>
      <c r="AD255" s="2654"/>
      <c r="AE255" s="2654"/>
      <c r="AF255" s="2654"/>
      <c r="AG255" s="2654"/>
      <c r="AH255" s="2637" t="s">
        <v>1233</v>
      </c>
      <c r="AI255" s="2637"/>
      <c r="AJ255" s="2637"/>
      <c r="AK255" s="2637"/>
      <c r="AL255" s="2637"/>
      <c r="AM255" s="2637"/>
      <c r="AN255" s="2637"/>
      <c r="AO255" s="2637"/>
      <c r="AP255" s="2637"/>
      <c r="AQ255" s="2637"/>
      <c r="AR255" s="2637"/>
      <c r="AS255" s="2637"/>
      <c r="AT255" s="2637" t="s">
        <v>878</v>
      </c>
      <c r="AU255" s="2637"/>
      <c r="AV255" s="2637"/>
      <c r="AW255" s="2637"/>
      <c r="AX255" s="2637"/>
      <c r="AY255" s="2637"/>
      <c r="AZ255" s="2654" t="s">
        <v>891</v>
      </c>
      <c r="BA255" s="2654"/>
      <c r="BB255" s="2654"/>
      <c r="BC255" s="2654"/>
      <c r="BD255" s="2654"/>
      <c r="BE255" s="2654"/>
      <c r="BF255" s="2243" t="s">
        <v>879</v>
      </c>
      <c r="BG255" s="2344"/>
      <c r="BH255" s="2344"/>
      <c r="BI255" s="2344"/>
      <c r="BJ255" s="2344"/>
      <c r="BK255" s="2344"/>
      <c r="BL255" s="2344"/>
      <c r="BM255" s="2344"/>
      <c r="BN255" s="2344"/>
      <c r="BO255" s="2344"/>
      <c r="BP255" s="2344"/>
      <c r="BQ255" s="2344"/>
      <c r="BR255" s="2344"/>
      <c r="BS255" s="2344"/>
      <c r="BT255" s="2344"/>
      <c r="BU255" s="395"/>
      <c r="BV255" s="1177"/>
      <c r="BW255" s="1177"/>
      <c r="BX255" s="1177"/>
      <c r="BY255" s="1177"/>
      <c r="BZ255" s="1177"/>
      <c r="CA255" s="1177"/>
      <c r="CB255" s="1177"/>
      <c r="CC255" s="1188"/>
      <c r="CD255" s="2154"/>
      <c r="CE255" s="2154"/>
      <c r="CF255" s="2154"/>
      <c r="CG255" s="2154"/>
      <c r="CH255" s="2154"/>
      <c r="CI255" s="2154"/>
      <c r="CJ255" s="2154"/>
      <c r="CK255" s="2154"/>
      <c r="CL255" s="2154"/>
      <c r="CM255" s="2154"/>
      <c r="CN255" s="2154"/>
      <c r="CO255" s="2154"/>
      <c r="CP255" s="2154"/>
      <c r="CQ255" s="2154"/>
      <c r="CR255" s="2154"/>
      <c r="CS255" s="2154"/>
      <c r="CT255" s="1180"/>
      <c r="CU255" s="1177"/>
      <c r="CV255" s="1326"/>
      <c r="CW255" s="388"/>
      <c r="CX255" s="207"/>
      <c r="CY255" s="207"/>
      <c r="CZ255" s="207"/>
      <c r="DA255" s="207"/>
      <c r="DB255" s="207"/>
      <c r="DC255" s="15"/>
      <c r="DD255" s="16"/>
      <c r="DE255" s="16"/>
      <c r="DF255" s="16"/>
      <c r="DG255" s="16"/>
      <c r="DH255" s="16"/>
      <c r="DI255" s="1593"/>
      <c r="DJ255" s="1163"/>
      <c r="DK255" s="1163"/>
      <c r="DL255" s="77"/>
      <c r="DM255" s="157"/>
      <c r="DN255" s="77"/>
      <c r="DO255" s="225" t="s">
        <v>1069</v>
      </c>
      <c r="DP255" s="220"/>
      <c r="DQ255" s="113"/>
      <c r="DS255" s="78" t="s">
        <v>885</v>
      </c>
      <c r="DU255" s="78" t="s">
        <v>894</v>
      </c>
      <c r="DW255" s="2854" t="s">
        <v>1070</v>
      </c>
      <c r="DX255" s="2855"/>
      <c r="DY255" s="40" t="str">
        <f>SUBSTITUTE(TRIM(V257&amp;"　"&amp;V258&amp;"　"&amp;V259&amp;"　"&amp;V260&amp;"　"&amp;V261),"　",",")</f>
        <v/>
      </c>
      <c r="DZ255" s="40" t="str">
        <f>SUBSTITUTE(TRIM(BF257&amp;"　"&amp;BF258&amp;"　"&amp;BF259&amp;"　"&amp;BF260&amp;"　"&amp;BF261),"　",",")</f>
        <v/>
      </c>
      <c r="EG255" s="77"/>
      <c r="EH255" s="77"/>
      <c r="EI255" s="77"/>
      <c r="EJ255" s="77"/>
      <c r="EK255" s="77"/>
      <c r="FO255" s="579"/>
      <c r="FV255" s="77"/>
      <c r="FW255" s="77"/>
      <c r="FX255" s="77"/>
      <c r="FY255" s="77"/>
      <c r="FZ255" s="77"/>
      <c r="GA255" s="77"/>
    </row>
    <row r="256" spans="1:183" s="78" customFormat="1" ht="27" customHeight="1" x14ac:dyDescent="0.15">
      <c r="A256" s="1201"/>
      <c r="B256" s="1201"/>
      <c r="C256" s="1201"/>
      <c r="D256" s="1201"/>
      <c r="E256" s="1202"/>
      <c r="F256" s="652"/>
      <c r="G256" s="652"/>
      <c r="H256" s="652"/>
      <c r="I256" s="1206"/>
      <c r="J256" s="1215"/>
      <c r="K256" s="1216"/>
      <c r="L256" s="1216"/>
      <c r="M256" s="2655" t="s">
        <v>12</v>
      </c>
      <c r="N256" s="2655"/>
      <c r="O256" s="2655"/>
      <c r="P256" s="2655"/>
      <c r="Q256" s="2655"/>
      <c r="R256" s="2655"/>
      <c r="S256" s="2655" t="s">
        <v>348</v>
      </c>
      <c r="T256" s="2655"/>
      <c r="U256" s="2655"/>
      <c r="V256" s="2655"/>
      <c r="W256" s="2655"/>
      <c r="X256" s="2655"/>
      <c r="Y256" s="2655"/>
      <c r="Z256" s="2655"/>
      <c r="AA256" s="2655"/>
      <c r="AB256" s="2655"/>
      <c r="AC256" s="2655"/>
      <c r="AD256" s="2655"/>
      <c r="AE256" s="2655"/>
      <c r="AF256" s="2655"/>
      <c r="AG256" s="2655"/>
      <c r="AH256" s="2638"/>
      <c r="AI256" s="2638"/>
      <c r="AJ256" s="2638"/>
      <c r="AK256" s="2638"/>
      <c r="AL256" s="2638"/>
      <c r="AM256" s="2638"/>
      <c r="AN256" s="2638"/>
      <c r="AO256" s="2638"/>
      <c r="AP256" s="2638"/>
      <c r="AQ256" s="2638"/>
      <c r="AR256" s="2638"/>
      <c r="AS256" s="2638"/>
      <c r="AT256" s="2638"/>
      <c r="AU256" s="2638"/>
      <c r="AV256" s="2638"/>
      <c r="AW256" s="2638"/>
      <c r="AX256" s="2638"/>
      <c r="AY256" s="2638"/>
      <c r="AZ256" s="2835" t="s">
        <v>1234</v>
      </c>
      <c r="BA256" s="2836"/>
      <c r="BB256" s="2836"/>
      <c r="BC256" s="2365" t="s">
        <v>348</v>
      </c>
      <c r="BD256" s="2365"/>
      <c r="BE256" s="2365"/>
      <c r="BF256" s="2344"/>
      <c r="BG256" s="2344"/>
      <c r="BH256" s="2344"/>
      <c r="BI256" s="2344"/>
      <c r="BJ256" s="2344"/>
      <c r="BK256" s="2344"/>
      <c r="BL256" s="2344"/>
      <c r="BM256" s="2344"/>
      <c r="BN256" s="2344"/>
      <c r="BO256" s="2344"/>
      <c r="BP256" s="2344"/>
      <c r="BQ256" s="2344"/>
      <c r="BR256" s="2344"/>
      <c r="BS256" s="2344"/>
      <c r="BT256" s="2344"/>
      <c r="BU256" s="395"/>
      <c r="BV256" s="1177"/>
      <c r="BW256" s="1177"/>
      <c r="BX256" s="1177"/>
      <c r="BY256" s="1177"/>
      <c r="BZ256" s="1177"/>
      <c r="CA256" s="1177"/>
      <c r="CB256" s="1177"/>
      <c r="CC256" s="1188"/>
      <c r="CD256" s="2154"/>
      <c r="CE256" s="2154"/>
      <c r="CF256" s="2154"/>
      <c r="CG256" s="2154"/>
      <c r="CH256" s="2154"/>
      <c r="CI256" s="2154"/>
      <c r="CJ256" s="2154"/>
      <c r="CK256" s="2154"/>
      <c r="CL256" s="2154"/>
      <c r="CM256" s="2154"/>
      <c r="CN256" s="2154"/>
      <c r="CO256" s="2154"/>
      <c r="CP256" s="2154"/>
      <c r="CQ256" s="2154"/>
      <c r="CR256" s="2154"/>
      <c r="CS256" s="2154"/>
      <c r="CT256" s="1177"/>
      <c r="CU256" s="1177"/>
      <c r="CV256" s="1326"/>
      <c r="CW256" s="388"/>
      <c r="CX256" s="207"/>
      <c r="CY256" s="207"/>
      <c r="CZ256" s="207"/>
      <c r="DA256" s="207"/>
      <c r="DB256" s="207"/>
      <c r="DC256" s="15"/>
      <c r="DD256" s="16"/>
      <c r="DE256" s="16"/>
      <c r="DF256" s="16"/>
      <c r="DG256" s="16"/>
      <c r="DH256" s="16"/>
      <c r="DI256" s="1593"/>
      <c r="DJ256" s="1163" t="s">
        <v>2752</v>
      </c>
      <c r="DK256" s="1163" t="s">
        <v>2751</v>
      </c>
      <c r="DL256" s="77"/>
      <c r="DM256" s="229" t="s">
        <v>718</v>
      </c>
      <c r="DN256" s="86" t="s">
        <v>880</v>
      </c>
      <c r="DO256" s="226" t="s">
        <v>884</v>
      </c>
      <c r="DP256" s="226" t="s">
        <v>885</v>
      </c>
      <c r="DQ256" s="226" t="s">
        <v>886</v>
      </c>
      <c r="DR256" s="153" t="s">
        <v>1068</v>
      </c>
      <c r="DS256" s="112" t="s">
        <v>892</v>
      </c>
      <c r="DT256" s="92" t="s">
        <v>893</v>
      </c>
      <c r="DU256" s="112" t="s">
        <v>892</v>
      </c>
      <c r="DV256" s="92" t="s">
        <v>893</v>
      </c>
      <c r="DW256" s="92" t="s">
        <v>1071</v>
      </c>
      <c r="DX256" s="92" t="s">
        <v>1072</v>
      </c>
      <c r="DY256" s="92" t="s">
        <v>1610</v>
      </c>
      <c r="EG256" s="77"/>
      <c r="EH256" s="77"/>
      <c r="EI256" s="77"/>
      <c r="EJ256" s="77"/>
      <c r="EK256" s="77"/>
      <c r="FO256" s="579"/>
      <c r="FV256" s="77"/>
      <c r="FW256" s="77"/>
      <c r="FX256" s="77"/>
      <c r="FY256" s="77"/>
      <c r="FZ256" s="77"/>
      <c r="GA256" s="77"/>
    </row>
    <row r="257" spans="1:183" s="78" customFormat="1" ht="27" customHeight="1" x14ac:dyDescent="0.15">
      <c r="A257" s="1201"/>
      <c r="B257" s="1201"/>
      <c r="C257" s="1201"/>
      <c r="D257" s="1201"/>
      <c r="E257" s="1202"/>
      <c r="F257" s="652"/>
      <c r="G257" s="652"/>
      <c r="H257" s="652"/>
      <c r="I257" s="1206"/>
      <c r="J257" s="1215"/>
      <c r="K257" s="1216"/>
      <c r="L257" s="1216"/>
      <c r="M257" s="2652"/>
      <c r="N257" s="2652"/>
      <c r="O257" s="2653"/>
      <c r="P257" s="2632"/>
      <c r="Q257" s="2463"/>
      <c r="R257" s="2463"/>
      <c r="S257" s="2823"/>
      <c r="T257" s="2271"/>
      <c r="U257" s="2271"/>
      <c r="V257" s="2547"/>
      <c r="W257" s="2547"/>
      <c r="X257" s="2547"/>
      <c r="Y257" s="2547"/>
      <c r="Z257" s="2547"/>
      <c r="AA257" s="2547"/>
      <c r="AB257" s="2547"/>
      <c r="AC257" s="2547"/>
      <c r="AD257" s="2547"/>
      <c r="AE257" s="2547"/>
      <c r="AF257" s="2547"/>
      <c r="AG257" s="2547"/>
      <c r="AH257" s="2547"/>
      <c r="AI257" s="2547"/>
      <c r="AJ257" s="2547"/>
      <c r="AK257" s="2547"/>
      <c r="AL257" s="2547"/>
      <c r="AM257" s="2547"/>
      <c r="AN257" s="2547"/>
      <c r="AO257" s="2547"/>
      <c r="AP257" s="2547"/>
      <c r="AQ257" s="2547"/>
      <c r="AR257" s="2547"/>
      <c r="AS257" s="2547"/>
      <c r="AT257" s="2837"/>
      <c r="AU257" s="2838"/>
      <c r="AV257" s="2838"/>
      <c r="AW257" s="2838"/>
      <c r="AX257" s="2838"/>
      <c r="AY257" s="2839"/>
      <c r="AZ257" s="2823"/>
      <c r="BA257" s="2271"/>
      <c r="BB257" s="2271"/>
      <c r="BC257" s="2500"/>
      <c r="BD257" s="2500"/>
      <c r="BE257" s="2500"/>
      <c r="BF257" s="2547"/>
      <c r="BG257" s="2272"/>
      <c r="BH257" s="2272"/>
      <c r="BI257" s="2272"/>
      <c r="BJ257" s="2272"/>
      <c r="BK257" s="2272"/>
      <c r="BL257" s="2272"/>
      <c r="BM257" s="2272"/>
      <c r="BN257" s="2272"/>
      <c r="BO257" s="2272"/>
      <c r="BP257" s="2272"/>
      <c r="BQ257" s="2272"/>
      <c r="BR257" s="2272"/>
      <c r="BS257" s="2272"/>
      <c r="BT257" s="2824"/>
      <c r="BU257" s="395"/>
      <c r="BV257" s="617" t="s">
        <v>1844</v>
      </c>
      <c r="BW257" s="2141" t="s">
        <v>1927</v>
      </c>
      <c r="BX257" s="2141"/>
      <c r="BY257" s="2141"/>
      <c r="BZ257" s="2141"/>
      <c r="CA257" s="2141"/>
      <c r="CB257" s="2141"/>
      <c r="CC257" s="2141"/>
      <c r="CD257" s="2141"/>
      <c r="CE257" s="2141"/>
      <c r="CF257" s="2141"/>
      <c r="CG257" s="2141"/>
      <c r="CH257" s="2141"/>
      <c r="CI257" s="2141"/>
      <c r="CJ257" s="2141"/>
      <c r="CK257" s="2141"/>
      <c r="CL257" s="2141"/>
      <c r="CM257" s="2141"/>
      <c r="CN257" s="2141"/>
      <c r="CO257" s="2141"/>
      <c r="CP257" s="2141"/>
      <c r="CQ257" s="2141"/>
      <c r="CR257" s="2141"/>
      <c r="CS257" s="2141"/>
      <c r="CT257" s="1177"/>
      <c r="CU257" s="1177"/>
      <c r="CV257" s="1326"/>
      <c r="CW257" s="388"/>
      <c r="CX257" s="207"/>
      <c r="CY257" s="207"/>
      <c r="CZ257" s="207"/>
      <c r="DA257" s="207"/>
      <c r="DB257" s="207"/>
      <c r="DC257" s="15"/>
      <c r="DD257" s="16"/>
      <c r="DE257" s="16"/>
      <c r="DF257" s="16"/>
      <c r="DG257" s="16"/>
      <c r="DH257" s="16"/>
      <c r="DI257" s="1593"/>
      <c r="DJ257" s="1168" t="s">
        <v>2749</v>
      </c>
      <c r="DK257" s="1602" t="str">
        <f>IF(COUNTA(AZ257:BC257)=2,DATE(VLOOKUP(DJ257,$DU$6:$DV$9,2,FALSE)+AZ257,BC257,1),"")</f>
        <v/>
      </c>
      <c r="DL257" s="77"/>
      <c r="DM257" s="227">
        <f>COUNTA(P257:AY257)+COUNTA(BF257)</f>
        <v>0</v>
      </c>
      <c r="DN257" s="228">
        <f>COUNTA(P257:U257)</f>
        <v>0</v>
      </c>
      <c r="DO257" s="113">
        <f>COUNTIF($AT257:$AY261,"実施済")</f>
        <v>0</v>
      </c>
      <c r="DP257" s="86">
        <f>COUNTIF($AT257:$AY261,"改善予定")</f>
        <v>0</v>
      </c>
      <c r="DQ257" s="154">
        <f>COUNTIF($AT257:$AY261,"予定なし")</f>
        <v>0</v>
      </c>
      <c r="DR257" s="155">
        <f>COUNTA(AZ257:BE257)</f>
        <v>0</v>
      </c>
      <c r="DS257" s="37" t="str">
        <f>IF(AND($AT257="改善予定",$DN257=2),DK257,"")</f>
        <v/>
      </c>
      <c r="DT257" s="41" t="str">
        <f>IF(DS257="","0",DS257)</f>
        <v>0</v>
      </c>
      <c r="DU257" s="37" t="str">
        <f>IF(AND($AT257="実施済",$DN257=2),DK257,"")</f>
        <v/>
      </c>
      <c r="DV257" s="41" t="str">
        <f>IF(DU257="","0",DU257)</f>
        <v>0</v>
      </c>
      <c r="DW257" s="155">
        <f>IF(OR(AT257="実施済",AT257="改善予定"),1,0)</f>
        <v>0</v>
      </c>
      <c r="DX257" s="155">
        <f>IF(AND(AB253="有",AFW257=1),1,0)</f>
        <v>0</v>
      </c>
      <c r="DY257" s="155">
        <f>IF(AT257="予定なし",1,0)</f>
        <v>0</v>
      </c>
      <c r="EG257" s="73"/>
      <c r="EH257" s="73"/>
      <c r="EI257" s="73"/>
      <c r="EJ257" s="73"/>
      <c r="EK257" s="73"/>
      <c r="FO257" s="579"/>
      <c r="FV257" s="73"/>
      <c r="FW257" s="73"/>
      <c r="FX257" s="73"/>
      <c r="FY257" s="73"/>
      <c r="FZ257" s="73"/>
      <c r="GA257" s="77"/>
    </row>
    <row r="258" spans="1:183" s="78" customFormat="1" ht="27" customHeight="1" x14ac:dyDescent="0.15">
      <c r="A258" s="1201"/>
      <c r="B258" s="1201"/>
      <c r="C258" s="1201"/>
      <c r="D258" s="1201"/>
      <c r="E258" s="1202"/>
      <c r="F258" s="652"/>
      <c r="G258" s="652"/>
      <c r="H258" s="652"/>
      <c r="I258" s="1206"/>
      <c r="J258" s="1215"/>
      <c r="K258" s="1216"/>
      <c r="L258" s="1216"/>
      <c r="M258" s="2825"/>
      <c r="N258" s="2825"/>
      <c r="O258" s="2826"/>
      <c r="P258" s="2512"/>
      <c r="Q258" s="2512"/>
      <c r="R258" s="2512"/>
      <c r="S258" s="2512"/>
      <c r="T258" s="2512"/>
      <c r="U258" s="2512"/>
      <c r="V258" s="2512"/>
      <c r="W258" s="2512"/>
      <c r="X258" s="2512"/>
      <c r="Y258" s="2512"/>
      <c r="Z258" s="2512"/>
      <c r="AA258" s="2512"/>
      <c r="AB258" s="2512"/>
      <c r="AC258" s="2512"/>
      <c r="AD258" s="2512"/>
      <c r="AE258" s="2512"/>
      <c r="AF258" s="2512"/>
      <c r="AG258" s="2512"/>
      <c r="AH258" s="2512"/>
      <c r="AI258" s="2512"/>
      <c r="AJ258" s="2512"/>
      <c r="AK258" s="2512"/>
      <c r="AL258" s="2512"/>
      <c r="AM258" s="2512"/>
      <c r="AN258" s="2512"/>
      <c r="AO258" s="2512"/>
      <c r="AP258" s="2512"/>
      <c r="AQ258" s="2512"/>
      <c r="AR258" s="2512"/>
      <c r="AS258" s="2512"/>
      <c r="AT258" s="2840"/>
      <c r="AU258" s="2841"/>
      <c r="AV258" s="2841"/>
      <c r="AW258" s="2841"/>
      <c r="AX258" s="2841"/>
      <c r="AY258" s="2842"/>
      <c r="AZ258" s="2512"/>
      <c r="BA258" s="2269"/>
      <c r="BB258" s="2269"/>
      <c r="BC258" s="2631"/>
      <c r="BD258" s="2631"/>
      <c r="BE258" s="2631"/>
      <c r="BF258" s="2512"/>
      <c r="BG258" s="2512"/>
      <c r="BH258" s="2512"/>
      <c r="BI258" s="2269"/>
      <c r="BJ258" s="2269"/>
      <c r="BK258" s="2269"/>
      <c r="BL258" s="2269"/>
      <c r="BM258" s="2269"/>
      <c r="BN258" s="2269"/>
      <c r="BO258" s="2269"/>
      <c r="BP258" s="2269"/>
      <c r="BQ258" s="2269"/>
      <c r="BR258" s="2269"/>
      <c r="BS258" s="2269"/>
      <c r="BT258" s="2380"/>
      <c r="BU258" s="395"/>
      <c r="BV258" s="1177"/>
      <c r="BW258" s="2141"/>
      <c r="BX258" s="2141"/>
      <c r="BY258" s="2141"/>
      <c r="BZ258" s="2141"/>
      <c r="CA258" s="2141"/>
      <c r="CB258" s="2141"/>
      <c r="CC258" s="2141"/>
      <c r="CD258" s="2141"/>
      <c r="CE258" s="2141"/>
      <c r="CF258" s="2141"/>
      <c r="CG258" s="2141"/>
      <c r="CH258" s="2141"/>
      <c r="CI258" s="2141"/>
      <c r="CJ258" s="2141"/>
      <c r="CK258" s="2141"/>
      <c r="CL258" s="2141"/>
      <c r="CM258" s="2141"/>
      <c r="CN258" s="2141"/>
      <c r="CO258" s="2141"/>
      <c r="CP258" s="2141"/>
      <c r="CQ258" s="2141"/>
      <c r="CR258" s="2141"/>
      <c r="CS258" s="2141"/>
      <c r="CT258" s="1177"/>
      <c r="CU258" s="1177"/>
      <c r="CV258" s="1326"/>
      <c r="CW258" s="388"/>
      <c r="CX258" s="207"/>
      <c r="CY258" s="207"/>
      <c r="CZ258" s="207"/>
      <c r="DA258" s="207"/>
      <c r="DB258" s="207"/>
      <c r="DC258" s="15"/>
      <c r="DD258" s="16"/>
      <c r="DE258" s="16"/>
      <c r="DF258" s="16"/>
      <c r="DG258" s="16"/>
      <c r="DH258" s="16"/>
      <c r="DI258" s="1593"/>
      <c r="DJ258" s="1168" t="s">
        <v>2749</v>
      </c>
      <c r="DK258" s="1168" t="str">
        <f>IF(COUNTA(AZ258:BC258)=2,DATE(VLOOKUP(DJ258,$DU$6:$DV$9,2,FALSE)+AZ258,BC258,1),"")</f>
        <v/>
      </c>
      <c r="DL258" s="77"/>
      <c r="DM258" s="158">
        <f>COUNTA(P258:AY258)+COUNTA(BF258)</f>
        <v>0</v>
      </c>
      <c r="DN258" s="114">
        <f>COUNTA(P258:U258)</f>
        <v>0</v>
      </c>
      <c r="DO258" s="1758" t="str">
        <f>IF(AND(DO257&gt;0,DP257=0),"レ","")</f>
        <v/>
      </c>
      <c r="DP258" s="1447" t="str">
        <f>IF(DP257&gt;0,"レ","")</f>
        <v/>
      </c>
      <c r="DQ258" s="1759" t="str">
        <f>IF(AND(DO257=0,DP257=0,DQ257&gt;0),"レ","")</f>
        <v/>
      </c>
      <c r="DR258" s="155">
        <f>COUNTA(AZ258:BE258)</f>
        <v>0</v>
      </c>
      <c r="DS258" s="37" t="str">
        <f>IF(AND($AT258="改善予定",$DN258=2),DK258,"")</f>
        <v/>
      </c>
      <c r="DT258" s="41" t="str">
        <f t="shared" ref="DT258:DT261" si="11">IF(DS258="","0",DS258)</f>
        <v>0</v>
      </c>
      <c r="DU258" s="37" t="str">
        <f>IF(AND($AT258="実施済",$DN258=2),DK258,"")</f>
        <v/>
      </c>
      <c r="DV258" s="41" t="str">
        <f t="shared" ref="DV258:DV261" si="12">IF(DU258="","0",DU258)</f>
        <v>0</v>
      </c>
      <c r="DW258" s="155">
        <f>IF(OR(AT258="実施済",AT258="改善予定"),1,0)</f>
        <v>0</v>
      </c>
      <c r="DX258" s="155">
        <f>IF(AND(AB253="有",DW258=1),1,0)</f>
        <v>0</v>
      </c>
      <c r="DY258" s="155">
        <f>IF(AT258="予定なし",1,0)</f>
        <v>0</v>
      </c>
      <c r="EG258" s="73"/>
      <c r="EH258" s="73"/>
      <c r="EI258" s="73"/>
      <c r="EJ258" s="73"/>
      <c r="EK258" s="73"/>
      <c r="FO258" s="579"/>
      <c r="FV258" s="73"/>
      <c r="FW258" s="73"/>
      <c r="FX258" s="73"/>
      <c r="FY258" s="73"/>
      <c r="FZ258" s="73"/>
      <c r="GA258" s="77"/>
    </row>
    <row r="259" spans="1:183" s="78" customFormat="1" ht="27" customHeight="1" x14ac:dyDescent="0.15">
      <c r="A259" s="1201"/>
      <c r="B259" s="1201"/>
      <c r="C259" s="1201"/>
      <c r="D259" s="1201"/>
      <c r="E259" s="1202"/>
      <c r="F259" s="652"/>
      <c r="G259" s="652"/>
      <c r="H259" s="652"/>
      <c r="I259" s="1206"/>
      <c r="J259" s="1215"/>
      <c r="K259" s="1216"/>
      <c r="L259" s="1216"/>
      <c r="M259" s="2825"/>
      <c r="N259" s="2825"/>
      <c r="O259" s="2826"/>
      <c r="P259" s="2512"/>
      <c r="Q259" s="2512"/>
      <c r="R259" s="2512"/>
      <c r="S259" s="2512"/>
      <c r="T259" s="2512"/>
      <c r="U259" s="2512"/>
      <c r="V259" s="2512"/>
      <c r="W259" s="2512"/>
      <c r="X259" s="2512"/>
      <c r="Y259" s="2512"/>
      <c r="Z259" s="2512"/>
      <c r="AA259" s="2512"/>
      <c r="AB259" s="2512"/>
      <c r="AC259" s="2512"/>
      <c r="AD259" s="2512"/>
      <c r="AE259" s="2512"/>
      <c r="AF259" s="2512"/>
      <c r="AG259" s="2512"/>
      <c r="AH259" s="2512"/>
      <c r="AI259" s="2512"/>
      <c r="AJ259" s="2512"/>
      <c r="AK259" s="2512"/>
      <c r="AL259" s="2512"/>
      <c r="AM259" s="2512"/>
      <c r="AN259" s="2512"/>
      <c r="AO259" s="2512"/>
      <c r="AP259" s="2512"/>
      <c r="AQ259" s="2512"/>
      <c r="AR259" s="2512"/>
      <c r="AS259" s="2512"/>
      <c r="AT259" s="2380"/>
      <c r="AU259" s="2381"/>
      <c r="AV259" s="2381"/>
      <c r="AW259" s="2381"/>
      <c r="AX259" s="2381"/>
      <c r="AY259" s="2382"/>
      <c r="AZ259" s="2512"/>
      <c r="BA259" s="2269"/>
      <c r="BB259" s="2269"/>
      <c r="BC259" s="2631"/>
      <c r="BD259" s="2631"/>
      <c r="BE259" s="2631"/>
      <c r="BF259" s="2512"/>
      <c r="BG259" s="2512"/>
      <c r="BH259" s="2512"/>
      <c r="BI259" s="2269"/>
      <c r="BJ259" s="2269"/>
      <c r="BK259" s="2269"/>
      <c r="BL259" s="2269"/>
      <c r="BM259" s="2269"/>
      <c r="BN259" s="2269"/>
      <c r="BO259" s="2269"/>
      <c r="BP259" s="2269"/>
      <c r="BQ259" s="2269"/>
      <c r="BR259" s="2269"/>
      <c r="BS259" s="2269"/>
      <c r="BT259" s="2380"/>
      <c r="BU259" s="395"/>
      <c r="BV259" s="1177"/>
      <c r="BW259" s="1177"/>
      <c r="BX259" s="1177"/>
      <c r="BY259" s="1177"/>
      <c r="BZ259" s="1177"/>
      <c r="CA259" s="1177"/>
      <c r="CB259" s="1177"/>
      <c r="CC259" s="1177"/>
      <c r="CD259" s="1177"/>
      <c r="CE259" s="1177"/>
      <c r="CF259" s="1177"/>
      <c r="CG259" s="1177"/>
      <c r="CH259" s="1177"/>
      <c r="CI259" s="1177"/>
      <c r="CJ259" s="1177"/>
      <c r="CK259" s="1177"/>
      <c r="CL259" s="1177"/>
      <c r="CM259" s="1177"/>
      <c r="CN259" s="1177"/>
      <c r="CO259" s="1177"/>
      <c r="CP259" s="1177"/>
      <c r="CQ259" s="1177"/>
      <c r="CR259" s="1177"/>
      <c r="CS259" s="1177"/>
      <c r="CT259" s="1177"/>
      <c r="CU259" s="1177"/>
      <c r="CV259" s="1326"/>
      <c r="CW259" s="388"/>
      <c r="CX259" s="207"/>
      <c r="CY259" s="207"/>
      <c r="CZ259" s="207"/>
      <c r="DA259" s="207"/>
      <c r="DB259" s="207"/>
      <c r="DC259" s="15"/>
      <c r="DD259" s="16"/>
      <c r="DE259" s="16"/>
      <c r="DF259" s="16"/>
      <c r="DG259" s="16"/>
      <c r="DH259" s="16"/>
      <c r="DI259" s="1593"/>
      <c r="DJ259" s="1168" t="s">
        <v>2749</v>
      </c>
      <c r="DK259" s="1168" t="str">
        <f>IF(COUNTA(AZ259:BC259)=2,DATE(VLOOKUP(DJ259,$DU$6:$DV$9,2,FALSE)+AZ259,BC259,1),"")</f>
        <v/>
      </c>
      <c r="DL259" s="77"/>
      <c r="DM259" s="158">
        <f>COUNTA(P259:AY259)+COUNTA(BF259)</f>
        <v>0</v>
      </c>
      <c r="DN259" s="114">
        <f>COUNTA(P259:U259)</f>
        <v>0</v>
      </c>
      <c r="DO259" s="117" t="s">
        <v>892</v>
      </c>
      <c r="DP259" s="92" t="s">
        <v>893</v>
      </c>
      <c r="DR259" s="155">
        <f>COUNTA(AZ259:BE259)</f>
        <v>0</v>
      </c>
      <c r="DS259" s="37" t="str">
        <f>IF(AND($AT259="改善予定",$DN259=2),DK259,"")</f>
        <v/>
      </c>
      <c r="DT259" s="41" t="str">
        <f t="shared" si="11"/>
        <v>0</v>
      </c>
      <c r="DU259" s="37" t="str">
        <f>IF(AND($AT259="実施済",$DN259=2),DK259,"")</f>
        <v/>
      </c>
      <c r="DV259" s="41" t="str">
        <f t="shared" si="12"/>
        <v>0</v>
      </c>
      <c r="DW259" s="155">
        <f>IF(OR(AT259="実施済",AT259="改善予定"),1,0)</f>
        <v>0</v>
      </c>
      <c r="DX259" s="155">
        <f>IF(AND(AB253="有",DW259=1),1,0)</f>
        <v>0</v>
      </c>
      <c r="DY259" s="155">
        <f>IF(AT259="予定なし",1,0)</f>
        <v>0</v>
      </c>
      <c r="EG259" s="73"/>
      <c r="EH259" s="73"/>
      <c r="EI259" s="73"/>
      <c r="EJ259" s="73"/>
      <c r="EK259" s="73"/>
      <c r="FO259" s="579"/>
      <c r="FV259" s="73"/>
      <c r="FW259" s="73"/>
      <c r="FX259" s="73"/>
      <c r="FY259" s="73"/>
      <c r="FZ259" s="73"/>
      <c r="GA259" s="77"/>
    </row>
    <row r="260" spans="1:183" s="78" customFormat="1" ht="27" customHeight="1" x14ac:dyDescent="0.15">
      <c r="A260" s="1201"/>
      <c r="B260" s="1201"/>
      <c r="C260" s="1201"/>
      <c r="D260" s="1201"/>
      <c r="E260" s="1202"/>
      <c r="F260" s="652"/>
      <c r="G260" s="652"/>
      <c r="H260" s="652"/>
      <c r="I260" s="1206"/>
      <c r="J260" s="1215"/>
      <c r="K260" s="1216"/>
      <c r="L260" s="1216"/>
      <c r="M260" s="2652"/>
      <c r="N260" s="2652"/>
      <c r="O260" s="2653"/>
      <c r="P260" s="2512"/>
      <c r="Q260" s="2512"/>
      <c r="R260" s="2512"/>
      <c r="S260" s="2512"/>
      <c r="T260" s="2512"/>
      <c r="U260" s="2512"/>
      <c r="V260" s="2512"/>
      <c r="W260" s="2512"/>
      <c r="X260" s="2512"/>
      <c r="Y260" s="2512"/>
      <c r="Z260" s="2512"/>
      <c r="AA260" s="2512"/>
      <c r="AB260" s="2512"/>
      <c r="AC260" s="2512"/>
      <c r="AD260" s="2512"/>
      <c r="AE260" s="2512"/>
      <c r="AF260" s="2512"/>
      <c r="AG260" s="2512"/>
      <c r="AH260" s="2512"/>
      <c r="AI260" s="2512"/>
      <c r="AJ260" s="2512"/>
      <c r="AK260" s="2512"/>
      <c r="AL260" s="2512"/>
      <c r="AM260" s="2512"/>
      <c r="AN260" s="2512"/>
      <c r="AO260" s="2512"/>
      <c r="AP260" s="2512"/>
      <c r="AQ260" s="2512"/>
      <c r="AR260" s="2512"/>
      <c r="AS260" s="2512"/>
      <c r="AT260" s="2380"/>
      <c r="AU260" s="2381"/>
      <c r="AV260" s="2381"/>
      <c r="AW260" s="2381"/>
      <c r="AX260" s="2381"/>
      <c r="AY260" s="2382"/>
      <c r="AZ260" s="2512"/>
      <c r="BA260" s="2269"/>
      <c r="BB260" s="2269"/>
      <c r="BC260" s="2631"/>
      <c r="BD260" s="2631"/>
      <c r="BE260" s="2631"/>
      <c r="BF260" s="2512"/>
      <c r="BG260" s="2512"/>
      <c r="BH260" s="2512"/>
      <c r="BI260" s="2269"/>
      <c r="BJ260" s="2269"/>
      <c r="BK260" s="2269"/>
      <c r="BL260" s="2269"/>
      <c r="BM260" s="2269"/>
      <c r="BN260" s="2269"/>
      <c r="BO260" s="2269"/>
      <c r="BP260" s="2269"/>
      <c r="BQ260" s="2269"/>
      <c r="BR260" s="2269"/>
      <c r="BS260" s="2269"/>
      <c r="BT260" s="2380"/>
      <c r="BU260" s="395"/>
      <c r="BV260" s="1177"/>
      <c r="BW260" s="1177"/>
      <c r="BX260" s="1177"/>
      <c r="BY260" s="1177"/>
      <c r="BZ260" s="1177"/>
      <c r="CA260" s="1177"/>
      <c r="CB260" s="1177"/>
      <c r="CC260" s="1177"/>
      <c r="CD260" s="1177"/>
      <c r="CE260" s="1177"/>
      <c r="CF260" s="1177"/>
      <c r="CG260" s="1177"/>
      <c r="CH260" s="1177"/>
      <c r="CI260" s="1177"/>
      <c r="CJ260" s="1177"/>
      <c r="CK260" s="1177"/>
      <c r="CL260" s="1177"/>
      <c r="CM260" s="1177"/>
      <c r="CN260" s="1177"/>
      <c r="CO260" s="1177"/>
      <c r="CP260" s="1177"/>
      <c r="CQ260" s="1177"/>
      <c r="CR260" s="1177"/>
      <c r="CS260" s="1177"/>
      <c r="CT260" s="1177"/>
      <c r="CU260" s="1177"/>
      <c r="CV260" s="1326"/>
      <c r="CW260" s="388"/>
      <c r="CX260" s="207"/>
      <c r="CY260" s="207"/>
      <c r="CZ260" s="207"/>
      <c r="DA260" s="207"/>
      <c r="DB260" s="207"/>
      <c r="DC260" s="15"/>
      <c r="DD260" s="16"/>
      <c r="DE260" s="16"/>
      <c r="DF260" s="16"/>
      <c r="DG260" s="16"/>
      <c r="DH260" s="16"/>
      <c r="DI260" s="1593"/>
      <c r="DJ260" s="1168" t="s">
        <v>2749</v>
      </c>
      <c r="DK260" s="1168" t="str">
        <f>IF(COUNTA(AZ260:BC260)=2,DATE(VLOOKUP(DJ260,$DU$6:$DV$9,2,FALSE)+AZ260,BC260,1),"")</f>
        <v/>
      </c>
      <c r="DL260" s="77"/>
      <c r="DM260" s="158">
        <f>COUNTA(P260:AY260)+COUNTA(BF260)</f>
        <v>0</v>
      </c>
      <c r="DN260" s="114">
        <f>COUNTA(P260:U260)</f>
        <v>0</v>
      </c>
      <c r="DO260" s="1760" t="str">
        <f>IF(DP258="レ",YEAR(DT262)-VLOOKUP(DT262,$DS$6:$DV$9,4,TRUE),"")</f>
        <v/>
      </c>
      <c r="DP260" s="1761" t="str">
        <f>IF(DP258="レ",MONTH(DT262),"")</f>
        <v/>
      </c>
      <c r="DQ260" s="77"/>
      <c r="DR260" s="155">
        <f>COUNTA(AZ260:BE260)</f>
        <v>0</v>
      </c>
      <c r="DS260" s="37" t="str">
        <f>IF(AND($AT260="改善予定",$DN260=2),DK260,"")</f>
        <v/>
      </c>
      <c r="DT260" s="41" t="str">
        <f t="shared" si="11"/>
        <v>0</v>
      </c>
      <c r="DU260" s="37" t="str">
        <f>IF(AND($AT260="実施済",$DN260=2),DK260,"")</f>
        <v/>
      </c>
      <c r="DV260" s="41" t="str">
        <f t="shared" si="12"/>
        <v>0</v>
      </c>
      <c r="DW260" s="155">
        <f>IF(OR(AT260="実施済",AT260="改善予定"),1,0)</f>
        <v>0</v>
      </c>
      <c r="DX260" s="155">
        <f>IF(AND(AB253="有",DW260=1),1,0)</f>
        <v>0</v>
      </c>
      <c r="DY260" s="155">
        <f>IF(AT260="予定なし",1,0)</f>
        <v>0</v>
      </c>
      <c r="EG260" s="73"/>
      <c r="EH260" s="73"/>
      <c r="EI260" s="73"/>
      <c r="EJ260" s="73"/>
      <c r="EK260" s="73"/>
      <c r="FO260" s="579"/>
      <c r="FV260" s="73"/>
      <c r="FW260" s="73"/>
      <c r="FX260" s="73"/>
      <c r="FY260" s="73"/>
      <c r="FZ260" s="73"/>
      <c r="GA260" s="77"/>
    </row>
    <row r="261" spans="1:183" s="78" customFormat="1" ht="27" customHeight="1" thickBot="1" x14ac:dyDescent="0.2">
      <c r="A261" s="1201"/>
      <c r="B261" s="1201"/>
      <c r="C261" s="1201"/>
      <c r="D261" s="1201"/>
      <c r="E261" s="1202"/>
      <c r="F261" s="652"/>
      <c r="G261" s="652"/>
      <c r="H261" s="652"/>
      <c r="I261" s="1206"/>
      <c r="J261" s="1221"/>
      <c r="K261" s="1222"/>
      <c r="L261" s="1222"/>
      <c r="M261" s="2843"/>
      <c r="N261" s="2843"/>
      <c r="O261" s="2844"/>
      <c r="P261" s="2767"/>
      <c r="Q261" s="2767"/>
      <c r="R261" s="2767"/>
      <c r="S261" s="2767"/>
      <c r="T261" s="2767"/>
      <c r="U261" s="2767"/>
      <c r="V261" s="2767"/>
      <c r="W261" s="2767"/>
      <c r="X261" s="2767"/>
      <c r="Y261" s="2767"/>
      <c r="Z261" s="2767"/>
      <c r="AA261" s="2767"/>
      <c r="AB261" s="2767"/>
      <c r="AC261" s="2767"/>
      <c r="AD261" s="2767"/>
      <c r="AE261" s="2767"/>
      <c r="AF261" s="2767"/>
      <c r="AG261" s="2767"/>
      <c r="AH261" s="2767"/>
      <c r="AI261" s="2767"/>
      <c r="AJ261" s="2767"/>
      <c r="AK261" s="2767"/>
      <c r="AL261" s="2767"/>
      <c r="AM261" s="2767"/>
      <c r="AN261" s="2767"/>
      <c r="AO261" s="2767"/>
      <c r="AP261" s="2767"/>
      <c r="AQ261" s="2767"/>
      <c r="AR261" s="2767"/>
      <c r="AS261" s="2767"/>
      <c r="AT261" s="2633"/>
      <c r="AU261" s="2634"/>
      <c r="AV261" s="2634"/>
      <c r="AW261" s="2634"/>
      <c r="AX261" s="2634"/>
      <c r="AY261" s="2635"/>
      <c r="AZ261" s="2767"/>
      <c r="BA261" s="2768"/>
      <c r="BB261" s="2768"/>
      <c r="BC261" s="2829"/>
      <c r="BD261" s="2829"/>
      <c r="BE261" s="2829"/>
      <c r="BF261" s="2767"/>
      <c r="BG261" s="2767"/>
      <c r="BH261" s="2767"/>
      <c r="BI261" s="2768"/>
      <c r="BJ261" s="2768"/>
      <c r="BK261" s="2768"/>
      <c r="BL261" s="2768"/>
      <c r="BM261" s="2768"/>
      <c r="BN261" s="2768"/>
      <c r="BO261" s="2768"/>
      <c r="BP261" s="2768"/>
      <c r="BQ261" s="2768"/>
      <c r="BR261" s="2768"/>
      <c r="BS261" s="2768"/>
      <c r="BT261" s="2633"/>
      <c r="BU261" s="585"/>
      <c r="BV261" s="1175"/>
      <c r="BW261" s="1175"/>
      <c r="BX261" s="1175"/>
      <c r="BY261" s="1175"/>
      <c r="BZ261" s="1175"/>
      <c r="CA261" s="1175"/>
      <c r="CB261" s="1175"/>
      <c r="CC261" s="1175"/>
      <c r="CD261" s="1175"/>
      <c r="CE261" s="1175"/>
      <c r="CF261" s="1175"/>
      <c r="CG261" s="1175"/>
      <c r="CH261" s="1175"/>
      <c r="CI261" s="1175"/>
      <c r="CJ261" s="1175"/>
      <c r="CK261" s="1175"/>
      <c r="CL261" s="1175"/>
      <c r="CM261" s="1175"/>
      <c r="CN261" s="1175"/>
      <c r="CO261" s="1175"/>
      <c r="CP261" s="1175"/>
      <c r="CQ261" s="1175"/>
      <c r="CR261" s="1175"/>
      <c r="CS261" s="1175"/>
      <c r="CT261" s="1175"/>
      <c r="CU261" s="1175"/>
      <c r="CV261" s="1326"/>
      <c r="CW261" s="388"/>
      <c r="CX261" s="207"/>
      <c r="CY261" s="207"/>
      <c r="CZ261" s="207"/>
      <c r="DA261" s="207"/>
      <c r="DB261" s="207"/>
      <c r="DC261" s="15"/>
      <c r="DD261" s="16"/>
      <c r="DE261" s="16"/>
      <c r="DF261" s="16"/>
      <c r="DG261" s="16"/>
      <c r="DH261" s="16"/>
      <c r="DI261" s="1593"/>
      <c r="DJ261" s="1168" t="s">
        <v>2749</v>
      </c>
      <c r="DK261" s="1168" t="str">
        <f>IF(COUNTA(AZ261:BC261)=2,DATE(VLOOKUP(DJ261,$DU$6:$DV$9,2,FALSE)+AZ261,BC261,1),"")</f>
        <v/>
      </c>
      <c r="DL261" s="77"/>
      <c r="DM261" s="158">
        <f>COUNTA(P261:AY261)+COUNTA(BF261)</f>
        <v>0</v>
      </c>
      <c r="DN261" s="115">
        <f>COUNTA(P261:U261)</f>
        <v>0</v>
      </c>
      <c r="DO261" s="77"/>
      <c r="DP261" s="77"/>
      <c r="DQ261" s="77"/>
      <c r="DR261" s="155">
        <f>COUNTA(AZ261:BE261)</f>
        <v>0</v>
      </c>
      <c r="DS261" s="37" t="str">
        <f>IF(AND($AT261="改善予定",$DN261=2),DK261,"")</f>
        <v/>
      </c>
      <c r="DT261" s="41" t="str">
        <f t="shared" si="11"/>
        <v>0</v>
      </c>
      <c r="DU261" s="37" t="str">
        <f>IF(AND($AT261="実施済",$DN261=2),DK261,"")</f>
        <v/>
      </c>
      <c r="DV261" s="41" t="str">
        <f t="shared" si="12"/>
        <v>0</v>
      </c>
      <c r="DW261" s="155">
        <f>IF(OR(AT261="実施済",AT261="改善予定"),1,0)</f>
        <v>0</v>
      </c>
      <c r="DX261" s="155">
        <f>IF(AND(AB253="有",DW261=1),1,0)</f>
        <v>0</v>
      </c>
      <c r="DY261" s="155">
        <f>IF(AT261="予定なし",1,0)</f>
        <v>0</v>
      </c>
      <c r="EG261" s="73"/>
      <c r="EH261" s="73"/>
      <c r="EI261" s="73"/>
      <c r="EJ261" s="73"/>
      <c r="EK261" s="73"/>
      <c r="FO261" s="579"/>
      <c r="FV261" s="73"/>
      <c r="FW261" s="73"/>
      <c r="FX261" s="73"/>
      <c r="FY261" s="73"/>
      <c r="FZ261" s="73"/>
      <c r="GA261" s="77"/>
    </row>
    <row r="262" spans="1:183" ht="15" customHeight="1" x14ac:dyDescent="0.15">
      <c r="A262" s="1201"/>
      <c r="B262" s="1201"/>
      <c r="C262" s="1201"/>
      <c r="D262" s="1201"/>
      <c r="E262" s="1202"/>
      <c r="BU262" s="578"/>
      <c r="DD262" s="16"/>
      <c r="DE262" s="16"/>
      <c r="DF262" s="16"/>
      <c r="DG262" s="16"/>
      <c r="DH262" s="16"/>
      <c r="DI262" s="1593"/>
      <c r="DJ262" s="1163"/>
      <c r="DT262" s="116" t="str">
        <f t="array" ref="DT262">INDEX(DT257:DT261,MATCH(MIN(ABS(DT257:DT261-$DP$4)),ABS(DT257:DT261-$DP$4),0))</f>
        <v>0</v>
      </c>
      <c r="DV262" s="116" t="str">
        <f t="array" ref="DV262">INDEX(DV257:DV261,MATCH(MIN(ABS(DV257:DV261-$DP$4)),ABS(DV257:DV261-$DP$4),0))</f>
        <v>0</v>
      </c>
      <c r="EG262" s="78"/>
      <c r="EH262" s="78"/>
      <c r="EI262" s="78"/>
      <c r="EJ262" s="78"/>
      <c r="EK262" s="78"/>
      <c r="FV262" s="78"/>
      <c r="FW262" s="78"/>
      <c r="FX262" s="78"/>
      <c r="FY262" s="78"/>
      <c r="FZ262" s="78"/>
    </row>
    <row r="263" spans="1:183" ht="2.1" customHeight="1" x14ac:dyDescent="0.15">
      <c r="A263" s="1201"/>
      <c r="B263" s="1201"/>
      <c r="C263" s="1201"/>
      <c r="D263" s="1201"/>
      <c r="E263" s="1202"/>
      <c r="BU263" s="578"/>
      <c r="DD263" s="16"/>
      <c r="DE263" s="16"/>
      <c r="DF263" s="16"/>
      <c r="DG263" s="16"/>
      <c r="DH263" s="16"/>
      <c r="DI263" s="1593"/>
      <c r="DJ263" s="1163"/>
      <c r="DT263" s="191"/>
      <c r="DV263" s="191"/>
      <c r="EG263" s="78"/>
      <c r="EH263" s="78"/>
      <c r="EI263" s="78"/>
      <c r="EJ263" s="78"/>
      <c r="EK263" s="78"/>
      <c r="FV263" s="78"/>
      <c r="FW263" s="78"/>
      <c r="FX263" s="78"/>
      <c r="FY263" s="78"/>
      <c r="FZ263" s="78"/>
    </row>
    <row r="264" spans="1:183" ht="2.1" customHeight="1" x14ac:dyDescent="0.45">
      <c r="A264" s="1201"/>
      <c r="B264" s="1201"/>
      <c r="C264" s="1201"/>
      <c r="D264" s="1201"/>
      <c r="E264" s="1202"/>
      <c r="J264" s="1419"/>
      <c r="K264" s="1419"/>
      <c r="L264" s="1419"/>
      <c r="M264" s="1419"/>
      <c r="N264" s="1419"/>
      <c r="O264" s="1419"/>
      <c r="P264" s="1419"/>
      <c r="Q264" s="1419"/>
      <c r="R264" s="1419"/>
      <c r="S264" s="1419"/>
      <c r="T264" s="1419"/>
      <c r="U264" s="1419"/>
      <c r="V264" s="1419"/>
      <c r="W264" s="1419"/>
      <c r="X264" s="1419"/>
      <c r="Y264" s="1419"/>
      <c r="Z264" s="1419"/>
      <c r="AA264" s="1419"/>
      <c r="AB264" s="1420"/>
      <c r="AC264" s="1420"/>
      <c r="AD264" s="1420"/>
      <c r="AE264" s="1420"/>
      <c r="AF264" s="1420"/>
      <c r="AG264" s="1420"/>
      <c r="AH264" s="1420"/>
      <c r="AI264" s="1420"/>
      <c r="AJ264" s="1420"/>
      <c r="AK264" s="1420"/>
      <c r="AL264" s="1420"/>
      <c r="AM264" s="1420"/>
      <c r="AN264" s="1420"/>
      <c r="AO264" s="1420"/>
      <c r="AP264" s="1420"/>
      <c r="AQ264" s="1420"/>
      <c r="AR264" s="1420"/>
      <c r="AS264" s="1420"/>
      <c r="AT264" s="1420"/>
      <c r="AU264" s="1420"/>
      <c r="AV264" s="1420"/>
      <c r="AW264" s="1420"/>
      <c r="AX264" s="1420"/>
      <c r="AY264" s="1420"/>
      <c r="AZ264" s="1420"/>
      <c r="BA264" s="1420"/>
      <c r="BB264" s="1420"/>
      <c r="BC264" s="1420"/>
      <c r="BD264" s="1420"/>
      <c r="BE264" s="1420"/>
      <c r="BF264" s="1420"/>
      <c r="BG264" s="1420"/>
      <c r="BH264" s="1420"/>
      <c r="BI264" s="1420"/>
      <c r="BJ264" s="1420"/>
      <c r="BK264" s="1420"/>
      <c r="BL264" s="1420"/>
      <c r="BM264" s="1420"/>
      <c r="BN264" s="1420"/>
      <c r="BO264" s="1420"/>
      <c r="BP264" s="1420"/>
      <c r="BQ264" s="1420"/>
      <c r="BR264" s="1420"/>
      <c r="BS264" s="1420"/>
      <c r="BT264" s="1420"/>
      <c r="BU264" s="578"/>
      <c r="DD264" s="16"/>
      <c r="DE264" s="16"/>
      <c r="DF264" s="16"/>
      <c r="DG264" s="16"/>
      <c r="DH264" s="16"/>
      <c r="DI264" s="1593"/>
      <c r="DJ264" s="1163"/>
      <c r="DT264" s="191"/>
      <c r="DV264" s="191"/>
      <c r="EG264" s="78"/>
      <c r="EH264" s="78"/>
      <c r="EI264" s="78"/>
      <c r="EJ264" s="78"/>
      <c r="EK264" s="78"/>
      <c r="FV264" s="78"/>
      <c r="FW264" s="78"/>
      <c r="FX264" s="78"/>
      <c r="FY264" s="78"/>
      <c r="FZ264" s="78"/>
    </row>
    <row r="265" spans="1:183" ht="2.1" customHeight="1" thickBot="1" x14ac:dyDescent="0.5">
      <c r="A265" s="1201"/>
      <c r="B265" s="1201"/>
      <c r="C265" s="1201"/>
      <c r="D265" s="1201"/>
      <c r="E265" s="1202"/>
      <c r="J265" s="1419"/>
      <c r="K265" s="1419"/>
      <c r="L265" s="1419"/>
      <c r="M265" s="1419"/>
      <c r="N265" s="1419"/>
      <c r="O265" s="1419"/>
      <c r="P265" s="1419"/>
      <c r="Q265" s="1419"/>
      <c r="R265" s="1419"/>
      <c r="S265" s="1419"/>
      <c r="T265" s="1419"/>
      <c r="U265" s="1419"/>
      <c r="V265" s="1419"/>
      <c r="W265" s="1419"/>
      <c r="X265" s="1419"/>
      <c r="Y265" s="1419"/>
      <c r="Z265" s="1419"/>
      <c r="AA265" s="1419"/>
      <c r="AB265" s="1420"/>
      <c r="AC265" s="1420"/>
      <c r="AD265" s="1420"/>
      <c r="AE265" s="1420"/>
      <c r="AF265" s="1420"/>
      <c r="AG265" s="1420"/>
      <c r="AH265" s="1420"/>
      <c r="AI265" s="1420"/>
      <c r="AJ265" s="1420"/>
      <c r="AK265" s="1420"/>
      <c r="AL265" s="1420"/>
      <c r="AM265" s="1420"/>
      <c r="AN265" s="1420"/>
      <c r="AO265" s="1420"/>
      <c r="AP265" s="1420"/>
      <c r="AQ265" s="1420"/>
      <c r="AR265" s="1420"/>
      <c r="AS265" s="1420"/>
      <c r="AT265" s="1420"/>
      <c r="AU265" s="1420"/>
      <c r="AV265" s="1420"/>
      <c r="AW265" s="1420"/>
      <c r="AX265" s="1420"/>
      <c r="AY265" s="1420"/>
      <c r="AZ265" s="1420"/>
      <c r="BA265" s="1420"/>
      <c r="BB265" s="1420"/>
      <c r="BC265" s="1420"/>
      <c r="BD265" s="1420"/>
      <c r="BE265" s="1420"/>
      <c r="BF265" s="1420"/>
      <c r="BG265" s="1420"/>
      <c r="BH265" s="1420"/>
      <c r="BI265" s="1420"/>
      <c r="BJ265" s="1420"/>
      <c r="BK265" s="1420"/>
      <c r="BL265" s="1420"/>
      <c r="BM265" s="1420"/>
      <c r="BN265" s="1420"/>
      <c r="BO265" s="1420"/>
      <c r="BP265" s="1420"/>
      <c r="BQ265" s="1420"/>
      <c r="BR265" s="1420"/>
      <c r="BS265" s="1420"/>
      <c r="BT265" s="1420"/>
      <c r="BU265" s="578"/>
      <c r="DD265" s="16"/>
      <c r="DE265" s="16"/>
      <c r="DF265" s="16"/>
      <c r="DG265" s="16"/>
      <c r="DH265" s="16"/>
      <c r="DI265" s="1593"/>
      <c r="DJ265" s="1163"/>
      <c r="DT265" s="191"/>
      <c r="DV265" s="191"/>
      <c r="EG265" s="78"/>
      <c r="EH265" s="78"/>
      <c r="EI265" s="78"/>
      <c r="EJ265" s="78"/>
      <c r="EK265" s="78"/>
      <c r="FV265" s="78"/>
      <c r="FW265" s="78"/>
      <c r="FX265" s="78"/>
      <c r="FY265" s="78"/>
      <c r="FZ265" s="78"/>
    </row>
    <row r="266" spans="1:183" ht="35.1" customHeight="1" thickBot="1" x14ac:dyDescent="0.6">
      <c r="A266" s="1201"/>
      <c r="B266" s="1201"/>
      <c r="C266" s="1201"/>
      <c r="D266" s="1201"/>
      <c r="E266" s="1202"/>
      <c r="J266" s="2156" t="s">
        <v>1883</v>
      </c>
      <c r="K266" s="2538"/>
      <c r="L266" s="2538"/>
      <c r="M266" s="2538"/>
      <c r="N266" s="2538"/>
      <c r="O266" s="2538"/>
      <c r="P266" s="2538"/>
      <c r="Q266" s="2538"/>
      <c r="R266" s="2538"/>
      <c r="S266" s="2538"/>
      <c r="T266" s="2538"/>
      <c r="U266" s="2538"/>
      <c r="V266" s="2538"/>
      <c r="W266" s="2538"/>
      <c r="X266" s="2538"/>
      <c r="Y266" s="2538"/>
      <c r="Z266" s="2538"/>
      <c r="AA266" s="2538"/>
      <c r="AB266" s="2538"/>
      <c r="AC266" s="2538"/>
      <c r="AD266" s="2538"/>
      <c r="AE266" s="2538"/>
      <c r="AF266" s="2538"/>
      <c r="AG266" s="2538"/>
      <c r="AH266" s="2538"/>
      <c r="AI266" s="2538"/>
      <c r="AJ266" s="2538"/>
      <c r="AK266" s="2538"/>
      <c r="AL266" s="2538"/>
      <c r="AM266" s="2538"/>
      <c r="AN266" s="2538"/>
      <c r="AO266" s="2538"/>
      <c r="AP266" s="2538"/>
      <c r="AQ266" s="2538"/>
      <c r="AR266" s="2538"/>
      <c r="AS266" s="2538"/>
      <c r="AT266" s="2538"/>
      <c r="AU266" s="2538"/>
      <c r="AV266" s="2538"/>
      <c r="AW266" s="2538"/>
      <c r="AX266" s="2538"/>
      <c r="AY266" s="2538"/>
      <c r="AZ266" s="2538"/>
      <c r="BA266" s="2538"/>
      <c r="BB266" s="2538"/>
      <c r="BC266" s="2538"/>
      <c r="BD266" s="2538"/>
      <c r="BE266" s="2538"/>
      <c r="BF266" s="2538"/>
      <c r="BG266" s="2538"/>
      <c r="BH266" s="2538"/>
      <c r="BI266" s="2538"/>
      <c r="BJ266" s="2538"/>
      <c r="BK266" s="2538"/>
      <c r="BL266" s="1713"/>
      <c r="BM266" s="1362"/>
      <c r="BN266" s="1362"/>
      <c r="BO266" s="1362"/>
      <c r="BP266" s="1362"/>
      <c r="BQ266" s="1362"/>
      <c r="BR266" s="1362"/>
      <c r="BS266" s="1362"/>
      <c r="BT266" s="1708" t="s">
        <v>3179</v>
      </c>
      <c r="BU266" s="609"/>
      <c r="BV266" s="1191"/>
      <c r="BW266" s="1191"/>
      <c r="BX266" s="1191"/>
      <c r="BY266" s="1191"/>
      <c r="BZ266" s="1191"/>
      <c r="CA266" s="1191"/>
      <c r="CB266" s="1191"/>
      <c r="CC266" s="1191"/>
      <c r="CD266" s="1191"/>
      <c r="CE266" s="1191"/>
      <c r="CF266" s="1191"/>
      <c r="CG266" s="1191"/>
      <c r="CH266" s="1191"/>
      <c r="CI266" s="1191"/>
      <c r="CJ266" s="1191"/>
      <c r="CK266" s="1191"/>
      <c r="CL266" s="1191"/>
      <c r="CM266" s="1191"/>
      <c r="CN266" s="1191"/>
      <c r="CO266" s="1191"/>
      <c r="CP266" s="1191"/>
      <c r="CQ266" s="1191"/>
      <c r="CR266" s="1191"/>
      <c r="CS266" s="1191"/>
      <c r="CT266" s="1191"/>
      <c r="CU266" s="390"/>
      <c r="CV266" s="401"/>
      <c r="CW266" s="401"/>
      <c r="DD266" s="16"/>
      <c r="DE266" s="16"/>
      <c r="DF266" s="16"/>
      <c r="DG266" s="16"/>
      <c r="DH266" s="16"/>
      <c r="DI266" s="1593"/>
      <c r="DJ266" s="1163"/>
      <c r="DN266" s="77" t="s">
        <v>2460</v>
      </c>
      <c r="EG266" s="78"/>
      <c r="EH266" s="78"/>
      <c r="EI266" s="78"/>
      <c r="EJ266" s="78"/>
      <c r="EK266" s="78"/>
      <c r="FV266" s="78"/>
      <c r="FW266" s="78"/>
      <c r="FX266" s="78"/>
      <c r="FY266" s="78"/>
      <c r="FZ266" s="78"/>
    </row>
    <row r="267" spans="1:183" s="78" customFormat="1" ht="27" customHeight="1" thickBot="1" x14ac:dyDescent="0.2">
      <c r="A267" s="1201"/>
      <c r="B267" s="1201"/>
      <c r="C267" s="1201"/>
      <c r="D267" s="1201"/>
      <c r="E267" s="1202"/>
      <c r="F267" s="652"/>
      <c r="G267" s="652"/>
      <c r="H267" s="652"/>
      <c r="I267" s="1249"/>
      <c r="J267" s="1215"/>
      <c r="K267" s="1216"/>
      <c r="L267" s="1216"/>
      <c r="M267" s="2514" t="s">
        <v>345</v>
      </c>
      <c r="N267" s="2533"/>
      <c r="O267" s="2533"/>
      <c r="P267" s="2533"/>
      <c r="Q267" s="2533"/>
      <c r="R267" s="2533"/>
      <c r="S267" s="2533"/>
      <c r="T267" s="2533"/>
      <c r="U267" s="2533"/>
      <c r="V267" s="2533"/>
      <c r="W267" s="2533"/>
      <c r="X267" s="2533"/>
      <c r="Y267" s="2533"/>
      <c r="Z267" s="2533"/>
      <c r="AA267" s="2533"/>
      <c r="AB267" s="2830"/>
      <c r="AC267" s="2830"/>
      <c r="AD267" s="2830"/>
      <c r="AE267" s="2830"/>
      <c r="AF267" s="2830"/>
      <c r="AG267" s="2830"/>
      <c r="AH267" s="2830"/>
      <c r="AI267" s="2830"/>
      <c r="AJ267" s="2830"/>
      <c r="AK267" s="2830"/>
      <c r="AL267" s="2830"/>
      <c r="AM267" s="2830"/>
      <c r="AN267" s="2830"/>
      <c r="AO267" s="2830"/>
      <c r="AP267" s="2830"/>
      <c r="AQ267" s="2830"/>
      <c r="AR267" s="2830"/>
      <c r="AS267" s="2830"/>
      <c r="AT267" s="2830"/>
      <c r="AU267" s="2830"/>
      <c r="AV267" s="2830"/>
      <c r="AW267" s="2830"/>
      <c r="AX267" s="2830"/>
      <c r="AY267" s="2830"/>
      <c r="AZ267" s="2830"/>
      <c r="BA267" s="2830"/>
      <c r="BB267" s="2830"/>
      <c r="BC267" s="2830"/>
      <c r="BD267" s="2830"/>
      <c r="BE267" s="2830"/>
      <c r="BF267" s="2830"/>
      <c r="BG267" s="2830"/>
      <c r="BH267" s="2830"/>
      <c r="BI267" s="2830"/>
      <c r="BJ267" s="2830"/>
      <c r="BK267" s="2830"/>
      <c r="BL267" s="2830"/>
      <c r="BM267" s="2830"/>
      <c r="BN267" s="2830"/>
      <c r="BO267" s="2830"/>
      <c r="BP267" s="2830"/>
      <c r="BQ267" s="2830"/>
      <c r="BR267" s="2830"/>
      <c r="BS267" s="2830"/>
      <c r="BT267" s="2830"/>
      <c r="BU267" s="395"/>
      <c r="BV267" s="617" t="s">
        <v>1844</v>
      </c>
      <c r="BW267" s="405" t="s">
        <v>1910</v>
      </c>
      <c r="BX267" s="1177"/>
      <c r="BY267" s="1177"/>
      <c r="BZ267" s="1177"/>
      <c r="CA267" s="1177"/>
      <c r="CB267" s="1177"/>
      <c r="CC267" s="1177"/>
      <c r="CD267" s="1177"/>
      <c r="CE267" s="1177"/>
      <c r="CF267" s="1177"/>
      <c r="CG267" s="1177"/>
      <c r="CH267" s="1177"/>
      <c r="CI267" s="1177"/>
      <c r="CJ267" s="1177"/>
      <c r="CK267" s="1177"/>
      <c r="CL267" s="1177"/>
      <c r="CM267" s="1177"/>
      <c r="CN267" s="1177"/>
      <c r="CO267" s="1177"/>
      <c r="CP267" s="1177"/>
      <c r="CQ267" s="1177"/>
      <c r="CR267" s="1177"/>
      <c r="CS267" s="1177"/>
      <c r="CT267" s="1177"/>
      <c r="CU267" s="1178"/>
      <c r="CV267" s="401"/>
      <c r="CW267" s="401"/>
      <c r="CX267" s="207"/>
      <c r="CY267" s="207"/>
      <c r="CZ267" s="207"/>
      <c r="DA267" s="207"/>
      <c r="DB267" s="207"/>
      <c r="DC267" s="15"/>
      <c r="DD267" s="16"/>
      <c r="DE267" s="16"/>
      <c r="DF267" s="16"/>
      <c r="DG267" s="16"/>
      <c r="DH267" s="16"/>
      <c r="DI267" s="1593"/>
      <c r="DJ267" s="1163"/>
      <c r="DK267" s="1163"/>
      <c r="DL267" s="77"/>
      <c r="DM267" s="77"/>
      <c r="DN267" s="83" t="b">
        <f>LENB(SUBSTITUTE(AB267,CHAR(10),REPT("A",90)))&gt;640</f>
        <v>0</v>
      </c>
      <c r="DO267" s="77"/>
      <c r="DP267" s="77"/>
      <c r="DQ267" s="77"/>
      <c r="FO267" s="579"/>
      <c r="GA267" s="77"/>
    </row>
    <row r="268" spans="1:183" s="78" customFormat="1" ht="27" customHeight="1" x14ac:dyDescent="0.15">
      <c r="A268" s="1201"/>
      <c r="B268" s="1201"/>
      <c r="C268" s="1201"/>
      <c r="D268" s="1201"/>
      <c r="E268" s="1202"/>
      <c r="F268" s="652"/>
      <c r="G268" s="652"/>
      <c r="H268" s="652"/>
      <c r="I268" s="1249"/>
      <c r="J268" s="1215"/>
      <c r="K268" s="1216"/>
      <c r="L268" s="1216"/>
      <c r="M268" s="2534"/>
      <c r="N268" s="2535"/>
      <c r="O268" s="2535"/>
      <c r="P268" s="2535"/>
      <c r="Q268" s="2535"/>
      <c r="R268" s="2535"/>
      <c r="S268" s="2535"/>
      <c r="T268" s="2535"/>
      <c r="U268" s="2535"/>
      <c r="V268" s="2535"/>
      <c r="W268" s="2535"/>
      <c r="X268" s="2535"/>
      <c r="Y268" s="2535"/>
      <c r="Z268" s="2535"/>
      <c r="AA268" s="2535"/>
      <c r="AB268" s="2831"/>
      <c r="AC268" s="2831"/>
      <c r="AD268" s="2831"/>
      <c r="AE268" s="2831"/>
      <c r="AF268" s="2831"/>
      <c r="AG268" s="2831"/>
      <c r="AH268" s="2831"/>
      <c r="AI268" s="2831"/>
      <c r="AJ268" s="2831"/>
      <c r="AK268" s="2831"/>
      <c r="AL268" s="2831"/>
      <c r="AM268" s="2831"/>
      <c r="AN268" s="2831"/>
      <c r="AO268" s="2831"/>
      <c r="AP268" s="2831"/>
      <c r="AQ268" s="2831"/>
      <c r="AR268" s="2831"/>
      <c r="AS268" s="2831"/>
      <c r="AT268" s="2831"/>
      <c r="AU268" s="2831"/>
      <c r="AV268" s="2831"/>
      <c r="AW268" s="2831"/>
      <c r="AX268" s="2831"/>
      <c r="AY268" s="2831"/>
      <c r="AZ268" s="2831"/>
      <c r="BA268" s="2831"/>
      <c r="BB268" s="2831"/>
      <c r="BC268" s="2831"/>
      <c r="BD268" s="2831"/>
      <c r="BE268" s="2831"/>
      <c r="BF268" s="2831"/>
      <c r="BG268" s="2831"/>
      <c r="BH268" s="2831"/>
      <c r="BI268" s="2831"/>
      <c r="BJ268" s="2831"/>
      <c r="BK268" s="2831"/>
      <c r="BL268" s="2831"/>
      <c r="BM268" s="2831"/>
      <c r="BN268" s="2831"/>
      <c r="BO268" s="2831"/>
      <c r="BP268" s="2831"/>
      <c r="BQ268" s="2831"/>
      <c r="BR268" s="2831"/>
      <c r="BS268" s="2831"/>
      <c r="BT268" s="2831"/>
      <c r="BU268" s="395"/>
      <c r="BV268" s="2158" t="str">
        <f>IF(DN267,"←第三面6欄に納まっているか確認してください。","←")</f>
        <v>←</v>
      </c>
      <c r="BW268" s="2158"/>
      <c r="BX268" s="2158"/>
      <c r="BY268" s="2158"/>
      <c r="BZ268" s="2158"/>
      <c r="CA268" s="2158"/>
      <c r="CB268" s="2158"/>
      <c r="CC268" s="2158"/>
      <c r="CD268" s="2158"/>
      <c r="CE268" s="2158"/>
      <c r="CF268" s="2158"/>
      <c r="CG268" s="2158"/>
      <c r="CH268" s="2158"/>
      <c r="CI268" s="2158"/>
      <c r="CJ268" s="2158"/>
      <c r="CK268" s="2158"/>
      <c r="CL268" s="2158"/>
      <c r="CM268" s="2158"/>
      <c r="CN268" s="2158"/>
      <c r="CO268" s="2158"/>
      <c r="CP268" s="2158"/>
      <c r="CQ268" s="2158"/>
      <c r="CR268" s="2158"/>
      <c r="CS268" s="2158"/>
      <c r="CT268" s="1177"/>
      <c r="CU268" s="1178"/>
      <c r="CV268" s="401"/>
      <c r="CW268" s="401"/>
      <c r="CX268" s="207"/>
      <c r="CY268" s="207"/>
      <c r="CZ268" s="207"/>
      <c r="DA268" s="207"/>
      <c r="DB268" s="207"/>
      <c r="DC268" s="15"/>
      <c r="DD268" s="16"/>
      <c r="DE268" s="16"/>
      <c r="DF268" s="16"/>
      <c r="DG268" s="16"/>
      <c r="DH268" s="16"/>
      <c r="DI268" s="1593"/>
      <c r="DJ268" s="1163"/>
      <c r="DK268" s="1601"/>
      <c r="DL268" s="77"/>
      <c r="DM268" s="77"/>
      <c r="DN268" s="77"/>
      <c r="DO268" s="77"/>
      <c r="DP268" s="77"/>
      <c r="DQ268" s="77"/>
      <c r="FO268" s="579"/>
      <c r="GA268" s="77"/>
    </row>
    <row r="269" spans="1:183" s="78" customFormat="1" ht="27" customHeight="1" x14ac:dyDescent="0.15">
      <c r="A269" s="1201"/>
      <c r="B269" s="1201"/>
      <c r="C269" s="1201"/>
      <c r="D269" s="1201"/>
      <c r="E269" s="1202"/>
      <c r="F269" s="652"/>
      <c r="G269" s="652"/>
      <c r="H269" s="652"/>
      <c r="I269" s="1249"/>
      <c r="J269" s="1215"/>
      <c r="K269" s="1216"/>
      <c r="L269" s="1216"/>
      <c r="M269" s="2534"/>
      <c r="N269" s="2535"/>
      <c r="O269" s="2535"/>
      <c r="P269" s="2535"/>
      <c r="Q269" s="2535"/>
      <c r="R269" s="2535"/>
      <c r="S269" s="2535"/>
      <c r="T269" s="2535"/>
      <c r="U269" s="2535"/>
      <c r="V269" s="2535"/>
      <c r="W269" s="2535"/>
      <c r="X269" s="2535"/>
      <c r="Y269" s="2535"/>
      <c r="Z269" s="2535"/>
      <c r="AA269" s="2535"/>
      <c r="AB269" s="2831"/>
      <c r="AC269" s="2831"/>
      <c r="AD269" s="2831"/>
      <c r="AE269" s="2831"/>
      <c r="AF269" s="2831"/>
      <c r="AG269" s="2831"/>
      <c r="AH269" s="2831"/>
      <c r="AI269" s="2831"/>
      <c r="AJ269" s="2831"/>
      <c r="AK269" s="2831"/>
      <c r="AL269" s="2831"/>
      <c r="AM269" s="2831"/>
      <c r="AN269" s="2831"/>
      <c r="AO269" s="2831"/>
      <c r="AP269" s="2831"/>
      <c r="AQ269" s="2831"/>
      <c r="AR269" s="2831"/>
      <c r="AS269" s="2831"/>
      <c r="AT269" s="2831"/>
      <c r="AU269" s="2831"/>
      <c r="AV269" s="2831"/>
      <c r="AW269" s="2831"/>
      <c r="AX269" s="2831"/>
      <c r="AY269" s="2831"/>
      <c r="AZ269" s="2831"/>
      <c r="BA269" s="2831"/>
      <c r="BB269" s="2831"/>
      <c r="BC269" s="2831"/>
      <c r="BD269" s="2831"/>
      <c r="BE269" s="2831"/>
      <c r="BF269" s="2831"/>
      <c r="BG269" s="2831"/>
      <c r="BH269" s="2831"/>
      <c r="BI269" s="2831"/>
      <c r="BJ269" s="2831"/>
      <c r="BK269" s="2831"/>
      <c r="BL269" s="2831"/>
      <c r="BM269" s="2831"/>
      <c r="BN269" s="2831"/>
      <c r="BO269" s="2831"/>
      <c r="BP269" s="2831"/>
      <c r="BQ269" s="2831"/>
      <c r="BR269" s="2831"/>
      <c r="BS269" s="2831"/>
      <c r="BT269" s="2831"/>
      <c r="BU269" s="395"/>
      <c r="BV269" s="1177"/>
      <c r="BW269" s="1177"/>
      <c r="BX269" s="1177"/>
      <c r="BY269" s="1177"/>
      <c r="BZ269" s="1177"/>
      <c r="CA269" s="1177"/>
      <c r="CB269" s="1177"/>
      <c r="CC269" s="1177"/>
      <c r="CD269" s="1177"/>
      <c r="CE269" s="1177"/>
      <c r="CF269" s="1177"/>
      <c r="CG269" s="1177"/>
      <c r="CH269" s="1177"/>
      <c r="CI269" s="1177"/>
      <c r="CJ269" s="1177"/>
      <c r="CK269" s="1177"/>
      <c r="CL269" s="1177"/>
      <c r="CM269" s="1177"/>
      <c r="CN269" s="1177"/>
      <c r="CO269" s="1177"/>
      <c r="CP269" s="1177"/>
      <c r="CQ269" s="1177"/>
      <c r="CR269" s="1177"/>
      <c r="CS269" s="1177"/>
      <c r="CT269" s="1177"/>
      <c r="CU269" s="1178"/>
      <c r="CV269" s="401"/>
      <c r="CW269" s="401"/>
      <c r="CX269" s="207"/>
      <c r="CY269" s="207"/>
      <c r="CZ269" s="207"/>
      <c r="DA269" s="207"/>
      <c r="DB269" s="207"/>
      <c r="DC269" s="15"/>
      <c r="DD269" s="16"/>
      <c r="DE269" s="16"/>
      <c r="DF269" s="16"/>
      <c r="DG269" s="16"/>
      <c r="DH269" s="16"/>
      <c r="DI269" s="1593"/>
      <c r="DJ269" s="1163"/>
      <c r="DK269" s="1163"/>
      <c r="DL269" s="77"/>
      <c r="DM269" s="77"/>
      <c r="DN269" s="77"/>
      <c r="DO269" s="77"/>
      <c r="DP269" s="77"/>
      <c r="DQ269" s="77"/>
      <c r="FO269" s="579"/>
      <c r="GA269" s="77"/>
    </row>
    <row r="270" spans="1:183" s="78" customFormat="1" ht="27" customHeight="1" thickBot="1" x14ac:dyDescent="0.2">
      <c r="A270" s="1201"/>
      <c r="B270" s="1201"/>
      <c r="C270" s="1201"/>
      <c r="D270" s="1201"/>
      <c r="E270" s="1202"/>
      <c r="F270" s="652"/>
      <c r="G270" s="652"/>
      <c r="H270" s="652"/>
      <c r="I270" s="1249"/>
      <c r="J270" s="1221"/>
      <c r="K270" s="1222"/>
      <c r="L270" s="1222"/>
      <c r="M270" s="2536"/>
      <c r="N270" s="2537"/>
      <c r="O270" s="2537"/>
      <c r="P270" s="2537"/>
      <c r="Q270" s="2537"/>
      <c r="R270" s="2537"/>
      <c r="S270" s="2537"/>
      <c r="T270" s="2537"/>
      <c r="U270" s="2537"/>
      <c r="V270" s="2537"/>
      <c r="W270" s="2537"/>
      <c r="X270" s="2537"/>
      <c r="Y270" s="2537"/>
      <c r="Z270" s="2537"/>
      <c r="AA270" s="2537"/>
      <c r="AB270" s="2832"/>
      <c r="AC270" s="2832"/>
      <c r="AD270" s="2832"/>
      <c r="AE270" s="2832"/>
      <c r="AF270" s="2832"/>
      <c r="AG270" s="2832"/>
      <c r="AH270" s="2832"/>
      <c r="AI270" s="2832"/>
      <c r="AJ270" s="2832"/>
      <c r="AK270" s="2832"/>
      <c r="AL270" s="2832"/>
      <c r="AM270" s="2832"/>
      <c r="AN270" s="2832"/>
      <c r="AO270" s="2832"/>
      <c r="AP270" s="2832"/>
      <c r="AQ270" s="2832"/>
      <c r="AR270" s="2832"/>
      <c r="AS270" s="2832"/>
      <c r="AT270" s="2832"/>
      <c r="AU270" s="2832"/>
      <c r="AV270" s="2832"/>
      <c r="AW270" s="2832"/>
      <c r="AX270" s="2832"/>
      <c r="AY270" s="2832"/>
      <c r="AZ270" s="2832"/>
      <c r="BA270" s="2832"/>
      <c r="BB270" s="2832"/>
      <c r="BC270" s="2832"/>
      <c r="BD270" s="2832"/>
      <c r="BE270" s="2832"/>
      <c r="BF270" s="2832"/>
      <c r="BG270" s="2832"/>
      <c r="BH270" s="2832"/>
      <c r="BI270" s="2832"/>
      <c r="BJ270" s="2832"/>
      <c r="BK270" s="2832"/>
      <c r="BL270" s="2832"/>
      <c r="BM270" s="2832"/>
      <c r="BN270" s="2832"/>
      <c r="BO270" s="2832"/>
      <c r="BP270" s="2832"/>
      <c r="BQ270" s="2832"/>
      <c r="BR270" s="2832"/>
      <c r="BS270" s="2832"/>
      <c r="BT270" s="2832"/>
      <c r="BU270" s="585"/>
      <c r="BV270" s="1175"/>
      <c r="BW270" s="1175"/>
      <c r="BX270" s="1175"/>
      <c r="BY270" s="1175"/>
      <c r="BZ270" s="1175"/>
      <c r="CA270" s="1175"/>
      <c r="CB270" s="1175"/>
      <c r="CC270" s="1175"/>
      <c r="CD270" s="1175"/>
      <c r="CE270" s="1175"/>
      <c r="CF270" s="1175"/>
      <c r="CG270" s="1175"/>
      <c r="CH270" s="1175"/>
      <c r="CI270" s="1175"/>
      <c r="CJ270" s="1175"/>
      <c r="CK270" s="1175"/>
      <c r="CL270" s="1175"/>
      <c r="CM270" s="1175"/>
      <c r="CN270" s="1175"/>
      <c r="CO270" s="1175"/>
      <c r="CP270" s="1175"/>
      <c r="CQ270" s="1175"/>
      <c r="CR270" s="1175"/>
      <c r="CS270" s="1175"/>
      <c r="CT270" s="1175"/>
      <c r="CU270" s="1176"/>
      <c r="CV270" s="401"/>
      <c r="CW270" s="401"/>
      <c r="CX270" s="207"/>
      <c r="CY270" s="207"/>
      <c r="CZ270" s="207"/>
      <c r="DA270" s="207"/>
      <c r="DB270" s="207"/>
      <c r="DC270" s="15"/>
      <c r="DD270" s="16"/>
      <c r="DE270" s="16"/>
      <c r="DF270" s="16"/>
      <c r="DG270" s="16"/>
      <c r="DH270" s="16"/>
      <c r="DI270" s="1593"/>
      <c r="DJ270" s="1163"/>
      <c r="DK270" s="1163"/>
      <c r="DL270" s="77"/>
      <c r="DM270" s="77"/>
      <c r="DN270" s="77"/>
      <c r="DO270" s="77"/>
      <c r="DP270" s="77"/>
      <c r="DQ270" s="77"/>
      <c r="FO270" s="579"/>
      <c r="GA270" s="77"/>
    </row>
    <row r="271" spans="1:183" ht="15" customHeight="1" thickBot="1" x14ac:dyDescent="0.2">
      <c r="A271" s="1201"/>
      <c r="B271" s="1201"/>
      <c r="C271" s="1201"/>
      <c r="D271" s="1201"/>
      <c r="E271" s="1202"/>
      <c r="BU271" s="578"/>
      <c r="CV271" s="401"/>
      <c r="CW271" s="401"/>
      <c r="DD271" s="16"/>
      <c r="DE271" s="16"/>
      <c r="DF271" s="16"/>
      <c r="DG271" s="16"/>
      <c r="DH271" s="16"/>
      <c r="DI271" s="1593"/>
      <c r="DJ271" s="1163"/>
      <c r="DM271" s="320" t="s">
        <v>1652</v>
      </c>
      <c r="DN271" s="321" t="e">
        <f>VLOOKUP(AB274,DM272:DN281,2,FALSE)</f>
        <v>#N/A</v>
      </c>
      <c r="DP271" s="72" t="s">
        <v>1649</v>
      </c>
      <c r="EG271" s="78"/>
      <c r="EH271" s="78"/>
      <c r="EI271" s="78"/>
      <c r="EJ271" s="78"/>
      <c r="EK271" s="78"/>
      <c r="FV271" s="78"/>
      <c r="FW271" s="78"/>
      <c r="FX271" s="78"/>
      <c r="FY271" s="78"/>
      <c r="FZ271" s="78"/>
    </row>
    <row r="272" spans="1:183" ht="35.1" customHeight="1" thickBot="1" x14ac:dyDescent="0.6">
      <c r="A272" s="1201"/>
      <c r="B272" s="1201"/>
      <c r="C272" s="1201"/>
      <c r="D272" s="1201"/>
      <c r="E272" s="1202"/>
      <c r="J272" s="2156" t="s">
        <v>1088</v>
      </c>
      <c r="K272" s="2538"/>
      <c r="L272" s="2538"/>
      <c r="M272" s="2538"/>
      <c r="N272" s="2538"/>
      <c r="O272" s="2538"/>
      <c r="P272" s="2538"/>
      <c r="Q272" s="2538"/>
      <c r="R272" s="2538"/>
      <c r="S272" s="2538"/>
      <c r="T272" s="2538"/>
      <c r="U272" s="2538"/>
      <c r="V272" s="2538"/>
      <c r="W272" s="2538"/>
      <c r="X272" s="2538"/>
      <c r="Y272" s="2538"/>
      <c r="Z272" s="2538"/>
      <c r="AA272" s="2538"/>
      <c r="AB272" s="2538"/>
      <c r="AC272" s="2538"/>
      <c r="AD272" s="2538"/>
      <c r="AE272" s="2538"/>
      <c r="AF272" s="2538"/>
      <c r="AG272" s="2538"/>
      <c r="AH272" s="2538"/>
      <c r="AI272" s="2538"/>
      <c r="AJ272" s="2538"/>
      <c r="AK272" s="2538"/>
      <c r="AL272" s="2538"/>
      <c r="AM272" s="2538"/>
      <c r="AN272" s="2538"/>
      <c r="AO272" s="2538"/>
      <c r="AP272" s="2538"/>
      <c r="AQ272" s="2538"/>
      <c r="AR272" s="2538"/>
      <c r="AS272" s="2538"/>
      <c r="AT272" s="2538"/>
      <c r="AU272" s="2538"/>
      <c r="AV272" s="2538"/>
      <c r="AW272" s="2538"/>
      <c r="AX272" s="2538"/>
      <c r="AY272" s="2538"/>
      <c r="AZ272" s="2538"/>
      <c r="BA272" s="2538"/>
      <c r="BB272" s="2538"/>
      <c r="BC272" s="2538"/>
      <c r="BD272" s="2538"/>
      <c r="BE272" s="2538"/>
      <c r="BF272" s="2538"/>
      <c r="BG272" s="2538"/>
      <c r="BH272" s="2538"/>
      <c r="BI272" s="2538"/>
      <c r="BJ272" s="2538"/>
      <c r="BK272" s="2538"/>
      <c r="BL272" s="1713"/>
      <c r="BM272" s="1362"/>
      <c r="BN272" s="1362"/>
      <c r="BO272" s="1362"/>
      <c r="BP272" s="1362"/>
      <c r="BQ272" s="1362"/>
      <c r="BR272" s="1362"/>
      <c r="BS272" s="1362"/>
      <c r="BT272" s="1708" t="s">
        <v>2849</v>
      </c>
      <c r="BU272" s="586"/>
      <c r="BV272" s="389"/>
      <c r="BW272" s="389"/>
      <c r="BX272" s="1191"/>
      <c r="BY272" s="1191"/>
      <c r="BZ272" s="1191"/>
      <c r="CA272" s="1191"/>
      <c r="CB272" s="1191"/>
      <c r="CC272" s="1191"/>
      <c r="CD272" s="1191"/>
      <c r="CE272" s="1191"/>
      <c r="CF272" s="1191"/>
      <c r="CG272" s="1191"/>
      <c r="CH272" s="1191"/>
      <c r="CI272" s="1191"/>
      <c r="CJ272" s="1191"/>
      <c r="CK272" s="1191"/>
      <c r="CL272" s="1191"/>
      <c r="CM272" s="1191"/>
      <c r="CN272" s="1191"/>
      <c r="CO272" s="1191"/>
      <c r="CP272" s="1191"/>
      <c r="CQ272" s="1191"/>
      <c r="CR272" s="1191"/>
      <c r="CS272" s="1191"/>
      <c r="CT272" s="1191"/>
      <c r="CU272" s="390"/>
      <c r="CV272" s="401"/>
      <c r="CW272" s="401"/>
      <c r="DD272" s="16"/>
      <c r="DE272" s="16"/>
      <c r="DF272" s="16"/>
      <c r="DG272" s="16"/>
      <c r="DH272" s="16"/>
      <c r="DI272" s="1593"/>
      <c r="DJ272" s="1163"/>
      <c r="DM272" s="642" t="s">
        <v>1712</v>
      </c>
      <c r="DN272" s="319">
        <v>1</v>
      </c>
      <c r="DO272" s="187"/>
      <c r="DP272" s="186" t="s">
        <v>1650</v>
      </c>
      <c r="DQ272" s="94" t="s">
        <v>1651</v>
      </c>
      <c r="DS272" s="73" t="s">
        <v>3184</v>
      </c>
      <c r="DT272" s="1573" t="str">
        <f>IF(DP273=2,1,"")</f>
        <v/>
      </c>
      <c r="DV272" s="73" t="s">
        <v>3336</v>
      </c>
      <c r="DW272" s="1573" t="str">
        <f>IF(AB274="","",AB274)</f>
        <v/>
      </c>
      <c r="EG272" s="78"/>
      <c r="EH272" s="78"/>
      <c r="EI272" s="78"/>
      <c r="EJ272" s="78"/>
      <c r="EK272" s="78"/>
      <c r="FV272" s="78"/>
      <c r="FW272" s="78"/>
      <c r="FX272" s="78"/>
      <c r="FY272" s="78"/>
      <c r="FZ272" s="78"/>
    </row>
    <row r="273" spans="1:183" s="78" customFormat="1" ht="30" customHeight="1" thickBot="1" x14ac:dyDescent="0.2">
      <c r="A273" s="1201"/>
      <c r="B273" s="1201"/>
      <c r="C273" s="1201"/>
      <c r="D273" s="1201"/>
      <c r="E273" s="1202"/>
      <c r="F273" s="652"/>
      <c r="G273" s="652"/>
      <c r="H273" s="652"/>
      <c r="I273" s="1249"/>
      <c r="J273" s="1215"/>
      <c r="K273" s="1216"/>
      <c r="L273" s="1216"/>
      <c r="M273" s="2243" t="s">
        <v>715</v>
      </c>
      <c r="N273" s="2497"/>
      <c r="O273" s="2497"/>
      <c r="P273" s="2497"/>
      <c r="Q273" s="2497"/>
      <c r="R273" s="2497"/>
      <c r="S273" s="2497"/>
      <c r="T273" s="2497"/>
      <c r="U273" s="2497"/>
      <c r="V273" s="2497"/>
      <c r="W273" s="2497"/>
      <c r="X273" s="2497"/>
      <c r="Y273" s="2497"/>
      <c r="Z273" s="2497"/>
      <c r="AA273" s="2497"/>
      <c r="AB273" s="2228"/>
      <c r="AC273" s="2441"/>
      <c r="AD273" s="2441"/>
      <c r="AE273" s="2441"/>
      <c r="AF273" s="2441"/>
      <c r="AG273" s="2441"/>
      <c r="AH273" s="2441"/>
      <c r="AI273" s="2441"/>
      <c r="AJ273" s="2441"/>
      <c r="AK273" s="2441"/>
      <c r="AL273" s="2441"/>
      <c r="AM273" s="2441"/>
      <c r="AN273" s="2441"/>
      <c r="AO273" s="2441"/>
      <c r="AP273" s="2441"/>
      <c r="AQ273" s="2441"/>
      <c r="AR273" s="2441"/>
      <c r="AS273" s="1332" t="str">
        <f>IF(AB273="","←タイル・石貼り等は乾式工法によるものを除きます","")</f>
        <v>←タイル・石貼り等は乾式工法によるものを除きます</v>
      </c>
      <c r="AT273" s="1212"/>
      <c r="AU273" s="1212"/>
      <c r="AV273" s="1212"/>
      <c r="AW273" s="1212"/>
      <c r="AX273" s="1212"/>
      <c r="AY273" s="1212"/>
      <c r="AZ273" s="1212"/>
      <c r="BA273" s="1212"/>
      <c r="BB273" s="1212"/>
      <c r="BC273" s="1212"/>
      <c r="BD273" s="1212"/>
      <c r="BE273" s="1212"/>
      <c r="BF273" s="1212"/>
      <c r="BG273" s="1212"/>
      <c r="BH273" s="1212"/>
      <c r="BI273" s="1212"/>
      <c r="BJ273" s="1212"/>
      <c r="BK273" s="1212"/>
      <c r="BL273" s="1212"/>
      <c r="BM273" s="1212"/>
      <c r="BN273" s="1212"/>
      <c r="BO273" s="1212"/>
      <c r="BP273" s="1212"/>
      <c r="BQ273" s="1212"/>
      <c r="BR273" s="1212"/>
      <c r="BS273" s="1212"/>
      <c r="BT273" s="1212"/>
      <c r="BU273" s="613"/>
      <c r="BV273" s="617" t="s">
        <v>1844</v>
      </c>
      <c r="BW273" s="617" t="s">
        <v>1911</v>
      </c>
      <c r="BX273" s="1177"/>
      <c r="BY273" s="1177"/>
      <c r="BZ273" s="1177"/>
      <c r="CA273" s="1177"/>
      <c r="CB273" s="1177"/>
      <c r="CC273" s="1177"/>
      <c r="CD273" s="1177"/>
      <c r="CE273" s="1177"/>
      <c r="CF273" s="1177"/>
      <c r="CG273" s="1177"/>
      <c r="CH273" s="1177"/>
      <c r="CI273" s="1177"/>
      <c r="CJ273" s="1177"/>
      <c r="CK273" s="1177"/>
      <c r="CL273" s="1177"/>
      <c r="CM273" s="1177"/>
      <c r="CN273" s="1177"/>
      <c r="CO273" s="1177"/>
      <c r="CP273" s="1177"/>
      <c r="CQ273" s="1177"/>
      <c r="CR273" s="1177"/>
      <c r="CS273" s="1177"/>
      <c r="CT273" s="1177"/>
      <c r="CU273" s="1178"/>
      <c r="CV273" s="401"/>
      <c r="CW273" s="401"/>
      <c r="CX273" s="207"/>
      <c r="CY273" s="207"/>
      <c r="CZ273" s="207"/>
      <c r="DA273" s="207"/>
      <c r="DB273" s="207"/>
      <c r="DC273" s="15"/>
      <c r="DD273" s="16"/>
      <c r="DE273" s="16"/>
      <c r="DF273" s="16"/>
      <c r="DG273" s="16"/>
      <c r="DH273" s="16"/>
      <c r="DI273" s="1593"/>
      <c r="DJ273" s="1163"/>
      <c r="DK273" s="1163"/>
      <c r="DL273" s="77"/>
      <c r="DM273" s="643" t="s">
        <v>1711</v>
      </c>
      <c r="DN273" s="86">
        <v>2</v>
      </c>
      <c r="DO273" s="188"/>
      <c r="DP273" s="86">
        <f>IF(AB273="―　未使用",1,IF(AB273="〇　タイル等の外装仕上げ材を使用",2,0))</f>
        <v>0</v>
      </c>
      <c r="DQ273" s="77"/>
      <c r="DS273" s="78" t="s">
        <v>3185</v>
      </c>
      <c r="DT273" s="1537" t="str">
        <f>IF(DP273=1,1,"")</f>
        <v/>
      </c>
      <c r="DV273" s="78" t="s">
        <v>3337</v>
      </c>
      <c r="DW273" s="1537" t="str">
        <f>IF(AH275="","",AH275)</f>
        <v/>
      </c>
      <c r="FO273" s="579"/>
      <c r="GA273" s="77"/>
    </row>
    <row r="274" spans="1:183" s="78" customFormat="1" ht="27" customHeight="1" thickBot="1" x14ac:dyDescent="0.2">
      <c r="A274" s="1201"/>
      <c r="B274" s="1201"/>
      <c r="C274" s="1201"/>
      <c r="D274" s="1201"/>
      <c r="E274" s="1202"/>
      <c r="F274" s="652"/>
      <c r="G274" s="652"/>
      <c r="H274" s="652"/>
      <c r="I274" s="1249"/>
      <c r="J274" s="1215"/>
      <c r="K274" s="1216"/>
      <c r="L274" s="1216"/>
      <c r="M274" s="622"/>
      <c r="N274" s="1333"/>
      <c r="O274" s="1333"/>
      <c r="P274" s="1333"/>
      <c r="Q274" s="1333"/>
      <c r="R274" s="1333"/>
      <c r="S274" s="1333"/>
      <c r="T274" s="1333"/>
      <c r="U274" s="1333"/>
      <c r="V274" s="1333"/>
      <c r="W274" s="1333"/>
      <c r="X274" s="1333"/>
      <c r="Y274" s="1333"/>
      <c r="Z274" s="1333"/>
      <c r="AA274" s="1333"/>
      <c r="AB274" s="2613"/>
      <c r="AC274" s="2466"/>
      <c r="AD274" s="2466"/>
      <c r="AE274" s="2466"/>
      <c r="AF274" s="2466"/>
      <c r="AG274" s="2466"/>
      <c r="AH274" s="2466"/>
      <c r="AI274" s="2466"/>
      <c r="AJ274" s="2466"/>
      <c r="AK274" s="2466"/>
      <c r="AL274" s="2466"/>
      <c r="AM274" s="2466"/>
      <c r="AN274" s="2466"/>
      <c r="AO274" s="2466"/>
      <c r="AP274" s="2466"/>
      <c r="AQ274" s="2466"/>
      <c r="AR274" s="2466"/>
      <c r="AS274" s="2466"/>
      <c r="AT274" s="2466"/>
      <c r="AU274" s="2466"/>
      <c r="AV274" s="2466"/>
      <c r="AW274" s="2466"/>
      <c r="AX274" s="2466"/>
      <c r="AY274" s="1250"/>
      <c r="AZ274" s="1250"/>
      <c r="BA274" s="1250"/>
      <c r="BB274" s="1250"/>
      <c r="BC274" s="1250"/>
      <c r="BD274" s="1250"/>
      <c r="BE274" s="1250"/>
      <c r="BF274" s="1250"/>
      <c r="BG274" s="1250"/>
      <c r="BH274" s="1250"/>
      <c r="BI274" s="1250"/>
      <c r="BJ274" s="1250"/>
      <c r="BK274" s="1250"/>
      <c r="BL274" s="1250"/>
      <c r="BM274" s="1250"/>
      <c r="BN274" s="1250"/>
      <c r="BO274" s="1250"/>
      <c r="BP274" s="1250"/>
      <c r="BQ274" s="1250"/>
      <c r="BR274" s="1250"/>
      <c r="BS274" s="1250"/>
      <c r="BT274" s="1250"/>
      <c r="BU274" s="613"/>
      <c r="BV274" s="617" t="s">
        <v>1844</v>
      </c>
      <c r="BW274" s="2160" t="s">
        <v>1914</v>
      </c>
      <c r="BX274" s="2160"/>
      <c r="BY274" s="2160"/>
      <c r="BZ274" s="2160"/>
      <c r="CA274" s="2160"/>
      <c r="CB274" s="2160"/>
      <c r="CC274" s="2160"/>
      <c r="CD274" s="2160"/>
      <c r="CE274" s="2160"/>
      <c r="CF274" s="1177"/>
      <c r="CG274" s="2144" t="s">
        <v>2729</v>
      </c>
      <c r="CH274" s="2144"/>
      <c r="CI274" s="2144"/>
      <c r="CJ274" s="2144"/>
      <c r="CK274" s="2144"/>
      <c r="CL274" s="2144"/>
      <c r="CM274" s="2144"/>
      <c r="CN274" s="2144"/>
      <c r="CO274" s="2144"/>
      <c r="CP274" s="2144"/>
      <c r="CQ274" s="2144"/>
      <c r="CR274" s="2144"/>
      <c r="CS274" s="2144"/>
      <c r="CT274" s="1177"/>
      <c r="CU274" s="1178"/>
      <c r="CV274" s="401"/>
      <c r="CW274" s="401"/>
      <c r="CX274" s="207"/>
      <c r="CY274" s="207"/>
      <c r="CZ274" s="207"/>
      <c r="DA274" s="207"/>
      <c r="DB274" s="207"/>
      <c r="DC274" s="15"/>
      <c r="DD274" s="16"/>
      <c r="DE274" s="16"/>
      <c r="DF274" s="16"/>
      <c r="DG274" s="16"/>
      <c r="DH274" s="16"/>
      <c r="DI274" s="1593"/>
      <c r="DJ274" s="1163"/>
      <c r="DK274" s="1163"/>
      <c r="DL274" s="77"/>
      <c r="DM274" s="643" t="s">
        <v>711</v>
      </c>
      <c r="DN274" s="86">
        <v>3</v>
      </c>
      <c r="DO274" s="77"/>
      <c r="DP274" s="77"/>
      <c r="DQ274" s="77"/>
      <c r="DV274" s="78" t="s">
        <v>3338</v>
      </c>
      <c r="DW274" s="1537" t="str">
        <f>IF(AK275="","",AK275)</f>
        <v/>
      </c>
      <c r="EG274" s="73"/>
      <c r="EH274" s="73"/>
      <c r="EI274" s="73"/>
      <c r="EJ274" s="73"/>
      <c r="EK274" s="73"/>
      <c r="FO274" s="579"/>
      <c r="FV274" s="73"/>
      <c r="FW274" s="73"/>
      <c r="FX274" s="73"/>
      <c r="FY274" s="73"/>
      <c r="FZ274" s="73"/>
      <c r="GA274" s="77"/>
    </row>
    <row r="275" spans="1:183" s="78" customFormat="1" ht="27" customHeight="1" thickBot="1" x14ac:dyDescent="0.2">
      <c r="A275" s="1201"/>
      <c r="B275" s="1201"/>
      <c r="C275" s="1201"/>
      <c r="D275" s="1201"/>
      <c r="E275" s="1202"/>
      <c r="F275" s="652"/>
      <c r="G275" s="652"/>
      <c r="H275" s="652"/>
      <c r="I275" s="1249"/>
      <c r="J275" s="1215"/>
      <c r="K275" s="1216"/>
      <c r="L275" s="1216"/>
      <c r="M275" s="2534" t="s">
        <v>714</v>
      </c>
      <c r="N275" s="2534"/>
      <c r="O275" s="2534"/>
      <c r="P275" s="2534"/>
      <c r="Q275" s="2534"/>
      <c r="R275" s="2534"/>
      <c r="S275" s="2534"/>
      <c r="T275" s="2534"/>
      <c r="U275" s="2534"/>
      <c r="V275" s="2534"/>
      <c r="W275" s="2534"/>
      <c r="X275" s="2534"/>
      <c r="Y275" s="2534"/>
      <c r="Z275" s="2534"/>
      <c r="AA275" s="2534"/>
      <c r="AB275" s="2182" t="s">
        <v>298</v>
      </c>
      <c r="AC275" s="2769"/>
      <c r="AD275" s="2769"/>
      <c r="AE275" s="2769"/>
      <c r="AF275" s="2769"/>
      <c r="AG275" s="2769"/>
      <c r="AH275" s="2827"/>
      <c r="AI275" s="2828"/>
      <c r="AJ275" s="2828"/>
      <c r="AK275" s="2846"/>
      <c r="AL275" s="2846"/>
      <c r="AM275" s="2847"/>
      <c r="AN275" s="1334" t="s">
        <v>12</v>
      </c>
      <c r="AO275" s="1335"/>
      <c r="AP275" s="2845"/>
      <c r="AQ275" s="2846"/>
      <c r="AR275" s="2847"/>
      <c r="AS275" s="2275" t="s">
        <v>299</v>
      </c>
      <c r="AT275" s="2782"/>
      <c r="AU275" s="1216"/>
      <c r="AV275" s="2869" t="str">
        <f>IFERROR(IF(DN271&lt;3,"実施",IF(DN271=3,"竣工",IF(DN271=5,"予定",""))),"")</f>
        <v/>
      </c>
      <c r="AW275" s="2869"/>
      <c r="AX275" s="2869"/>
      <c r="AY275" s="1216" t="s">
        <v>22</v>
      </c>
      <c r="AZ275" s="1216"/>
      <c r="BA275" s="1216"/>
      <c r="BB275" s="1216"/>
      <c r="BC275" s="1216"/>
      <c r="BD275" s="1216"/>
      <c r="BE275" s="1216"/>
      <c r="BF275" s="1216"/>
      <c r="BG275" s="1216"/>
      <c r="BH275" s="1216"/>
      <c r="BI275" s="1216"/>
      <c r="BJ275" s="1216"/>
      <c r="BK275" s="1216"/>
      <c r="BL275" s="1216"/>
      <c r="BM275" s="1216"/>
      <c r="BN275" s="1216"/>
      <c r="BO275" s="1216"/>
      <c r="BP275" s="1216"/>
      <c r="BQ275" s="1216"/>
      <c r="BR275" s="1216"/>
      <c r="BS275" s="1216"/>
      <c r="BT275" s="1216"/>
      <c r="BU275" s="613"/>
      <c r="BV275" s="614"/>
      <c r="BW275" s="2186" t="s">
        <v>1915</v>
      </c>
      <c r="BX275" s="2186"/>
      <c r="BY275" s="2186"/>
      <c r="BZ275" s="2186"/>
      <c r="CA275" s="2186"/>
      <c r="CB275" s="2186"/>
      <c r="CC275" s="2186"/>
      <c r="CD275" s="2186"/>
      <c r="CE275" s="2186"/>
      <c r="CF275" s="1177"/>
      <c r="CG275" s="2144"/>
      <c r="CH275" s="2144"/>
      <c r="CI275" s="2144"/>
      <c r="CJ275" s="2144"/>
      <c r="CK275" s="2144"/>
      <c r="CL275" s="2144"/>
      <c r="CM275" s="2144"/>
      <c r="CN275" s="2144"/>
      <c r="CO275" s="2144"/>
      <c r="CP275" s="2144"/>
      <c r="CQ275" s="2144"/>
      <c r="CR275" s="2144"/>
      <c r="CS275" s="2144"/>
      <c r="CT275" s="1177"/>
      <c r="CU275" s="1178"/>
      <c r="CV275" s="401"/>
      <c r="CW275" s="401"/>
      <c r="CX275" s="207"/>
      <c r="CY275" s="207"/>
      <c r="CZ275" s="207"/>
      <c r="DA275" s="207"/>
      <c r="DB275" s="207"/>
      <c r="DC275" s="15"/>
      <c r="DD275" s="16"/>
      <c r="DE275" s="16"/>
      <c r="DF275" s="16"/>
      <c r="DG275" s="16"/>
      <c r="DH275" s="16"/>
      <c r="DI275" s="1593"/>
      <c r="DJ275" s="1163"/>
      <c r="DK275" s="1163"/>
      <c r="DL275" s="77"/>
      <c r="DM275" s="643" t="s">
        <v>712</v>
      </c>
      <c r="DN275" s="86">
        <v>4</v>
      </c>
      <c r="DO275" s="77"/>
      <c r="DP275" s="77"/>
      <c r="DQ275" s="77"/>
      <c r="DV275" s="78" t="s">
        <v>3339</v>
      </c>
      <c r="DW275" s="1537" t="str">
        <f>IF(AP275="","",AP275)</f>
        <v/>
      </c>
      <c r="EG275" s="80"/>
      <c r="EH275" s="80"/>
      <c r="EI275" s="80"/>
      <c r="EJ275" s="80"/>
      <c r="EK275" s="80"/>
      <c r="FO275" s="579"/>
      <c r="FV275" s="80"/>
      <c r="FW275" s="80"/>
      <c r="FX275" s="80"/>
      <c r="FY275" s="80"/>
      <c r="FZ275" s="80"/>
      <c r="GA275" s="77"/>
    </row>
    <row r="276" spans="1:183" s="78" customFormat="1" ht="27" customHeight="1" thickBot="1" x14ac:dyDescent="0.2">
      <c r="A276" s="1201"/>
      <c r="B276" s="1201"/>
      <c r="C276" s="1201"/>
      <c r="D276" s="1201"/>
      <c r="E276" s="1202"/>
      <c r="F276" s="652"/>
      <c r="G276" s="652"/>
      <c r="H276" s="652"/>
      <c r="I276" s="1249"/>
      <c r="J276" s="1221"/>
      <c r="K276" s="1222"/>
      <c r="L276" s="1222"/>
      <c r="M276" s="1336"/>
      <c r="N276" s="1336"/>
      <c r="O276" s="1336"/>
      <c r="P276" s="1336"/>
      <c r="Q276" s="1337"/>
      <c r="R276" s="1338"/>
      <c r="S276" s="1338"/>
      <c r="T276" s="1338"/>
      <c r="U276" s="1338"/>
      <c r="V276" s="1338"/>
      <c r="W276" s="1338"/>
      <c r="X276" s="1338"/>
      <c r="Y276" s="1338"/>
      <c r="Z276" s="1338"/>
      <c r="AA276" s="1338"/>
      <c r="AB276" s="2819" t="s">
        <v>1757</v>
      </c>
      <c r="AC276" s="2819"/>
      <c r="AD276" s="2819"/>
      <c r="AE276" s="2819"/>
      <c r="AF276" s="2819"/>
      <c r="AG276" s="2819"/>
      <c r="AH276" s="2501"/>
      <c r="AI276" s="2501"/>
      <c r="AJ276" s="2501"/>
      <c r="AK276" s="2501"/>
      <c r="AL276" s="2501"/>
      <c r="AM276" s="2501"/>
      <c r="AN276" s="2501"/>
      <c r="AO276" s="2501"/>
      <c r="AP276" s="2501"/>
      <c r="AQ276" s="2501"/>
      <c r="AR276" s="2501"/>
      <c r="AS276" s="2501"/>
      <c r="AT276" s="2501"/>
      <c r="AU276" s="2501"/>
      <c r="AV276" s="2501"/>
      <c r="AW276" s="2501"/>
      <c r="AX276" s="2501"/>
      <c r="AY276" s="2501"/>
      <c r="AZ276" s="2501"/>
      <c r="BA276" s="2501"/>
      <c r="BB276" s="2501"/>
      <c r="BC276" s="2501"/>
      <c r="BD276" s="2501"/>
      <c r="BE276" s="2501"/>
      <c r="BF276" s="2501"/>
      <c r="BG276" s="2501"/>
      <c r="BH276" s="2501"/>
      <c r="BI276" s="2501"/>
      <c r="BJ276" s="2501"/>
      <c r="BK276" s="2501"/>
      <c r="BL276" s="2501"/>
      <c r="BM276" s="2501"/>
      <c r="BN276" s="2501"/>
      <c r="BO276" s="2501"/>
      <c r="BP276" s="1222" t="s">
        <v>22</v>
      </c>
      <c r="BQ276" s="2786" t="str">
        <f>IF(AND(AB274="その他",$AH$276=""),"←「その他」の場合、説明を入力してください。","")</f>
        <v/>
      </c>
      <c r="BR276" s="2786"/>
      <c r="BS276" s="2786"/>
      <c r="BT276" s="2786"/>
      <c r="BU276" s="2786"/>
      <c r="BV276" s="2786"/>
      <c r="BW276" s="2786"/>
      <c r="BX276" s="2786"/>
      <c r="BY276" s="2786"/>
      <c r="BZ276" s="2786"/>
      <c r="CA276" s="2786"/>
      <c r="CB276" s="2786"/>
      <c r="CC276" s="2786"/>
      <c r="CD276" s="2786"/>
      <c r="CE276" s="2786"/>
      <c r="CF276" s="2786"/>
      <c r="CG276" s="2145"/>
      <c r="CH276" s="2145"/>
      <c r="CI276" s="2145"/>
      <c r="CJ276" s="2145"/>
      <c r="CK276" s="2145"/>
      <c r="CL276" s="2145"/>
      <c r="CM276" s="2145"/>
      <c r="CN276" s="2145"/>
      <c r="CO276" s="2145"/>
      <c r="CP276" s="2145"/>
      <c r="CQ276" s="2145"/>
      <c r="CR276" s="2145"/>
      <c r="CS276" s="2145"/>
      <c r="CT276" s="1339"/>
      <c r="CU276" s="1340"/>
      <c r="CV276" s="401"/>
      <c r="CW276" s="401"/>
      <c r="CX276" s="207"/>
      <c r="CY276" s="207"/>
      <c r="CZ276" s="207"/>
      <c r="DA276" s="207"/>
      <c r="DB276" s="207"/>
      <c r="DC276" s="15"/>
      <c r="DD276" s="16"/>
      <c r="DE276" s="16"/>
      <c r="DF276" s="16"/>
      <c r="DG276" s="16"/>
      <c r="DH276" s="16"/>
      <c r="DI276" s="1593"/>
      <c r="DJ276" s="1163"/>
      <c r="DK276" s="1163"/>
      <c r="DL276" s="77"/>
      <c r="DM276" s="643" t="s">
        <v>713</v>
      </c>
      <c r="DN276" s="86">
        <v>5</v>
      </c>
      <c r="DO276" s="77"/>
      <c r="DP276" s="77"/>
      <c r="DQ276" s="77"/>
      <c r="DV276" s="78" t="s">
        <v>3340</v>
      </c>
      <c r="DW276" s="1537" t="str">
        <f>IF(AH276="","",AH276)</f>
        <v/>
      </c>
      <c r="EG276" s="80"/>
      <c r="EH276" s="80"/>
      <c r="EI276" s="80"/>
      <c r="EJ276" s="80"/>
      <c r="EK276" s="80"/>
      <c r="FO276" s="579"/>
      <c r="FV276" s="80"/>
      <c r="FW276" s="80"/>
      <c r="FX276" s="80"/>
      <c r="FY276" s="80"/>
      <c r="FZ276" s="80"/>
      <c r="GA276" s="77"/>
    </row>
    <row r="277" spans="1:183" ht="15" customHeight="1" thickBot="1" x14ac:dyDescent="0.2">
      <c r="A277" s="1201"/>
      <c r="B277" s="1201"/>
      <c r="C277" s="1201"/>
      <c r="D277" s="1201"/>
      <c r="E277" s="1202"/>
      <c r="BT277" s="422"/>
      <c r="BU277" s="644"/>
      <c r="BV277" s="645"/>
      <c r="BW277" s="646"/>
      <c r="DD277" s="16"/>
      <c r="DE277" s="16"/>
      <c r="DF277" s="16"/>
      <c r="DG277" s="16"/>
      <c r="DH277" s="16"/>
      <c r="DI277" s="1593"/>
      <c r="DJ277" s="1163"/>
      <c r="DM277" s="647" t="s">
        <v>1831</v>
      </c>
      <c r="DN277" s="86">
        <v>6</v>
      </c>
      <c r="DP277" s="462"/>
      <c r="EG277" s="78"/>
      <c r="EH277" s="78"/>
      <c r="EI277" s="78"/>
      <c r="EJ277" s="78"/>
      <c r="EK277" s="78"/>
      <c r="FV277" s="78"/>
      <c r="FW277" s="78"/>
      <c r="FX277" s="78"/>
      <c r="FY277" s="78"/>
      <c r="FZ277" s="78"/>
    </row>
    <row r="278" spans="1:183" ht="35.1" customHeight="1" x14ac:dyDescent="0.55000000000000004">
      <c r="A278" s="1201"/>
      <c r="B278" s="1201"/>
      <c r="C278" s="1201"/>
      <c r="D278" s="1201"/>
      <c r="E278" s="1202"/>
      <c r="J278" s="2156" t="s">
        <v>2170</v>
      </c>
      <c r="K278" s="2538"/>
      <c r="L278" s="2538"/>
      <c r="M278" s="2538"/>
      <c r="N278" s="2538"/>
      <c r="O278" s="2538"/>
      <c r="P278" s="2538"/>
      <c r="Q278" s="2538"/>
      <c r="R278" s="2538"/>
      <c r="S278" s="2538"/>
      <c r="T278" s="2538"/>
      <c r="U278" s="2538"/>
      <c r="V278" s="2538"/>
      <c r="W278" s="2538"/>
      <c r="X278" s="2538"/>
      <c r="Y278" s="2538"/>
      <c r="Z278" s="2538"/>
      <c r="AA278" s="2538"/>
      <c r="AB278" s="2538"/>
      <c r="AC278" s="2538"/>
      <c r="AD278" s="2538"/>
      <c r="AE278" s="2538"/>
      <c r="AF278" s="2538"/>
      <c r="AG278" s="2538"/>
      <c r="AH278" s="2538"/>
      <c r="AI278" s="2538"/>
      <c r="AJ278" s="2538"/>
      <c r="AK278" s="2538"/>
      <c r="AL278" s="2538"/>
      <c r="AM278" s="2538"/>
      <c r="AN278" s="2538"/>
      <c r="AO278" s="2538"/>
      <c r="AP278" s="2538"/>
      <c r="AQ278" s="2538"/>
      <c r="AR278" s="2538"/>
      <c r="AS278" s="2538"/>
      <c r="AT278" s="2538"/>
      <c r="AU278" s="2538"/>
      <c r="AV278" s="2538"/>
      <c r="AW278" s="2538"/>
      <c r="AX278" s="2538"/>
      <c r="AY278" s="2538"/>
      <c r="AZ278" s="2538"/>
      <c r="BA278" s="2538"/>
      <c r="BB278" s="2538"/>
      <c r="BC278" s="2538"/>
      <c r="BD278" s="2538"/>
      <c r="BE278" s="2538"/>
      <c r="BF278" s="2538"/>
      <c r="BG278" s="2538"/>
      <c r="BH278" s="2538"/>
      <c r="BI278" s="2538"/>
      <c r="BJ278" s="2538"/>
      <c r="BK278" s="2538"/>
      <c r="BL278" s="1713"/>
      <c r="BM278" s="1362"/>
      <c r="BN278" s="1362"/>
      <c r="BO278" s="1362"/>
      <c r="BP278" s="1362"/>
      <c r="BQ278" s="1362"/>
      <c r="BR278" s="1362"/>
      <c r="BS278" s="1362"/>
      <c r="BT278" s="1708" t="s">
        <v>2849</v>
      </c>
      <c r="BU278" s="586"/>
      <c r="BV278" s="389"/>
      <c r="BW278" s="389"/>
      <c r="BX278" s="1191"/>
      <c r="BY278" s="1191"/>
      <c r="BZ278" s="1191"/>
      <c r="CA278" s="1191"/>
      <c r="CB278" s="1191"/>
      <c r="CC278" s="1191"/>
      <c r="CD278" s="1191"/>
      <c r="CE278" s="1191"/>
      <c r="CF278" s="1191"/>
      <c r="CG278" s="1191"/>
      <c r="CH278" s="1191"/>
      <c r="CI278" s="1191"/>
      <c r="CJ278" s="1191"/>
      <c r="CK278" s="1191"/>
      <c r="CL278" s="1191"/>
      <c r="CM278" s="1191"/>
      <c r="CN278" s="1191"/>
      <c r="CO278" s="1191"/>
      <c r="CP278" s="1191"/>
      <c r="CQ278" s="1191"/>
      <c r="CR278" s="1191"/>
      <c r="CS278" s="1191"/>
      <c r="CT278" s="1191"/>
      <c r="CU278" s="390"/>
      <c r="DD278" s="16"/>
      <c r="DE278" s="16"/>
      <c r="DF278" s="16"/>
      <c r="DG278" s="16"/>
      <c r="DH278" s="16"/>
      <c r="DI278" s="1593"/>
      <c r="DJ278" s="1163"/>
      <c r="DM278" s="207"/>
      <c r="DP278" s="94"/>
      <c r="EG278" s="84"/>
      <c r="EH278" s="84"/>
      <c r="EI278" s="84"/>
      <c r="EJ278" s="84"/>
      <c r="EK278" s="84"/>
      <c r="FV278" s="84"/>
      <c r="FW278" s="84"/>
      <c r="FX278" s="84"/>
      <c r="FY278" s="84"/>
      <c r="FZ278" s="84"/>
    </row>
    <row r="279" spans="1:183" ht="30" customHeight="1" thickBot="1" x14ac:dyDescent="0.2">
      <c r="A279" s="1201"/>
      <c r="B279" s="1201"/>
      <c r="C279" s="1201"/>
      <c r="D279" s="1201"/>
      <c r="E279" s="1202"/>
      <c r="J279" s="1221"/>
      <c r="K279" s="1222"/>
      <c r="L279" s="1222"/>
      <c r="M279" s="2566" t="s">
        <v>2175</v>
      </c>
      <c r="N279" s="2567"/>
      <c r="O279" s="2567"/>
      <c r="P279" s="2567"/>
      <c r="Q279" s="2567"/>
      <c r="R279" s="2567"/>
      <c r="S279" s="2567"/>
      <c r="T279" s="2567"/>
      <c r="U279" s="2567"/>
      <c r="V279" s="2567"/>
      <c r="W279" s="2567"/>
      <c r="X279" s="2567"/>
      <c r="Y279" s="2567"/>
      <c r="Z279" s="2567"/>
      <c r="AA279" s="2567"/>
      <c r="AB279" s="2801"/>
      <c r="AC279" s="2802"/>
      <c r="AD279" s="2802"/>
      <c r="AE279" s="2802"/>
      <c r="AF279" s="2802"/>
      <c r="AG279" s="2802"/>
      <c r="AH279" s="2802"/>
      <c r="AI279" s="2802"/>
      <c r="AJ279" s="2802"/>
      <c r="AK279" s="2802"/>
      <c r="AL279" s="2802"/>
      <c r="AM279" s="2802"/>
      <c r="AN279" s="2802"/>
      <c r="AO279" s="2802"/>
      <c r="AP279" s="2802"/>
      <c r="AQ279" s="2802"/>
      <c r="AR279" s="2802"/>
      <c r="AS279" s="1341"/>
      <c r="AT279" s="1271"/>
      <c r="AU279" s="1271"/>
      <c r="AV279" s="1271"/>
      <c r="AW279" s="1271"/>
      <c r="AX279" s="1271"/>
      <c r="AY279" s="1271"/>
      <c r="AZ279" s="1271"/>
      <c r="BA279" s="1271"/>
      <c r="BB279" s="1271"/>
      <c r="BC279" s="1271"/>
      <c r="BD279" s="1271"/>
      <c r="BE279" s="1271"/>
      <c r="BF279" s="1271"/>
      <c r="BG279" s="1271"/>
      <c r="BH279" s="1271"/>
      <c r="BI279" s="1271"/>
      <c r="BJ279" s="1271"/>
      <c r="BK279" s="1271"/>
      <c r="BL279" s="1271"/>
      <c r="BM279" s="1271"/>
      <c r="BN279" s="1271"/>
      <c r="BO279" s="1271"/>
      <c r="BP279" s="1271"/>
      <c r="BQ279" s="1271"/>
      <c r="BR279" s="1271"/>
      <c r="BS279" s="1271"/>
      <c r="BT279" s="1271"/>
      <c r="BU279" s="648"/>
      <c r="BV279" s="649" t="s">
        <v>1844</v>
      </c>
      <c r="BW279" s="2195" t="s">
        <v>2174</v>
      </c>
      <c r="BX279" s="2195"/>
      <c r="BY279" s="2195"/>
      <c r="BZ279" s="2195"/>
      <c r="CA279" s="2195"/>
      <c r="CB279" s="2195"/>
      <c r="CC279" s="2195"/>
      <c r="CD279" s="2195"/>
      <c r="CE279" s="2195"/>
      <c r="CF279" s="2195"/>
      <c r="CG279" s="2195"/>
      <c r="CH279" s="2195"/>
      <c r="CI279" s="2195"/>
      <c r="CJ279" s="2195"/>
      <c r="CK279" s="2195"/>
      <c r="CL279" s="2195"/>
      <c r="CM279" s="2195"/>
      <c r="CN279" s="2195"/>
      <c r="CO279" s="2195"/>
      <c r="CP279" s="2195"/>
      <c r="CQ279" s="2195"/>
      <c r="CR279" s="2195"/>
      <c r="CS279" s="2195"/>
      <c r="CT279" s="1175"/>
      <c r="CU279" s="1176"/>
      <c r="DD279" s="16"/>
      <c r="DE279" s="16"/>
      <c r="DF279" s="16"/>
      <c r="DG279" s="16"/>
      <c r="DH279" s="16"/>
      <c r="DI279" s="1593"/>
      <c r="DJ279" s="1163"/>
      <c r="DP279" s="94"/>
      <c r="EG279" s="84"/>
      <c r="EH279" s="84"/>
      <c r="EI279" s="84"/>
      <c r="EJ279" s="84"/>
      <c r="EK279" s="84"/>
      <c r="FV279" s="84"/>
      <c r="FW279" s="84"/>
      <c r="FX279" s="84"/>
      <c r="FY279" s="84"/>
      <c r="FZ279" s="84"/>
    </row>
    <row r="280" spans="1:183" ht="15" customHeight="1" thickBot="1" x14ac:dyDescent="0.2">
      <c r="A280" s="1201"/>
      <c r="B280" s="1201"/>
      <c r="C280" s="1201"/>
      <c r="D280" s="1201"/>
      <c r="E280" s="1202"/>
      <c r="BT280" s="422"/>
      <c r="BU280" s="645"/>
      <c r="BV280" s="646"/>
      <c r="BW280" s="646"/>
      <c r="DD280" s="16"/>
      <c r="DE280" s="16"/>
      <c r="DF280" s="16"/>
      <c r="DG280" s="16"/>
      <c r="DH280" s="16"/>
      <c r="DI280" s="1593"/>
      <c r="DJ280" s="1163"/>
      <c r="DP280" s="94"/>
      <c r="EG280" s="84"/>
      <c r="EH280" s="84"/>
      <c r="EI280" s="84"/>
      <c r="EJ280" s="84"/>
      <c r="EK280" s="84"/>
      <c r="FV280" s="84"/>
      <c r="FW280" s="84"/>
      <c r="FX280" s="84"/>
      <c r="FY280" s="84"/>
      <c r="FZ280" s="84"/>
    </row>
    <row r="281" spans="1:183" ht="35.1" customHeight="1" thickBot="1" x14ac:dyDescent="0.6">
      <c r="A281" s="1201"/>
      <c r="B281" s="1201"/>
      <c r="C281" s="1201"/>
      <c r="D281" s="1201"/>
      <c r="E281" s="1202"/>
      <c r="J281" s="1363" t="s">
        <v>2176</v>
      </c>
      <c r="K281" s="1415"/>
      <c r="L281" s="1415"/>
      <c r="M281" s="1416"/>
      <c r="N281" s="1416"/>
      <c r="O281" s="1416"/>
      <c r="P281" s="1416"/>
      <c r="Q281" s="1416"/>
      <c r="R281" s="1416"/>
      <c r="S281" s="1416"/>
      <c r="T281" s="1416"/>
      <c r="U281" s="1416"/>
      <c r="V281" s="1416"/>
      <c r="W281" s="1416"/>
      <c r="X281" s="1416"/>
      <c r="Y281" s="1416"/>
      <c r="Z281" s="1416"/>
      <c r="AA281" s="1416"/>
      <c r="AB281" s="1416"/>
      <c r="AC281" s="1416"/>
      <c r="AD281" s="1416"/>
      <c r="AE281" s="1416"/>
      <c r="AF281" s="1416"/>
      <c r="AG281" s="1416"/>
      <c r="AH281" s="1416"/>
      <c r="AI281" s="1416"/>
      <c r="AJ281" s="1416"/>
      <c r="AK281" s="1416"/>
      <c r="AL281" s="1416"/>
      <c r="AM281" s="1416"/>
      <c r="AN281" s="1416"/>
      <c r="AO281" s="1416"/>
      <c r="AP281" s="1416"/>
      <c r="AQ281" s="1416"/>
      <c r="AR281" s="1416"/>
      <c r="AS281" s="1416"/>
      <c r="AT281" s="1416"/>
      <c r="AU281" s="1416"/>
      <c r="AV281" s="1416"/>
      <c r="AW281" s="1416"/>
      <c r="AX281" s="1416"/>
      <c r="AY281" s="1416"/>
      <c r="AZ281" s="1416"/>
      <c r="BA281" s="1416"/>
      <c r="BB281" s="1416"/>
      <c r="BC281" s="1416"/>
      <c r="BD281" s="1416"/>
      <c r="BE281" s="1416"/>
      <c r="BF281" s="1416"/>
      <c r="BG281" s="1767"/>
      <c r="BH281" s="1767"/>
      <c r="BI281" s="1767"/>
      <c r="BJ281" s="1767"/>
      <c r="BK281" s="1767"/>
      <c r="BL281" s="1767"/>
      <c r="BM281" s="1767"/>
      <c r="BN281" s="1767"/>
      <c r="BO281" s="1767"/>
      <c r="BP281" s="1767"/>
      <c r="BQ281" s="1767"/>
      <c r="BR281" s="1767"/>
      <c r="BS281" s="1767"/>
      <c r="BT281" s="1708" t="s">
        <v>3192</v>
      </c>
      <c r="BU281" s="389"/>
      <c r="BV281" s="389"/>
      <c r="BW281" s="1191"/>
      <c r="BX281" s="1191"/>
      <c r="BY281" s="1191"/>
      <c r="BZ281" s="1191"/>
      <c r="CA281" s="1191"/>
      <c r="CB281" s="1191"/>
      <c r="CC281" s="1191"/>
      <c r="CD281" s="1191"/>
      <c r="CE281" s="1191"/>
      <c r="CF281" s="1191"/>
      <c r="CG281" s="1191"/>
      <c r="CH281" s="1191"/>
      <c r="CI281" s="1191"/>
      <c r="CJ281" s="1191"/>
      <c r="CK281" s="1191"/>
      <c r="CL281" s="1191"/>
      <c r="CM281" s="1191"/>
      <c r="CN281" s="1191"/>
      <c r="CO281" s="1191"/>
      <c r="CP281" s="1191"/>
      <c r="CQ281" s="1191"/>
      <c r="CR281" s="1191"/>
      <c r="CS281" s="1191"/>
      <c r="CT281" s="1191"/>
      <c r="CU281" s="390"/>
      <c r="DD281" s="16"/>
      <c r="DE281" s="16"/>
      <c r="DF281" s="16"/>
      <c r="DG281" s="16"/>
      <c r="DH281" s="16"/>
      <c r="DI281" s="1593"/>
      <c r="DJ281" s="1163"/>
      <c r="DM281" s="647" t="s">
        <v>137</v>
      </c>
      <c r="DN281" s="86">
        <v>7</v>
      </c>
      <c r="DP281" s="186" t="s">
        <v>1279</v>
      </c>
      <c r="EG281" s="78"/>
      <c r="EH281" s="78"/>
      <c r="EI281" s="78"/>
      <c r="EJ281" s="78"/>
      <c r="EK281" s="78"/>
      <c r="FV281" s="78"/>
      <c r="FW281" s="78"/>
      <c r="FX281" s="78"/>
      <c r="FY281" s="78"/>
      <c r="FZ281" s="78"/>
    </row>
    <row r="282" spans="1:183" ht="27" customHeight="1" thickBot="1" x14ac:dyDescent="0.2">
      <c r="A282" s="1201"/>
      <c r="B282" s="1201"/>
      <c r="C282" s="1201"/>
      <c r="D282" s="1201"/>
      <c r="E282" s="1202"/>
      <c r="J282" s="1218"/>
      <c r="K282" s="1235"/>
      <c r="L282" s="1235"/>
      <c r="M282" s="2237" t="s">
        <v>691</v>
      </c>
      <c r="N282" s="2817"/>
      <c r="O282" s="2817"/>
      <c r="P282" s="2817"/>
      <c r="Q282" s="2817"/>
      <c r="R282" s="2817"/>
      <c r="S282" s="2237" t="s">
        <v>685</v>
      </c>
      <c r="T282" s="2237"/>
      <c r="U282" s="2237"/>
      <c r="V282" s="2237"/>
      <c r="W282" s="2237"/>
      <c r="X282" s="2237"/>
      <c r="Y282" s="2237"/>
      <c r="Z282" s="2237"/>
      <c r="AA282" s="2237"/>
      <c r="AB282" s="2137"/>
      <c r="AC282" s="2590"/>
      <c r="AD282" s="2590"/>
      <c r="AE282" s="1250"/>
      <c r="AF282" s="1250"/>
      <c r="AG282" s="1250"/>
      <c r="AH282" s="1250"/>
      <c r="AI282" s="1250"/>
      <c r="AJ282" s="1250"/>
      <c r="AK282" s="1250"/>
      <c r="AL282" s="1250"/>
      <c r="AM282" s="1250"/>
      <c r="AN282" s="1250"/>
      <c r="AO282" s="1250"/>
      <c r="AP282" s="1250"/>
      <c r="AQ282" s="1330" t="str">
        <f>IF(AB282="","←どちらかは必ず選んでください","")</f>
        <v>←どちらかは必ず選んでください</v>
      </c>
      <c r="AR282" s="1250"/>
      <c r="AS282" s="1250"/>
      <c r="AT282" s="1250"/>
      <c r="AU282" s="1250"/>
      <c r="AV282" s="1250"/>
      <c r="AW282" s="1250"/>
      <c r="AX282" s="1250"/>
      <c r="AY282" s="1250"/>
      <c r="AZ282" s="1250"/>
      <c r="BA282" s="1250"/>
      <c r="BB282" s="1250"/>
      <c r="BC282" s="1250"/>
      <c r="BD282" s="1250"/>
      <c r="BE282" s="1250"/>
      <c r="BF282" s="1250"/>
      <c r="BG282" s="1250"/>
      <c r="BH282" s="1250"/>
      <c r="BI282" s="1250"/>
      <c r="BJ282" s="1250"/>
      <c r="BK282" s="1250"/>
      <c r="BL282" s="1250"/>
      <c r="BM282" s="1250"/>
      <c r="BN282" s="1250"/>
      <c r="BO282" s="1250"/>
      <c r="BP282" s="1250"/>
      <c r="BQ282" s="1250"/>
      <c r="BR282" s="1250"/>
      <c r="BS282" s="1250"/>
      <c r="BT282" s="1250"/>
      <c r="BU282" s="1181"/>
      <c r="BV282" s="650" t="s">
        <v>1844</v>
      </c>
      <c r="BW282" s="2141" t="s">
        <v>3194</v>
      </c>
      <c r="BX282" s="2141"/>
      <c r="BY282" s="2141"/>
      <c r="BZ282" s="2141"/>
      <c r="CA282" s="2141"/>
      <c r="CB282" s="2141"/>
      <c r="CC282" s="2141"/>
      <c r="CD282" s="2141"/>
      <c r="CE282" s="2141"/>
      <c r="CF282" s="2141"/>
      <c r="CG282" s="2141"/>
      <c r="CH282" s="2141"/>
      <c r="CI282" s="2141"/>
      <c r="CJ282" s="2141"/>
      <c r="CK282" s="2141"/>
      <c r="CL282" s="2141"/>
      <c r="CM282" s="2141"/>
      <c r="CN282" s="2141"/>
      <c r="CO282" s="2141"/>
      <c r="CP282" s="2141"/>
      <c r="CQ282" s="2141"/>
      <c r="CR282" s="2141"/>
      <c r="CS282" s="2141"/>
      <c r="CT282" s="1177"/>
      <c r="CU282" s="1178"/>
      <c r="DD282" s="16"/>
      <c r="DE282" s="16"/>
      <c r="DF282" s="16"/>
      <c r="DG282" s="16"/>
      <c r="DH282" s="16"/>
      <c r="DJ282" s="1163"/>
      <c r="DP282" s="186">
        <f>IF(AB282="無",1,0)</f>
        <v>0</v>
      </c>
      <c r="EG282" s="78"/>
      <c r="EH282" s="78"/>
      <c r="EI282" s="78"/>
      <c r="EJ282" s="78"/>
      <c r="EK282" s="78"/>
      <c r="FV282" s="78"/>
      <c r="FW282" s="78"/>
      <c r="FX282" s="78"/>
      <c r="FY282" s="78"/>
      <c r="FZ282" s="78"/>
    </row>
    <row r="283" spans="1:183" ht="27" hidden="1" customHeight="1" x14ac:dyDescent="0.15">
      <c r="A283" s="1201"/>
      <c r="B283" s="1201"/>
      <c r="C283" s="1201"/>
      <c r="D283" s="1201"/>
      <c r="E283" s="1202"/>
      <c r="J283" s="1218"/>
      <c r="K283" s="1235"/>
      <c r="L283" s="1235"/>
      <c r="M283" s="2769"/>
      <c r="N283" s="2769"/>
      <c r="O283" s="2769"/>
      <c r="P283" s="2769"/>
      <c r="Q283" s="2769"/>
      <c r="R283" s="2769"/>
      <c r="S283" s="2182"/>
      <c r="T283" s="2182"/>
      <c r="U283" s="2182"/>
      <c r="V283" s="2182"/>
      <c r="W283" s="2182"/>
      <c r="X283" s="2182"/>
      <c r="Y283" s="2182"/>
      <c r="Z283" s="2182"/>
      <c r="AA283" s="2182"/>
      <c r="AB283" s="2201"/>
      <c r="AC283" s="2223"/>
      <c r="AD283" s="2223"/>
      <c r="AE283" s="1216" t="s">
        <v>693</v>
      </c>
      <c r="AF283" s="1216"/>
      <c r="AG283" s="1216"/>
      <c r="AH283" s="1216"/>
      <c r="AI283" s="1216"/>
      <c r="AJ283" s="1216"/>
      <c r="AK283" s="1216"/>
      <c r="AL283" s="1216"/>
      <c r="AM283" s="1216"/>
      <c r="AN283" s="1216"/>
      <c r="AO283" s="1216"/>
      <c r="AP283" s="1216"/>
      <c r="AQ283" s="1295" t="str">
        <f t="shared" ref="AQ283:AQ287" si="13">IF(AB283="","←どちらかは必ず選んでください","")</f>
        <v>←どちらかは必ず選んでください</v>
      </c>
      <c r="AR283" s="1216"/>
      <c r="AS283" s="1216"/>
      <c r="AT283" s="1216"/>
      <c r="AU283" s="1216"/>
      <c r="AV283" s="1216"/>
      <c r="AW283" s="1216"/>
      <c r="AX283" s="1216"/>
      <c r="AY283" s="1216"/>
      <c r="AZ283" s="1216"/>
      <c r="BA283" s="1216"/>
      <c r="BB283" s="1216"/>
      <c r="BC283" s="1216"/>
      <c r="BD283" s="1216"/>
      <c r="BE283" s="1216"/>
      <c r="BF283" s="1216"/>
      <c r="BG283" s="1216"/>
      <c r="BH283" s="1216"/>
      <c r="BI283" s="1216"/>
      <c r="BJ283" s="1216"/>
      <c r="BK283" s="1216"/>
      <c r="BL283" s="1216"/>
      <c r="BM283" s="1216"/>
      <c r="BN283" s="1216"/>
      <c r="BO283" s="1216"/>
      <c r="BP283" s="1216"/>
      <c r="BQ283" s="1216"/>
      <c r="BR283" s="1216"/>
      <c r="BS283" s="1216"/>
      <c r="BT283" s="1216"/>
      <c r="BU283" s="1181"/>
      <c r="BV283" s="1181"/>
      <c r="BW283" s="2141"/>
      <c r="BX283" s="2141"/>
      <c r="BY283" s="2141"/>
      <c r="BZ283" s="2141"/>
      <c r="CA283" s="2141"/>
      <c r="CB283" s="2141"/>
      <c r="CC283" s="2141"/>
      <c r="CD283" s="2141"/>
      <c r="CE283" s="2141"/>
      <c r="CF283" s="2141"/>
      <c r="CG283" s="2141"/>
      <c r="CH283" s="2141"/>
      <c r="CI283" s="2141"/>
      <c r="CJ283" s="2141"/>
      <c r="CK283" s="2141"/>
      <c r="CL283" s="2141"/>
      <c r="CM283" s="2141"/>
      <c r="CN283" s="2141"/>
      <c r="CO283" s="2141"/>
      <c r="CP283" s="2141"/>
      <c r="CQ283" s="2141"/>
      <c r="CR283" s="2141"/>
      <c r="CS283" s="2141"/>
      <c r="CT283" s="1177"/>
      <c r="CU283" s="1178"/>
      <c r="DD283" s="16"/>
      <c r="DE283" s="16"/>
      <c r="DF283" s="16"/>
      <c r="DG283" s="16"/>
      <c r="DH283" s="16"/>
      <c r="DI283" s="1595"/>
      <c r="DJ283" s="1163"/>
      <c r="DP283" s="186">
        <f>IF(AB283="無",1,0)</f>
        <v>0</v>
      </c>
      <c r="EG283" s="78"/>
      <c r="EH283" s="78"/>
      <c r="EI283" s="78"/>
      <c r="EJ283" s="78"/>
      <c r="EK283" s="78"/>
      <c r="FV283" s="78"/>
      <c r="FW283" s="78"/>
      <c r="FX283" s="78"/>
      <c r="FY283" s="78"/>
      <c r="FZ283" s="78"/>
    </row>
    <row r="284" spans="1:183" ht="27" hidden="1" customHeight="1" x14ac:dyDescent="0.15">
      <c r="A284" s="1201"/>
      <c r="B284" s="1201"/>
      <c r="C284" s="1201"/>
      <c r="D284" s="1201"/>
      <c r="E284" s="1202"/>
      <c r="J284" s="1218"/>
      <c r="K284" s="1235"/>
      <c r="L284" s="1235"/>
      <c r="M284" s="2769"/>
      <c r="N284" s="2769"/>
      <c r="O284" s="2769"/>
      <c r="P284" s="2769"/>
      <c r="Q284" s="2769"/>
      <c r="R284" s="2769"/>
      <c r="S284" s="2182"/>
      <c r="T284" s="2182"/>
      <c r="U284" s="2182"/>
      <c r="V284" s="2182"/>
      <c r="W284" s="2182"/>
      <c r="X284" s="2182"/>
      <c r="Y284" s="2182"/>
      <c r="Z284" s="2182"/>
      <c r="AA284" s="2182"/>
      <c r="AB284" s="2201"/>
      <c r="AC284" s="2223"/>
      <c r="AD284" s="2223"/>
      <c r="AE284" s="1216" t="s">
        <v>694</v>
      </c>
      <c r="AF284" s="1216"/>
      <c r="AG284" s="1216"/>
      <c r="AH284" s="1216"/>
      <c r="AI284" s="1216"/>
      <c r="AJ284" s="1216"/>
      <c r="AK284" s="1216"/>
      <c r="AL284" s="1216"/>
      <c r="AM284" s="1216"/>
      <c r="AN284" s="1216"/>
      <c r="AO284" s="1216"/>
      <c r="AP284" s="1216"/>
      <c r="AQ284" s="1295" t="str">
        <f t="shared" si="13"/>
        <v>←どちらかは必ず選んでください</v>
      </c>
      <c r="AR284" s="1216"/>
      <c r="AS284" s="1216"/>
      <c r="AT284" s="1216"/>
      <c r="AU284" s="1216"/>
      <c r="AV284" s="1216"/>
      <c r="AW284" s="1216"/>
      <c r="AX284" s="1216"/>
      <c r="AY284" s="1216"/>
      <c r="AZ284" s="1216"/>
      <c r="BA284" s="1216"/>
      <c r="BB284" s="1216"/>
      <c r="BC284" s="1216"/>
      <c r="BD284" s="1216"/>
      <c r="BE284" s="1216"/>
      <c r="BF284" s="1216"/>
      <c r="BG284" s="1216"/>
      <c r="BH284" s="1216"/>
      <c r="BI284" s="1216"/>
      <c r="BJ284" s="1216"/>
      <c r="BK284" s="1216"/>
      <c r="BL284" s="1216"/>
      <c r="BM284" s="1216"/>
      <c r="BN284" s="1216"/>
      <c r="BO284" s="1216"/>
      <c r="BP284" s="1216"/>
      <c r="BQ284" s="1216"/>
      <c r="BR284" s="1216"/>
      <c r="BS284" s="1216"/>
      <c r="BT284" s="1216"/>
      <c r="BU284" s="1181"/>
      <c r="BV284" s="1181"/>
      <c r="BW284" s="2141"/>
      <c r="BX284" s="2141"/>
      <c r="BY284" s="2141"/>
      <c r="BZ284" s="2141"/>
      <c r="CA284" s="2141"/>
      <c r="CB284" s="2141"/>
      <c r="CC284" s="2141"/>
      <c r="CD284" s="2141"/>
      <c r="CE284" s="2141"/>
      <c r="CF284" s="2141"/>
      <c r="CG284" s="2141"/>
      <c r="CH284" s="2141"/>
      <c r="CI284" s="2141"/>
      <c r="CJ284" s="2141"/>
      <c r="CK284" s="2141"/>
      <c r="CL284" s="2141"/>
      <c r="CM284" s="2141"/>
      <c r="CN284" s="2141"/>
      <c r="CO284" s="2141"/>
      <c r="CP284" s="2141"/>
      <c r="CQ284" s="2141"/>
      <c r="CR284" s="2141"/>
      <c r="CS284" s="2141"/>
      <c r="CT284" s="1177"/>
      <c r="CU284" s="1178"/>
      <c r="DD284" s="16"/>
      <c r="DE284" s="16"/>
      <c r="DF284" s="16"/>
      <c r="DG284" s="16"/>
      <c r="DH284" s="16"/>
      <c r="DI284" s="1595"/>
      <c r="DJ284" s="1163"/>
      <c r="DP284" s="186">
        <f>IF(AB284="無",1,0)</f>
        <v>0</v>
      </c>
      <c r="EG284" s="78"/>
      <c r="EH284" s="78"/>
      <c r="EI284" s="78"/>
      <c r="EJ284" s="78"/>
      <c r="EK284" s="78"/>
      <c r="FV284" s="78"/>
      <c r="FW284" s="78"/>
      <c r="FX284" s="78"/>
      <c r="FY284" s="78"/>
      <c r="FZ284" s="78"/>
    </row>
    <row r="285" spans="1:183" ht="27" hidden="1" customHeight="1" thickBot="1" x14ac:dyDescent="0.2">
      <c r="A285" s="1201"/>
      <c r="B285" s="1201"/>
      <c r="C285" s="1201"/>
      <c r="D285" s="1201"/>
      <c r="E285" s="1202"/>
      <c r="J285" s="1218"/>
      <c r="K285" s="1235"/>
      <c r="L285" s="1235"/>
      <c r="M285" s="2769"/>
      <c r="N285" s="2769"/>
      <c r="O285" s="2769"/>
      <c r="P285" s="2769"/>
      <c r="Q285" s="2769"/>
      <c r="R285" s="2769"/>
      <c r="S285" s="2183"/>
      <c r="T285" s="2183"/>
      <c r="U285" s="2183"/>
      <c r="V285" s="2183"/>
      <c r="W285" s="2183"/>
      <c r="X285" s="2183"/>
      <c r="Y285" s="2183"/>
      <c r="Z285" s="2183"/>
      <c r="AA285" s="2183"/>
      <c r="AB285" s="2201"/>
      <c r="AC285" s="2223"/>
      <c r="AD285" s="2223"/>
      <c r="AE285" s="1254" t="s">
        <v>695</v>
      </c>
      <c r="AF285" s="1254"/>
      <c r="AG285" s="1216"/>
      <c r="AH285" s="1216"/>
      <c r="AI285" s="1216"/>
      <c r="AJ285" s="1216"/>
      <c r="AK285" s="1216"/>
      <c r="AL285" s="1216"/>
      <c r="AM285" s="1216"/>
      <c r="AN285" s="1216"/>
      <c r="AO285" s="1216"/>
      <c r="AP285" s="1216"/>
      <c r="AQ285" s="1295" t="str">
        <f t="shared" si="13"/>
        <v>←どちらかは必ず選んでください</v>
      </c>
      <c r="AR285" s="1216"/>
      <c r="AS285" s="1216"/>
      <c r="AT285" s="1216"/>
      <c r="AU285" s="1216"/>
      <c r="AV285" s="1216"/>
      <c r="AW285" s="1216"/>
      <c r="AX285" s="1216"/>
      <c r="AY285" s="1216"/>
      <c r="AZ285" s="1216"/>
      <c r="BA285" s="1216"/>
      <c r="BB285" s="1216"/>
      <c r="BC285" s="1216"/>
      <c r="BD285" s="1216"/>
      <c r="BE285" s="1216"/>
      <c r="BF285" s="1216"/>
      <c r="BG285" s="1216"/>
      <c r="BH285" s="1216"/>
      <c r="BI285" s="1216"/>
      <c r="BJ285" s="1216"/>
      <c r="BK285" s="1216"/>
      <c r="BL285" s="1216"/>
      <c r="BM285" s="1216"/>
      <c r="BN285" s="1216"/>
      <c r="BO285" s="1216"/>
      <c r="BP285" s="1216"/>
      <c r="BQ285" s="1216"/>
      <c r="BR285" s="1216"/>
      <c r="BS285" s="1216"/>
      <c r="BT285" s="1216"/>
      <c r="BU285" s="1181"/>
      <c r="BV285" s="1181"/>
      <c r="BW285" s="2141"/>
      <c r="BX285" s="2141"/>
      <c r="BY285" s="2141"/>
      <c r="BZ285" s="2141"/>
      <c r="CA285" s="2141"/>
      <c r="CB285" s="2141"/>
      <c r="CC285" s="2141"/>
      <c r="CD285" s="2141"/>
      <c r="CE285" s="2141"/>
      <c r="CF285" s="2141"/>
      <c r="CG285" s="2141"/>
      <c r="CH285" s="2141"/>
      <c r="CI285" s="2141"/>
      <c r="CJ285" s="2141"/>
      <c r="CK285" s="2141"/>
      <c r="CL285" s="2141"/>
      <c r="CM285" s="2141"/>
      <c r="CN285" s="2141"/>
      <c r="CO285" s="2141"/>
      <c r="CP285" s="2141"/>
      <c r="CQ285" s="2141"/>
      <c r="CR285" s="2141"/>
      <c r="CS285" s="2141"/>
      <c r="CT285" s="1177"/>
      <c r="CU285" s="1178"/>
      <c r="DD285" s="16"/>
      <c r="DE285" s="16"/>
      <c r="DF285" s="16"/>
      <c r="DG285" s="16"/>
      <c r="DH285" s="16"/>
      <c r="DI285" s="1595"/>
      <c r="DJ285" s="1163"/>
      <c r="DP285" s="208">
        <f>IF(AB285="無",1,0)</f>
        <v>0</v>
      </c>
      <c r="EG285" s="84"/>
      <c r="EH285" s="84"/>
      <c r="EI285" s="84"/>
      <c r="EJ285" s="84"/>
      <c r="EK285" s="84"/>
      <c r="FV285" s="84"/>
      <c r="FW285" s="84"/>
      <c r="FX285" s="84"/>
      <c r="FY285" s="84"/>
      <c r="FZ285" s="84"/>
    </row>
    <row r="286" spans="1:183" ht="27" customHeight="1" thickBot="1" x14ac:dyDescent="0.2">
      <c r="A286" s="1201"/>
      <c r="B286" s="1201"/>
      <c r="C286" s="1201"/>
      <c r="D286" s="1201"/>
      <c r="E286" s="1202"/>
      <c r="J286" s="1218"/>
      <c r="K286" s="1235"/>
      <c r="L286" s="1235"/>
      <c r="M286" s="2818"/>
      <c r="N286" s="2818"/>
      <c r="O286" s="2818"/>
      <c r="P286" s="2818"/>
      <c r="Q286" s="2818"/>
      <c r="R286" s="2818"/>
      <c r="S286" s="2508" t="s">
        <v>699</v>
      </c>
      <c r="T286" s="2546"/>
      <c r="U286" s="2546"/>
      <c r="V286" s="2546"/>
      <c r="W286" s="2546"/>
      <c r="X286" s="2546"/>
      <c r="Y286" s="2546"/>
      <c r="Z286" s="2546"/>
      <c r="AA286" s="2546"/>
      <c r="AB286" s="2224"/>
      <c r="AC286" s="2469"/>
      <c r="AD286" s="2469"/>
      <c r="AE286" s="2469"/>
      <c r="AF286" s="2469"/>
      <c r="AG286" s="1255"/>
      <c r="AH286" s="1255"/>
      <c r="AI286" s="1255"/>
      <c r="AJ286" s="1255"/>
      <c r="AK286" s="1255"/>
      <c r="AL286" s="1255"/>
      <c r="AM286" s="1255"/>
      <c r="AN286" s="1255"/>
      <c r="AO286" s="1255"/>
      <c r="AP286" s="1255"/>
      <c r="AQ286" s="1306" t="str">
        <f t="shared" si="13"/>
        <v>←どちらかは必ず選んでください</v>
      </c>
      <c r="AR286" s="1255"/>
      <c r="AS286" s="1255"/>
      <c r="AT286" s="1255"/>
      <c r="AU286" s="1255"/>
      <c r="AV286" s="1255"/>
      <c r="AW286" s="1255"/>
      <c r="AX286" s="1255"/>
      <c r="AY286" s="1255"/>
      <c r="AZ286" s="1255"/>
      <c r="BA286" s="1255"/>
      <c r="BB286" s="1255"/>
      <c r="BC286" s="1255"/>
      <c r="BD286" s="1255"/>
      <c r="BE286" s="1255"/>
      <c r="BF286" s="1255"/>
      <c r="BG286" s="1255"/>
      <c r="BH286" s="1255"/>
      <c r="BI286" s="1255"/>
      <c r="BJ286" s="1255"/>
      <c r="BK286" s="1255"/>
      <c r="BL286" s="1255"/>
      <c r="BM286" s="1255"/>
      <c r="BN286" s="1255"/>
      <c r="BO286" s="1255"/>
      <c r="BP286" s="1255"/>
      <c r="BQ286" s="1255"/>
      <c r="BR286" s="1255"/>
      <c r="BS286" s="1255"/>
      <c r="BT286" s="1255"/>
      <c r="BU286" s="1181"/>
      <c r="BV286" s="1181"/>
      <c r="BW286" s="2141"/>
      <c r="BX286" s="2141"/>
      <c r="BY286" s="2141"/>
      <c r="BZ286" s="2141"/>
      <c r="CA286" s="2141"/>
      <c r="CB286" s="2141"/>
      <c r="CC286" s="2141"/>
      <c r="CD286" s="2141"/>
      <c r="CE286" s="2141"/>
      <c r="CF286" s="2141"/>
      <c r="CG286" s="2141"/>
      <c r="CH286" s="2141"/>
      <c r="CI286" s="2141"/>
      <c r="CJ286" s="2141"/>
      <c r="CK286" s="2141"/>
      <c r="CL286" s="2141"/>
      <c r="CM286" s="2141"/>
      <c r="CN286" s="2141"/>
      <c r="CO286" s="2141"/>
      <c r="CP286" s="2141"/>
      <c r="CQ286" s="2141"/>
      <c r="CR286" s="2141"/>
      <c r="CS286" s="2141"/>
      <c r="CT286" s="1177"/>
      <c r="CU286" s="1178"/>
      <c r="DD286" s="16"/>
      <c r="DE286" s="16"/>
      <c r="DF286" s="16"/>
      <c r="DG286" s="16"/>
      <c r="DH286" s="16"/>
      <c r="DI286" s="1593"/>
      <c r="DJ286" s="1163"/>
      <c r="DO286" s="72" t="s">
        <v>1609</v>
      </c>
      <c r="DP286" s="209">
        <f>SUM(DP282:DP285)</f>
        <v>0</v>
      </c>
      <c r="EG286" s="84"/>
      <c r="EH286" s="84"/>
      <c r="EI286" s="84"/>
      <c r="EJ286" s="84"/>
      <c r="EK286" s="84"/>
      <c r="FV286" s="84"/>
      <c r="FW286" s="84"/>
      <c r="FX286" s="84"/>
      <c r="FY286" s="84"/>
      <c r="FZ286" s="84"/>
    </row>
    <row r="287" spans="1:183" s="78" customFormat="1" ht="27" customHeight="1" x14ac:dyDescent="0.15">
      <c r="A287" s="1201"/>
      <c r="B287" s="1201"/>
      <c r="C287" s="1201"/>
      <c r="D287" s="1201"/>
      <c r="E287" s="1202"/>
      <c r="F287" s="652"/>
      <c r="G287" s="652"/>
      <c r="H287" s="652"/>
      <c r="I287" s="1249"/>
      <c r="J287" s="1215"/>
      <c r="K287" s="1216"/>
      <c r="L287" s="1216"/>
      <c r="M287" s="2514" t="s">
        <v>696</v>
      </c>
      <c r="N287" s="2514"/>
      <c r="O287" s="2514"/>
      <c r="P287" s="2514"/>
      <c r="Q287" s="2514"/>
      <c r="R287" s="2514"/>
      <c r="S287" s="2514" t="s">
        <v>2821</v>
      </c>
      <c r="T287" s="2514"/>
      <c r="U287" s="2146"/>
      <c r="V287" s="2146"/>
      <c r="W287" s="2146"/>
      <c r="X287" s="2146"/>
      <c r="Y287" s="2146"/>
      <c r="Z287" s="2146"/>
      <c r="AA287" s="2146"/>
      <c r="AB287" s="2137"/>
      <c r="AC287" s="2137"/>
      <c r="AD287" s="2137"/>
      <c r="AE287" s="1273"/>
      <c r="AF287" s="1273"/>
      <c r="AG287" s="1273"/>
      <c r="AH287" s="1711"/>
      <c r="AI287" s="1273"/>
      <c r="AJ287" s="1273"/>
      <c r="AK287" s="1273"/>
      <c r="AL287" s="1273"/>
      <c r="AM287" s="1273"/>
      <c r="AN287" s="1273"/>
      <c r="AO287" s="1273"/>
      <c r="AP287" s="1273"/>
      <c r="AQ287" s="1330" t="str">
        <f t="shared" si="13"/>
        <v>←どちらかは必ず選んでください</v>
      </c>
      <c r="AR287" s="1250"/>
      <c r="AS287" s="1250"/>
      <c r="AT287" s="1250"/>
      <c r="AU287" s="1324"/>
      <c r="AV287" s="1250"/>
      <c r="AW287" s="1250"/>
      <c r="AX287" s="1250"/>
      <c r="AY287" s="1250"/>
      <c r="AZ287" s="1250"/>
      <c r="BA287" s="1250"/>
      <c r="BB287" s="1250"/>
      <c r="BC287" s="1250"/>
      <c r="BD287" s="1250"/>
      <c r="BE287" s="1250"/>
      <c r="BF287" s="1250"/>
      <c r="BG287" s="1250"/>
      <c r="BH287" s="1250"/>
      <c r="BI287" s="1250"/>
      <c r="BJ287" s="1250"/>
      <c r="BK287" s="1250"/>
      <c r="BL287" s="1250"/>
      <c r="BM287" s="1250"/>
      <c r="BN287" s="1250"/>
      <c r="BO287" s="1250"/>
      <c r="BP287" s="1250"/>
      <c r="BQ287" s="1250"/>
      <c r="BR287" s="1250"/>
      <c r="BS287" s="1250"/>
      <c r="BT287" s="1250"/>
      <c r="BU287" s="1181"/>
      <c r="BV287" s="1181"/>
      <c r="BW287" s="2820" t="s">
        <v>1928</v>
      </c>
      <c r="BX287" s="2820"/>
      <c r="BY287" s="2820"/>
      <c r="BZ287" s="2820"/>
      <c r="CA287" s="2820"/>
      <c r="CB287" s="2820"/>
      <c r="CC287" s="2820"/>
      <c r="CD287" s="2820"/>
      <c r="CE287" s="2820"/>
      <c r="CF287" s="2820"/>
      <c r="CG287" s="2820"/>
      <c r="CH287" s="2820"/>
      <c r="CI287" s="2820"/>
      <c r="CJ287" s="2820"/>
      <c r="CK287" s="2820"/>
      <c r="CL287" s="2820"/>
      <c r="CM287" s="2820"/>
      <c r="CN287" s="2820"/>
      <c r="CO287" s="2820"/>
      <c r="CP287" s="2820"/>
      <c r="CQ287" s="2820"/>
      <c r="CR287" s="2820"/>
      <c r="CS287" s="2820"/>
      <c r="CT287" s="1177"/>
      <c r="CU287" s="1178"/>
      <c r="CV287" s="388"/>
      <c r="CW287" s="388"/>
      <c r="CX287" s="207"/>
      <c r="CY287" s="207"/>
      <c r="CZ287" s="207"/>
      <c r="DA287" s="207"/>
      <c r="DB287" s="207"/>
      <c r="DC287" s="15"/>
      <c r="DD287" s="16"/>
      <c r="DE287" s="16"/>
      <c r="DF287" s="16"/>
      <c r="DG287" s="16"/>
      <c r="DH287" s="16"/>
      <c r="DI287" s="1593"/>
      <c r="DJ287" s="1163"/>
      <c r="DK287" s="1163"/>
      <c r="DL287" s="77"/>
      <c r="DP287" s="77"/>
      <c r="DQ287" s="77" t="s">
        <v>1240</v>
      </c>
      <c r="FO287" s="579"/>
      <c r="GA287" s="77"/>
    </row>
    <row r="288" spans="1:183" ht="27" customHeight="1" x14ac:dyDescent="0.15">
      <c r="A288" s="1201"/>
      <c r="B288" s="1201"/>
      <c r="C288" s="1201"/>
      <c r="D288" s="1201"/>
      <c r="E288" s="1202"/>
      <c r="J288" s="1260"/>
      <c r="K288" s="1261"/>
      <c r="L288" s="1261"/>
      <c r="M288" s="2534"/>
      <c r="N288" s="2534"/>
      <c r="O288" s="2534"/>
      <c r="P288" s="2534"/>
      <c r="Q288" s="2534"/>
      <c r="R288" s="2534"/>
      <c r="S288" s="1414"/>
      <c r="T288" s="1414"/>
      <c r="U288" s="2851" t="s">
        <v>698</v>
      </c>
      <c r="V288" s="2851"/>
      <c r="W288" s="2851"/>
      <c r="X288" s="2851"/>
      <c r="Y288" s="2851"/>
      <c r="Z288" s="2851"/>
      <c r="AA288" s="2851"/>
      <c r="AB288" s="2803"/>
      <c r="AC288" s="2803"/>
      <c r="AD288" s="2803"/>
      <c r="AE288" s="2803"/>
      <c r="AF288" s="2803"/>
      <c r="AG288" s="2804"/>
      <c r="AH288" s="2804"/>
      <c r="AI288" s="2804"/>
      <c r="AJ288" s="2804"/>
      <c r="AK288" s="2804"/>
      <c r="AL288" s="2804"/>
      <c r="AM288" s="2804"/>
      <c r="AN288" s="2804"/>
      <c r="AO288" s="2804"/>
      <c r="AP288" s="2804"/>
      <c r="AQ288" s="1216" t="s">
        <v>17</v>
      </c>
      <c r="AR288" s="1216"/>
      <c r="AS288" s="2833" t="str">
        <f>IF(AND(AB287="有",AB288=""),"←「有」の場合、設置階を半角英文字で入力してください。(例：B1、1、12など)","")</f>
        <v/>
      </c>
      <c r="AT288" s="2834"/>
      <c r="AU288" s="2834"/>
      <c r="AV288" s="2834"/>
      <c r="AW288" s="2834"/>
      <c r="AX288" s="2834"/>
      <c r="AY288" s="2834"/>
      <c r="AZ288" s="2834"/>
      <c r="BA288" s="2834"/>
      <c r="BB288" s="2834"/>
      <c r="BC288" s="2834"/>
      <c r="BD288" s="2834"/>
      <c r="BE288" s="2834"/>
      <c r="BF288" s="2834"/>
      <c r="BG288" s="2834"/>
      <c r="BH288" s="2834"/>
      <c r="BI288" s="2834"/>
      <c r="BJ288" s="2834"/>
      <c r="BK288" s="2834"/>
      <c r="BL288" s="2834"/>
      <c r="BM288" s="2834"/>
      <c r="BN288" s="2834"/>
      <c r="BO288" s="2834"/>
      <c r="BP288" s="2834"/>
      <c r="BQ288" s="2834"/>
      <c r="BR288" s="2834"/>
      <c r="BS288" s="2834"/>
      <c r="BT288" s="2834"/>
      <c r="BU288" s="1181"/>
      <c r="BV288" s="1181"/>
      <c r="BW288" s="2820"/>
      <c r="BX288" s="2820"/>
      <c r="BY288" s="2820"/>
      <c r="BZ288" s="2820"/>
      <c r="CA288" s="2820"/>
      <c r="CB288" s="2820"/>
      <c r="CC288" s="2820"/>
      <c r="CD288" s="2820"/>
      <c r="CE288" s="2820"/>
      <c r="CF288" s="2820"/>
      <c r="CG288" s="2820"/>
      <c r="CH288" s="2820"/>
      <c r="CI288" s="2820"/>
      <c r="CJ288" s="2820"/>
      <c r="CK288" s="2820"/>
      <c r="CL288" s="2820"/>
      <c r="CM288" s="2820"/>
      <c r="CN288" s="2820"/>
      <c r="CO288" s="2820"/>
      <c r="CP288" s="2820"/>
      <c r="CQ288" s="2820"/>
      <c r="CR288" s="2820"/>
      <c r="CS288" s="2820"/>
      <c r="CT288" s="1177"/>
      <c r="CU288" s="1178"/>
      <c r="DD288" s="16"/>
      <c r="DE288" s="16"/>
      <c r="DF288" s="16"/>
      <c r="DG288" s="16"/>
      <c r="DH288" s="16"/>
      <c r="DI288" s="1593"/>
      <c r="DJ288" s="1163"/>
      <c r="DM288" s="178" t="s">
        <v>1250</v>
      </c>
      <c r="DN288" s="179"/>
      <c r="DO288" s="177" t="s">
        <v>1237</v>
      </c>
      <c r="DP288" s="177" t="s">
        <v>1239</v>
      </c>
      <c r="EG288" s="78"/>
      <c r="EH288" s="78"/>
      <c r="EI288" s="78"/>
      <c r="EJ288" s="78"/>
      <c r="EK288" s="78"/>
      <c r="FV288" s="78"/>
      <c r="FW288" s="78"/>
      <c r="FX288" s="78"/>
      <c r="FY288" s="78"/>
      <c r="FZ288" s="78"/>
    </row>
    <row r="289" spans="1:183" s="78" customFormat="1" ht="27" customHeight="1" x14ac:dyDescent="0.15">
      <c r="A289" s="1201"/>
      <c r="B289" s="1201"/>
      <c r="C289" s="1201"/>
      <c r="D289" s="1201"/>
      <c r="E289" s="1202"/>
      <c r="F289" s="652"/>
      <c r="G289" s="652"/>
      <c r="H289" s="652"/>
      <c r="I289" s="1249"/>
      <c r="J289" s="1215"/>
      <c r="K289" s="1216"/>
      <c r="L289" s="1216"/>
      <c r="M289" s="2191"/>
      <c r="N289" s="2191"/>
      <c r="O289" s="2191"/>
      <c r="P289" s="2191"/>
      <c r="Q289" s="2191"/>
      <c r="R289" s="2191"/>
      <c r="S289" s="2191" t="s">
        <v>699</v>
      </c>
      <c r="T289" s="2576"/>
      <c r="U289" s="2576"/>
      <c r="V289" s="2576"/>
      <c r="W289" s="2576"/>
      <c r="X289" s="2576"/>
      <c r="Y289" s="2576"/>
      <c r="Z289" s="2576"/>
      <c r="AA289" s="2576"/>
      <c r="AB289" s="2580"/>
      <c r="AC289" s="2672"/>
      <c r="AD289" s="2672"/>
      <c r="AE289" s="2672"/>
      <c r="AF289" s="2672"/>
      <c r="AG289" s="1255"/>
      <c r="AH289" s="1306" t="str">
        <f>IF(AB289="","←どちらかは必ず選んでください","")</f>
        <v>←どちらかは必ず選んでください</v>
      </c>
      <c r="AI289" s="1255"/>
      <c r="AJ289" s="1255"/>
      <c r="AK289" s="1255"/>
      <c r="AL289" s="1255"/>
      <c r="AM289" s="1255"/>
      <c r="AN289" s="1255"/>
      <c r="AO289" s="1255"/>
      <c r="AP289" s="1255"/>
      <c r="AQ289" s="1306"/>
      <c r="AR289" s="1255"/>
      <c r="AS289" s="1255"/>
      <c r="AT289" s="1255"/>
      <c r="AU289" s="1255"/>
      <c r="AV289" s="1255"/>
      <c r="AW289" s="1255"/>
      <c r="AX289" s="1255"/>
      <c r="AY289" s="1255"/>
      <c r="AZ289" s="1255"/>
      <c r="BA289" s="1255"/>
      <c r="BB289" s="1255"/>
      <c r="BC289" s="1255"/>
      <c r="BD289" s="1255"/>
      <c r="BE289" s="1255"/>
      <c r="BF289" s="1255"/>
      <c r="BG289" s="1255"/>
      <c r="BH289" s="1255"/>
      <c r="BI289" s="1255"/>
      <c r="BJ289" s="1255"/>
      <c r="BK289" s="1255"/>
      <c r="BL289" s="1255"/>
      <c r="BM289" s="1255"/>
      <c r="BN289" s="1255"/>
      <c r="BO289" s="1255"/>
      <c r="BP289" s="1255"/>
      <c r="BQ289" s="1255"/>
      <c r="BR289" s="1255"/>
      <c r="BS289" s="1255"/>
      <c r="BT289" s="1255"/>
      <c r="BU289" s="1181"/>
      <c r="BV289" s="650" t="s">
        <v>1844</v>
      </c>
      <c r="BW289" s="2144" t="s">
        <v>3195</v>
      </c>
      <c r="BX289" s="2144"/>
      <c r="BY289" s="2144"/>
      <c r="BZ289" s="2144"/>
      <c r="CA289" s="2144"/>
      <c r="CB289" s="2144"/>
      <c r="CC289" s="2144"/>
      <c r="CD289" s="2144"/>
      <c r="CE289" s="2144"/>
      <c r="CF289" s="2144"/>
      <c r="CG289" s="2144"/>
      <c r="CH289" s="2144"/>
      <c r="CI289" s="2144"/>
      <c r="CJ289" s="2144"/>
      <c r="CK289" s="2144"/>
      <c r="CL289" s="2144"/>
      <c r="CM289" s="2144"/>
      <c r="CN289" s="2144"/>
      <c r="CO289" s="2144"/>
      <c r="CP289" s="2144"/>
      <c r="CQ289" s="2144"/>
      <c r="CR289" s="2144"/>
      <c r="CS289" s="2144"/>
      <c r="CT289" s="1177"/>
      <c r="CU289" s="1178"/>
      <c r="CV289" s="388"/>
      <c r="CW289" s="388"/>
      <c r="CX289" s="207"/>
      <c r="CY289" s="207"/>
      <c r="CZ289" s="207"/>
      <c r="DA289" s="207"/>
      <c r="DB289" s="207"/>
      <c r="DC289" s="15"/>
      <c r="DD289" s="16"/>
      <c r="DE289" s="16"/>
      <c r="DF289" s="16"/>
      <c r="DG289" s="16"/>
      <c r="DH289" s="16"/>
      <c r="DI289" s="1593"/>
      <c r="DJ289" s="1163"/>
      <c r="DK289" s="1163"/>
      <c r="DL289" s="77"/>
      <c r="DM289" s="177" t="str">
        <f>IF(AB289="対象",AB288,"")</f>
        <v/>
      </c>
      <c r="DN289" s="180"/>
      <c r="DO289" s="177" t="str">
        <f>IF(AB289="対象","レ","")</f>
        <v/>
      </c>
      <c r="DP289" s="177" t="str">
        <f>IF(AB289="対象外","レ","")</f>
        <v/>
      </c>
      <c r="DQ289" s="77"/>
      <c r="FO289" s="579"/>
      <c r="GA289" s="77"/>
    </row>
    <row r="290" spans="1:183" s="78" customFormat="1" ht="27" customHeight="1" x14ac:dyDescent="0.15">
      <c r="A290" s="1201"/>
      <c r="B290" s="1201"/>
      <c r="C290" s="1201"/>
      <c r="D290" s="1201"/>
      <c r="E290" s="1202"/>
      <c r="F290" s="652"/>
      <c r="G290" s="652"/>
      <c r="H290" s="652"/>
      <c r="I290" s="1249"/>
      <c r="J290" s="1215"/>
      <c r="K290" s="1216"/>
      <c r="L290" s="1216"/>
      <c r="M290" s="2514" t="s">
        <v>1103</v>
      </c>
      <c r="N290" s="2515"/>
      <c r="O290" s="2515"/>
      <c r="P290" s="2515"/>
      <c r="Q290" s="2515"/>
      <c r="R290" s="2515"/>
      <c r="S290" s="2146" t="s">
        <v>685</v>
      </c>
      <c r="T290" s="2146"/>
      <c r="U290" s="2146"/>
      <c r="V290" s="2146"/>
      <c r="W290" s="2146"/>
      <c r="X290" s="2146"/>
      <c r="Y290" s="2146"/>
      <c r="Z290" s="2146"/>
      <c r="AA290" s="2146"/>
      <c r="AB290" s="2581"/>
      <c r="AC290" s="2581"/>
      <c r="AD290" s="2581"/>
      <c r="AE290" s="1330"/>
      <c r="AF290" s="1250"/>
      <c r="AG290" s="1250"/>
      <c r="AH290" s="1330" t="str">
        <f>IF(AB290="","←どちらかは必ず選んでください","")</f>
        <v>←どちらかは必ず選んでください</v>
      </c>
      <c r="AI290" s="1250"/>
      <c r="AJ290" s="1250"/>
      <c r="AK290" s="1250"/>
      <c r="AL290" s="1250"/>
      <c r="AM290" s="1250"/>
      <c r="AN290" s="1250"/>
      <c r="AO290" s="1250"/>
      <c r="AP290" s="1250"/>
      <c r="AQ290" s="1330"/>
      <c r="AR290" s="1250"/>
      <c r="AS290" s="1250"/>
      <c r="AT290" s="1250"/>
      <c r="AU290" s="1250"/>
      <c r="AV290" s="1250"/>
      <c r="AW290" s="1250"/>
      <c r="AX290" s="1250"/>
      <c r="AY290" s="1250"/>
      <c r="AZ290" s="1250"/>
      <c r="BA290" s="1250"/>
      <c r="BB290" s="1250"/>
      <c r="BC290" s="1250"/>
      <c r="BD290" s="1250"/>
      <c r="BE290" s="1250"/>
      <c r="BF290" s="1250"/>
      <c r="BG290" s="1250"/>
      <c r="BH290" s="1250"/>
      <c r="BI290" s="1250"/>
      <c r="BJ290" s="1250"/>
      <c r="BK290" s="1250"/>
      <c r="BL290" s="1250"/>
      <c r="BM290" s="1250"/>
      <c r="BN290" s="1250"/>
      <c r="BO290" s="1250"/>
      <c r="BP290" s="1250"/>
      <c r="BQ290" s="1250"/>
      <c r="BR290" s="1250"/>
      <c r="BS290" s="1250"/>
      <c r="BT290" s="1250"/>
      <c r="BU290" s="1181"/>
      <c r="BV290" s="1181"/>
      <c r="BW290" s="2144" t="s">
        <v>1917</v>
      </c>
      <c r="BX290" s="2868"/>
      <c r="BY290" s="2868"/>
      <c r="BZ290" s="2868"/>
      <c r="CA290" s="2868"/>
      <c r="CB290" s="2868"/>
      <c r="CC290" s="2868"/>
      <c r="CD290" s="2868"/>
      <c r="CE290" s="2868"/>
      <c r="CF290" s="2868"/>
      <c r="CG290" s="2868"/>
      <c r="CH290" s="2868"/>
      <c r="CI290" s="2868"/>
      <c r="CJ290" s="2868"/>
      <c r="CK290" s="2868"/>
      <c r="CL290" s="2868"/>
      <c r="CM290" s="2868"/>
      <c r="CN290" s="2868"/>
      <c r="CO290" s="2868"/>
      <c r="CP290" s="2868"/>
      <c r="CQ290" s="2868"/>
      <c r="CR290" s="2868"/>
      <c r="CS290" s="2868"/>
      <c r="CT290" s="1177"/>
      <c r="CU290" s="1178"/>
      <c r="CV290" s="388"/>
      <c r="CW290" s="388"/>
      <c r="CX290" s="207"/>
      <c r="CY290" s="207"/>
      <c r="CZ290" s="207"/>
      <c r="DA290" s="207"/>
      <c r="DB290" s="207"/>
      <c r="DC290" s="15"/>
      <c r="DD290" s="16"/>
      <c r="DE290" s="16"/>
      <c r="DF290" s="16"/>
      <c r="DG290" s="16"/>
      <c r="DH290" s="16"/>
      <c r="DI290" s="1593"/>
      <c r="DJ290" s="1163"/>
      <c r="DK290" s="1163"/>
      <c r="DL290" s="77"/>
      <c r="DM290" s="72"/>
      <c r="DN290" s="77"/>
      <c r="DO290" s="77"/>
      <c r="DP290" s="77"/>
      <c r="DQ290" s="77"/>
      <c r="EG290" s="84"/>
      <c r="EH290" s="84"/>
      <c r="EI290" s="84"/>
      <c r="EJ290" s="84"/>
      <c r="EK290" s="84"/>
      <c r="FO290" s="579"/>
      <c r="FV290" s="84"/>
      <c r="FW290" s="84"/>
      <c r="FX290" s="84"/>
      <c r="FY290" s="84"/>
      <c r="FZ290" s="84"/>
      <c r="GA290" s="77"/>
    </row>
    <row r="291" spans="1:183" ht="27" customHeight="1" thickBot="1" x14ac:dyDescent="0.2">
      <c r="A291" s="1201"/>
      <c r="B291" s="1201"/>
      <c r="C291" s="1201"/>
      <c r="D291" s="1201"/>
      <c r="E291" s="1202"/>
      <c r="J291" s="1215"/>
      <c r="K291" s="1216"/>
      <c r="L291" s="1216"/>
      <c r="M291" s="2516"/>
      <c r="N291" s="2516"/>
      <c r="O291" s="2516"/>
      <c r="P291" s="2516"/>
      <c r="Q291" s="2516"/>
      <c r="R291" s="2516"/>
      <c r="S291" s="2508" t="s">
        <v>699</v>
      </c>
      <c r="T291" s="2546"/>
      <c r="U291" s="2546"/>
      <c r="V291" s="2546"/>
      <c r="W291" s="2546"/>
      <c r="X291" s="2546"/>
      <c r="Y291" s="2546"/>
      <c r="Z291" s="2546"/>
      <c r="AA291" s="2546"/>
      <c r="AB291" s="2224"/>
      <c r="AC291" s="2469"/>
      <c r="AD291" s="2469"/>
      <c r="AE291" s="2469"/>
      <c r="AF291" s="2469"/>
      <c r="AG291" s="1256"/>
      <c r="AH291" s="1306" t="str">
        <f>IF(AB291="","←どちらかは必ず選んでください","")</f>
        <v>←どちらかは必ず選んでください</v>
      </c>
      <c r="AI291" s="1256"/>
      <c r="AJ291" s="1256"/>
      <c r="AK291" s="1256"/>
      <c r="AL291" s="1256"/>
      <c r="AM291" s="1256"/>
      <c r="AN291" s="1256"/>
      <c r="AO291" s="1256"/>
      <c r="AP291" s="1256"/>
      <c r="AQ291" s="1306"/>
      <c r="AR291" s="1256"/>
      <c r="AS291" s="1256"/>
      <c r="AT291" s="1256"/>
      <c r="AU291" s="1256"/>
      <c r="AV291" s="1256"/>
      <c r="AW291" s="1256"/>
      <c r="AX291" s="1256"/>
      <c r="AY291" s="1256"/>
      <c r="AZ291" s="1256"/>
      <c r="BA291" s="1256"/>
      <c r="BB291" s="1256"/>
      <c r="BC291" s="1256"/>
      <c r="BD291" s="1256"/>
      <c r="BE291" s="1256"/>
      <c r="BF291" s="1256"/>
      <c r="BG291" s="1256"/>
      <c r="BH291" s="1256"/>
      <c r="BI291" s="1256"/>
      <c r="BJ291" s="1256"/>
      <c r="BK291" s="1256"/>
      <c r="BL291" s="1256"/>
      <c r="BM291" s="1256"/>
      <c r="BN291" s="1256"/>
      <c r="BO291" s="1256"/>
      <c r="BP291" s="1256"/>
      <c r="BQ291" s="1256"/>
      <c r="BR291" s="1256"/>
      <c r="BS291" s="1256"/>
      <c r="BT291" s="1256"/>
      <c r="BU291" s="1181"/>
      <c r="BV291" s="1181"/>
      <c r="BW291" s="2868"/>
      <c r="BX291" s="2868"/>
      <c r="BY291" s="2868"/>
      <c r="BZ291" s="2868"/>
      <c r="CA291" s="2868"/>
      <c r="CB291" s="2868"/>
      <c r="CC291" s="2868"/>
      <c r="CD291" s="2868"/>
      <c r="CE291" s="2868"/>
      <c r="CF291" s="2868"/>
      <c r="CG291" s="2868"/>
      <c r="CH291" s="2868"/>
      <c r="CI291" s="2868"/>
      <c r="CJ291" s="2868"/>
      <c r="CK291" s="2868"/>
      <c r="CL291" s="2868"/>
      <c r="CM291" s="2868"/>
      <c r="CN291" s="2868"/>
      <c r="CO291" s="2868"/>
      <c r="CP291" s="2868"/>
      <c r="CQ291" s="2868"/>
      <c r="CR291" s="2868"/>
      <c r="CS291" s="2868"/>
      <c r="CT291" s="1177"/>
      <c r="CU291" s="1178"/>
      <c r="DD291" s="16"/>
      <c r="DE291" s="16"/>
      <c r="DF291" s="16"/>
      <c r="DG291" s="16"/>
      <c r="DH291" s="16"/>
      <c r="DI291" s="1593"/>
      <c r="DJ291" s="1163"/>
      <c r="EG291" s="84"/>
      <c r="EH291" s="84"/>
      <c r="EI291" s="84"/>
      <c r="EJ291" s="84"/>
      <c r="EK291" s="84"/>
      <c r="FV291" s="84"/>
      <c r="FW291" s="84"/>
      <c r="FX291" s="84"/>
      <c r="FY291" s="84"/>
      <c r="FZ291" s="84"/>
    </row>
    <row r="292" spans="1:183" ht="27" hidden="1" customHeight="1" thickBot="1" x14ac:dyDescent="0.2">
      <c r="A292" s="1201"/>
      <c r="B292" s="1201"/>
      <c r="C292" s="1201"/>
      <c r="D292" s="1201"/>
      <c r="E292" s="1202"/>
      <c r="J292" s="1260"/>
      <c r="K292" s="1261"/>
      <c r="L292" s="1261"/>
      <c r="M292" s="2243" t="s">
        <v>700</v>
      </c>
      <c r="N292" s="2243"/>
      <c r="O292" s="2243"/>
      <c r="P292" s="2243"/>
      <c r="Q292" s="2243"/>
      <c r="R292" s="2243"/>
      <c r="S292" s="2514" t="s">
        <v>697</v>
      </c>
      <c r="T292" s="2514"/>
      <c r="U292" s="2514"/>
      <c r="V292" s="2514"/>
      <c r="W292" s="2514"/>
      <c r="X292" s="2514"/>
      <c r="Y292" s="2514"/>
      <c r="Z292" s="2514"/>
      <c r="AA292" s="2514"/>
      <c r="AB292" s="2581"/>
      <c r="AC292" s="2581"/>
      <c r="AD292" s="2581"/>
      <c r="AE292" s="2244" t="s">
        <v>701</v>
      </c>
      <c r="AF292" s="2245"/>
      <c r="AG292" s="2245"/>
      <c r="AH292" s="2245"/>
      <c r="AI292" s="2245"/>
      <c r="AJ292" s="2245"/>
      <c r="AK292" s="2245"/>
      <c r="AL292" s="2245"/>
      <c r="AM292" s="2245"/>
      <c r="AN292" s="2245"/>
      <c r="AO292" s="2245"/>
      <c r="AP292" s="2245"/>
      <c r="AQ292" s="2245"/>
      <c r="AR292" s="2245"/>
      <c r="AS292" s="2245"/>
      <c r="AT292" s="2245"/>
      <c r="AU292" s="2245"/>
      <c r="AV292" s="2245"/>
      <c r="AW292" s="2245"/>
      <c r="AX292" s="2245"/>
      <c r="AY292" s="2245"/>
      <c r="AZ292" s="2245"/>
      <c r="BA292" s="2245"/>
      <c r="BB292" s="2245"/>
      <c r="BC292" s="2245"/>
      <c r="BD292" s="2245"/>
      <c r="BE292" s="2245"/>
      <c r="BF292" s="2245"/>
      <c r="BG292" s="2245"/>
      <c r="BH292" s="2821" t="str">
        <f>IF(AB292="","←どちらかは必ず選んでください","")</f>
        <v>←どちらかは必ず選んでください</v>
      </c>
      <c r="BI292" s="2245"/>
      <c r="BJ292" s="2245"/>
      <c r="BK292" s="2245"/>
      <c r="BL292" s="2245"/>
      <c r="BM292" s="2245"/>
      <c r="BN292" s="2245"/>
      <c r="BO292" s="2245"/>
      <c r="BP292" s="2245"/>
      <c r="BQ292" s="2245"/>
      <c r="BR292" s="2245"/>
      <c r="BS292" s="2245"/>
      <c r="BT292" s="2245"/>
      <c r="BU292" s="1181"/>
      <c r="BV292" s="1181"/>
      <c r="BW292" s="1181"/>
      <c r="BX292" s="1177"/>
      <c r="BY292" s="1177"/>
      <c r="BZ292" s="1177"/>
      <c r="CA292" s="1177"/>
      <c r="CB292" s="1177"/>
      <c r="CC292" s="1177"/>
      <c r="CD292" s="1177"/>
      <c r="CE292" s="1177"/>
      <c r="CF292" s="1177"/>
      <c r="CG292" s="1177"/>
      <c r="CH292" s="1177"/>
      <c r="CI292" s="1177"/>
      <c r="CJ292" s="1177"/>
      <c r="CK292" s="1177"/>
      <c r="CL292" s="1177"/>
      <c r="CM292" s="1177"/>
      <c r="CN292" s="1177"/>
      <c r="CO292" s="1177"/>
      <c r="CP292" s="1177"/>
      <c r="CQ292" s="1177"/>
      <c r="CR292" s="1177"/>
      <c r="CS292" s="1177"/>
      <c r="CT292" s="1177"/>
      <c r="CU292" s="1178"/>
      <c r="DD292" s="16"/>
      <c r="DE292" s="16"/>
      <c r="DF292" s="16"/>
      <c r="DG292" s="16"/>
      <c r="DH292" s="16"/>
      <c r="DI292" s="1593"/>
      <c r="DJ292" s="1163"/>
      <c r="EG292" s="73"/>
      <c r="EH292" s="73"/>
      <c r="EI292" s="73"/>
      <c r="EJ292" s="73"/>
      <c r="EK292" s="73"/>
      <c r="FV292" s="73"/>
      <c r="FW292" s="73"/>
      <c r="FX292" s="73"/>
      <c r="FY292" s="73"/>
      <c r="FZ292" s="73"/>
    </row>
    <row r="293" spans="1:183" ht="27" hidden="1" customHeight="1" x14ac:dyDescent="0.15">
      <c r="A293" s="1201"/>
      <c r="B293" s="1201"/>
      <c r="C293" s="1201"/>
      <c r="D293" s="1201"/>
      <c r="E293" s="1202"/>
      <c r="J293" s="1247"/>
      <c r="K293" s="624"/>
      <c r="L293" s="624"/>
      <c r="M293" s="2566"/>
      <c r="N293" s="2566"/>
      <c r="O293" s="2566"/>
      <c r="P293" s="2566"/>
      <c r="Q293" s="2566"/>
      <c r="R293" s="2566"/>
      <c r="S293" s="2498" t="s">
        <v>1713</v>
      </c>
      <c r="T293" s="2498"/>
      <c r="U293" s="2498"/>
      <c r="V293" s="2498"/>
      <c r="W293" s="2498"/>
      <c r="X293" s="2498"/>
      <c r="Y293" s="2498"/>
      <c r="Z293" s="2498"/>
      <c r="AA293" s="2498"/>
      <c r="AB293" s="2742"/>
      <c r="AC293" s="2742"/>
      <c r="AD293" s="2742"/>
      <c r="AE293" s="2742"/>
      <c r="AF293" s="2742"/>
      <c r="AG293" s="2742"/>
      <c r="AH293" s="2742"/>
      <c r="AI293" s="2742"/>
      <c r="AJ293" s="2742"/>
      <c r="AK293" s="2742"/>
      <c r="AL293" s="2742"/>
      <c r="AM293" s="2742"/>
      <c r="AN293" s="2742"/>
      <c r="AO293" s="2742"/>
      <c r="AP293" s="2742"/>
      <c r="AQ293" s="1337"/>
      <c r="AR293" s="625"/>
      <c r="AS293" s="2811" t="str">
        <f>IF(AND(AB292="有",AB293=""),"←「有」の場合、設置箇所を入力してください。","")</f>
        <v/>
      </c>
      <c r="AT293" s="2811"/>
      <c r="AU293" s="2811"/>
      <c r="AV293" s="2811"/>
      <c r="AW293" s="2811"/>
      <c r="AX293" s="2811"/>
      <c r="AY293" s="2811"/>
      <c r="AZ293" s="2811"/>
      <c r="BA293" s="2811"/>
      <c r="BB293" s="2811"/>
      <c r="BC293" s="2811"/>
      <c r="BD293" s="2811"/>
      <c r="BE293" s="2811"/>
      <c r="BF293" s="2811"/>
      <c r="BG293" s="2811"/>
      <c r="BH293" s="2811"/>
      <c r="BI293" s="2811"/>
      <c r="BJ293" s="2811"/>
      <c r="BK293" s="2811"/>
      <c r="BL293" s="2811"/>
      <c r="BM293" s="2811"/>
      <c r="BN293" s="2811"/>
      <c r="BO293" s="2811"/>
      <c r="BP293" s="2811"/>
      <c r="BQ293" s="2811"/>
      <c r="BR293" s="2811"/>
      <c r="BS293" s="2811"/>
      <c r="BT293" s="2811"/>
      <c r="BU293" s="393"/>
      <c r="BV293" s="393"/>
      <c r="BW293" s="393"/>
      <c r="BX293" s="1175"/>
      <c r="BY293" s="1175"/>
      <c r="BZ293" s="1175"/>
      <c r="CA293" s="1175"/>
      <c r="CB293" s="1175"/>
      <c r="CC293" s="1175"/>
      <c r="CD293" s="1175"/>
      <c r="CE293" s="1175"/>
      <c r="CF293" s="1175"/>
      <c r="CG293" s="1175"/>
      <c r="CH293" s="1175"/>
      <c r="CI293" s="1175"/>
      <c r="CJ293" s="1175"/>
      <c r="CK293" s="1175"/>
      <c r="CL293" s="1175"/>
      <c r="CM293" s="1175"/>
      <c r="CN293" s="1175"/>
      <c r="CO293" s="1175"/>
      <c r="CP293" s="1175"/>
      <c r="CQ293" s="1175"/>
      <c r="CR293" s="1175"/>
      <c r="CS293" s="1175"/>
      <c r="CT293" s="1175"/>
      <c r="CU293" s="1176"/>
      <c r="DD293" s="16"/>
      <c r="DE293" s="16"/>
      <c r="DF293" s="16"/>
      <c r="DG293" s="16"/>
      <c r="DH293" s="16"/>
      <c r="DI293" s="1593"/>
      <c r="DJ293" s="1163"/>
      <c r="EG293" s="73"/>
      <c r="EH293" s="73"/>
      <c r="EI293" s="73"/>
      <c r="EJ293" s="73"/>
      <c r="EK293" s="73"/>
      <c r="FV293" s="73"/>
      <c r="FW293" s="73"/>
      <c r="FX293" s="73"/>
      <c r="FY293" s="73"/>
      <c r="FZ293" s="73"/>
    </row>
    <row r="294" spans="1:183" ht="15" customHeight="1" x14ac:dyDescent="0.15">
      <c r="A294" s="1201"/>
      <c r="B294" s="1201"/>
      <c r="C294" s="1201"/>
      <c r="D294" s="1201"/>
      <c r="E294" s="1202"/>
      <c r="J294" s="1231"/>
      <c r="K294" s="1231"/>
      <c r="L294" s="1231"/>
      <c r="M294" s="1231"/>
      <c r="N294" s="1231"/>
      <c r="O294" s="1231"/>
      <c r="P294" s="1231"/>
      <c r="Q294" s="1231"/>
      <c r="R294" s="1231"/>
      <c r="S294" s="1231"/>
      <c r="T294" s="1231"/>
      <c r="U294" s="1231"/>
      <c r="V294" s="1231"/>
      <c r="W294" s="1231"/>
      <c r="X294" s="1231"/>
      <c r="Y294" s="1231"/>
      <c r="Z294" s="1231"/>
      <c r="AA294" s="1231"/>
      <c r="AB294" s="1232"/>
      <c r="AC294" s="1232"/>
      <c r="AD294" s="1232"/>
      <c r="AE294" s="1232"/>
      <c r="AF294" s="1232"/>
      <c r="AG294" s="1232"/>
      <c r="AH294" s="1232"/>
      <c r="AI294" s="1232"/>
      <c r="AJ294" s="1232"/>
      <c r="AK294" s="1232"/>
      <c r="AL294" s="1232"/>
      <c r="AM294" s="1232"/>
      <c r="AN294" s="1232"/>
      <c r="AO294" s="1232"/>
      <c r="AP294" s="1232"/>
      <c r="AQ294" s="1232"/>
      <c r="AR294" s="1232"/>
      <c r="AS294" s="1232"/>
      <c r="AT294" s="1232"/>
      <c r="AU294" s="1232"/>
      <c r="AV294" s="1232"/>
      <c r="AW294" s="1232"/>
      <c r="AX294" s="1232"/>
      <c r="AY294" s="1232"/>
      <c r="AZ294" s="1232"/>
      <c r="BA294" s="1232"/>
      <c r="BB294" s="1232"/>
      <c r="BC294" s="1232"/>
      <c r="BD294" s="1232"/>
      <c r="BE294" s="1232"/>
      <c r="BF294" s="1232"/>
      <c r="BG294" s="1232"/>
      <c r="BH294" s="1232"/>
      <c r="BI294" s="1232"/>
      <c r="BJ294" s="1232"/>
      <c r="BK294" s="1232"/>
      <c r="BL294" s="1232"/>
      <c r="BM294" s="1232"/>
      <c r="BN294" s="1232"/>
      <c r="BO294" s="1232"/>
      <c r="BP294" s="1232"/>
      <c r="BQ294" s="1232"/>
      <c r="BR294" s="1232"/>
      <c r="BS294" s="1232"/>
      <c r="BT294" s="1232"/>
      <c r="BU294" s="651"/>
      <c r="BV294" s="396"/>
      <c r="BW294" s="396"/>
      <c r="BX294" s="396"/>
      <c r="BY294" s="396"/>
      <c r="BZ294" s="396"/>
      <c r="CA294" s="396"/>
      <c r="CB294" s="396"/>
      <c r="CC294" s="396"/>
      <c r="CD294" s="396"/>
      <c r="CE294" s="396"/>
      <c r="CF294" s="396"/>
      <c r="CG294" s="396"/>
      <c r="CH294" s="396"/>
      <c r="CI294" s="396"/>
      <c r="CJ294" s="396"/>
      <c r="CK294" s="396"/>
      <c r="CL294" s="396"/>
      <c r="CM294" s="396"/>
      <c r="CN294" s="396"/>
      <c r="CO294" s="396"/>
      <c r="CP294" s="396"/>
      <c r="CQ294" s="396"/>
      <c r="CR294" s="396"/>
      <c r="CS294" s="396"/>
      <c r="CT294" s="396"/>
      <c r="CU294" s="396"/>
      <c r="DD294" s="16"/>
      <c r="DE294" s="16"/>
      <c r="DF294" s="16"/>
      <c r="DG294" s="16"/>
      <c r="DH294" s="16"/>
      <c r="DI294" s="1593"/>
      <c r="DJ294" s="1163"/>
      <c r="EG294" s="78"/>
      <c r="EH294" s="78"/>
      <c r="EI294" s="78"/>
      <c r="EJ294" s="78"/>
      <c r="EK294" s="78"/>
      <c r="FV294" s="78"/>
      <c r="FW294" s="78"/>
      <c r="FX294" s="78"/>
      <c r="FY294" s="78"/>
      <c r="FZ294" s="78"/>
    </row>
    <row r="295" spans="1:183" ht="2.1" customHeight="1" x14ac:dyDescent="0.15">
      <c r="A295" s="1201"/>
      <c r="B295" s="1201"/>
      <c r="C295" s="1201"/>
      <c r="D295" s="1201"/>
      <c r="E295" s="1202"/>
      <c r="DD295" s="16"/>
      <c r="DE295" s="16"/>
      <c r="DF295" s="16"/>
      <c r="DG295" s="16"/>
      <c r="DH295" s="16"/>
      <c r="DI295" s="1593"/>
      <c r="DJ295" s="1163"/>
      <c r="EG295" s="78"/>
      <c r="EH295" s="78"/>
      <c r="EI295" s="78"/>
      <c r="EJ295" s="78"/>
      <c r="EK295" s="78"/>
      <c r="FV295" s="78"/>
      <c r="FW295" s="78"/>
      <c r="FX295" s="78"/>
      <c r="FY295" s="78"/>
      <c r="FZ295" s="78"/>
    </row>
    <row r="296" spans="1:183" ht="2.1" customHeight="1" x14ac:dyDescent="0.15">
      <c r="A296" s="1201"/>
      <c r="B296" s="1201"/>
      <c r="C296" s="1201"/>
      <c r="D296" s="1201"/>
      <c r="E296" s="1202"/>
      <c r="DD296" s="16"/>
      <c r="DE296" s="16"/>
      <c r="DF296" s="16"/>
      <c r="DG296" s="16"/>
      <c r="DH296" s="16"/>
      <c r="DI296" s="1593"/>
      <c r="DJ296" s="1163"/>
      <c r="EG296" s="78"/>
      <c r="EH296" s="78"/>
      <c r="EI296" s="78"/>
      <c r="EJ296" s="78"/>
      <c r="EK296" s="78"/>
      <c r="FV296" s="78"/>
      <c r="FW296" s="78"/>
      <c r="FX296" s="78"/>
      <c r="FY296" s="78"/>
      <c r="FZ296" s="78"/>
    </row>
    <row r="297" spans="1:183" ht="2.1" customHeight="1" thickBot="1" x14ac:dyDescent="0.2">
      <c r="A297" s="1201"/>
      <c r="B297" s="1201"/>
      <c r="C297" s="1201"/>
      <c r="D297" s="1201"/>
      <c r="E297" s="1202"/>
      <c r="DD297" s="16"/>
      <c r="DE297" s="16"/>
      <c r="DF297" s="16"/>
      <c r="DG297" s="16"/>
      <c r="DH297" s="16"/>
      <c r="DI297" s="1593"/>
      <c r="DJ297" s="1163"/>
      <c r="EG297" s="78"/>
      <c r="EH297" s="78"/>
      <c r="EI297" s="78"/>
      <c r="EJ297" s="78"/>
      <c r="EK297" s="78"/>
      <c r="FV297" s="78"/>
      <c r="FW297" s="78"/>
      <c r="FX297" s="78"/>
      <c r="FY297" s="78"/>
      <c r="FZ297" s="78"/>
    </row>
    <row r="298" spans="1:183" ht="35.1" customHeight="1" x14ac:dyDescent="0.55000000000000004">
      <c r="A298" s="1201"/>
      <c r="B298" s="1201"/>
      <c r="C298" s="1201"/>
      <c r="D298" s="1201"/>
      <c r="E298" s="1202"/>
      <c r="J298" s="2132" t="s">
        <v>3200</v>
      </c>
      <c r="K298" s="2133"/>
      <c r="L298" s="2133"/>
      <c r="M298" s="2133"/>
      <c r="N298" s="2133"/>
      <c r="O298" s="2133"/>
      <c r="P298" s="2133"/>
      <c r="Q298" s="2133"/>
      <c r="R298" s="2133"/>
      <c r="S298" s="2133"/>
      <c r="T298" s="2133"/>
      <c r="U298" s="2133"/>
      <c r="V298" s="2133"/>
      <c r="W298" s="2133"/>
      <c r="X298" s="2133"/>
      <c r="Y298" s="2133"/>
      <c r="Z298" s="2133"/>
      <c r="AA298" s="2133"/>
      <c r="AB298" s="2133"/>
      <c r="AC298" s="2133"/>
      <c r="AD298" s="2133"/>
      <c r="AE298" s="2133"/>
      <c r="AF298" s="2133"/>
      <c r="AG298" s="2133"/>
      <c r="AH298" s="2133"/>
      <c r="AI298" s="2133"/>
      <c r="AJ298" s="2133"/>
      <c r="AK298" s="2133"/>
      <c r="AL298" s="2133"/>
      <c r="AM298" s="2133"/>
      <c r="AN298" s="2133"/>
      <c r="AO298" s="1362"/>
      <c r="AP298" s="1362"/>
      <c r="AQ298" s="1362"/>
      <c r="AR298" s="1362"/>
      <c r="AS298" s="1362"/>
      <c r="AT298" s="1362"/>
      <c r="AU298" s="1362"/>
      <c r="AV298" s="1362"/>
      <c r="AW298" s="1362"/>
      <c r="AX298" s="1362"/>
      <c r="AY298" s="1362"/>
      <c r="AZ298" s="1362"/>
      <c r="BA298" s="1362"/>
      <c r="BB298" s="1362"/>
      <c r="BC298" s="1362"/>
      <c r="BD298" s="1362"/>
      <c r="BE298" s="1362"/>
      <c r="BF298" s="1362"/>
      <c r="BG298" s="1362"/>
      <c r="BH298" s="1362"/>
      <c r="BI298" s="1362"/>
      <c r="BJ298" s="1362"/>
      <c r="BK298" s="1362"/>
      <c r="BL298" s="1754"/>
      <c r="BM298" s="1754"/>
      <c r="BN298" s="1754"/>
      <c r="BO298" s="1754"/>
      <c r="BP298" s="1754"/>
      <c r="BQ298" s="1754"/>
      <c r="BR298" s="1754"/>
      <c r="BS298" s="1754"/>
      <c r="BT298" s="1708" t="s">
        <v>3199</v>
      </c>
      <c r="BU298" s="609"/>
      <c r="BV298" s="1191"/>
      <c r="BW298" s="2164" t="s">
        <v>1918</v>
      </c>
      <c r="BX298" s="2164"/>
      <c r="BY298" s="2164"/>
      <c r="BZ298" s="2164"/>
      <c r="CA298" s="2164"/>
      <c r="CB298" s="2164"/>
      <c r="CC298" s="2164"/>
      <c r="CD298" s="2164"/>
      <c r="CE298" s="2164"/>
      <c r="CF298" s="2164"/>
      <c r="CG298" s="2164"/>
      <c r="CH298" s="2164"/>
      <c r="CI298" s="2164"/>
      <c r="CJ298" s="2164"/>
      <c r="CK298" s="2164"/>
      <c r="CL298" s="2164"/>
      <c r="CM298" s="2164"/>
      <c r="CN298" s="2164"/>
      <c r="CO298" s="2164"/>
      <c r="CP298" s="2164"/>
      <c r="CQ298" s="2164"/>
      <c r="CR298" s="2164"/>
      <c r="CS298" s="2164"/>
      <c r="CT298" s="1191"/>
      <c r="CU298" s="390"/>
      <c r="DD298" s="16"/>
      <c r="DE298" s="16"/>
      <c r="DF298" s="16"/>
      <c r="DG298" s="16"/>
      <c r="DH298" s="16"/>
      <c r="DI298" s="1593"/>
      <c r="DJ298" s="1163"/>
      <c r="DN298" s="77"/>
      <c r="EG298" s="73"/>
      <c r="EH298" s="73"/>
      <c r="EI298" s="73"/>
      <c r="EJ298" s="73"/>
      <c r="EK298" s="73"/>
      <c r="FV298" s="73"/>
      <c r="FW298" s="73"/>
      <c r="FX298" s="73"/>
      <c r="FY298" s="73"/>
      <c r="FZ298" s="73"/>
    </row>
    <row r="299" spans="1:183" ht="27" hidden="1" customHeight="1" thickBot="1" x14ac:dyDescent="0.2">
      <c r="A299" s="1201"/>
      <c r="B299" s="1201"/>
      <c r="C299" s="1201"/>
      <c r="D299" s="1201"/>
      <c r="E299" s="1202"/>
      <c r="J299" s="1260"/>
      <c r="K299" s="1261"/>
      <c r="L299" s="1261"/>
      <c r="M299" s="2514" t="s">
        <v>1310</v>
      </c>
      <c r="N299" s="2514"/>
      <c r="O299" s="2514"/>
      <c r="P299" s="2514"/>
      <c r="Q299" s="2514"/>
      <c r="R299" s="2514"/>
      <c r="S299" s="2515"/>
      <c r="T299" s="2515"/>
      <c r="U299" s="2515"/>
      <c r="V299" s="2515"/>
      <c r="W299" s="2515"/>
      <c r="X299" s="2515"/>
      <c r="Y299" s="2515"/>
      <c r="Z299" s="2515"/>
      <c r="AA299" s="2515"/>
      <c r="AB299" s="2807"/>
      <c r="AC299" s="2807"/>
      <c r="AD299" s="2807"/>
      <c r="AE299" s="2807"/>
      <c r="AF299" s="2807"/>
      <c r="AG299" s="2807"/>
      <c r="AH299" s="2807"/>
      <c r="AI299" s="2807"/>
      <c r="AJ299" s="2807"/>
      <c r="AK299" s="2807"/>
      <c r="AL299" s="2807"/>
      <c r="AM299" s="2807"/>
      <c r="AN299" s="2807"/>
      <c r="AO299" s="2807"/>
      <c r="AP299" s="2807"/>
      <c r="AQ299" s="2807"/>
      <c r="AR299" s="2807"/>
      <c r="AS299" s="2807"/>
      <c r="AT299" s="2807"/>
      <c r="AU299" s="2807"/>
      <c r="AV299" s="2807"/>
      <c r="AW299" s="2807"/>
      <c r="AX299" s="2807"/>
      <c r="AY299" s="2807"/>
      <c r="AZ299" s="2807"/>
      <c r="BA299" s="2807"/>
      <c r="BB299" s="2807"/>
      <c r="BC299" s="2807"/>
      <c r="BD299" s="2807"/>
      <c r="BE299" s="2807"/>
      <c r="BF299" s="2807"/>
      <c r="BG299" s="2807"/>
      <c r="BH299" s="2807"/>
      <c r="BI299" s="2807"/>
      <c r="BJ299" s="2807"/>
      <c r="BK299" s="2807"/>
      <c r="BL299" s="2807"/>
      <c r="BM299" s="2807"/>
      <c r="BN299" s="2807"/>
      <c r="BO299" s="2807"/>
      <c r="BP299" s="2807"/>
      <c r="BQ299" s="2807"/>
      <c r="BR299" s="2807"/>
      <c r="BS299" s="2807"/>
      <c r="BT299" s="2807"/>
      <c r="BU299" s="584"/>
      <c r="BV299" s="1177"/>
      <c r="BW299" s="2165"/>
      <c r="BX299" s="2165"/>
      <c r="BY299" s="2165"/>
      <c r="BZ299" s="2165"/>
      <c r="CA299" s="2165"/>
      <c r="CB299" s="2165"/>
      <c r="CC299" s="2165"/>
      <c r="CD299" s="2165"/>
      <c r="CE299" s="2165"/>
      <c r="CF299" s="2165"/>
      <c r="CG299" s="2165"/>
      <c r="CH299" s="2165"/>
      <c r="CI299" s="2165"/>
      <c r="CJ299" s="2165"/>
      <c r="CK299" s="2165"/>
      <c r="CL299" s="2165"/>
      <c r="CM299" s="2165"/>
      <c r="CN299" s="2165"/>
      <c r="CO299" s="2165"/>
      <c r="CP299" s="2165"/>
      <c r="CQ299" s="2165"/>
      <c r="CR299" s="2165"/>
      <c r="CS299" s="2165"/>
      <c r="CT299" s="1177"/>
      <c r="CU299" s="1178"/>
      <c r="DD299" s="16"/>
      <c r="DE299" s="16"/>
      <c r="DF299" s="16"/>
      <c r="DG299" s="16"/>
      <c r="DH299" s="16"/>
      <c r="DI299" s="1593"/>
      <c r="DJ299" s="1162" t="s">
        <v>2802</v>
      </c>
      <c r="DN299" s="83" t="b">
        <f>LENB(SUBSTITUTE(AB299,CHAR(10),REPT("A",90)))&gt;640</f>
        <v>0</v>
      </c>
      <c r="EG299" s="73"/>
      <c r="EH299" s="73"/>
      <c r="EI299" s="73"/>
      <c r="EJ299" s="73"/>
      <c r="EK299" s="73"/>
      <c r="FV299" s="73"/>
      <c r="FW299" s="73"/>
      <c r="FX299" s="73"/>
      <c r="FY299" s="73"/>
      <c r="FZ299" s="73"/>
    </row>
    <row r="300" spans="1:183" ht="27" hidden="1" customHeight="1" x14ac:dyDescent="0.15">
      <c r="A300" s="1201"/>
      <c r="B300" s="1201"/>
      <c r="C300" s="1201"/>
      <c r="D300" s="1201"/>
      <c r="E300" s="1202"/>
      <c r="J300" s="1260"/>
      <c r="K300" s="1261"/>
      <c r="L300" s="1261"/>
      <c r="M300" s="2534"/>
      <c r="N300" s="2534"/>
      <c r="O300" s="2534"/>
      <c r="P300" s="2534"/>
      <c r="Q300" s="2534"/>
      <c r="R300" s="2534"/>
      <c r="S300" s="2812"/>
      <c r="T300" s="2812"/>
      <c r="U300" s="2812"/>
      <c r="V300" s="2812"/>
      <c r="W300" s="2812"/>
      <c r="X300" s="2812"/>
      <c r="Y300" s="2812"/>
      <c r="Z300" s="2812"/>
      <c r="AA300" s="2812"/>
      <c r="AB300" s="2808"/>
      <c r="AC300" s="2808"/>
      <c r="AD300" s="2808"/>
      <c r="AE300" s="2808"/>
      <c r="AF300" s="2808"/>
      <c r="AG300" s="2808"/>
      <c r="AH300" s="2808"/>
      <c r="AI300" s="2808"/>
      <c r="AJ300" s="2808"/>
      <c r="AK300" s="2808"/>
      <c r="AL300" s="2808"/>
      <c r="AM300" s="2808"/>
      <c r="AN300" s="2808"/>
      <c r="AO300" s="2808"/>
      <c r="AP300" s="2808"/>
      <c r="AQ300" s="2808"/>
      <c r="AR300" s="2808"/>
      <c r="AS300" s="2808"/>
      <c r="AT300" s="2808"/>
      <c r="AU300" s="2808"/>
      <c r="AV300" s="2808"/>
      <c r="AW300" s="2808"/>
      <c r="AX300" s="2808"/>
      <c r="AY300" s="2808"/>
      <c r="AZ300" s="2808"/>
      <c r="BA300" s="2808"/>
      <c r="BB300" s="2808"/>
      <c r="BC300" s="2808"/>
      <c r="BD300" s="2808"/>
      <c r="BE300" s="2808"/>
      <c r="BF300" s="2808"/>
      <c r="BG300" s="2808"/>
      <c r="BH300" s="2808"/>
      <c r="BI300" s="2808"/>
      <c r="BJ300" s="2808"/>
      <c r="BK300" s="2808"/>
      <c r="BL300" s="2808"/>
      <c r="BM300" s="2808"/>
      <c r="BN300" s="2808"/>
      <c r="BO300" s="2808"/>
      <c r="BP300" s="2808"/>
      <c r="BQ300" s="2808"/>
      <c r="BR300" s="2808"/>
      <c r="BS300" s="2808"/>
      <c r="BT300" s="2808"/>
      <c r="BU300" s="584"/>
      <c r="BV300" s="1177"/>
      <c r="BW300" s="2165"/>
      <c r="BX300" s="2165"/>
      <c r="BY300" s="2165"/>
      <c r="BZ300" s="2165"/>
      <c r="CA300" s="2165"/>
      <c r="CB300" s="2165"/>
      <c r="CC300" s="2165"/>
      <c r="CD300" s="2165"/>
      <c r="CE300" s="2165"/>
      <c r="CF300" s="2165"/>
      <c r="CG300" s="2165"/>
      <c r="CH300" s="2165"/>
      <c r="CI300" s="2165"/>
      <c r="CJ300" s="2165"/>
      <c r="CK300" s="2165"/>
      <c r="CL300" s="2165"/>
      <c r="CM300" s="2165"/>
      <c r="CN300" s="2165"/>
      <c r="CO300" s="2165"/>
      <c r="CP300" s="2165"/>
      <c r="CQ300" s="2165"/>
      <c r="CR300" s="2165"/>
      <c r="CS300" s="2165"/>
      <c r="CT300" s="1177"/>
      <c r="CU300" s="1178"/>
      <c r="DD300" s="16"/>
      <c r="DE300" s="16"/>
      <c r="DF300" s="16"/>
      <c r="DG300" s="16"/>
      <c r="DH300" s="16"/>
      <c r="DI300" s="1593"/>
      <c r="DJ300" s="1162" t="s">
        <v>2802</v>
      </c>
      <c r="EG300" s="78"/>
      <c r="EH300" s="78"/>
      <c r="EI300" s="78"/>
      <c r="EJ300" s="78"/>
      <c r="EK300" s="78"/>
      <c r="FV300" s="78"/>
      <c r="FW300" s="78"/>
      <c r="FX300" s="78"/>
      <c r="FY300" s="78"/>
      <c r="FZ300" s="78"/>
    </row>
    <row r="301" spans="1:183" ht="15" hidden="1" customHeight="1" x14ac:dyDescent="0.15">
      <c r="A301" s="1201"/>
      <c r="B301" s="1201"/>
      <c r="C301" s="1201"/>
      <c r="D301" s="1201"/>
      <c r="E301" s="1202"/>
      <c r="J301" s="1260"/>
      <c r="K301" s="1261"/>
      <c r="L301" s="1261"/>
      <c r="M301" s="2516"/>
      <c r="N301" s="2516"/>
      <c r="O301" s="2516"/>
      <c r="P301" s="2516"/>
      <c r="Q301" s="2516"/>
      <c r="R301" s="2516"/>
      <c r="S301" s="2516"/>
      <c r="T301" s="2516"/>
      <c r="U301" s="2516"/>
      <c r="V301" s="2516"/>
      <c r="W301" s="2516"/>
      <c r="X301" s="2516"/>
      <c r="Y301" s="2516"/>
      <c r="Z301" s="2516"/>
      <c r="AA301" s="2516"/>
      <c r="AB301" s="2809"/>
      <c r="AC301" s="2809"/>
      <c r="AD301" s="2809"/>
      <c r="AE301" s="2809"/>
      <c r="AF301" s="2809"/>
      <c r="AG301" s="2809"/>
      <c r="AH301" s="2809"/>
      <c r="AI301" s="2809"/>
      <c r="AJ301" s="2809"/>
      <c r="AK301" s="2809"/>
      <c r="AL301" s="2809"/>
      <c r="AM301" s="2809"/>
      <c r="AN301" s="2809"/>
      <c r="AO301" s="2809"/>
      <c r="AP301" s="2809"/>
      <c r="AQ301" s="2809"/>
      <c r="AR301" s="2809"/>
      <c r="AS301" s="2809"/>
      <c r="AT301" s="2809"/>
      <c r="AU301" s="2809"/>
      <c r="AV301" s="2809"/>
      <c r="AW301" s="2809"/>
      <c r="AX301" s="2809"/>
      <c r="AY301" s="2809"/>
      <c r="AZ301" s="2809"/>
      <c r="BA301" s="2809"/>
      <c r="BB301" s="2809"/>
      <c r="BC301" s="2809"/>
      <c r="BD301" s="2809"/>
      <c r="BE301" s="2809"/>
      <c r="BF301" s="2809"/>
      <c r="BG301" s="2809"/>
      <c r="BH301" s="2809"/>
      <c r="BI301" s="2809"/>
      <c r="BJ301" s="2809"/>
      <c r="BK301" s="2809"/>
      <c r="BL301" s="2809"/>
      <c r="BM301" s="2809"/>
      <c r="BN301" s="2809"/>
      <c r="BO301" s="2809"/>
      <c r="BP301" s="2809"/>
      <c r="BQ301" s="2809"/>
      <c r="BR301" s="2809"/>
      <c r="BS301" s="2809"/>
      <c r="BT301" s="2809"/>
      <c r="BU301" s="584"/>
      <c r="BV301" s="1177"/>
      <c r="BW301" s="2165"/>
      <c r="BX301" s="2165"/>
      <c r="BY301" s="2165"/>
      <c r="BZ301" s="2165"/>
      <c r="CA301" s="2165"/>
      <c r="CB301" s="2165"/>
      <c r="CC301" s="2165"/>
      <c r="CD301" s="2165"/>
      <c r="CE301" s="2165"/>
      <c r="CF301" s="2165"/>
      <c r="CG301" s="2165"/>
      <c r="CH301" s="2165"/>
      <c r="CI301" s="2165"/>
      <c r="CJ301" s="2165"/>
      <c r="CK301" s="2165"/>
      <c r="CL301" s="2165"/>
      <c r="CM301" s="2165"/>
      <c r="CN301" s="2165"/>
      <c r="CO301" s="2165"/>
      <c r="CP301" s="2165"/>
      <c r="CQ301" s="2165"/>
      <c r="CR301" s="2165"/>
      <c r="CS301" s="2165"/>
      <c r="CT301" s="1177"/>
      <c r="CU301" s="1178"/>
      <c r="DD301" s="16"/>
      <c r="DE301" s="16"/>
      <c r="DF301" s="16"/>
      <c r="DG301" s="16"/>
      <c r="DH301" s="16"/>
      <c r="DI301" s="1593"/>
      <c r="DJ301" s="1162" t="s">
        <v>2802</v>
      </c>
      <c r="EG301" s="78"/>
      <c r="EH301" s="78"/>
      <c r="EI301" s="78"/>
      <c r="EJ301" s="78"/>
      <c r="EK301" s="78"/>
      <c r="FV301" s="78"/>
      <c r="FW301" s="78"/>
      <c r="FX301" s="78"/>
      <c r="FY301" s="78"/>
      <c r="FZ301" s="78"/>
    </row>
    <row r="302" spans="1:183" ht="10.5" customHeight="1" thickBot="1" x14ac:dyDescent="0.2">
      <c r="A302" s="1201"/>
      <c r="B302" s="1201"/>
      <c r="C302" s="1201"/>
      <c r="D302" s="1201"/>
      <c r="E302" s="1202"/>
      <c r="J302" s="1260"/>
      <c r="K302" s="1261"/>
      <c r="L302" s="1261"/>
      <c r="M302" s="2514" t="s">
        <v>1887</v>
      </c>
      <c r="N302" s="2514"/>
      <c r="O302" s="2514"/>
      <c r="P302" s="2514"/>
      <c r="Q302" s="2514"/>
      <c r="R302" s="2514"/>
      <c r="S302" s="2515"/>
      <c r="T302" s="2515"/>
      <c r="U302" s="2515"/>
      <c r="V302" s="2515"/>
      <c r="W302" s="2515"/>
      <c r="X302" s="2515"/>
      <c r="Y302" s="2515"/>
      <c r="Z302" s="2515"/>
      <c r="AA302" s="2515"/>
      <c r="AB302" s="2807"/>
      <c r="AC302" s="2807"/>
      <c r="AD302" s="2807"/>
      <c r="AE302" s="2807"/>
      <c r="AF302" s="2807"/>
      <c r="AG302" s="2807"/>
      <c r="AH302" s="2807"/>
      <c r="AI302" s="2807"/>
      <c r="AJ302" s="2807"/>
      <c r="AK302" s="2807"/>
      <c r="AL302" s="2807"/>
      <c r="AM302" s="2807"/>
      <c r="AN302" s="2807"/>
      <c r="AO302" s="2807"/>
      <c r="AP302" s="2807"/>
      <c r="AQ302" s="2807"/>
      <c r="AR302" s="2807"/>
      <c r="AS302" s="2807"/>
      <c r="AT302" s="2807"/>
      <c r="AU302" s="2807"/>
      <c r="AV302" s="2807"/>
      <c r="AW302" s="2807"/>
      <c r="AX302" s="2807"/>
      <c r="AY302" s="2807"/>
      <c r="AZ302" s="2807"/>
      <c r="BA302" s="2807"/>
      <c r="BB302" s="2807"/>
      <c r="BC302" s="2807"/>
      <c r="BD302" s="2807"/>
      <c r="BE302" s="2807"/>
      <c r="BF302" s="2807"/>
      <c r="BG302" s="2807"/>
      <c r="BH302" s="2807"/>
      <c r="BI302" s="2807"/>
      <c r="BJ302" s="2807"/>
      <c r="BK302" s="2807"/>
      <c r="BL302" s="2807"/>
      <c r="BM302" s="2807"/>
      <c r="BN302" s="2807"/>
      <c r="BO302" s="2807"/>
      <c r="BP302" s="2807"/>
      <c r="BQ302" s="2807"/>
      <c r="BR302" s="2807"/>
      <c r="BS302" s="2807"/>
      <c r="BT302" s="2807"/>
      <c r="BU302" s="584"/>
      <c r="BV302" s="617" t="s">
        <v>1844</v>
      </c>
      <c r="BW302" s="2165"/>
      <c r="BX302" s="2165"/>
      <c r="BY302" s="2165"/>
      <c r="BZ302" s="2165"/>
      <c r="CA302" s="2165"/>
      <c r="CB302" s="2165"/>
      <c r="CC302" s="2165"/>
      <c r="CD302" s="2165"/>
      <c r="CE302" s="2165"/>
      <c r="CF302" s="2165"/>
      <c r="CG302" s="2165"/>
      <c r="CH302" s="2165"/>
      <c r="CI302" s="2165"/>
      <c r="CJ302" s="2165"/>
      <c r="CK302" s="2165"/>
      <c r="CL302" s="2165"/>
      <c r="CM302" s="2165"/>
      <c r="CN302" s="2165"/>
      <c r="CO302" s="2165"/>
      <c r="CP302" s="2165"/>
      <c r="CQ302" s="2165"/>
      <c r="CR302" s="2165"/>
      <c r="CS302" s="2165"/>
      <c r="CT302" s="1177"/>
      <c r="CU302" s="1178"/>
      <c r="DD302" s="16"/>
      <c r="DE302" s="16"/>
      <c r="DF302" s="16"/>
      <c r="DG302" s="16"/>
      <c r="DH302" s="16"/>
      <c r="DI302" s="1593"/>
      <c r="DJ302" s="1163"/>
      <c r="DN302" s="72" t="s">
        <v>2459</v>
      </c>
      <c r="EG302" s="78"/>
      <c r="EH302" s="78"/>
      <c r="EI302" s="78"/>
      <c r="EJ302" s="78"/>
      <c r="EK302" s="78"/>
      <c r="FV302" s="78"/>
      <c r="FW302" s="78"/>
      <c r="FX302" s="78"/>
      <c r="FY302" s="78"/>
      <c r="FZ302" s="78"/>
    </row>
    <row r="303" spans="1:183" ht="10.5" customHeight="1" thickBot="1" x14ac:dyDescent="0.2">
      <c r="A303" s="1201"/>
      <c r="B303" s="1201"/>
      <c r="C303" s="1201"/>
      <c r="D303" s="1201"/>
      <c r="E303" s="1202"/>
      <c r="J303" s="1260"/>
      <c r="K303" s="1261"/>
      <c r="L303" s="1261"/>
      <c r="M303" s="2534"/>
      <c r="N303" s="2534"/>
      <c r="O303" s="2534"/>
      <c r="P303" s="2534"/>
      <c r="Q303" s="2534"/>
      <c r="R303" s="2534"/>
      <c r="S303" s="2644"/>
      <c r="T303" s="2644"/>
      <c r="U303" s="2644"/>
      <c r="V303" s="2644"/>
      <c r="W303" s="2644"/>
      <c r="X303" s="2644"/>
      <c r="Y303" s="2644"/>
      <c r="Z303" s="2644"/>
      <c r="AA303" s="2644"/>
      <c r="AB303" s="2808"/>
      <c r="AC303" s="2808"/>
      <c r="AD303" s="2808"/>
      <c r="AE303" s="2808"/>
      <c r="AF303" s="2808"/>
      <c r="AG303" s="2808"/>
      <c r="AH303" s="2808"/>
      <c r="AI303" s="2808"/>
      <c r="AJ303" s="2808"/>
      <c r="AK303" s="2808"/>
      <c r="AL303" s="2808"/>
      <c r="AM303" s="2808"/>
      <c r="AN303" s="2808"/>
      <c r="AO303" s="2808"/>
      <c r="AP303" s="2808"/>
      <c r="AQ303" s="2808"/>
      <c r="AR303" s="2808"/>
      <c r="AS303" s="2808"/>
      <c r="AT303" s="2808"/>
      <c r="AU303" s="2808"/>
      <c r="AV303" s="2808"/>
      <c r="AW303" s="2808"/>
      <c r="AX303" s="2808"/>
      <c r="AY303" s="2808"/>
      <c r="AZ303" s="2808"/>
      <c r="BA303" s="2808"/>
      <c r="BB303" s="2808"/>
      <c r="BC303" s="2808"/>
      <c r="BD303" s="2808"/>
      <c r="BE303" s="2808"/>
      <c r="BF303" s="2808"/>
      <c r="BG303" s="2808"/>
      <c r="BH303" s="2808"/>
      <c r="BI303" s="2808"/>
      <c r="BJ303" s="2808"/>
      <c r="BK303" s="2808"/>
      <c r="BL303" s="2808"/>
      <c r="BM303" s="2808"/>
      <c r="BN303" s="2808"/>
      <c r="BO303" s="2808"/>
      <c r="BP303" s="2808"/>
      <c r="BQ303" s="2808"/>
      <c r="BR303" s="2808"/>
      <c r="BS303" s="2808"/>
      <c r="BT303" s="2808"/>
      <c r="BU303" s="584"/>
      <c r="BV303" s="2158" t="str">
        <f>IF(DN303,"←第一面5欄が判読できるか確認してください。","←")</f>
        <v>←</v>
      </c>
      <c r="BW303" s="2158"/>
      <c r="BX303" s="2158"/>
      <c r="BY303" s="2158"/>
      <c r="BZ303" s="2158"/>
      <c r="CA303" s="2158"/>
      <c r="CB303" s="2158"/>
      <c r="CC303" s="2158"/>
      <c r="CD303" s="2158"/>
      <c r="CE303" s="2158"/>
      <c r="CF303" s="2158"/>
      <c r="CG303" s="2158"/>
      <c r="CH303" s="2158"/>
      <c r="CI303" s="2158"/>
      <c r="CJ303" s="2158"/>
      <c r="CK303" s="2158"/>
      <c r="CL303" s="2158"/>
      <c r="CM303" s="2158"/>
      <c r="CN303" s="2158"/>
      <c r="CO303" s="2158"/>
      <c r="CP303" s="2158"/>
      <c r="CQ303" s="2158"/>
      <c r="CR303" s="2158"/>
      <c r="CS303" s="2158"/>
      <c r="CT303" s="1177"/>
      <c r="CU303" s="1178"/>
      <c r="DD303" s="16"/>
      <c r="DE303" s="16"/>
      <c r="DF303" s="16"/>
      <c r="DG303" s="16"/>
      <c r="DH303" s="16"/>
      <c r="DI303" s="1593"/>
      <c r="DJ303" s="1163"/>
      <c r="DN303" s="385" t="b">
        <f>LENB(AB302)&gt;100</f>
        <v>0</v>
      </c>
      <c r="EG303" s="78"/>
      <c r="EH303" s="78"/>
      <c r="EI303" s="78"/>
      <c r="EJ303" s="78"/>
      <c r="EK303" s="78"/>
      <c r="FV303" s="78"/>
      <c r="FW303" s="78"/>
      <c r="FX303" s="78"/>
      <c r="FY303" s="78"/>
      <c r="FZ303" s="78"/>
    </row>
    <row r="304" spans="1:183" ht="10.5" customHeight="1" thickBot="1" x14ac:dyDescent="0.2">
      <c r="A304" s="1201"/>
      <c r="B304" s="1201"/>
      <c r="C304" s="1201"/>
      <c r="D304" s="1201"/>
      <c r="E304" s="1202"/>
      <c r="J304" s="1247"/>
      <c r="K304" s="624"/>
      <c r="L304" s="624"/>
      <c r="M304" s="2527"/>
      <c r="N304" s="2527"/>
      <c r="O304" s="2527"/>
      <c r="P304" s="2527"/>
      <c r="Q304" s="2527"/>
      <c r="R304" s="2527"/>
      <c r="S304" s="2527"/>
      <c r="T304" s="2527"/>
      <c r="U304" s="2527"/>
      <c r="V304" s="2527"/>
      <c r="W304" s="2527"/>
      <c r="X304" s="2527"/>
      <c r="Y304" s="2527"/>
      <c r="Z304" s="2527"/>
      <c r="AA304" s="2527"/>
      <c r="AB304" s="2810"/>
      <c r="AC304" s="2810"/>
      <c r="AD304" s="2810"/>
      <c r="AE304" s="2810"/>
      <c r="AF304" s="2810"/>
      <c r="AG304" s="2810"/>
      <c r="AH304" s="2810"/>
      <c r="AI304" s="2810"/>
      <c r="AJ304" s="2810"/>
      <c r="AK304" s="2810"/>
      <c r="AL304" s="2810"/>
      <c r="AM304" s="2810"/>
      <c r="AN304" s="2810"/>
      <c r="AO304" s="2810"/>
      <c r="AP304" s="2810"/>
      <c r="AQ304" s="2810"/>
      <c r="AR304" s="2810"/>
      <c r="AS304" s="2810"/>
      <c r="AT304" s="2810"/>
      <c r="AU304" s="2810"/>
      <c r="AV304" s="2810"/>
      <c r="AW304" s="2810"/>
      <c r="AX304" s="2810"/>
      <c r="AY304" s="2810"/>
      <c r="AZ304" s="2810"/>
      <c r="BA304" s="2810"/>
      <c r="BB304" s="2810"/>
      <c r="BC304" s="2810"/>
      <c r="BD304" s="2810"/>
      <c r="BE304" s="2810"/>
      <c r="BF304" s="2810"/>
      <c r="BG304" s="2810"/>
      <c r="BH304" s="2810"/>
      <c r="BI304" s="2810"/>
      <c r="BJ304" s="2810"/>
      <c r="BK304" s="2810"/>
      <c r="BL304" s="2810"/>
      <c r="BM304" s="2810"/>
      <c r="BN304" s="2810"/>
      <c r="BO304" s="2810"/>
      <c r="BP304" s="2810"/>
      <c r="BQ304" s="2810"/>
      <c r="BR304" s="2810"/>
      <c r="BS304" s="2810"/>
      <c r="BT304" s="2810"/>
      <c r="BU304" s="608"/>
      <c r="BV304" s="2159"/>
      <c r="BW304" s="2159"/>
      <c r="BX304" s="2159"/>
      <c r="BY304" s="2159"/>
      <c r="BZ304" s="2159"/>
      <c r="CA304" s="2159"/>
      <c r="CB304" s="2159"/>
      <c r="CC304" s="2159"/>
      <c r="CD304" s="2159"/>
      <c r="CE304" s="2159"/>
      <c r="CF304" s="2159"/>
      <c r="CG304" s="2159"/>
      <c r="CH304" s="2159"/>
      <c r="CI304" s="2159"/>
      <c r="CJ304" s="2159"/>
      <c r="CK304" s="2159"/>
      <c r="CL304" s="2159"/>
      <c r="CM304" s="2159"/>
      <c r="CN304" s="2159"/>
      <c r="CO304" s="2159"/>
      <c r="CP304" s="2159"/>
      <c r="CQ304" s="2159"/>
      <c r="CR304" s="2159"/>
      <c r="CS304" s="2159"/>
      <c r="CT304" s="1175"/>
      <c r="CU304" s="1176"/>
      <c r="DD304" s="16"/>
      <c r="DE304" s="16"/>
      <c r="DF304" s="16"/>
      <c r="DG304" s="16"/>
      <c r="DH304" s="16"/>
      <c r="DI304" s="1593"/>
      <c r="DJ304" s="1163"/>
      <c r="EG304" s="73"/>
      <c r="EH304" s="73"/>
      <c r="EI304" s="73"/>
      <c r="EJ304" s="73"/>
      <c r="EK304" s="73"/>
      <c r="FP304" s="76"/>
      <c r="FQ304" s="76"/>
      <c r="FR304" s="76"/>
      <c r="FS304" s="76"/>
      <c r="FT304" s="76"/>
      <c r="FU304" s="76"/>
      <c r="FV304" s="76"/>
      <c r="FW304" s="76"/>
      <c r="FX304" s="76"/>
      <c r="FY304" s="76"/>
      <c r="FZ304" s="76"/>
      <c r="GA304" s="76"/>
    </row>
    <row r="305" spans="1:232" ht="15" customHeight="1" x14ac:dyDescent="0.15">
      <c r="A305" s="1201"/>
      <c r="B305" s="1201"/>
      <c r="C305" s="1201"/>
      <c r="D305" s="1201"/>
      <c r="E305" s="1202"/>
      <c r="DD305" s="16"/>
      <c r="DE305" s="16"/>
      <c r="DF305" s="16"/>
      <c r="DG305" s="16"/>
      <c r="DH305" s="16"/>
      <c r="DI305" s="1593"/>
      <c r="DJ305" s="1163"/>
      <c r="DM305" s="72" t="s">
        <v>1760</v>
      </c>
      <c r="EG305" s="73"/>
      <c r="EH305" s="73"/>
      <c r="EI305" s="73"/>
      <c r="EJ305" s="73"/>
      <c r="EK305" s="73"/>
      <c r="FO305" s="72"/>
      <c r="FV305" s="73"/>
      <c r="FW305" s="73"/>
      <c r="FX305" s="73"/>
      <c r="FY305" s="73"/>
      <c r="FZ305" s="73"/>
    </row>
    <row r="306" spans="1:232" ht="2.1" customHeight="1" x14ac:dyDescent="0.15">
      <c r="A306" s="1201"/>
      <c r="B306" s="1201"/>
      <c r="C306" s="1201"/>
      <c r="D306" s="1201"/>
      <c r="E306" s="1202"/>
      <c r="DD306" s="16"/>
      <c r="DE306" s="16"/>
      <c r="DF306" s="16"/>
      <c r="DG306" s="16"/>
      <c r="DH306" s="16"/>
      <c r="DI306" s="1593"/>
      <c r="DJ306" s="1163"/>
      <c r="EG306" s="73"/>
      <c r="EH306" s="73"/>
      <c r="EI306" s="73"/>
      <c r="EJ306" s="73"/>
      <c r="EK306" s="73"/>
      <c r="FV306" s="73"/>
      <c r="FW306" s="73"/>
      <c r="FX306" s="73"/>
      <c r="FY306" s="73"/>
      <c r="FZ306" s="73"/>
    </row>
    <row r="307" spans="1:232" ht="2.1" customHeight="1" x14ac:dyDescent="0.15">
      <c r="A307" s="1201"/>
      <c r="B307" s="1201"/>
      <c r="C307" s="1201"/>
      <c r="D307" s="1201"/>
      <c r="E307" s="1202"/>
      <c r="DD307" s="16"/>
      <c r="DE307" s="16"/>
      <c r="DF307" s="16"/>
      <c r="DG307" s="16"/>
      <c r="DH307" s="16"/>
      <c r="DI307" s="1593"/>
      <c r="DJ307" s="1163"/>
      <c r="EG307" s="73"/>
      <c r="EH307" s="73"/>
      <c r="EI307" s="73"/>
      <c r="EJ307" s="73"/>
      <c r="EK307" s="73"/>
      <c r="FV307" s="73"/>
      <c r="FW307" s="73"/>
      <c r="FX307" s="73"/>
      <c r="FY307" s="73"/>
      <c r="FZ307" s="73"/>
    </row>
    <row r="308" spans="1:232" ht="2.1" customHeight="1" x14ac:dyDescent="0.15">
      <c r="A308" s="1201"/>
      <c r="B308" s="1201"/>
      <c r="C308" s="1201"/>
      <c r="D308" s="1201"/>
      <c r="E308" s="1202"/>
      <c r="I308" s="401"/>
      <c r="J308" s="1203"/>
      <c r="AB308" s="420"/>
      <c r="BU308" s="414"/>
      <c r="BV308" s="577"/>
      <c r="DD308" s="16"/>
      <c r="DE308" s="16"/>
      <c r="DF308" s="16"/>
      <c r="DG308" s="16"/>
      <c r="DH308" s="16"/>
      <c r="DI308" s="1593"/>
      <c r="DJ308" s="1163"/>
      <c r="DK308" s="1155"/>
      <c r="EG308" s="78"/>
      <c r="EH308" s="78"/>
      <c r="EI308" s="78"/>
      <c r="EJ308" s="78"/>
      <c r="EK308" s="78"/>
      <c r="FV308" s="78"/>
      <c r="FW308" s="78"/>
      <c r="FX308" s="78"/>
      <c r="FY308" s="78"/>
      <c r="FZ308" s="78"/>
    </row>
    <row r="309" spans="1:232" ht="1.1499999999999999" customHeight="1" x14ac:dyDescent="0.15">
      <c r="A309" s="1201"/>
      <c r="B309" s="1201"/>
      <c r="C309" s="1201"/>
      <c r="D309" s="1201"/>
      <c r="E309" s="1202"/>
      <c r="I309" s="652"/>
      <c r="J309" s="652"/>
      <c r="K309" s="652"/>
      <c r="L309" s="652"/>
      <c r="M309" s="652"/>
      <c r="N309" s="652"/>
      <c r="O309" s="652"/>
      <c r="P309" s="652"/>
      <c r="Q309" s="652"/>
      <c r="R309" s="652"/>
      <c r="S309" s="652"/>
      <c r="T309" s="652"/>
      <c r="U309" s="652"/>
      <c r="V309" s="652"/>
      <c r="W309" s="652"/>
      <c r="X309" s="652"/>
      <c r="Y309" s="652"/>
      <c r="Z309" s="652"/>
      <c r="AA309" s="652"/>
      <c r="AB309" s="652"/>
      <c r="AC309" s="652"/>
      <c r="AD309" s="652"/>
      <c r="AE309" s="652"/>
      <c r="AF309" s="652"/>
      <c r="AG309" s="652"/>
      <c r="AH309" s="652"/>
      <c r="AI309" s="652"/>
      <c r="AJ309" s="652"/>
      <c r="AK309" s="652"/>
      <c r="AL309" s="652"/>
      <c r="AM309" s="652"/>
      <c r="AN309" s="652"/>
      <c r="AO309" s="652"/>
      <c r="AP309" s="652"/>
      <c r="AQ309" s="652"/>
      <c r="AR309" s="652"/>
      <c r="AS309" s="652"/>
      <c r="AT309" s="652"/>
      <c r="AU309" s="652"/>
      <c r="AV309" s="652"/>
      <c r="AW309" s="652"/>
      <c r="AX309" s="652"/>
      <c r="AY309" s="652"/>
      <c r="AZ309" s="652"/>
      <c r="BA309" s="652"/>
      <c r="BB309" s="652"/>
      <c r="BC309" s="652"/>
      <c r="BD309" s="652"/>
      <c r="BE309" s="652"/>
      <c r="BF309" s="652"/>
      <c r="BG309" s="652"/>
      <c r="BH309" s="652"/>
      <c r="BI309" s="652"/>
      <c r="BJ309" s="652"/>
      <c r="BK309" s="652"/>
      <c r="BL309" s="652"/>
      <c r="BM309" s="652"/>
      <c r="BN309" s="652"/>
      <c r="BO309" s="652"/>
      <c r="BP309" s="652"/>
      <c r="BQ309" s="652"/>
      <c r="BR309" s="652"/>
      <c r="BS309" s="652"/>
      <c r="BT309" s="652"/>
      <c r="BU309" s="652"/>
      <c r="BV309" s="652"/>
      <c r="BW309" s="652"/>
      <c r="BX309" s="652"/>
      <c r="BY309" s="652"/>
      <c r="BZ309" s="652"/>
      <c r="CA309" s="652"/>
      <c r="CB309" s="652"/>
      <c r="CC309" s="652"/>
      <c r="CD309" s="652"/>
      <c r="CE309" s="652"/>
      <c r="CF309" s="652"/>
      <c r="CG309" s="652"/>
      <c r="CH309" s="652"/>
      <c r="CI309" s="652"/>
      <c r="CJ309" s="652"/>
      <c r="CK309" s="652"/>
      <c r="CL309" s="652"/>
      <c r="CM309" s="652"/>
      <c r="CN309" s="652"/>
      <c r="CO309" s="652"/>
      <c r="CP309" s="652"/>
      <c r="CQ309" s="652"/>
      <c r="CR309" s="652"/>
      <c r="CS309" s="652"/>
      <c r="CT309" s="652"/>
      <c r="CU309" s="652"/>
      <c r="CX309" s="197"/>
      <c r="CY309" s="197"/>
      <c r="CZ309" s="197"/>
      <c r="DA309" s="197"/>
      <c r="DB309" s="197"/>
      <c r="DC309" s="653"/>
      <c r="DD309" s="467"/>
      <c r="DE309" s="467"/>
      <c r="DF309" s="467"/>
      <c r="DG309" s="467"/>
      <c r="DH309" s="467"/>
      <c r="DI309" s="1593"/>
      <c r="DJ309" s="1166"/>
      <c r="DK309" s="1603"/>
      <c r="DM309" s="176" t="s">
        <v>1236</v>
      </c>
      <c r="EG309" s="78"/>
      <c r="EH309" s="78"/>
      <c r="EI309" s="78"/>
      <c r="EJ309" s="78"/>
      <c r="EK309" s="78"/>
      <c r="FP309" s="76"/>
      <c r="FQ309" s="76"/>
      <c r="FR309" s="76"/>
      <c r="FS309" s="76"/>
      <c r="FT309" s="76"/>
      <c r="FU309" s="76"/>
      <c r="FV309" s="579"/>
      <c r="FW309" s="579"/>
      <c r="FX309" s="579"/>
      <c r="FY309" s="579"/>
      <c r="FZ309" s="579"/>
    </row>
    <row r="310" spans="1:232" ht="1.1499999999999999" customHeight="1" thickBot="1" x14ac:dyDescent="0.2">
      <c r="A310" s="1201"/>
      <c r="B310" s="1201"/>
      <c r="C310" s="1201"/>
      <c r="D310" s="1201"/>
      <c r="E310" s="1202"/>
      <c r="I310" s="652"/>
      <c r="J310" s="652"/>
      <c r="K310" s="652"/>
      <c r="L310" s="652"/>
      <c r="M310" s="652"/>
      <c r="N310" s="652"/>
      <c r="O310" s="652"/>
      <c r="P310" s="652"/>
      <c r="Q310" s="652"/>
      <c r="R310" s="652"/>
      <c r="S310" s="652"/>
      <c r="T310" s="652"/>
      <c r="U310" s="652"/>
      <c r="V310" s="652"/>
      <c r="W310" s="652"/>
      <c r="X310" s="652"/>
      <c r="Y310" s="652"/>
      <c r="Z310" s="652"/>
      <c r="AA310" s="652"/>
      <c r="AB310" s="652"/>
      <c r="AC310" s="652"/>
      <c r="AD310" s="652"/>
      <c r="AE310" s="652"/>
      <c r="AF310" s="652"/>
      <c r="AG310" s="652"/>
      <c r="AH310" s="652"/>
      <c r="AI310" s="652"/>
      <c r="AJ310" s="652"/>
      <c r="AK310" s="652"/>
      <c r="AL310" s="652"/>
      <c r="AM310" s="652"/>
      <c r="AN310" s="652"/>
      <c r="AO310" s="652"/>
      <c r="AP310" s="652"/>
      <c r="AQ310" s="652"/>
      <c r="AR310" s="652"/>
      <c r="AS310" s="652"/>
      <c r="AT310" s="652"/>
      <c r="AU310" s="652"/>
      <c r="AV310" s="652"/>
      <c r="AW310" s="652"/>
      <c r="AX310" s="652"/>
      <c r="AY310" s="652"/>
      <c r="AZ310" s="652"/>
      <c r="BA310" s="652"/>
      <c r="BB310" s="652"/>
      <c r="BC310" s="652"/>
      <c r="BD310" s="652"/>
      <c r="BE310" s="652"/>
      <c r="BF310" s="652"/>
      <c r="BG310" s="652"/>
      <c r="BH310" s="652"/>
      <c r="BI310" s="652"/>
      <c r="BJ310" s="652"/>
      <c r="BK310" s="652"/>
      <c r="BL310" s="652"/>
      <c r="BM310" s="652"/>
      <c r="BN310" s="652"/>
      <c r="BO310" s="652"/>
      <c r="BP310" s="652"/>
      <c r="BQ310" s="652"/>
      <c r="BR310" s="652"/>
      <c r="BS310" s="652"/>
      <c r="BT310" s="652"/>
      <c r="BU310" s="652"/>
      <c r="BV310" s="652"/>
      <c r="BW310" s="652"/>
      <c r="BX310" s="652"/>
      <c r="BY310" s="652"/>
      <c r="BZ310" s="652"/>
      <c r="CA310" s="652"/>
      <c r="CB310" s="652"/>
      <c r="CC310" s="652"/>
      <c r="CD310" s="652"/>
      <c r="CE310" s="652"/>
      <c r="CF310" s="652"/>
      <c r="CG310" s="652"/>
      <c r="CH310" s="652"/>
      <c r="CI310" s="652"/>
      <c r="CJ310" s="652"/>
      <c r="CK310" s="652"/>
      <c r="CL310" s="652"/>
      <c r="CM310" s="652"/>
      <c r="CN310" s="652"/>
      <c r="CO310" s="652"/>
      <c r="CP310" s="652"/>
      <c r="CQ310" s="652"/>
      <c r="CR310" s="652"/>
      <c r="CS310" s="652"/>
      <c r="CT310" s="652"/>
      <c r="CU310" s="652"/>
      <c r="CX310" s="197"/>
      <c r="CY310" s="197"/>
      <c r="CZ310" s="197"/>
      <c r="DA310" s="197"/>
      <c r="DB310" s="197"/>
      <c r="DC310" s="653"/>
      <c r="DD310" s="467"/>
      <c r="DE310" s="467"/>
      <c r="DF310" s="467"/>
      <c r="DG310" s="467"/>
      <c r="DH310" s="467"/>
      <c r="DI310" s="1593"/>
      <c r="DJ310" s="1166"/>
      <c r="DK310" s="1603"/>
      <c r="DM310" s="175"/>
      <c r="EG310" s="78"/>
      <c r="EH310" s="78"/>
      <c r="EI310" s="78"/>
      <c r="EJ310" s="78"/>
      <c r="EK310" s="78"/>
      <c r="FV310" s="78"/>
      <c r="FW310" s="78"/>
      <c r="FX310" s="78"/>
      <c r="FY310" s="78"/>
      <c r="FZ310" s="78"/>
    </row>
    <row r="311" spans="1:232" ht="34.9" customHeight="1" x14ac:dyDescent="0.15">
      <c r="A311" s="1201"/>
      <c r="B311" s="1201"/>
      <c r="C311" s="1201"/>
      <c r="D311" s="1201"/>
      <c r="E311" s="1202"/>
      <c r="I311" s="1342"/>
      <c r="J311" s="1410" t="s">
        <v>2177</v>
      </c>
      <c r="K311" s="1417"/>
      <c r="L311" s="1417"/>
      <c r="M311" s="1417"/>
      <c r="N311" s="1417"/>
      <c r="O311" s="1417"/>
      <c r="P311" s="1417"/>
      <c r="Q311" s="1417"/>
      <c r="R311" s="1417"/>
      <c r="S311" s="1417"/>
      <c r="T311" s="1417"/>
      <c r="U311" s="1417"/>
      <c r="V311" s="1417"/>
      <c r="W311" s="1417"/>
      <c r="X311" s="1417"/>
      <c r="Y311" s="1417"/>
      <c r="Z311" s="1417"/>
      <c r="AA311" s="1417"/>
      <c r="AB311" s="1417"/>
      <c r="AC311" s="1417"/>
      <c r="AD311" s="1417"/>
      <c r="AE311" s="1417"/>
      <c r="AF311" s="1417"/>
      <c r="AG311" s="1417"/>
      <c r="AH311" s="1417"/>
      <c r="AI311" s="1417"/>
      <c r="AJ311" s="1417"/>
      <c r="AK311" s="1417"/>
      <c r="AL311" s="1417"/>
      <c r="AM311" s="1417"/>
      <c r="AN311" s="1417"/>
      <c r="AO311" s="1417"/>
      <c r="AP311" s="1417"/>
      <c r="AQ311" s="1417"/>
      <c r="AR311" s="1417"/>
      <c r="AS311" s="1417"/>
      <c r="AT311" s="1417"/>
      <c r="AU311" s="1417"/>
      <c r="AV311" s="1417"/>
      <c r="AW311" s="1417"/>
      <c r="AX311" s="1417"/>
      <c r="AY311" s="1417"/>
      <c r="AZ311" s="1417"/>
      <c r="BA311" s="1417"/>
      <c r="BB311" s="1417"/>
      <c r="BC311" s="1417"/>
      <c r="BD311" s="1417"/>
      <c r="BE311" s="1417"/>
      <c r="BF311" s="1417"/>
      <c r="BG311" s="2853" t="s">
        <v>1916</v>
      </c>
      <c r="BH311" s="2853"/>
      <c r="BI311" s="2853"/>
      <c r="BJ311" s="2853"/>
      <c r="BK311" s="2853"/>
      <c r="BL311" s="2853"/>
      <c r="BM311" s="2853"/>
      <c r="BN311" s="2853"/>
      <c r="BO311" s="2853"/>
      <c r="BP311" s="2853"/>
      <c r="BQ311" s="2853"/>
      <c r="BR311" s="2853"/>
      <c r="BS311" s="2853"/>
      <c r="BT311" s="2853"/>
      <c r="BU311" s="415"/>
      <c r="BV311" s="415"/>
      <c r="BW311" s="415"/>
      <c r="BX311" s="415"/>
      <c r="BY311" s="415"/>
      <c r="BZ311" s="415"/>
      <c r="CA311" s="415"/>
      <c r="CB311" s="415"/>
      <c r="CC311" s="415"/>
      <c r="CD311" s="415"/>
      <c r="CE311" s="415"/>
      <c r="CF311" s="415"/>
      <c r="CG311" s="415"/>
      <c r="CH311" s="415"/>
      <c r="CI311" s="415"/>
      <c r="CJ311" s="415"/>
      <c r="CK311" s="415"/>
      <c r="CL311" s="415"/>
      <c r="CM311" s="415"/>
      <c r="CN311" s="415"/>
      <c r="CO311" s="415"/>
      <c r="CP311" s="415"/>
      <c r="CQ311" s="415"/>
      <c r="CR311" s="415"/>
      <c r="CS311" s="415"/>
      <c r="CT311" s="415"/>
      <c r="CU311" s="416"/>
      <c r="CX311" s="197"/>
      <c r="CY311" s="197"/>
      <c r="CZ311" s="197"/>
      <c r="DA311" s="197"/>
      <c r="DB311" s="197"/>
      <c r="DC311" s="653"/>
      <c r="DD311" s="467"/>
      <c r="DE311" s="467"/>
      <c r="DF311" s="467"/>
      <c r="DG311" s="467"/>
      <c r="DH311" s="467"/>
      <c r="DI311" s="1593"/>
      <c r="DJ311" s="1166"/>
      <c r="DK311" s="1155"/>
      <c r="DM311" s="332">
        <f>$U$313</f>
        <v>0</v>
      </c>
      <c r="DN311" s="333">
        <f>$AW$313</f>
        <v>0</v>
      </c>
      <c r="DO311" s="333">
        <f>$BY$313</f>
        <v>0</v>
      </c>
      <c r="EG311" s="78"/>
      <c r="EH311" s="78"/>
      <c r="EI311" s="78"/>
      <c r="EJ311" s="78"/>
      <c r="EK311" s="78"/>
      <c r="ET311" s="72"/>
      <c r="EU311" s="72"/>
      <c r="EV311" s="72"/>
      <c r="EW311" s="72"/>
      <c r="EX311" s="72"/>
      <c r="EY311" s="72"/>
      <c r="EZ311" s="72"/>
      <c r="FA311" s="72"/>
      <c r="FB311" s="72"/>
      <c r="FC311" s="72"/>
      <c r="FO311" s="72"/>
      <c r="FV311" s="78"/>
      <c r="FW311" s="78"/>
      <c r="FX311" s="78"/>
      <c r="FY311" s="78"/>
      <c r="FZ311" s="78"/>
    </row>
    <row r="312" spans="1:232" ht="24.95" customHeight="1" x14ac:dyDescent="0.15">
      <c r="A312" s="1201"/>
      <c r="B312" s="1201"/>
      <c r="C312" s="1201"/>
      <c r="D312" s="1201"/>
      <c r="E312" s="1202"/>
      <c r="I312" s="401"/>
      <c r="J312" s="1343"/>
      <c r="K312" s="1181"/>
      <c r="L312" s="1181"/>
      <c r="M312" s="2399"/>
      <c r="N312" s="2399"/>
      <c r="O312" s="2399"/>
      <c r="P312" s="2399"/>
      <c r="Q312" s="2399"/>
      <c r="R312" s="2399"/>
      <c r="S312" s="2399"/>
      <c r="T312" s="2399"/>
      <c r="U312" s="417"/>
      <c r="V312" s="417"/>
      <c r="W312" s="417"/>
      <c r="X312" s="417"/>
      <c r="Y312" s="417"/>
      <c r="Z312" s="417"/>
      <c r="AA312" s="417"/>
      <c r="AB312" s="417"/>
      <c r="AC312" s="417"/>
      <c r="AD312" s="417"/>
      <c r="AE312" s="417"/>
      <c r="AF312" s="417"/>
      <c r="AG312" s="417"/>
      <c r="AH312" s="417"/>
      <c r="AI312" s="417"/>
      <c r="AJ312" s="417"/>
      <c r="AK312" s="417"/>
      <c r="AL312" s="417"/>
      <c r="AM312" s="417"/>
      <c r="AN312" s="417"/>
      <c r="AO312" s="417"/>
      <c r="AP312" s="417"/>
      <c r="AQ312" s="417"/>
      <c r="AR312" s="417"/>
      <c r="AS312" s="417"/>
      <c r="AT312" s="417"/>
      <c r="AU312" s="417"/>
      <c r="AV312" s="417"/>
      <c r="AW312" s="417"/>
      <c r="AX312" s="417"/>
      <c r="AY312" s="417"/>
      <c r="AZ312" s="417"/>
      <c r="BA312" s="417"/>
      <c r="BB312" s="417"/>
      <c r="BC312" s="417"/>
      <c r="BD312" s="417"/>
      <c r="BE312" s="417"/>
      <c r="BF312" s="417"/>
      <c r="BG312" s="417"/>
      <c r="BH312" s="417"/>
      <c r="BI312" s="417"/>
      <c r="BJ312" s="417"/>
      <c r="BK312" s="417"/>
      <c r="BL312" s="417"/>
      <c r="BM312" s="417"/>
      <c r="BN312" s="417"/>
      <c r="BO312" s="417"/>
      <c r="BP312" s="417"/>
      <c r="BQ312" s="417"/>
      <c r="BR312" s="417"/>
      <c r="BS312" s="417"/>
      <c r="BT312" s="417"/>
      <c r="BU312" s="417"/>
      <c r="BV312" s="417"/>
      <c r="BW312" s="417"/>
      <c r="BX312" s="417"/>
      <c r="BY312" s="417"/>
      <c r="BZ312" s="417"/>
      <c r="CA312" s="417"/>
      <c r="CB312" s="417"/>
      <c r="CC312" s="417"/>
      <c r="CD312" s="417"/>
      <c r="CE312" s="417"/>
      <c r="CF312" s="417"/>
      <c r="CG312" s="417"/>
      <c r="CH312" s="417"/>
      <c r="CI312" s="417"/>
      <c r="CJ312" s="417"/>
      <c r="CK312" s="417"/>
      <c r="CL312" s="417"/>
      <c r="CM312" s="417"/>
      <c r="CN312" s="417"/>
      <c r="CO312" s="417"/>
      <c r="CP312" s="417"/>
      <c r="CQ312" s="417"/>
      <c r="CR312" s="417"/>
      <c r="CS312" s="417"/>
      <c r="CT312" s="417"/>
      <c r="CU312" s="418"/>
      <c r="CX312" s="197"/>
      <c r="CY312" s="197"/>
      <c r="CZ312" s="197"/>
      <c r="DA312" s="197"/>
      <c r="DB312" s="197"/>
      <c r="DC312" s="653"/>
      <c r="DD312" s="467"/>
      <c r="DE312" s="467"/>
      <c r="DF312" s="467"/>
      <c r="DG312" s="467"/>
      <c r="DH312" s="467"/>
      <c r="DI312" s="1593"/>
      <c r="DJ312" s="1166"/>
      <c r="DK312" s="1155"/>
      <c r="DM312" s="331" t="s">
        <v>1761</v>
      </c>
      <c r="EA312" s="203"/>
      <c r="EG312" s="73"/>
      <c r="EH312" s="73"/>
      <c r="EI312" s="73"/>
      <c r="EJ312" s="73"/>
      <c r="EK312" s="73"/>
      <c r="ET312" s="72"/>
      <c r="EU312" s="72"/>
      <c r="EV312" s="72"/>
      <c r="EW312" s="72"/>
      <c r="EX312" s="72"/>
      <c r="EY312" s="72"/>
      <c r="EZ312" s="72"/>
      <c r="FA312" s="72"/>
      <c r="FB312" s="72"/>
      <c r="FC312" s="72"/>
      <c r="FK312" s="96"/>
      <c r="FL312" s="96" t="s">
        <v>1073</v>
      </c>
      <c r="FM312" s="96"/>
      <c r="FN312" s="96"/>
      <c r="FO312" s="654"/>
      <c r="FQ312" s="2746" t="s">
        <v>1626</v>
      </c>
      <c r="FR312" s="2747"/>
      <c r="FS312" s="2747"/>
      <c r="FT312" s="2747"/>
      <c r="FU312" s="2748"/>
      <c r="FV312" s="73"/>
      <c r="FW312" s="73"/>
      <c r="FX312" s="73"/>
      <c r="FY312" s="73"/>
      <c r="FZ312" s="73"/>
    </row>
    <row r="313" spans="1:232" ht="24.95" customHeight="1" thickBot="1" x14ac:dyDescent="0.2">
      <c r="A313" s="1201"/>
      <c r="B313" s="1201"/>
      <c r="C313" s="1201"/>
      <c r="D313" s="1201"/>
      <c r="E313" s="1202"/>
      <c r="I313" s="401"/>
      <c r="J313" s="1343"/>
      <c r="K313" s="1181"/>
      <c r="L313" s="1181"/>
      <c r="M313" s="2399" t="s">
        <v>30</v>
      </c>
      <c r="N313" s="2399"/>
      <c r="O313" s="2399"/>
      <c r="P313" s="2399"/>
      <c r="Q313" s="2399"/>
      <c r="R313" s="2399">
        <v>1</v>
      </c>
      <c r="S313" s="2399"/>
      <c r="T313" s="2816"/>
      <c r="U313" s="2741">
        <f t="shared" ref="U313" si="14">$AB$78</f>
        <v>0</v>
      </c>
      <c r="V313" s="2741"/>
      <c r="W313" s="2741"/>
      <c r="X313" s="2741"/>
      <c r="Y313" s="2741"/>
      <c r="Z313" s="2741"/>
      <c r="AA313" s="2741"/>
      <c r="AB313" s="2741"/>
      <c r="AC313" s="2741"/>
      <c r="AD313" s="2741"/>
      <c r="AE313" s="2741"/>
      <c r="AF313" s="2741"/>
      <c r="AG313" s="2741"/>
      <c r="AH313" s="2741"/>
      <c r="AI313" s="2741"/>
      <c r="AJ313" s="2741"/>
      <c r="AK313" s="2741"/>
      <c r="AL313" s="2741"/>
      <c r="AM313" s="2741"/>
      <c r="AN313" s="1184"/>
      <c r="AO313" s="2399" t="s">
        <v>1113</v>
      </c>
      <c r="AP313" s="2399"/>
      <c r="AQ313" s="2399"/>
      <c r="AR313" s="2399"/>
      <c r="AS313" s="2399"/>
      <c r="AT313" s="2363">
        <v>2</v>
      </c>
      <c r="AU313" s="2363"/>
      <c r="AV313" s="2363"/>
      <c r="AW313" s="2864">
        <f t="shared" ref="AW313" si="15">$AB$96</f>
        <v>0</v>
      </c>
      <c r="AX313" s="2864"/>
      <c r="AY313" s="2864"/>
      <c r="AZ313" s="2864"/>
      <c r="BA313" s="2864"/>
      <c r="BB313" s="2864"/>
      <c r="BC313" s="2864"/>
      <c r="BD313" s="2864"/>
      <c r="BE313" s="2864"/>
      <c r="BF313" s="2864"/>
      <c r="BG313" s="2864"/>
      <c r="BH313" s="2864"/>
      <c r="BI313" s="2864"/>
      <c r="BJ313" s="2864"/>
      <c r="BK313" s="2864"/>
      <c r="BL313" s="2864"/>
      <c r="BM313" s="2864"/>
      <c r="BN313" s="2864"/>
      <c r="BO313" s="2864"/>
      <c r="BP313" s="1177"/>
      <c r="BQ313" s="2458" t="s">
        <v>1235</v>
      </c>
      <c r="BR313" s="2458"/>
      <c r="BS313" s="2458"/>
      <c r="BT313" s="2458"/>
      <c r="BU313" s="2458"/>
      <c r="BV313" s="2363">
        <v>3</v>
      </c>
      <c r="BW313" s="2363"/>
      <c r="BX313" s="2363"/>
      <c r="BY313" s="2852">
        <f t="shared" ref="BY313" si="16">$AB$114</f>
        <v>0</v>
      </c>
      <c r="BZ313" s="2852"/>
      <c r="CA313" s="2852"/>
      <c r="CB313" s="2852"/>
      <c r="CC313" s="2852"/>
      <c r="CD313" s="2852"/>
      <c r="CE313" s="2852"/>
      <c r="CF313" s="2852"/>
      <c r="CG313" s="2852"/>
      <c r="CH313" s="2852"/>
      <c r="CI313" s="2852"/>
      <c r="CJ313" s="2852"/>
      <c r="CK313" s="2852"/>
      <c r="CL313" s="2852"/>
      <c r="CM313" s="2852"/>
      <c r="CN313" s="2852"/>
      <c r="CO313" s="2852"/>
      <c r="CP313" s="2852"/>
      <c r="CQ313" s="2852"/>
      <c r="CR313" s="1179"/>
      <c r="CS313" s="1177"/>
      <c r="CT313" s="1177"/>
      <c r="CU313" s="1178"/>
      <c r="CX313" s="197"/>
      <c r="CY313" s="197"/>
      <c r="CZ313" s="197"/>
      <c r="DA313" s="197"/>
      <c r="DB313" s="197"/>
      <c r="DC313" s="653"/>
      <c r="DD313" s="467"/>
      <c r="DE313" s="467"/>
      <c r="DF313" s="467"/>
      <c r="DG313" s="467"/>
      <c r="DH313" s="467"/>
      <c r="DI313" s="1593"/>
      <c r="DJ313" s="1166"/>
      <c r="DK313" s="1603"/>
      <c r="DM313" s="94">
        <f>COUNTIF(DM311:DO311,"&lt;&gt;0")</f>
        <v>0</v>
      </c>
      <c r="DN313" s="72" t="s">
        <v>1762</v>
      </c>
      <c r="EA313" s="204"/>
      <c r="EB313" s="1160" t="s">
        <v>3374</v>
      </c>
      <c r="EC313" s="1160"/>
      <c r="ED313" s="1160" t="s">
        <v>3373</v>
      </c>
      <c r="EE313" s="1160"/>
      <c r="EF313" s="1160" t="s">
        <v>3378</v>
      </c>
      <c r="EG313" s="1160" t="s">
        <v>3375</v>
      </c>
      <c r="EH313" s="1160"/>
      <c r="EI313" s="1160" t="s">
        <v>3376</v>
      </c>
      <c r="EJ313" s="1160"/>
      <c r="EK313" s="1160" t="s">
        <v>3377</v>
      </c>
      <c r="ET313" s="72"/>
      <c r="EU313" s="72"/>
      <c r="EV313" s="72"/>
      <c r="EW313" s="72"/>
      <c r="EX313" s="72"/>
      <c r="EY313" s="72"/>
      <c r="EZ313" s="72"/>
      <c r="FA313" s="72"/>
      <c r="FB313" s="72"/>
      <c r="FC313" s="72"/>
      <c r="FK313" s="96"/>
      <c r="FL313" s="96" t="s">
        <v>1075</v>
      </c>
      <c r="FM313" s="96"/>
      <c r="FN313" s="96"/>
      <c r="FO313" s="654"/>
      <c r="FQ313" s="2374" t="s">
        <v>1618</v>
      </c>
      <c r="FR313" s="2375"/>
      <c r="FS313" s="2375"/>
      <c r="FT313" s="2375"/>
      <c r="FU313" s="2376"/>
      <c r="FV313" s="73"/>
      <c r="FW313" s="73"/>
      <c r="FX313" s="73"/>
      <c r="FY313" s="73"/>
      <c r="FZ313" s="73"/>
    </row>
    <row r="314" spans="1:232" ht="45" customHeight="1" thickBot="1" x14ac:dyDescent="0.2">
      <c r="A314" s="1201"/>
      <c r="B314" s="1201"/>
      <c r="C314" s="1201"/>
      <c r="D314" s="1201"/>
      <c r="E314" s="1202"/>
      <c r="I314" s="401"/>
      <c r="J314" s="1343"/>
      <c r="K314" s="1181"/>
      <c r="L314" s="1181"/>
      <c r="M314" s="2399"/>
      <c r="N314" s="2399"/>
      <c r="O314" s="2399"/>
      <c r="P314" s="2399"/>
      <c r="Q314" s="2399"/>
      <c r="R314" s="2399"/>
      <c r="S314" s="2399"/>
      <c r="T314" s="2399"/>
      <c r="U314" s="2756" t="s">
        <v>2401</v>
      </c>
      <c r="V314" s="2756"/>
      <c r="W314" s="2756"/>
      <c r="X314" s="2756"/>
      <c r="Y314" s="2756"/>
      <c r="Z314" s="2756"/>
      <c r="AA314" s="2756"/>
      <c r="AB314" s="2756"/>
      <c r="AC314" s="2756"/>
      <c r="AD314" s="2756"/>
      <c r="AE314" s="2756"/>
      <c r="AF314" s="2756"/>
      <c r="AG314" s="2756"/>
      <c r="AH314" s="2756"/>
      <c r="AI314" s="2756"/>
      <c r="AJ314" s="2756"/>
      <c r="AK314" s="2756"/>
      <c r="AL314" s="2756"/>
      <c r="AM314" s="2756"/>
      <c r="AN314" s="2756"/>
      <c r="AO314" s="2756"/>
      <c r="AP314" s="2756"/>
      <c r="AQ314" s="2756"/>
      <c r="AR314" s="2756"/>
      <c r="AS314" s="2756"/>
      <c r="AT314" s="2756"/>
      <c r="AU314" s="2756"/>
      <c r="AV314" s="2756"/>
      <c r="AW314" s="2756"/>
      <c r="AX314" s="2756"/>
      <c r="AY314" s="2756"/>
      <c r="AZ314" s="2756"/>
      <c r="BA314" s="2756"/>
      <c r="BB314" s="2756"/>
      <c r="BC314" s="2756"/>
      <c r="BD314" s="2756"/>
      <c r="BE314" s="2756"/>
      <c r="BF314" s="2756"/>
      <c r="BG314" s="2756"/>
      <c r="BH314" s="2756"/>
      <c r="BI314" s="2756"/>
      <c r="BJ314" s="2756"/>
      <c r="BK314" s="2756"/>
      <c r="BL314" s="2756"/>
      <c r="BM314" s="2756"/>
      <c r="BN314" s="2756"/>
      <c r="BO314" s="2756"/>
      <c r="BP314" s="2756"/>
      <c r="BQ314" s="2756"/>
      <c r="BR314" s="2756"/>
      <c r="BS314" s="2756"/>
      <c r="BT314" s="2756"/>
      <c r="BU314" s="2756"/>
      <c r="BV314" s="2756"/>
      <c r="BW314" s="2756"/>
      <c r="BX314" s="2756"/>
      <c r="BY314" s="2756"/>
      <c r="BZ314" s="2756"/>
      <c r="CA314" s="2756"/>
      <c r="CB314" s="2756"/>
      <c r="CC314" s="2756"/>
      <c r="CD314" s="2756"/>
      <c r="CE314" s="2756"/>
      <c r="CF314" s="2756"/>
      <c r="CG314" s="2756"/>
      <c r="CH314" s="2756"/>
      <c r="CI314" s="2756"/>
      <c r="CJ314" s="2756"/>
      <c r="CK314" s="2756"/>
      <c r="CL314" s="2756"/>
      <c r="CM314" s="2756"/>
      <c r="CN314" s="2756"/>
      <c r="CO314" s="2756"/>
      <c r="CP314" s="2756"/>
      <c r="CQ314" s="2756"/>
      <c r="CR314" s="2756"/>
      <c r="CS314" s="2756"/>
      <c r="CT314" s="2756"/>
      <c r="CU314" s="2757"/>
      <c r="CX314" s="197"/>
      <c r="CY314" s="197"/>
      <c r="CZ314" s="197"/>
      <c r="DA314" s="197"/>
      <c r="DB314" s="197"/>
      <c r="DC314" s="653"/>
      <c r="DD314" s="467"/>
      <c r="DE314" s="467"/>
      <c r="DF314" s="467"/>
      <c r="DG314" s="467"/>
      <c r="DH314" s="467"/>
      <c r="DI314" s="1593"/>
      <c r="DJ314" s="1166"/>
      <c r="DK314" s="1603"/>
      <c r="DM314" s="1807" t="s">
        <v>3241</v>
      </c>
      <c r="DX314" s="2856" t="s">
        <v>1622</v>
      </c>
      <c r="DY314" s="2857"/>
      <c r="DZ314" s="2857"/>
      <c r="EA314" s="2857"/>
      <c r="EB314" s="2857"/>
      <c r="EC314" s="2857"/>
      <c r="ED314" s="2857"/>
      <c r="EE314" s="2857"/>
      <c r="EF314" s="2857"/>
      <c r="EG314" s="2857"/>
      <c r="EH314" s="2857"/>
      <c r="EI314" s="2857"/>
      <c r="EJ314" s="2857"/>
      <c r="EK314" s="2858"/>
      <c r="ET314" s="1803" t="s">
        <v>3431</v>
      </c>
      <c r="EU314" s="72"/>
      <c r="EV314" s="72"/>
      <c r="FK314" s="96"/>
      <c r="FL314" s="96" t="s">
        <v>1107</v>
      </c>
      <c r="FM314" s="96"/>
      <c r="FN314" s="96"/>
      <c r="FO314" s="654"/>
      <c r="FQ314" s="53"/>
      <c r="FR314" s="53"/>
      <c r="FS314" s="53"/>
      <c r="FT314" s="53"/>
      <c r="FV314" s="78"/>
      <c r="FW314" s="78"/>
      <c r="FX314" s="78"/>
      <c r="FY314" s="78"/>
      <c r="FZ314" s="78"/>
    </row>
    <row r="315" spans="1:232" ht="45" customHeight="1" thickBot="1" x14ac:dyDescent="0.2">
      <c r="A315" s="1201"/>
      <c r="B315" s="1201"/>
      <c r="C315" s="1201"/>
      <c r="D315" s="1201"/>
      <c r="E315" s="1202"/>
      <c r="I315" s="1342"/>
      <c r="J315" s="1344"/>
      <c r="K315" s="1235"/>
      <c r="L315" s="1235"/>
      <c r="M315" s="1345"/>
      <c r="N315" s="1346"/>
      <c r="O315" s="1346"/>
      <c r="P315" s="1346"/>
      <c r="Q315" s="1346"/>
      <c r="R315" s="1346"/>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c r="AS315" s="1346"/>
      <c r="AT315" s="1346"/>
      <c r="AU315" s="1346"/>
      <c r="AV315" s="1346"/>
      <c r="AW315" s="1346"/>
      <c r="AX315" s="1346"/>
      <c r="AY315" s="1346"/>
      <c r="AZ315" s="1346"/>
      <c r="BA315" s="1346"/>
      <c r="BB315" s="1346"/>
      <c r="BC315" s="1346"/>
      <c r="BD315" s="1347"/>
      <c r="BE315" s="1348" t="s">
        <v>1930</v>
      </c>
      <c r="BF315" s="2749" t="str">
        <f>HYPERLINK("#J516:CU533","残りの指摘内容は、最下部の「上記1から7で表現できない項目」に記入してください。　↓")</f>
        <v>残りの指摘内容は、最下部の「上記1から7で表現できない項目」に記入してください。　↓</v>
      </c>
      <c r="BG315" s="2750"/>
      <c r="BH315" s="2750"/>
      <c r="BI315" s="2750"/>
      <c r="BJ315" s="2750"/>
      <c r="BK315" s="2750"/>
      <c r="BL315" s="2750"/>
      <c r="BM315" s="2750"/>
      <c r="BN315" s="2750"/>
      <c r="BO315" s="2750"/>
      <c r="BP315" s="2750"/>
      <c r="BQ315" s="2750"/>
      <c r="BR315" s="2750"/>
      <c r="BS315" s="2750"/>
      <c r="BT315" s="2750"/>
      <c r="BU315" s="2750"/>
      <c r="BV315" s="2750"/>
      <c r="BW315" s="2750"/>
      <c r="BX315" s="2750"/>
      <c r="BY315" s="2750"/>
      <c r="BZ315" s="2750"/>
      <c r="CA315" s="2750"/>
      <c r="CB315" s="2750"/>
      <c r="CC315" s="2750"/>
      <c r="CD315" s="2750"/>
      <c r="CE315" s="2750"/>
      <c r="CF315" s="2750"/>
      <c r="CG315" s="2750"/>
      <c r="CH315" s="2750"/>
      <c r="CI315" s="2750"/>
      <c r="CJ315" s="2750"/>
      <c r="CK315" s="2750"/>
      <c r="CL315" s="2750"/>
      <c r="CM315" s="2750"/>
      <c r="CN315" s="2750"/>
      <c r="CO315" s="2750"/>
      <c r="CP315" s="2750"/>
      <c r="CQ315" s="2751"/>
      <c r="CR315" s="1349"/>
      <c r="CS315" s="1349"/>
      <c r="CT315" s="1349"/>
      <c r="CU315" s="1350"/>
      <c r="DD315" s="16"/>
      <c r="DE315" s="16"/>
      <c r="DF315" s="16"/>
      <c r="DG315" s="16"/>
      <c r="DH315" s="16"/>
      <c r="DI315" s="1593"/>
      <c r="DJ315" s="1163"/>
      <c r="DK315" s="1155"/>
      <c r="DM315" s="1807" t="s">
        <v>3370</v>
      </c>
      <c r="DN315" s="1757" t="s">
        <v>3368</v>
      </c>
      <c r="DO315" s="1757" t="s">
        <v>3367</v>
      </c>
      <c r="DP315" s="1757" t="s">
        <v>3369</v>
      </c>
      <c r="DR315" s="72"/>
      <c r="DX315" s="2791" t="s">
        <v>1619</v>
      </c>
      <c r="DY315" s="461" t="s">
        <v>1621</v>
      </c>
      <c r="DZ315" s="2775" t="s">
        <v>900</v>
      </c>
      <c r="EA315" s="2776"/>
      <c r="EB315" s="2775" t="s">
        <v>896</v>
      </c>
      <c r="EC315" s="2787"/>
      <c r="ED315" s="2787"/>
      <c r="EE315" s="2787"/>
      <c r="EF315" s="2776"/>
      <c r="EG315" s="2761" t="s">
        <v>890</v>
      </c>
      <c r="EH315" s="2762"/>
      <c r="EI315" s="2762"/>
      <c r="EJ315" s="2762"/>
      <c r="EK315" s="2763"/>
      <c r="EL315" s="8"/>
      <c r="EM315" s="8"/>
      <c r="EN315" s="8"/>
      <c r="EY315" s="2764" t="s">
        <v>1622</v>
      </c>
      <c r="EZ315" s="2765"/>
      <c r="FA315" s="2765"/>
      <c r="FB315" s="2765"/>
      <c r="FC315" s="2765"/>
      <c r="FD315" s="2765"/>
      <c r="FE315" s="2765"/>
      <c r="FF315" s="2765"/>
      <c r="FG315" s="2765"/>
      <c r="FH315" s="2765"/>
      <c r="FI315" s="2766"/>
      <c r="FK315" s="174"/>
      <c r="FL315" s="96" t="s">
        <v>1074</v>
      </c>
      <c r="FM315" s="96"/>
      <c r="FN315" s="96"/>
      <c r="FO315" s="654"/>
      <c r="FQ315" s="2870" t="s">
        <v>896</v>
      </c>
      <c r="FR315" s="2871"/>
      <c r="FS315" s="2871"/>
      <c r="FT315" s="2871"/>
      <c r="FU315" s="2872"/>
      <c r="FV315" s="73"/>
      <c r="FW315" s="2374" t="s">
        <v>1616</v>
      </c>
      <c r="FX315" s="2375"/>
      <c r="FY315" s="2376"/>
      <c r="FZ315" s="73"/>
      <c r="GB315" s="1160" t="s">
        <v>2721</v>
      </c>
      <c r="HB315" s="73" t="s">
        <v>2722</v>
      </c>
    </row>
    <row r="316" spans="1:232" s="19" customFormat="1" ht="90" customHeight="1" thickBot="1" x14ac:dyDescent="0.55000000000000004">
      <c r="A316" s="1201"/>
      <c r="B316" s="1201"/>
      <c r="C316" s="1201"/>
      <c r="D316" s="1201"/>
      <c r="E316" s="1202"/>
      <c r="F316" s="652"/>
      <c r="G316" s="652"/>
      <c r="H316" s="652"/>
      <c r="I316" s="1351"/>
      <c r="J316" s="1234"/>
      <c r="K316" s="1235"/>
      <c r="L316" s="1235"/>
      <c r="M316" s="2805" t="s">
        <v>2822</v>
      </c>
      <c r="N316" s="2805"/>
      <c r="O316" s="2805"/>
      <c r="P316" s="2805"/>
      <c r="Q316" s="2805"/>
      <c r="R316" s="2805"/>
      <c r="S316" s="2805"/>
      <c r="T316" s="2805"/>
      <c r="U316" s="2805"/>
      <c r="V316" s="2805"/>
      <c r="W316" s="2805"/>
      <c r="X316" s="2805"/>
      <c r="Y316" s="2805"/>
      <c r="Z316" s="2805"/>
      <c r="AA316" s="2805"/>
      <c r="AB316" s="2805"/>
      <c r="AC316" s="2805"/>
      <c r="AD316" s="2805"/>
      <c r="AE316" s="2805"/>
      <c r="AF316" s="2797" t="s">
        <v>2029</v>
      </c>
      <c r="AG316" s="2798"/>
      <c r="AH316" s="2798"/>
      <c r="AI316" s="2798"/>
      <c r="AJ316" s="2798"/>
      <c r="AK316" s="2798"/>
      <c r="AL316" s="2798"/>
      <c r="AM316" s="2798"/>
      <c r="AN316" s="2798"/>
      <c r="AO316" s="2798"/>
      <c r="AP316" s="2798"/>
      <c r="AQ316" s="2798"/>
      <c r="AR316" s="2797" t="s">
        <v>2030</v>
      </c>
      <c r="AS316" s="2798"/>
      <c r="AT316" s="2798"/>
      <c r="AU316" s="2798"/>
      <c r="AV316" s="2798"/>
      <c r="AW316" s="2798"/>
      <c r="AX316" s="2798"/>
      <c r="AY316" s="2798"/>
      <c r="AZ316" s="2798"/>
      <c r="BA316" s="2798"/>
      <c r="BB316" s="2798"/>
      <c r="BC316" s="2798"/>
      <c r="BD316" s="1352"/>
      <c r="BE316" s="1353" t="s">
        <v>2031</v>
      </c>
      <c r="BF316" s="2799" t="s">
        <v>2032</v>
      </c>
      <c r="BG316" s="2799"/>
      <c r="BH316" s="2799"/>
      <c r="BI316" s="2799"/>
      <c r="BJ316" s="2799"/>
      <c r="BK316" s="2799"/>
      <c r="BL316" s="2799"/>
      <c r="BM316" s="2799"/>
      <c r="BN316" s="2799"/>
      <c r="BO316" s="2799"/>
      <c r="BP316" s="2799"/>
      <c r="BQ316" s="2799"/>
      <c r="BR316" s="2799"/>
      <c r="BS316" s="2799"/>
      <c r="BT316" s="2799"/>
      <c r="BU316" s="2799"/>
      <c r="BV316" s="2799"/>
      <c r="BW316" s="2799"/>
      <c r="BX316" s="2799"/>
      <c r="BY316" s="2799"/>
      <c r="BZ316" s="2799"/>
      <c r="CA316" s="2799"/>
      <c r="CB316" s="2799"/>
      <c r="CC316" s="2799"/>
      <c r="CD316" s="2799"/>
      <c r="CE316" s="2799"/>
      <c r="CF316" s="2799"/>
      <c r="CG316" s="2799"/>
      <c r="CH316" s="2799"/>
      <c r="CI316" s="2799"/>
      <c r="CJ316" s="2799"/>
      <c r="CK316" s="2799"/>
      <c r="CL316" s="2799"/>
      <c r="CM316" s="2799"/>
      <c r="CN316" s="2799"/>
      <c r="CO316" s="2799"/>
      <c r="CP316" s="2799"/>
      <c r="CQ316" s="2799"/>
      <c r="CR316" s="2799"/>
      <c r="CS316" s="2799"/>
      <c r="CT316" s="2799"/>
      <c r="CU316" s="2800"/>
      <c r="CV316" s="414"/>
      <c r="CW316" s="414"/>
      <c r="CX316" s="197"/>
      <c r="CY316" s="197"/>
      <c r="CZ316" s="197"/>
      <c r="DA316" s="197"/>
      <c r="DB316" s="197"/>
      <c r="DC316" s="653"/>
      <c r="DD316" s="467"/>
      <c r="DE316" s="467"/>
      <c r="DF316" s="467"/>
      <c r="DG316" s="467"/>
      <c r="DH316" s="467"/>
      <c r="DI316" s="1593"/>
      <c r="DJ316" s="1166"/>
      <c r="DK316" s="1603"/>
      <c r="DL316" s="2058" t="s">
        <v>3408</v>
      </c>
      <c r="DM316" s="1623" t="str">
        <f>IF(AND(DN316="",DO316="",DP316="",DM333&lt;&gt;0),"レ","")</f>
        <v/>
      </c>
      <c r="DN316" s="1623" t="str">
        <f>IF(AND(DO316="",DP316="",DN333&lt;&gt;0),"レ","")</f>
        <v/>
      </c>
      <c r="DO316" s="1623" t="str">
        <f>IF(DO333&lt;&gt;0,"レ","")</f>
        <v/>
      </c>
      <c r="DP316" s="1623" t="str">
        <f>IF(AND(DO316="",DP333&lt;&gt;0),"レ","")</f>
        <v/>
      </c>
      <c r="DQ316" s="14"/>
      <c r="DR316" s="14"/>
      <c r="DS316" s="14"/>
      <c r="DT316" s="230"/>
      <c r="DU316" s="230"/>
      <c r="DV316" s="230"/>
      <c r="DW316" s="2030" t="s">
        <v>3409</v>
      </c>
      <c r="DX316" s="2792"/>
      <c r="DY316" s="2029" t="str">
        <f>SUBSTITUTE(TRIM(DY319&amp;"　"&amp;DY320&amp;"　"&amp;DY321&amp;"　"&amp;DY322&amp;"　"&amp;DY323&amp;"　"&amp;DY324&amp;"　"&amp;DY325&amp;"　"&amp;DY326&amp;"　"&amp;DY327&amp;"　"&amp;DY328&amp;"　"&amp;DY329&amp;"　"&amp;DY330&amp;"　"&amp;DY331&amp;"　"&amp;DY332),"　",", ")&amp;HL536</f>
        <v/>
      </c>
      <c r="DZ316" s="2859" t="s">
        <v>187</v>
      </c>
      <c r="EA316" s="2862" t="s">
        <v>1605</v>
      </c>
      <c r="EB316" s="2014" t="str">
        <f>IF(COUNTIF(ED319:ED332,1)&gt;0,"レ","")</f>
        <v/>
      </c>
      <c r="EC316" s="2028"/>
      <c r="ED316" s="2015" t="str">
        <f>IF(EB316="レ",YEAR(EE333)-VLOOKUP(EE333,$DS$6:$DV$9,4,TRUE),"")</f>
        <v/>
      </c>
      <c r="EE316" s="2015" t="str">
        <f>IF(EB316="レ",MONTH(EE333),IF(AND(DO316="レ",EF316="レ",EF333=0),"",IF(AND(DO316="レ",EF316="レ",EF333&gt;0),"","")))</f>
        <v/>
      </c>
      <c r="EF316" s="2016" t="str">
        <f>IF(EB316="",IF(OR(EF333&gt;0,DO316="レ"),"レ",""),"")</f>
        <v/>
      </c>
      <c r="EG316" s="2014" t="str">
        <f>IF(AND(COUNTIF(DT319:DT332,"要是正")=0,COUNTIF(EI319:EI332,1)&gt;0),"レ","")</f>
        <v/>
      </c>
      <c r="EH316" s="2028"/>
      <c r="EI316" s="2015" t="str">
        <f>IF(EG316="レ",YEAR(EJ333)-VLOOKUP(EJ333,$DS$6:$DV$9,4,TRUE),"")</f>
        <v/>
      </c>
      <c r="EJ316" s="2015" t="str">
        <f>IF(EG316="レ",MONTH(EJ333),IF(AND(DP316="レ",EK316="レ",EK333=0),"",IF(AND(DP316="レ",EK316="レ",EK333&gt;0),"","")))</f>
        <v/>
      </c>
      <c r="EK316" s="2016" t="str">
        <f>IF(EG316="",IF(OR(EK333&gt;0,DP316="レ"),"レ",""),"")</f>
        <v/>
      </c>
      <c r="EL316" s="2770" t="s">
        <v>898</v>
      </c>
      <c r="EM316" s="2770"/>
      <c r="EN316" s="2771"/>
      <c r="EO316" s="2304" t="s">
        <v>897</v>
      </c>
      <c r="EP316" s="2305"/>
      <c r="EQ316" s="2305"/>
      <c r="ER316" s="2306"/>
      <c r="ES316" s="1973" t="str">
        <f>$GV$539</f>
        <v>要是正なし</v>
      </c>
      <c r="ET316" s="464"/>
      <c r="EU316" s="464"/>
      <c r="EV316" s="464"/>
      <c r="EW316" s="464"/>
      <c r="EX316" s="464"/>
      <c r="EY316" s="2027" t="str">
        <f>IF(OR(EB316="レ",EB334="レ",EB361="レ",EB379="レ",EB433="レ",EB475="レ",EB493="レ",EB494="レ",EB517="レ"),"レ","")</f>
        <v/>
      </c>
      <c r="EZ316" s="235" t="str">
        <f>IF(AND(EY316="",FC316="",OR(EC316="レ",EC334="レ",EC361="レ",EC379="レ",EC433="レ",EC475="レ",EB493="レ",EC494="レ",EC517="レ")),"レ","")</f>
        <v/>
      </c>
      <c r="FA316" s="1623" t="str">
        <f>IF(EW328="レ",IF(EY316="レ",YEAR(EY328)-VLOOKUP(EY328,$DS$6:$DV$9,4,TRUE),IF(EZ316="レ",YEAR(EZ328)-VLOOKUP(EZ328,$DS$6:$DV$9,4,TRUE),"")),"")</f>
        <v/>
      </c>
      <c r="FB316" s="1623" t="str">
        <f>IF(EW328="レ",IF(EY316="レ",MONTH(EY328),IF(EZ316="レ",MONTH(EZ328),"")),"")</f>
        <v/>
      </c>
      <c r="FC316" s="231" t="str">
        <f>IF(AND(EY316="",FA328&gt;0),"レ","")</f>
        <v/>
      </c>
      <c r="FD316" s="1623" t="str">
        <f>IF(AND(EW328="",OR(EG316="レ",EG334="レ",EG361="レ",EG379="レ",EG433="レ",EG475="レ",EG493="レ",EG494="レ",EG517="レ")),"レ","")</f>
        <v/>
      </c>
      <c r="FE316" s="235" t="str">
        <f>IF(AND(EW328="",FD316="",FH316="",OR(EH316="レ",EH334="レ",EH361="レ",EH379="レ",EH433="レ",EH475="レ",EH493="レ",EH494="レ",EH517="レ")),"レ","")</f>
        <v/>
      </c>
      <c r="FF316" s="1623" t="str">
        <f>IF(EX328="レ",IF(FD316="レ",YEAR(FD328)-VLOOKUP(FD328,$DS$6:$DV$9,4,TRUE),IF(FE316="レ",YEAR(FE328)-VLOOKUP(FE328,$DS$6:$DV$9,4,TRUE),"")),"")</f>
        <v/>
      </c>
      <c r="FG316" s="1623" t="str">
        <f>IF(EX328="レ",IF(FD316="レ",MONTH(FD328),IF(FE316="レ",MONTH(FE328),"")),"")</f>
        <v/>
      </c>
      <c r="FH316" s="231" t="str">
        <f>IF(OR(AND(EW328="",FD316="",FF328&gt;0),AND(EW328="",FD316="",FF328&lt;&gt;1)),"レ","")</f>
        <v>レ</v>
      </c>
      <c r="FI316" s="1809" t="str">
        <f>$HD$539</f>
        <v>要是正なし</v>
      </c>
      <c r="FJ316" s="20"/>
      <c r="FK316" s="2414" t="s">
        <v>1623</v>
      </c>
      <c r="FL316" s="2415"/>
      <c r="FM316" s="2415"/>
      <c r="FN316" s="2415"/>
      <c r="FO316" s="2416"/>
      <c r="FQ316" s="201" t="str">
        <f>IF(COUNTIF(FS319:FS332,1)&gt;0,"レ","")</f>
        <v/>
      </c>
      <c r="FR316" s="275"/>
      <c r="FS316" s="135" t="str">
        <f>IF(FQ316="レ",TEXT(FT333,"ee"),"")</f>
        <v/>
      </c>
      <c r="FT316" s="135" t="str">
        <f>IF(FQ316="レ",MONTH(FT333),IF(AND(FH316="レ",FU316="レ",FU333=0),"",IF(AND(FH316="レ",FU316="レ",FU333&gt;0),"未定","")))</f>
        <v/>
      </c>
      <c r="FU316" s="200" t="str">
        <f>IF(FQ316="",IF(OR(FU333&gt;0,FH316="レ"),"レ",""),"")</f>
        <v>レ</v>
      </c>
      <c r="FW316" s="2374" t="s">
        <v>1617</v>
      </c>
      <c r="FX316" s="2375"/>
      <c r="FY316" s="2376"/>
      <c r="GA316" s="14"/>
      <c r="GB316" s="655" t="s">
        <v>2463</v>
      </c>
      <c r="GC316" s="656"/>
      <c r="GD316" s="657"/>
      <c r="GE316" s="655" t="s">
        <v>2462</v>
      </c>
      <c r="GF316" s="656"/>
      <c r="GG316" s="656"/>
      <c r="GH316" s="656"/>
      <c r="GI316" s="656"/>
      <c r="GJ316" s="656"/>
      <c r="GK316" s="656"/>
      <c r="GL316" s="656"/>
      <c r="GM316" s="656"/>
      <c r="GN316" s="656"/>
      <c r="GO316" s="656"/>
      <c r="GP316" s="656"/>
      <c r="GQ316" s="656"/>
      <c r="GR316" s="656"/>
      <c r="GS316" s="656"/>
      <c r="GT316" s="656"/>
      <c r="GU316" s="656"/>
      <c r="GV316" s="657"/>
      <c r="GW316" s="655" t="s">
        <v>2461</v>
      </c>
      <c r="GX316" s="656"/>
      <c r="GY316" s="657"/>
      <c r="GZ316" s="658" t="s">
        <v>2464</v>
      </c>
      <c r="HB316" s="658" t="s">
        <v>2463</v>
      </c>
      <c r="HC316" s="659" t="s">
        <v>2462</v>
      </c>
      <c r="HD316" s="660"/>
      <c r="HE316" s="660"/>
      <c r="HF316" s="660"/>
      <c r="HG316" s="660"/>
      <c r="HH316" s="660"/>
      <c r="HI316" s="660"/>
      <c r="HJ316" s="660"/>
      <c r="HK316" s="660"/>
      <c r="HL316" s="660"/>
      <c r="HM316" s="660"/>
      <c r="HN316" s="660"/>
      <c r="HO316" s="660"/>
      <c r="HP316" s="660"/>
      <c r="HQ316" s="661"/>
      <c r="HR316" s="658" t="s">
        <v>2720</v>
      </c>
      <c r="HT316" s="19" t="s">
        <v>2761</v>
      </c>
    </row>
    <row r="317" spans="1:232" s="19" customFormat="1" ht="36" customHeight="1" thickBot="1" x14ac:dyDescent="0.2">
      <c r="A317" s="1201"/>
      <c r="B317" s="1201"/>
      <c r="C317" s="1201"/>
      <c r="D317" s="1201"/>
      <c r="E317" s="1202"/>
      <c r="F317" s="652"/>
      <c r="G317" s="652"/>
      <c r="H317" s="652"/>
      <c r="I317" s="1351"/>
      <c r="J317" s="1260"/>
      <c r="K317" s="1261"/>
      <c r="L317" s="1261"/>
      <c r="M317" s="2387" t="s">
        <v>31</v>
      </c>
      <c r="N317" s="2387"/>
      <c r="O317" s="2387"/>
      <c r="P317" s="2387" t="s">
        <v>32</v>
      </c>
      <c r="Q317" s="2387"/>
      <c r="R317" s="2387"/>
      <c r="S317" s="2387"/>
      <c r="T317" s="2387"/>
      <c r="U317" s="2387"/>
      <c r="V317" s="2387"/>
      <c r="W317" s="2387"/>
      <c r="X317" s="2387"/>
      <c r="Y317" s="2387"/>
      <c r="Z317" s="2387"/>
      <c r="AA317" s="2387"/>
      <c r="AB317" s="2387"/>
      <c r="AC317" s="2387"/>
      <c r="AD317" s="2387"/>
      <c r="AE317" s="2387"/>
      <c r="AF317" s="2387" t="s">
        <v>33</v>
      </c>
      <c r="AG317" s="2387"/>
      <c r="AH317" s="2387"/>
      <c r="AI317" s="2387"/>
      <c r="AJ317" s="2387"/>
      <c r="AK317" s="2387"/>
      <c r="AL317" s="2387"/>
      <c r="AM317" s="2387"/>
      <c r="AN317" s="2387"/>
      <c r="AO317" s="2387"/>
      <c r="AP317" s="2387"/>
      <c r="AQ317" s="2387"/>
      <c r="AR317" s="2387" t="s">
        <v>716</v>
      </c>
      <c r="AS317" s="2387"/>
      <c r="AT317" s="2388" t="s">
        <v>149</v>
      </c>
      <c r="AU317" s="2388"/>
      <c r="AV317" s="2388"/>
      <c r="AW317" s="2388"/>
      <c r="AX317" s="2388"/>
      <c r="AY317" s="2388"/>
      <c r="AZ317" s="2388"/>
      <c r="BA317" s="2388"/>
      <c r="BB317" s="2388"/>
      <c r="BC317" s="2388"/>
      <c r="BD317" s="2388" t="s">
        <v>187</v>
      </c>
      <c r="BE317" s="2388"/>
      <c r="BF317" s="2388"/>
      <c r="BG317" s="2388"/>
      <c r="BH317" s="2388"/>
      <c r="BI317" s="2388"/>
      <c r="BJ317" s="2388"/>
      <c r="BK317" s="2388"/>
      <c r="BL317" s="2388"/>
      <c r="BM317" s="2388"/>
      <c r="BN317" s="2388"/>
      <c r="BO317" s="2388"/>
      <c r="BP317" s="2388"/>
      <c r="BQ317" s="2388"/>
      <c r="BR317" s="2388"/>
      <c r="BS317" s="2387" t="s">
        <v>352</v>
      </c>
      <c r="BT317" s="2388"/>
      <c r="BU317" s="2388"/>
      <c r="BV317" s="2388"/>
      <c r="BW317" s="2388"/>
      <c r="BX317" s="2388"/>
      <c r="BY317" s="2388"/>
      <c r="BZ317" s="2388"/>
      <c r="CA317" s="2388"/>
      <c r="CB317" s="2363" t="s">
        <v>1919</v>
      </c>
      <c r="CC317" s="2363"/>
      <c r="CD317" s="2363"/>
      <c r="CE317" s="2363"/>
      <c r="CF317" s="2363"/>
      <c r="CG317" s="2363"/>
      <c r="CH317" s="2363"/>
      <c r="CI317" s="2363"/>
      <c r="CJ317" s="2363"/>
      <c r="CK317" s="2363"/>
      <c r="CL317" s="2363"/>
      <c r="CM317" s="2363"/>
      <c r="CN317" s="2363"/>
      <c r="CO317" s="2363"/>
      <c r="CP317" s="2363"/>
      <c r="CQ317" s="2363"/>
      <c r="CR317" s="2363"/>
      <c r="CS317" s="2363"/>
      <c r="CT317" s="2363"/>
      <c r="CU317" s="2364"/>
      <c r="CV317" s="421"/>
      <c r="CW317" s="421"/>
      <c r="CX317" s="197"/>
      <c r="CY317" s="197"/>
      <c r="CZ317" s="197"/>
      <c r="DA317" s="197"/>
      <c r="DB317" s="197"/>
      <c r="DC317" s="653"/>
      <c r="DD317" s="467"/>
      <c r="DE317" s="467"/>
      <c r="DF317" s="467"/>
      <c r="DG317" s="467"/>
      <c r="DH317" s="467"/>
      <c r="DI317" s="1593"/>
      <c r="DJ317" s="1619" t="s">
        <v>3070</v>
      </c>
      <c r="DK317" s="1603"/>
      <c r="DL317" s="1803" t="s">
        <v>3232</v>
      </c>
      <c r="DM317" s="1157"/>
      <c r="DN317" s="1157"/>
      <c r="DO317" s="1157"/>
      <c r="DP317" s="1157"/>
      <c r="DQ317" s="1157"/>
      <c r="DR317" s="1620" t="s">
        <v>3371</v>
      </c>
      <c r="DS317" s="1620" t="s">
        <v>3071</v>
      </c>
      <c r="DT317" s="1173"/>
      <c r="DU317" s="1621" t="s">
        <v>3372</v>
      </c>
      <c r="DV317" s="1621"/>
      <c r="DW317" s="1173"/>
      <c r="DX317" s="2792"/>
      <c r="DY317" s="2752" t="s">
        <v>872</v>
      </c>
      <c r="DZ317" s="2860"/>
      <c r="EA317" s="2863"/>
      <c r="EB317" s="2788" t="s">
        <v>24</v>
      </c>
      <c r="EC317" s="2789"/>
      <c r="ED317" s="2789"/>
      <c r="EE317" s="2789"/>
      <c r="EF317" s="2790"/>
      <c r="EG317" s="2779" t="s">
        <v>891</v>
      </c>
      <c r="EH317" s="2780"/>
      <c r="EI317" s="2780"/>
      <c r="EJ317" s="2780"/>
      <c r="EK317" s="2781"/>
      <c r="EL317" s="2772"/>
      <c r="EM317" s="2772"/>
      <c r="EN317" s="2773"/>
      <c r="EO317" s="662"/>
      <c r="EP317" s="23" t="s">
        <v>336</v>
      </c>
      <c r="EQ317" s="23" t="s">
        <v>658</v>
      </c>
      <c r="ER317" s="124" t="s">
        <v>659</v>
      </c>
      <c r="ES317" s="663"/>
      <c r="ET317" s="2777" t="s">
        <v>899</v>
      </c>
      <c r="EU317" s="2778"/>
      <c r="EV317" s="2778"/>
      <c r="EW317" s="2778"/>
      <c r="EX317" s="2778"/>
      <c r="EY317" s="2758" t="s">
        <v>900</v>
      </c>
      <c r="EZ317" s="2759"/>
      <c r="FA317" s="2759"/>
      <c r="FB317" s="2759"/>
      <c r="FC317" s="2760"/>
      <c r="FD317" s="2758" t="s">
        <v>1775</v>
      </c>
      <c r="FE317" s="2759"/>
      <c r="FF317" s="2759"/>
      <c r="FG317" s="2759"/>
      <c r="FH317" s="2774"/>
      <c r="FI317" s="20"/>
      <c r="FJ317" s="20"/>
      <c r="FK317" s="2417"/>
      <c r="FL317" s="2418"/>
      <c r="FM317" s="2418"/>
      <c r="FN317" s="2418"/>
      <c r="FO317" s="2419"/>
      <c r="FQ317" s="2262" t="s">
        <v>24</v>
      </c>
      <c r="FR317" s="2263"/>
      <c r="FS317" s="2263"/>
      <c r="FT317" s="2263"/>
      <c r="FU317" s="2264"/>
      <c r="GA317" s="14"/>
      <c r="GB317" s="658" t="s">
        <v>1230</v>
      </c>
      <c r="GC317" s="658" t="s">
        <v>1231</v>
      </c>
      <c r="GD317" s="658" t="s">
        <v>640</v>
      </c>
      <c r="GE317" s="658">
        <v>1</v>
      </c>
      <c r="GF317" s="658">
        <v>2</v>
      </c>
      <c r="GG317" s="658">
        <v>3</v>
      </c>
      <c r="GH317" s="658">
        <v>4</v>
      </c>
      <c r="GI317" s="658">
        <v>5</v>
      </c>
      <c r="GJ317" s="658">
        <v>6</v>
      </c>
      <c r="GK317" s="658">
        <v>7</v>
      </c>
      <c r="GL317" s="658">
        <v>8</v>
      </c>
      <c r="GM317" s="658">
        <v>9</v>
      </c>
      <c r="GN317" s="658">
        <v>10</v>
      </c>
      <c r="GO317" s="658">
        <v>11</v>
      </c>
      <c r="GP317" s="658">
        <v>12</v>
      </c>
      <c r="GQ317" s="658">
        <v>13</v>
      </c>
      <c r="GR317" s="658">
        <v>14</v>
      </c>
      <c r="GS317" s="658">
        <v>15</v>
      </c>
      <c r="GT317" s="658" t="s">
        <v>2442</v>
      </c>
      <c r="GU317" s="658" t="s">
        <v>2443</v>
      </c>
      <c r="GV317" s="658" t="s">
        <v>2444</v>
      </c>
      <c r="GW317" s="658" t="s">
        <v>1230</v>
      </c>
      <c r="GX317" s="658" t="s">
        <v>1231</v>
      </c>
      <c r="GY317" s="658" t="s">
        <v>640</v>
      </c>
      <c r="GZ317" s="658"/>
      <c r="HC317" s="658">
        <v>1</v>
      </c>
      <c r="HD317" s="658">
        <v>2</v>
      </c>
      <c r="HE317" s="658">
        <v>3</v>
      </c>
      <c r="HF317" s="658">
        <v>4</v>
      </c>
      <c r="HG317" s="658">
        <v>5</v>
      </c>
      <c r="HH317" s="658">
        <v>6</v>
      </c>
      <c r="HI317" s="658">
        <v>7</v>
      </c>
      <c r="HJ317" s="658">
        <v>8</v>
      </c>
      <c r="HK317" s="658">
        <v>9</v>
      </c>
      <c r="HL317" s="658">
        <v>10</v>
      </c>
      <c r="HM317" s="658">
        <v>11</v>
      </c>
      <c r="HN317" s="658">
        <v>12</v>
      </c>
      <c r="HO317" s="658">
        <v>13</v>
      </c>
      <c r="HP317" s="658">
        <v>14</v>
      </c>
      <c r="HQ317" s="658">
        <v>15</v>
      </c>
      <c r="HS317" s="32"/>
      <c r="HT317" s="1132"/>
      <c r="HU317" s="19" t="s">
        <v>900</v>
      </c>
      <c r="HW317" s="19" t="s">
        <v>2762</v>
      </c>
    </row>
    <row r="318" spans="1:232" s="19" customFormat="1" ht="36" customHeight="1" thickBot="1" x14ac:dyDescent="0.2">
      <c r="A318" s="1201"/>
      <c r="B318" s="1201"/>
      <c r="C318" s="1201"/>
      <c r="D318" s="1201"/>
      <c r="E318" s="1202"/>
      <c r="F318" s="652"/>
      <c r="G318" s="652"/>
      <c r="H318" s="652"/>
      <c r="I318" s="1351"/>
      <c r="J318" s="1260"/>
      <c r="K318" s="1261"/>
      <c r="L318" s="1261"/>
      <c r="M318" s="2289"/>
      <c r="N318" s="2289"/>
      <c r="O318" s="2289"/>
      <c r="P318" s="2289"/>
      <c r="Q318" s="2289"/>
      <c r="R318" s="2289"/>
      <c r="S318" s="2289"/>
      <c r="T318" s="2289"/>
      <c r="U318" s="2289"/>
      <c r="V318" s="2289"/>
      <c r="W318" s="2289"/>
      <c r="X318" s="2289"/>
      <c r="Y318" s="2289"/>
      <c r="Z318" s="2289"/>
      <c r="AA318" s="2289"/>
      <c r="AB318" s="2289"/>
      <c r="AC318" s="2289"/>
      <c r="AD318" s="2289"/>
      <c r="AE318" s="2289"/>
      <c r="AF318" s="2289"/>
      <c r="AG318" s="2289"/>
      <c r="AH318" s="2289"/>
      <c r="AI318" s="2289"/>
      <c r="AJ318" s="2289"/>
      <c r="AK318" s="2289"/>
      <c r="AL318" s="2289"/>
      <c r="AM318" s="2289"/>
      <c r="AN318" s="2289"/>
      <c r="AO318" s="2289"/>
      <c r="AP318" s="2289"/>
      <c r="AQ318" s="2289"/>
      <c r="AR318" s="2289"/>
      <c r="AS318" s="2289"/>
      <c r="AT318" s="2386"/>
      <c r="AU318" s="2386"/>
      <c r="AV318" s="2386"/>
      <c r="AW318" s="2386"/>
      <c r="AX318" s="2386"/>
      <c r="AY318" s="2386"/>
      <c r="AZ318" s="2386"/>
      <c r="BA318" s="2386"/>
      <c r="BB318" s="2386"/>
      <c r="BC318" s="2386"/>
      <c r="BD318" s="2386"/>
      <c r="BE318" s="2386"/>
      <c r="BF318" s="2386"/>
      <c r="BG318" s="2386"/>
      <c r="BH318" s="2386"/>
      <c r="BI318" s="2386"/>
      <c r="BJ318" s="2386"/>
      <c r="BK318" s="2386"/>
      <c r="BL318" s="2386"/>
      <c r="BM318" s="2386"/>
      <c r="BN318" s="2386"/>
      <c r="BO318" s="2386"/>
      <c r="BP318" s="2386"/>
      <c r="BQ318" s="2386"/>
      <c r="BR318" s="2386"/>
      <c r="BS318" s="2289" t="s">
        <v>827</v>
      </c>
      <c r="BT318" s="2289"/>
      <c r="BU318" s="2289"/>
      <c r="BV318" s="2289" t="s">
        <v>707</v>
      </c>
      <c r="BW318" s="2289"/>
      <c r="BX318" s="2289"/>
      <c r="BY318" s="2289" t="s">
        <v>1314</v>
      </c>
      <c r="BZ318" s="2386"/>
      <c r="CA318" s="2386"/>
      <c r="CB318" s="2365"/>
      <c r="CC318" s="2365"/>
      <c r="CD318" s="2365"/>
      <c r="CE318" s="2365"/>
      <c r="CF318" s="2365"/>
      <c r="CG318" s="2365"/>
      <c r="CH318" s="2365"/>
      <c r="CI318" s="2365"/>
      <c r="CJ318" s="2365"/>
      <c r="CK318" s="2365"/>
      <c r="CL318" s="2365"/>
      <c r="CM318" s="2365"/>
      <c r="CN318" s="2365"/>
      <c r="CO318" s="2365"/>
      <c r="CP318" s="2365"/>
      <c r="CQ318" s="2365"/>
      <c r="CR318" s="2365"/>
      <c r="CS318" s="2365"/>
      <c r="CT318" s="2365"/>
      <c r="CU318" s="2366"/>
      <c r="CV318" s="421"/>
      <c r="CW318" s="421"/>
      <c r="CX318" s="197"/>
      <c r="CY318" s="197"/>
      <c r="CZ318" s="197"/>
      <c r="DA318" s="197"/>
      <c r="DB318" s="197"/>
      <c r="DC318" s="653"/>
      <c r="DD318" s="467"/>
      <c r="DE318" s="467"/>
      <c r="DF318" s="467"/>
      <c r="DG318" s="467"/>
      <c r="DH318" s="467"/>
      <c r="DI318" s="1593"/>
      <c r="DJ318" s="1169" t="s">
        <v>2752</v>
      </c>
      <c r="DK318" s="1599" t="s">
        <v>2751</v>
      </c>
      <c r="DL318" s="1610" t="s">
        <v>2753</v>
      </c>
      <c r="DM318" s="1611" t="s">
        <v>3233</v>
      </c>
      <c r="DN318" s="1612" t="s">
        <v>3234</v>
      </c>
      <c r="DO318" s="1612" t="s">
        <v>3236</v>
      </c>
      <c r="DP318" s="1613" t="s">
        <v>3237</v>
      </c>
      <c r="DQ318" s="1614" t="s">
        <v>825</v>
      </c>
      <c r="DR318" s="1611" t="s">
        <v>718</v>
      </c>
      <c r="DS318" s="1615" t="s">
        <v>717</v>
      </c>
      <c r="DT318" s="1610" t="s">
        <v>710</v>
      </c>
      <c r="DU318" s="1616" t="s">
        <v>881</v>
      </c>
      <c r="DV318" s="1617" t="s">
        <v>873</v>
      </c>
      <c r="DW318" s="1618" t="s">
        <v>660</v>
      </c>
      <c r="DX318" s="2793"/>
      <c r="DY318" s="2753"/>
      <c r="DZ318" s="2861"/>
      <c r="EA318" s="2373"/>
      <c r="EB318" s="1968" t="s">
        <v>910</v>
      </c>
      <c r="EC318" s="1969" t="s">
        <v>1604</v>
      </c>
      <c r="ED318" s="1969" t="s">
        <v>903</v>
      </c>
      <c r="EE318" s="1969" t="s">
        <v>1294</v>
      </c>
      <c r="EF318" s="1970" t="s">
        <v>905</v>
      </c>
      <c r="EG318" s="1971" t="s">
        <v>901</v>
      </c>
      <c r="EH318" s="1972" t="s">
        <v>902</v>
      </c>
      <c r="EI318" s="1969" t="s">
        <v>903</v>
      </c>
      <c r="EJ318" s="1972" t="s">
        <v>904</v>
      </c>
      <c r="EK318" s="1970" t="s">
        <v>905</v>
      </c>
      <c r="EL318" s="252" t="s">
        <v>336</v>
      </c>
      <c r="EM318" s="23" t="s">
        <v>658</v>
      </c>
      <c r="EN318" s="124" t="s">
        <v>659</v>
      </c>
      <c r="EO318" s="127">
        <v>1</v>
      </c>
      <c r="EP318" s="23" t="s">
        <v>1060</v>
      </c>
      <c r="EQ318" s="23" t="s">
        <v>1024</v>
      </c>
      <c r="ER318" s="124" t="s">
        <v>1042</v>
      </c>
      <c r="ES318" s="130"/>
      <c r="ET318" s="2017"/>
      <c r="EU318" s="2018" t="s">
        <v>325</v>
      </c>
      <c r="EV318" s="2018" t="s">
        <v>326</v>
      </c>
      <c r="EW318" s="2018" t="s">
        <v>327</v>
      </c>
      <c r="EX318" s="2019" t="s">
        <v>328</v>
      </c>
      <c r="EY318" s="2020" t="s">
        <v>911</v>
      </c>
      <c r="EZ318" s="2021" t="s">
        <v>912</v>
      </c>
      <c r="FA318" s="2021" t="s">
        <v>1774</v>
      </c>
      <c r="FB318" s="2022" t="s">
        <v>1624</v>
      </c>
      <c r="FC318" s="2023" t="s">
        <v>913</v>
      </c>
      <c r="FD318" s="2020" t="s">
        <v>911</v>
      </c>
      <c r="FE318" s="2021" t="s">
        <v>912</v>
      </c>
      <c r="FF318" s="2021" t="s">
        <v>1774</v>
      </c>
      <c r="FG318" s="2022" t="s">
        <v>1624</v>
      </c>
      <c r="FH318" s="2024" t="s">
        <v>913</v>
      </c>
      <c r="FI318" s="20"/>
      <c r="FJ318" s="183"/>
      <c r="FK318" s="1809" t="s">
        <v>864</v>
      </c>
      <c r="FL318" s="1809" t="s">
        <v>1109</v>
      </c>
      <c r="FM318" s="1809" t="s">
        <v>1110</v>
      </c>
      <c r="FN318" s="1809" t="s">
        <v>1111</v>
      </c>
      <c r="FO318" s="143" t="s">
        <v>1773</v>
      </c>
      <c r="FQ318" s="139" t="s">
        <v>910</v>
      </c>
      <c r="FR318" s="132" t="s">
        <v>1604</v>
      </c>
      <c r="FS318" s="132" t="s">
        <v>903</v>
      </c>
      <c r="FT318" s="132" t="s">
        <v>1294</v>
      </c>
      <c r="FU318" s="216" t="s">
        <v>905</v>
      </c>
      <c r="GA318" s="14"/>
      <c r="GB318" s="32"/>
      <c r="GC318" s="32"/>
      <c r="GE318" s="658">
        <f>$M$520</f>
        <v>0</v>
      </c>
      <c r="GF318" s="658">
        <f>$M$521</f>
        <v>0</v>
      </c>
      <c r="GG318" s="658">
        <f>$M$522</f>
        <v>0</v>
      </c>
      <c r="GH318" s="658">
        <f>$M$523</f>
        <v>0</v>
      </c>
      <c r="GI318" s="658">
        <f>$M$524</f>
        <v>0</v>
      </c>
      <c r="GJ318" s="658">
        <f>$M$525</f>
        <v>0</v>
      </c>
      <c r="GK318" s="658">
        <f>$M$526</f>
        <v>0</v>
      </c>
      <c r="GL318" s="658">
        <f>$M$527</f>
        <v>0</v>
      </c>
      <c r="GM318" s="658">
        <f>$M$528</f>
        <v>0</v>
      </c>
      <c r="GN318" s="658">
        <f>$M$529</f>
        <v>0</v>
      </c>
      <c r="GO318" s="658">
        <f>$M$530</f>
        <v>0</v>
      </c>
      <c r="GP318" s="658">
        <f>$M$531</f>
        <v>0</v>
      </c>
      <c r="GQ318" s="658">
        <f>$M$532</f>
        <v>0</v>
      </c>
      <c r="GR318" s="658">
        <f>$M$533</f>
        <v>0</v>
      </c>
      <c r="GS318" s="658">
        <f>$M$534</f>
        <v>0</v>
      </c>
      <c r="GW318" s="32"/>
      <c r="HC318" s="664">
        <f>$M$520</f>
        <v>0</v>
      </c>
      <c r="HD318" s="664">
        <f>$M$521</f>
        <v>0</v>
      </c>
      <c r="HE318" s="664">
        <f>$M$522</f>
        <v>0</v>
      </c>
      <c r="HF318" s="664">
        <f>$M$523</f>
        <v>0</v>
      </c>
      <c r="HG318" s="664">
        <f>$M$524</f>
        <v>0</v>
      </c>
      <c r="HH318" s="664">
        <f>$M$525</f>
        <v>0</v>
      </c>
      <c r="HI318" s="664">
        <f>$M$526</f>
        <v>0</v>
      </c>
      <c r="HJ318" s="664">
        <f>$M$527</f>
        <v>0</v>
      </c>
      <c r="HK318" s="664">
        <f>$M$528</f>
        <v>0</v>
      </c>
      <c r="HL318" s="664">
        <f>$M$529</f>
        <v>0</v>
      </c>
      <c r="HM318" s="664">
        <f>$M$530</f>
        <v>0</v>
      </c>
      <c r="HN318" s="664">
        <f>$M$531</f>
        <v>0</v>
      </c>
      <c r="HO318" s="664">
        <f>$M$532</f>
        <v>0</v>
      </c>
      <c r="HP318" s="664">
        <f>$M$533</f>
        <v>0</v>
      </c>
      <c r="HQ318" s="664">
        <f>$M$534</f>
        <v>0</v>
      </c>
      <c r="HV318" s="19" t="s">
        <v>2763</v>
      </c>
      <c r="HX318" s="19" t="s">
        <v>2763</v>
      </c>
    </row>
    <row r="319" spans="1:232" s="19" customFormat="1" ht="49.5" customHeight="1" x14ac:dyDescent="0.15">
      <c r="A319" s="1201"/>
      <c r="B319" s="1201"/>
      <c r="C319" s="1201"/>
      <c r="D319" s="1201"/>
      <c r="E319" s="1202"/>
      <c r="F319" s="652"/>
      <c r="G319" s="652"/>
      <c r="H319" s="652"/>
      <c r="I319" s="1354"/>
      <c r="J319" s="1234"/>
      <c r="K319" s="1261"/>
      <c r="L319" s="1261"/>
      <c r="M319" s="2495" t="s">
        <v>1232</v>
      </c>
      <c r="N319" s="2495"/>
      <c r="O319" s="2495"/>
      <c r="P319" s="2437" t="s">
        <v>36</v>
      </c>
      <c r="Q319" s="2806"/>
      <c r="R319" s="2806"/>
      <c r="S319" s="2806"/>
      <c r="T319" s="2806"/>
      <c r="U319" s="2437" t="s">
        <v>208</v>
      </c>
      <c r="V319" s="2437"/>
      <c r="W319" s="2437"/>
      <c r="X319" s="2437"/>
      <c r="Y319" s="2437"/>
      <c r="Z319" s="2437"/>
      <c r="AA319" s="2437"/>
      <c r="AB319" s="2437"/>
      <c r="AC319" s="2437"/>
      <c r="AD319" s="2437"/>
      <c r="AE319" s="2437"/>
      <c r="AF319" s="2440"/>
      <c r="AG319" s="2441"/>
      <c r="AH319" s="2441"/>
      <c r="AI319" s="2441"/>
      <c r="AJ319" s="2441"/>
      <c r="AK319" s="2441"/>
      <c r="AL319" s="2441"/>
      <c r="AM319" s="2441"/>
      <c r="AN319" s="2441"/>
      <c r="AO319" s="2441"/>
      <c r="AP319" s="2441"/>
      <c r="AQ319" s="2442"/>
      <c r="AR319" s="2152"/>
      <c r="AS319" s="2152"/>
      <c r="AT319" s="2432"/>
      <c r="AU319" s="2432"/>
      <c r="AV319" s="2432"/>
      <c r="AW319" s="2432"/>
      <c r="AX319" s="2432"/>
      <c r="AY319" s="2432"/>
      <c r="AZ319" s="2432"/>
      <c r="BA319" s="2432"/>
      <c r="BB319" s="2432"/>
      <c r="BC319" s="2432"/>
      <c r="BD319" s="2432"/>
      <c r="BE319" s="2432"/>
      <c r="BF319" s="2432"/>
      <c r="BG319" s="2432"/>
      <c r="BH319" s="2432"/>
      <c r="BI319" s="2432"/>
      <c r="BJ319" s="2432"/>
      <c r="BK319" s="2432"/>
      <c r="BL319" s="2432"/>
      <c r="BM319" s="2432"/>
      <c r="BN319" s="2432"/>
      <c r="BO319" s="2432"/>
      <c r="BP319" s="2432"/>
      <c r="BQ319" s="2432"/>
      <c r="BR319" s="2432"/>
      <c r="BS319" s="2270"/>
      <c r="BT319" s="2270"/>
      <c r="BU319" s="2270"/>
      <c r="BV319" s="2270"/>
      <c r="BW319" s="2270"/>
      <c r="BX319" s="2270"/>
      <c r="BY319" s="2270"/>
      <c r="BZ319" s="2152"/>
      <c r="CA319" s="2152"/>
      <c r="CB319" s="2743"/>
      <c r="CC319" s="2744"/>
      <c r="CD319" s="2744"/>
      <c r="CE319" s="2744"/>
      <c r="CF319" s="2744"/>
      <c r="CG319" s="2744"/>
      <c r="CH319" s="2744"/>
      <c r="CI319" s="2744"/>
      <c r="CJ319" s="2744"/>
      <c r="CK319" s="2744"/>
      <c r="CL319" s="2744"/>
      <c r="CM319" s="2744"/>
      <c r="CN319" s="2744"/>
      <c r="CO319" s="2744"/>
      <c r="CP319" s="2744"/>
      <c r="CQ319" s="2744"/>
      <c r="CR319" s="2744"/>
      <c r="CS319" s="2744"/>
      <c r="CT319" s="2744"/>
      <c r="CU319" s="2745"/>
      <c r="CV319" s="2300" t="str">
        <f t="shared" ref="CV319:CV327" si="17">IF(AND(DT319="要是正",DU319&lt;21),HYPERLINK("#"&amp;EL319&amp;"!"&amp;EM319&amp;":"&amp;EN319&amp;"","関連写真添付"),"")</f>
        <v/>
      </c>
      <c r="CW319" s="2300"/>
      <c r="CX319" s="2300"/>
      <c r="CY319" s="2300"/>
      <c r="CZ319" s="2300"/>
      <c r="DA319" s="2300"/>
      <c r="DC319" s="329" t="str">
        <f t="shared" ref="DC319:DC327" si="18">IF(AND(DU319&lt;&gt;"",DU319&gt;10),"「別途様式を作成、提出してください。」","")</f>
        <v/>
      </c>
      <c r="DD319" s="197"/>
      <c r="DF319" s="14"/>
      <c r="DG319" s="14"/>
      <c r="DH319" s="14"/>
      <c r="DI319" s="1596"/>
      <c r="DJ319" s="1170" t="s">
        <v>2749</v>
      </c>
      <c r="DK319" s="1604" t="str">
        <f t="shared" ref="DK319:DK332" si="19">IF(DS319=2,DATE(VLOOKUP(DJ319,$DU$6:$DV$9,2,FALSE)+BS319,BV319,1),"")</f>
        <v/>
      </c>
      <c r="DL319" s="437" t="str">
        <f t="shared" ref="DL319:DL332" si="20">IF(DS319=2,DJ319&amp;BS319&amp;"."&amp;BV319,"")</f>
        <v/>
      </c>
      <c r="DM319" s="1128">
        <f t="shared" ref="DM319:DM332" si="21">COUNTIFS(AF319,"―対象外")</f>
        <v>0</v>
      </c>
      <c r="DN319" s="22">
        <f t="shared" ref="DN319:DN332" si="22">COUNTIFS(AF319,"○指摘なし")</f>
        <v>0</v>
      </c>
      <c r="DO319" s="22">
        <f t="shared" ref="DO319:DO332" si="23">COUNTIFS(AF319,"×要是正（既存不適格以外）")</f>
        <v>0</v>
      </c>
      <c r="DP319" s="264">
        <f t="shared" ref="DP319:DP332" si="24">COUNTIFS(AF319,"△既存不適格")</f>
        <v>0</v>
      </c>
      <c r="DQ319" s="26" t="s">
        <v>719</v>
      </c>
      <c r="DR319" s="1804" t="str">
        <f>IF($U319="",P319,U319)</f>
        <v>地盤沈下等による不陸、傾斜等の状況</v>
      </c>
      <c r="DS319" s="23">
        <f t="shared" ref="DS319:DS332" si="25">COUNTA(BS319:BX319)</f>
        <v>0</v>
      </c>
      <c r="DT319" s="29" t="str">
        <f t="shared" ref="DT319:DT332" si="26">IF(AF319="×要是正（既存不適格以外）","要是正","")&amp;IF(AF319="△既存不適格","既存不適格","")</f>
        <v/>
      </c>
      <c r="DU319" s="242" t="str">
        <f>IF(HV319="","",HV319)</f>
        <v/>
      </c>
      <c r="DV319" s="57" t="str">
        <f>IF($DT319="要是正",MAX($DV$316:DV316)+1,"")</f>
        <v/>
      </c>
      <c r="DW319" s="273" t="str">
        <f t="shared" ref="DW319:DW332" si="27">IF(OR(AF319="×要是正（既存不適格以外）",AF319="△既存不適格"),DQ319,"")</f>
        <v/>
      </c>
      <c r="DX319" s="30" t="str">
        <f>IF(OR($DT319="要是正",$DT319="既存不適格"),$DR319,"")</f>
        <v/>
      </c>
      <c r="DY319" s="13" t="str">
        <f t="shared" ref="DY319:DY332" si="28">IF($DT319="要是正",IF(AT319="","",DQ319 &amp;" " &amp; AT319),"")</f>
        <v/>
      </c>
      <c r="DZ319" s="121" t="str">
        <f t="shared" ref="DZ319:DZ332" si="29">IF($DT319="要是正",IF(BD319="","",BD319),"")</f>
        <v/>
      </c>
      <c r="EA319" s="256" t="str">
        <f t="shared" ref="EA319:EA332" si="30">IF(BY319="未定","未定",IF(FR319="0","",IF(BY319="予定","("&amp;DL319&amp;")",IF(BY319="改善済",DL319,DL319))))</f>
        <v/>
      </c>
      <c r="EB319" s="138" t="str">
        <f t="shared" ref="EB319:EB332" si="31">IF(OR(DT319="要是正",DT319="既存不適格"),IF(OR(DS319&lt;2,BY319&lt;&gt;"予定"),"",DK319),"")</f>
        <v/>
      </c>
      <c r="EC319" s="131" t="str">
        <f>IF(EB319="","0",EB319)</f>
        <v>0</v>
      </c>
      <c r="ED319" s="54" t="str">
        <f t="shared" ref="ED319:ED332" si="32">IF(DT319="要是正",IF(AND(BY319="予定",DS319=2),1,IF(BY319="改善済",2,"")),"")</f>
        <v/>
      </c>
      <c r="EE319" s="131" t="str">
        <f>IF(ED319=1,EC319,"0")</f>
        <v>0</v>
      </c>
      <c r="EF319" s="217" t="str">
        <f t="shared" ref="EF319:EF332" si="33">IF(AND(DT319="要是正",AND(DS319=0,BY319="未定")),BY319,"")</f>
        <v/>
      </c>
      <c r="EG319" s="108" t="str">
        <f t="shared" ref="EG319:EG332" si="34">IF(DT319="既存不適格",IF(OR(DS319&lt;2,BY319&lt;&gt;"予定"),"",DK319),"")</f>
        <v/>
      </c>
      <c r="EH319" s="41" t="str">
        <f>IF(EG319="","0",EG319)</f>
        <v>0</v>
      </c>
      <c r="EI319" s="54" t="str">
        <f t="shared" ref="EI319:EI332" si="35">IF(DT319="既存不適格",IF(AND(BY319="予定",DS319=2),1,IF(BY319="改善済",2,"")),"")</f>
        <v/>
      </c>
      <c r="EJ319" s="131" t="str">
        <f>IF(EI319=1,EH319,"0")</f>
        <v>0</v>
      </c>
      <c r="EK319" s="217" t="str">
        <f t="shared" ref="EK319:EK332" si="36">IF(AND(DT319="既存不適格",AND(DS319=0,BY319="未定")),BY319,"")</f>
        <v/>
      </c>
      <c r="EL319" s="253" t="e">
        <f>VLOOKUP($DU319,$EO$318:$ER$346,2,FALSE)</f>
        <v>#N/A</v>
      </c>
      <c r="EM319" s="57" t="e">
        <f t="shared" ref="EM319:EM327" si="37">VLOOKUP($DU319,$EO$318:$ER$346,3,FALSE)</f>
        <v>#N/A</v>
      </c>
      <c r="EN319" s="243" t="e">
        <f t="shared" ref="EN319:EN327" si="38">VLOOKUP($DU319,$EO$318:$ER$346,4,FALSE)</f>
        <v>#N/A</v>
      </c>
      <c r="EO319" s="127">
        <v>2</v>
      </c>
      <c r="EP319" s="23" t="s">
        <v>1060</v>
      </c>
      <c r="EQ319" s="23" t="s">
        <v>1025</v>
      </c>
      <c r="ER319" s="124" t="s">
        <v>1043</v>
      </c>
      <c r="ET319" s="2017">
        <v>1</v>
      </c>
      <c r="EU319" s="23" t="str">
        <f>DM316</f>
        <v/>
      </c>
      <c r="EV319" s="23" t="str">
        <f t="shared" ref="EV319:EX319" si="39">DN316</f>
        <v/>
      </c>
      <c r="EW319" s="23" t="str">
        <f t="shared" si="39"/>
        <v/>
      </c>
      <c r="EX319" s="665" t="str">
        <f t="shared" si="39"/>
        <v/>
      </c>
      <c r="EY319" s="141" t="str">
        <f>EE333</f>
        <v>0</v>
      </c>
      <c r="EZ319" s="140" t="s">
        <v>1620</v>
      </c>
      <c r="FA319" s="353" t="str">
        <f>EF$316</f>
        <v/>
      </c>
      <c r="FB319" s="140" t="s">
        <v>1624</v>
      </c>
      <c r="FC319" s="140" t="s">
        <v>1624</v>
      </c>
      <c r="FD319" s="141" t="str">
        <f>EJ333</f>
        <v>0</v>
      </c>
      <c r="FE319" s="140" t="s">
        <v>1620</v>
      </c>
      <c r="FF319" s="353" t="str">
        <f>EK$316</f>
        <v/>
      </c>
      <c r="FG319" s="140" t="s">
        <v>1624</v>
      </c>
      <c r="FH319" s="140" t="s">
        <v>1624</v>
      </c>
      <c r="FI319" s="20"/>
      <c r="FJ319" s="184"/>
      <c r="FK319" s="326" t="str">
        <f>IF($AF319="○指摘なし","○",IF($AF319="―対象外","―",""))</f>
        <v/>
      </c>
      <c r="FL319" s="326" t="str">
        <f>IF(OR($AF319="×要是正（既存不適格以外）",$AF319="△既存不適格"),"○",IF($AF319="―対象外","―",""))</f>
        <v/>
      </c>
      <c r="FM319" s="326" t="str">
        <f>IF($AF319="△既存不適格","○",IF($AF319="―対象外","―",""))</f>
        <v/>
      </c>
      <c r="FN319" s="326">
        <f t="shared" ref="FN319:FN332" si="40">IF($AF319="―対象外","―",AR319)</f>
        <v>0</v>
      </c>
      <c r="FO319" s="351" t="str">
        <f t="shared" ref="FO319:FO332" si="41">IF($AF319="―対象外","○","")</f>
        <v/>
      </c>
      <c r="FQ319" s="138" t="str">
        <f t="shared" ref="FQ319:FQ332" si="42">IF(NOT(OR(BY319="未定",BY319="")),DK319,"")</f>
        <v/>
      </c>
      <c r="FR319" s="131" t="str">
        <f>IF(FQ319="","0",FQ319)</f>
        <v>0</v>
      </c>
      <c r="FS319" s="54" t="str">
        <f t="shared" ref="FS319:FS332" si="43">IF(OR(BY319="予定",BY319="改善済"),1,"")</f>
        <v/>
      </c>
      <c r="FT319" s="131" t="str">
        <f>IF(FS319=1,FR319,"0")</f>
        <v>0</v>
      </c>
      <c r="FU319" s="217" t="str">
        <f t="shared" ref="FU319:FU332" si="44">IF(AND(DT319="要是正",AND(DS319=0,BY319="未定")),BY319,"")</f>
        <v/>
      </c>
      <c r="FW319" s="659">
        <f t="shared" ref="FW319:FW350" si="45">IF(AF319="△既存不適格",AT319&amp;"(既存不適格)",AT319)</f>
        <v>0</v>
      </c>
      <c r="FX319" s="660"/>
      <c r="FY319" s="660"/>
      <c r="FZ319" s="661"/>
      <c r="GA319" s="14"/>
      <c r="GB319" s="658">
        <f t="shared" ref="GB319:GB332" si="46">IF(BY319="予定",1,0)</f>
        <v>0</v>
      </c>
      <c r="GC319" s="658">
        <f t="shared" ref="GC319:GC332" si="47">IF(BY319="改善済",1,0)</f>
        <v>0</v>
      </c>
      <c r="GD319" s="658">
        <f t="shared" ref="GD319:GD332" si="48">IF(BY319="未定",1,0)</f>
        <v>0</v>
      </c>
      <c r="GE319" s="658" t="str">
        <f t="shared" ref="GE319:GE332" si="49">IF(GE$318=$M319,$BY$520,"")</f>
        <v/>
      </c>
      <c r="GF319" s="658" t="str">
        <f t="shared" ref="GF319:GF332" si="50">IF(GF$318=$M319,$BY$521,"")</f>
        <v/>
      </c>
      <c r="GG319" s="658" t="str">
        <f t="shared" ref="GG319:GG332" si="51">IF(GG$318=$M319,$BY$522,"")</f>
        <v/>
      </c>
      <c r="GH319" s="658" t="str">
        <f t="shared" ref="GH319:GH332" si="52">IF(GH$318=$M319,$BY$523,"")</f>
        <v/>
      </c>
      <c r="GI319" s="658" t="str">
        <f t="shared" ref="GI319:GI332" si="53">IF(GI$318=$M319,$BY$524,"")</f>
        <v/>
      </c>
      <c r="GJ319" s="658" t="str">
        <f t="shared" ref="GJ319:GJ332" si="54">IF(GJ$318=$M319,$BY$525,"")</f>
        <v/>
      </c>
      <c r="GK319" s="658" t="str">
        <f t="shared" ref="GK319:GK332" si="55">IF(GK$318=$M319,$BY$526,"")</f>
        <v/>
      </c>
      <c r="GL319" s="658" t="str">
        <f t="shared" ref="GL319:GL332" si="56">IF(GL$318=$M319,$BY$527,"")</f>
        <v/>
      </c>
      <c r="GM319" s="658" t="str">
        <f t="shared" ref="GM319:GM332" si="57">IF(GM$318=$M319,$BY$528,"")</f>
        <v/>
      </c>
      <c r="GN319" s="658" t="str">
        <f t="shared" ref="GN319:GN332" si="58">IF(GN$318=$M319,$BY$529,"")</f>
        <v/>
      </c>
      <c r="GO319" s="658" t="str">
        <f t="shared" ref="GO319:GO332" si="59">IF(GO$318=$M319,$BY$530,"")</f>
        <v/>
      </c>
      <c r="GP319" s="658" t="str">
        <f t="shared" ref="GP319:GP332" si="60">IF(GP$318=$M319,$BY$531,"")</f>
        <v/>
      </c>
      <c r="GQ319" s="658" t="str">
        <f t="shared" ref="GQ319:GQ332" si="61">IF(GQ$318=$M319,$BY$532,"")</f>
        <v/>
      </c>
      <c r="GR319" s="658" t="str">
        <f t="shared" ref="GR319:GR332" si="62">IF(GR$318=$M319,$BY$533,"")</f>
        <v/>
      </c>
      <c r="GS319" s="658" t="str">
        <f t="shared" ref="GS319:GS332" si="63">IF(GS$318=$M319,$BY$534,"")</f>
        <v/>
      </c>
      <c r="GT319" s="658">
        <f>IF(COUNTIF(GE319:GS319,"予定")&gt;0,1,0)</f>
        <v>0</v>
      </c>
      <c r="GU319" s="658">
        <f>IF(COUNTIF(GE319:GS319,"改善済")&gt;0,1,0)</f>
        <v>0</v>
      </c>
      <c r="GV319" s="658">
        <f>IF(COUNTIF(GE319:GS319,"未定")&gt;0,1,0)</f>
        <v>0</v>
      </c>
      <c r="GW319" s="658" t="b">
        <f>(GB319+GT319)&gt;0</f>
        <v>0</v>
      </c>
      <c r="GX319" s="658" t="b">
        <f t="shared" ref="GX319:GY319" si="64">(GC319+GU319)&gt;0</f>
        <v>0</v>
      </c>
      <c r="GY319" s="658" t="b">
        <f t="shared" si="64"/>
        <v>0</v>
      </c>
      <c r="GZ319" s="658" t="str">
        <f>IF(GW319,"有",IF(GY319,"無",""))&amp;IF(GX319,IF(OR(GW319,GY319),"（一部改善済）","改善済"),"")</f>
        <v/>
      </c>
      <c r="HB319" s="658" t="str">
        <f>IF(FW319=0,"",FW319&amp;", ")</f>
        <v/>
      </c>
      <c r="HC319" s="658" t="str">
        <f t="shared" ref="HC319:HC332" si="65">IF(HC$318=$M319,$FW$520&amp;", ","")</f>
        <v/>
      </c>
      <c r="HD319" s="658" t="str">
        <f t="shared" ref="HD319:HD332" si="66">IF(HD$318=$M319,$FW$521&amp;", ","")</f>
        <v/>
      </c>
      <c r="HE319" s="658" t="str">
        <f t="shared" ref="HE319:HE332" si="67">IF(HE$318=$M319,$FW$522&amp;", ","")</f>
        <v/>
      </c>
      <c r="HF319" s="658" t="str">
        <f t="shared" ref="HF319:HF332" si="68">IF(HF$318=$M319,$FW$523&amp;", ","")</f>
        <v/>
      </c>
      <c r="HG319" s="658" t="str">
        <f t="shared" ref="HG319:HG332" si="69">IF(HG$318=$M319,$FW$524&amp;", ","")</f>
        <v/>
      </c>
      <c r="HH319" s="658" t="str">
        <f t="shared" ref="HH319:HH332" si="70">IF(HH$318=$M319,$FW$525&amp;", ","")</f>
        <v/>
      </c>
      <c r="HI319" s="658" t="str">
        <f t="shared" ref="HI319:HI332" si="71">IF(HI$318=$M319,$FW$526&amp;", ","")</f>
        <v/>
      </c>
      <c r="HJ319" s="658" t="str">
        <f t="shared" ref="HJ319:HJ332" si="72">IF(HJ$318=$M319,$FW$527&amp;", ","")</f>
        <v/>
      </c>
      <c r="HK319" s="658" t="str">
        <f t="shared" ref="HK319:HK332" si="73">IF(HK$318=$M319,$FW$528&amp;", ","")</f>
        <v/>
      </c>
      <c r="HL319" s="658" t="str">
        <f t="shared" ref="HL319:HL332" si="74">IF(HL$318=$M319,$FW$529&amp;", ","")</f>
        <v/>
      </c>
      <c r="HM319" s="658" t="str">
        <f t="shared" ref="HM319:HM332" si="75">IF(HM$318=$M319,$FW$530&amp;", ","")</f>
        <v/>
      </c>
      <c r="HN319" s="658" t="str">
        <f t="shared" ref="HN319:HN332" si="76">IF(HN$318=$M319,$FW$531&amp;", ","")</f>
        <v/>
      </c>
      <c r="HO319" s="658" t="str">
        <f t="shared" ref="HO319:HO332" si="77">IF(HO$318=$M319,$FW$532&amp;", ","")</f>
        <v/>
      </c>
      <c r="HP319" s="658" t="str">
        <f t="shared" ref="HP319:HP332" si="78">IF(HP$318=$M319,$FW$533&amp;", ","")</f>
        <v/>
      </c>
      <c r="HQ319" s="658" t="str">
        <f t="shared" ref="HQ319:HQ332" si="79">IF(HQ$318=$M319,$FW$534&amp;", ","")</f>
        <v/>
      </c>
      <c r="HR319" s="1623" t="str">
        <f>CONCATENATE(HB319,HC319,HD319,HE319,HF319,HG319,HH319,HI319,HJ319,HK319,HL319,HM319,HN319,HO319,HP319,HQ319)</f>
        <v/>
      </c>
      <c r="HT319" s="658">
        <f>LEFT(M319,1)*10000+MID(M319,3,LEN(M319)-3)*100+COUNTIF($M$319:M319,M319)</f>
        <v>10101</v>
      </c>
      <c r="HU319" s="658" t="str">
        <f>IF($DT319="要是正",$HT319,"")</f>
        <v/>
      </c>
      <c r="HV319" s="658" t="str">
        <f t="shared" ref="HV319:HV332" si="80">IF(HU319="","",RANK(HU319,HU$319:HU$534,1))</f>
        <v/>
      </c>
      <c r="HW319" s="658" t="str">
        <f>IF(OR($DT319="要是正",$DT319="既存不適格"),$HT319,"")</f>
        <v/>
      </c>
      <c r="HX319" s="658" t="str">
        <f t="shared" ref="HX319:HX332" si="81">IF(HW319="","",RANK(HW319,HW$319:HW$534,1))</f>
        <v/>
      </c>
    </row>
    <row r="320" spans="1:232" s="19" customFormat="1" ht="50.1" customHeight="1" x14ac:dyDescent="0.15">
      <c r="A320" s="1201"/>
      <c r="B320" s="1201"/>
      <c r="C320" s="1201"/>
      <c r="D320" s="1201"/>
      <c r="E320" s="1202"/>
      <c r="F320" s="652"/>
      <c r="G320" s="652"/>
      <c r="H320" s="652"/>
      <c r="I320" s="1354"/>
      <c r="J320" s="1234"/>
      <c r="K320" s="1261"/>
      <c r="L320" s="1261"/>
      <c r="M320" s="2495" t="s">
        <v>1112</v>
      </c>
      <c r="N320" s="2495"/>
      <c r="O320" s="2495"/>
      <c r="P320" s="2503" t="s">
        <v>37</v>
      </c>
      <c r="Q320" s="2504"/>
      <c r="R320" s="2504"/>
      <c r="S320" s="2504"/>
      <c r="T320" s="2504"/>
      <c r="U320" s="2503" t="s">
        <v>38</v>
      </c>
      <c r="V320" s="2503"/>
      <c r="W320" s="2503"/>
      <c r="X320" s="2503"/>
      <c r="Y320" s="2503"/>
      <c r="Z320" s="2503"/>
      <c r="AA320" s="2503"/>
      <c r="AB320" s="2503"/>
      <c r="AC320" s="2503"/>
      <c r="AD320" s="2503"/>
      <c r="AE320" s="2503"/>
      <c r="AF320" s="2440"/>
      <c r="AG320" s="2441"/>
      <c r="AH320" s="2441"/>
      <c r="AI320" s="2441"/>
      <c r="AJ320" s="2441"/>
      <c r="AK320" s="2441"/>
      <c r="AL320" s="2441"/>
      <c r="AM320" s="2441"/>
      <c r="AN320" s="2441"/>
      <c r="AO320" s="2441"/>
      <c r="AP320" s="2441"/>
      <c r="AQ320" s="2442"/>
      <c r="AR320" s="2359"/>
      <c r="AS320" s="2359"/>
      <c r="AT320" s="2432"/>
      <c r="AU320" s="2432"/>
      <c r="AV320" s="2432"/>
      <c r="AW320" s="2432"/>
      <c r="AX320" s="2432"/>
      <c r="AY320" s="2432"/>
      <c r="AZ320" s="2432"/>
      <c r="BA320" s="2432"/>
      <c r="BB320" s="2432"/>
      <c r="BC320" s="2432"/>
      <c r="BD320" s="2432"/>
      <c r="BE320" s="2432"/>
      <c r="BF320" s="2432"/>
      <c r="BG320" s="2432"/>
      <c r="BH320" s="2432"/>
      <c r="BI320" s="2432"/>
      <c r="BJ320" s="2432"/>
      <c r="BK320" s="2432"/>
      <c r="BL320" s="2432"/>
      <c r="BM320" s="2432"/>
      <c r="BN320" s="2432"/>
      <c r="BO320" s="2432"/>
      <c r="BP320" s="2432"/>
      <c r="BQ320" s="2432"/>
      <c r="BR320" s="2432"/>
      <c r="BS320" s="2270"/>
      <c r="BT320" s="2270"/>
      <c r="BU320" s="2270"/>
      <c r="BV320" s="2270"/>
      <c r="BW320" s="2270"/>
      <c r="BX320" s="2270"/>
      <c r="BY320" s="2270"/>
      <c r="BZ320" s="2152"/>
      <c r="CA320" s="2152"/>
      <c r="CB320" s="2813"/>
      <c r="CC320" s="2814"/>
      <c r="CD320" s="2814"/>
      <c r="CE320" s="2814"/>
      <c r="CF320" s="2814"/>
      <c r="CG320" s="2814"/>
      <c r="CH320" s="2814"/>
      <c r="CI320" s="2814"/>
      <c r="CJ320" s="2814"/>
      <c r="CK320" s="2814"/>
      <c r="CL320" s="2814"/>
      <c r="CM320" s="2814"/>
      <c r="CN320" s="2814"/>
      <c r="CO320" s="2814"/>
      <c r="CP320" s="2814"/>
      <c r="CQ320" s="2814"/>
      <c r="CR320" s="2814"/>
      <c r="CS320" s="2814"/>
      <c r="CT320" s="2814"/>
      <c r="CU320" s="2815"/>
      <c r="CV320" s="2300" t="str">
        <f t="shared" si="17"/>
        <v/>
      </c>
      <c r="CW320" s="2300"/>
      <c r="CX320" s="2300"/>
      <c r="CY320" s="2300"/>
      <c r="CZ320" s="2300"/>
      <c r="DA320" s="2300"/>
      <c r="DC320" s="329" t="str">
        <f t="shared" si="18"/>
        <v/>
      </c>
      <c r="DD320" s="197"/>
      <c r="DF320" s="14"/>
      <c r="DG320" s="14"/>
      <c r="DH320" s="14"/>
      <c r="DI320" s="1596"/>
      <c r="DJ320" s="1170" t="s">
        <v>2749</v>
      </c>
      <c r="DK320" s="1604" t="str">
        <f t="shared" si="19"/>
        <v/>
      </c>
      <c r="DL320" s="437" t="str">
        <f t="shared" si="20"/>
        <v/>
      </c>
      <c r="DM320" s="1128">
        <f t="shared" si="21"/>
        <v>0</v>
      </c>
      <c r="DN320" s="22">
        <f t="shared" si="22"/>
        <v>0</v>
      </c>
      <c r="DO320" s="22">
        <f t="shared" si="23"/>
        <v>0</v>
      </c>
      <c r="DP320" s="264">
        <f t="shared" si="24"/>
        <v>0</v>
      </c>
      <c r="DQ320" s="26" t="s">
        <v>720</v>
      </c>
      <c r="DR320" s="1804" t="str">
        <f>IF($U320="",P320,U320)</f>
        <v>敷地内の排水の状況</v>
      </c>
      <c r="DS320" s="23">
        <f t="shared" si="25"/>
        <v>0</v>
      </c>
      <c r="DT320" s="29" t="str">
        <f t="shared" si="26"/>
        <v/>
      </c>
      <c r="DU320" s="242" t="str">
        <f t="shared" ref="DU320:DU332" si="82">IF(HV320="","",HV320)</f>
        <v/>
      </c>
      <c r="DV320" s="57" t="str">
        <f>IF($DT320="要是正",MAX($DV$318:DV319)+1,"")</f>
        <v/>
      </c>
      <c r="DW320" s="273" t="str">
        <f t="shared" si="27"/>
        <v/>
      </c>
      <c r="DX320" s="30" t="str">
        <f t="shared" ref="DX320:DX332" si="83">IF(OR($DT320="要是正",$DT320="既存不適格"),$DR320,"")</f>
        <v/>
      </c>
      <c r="DY320" s="13" t="str">
        <f t="shared" si="28"/>
        <v/>
      </c>
      <c r="DZ320" s="121" t="str">
        <f t="shared" si="29"/>
        <v/>
      </c>
      <c r="EA320" s="256" t="str">
        <f t="shared" si="30"/>
        <v/>
      </c>
      <c r="EB320" s="138" t="str">
        <f t="shared" si="31"/>
        <v/>
      </c>
      <c r="EC320" s="131" t="str">
        <f t="shared" ref="EC320:EC332" si="84">IF(EB320="","0",EB320)</f>
        <v>0</v>
      </c>
      <c r="ED320" s="54" t="str">
        <f t="shared" si="32"/>
        <v/>
      </c>
      <c r="EE320" s="131" t="str">
        <f t="shared" ref="EE320:EE327" si="85">IF(ED320=1,EC320,"0")</f>
        <v>0</v>
      </c>
      <c r="EF320" s="217" t="str">
        <f t="shared" si="33"/>
        <v/>
      </c>
      <c r="EG320" s="108" t="str">
        <f t="shared" si="34"/>
        <v/>
      </c>
      <c r="EH320" s="41" t="str">
        <f t="shared" ref="EH320:EH332" si="86">IF(EG320="","0",EG320)</f>
        <v>0</v>
      </c>
      <c r="EI320" s="54" t="str">
        <f t="shared" si="35"/>
        <v/>
      </c>
      <c r="EJ320" s="131" t="str">
        <f t="shared" ref="EJ320:EJ327" si="87">IF(EI320=1,EH320,"0")</f>
        <v>0</v>
      </c>
      <c r="EK320" s="217" t="str">
        <f t="shared" si="36"/>
        <v/>
      </c>
      <c r="EL320" s="253" t="e">
        <f t="shared" ref="EL320:EL327" si="88">VLOOKUP($DU320,$EO$318:$ER$345,2,FALSE)</f>
        <v>#N/A</v>
      </c>
      <c r="EM320" s="57" t="e">
        <f t="shared" si="37"/>
        <v>#N/A</v>
      </c>
      <c r="EN320" s="243" t="e">
        <f t="shared" si="38"/>
        <v>#N/A</v>
      </c>
      <c r="EO320" s="127">
        <v>3</v>
      </c>
      <c r="EP320" s="23" t="s">
        <v>1060</v>
      </c>
      <c r="EQ320" s="23" t="s">
        <v>1026</v>
      </c>
      <c r="ER320" s="124" t="s">
        <v>1044</v>
      </c>
      <c r="ET320" s="2017">
        <v>2</v>
      </c>
      <c r="EU320" s="23" t="str">
        <f>DM334</f>
        <v/>
      </c>
      <c r="EV320" s="23" t="str">
        <f>DN334</f>
        <v/>
      </c>
      <c r="EW320" s="23" t="str">
        <f>DO334</f>
        <v/>
      </c>
      <c r="EX320" s="665" t="str">
        <f>DP334</f>
        <v/>
      </c>
      <c r="EY320" s="666" t="str">
        <f>EE360</f>
        <v>0</v>
      </c>
      <c r="EZ320" s="140" t="s">
        <v>1620</v>
      </c>
      <c r="FA320" s="353" t="str">
        <f>EF$334</f>
        <v/>
      </c>
      <c r="FB320" s="140" t="s">
        <v>1624</v>
      </c>
      <c r="FC320" s="140" t="s">
        <v>1624</v>
      </c>
      <c r="FD320" s="666" t="str">
        <f>EJ360</f>
        <v>0</v>
      </c>
      <c r="FE320" s="140" t="s">
        <v>1620</v>
      </c>
      <c r="FF320" s="353" t="str">
        <f>EK$334</f>
        <v/>
      </c>
      <c r="FG320" s="140" t="s">
        <v>1624</v>
      </c>
      <c r="FH320" s="140" t="s">
        <v>1624</v>
      </c>
      <c r="FI320" s="20"/>
      <c r="FJ320" s="184"/>
      <c r="FK320" s="326" t="str">
        <f t="shared" ref="FK320:FK332" si="89">IF($AF320="○指摘なし","○",IF($AF320="―対象外","―",""))</f>
        <v/>
      </c>
      <c r="FL320" s="326" t="str">
        <f t="shared" ref="FL320:FL332" si="90">IF(OR($AF320="×要是正（既存不適格以外）",$AF320="△既存不適格"),"○",IF($AF320="―対象外","―",""))</f>
        <v/>
      </c>
      <c r="FM320" s="326" t="str">
        <f t="shared" ref="FM320:FM332" si="91">IF($AF320="△既存不適格","○",IF($AF320="―対象外","―",""))</f>
        <v/>
      </c>
      <c r="FN320" s="326">
        <f t="shared" si="40"/>
        <v>0</v>
      </c>
      <c r="FO320" s="351" t="str">
        <f t="shared" si="41"/>
        <v/>
      </c>
      <c r="FQ320" s="138" t="str">
        <f t="shared" si="42"/>
        <v/>
      </c>
      <c r="FR320" s="131" t="str">
        <f t="shared" ref="FR320:FR332" si="92">IF(FQ320="","0",FQ320)</f>
        <v>0</v>
      </c>
      <c r="FS320" s="54" t="str">
        <f t="shared" si="43"/>
        <v/>
      </c>
      <c r="FT320" s="131" t="str">
        <f t="shared" ref="FT320:FT327" si="93">IF(FS320=1,FR320,"0")</f>
        <v>0</v>
      </c>
      <c r="FU320" s="217" t="str">
        <f t="shared" si="44"/>
        <v/>
      </c>
      <c r="FW320" s="667">
        <f t="shared" si="45"/>
        <v>0</v>
      </c>
      <c r="FX320" s="32"/>
      <c r="FY320" s="32"/>
      <c r="FZ320" s="668"/>
      <c r="GA320" s="14"/>
      <c r="GB320" s="658">
        <f t="shared" si="46"/>
        <v>0</v>
      </c>
      <c r="GC320" s="658">
        <f t="shared" si="47"/>
        <v>0</v>
      </c>
      <c r="GD320" s="658">
        <f t="shared" si="48"/>
        <v>0</v>
      </c>
      <c r="GE320" s="658" t="str">
        <f t="shared" si="49"/>
        <v/>
      </c>
      <c r="GF320" s="658" t="str">
        <f t="shared" si="50"/>
        <v/>
      </c>
      <c r="GG320" s="658" t="str">
        <f t="shared" si="51"/>
        <v/>
      </c>
      <c r="GH320" s="658" t="str">
        <f t="shared" si="52"/>
        <v/>
      </c>
      <c r="GI320" s="658" t="str">
        <f t="shared" si="53"/>
        <v/>
      </c>
      <c r="GJ320" s="658" t="str">
        <f t="shared" si="54"/>
        <v/>
      </c>
      <c r="GK320" s="658" t="str">
        <f t="shared" si="55"/>
        <v/>
      </c>
      <c r="GL320" s="658" t="str">
        <f t="shared" si="56"/>
        <v/>
      </c>
      <c r="GM320" s="658" t="str">
        <f t="shared" si="57"/>
        <v/>
      </c>
      <c r="GN320" s="658" t="str">
        <f t="shared" si="58"/>
        <v/>
      </c>
      <c r="GO320" s="658" t="str">
        <f t="shared" si="59"/>
        <v/>
      </c>
      <c r="GP320" s="658" t="str">
        <f t="shared" si="60"/>
        <v/>
      </c>
      <c r="GQ320" s="658" t="str">
        <f t="shared" si="61"/>
        <v/>
      </c>
      <c r="GR320" s="658" t="str">
        <f t="shared" si="62"/>
        <v/>
      </c>
      <c r="GS320" s="658" t="str">
        <f t="shared" si="63"/>
        <v/>
      </c>
      <c r="GT320" s="658">
        <f t="shared" ref="GT320:GT383" si="94">IF(COUNTIF(GE320:GS320,"予定")&gt;0,1,0)</f>
        <v>0</v>
      </c>
      <c r="GU320" s="658">
        <f t="shared" ref="GU320:GU383" si="95">IF(COUNTIF(GE320:GS320,"改善済")&gt;0,1,0)</f>
        <v>0</v>
      </c>
      <c r="GV320" s="658">
        <f t="shared" ref="GV320:GV383" si="96">IF(COUNTIF(GE320:GS320,"未定")&gt;0,1,0)</f>
        <v>0</v>
      </c>
      <c r="GW320" s="658" t="b">
        <f t="shared" ref="GW320:GW383" si="97">(GB320+GT320)&gt;0</f>
        <v>0</v>
      </c>
      <c r="GX320" s="658" t="b">
        <f t="shared" ref="GX320:GX383" si="98">(GC320+GU320)&gt;0</f>
        <v>0</v>
      </c>
      <c r="GY320" s="658" t="b">
        <f t="shared" ref="GY320:GY383" si="99">(GD320+GV320)&gt;0</f>
        <v>0</v>
      </c>
      <c r="GZ320" s="658" t="str">
        <f t="shared" ref="GZ320:GZ333" si="100">IF(GW320,"有",IF(GY320,"無",""))&amp;IF(GX320,IF(OR(GW320,GY320),"（一部改善済）","改善済"),"")</f>
        <v/>
      </c>
      <c r="HB320" s="658" t="str">
        <f t="shared" ref="HB320:HB383" si="101">IF(FW320=0,"",FW320&amp;", ")</f>
        <v/>
      </c>
      <c r="HC320" s="658" t="str">
        <f t="shared" si="65"/>
        <v/>
      </c>
      <c r="HD320" s="658" t="str">
        <f t="shared" si="66"/>
        <v/>
      </c>
      <c r="HE320" s="658" t="str">
        <f t="shared" si="67"/>
        <v/>
      </c>
      <c r="HF320" s="658" t="str">
        <f t="shared" si="68"/>
        <v/>
      </c>
      <c r="HG320" s="658" t="str">
        <f t="shared" si="69"/>
        <v/>
      </c>
      <c r="HH320" s="658" t="str">
        <f t="shared" si="70"/>
        <v/>
      </c>
      <c r="HI320" s="658" t="str">
        <f t="shared" si="71"/>
        <v/>
      </c>
      <c r="HJ320" s="658" t="str">
        <f t="shared" si="72"/>
        <v/>
      </c>
      <c r="HK320" s="658" t="str">
        <f t="shared" si="73"/>
        <v/>
      </c>
      <c r="HL320" s="658" t="str">
        <f t="shared" si="74"/>
        <v/>
      </c>
      <c r="HM320" s="658" t="str">
        <f t="shared" si="75"/>
        <v/>
      </c>
      <c r="HN320" s="658" t="str">
        <f t="shared" si="76"/>
        <v/>
      </c>
      <c r="HO320" s="658" t="str">
        <f t="shared" si="77"/>
        <v/>
      </c>
      <c r="HP320" s="658" t="str">
        <f t="shared" si="78"/>
        <v/>
      </c>
      <c r="HQ320" s="658" t="str">
        <f t="shared" si="79"/>
        <v/>
      </c>
      <c r="HR320" s="658" t="str">
        <f t="shared" ref="HR320:HR383" si="102">CONCATENATE(HB320,HC320,HD320,HE320,HF320,HG320,HH320,HI320,HJ320,HK320,HL320,HM320,HN320,HO320,HP320,HQ320)</f>
        <v/>
      </c>
      <c r="HT320" s="658">
        <f>LEFT(M320,1)*10000+MID(M320,3,LEN(M320)-3)*100+COUNTIF($M$319:M320,M320)</f>
        <v>10201</v>
      </c>
      <c r="HU320" s="658" t="str">
        <f t="shared" ref="HU320:HU383" si="103">IF($DT320="要是正",$HT320,"")</f>
        <v/>
      </c>
      <c r="HV320" s="658" t="str">
        <f t="shared" si="80"/>
        <v/>
      </c>
      <c r="HW320" s="658" t="str">
        <f t="shared" ref="HW320:HW383" si="104">IF(OR($DT320="要是正",$DT320="既存不適格"),$HT320,"")</f>
        <v/>
      </c>
      <c r="HX320" s="658" t="str">
        <f t="shared" si="81"/>
        <v/>
      </c>
    </row>
    <row r="321" spans="1:232" s="19" customFormat="1" ht="50.1" customHeight="1" x14ac:dyDescent="0.15">
      <c r="A321" s="1201"/>
      <c r="B321" s="1201"/>
      <c r="C321" s="1201"/>
      <c r="D321" s="1201"/>
      <c r="E321" s="1202"/>
      <c r="F321" s="652"/>
      <c r="G321" s="652"/>
      <c r="H321" s="652"/>
      <c r="I321" s="1354"/>
      <c r="J321" s="1234"/>
      <c r="K321" s="1261"/>
      <c r="L321" s="1261"/>
      <c r="M321" s="2495" t="s">
        <v>1118</v>
      </c>
      <c r="N321" s="2495"/>
      <c r="O321" s="2495"/>
      <c r="P321" s="2503" t="s">
        <v>39</v>
      </c>
      <c r="Q321" s="2504"/>
      <c r="R321" s="2504"/>
      <c r="S321" s="2504"/>
      <c r="T321" s="2504"/>
      <c r="U321" s="2436" t="s">
        <v>40</v>
      </c>
      <c r="V321" s="2436"/>
      <c r="W321" s="2436"/>
      <c r="X321" s="2436"/>
      <c r="Y321" s="2436"/>
      <c r="Z321" s="2436"/>
      <c r="AA321" s="2436"/>
      <c r="AB321" s="2436"/>
      <c r="AC321" s="2436"/>
      <c r="AD321" s="2436"/>
      <c r="AE321" s="2436"/>
      <c r="AF321" s="2465"/>
      <c r="AG321" s="2466"/>
      <c r="AH321" s="2466"/>
      <c r="AI321" s="2466"/>
      <c r="AJ321" s="2466"/>
      <c r="AK321" s="2466"/>
      <c r="AL321" s="2466"/>
      <c r="AM321" s="2466"/>
      <c r="AN321" s="2466"/>
      <c r="AO321" s="2466"/>
      <c r="AP321" s="2466"/>
      <c r="AQ321" s="2467"/>
      <c r="AR321" s="2272"/>
      <c r="AS321" s="2272"/>
      <c r="AT321" s="2406"/>
      <c r="AU321" s="2406"/>
      <c r="AV321" s="2406"/>
      <c r="AW321" s="2406"/>
      <c r="AX321" s="2406"/>
      <c r="AY321" s="2406"/>
      <c r="AZ321" s="2406"/>
      <c r="BA321" s="2406"/>
      <c r="BB321" s="2406"/>
      <c r="BC321" s="2406"/>
      <c r="BD321" s="2406"/>
      <c r="BE321" s="2406"/>
      <c r="BF321" s="2406"/>
      <c r="BG321" s="2406"/>
      <c r="BH321" s="2406"/>
      <c r="BI321" s="2406"/>
      <c r="BJ321" s="2406"/>
      <c r="BK321" s="2406"/>
      <c r="BL321" s="2406"/>
      <c r="BM321" s="2406"/>
      <c r="BN321" s="2406"/>
      <c r="BO321" s="2406"/>
      <c r="BP321" s="2406"/>
      <c r="BQ321" s="2406"/>
      <c r="BR321" s="2406"/>
      <c r="BS321" s="2271"/>
      <c r="BT321" s="2271"/>
      <c r="BU321" s="2271"/>
      <c r="BV321" s="2271"/>
      <c r="BW321" s="2271"/>
      <c r="BX321" s="2271"/>
      <c r="BY321" s="2271"/>
      <c r="BZ321" s="2272"/>
      <c r="CA321" s="2272"/>
      <c r="CB321" s="2725" t="s">
        <v>3069</v>
      </c>
      <c r="CC321" s="2726"/>
      <c r="CD321" s="2726"/>
      <c r="CE321" s="2726"/>
      <c r="CF321" s="2726"/>
      <c r="CG321" s="2726"/>
      <c r="CH321" s="2726"/>
      <c r="CI321" s="2726"/>
      <c r="CJ321" s="2726"/>
      <c r="CK321" s="2726"/>
      <c r="CL321" s="2726"/>
      <c r="CM321" s="2726"/>
      <c r="CN321" s="2726"/>
      <c r="CO321" s="2726"/>
      <c r="CP321" s="2726"/>
      <c r="CQ321" s="2726"/>
      <c r="CR321" s="2726"/>
      <c r="CS321" s="2726"/>
      <c r="CT321" s="2726"/>
      <c r="CU321" s="2727"/>
      <c r="CV321" s="2300" t="str">
        <f t="shared" si="17"/>
        <v/>
      </c>
      <c r="CW321" s="2300"/>
      <c r="CX321" s="2300"/>
      <c r="CY321" s="2300"/>
      <c r="CZ321" s="2300"/>
      <c r="DA321" s="2300"/>
      <c r="DC321" s="329" t="str">
        <f t="shared" si="18"/>
        <v/>
      </c>
      <c r="DD321" s="197"/>
      <c r="DF321" s="14"/>
      <c r="DG321" s="14"/>
      <c r="DH321" s="14"/>
      <c r="DI321" s="1596"/>
      <c r="DJ321" s="1170" t="s">
        <v>2749</v>
      </c>
      <c r="DK321" s="1604" t="str">
        <f t="shared" si="19"/>
        <v/>
      </c>
      <c r="DL321" s="437" t="str">
        <f t="shared" si="20"/>
        <v/>
      </c>
      <c r="DM321" s="1128">
        <f t="shared" si="21"/>
        <v>0</v>
      </c>
      <c r="DN321" s="22">
        <f t="shared" si="22"/>
        <v>0</v>
      </c>
      <c r="DO321" s="22">
        <f t="shared" si="23"/>
        <v>0</v>
      </c>
      <c r="DP321" s="264">
        <f t="shared" si="24"/>
        <v>0</v>
      </c>
      <c r="DQ321" s="26" t="s">
        <v>721</v>
      </c>
      <c r="DR321" s="1804" t="str">
        <f>IF($U321="",P321,U321)</f>
        <v>敷地内の通路の確保の状況</v>
      </c>
      <c r="DS321" s="23">
        <f t="shared" si="25"/>
        <v>0</v>
      </c>
      <c r="DT321" s="29" t="str">
        <f t="shared" si="26"/>
        <v/>
      </c>
      <c r="DU321" s="242" t="str">
        <f t="shared" si="82"/>
        <v/>
      </c>
      <c r="DV321" s="57" t="str">
        <f>IF($DT321="要是正",MAX($DV$318:DV320)+1,"")</f>
        <v/>
      </c>
      <c r="DW321" s="273" t="str">
        <f t="shared" si="27"/>
        <v/>
      </c>
      <c r="DX321" s="30" t="str">
        <f t="shared" si="83"/>
        <v/>
      </c>
      <c r="DY321" s="13" t="str">
        <f t="shared" si="28"/>
        <v/>
      </c>
      <c r="DZ321" s="121" t="str">
        <f t="shared" si="29"/>
        <v/>
      </c>
      <c r="EA321" s="256" t="str">
        <f t="shared" si="30"/>
        <v/>
      </c>
      <c r="EB321" s="138" t="str">
        <f t="shared" si="31"/>
        <v/>
      </c>
      <c r="EC321" s="131" t="str">
        <f t="shared" si="84"/>
        <v>0</v>
      </c>
      <c r="ED321" s="54" t="str">
        <f t="shared" si="32"/>
        <v/>
      </c>
      <c r="EE321" s="131" t="str">
        <f t="shared" si="85"/>
        <v>0</v>
      </c>
      <c r="EF321" s="217" t="str">
        <f t="shared" si="33"/>
        <v/>
      </c>
      <c r="EG321" s="108" t="str">
        <f t="shared" si="34"/>
        <v/>
      </c>
      <c r="EH321" s="41" t="str">
        <f t="shared" si="86"/>
        <v>0</v>
      </c>
      <c r="EI321" s="54" t="str">
        <f t="shared" si="35"/>
        <v/>
      </c>
      <c r="EJ321" s="131" t="str">
        <f t="shared" si="87"/>
        <v>0</v>
      </c>
      <c r="EK321" s="217" t="str">
        <f t="shared" si="36"/>
        <v/>
      </c>
      <c r="EL321" s="253" t="e">
        <f t="shared" si="88"/>
        <v>#N/A</v>
      </c>
      <c r="EM321" s="57" t="e">
        <f t="shared" si="37"/>
        <v>#N/A</v>
      </c>
      <c r="EN321" s="243" t="e">
        <f t="shared" si="38"/>
        <v>#N/A</v>
      </c>
      <c r="EO321" s="128">
        <v>4</v>
      </c>
      <c r="EP321" s="23" t="s">
        <v>1060</v>
      </c>
      <c r="EQ321" s="23" t="s">
        <v>1027</v>
      </c>
      <c r="ER321" s="124" t="s">
        <v>1738</v>
      </c>
      <c r="ET321" s="2017">
        <v>3</v>
      </c>
      <c r="EU321" s="23" t="str">
        <f>DM361</f>
        <v/>
      </c>
      <c r="EV321" s="23" t="str">
        <f>DN361</f>
        <v/>
      </c>
      <c r="EW321" s="23" t="str">
        <f>DO361</f>
        <v/>
      </c>
      <c r="EX321" s="665" t="str">
        <f>DP361</f>
        <v/>
      </c>
      <c r="EY321" s="666" t="str">
        <f>EE378</f>
        <v>0</v>
      </c>
      <c r="EZ321" s="140" t="s">
        <v>1620</v>
      </c>
      <c r="FA321" s="353" t="str">
        <f>EF$361</f>
        <v/>
      </c>
      <c r="FB321" s="140" t="s">
        <v>1624</v>
      </c>
      <c r="FC321" s="140" t="s">
        <v>1624</v>
      </c>
      <c r="FD321" s="666" t="str">
        <f>EJ378</f>
        <v>0</v>
      </c>
      <c r="FE321" s="140" t="s">
        <v>1620</v>
      </c>
      <c r="FF321" s="353" t="str">
        <f>EK$361</f>
        <v/>
      </c>
      <c r="FG321" s="140" t="s">
        <v>1624</v>
      </c>
      <c r="FH321" s="140" t="s">
        <v>1624</v>
      </c>
      <c r="FI321" s="20"/>
      <c r="FJ321" s="184"/>
      <c r="FK321" s="326" t="str">
        <f t="shared" si="89"/>
        <v/>
      </c>
      <c r="FL321" s="326" t="str">
        <f t="shared" si="90"/>
        <v/>
      </c>
      <c r="FM321" s="326" t="str">
        <f t="shared" si="91"/>
        <v/>
      </c>
      <c r="FN321" s="326">
        <f t="shared" si="40"/>
        <v>0</v>
      </c>
      <c r="FO321" s="351" t="str">
        <f t="shared" si="41"/>
        <v/>
      </c>
      <c r="FQ321" s="138" t="str">
        <f t="shared" si="42"/>
        <v/>
      </c>
      <c r="FR321" s="131" t="str">
        <f t="shared" si="92"/>
        <v>0</v>
      </c>
      <c r="FS321" s="54" t="str">
        <f t="shared" si="43"/>
        <v/>
      </c>
      <c r="FT321" s="131" t="str">
        <f t="shared" si="93"/>
        <v>0</v>
      </c>
      <c r="FU321" s="217" t="str">
        <f t="shared" si="44"/>
        <v/>
      </c>
      <c r="FW321" s="667">
        <f t="shared" si="45"/>
        <v>0</v>
      </c>
      <c r="FX321" s="32"/>
      <c r="FY321" s="32"/>
      <c r="FZ321" s="668"/>
      <c r="GA321" s="14"/>
      <c r="GB321" s="658">
        <f t="shared" si="46"/>
        <v>0</v>
      </c>
      <c r="GC321" s="658">
        <f t="shared" si="47"/>
        <v>0</v>
      </c>
      <c r="GD321" s="658">
        <f t="shared" si="48"/>
        <v>0</v>
      </c>
      <c r="GE321" s="658" t="str">
        <f t="shared" si="49"/>
        <v/>
      </c>
      <c r="GF321" s="658" t="str">
        <f t="shared" si="50"/>
        <v/>
      </c>
      <c r="GG321" s="658" t="str">
        <f t="shared" si="51"/>
        <v/>
      </c>
      <c r="GH321" s="658" t="str">
        <f t="shared" si="52"/>
        <v/>
      </c>
      <c r="GI321" s="658" t="str">
        <f t="shared" si="53"/>
        <v/>
      </c>
      <c r="GJ321" s="658" t="str">
        <f t="shared" si="54"/>
        <v/>
      </c>
      <c r="GK321" s="658" t="str">
        <f t="shared" si="55"/>
        <v/>
      </c>
      <c r="GL321" s="658" t="str">
        <f t="shared" si="56"/>
        <v/>
      </c>
      <c r="GM321" s="658" t="str">
        <f t="shared" si="57"/>
        <v/>
      </c>
      <c r="GN321" s="658" t="str">
        <f t="shared" si="58"/>
        <v/>
      </c>
      <c r="GO321" s="658" t="str">
        <f t="shared" si="59"/>
        <v/>
      </c>
      <c r="GP321" s="658" t="str">
        <f t="shared" si="60"/>
        <v/>
      </c>
      <c r="GQ321" s="658" t="str">
        <f t="shared" si="61"/>
        <v/>
      </c>
      <c r="GR321" s="658" t="str">
        <f t="shared" si="62"/>
        <v/>
      </c>
      <c r="GS321" s="658" t="str">
        <f t="shared" si="63"/>
        <v/>
      </c>
      <c r="GT321" s="658">
        <f t="shared" si="94"/>
        <v>0</v>
      </c>
      <c r="GU321" s="658">
        <f t="shared" si="95"/>
        <v>0</v>
      </c>
      <c r="GV321" s="658">
        <f t="shared" si="96"/>
        <v>0</v>
      </c>
      <c r="GW321" s="658" t="b">
        <f t="shared" si="97"/>
        <v>0</v>
      </c>
      <c r="GX321" s="658" t="b">
        <f t="shared" si="98"/>
        <v>0</v>
      </c>
      <c r="GY321" s="658" t="b">
        <f t="shared" si="99"/>
        <v>0</v>
      </c>
      <c r="GZ321" s="658" t="str">
        <f t="shared" si="100"/>
        <v/>
      </c>
      <c r="HB321" s="658" t="str">
        <f t="shared" si="101"/>
        <v/>
      </c>
      <c r="HC321" s="658" t="str">
        <f t="shared" si="65"/>
        <v/>
      </c>
      <c r="HD321" s="658" t="str">
        <f t="shared" si="66"/>
        <v/>
      </c>
      <c r="HE321" s="658" t="str">
        <f t="shared" si="67"/>
        <v/>
      </c>
      <c r="HF321" s="658" t="str">
        <f t="shared" si="68"/>
        <v/>
      </c>
      <c r="HG321" s="658" t="str">
        <f t="shared" si="69"/>
        <v/>
      </c>
      <c r="HH321" s="658" t="str">
        <f t="shared" si="70"/>
        <v/>
      </c>
      <c r="HI321" s="658" t="str">
        <f t="shared" si="71"/>
        <v/>
      </c>
      <c r="HJ321" s="658" t="str">
        <f t="shared" si="72"/>
        <v/>
      </c>
      <c r="HK321" s="658" t="str">
        <f t="shared" si="73"/>
        <v/>
      </c>
      <c r="HL321" s="658" t="str">
        <f t="shared" si="74"/>
        <v/>
      </c>
      <c r="HM321" s="658" t="str">
        <f t="shared" si="75"/>
        <v/>
      </c>
      <c r="HN321" s="658" t="str">
        <f t="shared" si="76"/>
        <v/>
      </c>
      <c r="HO321" s="658" t="str">
        <f t="shared" si="77"/>
        <v/>
      </c>
      <c r="HP321" s="658" t="str">
        <f t="shared" si="78"/>
        <v/>
      </c>
      <c r="HQ321" s="658" t="str">
        <f t="shared" si="79"/>
        <v/>
      </c>
      <c r="HR321" s="658" t="str">
        <f t="shared" si="102"/>
        <v/>
      </c>
      <c r="HT321" s="658">
        <f>LEFT(M321,1)*10000+MID(M321,3,LEN(M321)-3)*100+COUNTIF($M$319:M321,M321)</f>
        <v>10301</v>
      </c>
      <c r="HU321" s="658" t="str">
        <f t="shared" si="103"/>
        <v/>
      </c>
      <c r="HV321" s="658" t="str">
        <f t="shared" si="80"/>
        <v/>
      </c>
      <c r="HW321" s="658" t="str">
        <f t="shared" si="104"/>
        <v/>
      </c>
      <c r="HX321" s="658" t="str">
        <f t="shared" si="81"/>
        <v/>
      </c>
    </row>
    <row r="322" spans="1:232" s="19" customFormat="1" ht="50.1" customHeight="1" x14ac:dyDescent="0.15">
      <c r="A322" s="1201"/>
      <c r="B322" s="1201"/>
      <c r="C322" s="1201"/>
      <c r="D322" s="1201"/>
      <c r="E322" s="1202"/>
      <c r="F322" s="652"/>
      <c r="G322" s="652"/>
      <c r="H322" s="652"/>
      <c r="I322" s="1354"/>
      <c r="J322" s="1234"/>
      <c r="K322" s="1261"/>
      <c r="L322" s="1261"/>
      <c r="M322" s="2495" t="s">
        <v>1119</v>
      </c>
      <c r="N322" s="2495"/>
      <c r="O322" s="2495"/>
      <c r="P322" s="2504"/>
      <c r="Q322" s="2504"/>
      <c r="R322" s="2504"/>
      <c r="S322" s="2504"/>
      <c r="T322" s="2504"/>
      <c r="U322" s="2740" t="s">
        <v>41</v>
      </c>
      <c r="V322" s="2740"/>
      <c r="W322" s="2740"/>
      <c r="X322" s="2740"/>
      <c r="Y322" s="2740"/>
      <c r="Z322" s="2740"/>
      <c r="AA322" s="2740"/>
      <c r="AB322" s="2740"/>
      <c r="AC322" s="2740"/>
      <c r="AD322" s="2740"/>
      <c r="AE322" s="2740"/>
      <c r="AF322" s="2426"/>
      <c r="AG322" s="2427"/>
      <c r="AH322" s="2427"/>
      <c r="AI322" s="2427"/>
      <c r="AJ322" s="2427"/>
      <c r="AK322" s="2427"/>
      <c r="AL322" s="2427"/>
      <c r="AM322" s="2427"/>
      <c r="AN322" s="2427"/>
      <c r="AO322" s="2427"/>
      <c r="AP322" s="2427"/>
      <c r="AQ322" s="2428"/>
      <c r="AR322" s="2151"/>
      <c r="AS322" s="2151"/>
      <c r="AT322" s="2292"/>
      <c r="AU322" s="2292"/>
      <c r="AV322" s="2292"/>
      <c r="AW322" s="2292"/>
      <c r="AX322" s="2292"/>
      <c r="AY322" s="2292"/>
      <c r="AZ322" s="2292"/>
      <c r="BA322" s="2292"/>
      <c r="BB322" s="2292"/>
      <c r="BC322" s="2292"/>
      <c r="BD322" s="2292"/>
      <c r="BE322" s="2292"/>
      <c r="BF322" s="2292"/>
      <c r="BG322" s="2292"/>
      <c r="BH322" s="2292"/>
      <c r="BI322" s="2292"/>
      <c r="BJ322" s="2292"/>
      <c r="BK322" s="2292"/>
      <c r="BL322" s="2292"/>
      <c r="BM322" s="2292"/>
      <c r="BN322" s="2292"/>
      <c r="BO322" s="2292"/>
      <c r="BP322" s="2292"/>
      <c r="BQ322" s="2292"/>
      <c r="BR322" s="2292"/>
      <c r="BS322" s="2269"/>
      <c r="BT322" s="2269"/>
      <c r="BU322" s="2269"/>
      <c r="BV322" s="2269"/>
      <c r="BW322" s="2269"/>
      <c r="BX322" s="2269"/>
      <c r="BY322" s="2269"/>
      <c r="BZ322" s="2151"/>
      <c r="CA322" s="2151"/>
      <c r="CB322" s="2398"/>
      <c r="CC322" s="2399"/>
      <c r="CD322" s="2399"/>
      <c r="CE322" s="2399"/>
      <c r="CF322" s="2399"/>
      <c r="CG322" s="2399"/>
      <c r="CH322" s="2399"/>
      <c r="CI322" s="2399"/>
      <c r="CJ322" s="2399"/>
      <c r="CK322" s="2399"/>
      <c r="CL322" s="2399"/>
      <c r="CM322" s="2399"/>
      <c r="CN322" s="2399"/>
      <c r="CO322" s="2399"/>
      <c r="CP322" s="2399"/>
      <c r="CQ322" s="2399"/>
      <c r="CR322" s="2399"/>
      <c r="CS322" s="2399"/>
      <c r="CT322" s="2399"/>
      <c r="CU322" s="2400"/>
      <c r="CV322" s="2300" t="str">
        <f t="shared" si="17"/>
        <v/>
      </c>
      <c r="CW322" s="2300"/>
      <c r="CX322" s="2300"/>
      <c r="CY322" s="2300"/>
      <c r="CZ322" s="2300"/>
      <c r="DA322" s="2300"/>
      <c r="DC322" s="329" t="str">
        <f t="shared" si="18"/>
        <v/>
      </c>
      <c r="DD322" s="197"/>
      <c r="DF322" s="14"/>
      <c r="DG322" s="14"/>
      <c r="DH322" s="14"/>
      <c r="DI322" s="1596"/>
      <c r="DJ322" s="1170" t="s">
        <v>2749</v>
      </c>
      <c r="DK322" s="1604" t="str">
        <f t="shared" si="19"/>
        <v/>
      </c>
      <c r="DL322" s="437" t="str">
        <f t="shared" si="20"/>
        <v/>
      </c>
      <c r="DM322" s="1128">
        <f t="shared" si="21"/>
        <v>0</v>
      </c>
      <c r="DN322" s="22">
        <f t="shared" si="22"/>
        <v>0</v>
      </c>
      <c r="DO322" s="22">
        <f t="shared" si="23"/>
        <v>0</v>
      </c>
      <c r="DP322" s="264">
        <f t="shared" si="24"/>
        <v>0</v>
      </c>
      <c r="DQ322" s="26" t="s">
        <v>722</v>
      </c>
      <c r="DR322" s="1804" t="str">
        <f>IF($U322="",P321,U322)</f>
        <v>有効幅員の確保の状況</v>
      </c>
      <c r="DS322" s="23">
        <f t="shared" si="25"/>
        <v>0</v>
      </c>
      <c r="DT322" s="29" t="str">
        <f t="shared" si="26"/>
        <v/>
      </c>
      <c r="DU322" s="242" t="str">
        <f t="shared" si="82"/>
        <v/>
      </c>
      <c r="DV322" s="57" t="str">
        <f>IF($DT322="要是正",MAX($DV$318:DV321)+1,"")</f>
        <v/>
      </c>
      <c r="DW322" s="273" t="str">
        <f t="shared" si="27"/>
        <v/>
      </c>
      <c r="DX322" s="30" t="str">
        <f t="shared" si="83"/>
        <v/>
      </c>
      <c r="DY322" s="13" t="str">
        <f t="shared" si="28"/>
        <v/>
      </c>
      <c r="DZ322" s="121" t="str">
        <f t="shared" si="29"/>
        <v/>
      </c>
      <c r="EA322" s="256" t="str">
        <f t="shared" si="30"/>
        <v/>
      </c>
      <c r="EB322" s="138" t="str">
        <f t="shared" si="31"/>
        <v/>
      </c>
      <c r="EC322" s="131" t="str">
        <f t="shared" si="84"/>
        <v>0</v>
      </c>
      <c r="ED322" s="54" t="str">
        <f t="shared" si="32"/>
        <v/>
      </c>
      <c r="EE322" s="131" t="str">
        <f t="shared" si="85"/>
        <v>0</v>
      </c>
      <c r="EF322" s="217" t="str">
        <f t="shared" si="33"/>
        <v/>
      </c>
      <c r="EG322" s="108" t="str">
        <f t="shared" si="34"/>
        <v/>
      </c>
      <c r="EH322" s="41" t="str">
        <f t="shared" si="86"/>
        <v>0</v>
      </c>
      <c r="EI322" s="54" t="str">
        <f t="shared" si="35"/>
        <v/>
      </c>
      <c r="EJ322" s="131" t="str">
        <f t="shared" si="87"/>
        <v>0</v>
      </c>
      <c r="EK322" s="217" t="str">
        <f t="shared" si="36"/>
        <v/>
      </c>
      <c r="EL322" s="253" t="e">
        <f t="shared" si="88"/>
        <v>#N/A</v>
      </c>
      <c r="EM322" s="57" t="e">
        <f t="shared" si="37"/>
        <v>#N/A</v>
      </c>
      <c r="EN322" s="243" t="e">
        <f t="shared" si="38"/>
        <v>#N/A</v>
      </c>
      <c r="EO322" s="127">
        <v>5</v>
      </c>
      <c r="EP322" s="23" t="s">
        <v>1060</v>
      </c>
      <c r="EQ322" s="23" t="s">
        <v>1739</v>
      </c>
      <c r="ER322" s="124" t="s">
        <v>1045</v>
      </c>
      <c r="ET322" s="2017">
        <v>4</v>
      </c>
      <c r="EU322" s="23" t="str">
        <f>DM379</f>
        <v/>
      </c>
      <c r="EV322" s="23" t="str">
        <f t="shared" ref="EV322:EX322" si="105">DN379</f>
        <v/>
      </c>
      <c r="EW322" s="23" t="str">
        <f t="shared" si="105"/>
        <v/>
      </c>
      <c r="EX322" s="665" t="str">
        <f t="shared" si="105"/>
        <v/>
      </c>
      <c r="EY322" s="666" t="str">
        <f>EE432</f>
        <v>0</v>
      </c>
      <c r="EZ322" s="140" t="s">
        <v>1620</v>
      </c>
      <c r="FA322" s="353" t="str">
        <f>EF$379</f>
        <v/>
      </c>
      <c r="FB322" s="140" t="s">
        <v>1624</v>
      </c>
      <c r="FC322" s="140" t="s">
        <v>1624</v>
      </c>
      <c r="FD322" s="666" t="str">
        <f>EJ432</f>
        <v>0</v>
      </c>
      <c r="FE322" s="140" t="s">
        <v>1620</v>
      </c>
      <c r="FF322" s="353" t="str">
        <f>EK$379</f>
        <v/>
      </c>
      <c r="FG322" s="140" t="s">
        <v>1624</v>
      </c>
      <c r="FH322" s="140" t="s">
        <v>1624</v>
      </c>
      <c r="FI322" s="20"/>
      <c r="FJ322" s="20"/>
      <c r="FK322" s="326" t="str">
        <f t="shared" si="89"/>
        <v/>
      </c>
      <c r="FL322" s="326" t="str">
        <f t="shared" si="90"/>
        <v/>
      </c>
      <c r="FM322" s="326" t="str">
        <f t="shared" si="91"/>
        <v/>
      </c>
      <c r="FN322" s="326">
        <f t="shared" si="40"/>
        <v>0</v>
      </c>
      <c r="FO322" s="351" t="str">
        <f t="shared" si="41"/>
        <v/>
      </c>
      <c r="FQ322" s="138" t="str">
        <f t="shared" si="42"/>
        <v/>
      </c>
      <c r="FR322" s="131" t="str">
        <f t="shared" si="92"/>
        <v>0</v>
      </c>
      <c r="FS322" s="54" t="str">
        <f t="shared" si="43"/>
        <v/>
      </c>
      <c r="FT322" s="131" t="str">
        <f t="shared" si="93"/>
        <v>0</v>
      </c>
      <c r="FU322" s="217" t="str">
        <f t="shared" si="44"/>
        <v/>
      </c>
      <c r="FW322" s="667">
        <f t="shared" si="45"/>
        <v>0</v>
      </c>
      <c r="FX322" s="32"/>
      <c r="FY322" s="32"/>
      <c r="FZ322" s="668"/>
      <c r="GA322" s="14"/>
      <c r="GB322" s="658">
        <f t="shared" si="46"/>
        <v>0</v>
      </c>
      <c r="GC322" s="658">
        <f t="shared" si="47"/>
        <v>0</v>
      </c>
      <c r="GD322" s="658">
        <f t="shared" si="48"/>
        <v>0</v>
      </c>
      <c r="GE322" s="658" t="str">
        <f t="shared" si="49"/>
        <v/>
      </c>
      <c r="GF322" s="658" t="str">
        <f t="shared" si="50"/>
        <v/>
      </c>
      <c r="GG322" s="658" t="str">
        <f t="shared" si="51"/>
        <v/>
      </c>
      <c r="GH322" s="658" t="str">
        <f t="shared" si="52"/>
        <v/>
      </c>
      <c r="GI322" s="658" t="str">
        <f t="shared" si="53"/>
        <v/>
      </c>
      <c r="GJ322" s="658" t="str">
        <f t="shared" si="54"/>
        <v/>
      </c>
      <c r="GK322" s="658" t="str">
        <f t="shared" si="55"/>
        <v/>
      </c>
      <c r="GL322" s="658" t="str">
        <f t="shared" si="56"/>
        <v/>
      </c>
      <c r="GM322" s="658" t="str">
        <f t="shared" si="57"/>
        <v/>
      </c>
      <c r="GN322" s="658" t="str">
        <f t="shared" si="58"/>
        <v/>
      </c>
      <c r="GO322" s="658" t="str">
        <f t="shared" si="59"/>
        <v/>
      </c>
      <c r="GP322" s="658" t="str">
        <f t="shared" si="60"/>
        <v/>
      </c>
      <c r="GQ322" s="658" t="str">
        <f t="shared" si="61"/>
        <v/>
      </c>
      <c r="GR322" s="658" t="str">
        <f t="shared" si="62"/>
        <v/>
      </c>
      <c r="GS322" s="658" t="str">
        <f t="shared" si="63"/>
        <v/>
      </c>
      <c r="GT322" s="658">
        <f t="shared" si="94"/>
        <v>0</v>
      </c>
      <c r="GU322" s="658">
        <f t="shared" si="95"/>
        <v>0</v>
      </c>
      <c r="GV322" s="658">
        <f t="shared" si="96"/>
        <v>0</v>
      </c>
      <c r="GW322" s="658" t="b">
        <f t="shared" si="97"/>
        <v>0</v>
      </c>
      <c r="GX322" s="658" t="b">
        <f t="shared" si="98"/>
        <v>0</v>
      </c>
      <c r="GY322" s="658" t="b">
        <f t="shared" si="99"/>
        <v>0</v>
      </c>
      <c r="GZ322" s="658" t="str">
        <f t="shared" si="100"/>
        <v/>
      </c>
      <c r="HB322" s="658" t="str">
        <f t="shared" si="101"/>
        <v/>
      </c>
      <c r="HC322" s="658" t="str">
        <f t="shared" si="65"/>
        <v/>
      </c>
      <c r="HD322" s="658" t="str">
        <f t="shared" si="66"/>
        <v/>
      </c>
      <c r="HE322" s="658" t="str">
        <f t="shared" si="67"/>
        <v/>
      </c>
      <c r="HF322" s="658" t="str">
        <f t="shared" si="68"/>
        <v/>
      </c>
      <c r="HG322" s="658" t="str">
        <f t="shared" si="69"/>
        <v/>
      </c>
      <c r="HH322" s="658" t="str">
        <f t="shared" si="70"/>
        <v/>
      </c>
      <c r="HI322" s="658" t="str">
        <f t="shared" si="71"/>
        <v/>
      </c>
      <c r="HJ322" s="658" t="str">
        <f t="shared" si="72"/>
        <v/>
      </c>
      <c r="HK322" s="658" t="str">
        <f t="shared" si="73"/>
        <v/>
      </c>
      <c r="HL322" s="658" t="str">
        <f t="shared" si="74"/>
        <v/>
      </c>
      <c r="HM322" s="658" t="str">
        <f t="shared" si="75"/>
        <v/>
      </c>
      <c r="HN322" s="658" t="str">
        <f t="shared" si="76"/>
        <v/>
      </c>
      <c r="HO322" s="658" t="str">
        <f t="shared" si="77"/>
        <v/>
      </c>
      <c r="HP322" s="658" t="str">
        <f t="shared" si="78"/>
        <v/>
      </c>
      <c r="HQ322" s="658" t="str">
        <f t="shared" si="79"/>
        <v/>
      </c>
      <c r="HR322" s="658" t="str">
        <f t="shared" si="102"/>
        <v/>
      </c>
      <c r="HT322" s="658">
        <f>LEFT(M322,1)*10000+MID(M322,3,LEN(M322)-3)*100+COUNTIF($M$319:M322,M322)</f>
        <v>10401</v>
      </c>
      <c r="HU322" s="658" t="str">
        <f t="shared" si="103"/>
        <v/>
      </c>
      <c r="HV322" s="658" t="str">
        <f t="shared" si="80"/>
        <v/>
      </c>
      <c r="HW322" s="658" t="str">
        <f t="shared" si="104"/>
        <v/>
      </c>
      <c r="HX322" s="658" t="str">
        <f t="shared" si="81"/>
        <v/>
      </c>
    </row>
    <row r="323" spans="1:232" s="19" customFormat="1" ht="50.1" customHeight="1" x14ac:dyDescent="0.15">
      <c r="A323" s="1201"/>
      <c r="B323" s="1201"/>
      <c r="C323" s="1201"/>
      <c r="D323" s="1201"/>
      <c r="E323" s="1202"/>
      <c r="F323" s="652"/>
      <c r="G323" s="652"/>
      <c r="H323" s="652"/>
      <c r="I323" s="1354"/>
      <c r="J323" s="1234"/>
      <c r="K323" s="1261"/>
      <c r="L323" s="1261"/>
      <c r="M323" s="2495" t="s">
        <v>1120</v>
      </c>
      <c r="N323" s="2495"/>
      <c r="O323" s="2495"/>
      <c r="P323" s="2504"/>
      <c r="Q323" s="2504"/>
      <c r="R323" s="2504"/>
      <c r="S323" s="2504"/>
      <c r="T323" s="2504"/>
      <c r="U323" s="2437" t="s">
        <v>42</v>
      </c>
      <c r="V323" s="2437"/>
      <c r="W323" s="2437"/>
      <c r="X323" s="2437"/>
      <c r="Y323" s="2437"/>
      <c r="Z323" s="2437"/>
      <c r="AA323" s="2437"/>
      <c r="AB323" s="2437"/>
      <c r="AC323" s="2437"/>
      <c r="AD323" s="2437"/>
      <c r="AE323" s="2437"/>
      <c r="AF323" s="2468"/>
      <c r="AG323" s="2469"/>
      <c r="AH323" s="2469"/>
      <c r="AI323" s="2469"/>
      <c r="AJ323" s="2469"/>
      <c r="AK323" s="2469"/>
      <c r="AL323" s="2469"/>
      <c r="AM323" s="2469"/>
      <c r="AN323" s="2469"/>
      <c r="AO323" s="2469"/>
      <c r="AP323" s="2469"/>
      <c r="AQ323" s="2470"/>
      <c r="AR323" s="2152"/>
      <c r="AS323" s="2152"/>
      <c r="AT323" s="2432"/>
      <c r="AU323" s="2432"/>
      <c r="AV323" s="2432"/>
      <c r="AW323" s="2432"/>
      <c r="AX323" s="2432"/>
      <c r="AY323" s="2432"/>
      <c r="AZ323" s="2432"/>
      <c r="BA323" s="2432"/>
      <c r="BB323" s="2432"/>
      <c r="BC323" s="2432"/>
      <c r="BD323" s="2432"/>
      <c r="BE323" s="2432"/>
      <c r="BF323" s="2432"/>
      <c r="BG323" s="2432"/>
      <c r="BH323" s="2432"/>
      <c r="BI323" s="2432"/>
      <c r="BJ323" s="2432"/>
      <c r="BK323" s="2432"/>
      <c r="BL323" s="2432"/>
      <c r="BM323" s="2432"/>
      <c r="BN323" s="2432"/>
      <c r="BO323" s="2432"/>
      <c r="BP323" s="2432"/>
      <c r="BQ323" s="2432"/>
      <c r="BR323" s="2432"/>
      <c r="BS323" s="2270"/>
      <c r="BT323" s="2270"/>
      <c r="BU323" s="2270"/>
      <c r="BV323" s="2270"/>
      <c r="BW323" s="2270"/>
      <c r="BX323" s="2270"/>
      <c r="BY323" s="2270"/>
      <c r="BZ323" s="2152"/>
      <c r="CA323" s="2152"/>
      <c r="CB323" s="2736"/>
      <c r="CC323" s="2737"/>
      <c r="CD323" s="2737"/>
      <c r="CE323" s="2737"/>
      <c r="CF323" s="2737"/>
      <c r="CG323" s="2737"/>
      <c r="CH323" s="2737"/>
      <c r="CI323" s="2737"/>
      <c r="CJ323" s="2737"/>
      <c r="CK323" s="2737"/>
      <c r="CL323" s="2737"/>
      <c r="CM323" s="2737"/>
      <c r="CN323" s="2737"/>
      <c r="CO323" s="2737"/>
      <c r="CP323" s="2737"/>
      <c r="CQ323" s="2737"/>
      <c r="CR323" s="2737"/>
      <c r="CS323" s="2737"/>
      <c r="CT323" s="2737"/>
      <c r="CU323" s="2738"/>
      <c r="CV323" s="2300" t="str">
        <f t="shared" si="17"/>
        <v/>
      </c>
      <c r="CW323" s="2300"/>
      <c r="CX323" s="2300"/>
      <c r="CY323" s="2300"/>
      <c r="CZ323" s="2300"/>
      <c r="DA323" s="2300"/>
      <c r="DC323" s="329" t="str">
        <f t="shared" si="18"/>
        <v/>
      </c>
      <c r="DD323" s="197"/>
      <c r="DF323" s="14"/>
      <c r="DG323" s="14"/>
      <c r="DH323" s="14"/>
      <c r="DI323" s="1596"/>
      <c r="DJ323" s="1170" t="s">
        <v>2749</v>
      </c>
      <c r="DK323" s="1604" t="str">
        <f t="shared" si="19"/>
        <v/>
      </c>
      <c r="DL323" s="437" t="str">
        <f t="shared" si="20"/>
        <v/>
      </c>
      <c r="DM323" s="1128">
        <f t="shared" si="21"/>
        <v>0</v>
      </c>
      <c r="DN323" s="22">
        <f t="shared" si="22"/>
        <v>0</v>
      </c>
      <c r="DO323" s="22">
        <f t="shared" si="23"/>
        <v>0</v>
      </c>
      <c r="DP323" s="264">
        <f t="shared" si="24"/>
        <v>0</v>
      </c>
      <c r="DQ323" s="26" t="s">
        <v>723</v>
      </c>
      <c r="DR323" s="1804" t="str">
        <f>IF($U323="",P321,U323)</f>
        <v>敷地内の通路の支障物の状況</v>
      </c>
      <c r="DS323" s="23">
        <f t="shared" si="25"/>
        <v>0</v>
      </c>
      <c r="DT323" s="29" t="str">
        <f t="shared" si="26"/>
        <v/>
      </c>
      <c r="DU323" s="242" t="str">
        <f t="shared" si="82"/>
        <v/>
      </c>
      <c r="DV323" s="57" t="str">
        <f>IF($DT323="要是正",MAX($DV$318:DV322)+1,"")</f>
        <v/>
      </c>
      <c r="DW323" s="273" t="str">
        <f t="shared" si="27"/>
        <v/>
      </c>
      <c r="DX323" s="30" t="str">
        <f t="shared" si="83"/>
        <v/>
      </c>
      <c r="DY323" s="13" t="str">
        <f t="shared" si="28"/>
        <v/>
      </c>
      <c r="DZ323" s="121" t="str">
        <f t="shared" si="29"/>
        <v/>
      </c>
      <c r="EA323" s="256" t="str">
        <f t="shared" si="30"/>
        <v/>
      </c>
      <c r="EB323" s="138" t="str">
        <f t="shared" si="31"/>
        <v/>
      </c>
      <c r="EC323" s="131" t="str">
        <f t="shared" si="84"/>
        <v>0</v>
      </c>
      <c r="ED323" s="54" t="str">
        <f t="shared" si="32"/>
        <v/>
      </c>
      <c r="EE323" s="131" t="str">
        <f t="shared" si="85"/>
        <v>0</v>
      </c>
      <c r="EF323" s="217" t="str">
        <f t="shared" si="33"/>
        <v/>
      </c>
      <c r="EG323" s="108" t="str">
        <f t="shared" si="34"/>
        <v/>
      </c>
      <c r="EH323" s="41" t="str">
        <f t="shared" si="86"/>
        <v>0</v>
      </c>
      <c r="EI323" s="54" t="str">
        <f t="shared" si="35"/>
        <v/>
      </c>
      <c r="EJ323" s="131" t="str">
        <f t="shared" si="87"/>
        <v>0</v>
      </c>
      <c r="EK323" s="217" t="str">
        <f t="shared" si="36"/>
        <v/>
      </c>
      <c r="EL323" s="253" t="e">
        <f t="shared" si="88"/>
        <v>#N/A</v>
      </c>
      <c r="EM323" s="57" t="e">
        <f t="shared" si="37"/>
        <v>#N/A</v>
      </c>
      <c r="EN323" s="243" t="e">
        <f t="shared" si="38"/>
        <v>#N/A</v>
      </c>
      <c r="EO323" s="128">
        <v>6</v>
      </c>
      <c r="EP323" s="23" t="s">
        <v>1060</v>
      </c>
      <c r="EQ323" s="23" t="s">
        <v>1028</v>
      </c>
      <c r="ER323" s="124" t="s">
        <v>1046</v>
      </c>
      <c r="ET323" s="2017">
        <v>5</v>
      </c>
      <c r="EU323" s="23" t="str">
        <f>DM433</f>
        <v/>
      </c>
      <c r="EV323" s="23" t="str">
        <f t="shared" ref="EV323:EX323" si="106">DN433</f>
        <v/>
      </c>
      <c r="EW323" s="23" t="str">
        <f t="shared" si="106"/>
        <v/>
      </c>
      <c r="EX323" s="665" t="str">
        <f t="shared" si="106"/>
        <v/>
      </c>
      <c r="EY323" s="666" t="str">
        <f>EE474</f>
        <v>0</v>
      </c>
      <c r="EZ323" s="140" t="s">
        <v>1620</v>
      </c>
      <c r="FA323" s="353" t="str">
        <f>EF$433</f>
        <v/>
      </c>
      <c r="FB323" s="140" t="s">
        <v>1624</v>
      </c>
      <c r="FC323" s="140" t="s">
        <v>1624</v>
      </c>
      <c r="FD323" s="666" t="str">
        <f>EJ474</f>
        <v>0</v>
      </c>
      <c r="FE323" s="140" t="s">
        <v>1620</v>
      </c>
      <c r="FF323" s="353" t="str">
        <f>EK$433</f>
        <v/>
      </c>
      <c r="FG323" s="140" t="s">
        <v>1624</v>
      </c>
      <c r="FH323" s="140" t="s">
        <v>1624</v>
      </c>
      <c r="FI323" s="20"/>
      <c r="FJ323" s="20"/>
      <c r="FK323" s="326" t="str">
        <f t="shared" si="89"/>
        <v/>
      </c>
      <c r="FL323" s="326" t="str">
        <f t="shared" si="90"/>
        <v/>
      </c>
      <c r="FM323" s="326" t="str">
        <f t="shared" si="91"/>
        <v/>
      </c>
      <c r="FN323" s="326">
        <f t="shared" si="40"/>
        <v>0</v>
      </c>
      <c r="FO323" s="351" t="str">
        <f t="shared" si="41"/>
        <v/>
      </c>
      <c r="FQ323" s="138" t="str">
        <f t="shared" si="42"/>
        <v/>
      </c>
      <c r="FR323" s="131" t="str">
        <f t="shared" si="92"/>
        <v>0</v>
      </c>
      <c r="FS323" s="54" t="str">
        <f t="shared" si="43"/>
        <v/>
      </c>
      <c r="FT323" s="131" t="str">
        <f t="shared" si="93"/>
        <v>0</v>
      </c>
      <c r="FU323" s="217" t="str">
        <f t="shared" si="44"/>
        <v/>
      </c>
      <c r="FW323" s="667">
        <f t="shared" si="45"/>
        <v>0</v>
      </c>
      <c r="FX323" s="32"/>
      <c r="FY323" s="32"/>
      <c r="FZ323" s="668"/>
      <c r="GA323" s="14"/>
      <c r="GB323" s="658">
        <f t="shared" si="46"/>
        <v>0</v>
      </c>
      <c r="GC323" s="658">
        <f t="shared" si="47"/>
        <v>0</v>
      </c>
      <c r="GD323" s="658">
        <f t="shared" si="48"/>
        <v>0</v>
      </c>
      <c r="GE323" s="658" t="str">
        <f t="shared" si="49"/>
        <v/>
      </c>
      <c r="GF323" s="658" t="str">
        <f t="shared" si="50"/>
        <v/>
      </c>
      <c r="GG323" s="658" t="str">
        <f t="shared" si="51"/>
        <v/>
      </c>
      <c r="GH323" s="658" t="str">
        <f t="shared" si="52"/>
        <v/>
      </c>
      <c r="GI323" s="658" t="str">
        <f t="shared" si="53"/>
        <v/>
      </c>
      <c r="GJ323" s="658" t="str">
        <f t="shared" si="54"/>
        <v/>
      </c>
      <c r="GK323" s="658" t="str">
        <f t="shared" si="55"/>
        <v/>
      </c>
      <c r="GL323" s="658" t="str">
        <f t="shared" si="56"/>
        <v/>
      </c>
      <c r="GM323" s="658" t="str">
        <f t="shared" si="57"/>
        <v/>
      </c>
      <c r="GN323" s="658" t="str">
        <f t="shared" si="58"/>
        <v/>
      </c>
      <c r="GO323" s="658" t="str">
        <f t="shared" si="59"/>
        <v/>
      </c>
      <c r="GP323" s="658" t="str">
        <f t="shared" si="60"/>
        <v/>
      </c>
      <c r="GQ323" s="658" t="str">
        <f t="shared" si="61"/>
        <v/>
      </c>
      <c r="GR323" s="658" t="str">
        <f t="shared" si="62"/>
        <v/>
      </c>
      <c r="GS323" s="658" t="str">
        <f t="shared" si="63"/>
        <v/>
      </c>
      <c r="GT323" s="658">
        <f t="shared" si="94"/>
        <v>0</v>
      </c>
      <c r="GU323" s="658">
        <f t="shared" si="95"/>
        <v>0</v>
      </c>
      <c r="GV323" s="658">
        <f t="shared" si="96"/>
        <v>0</v>
      </c>
      <c r="GW323" s="658" t="b">
        <f t="shared" si="97"/>
        <v>0</v>
      </c>
      <c r="GX323" s="658" t="b">
        <f t="shared" si="98"/>
        <v>0</v>
      </c>
      <c r="GY323" s="658" t="b">
        <f t="shared" si="99"/>
        <v>0</v>
      </c>
      <c r="GZ323" s="658" t="str">
        <f t="shared" si="100"/>
        <v/>
      </c>
      <c r="HB323" s="658" t="str">
        <f t="shared" si="101"/>
        <v/>
      </c>
      <c r="HC323" s="658" t="str">
        <f t="shared" si="65"/>
        <v/>
      </c>
      <c r="HD323" s="658" t="str">
        <f t="shared" si="66"/>
        <v/>
      </c>
      <c r="HE323" s="658" t="str">
        <f t="shared" si="67"/>
        <v/>
      </c>
      <c r="HF323" s="658" t="str">
        <f t="shared" si="68"/>
        <v/>
      </c>
      <c r="HG323" s="658" t="str">
        <f t="shared" si="69"/>
        <v/>
      </c>
      <c r="HH323" s="658" t="str">
        <f t="shared" si="70"/>
        <v/>
      </c>
      <c r="HI323" s="658" t="str">
        <f t="shared" si="71"/>
        <v/>
      </c>
      <c r="HJ323" s="658" t="str">
        <f t="shared" si="72"/>
        <v/>
      </c>
      <c r="HK323" s="658" t="str">
        <f t="shared" si="73"/>
        <v/>
      </c>
      <c r="HL323" s="658" t="str">
        <f t="shared" si="74"/>
        <v/>
      </c>
      <c r="HM323" s="658" t="str">
        <f t="shared" si="75"/>
        <v/>
      </c>
      <c r="HN323" s="658" t="str">
        <f t="shared" si="76"/>
        <v/>
      </c>
      <c r="HO323" s="658" t="str">
        <f t="shared" si="77"/>
        <v/>
      </c>
      <c r="HP323" s="658" t="str">
        <f t="shared" si="78"/>
        <v/>
      </c>
      <c r="HQ323" s="658" t="str">
        <f t="shared" si="79"/>
        <v/>
      </c>
      <c r="HR323" s="658" t="str">
        <f t="shared" si="102"/>
        <v/>
      </c>
      <c r="HT323" s="658">
        <f>LEFT(M323,1)*10000+MID(M323,3,LEN(M323)-3)*100+COUNTIF($M$319:M323,M323)</f>
        <v>10501</v>
      </c>
      <c r="HU323" s="658" t="str">
        <f t="shared" si="103"/>
        <v/>
      </c>
      <c r="HV323" s="658" t="str">
        <f t="shared" si="80"/>
        <v/>
      </c>
      <c r="HW323" s="658" t="str">
        <f t="shared" si="104"/>
        <v/>
      </c>
      <c r="HX323" s="658" t="str">
        <f t="shared" si="81"/>
        <v/>
      </c>
    </row>
    <row r="324" spans="1:232" s="19" customFormat="1" ht="50.1" customHeight="1" x14ac:dyDescent="0.15">
      <c r="A324" s="1201"/>
      <c r="B324" s="1201"/>
      <c r="C324" s="1201"/>
      <c r="D324" s="1201"/>
      <c r="E324" s="1202"/>
      <c r="F324" s="652"/>
      <c r="G324" s="652"/>
      <c r="H324" s="652"/>
      <c r="I324" s="1354"/>
      <c r="J324" s="1234"/>
      <c r="K324" s="1261"/>
      <c r="L324" s="1261"/>
      <c r="M324" s="2495" t="s">
        <v>1121</v>
      </c>
      <c r="N324" s="2495"/>
      <c r="O324" s="2495"/>
      <c r="P324" s="2503" t="s">
        <v>44</v>
      </c>
      <c r="Q324" s="2504"/>
      <c r="R324" s="2504"/>
      <c r="S324" s="2504"/>
      <c r="T324" s="2504"/>
      <c r="U324" s="2436" t="s">
        <v>329</v>
      </c>
      <c r="V324" s="2436"/>
      <c r="W324" s="2436"/>
      <c r="X324" s="2436"/>
      <c r="Y324" s="2436"/>
      <c r="Z324" s="2436"/>
      <c r="AA324" s="2436"/>
      <c r="AB324" s="2436"/>
      <c r="AC324" s="2436"/>
      <c r="AD324" s="2436"/>
      <c r="AE324" s="2436"/>
      <c r="AF324" s="2465"/>
      <c r="AG324" s="2466"/>
      <c r="AH324" s="2466"/>
      <c r="AI324" s="2466"/>
      <c r="AJ324" s="2466"/>
      <c r="AK324" s="2466"/>
      <c r="AL324" s="2466"/>
      <c r="AM324" s="2466"/>
      <c r="AN324" s="2466"/>
      <c r="AO324" s="2466"/>
      <c r="AP324" s="2466"/>
      <c r="AQ324" s="2467"/>
      <c r="AR324" s="2272"/>
      <c r="AS324" s="2272"/>
      <c r="AT324" s="2406"/>
      <c r="AU324" s="2406"/>
      <c r="AV324" s="2406"/>
      <c r="AW324" s="2406"/>
      <c r="AX324" s="2406"/>
      <c r="AY324" s="2406"/>
      <c r="AZ324" s="2406"/>
      <c r="BA324" s="2406"/>
      <c r="BB324" s="2406"/>
      <c r="BC324" s="2406"/>
      <c r="BD324" s="2406"/>
      <c r="BE324" s="2406"/>
      <c r="BF324" s="2406"/>
      <c r="BG324" s="2406"/>
      <c r="BH324" s="2406"/>
      <c r="BI324" s="2406"/>
      <c r="BJ324" s="2406"/>
      <c r="BK324" s="2406"/>
      <c r="BL324" s="2406"/>
      <c r="BM324" s="2406"/>
      <c r="BN324" s="2406"/>
      <c r="BO324" s="2406"/>
      <c r="BP324" s="2406"/>
      <c r="BQ324" s="2406"/>
      <c r="BR324" s="2406"/>
      <c r="BS324" s="2271"/>
      <c r="BT324" s="2271"/>
      <c r="BU324" s="2271"/>
      <c r="BV324" s="2271"/>
      <c r="BW324" s="2271"/>
      <c r="BX324" s="2271"/>
      <c r="BY324" s="2271"/>
      <c r="BZ324" s="2272"/>
      <c r="CA324" s="2272"/>
      <c r="CB324" s="2407"/>
      <c r="CC324" s="2408"/>
      <c r="CD324" s="2408"/>
      <c r="CE324" s="2408"/>
      <c r="CF324" s="2408"/>
      <c r="CG324" s="2408"/>
      <c r="CH324" s="2408"/>
      <c r="CI324" s="2408"/>
      <c r="CJ324" s="2408"/>
      <c r="CK324" s="2408"/>
      <c r="CL324" s="2408"/>
      <c r="CM324" s="2408"/>
      <c r="CN324" s="2408"/>
      <c r="CO324" s="2408"/>
      <c r="CP324" s="2408"/>
      <c r="CQ324" s="2408"/>
      <c r="CR324" s="2408"/>
      <c r="CS324" s="2408"/>
      <c r="CT324" s="2408"/>
      <c r="CU324" s="2409"/>
      <c r="CV324" s="2300" t="str">
        <f t="shared" si="17"/>
        <v/>
      </c>
      <c r="CW324" s="2300"/>
      <c r="CX324" s="2300"/>
      <c r="CY324" s="2300"/>
      <c r="CZ324" s="2300"/>
      <c r="DA324" s="2300"/>
      <c r="DC324" s="329" t="str">
        <f t="shared" si="18"/>
        <v/>
      </c>
      <c r="DD324" s="197"/>
      <c r="DF324" s="14"/>
      <c r="DG324" s="14"/>
      <c r="DH324" s="14"/>
      <c r="DI324" s="1596"/>
      <c r="DJ324" s="1170" t="s">
        <v>2749</v>
      </c>
      <c r="DK324" s="1604" t="str">
        <f t="shared" si="19"/>
        <v/>
      </c>
      <c r="DL324" s="437" t="str">
        <f t="shared" si="20"/>
        <v/>
      </c>
      <c r="DM324" s="1128">
        <f t="shared" si="21"/>
        <v>0</v>
      </c>
      <c r="DN324" s="22">
        <f t="shared" si="22"/>
        <v>0</v>
      </c>
      <c r="DO324" s="22">
        <f t="shared" si="23"/>
        <v>0</v>
      </c>
      <c r="DP324" s="264">
        <f t="shared" si="24"/>
        <v>0</v>
      </c>
      <c r="DQ324" s="26" t="s">
        <v>724</v>
      </c>
      <c r="DR324" s="1804" t="str">
        <f>IF($U324="",P324,U324)</f>
        <v xml:space="preserve">組積造の塀又は補強コンクリートブロック造の塀等の耐震対策の状況
</v>
      </c>
      <c r="DS324" s="23">
        <f t="shared" si="25"/>
        <v>0</v>
      </c>
      <c r="DT324" s="29" t="str">
        <f t="shared" si="26"/>
        <v/>
      </c>
      <c r="DU324" s="242" t="str">
        <f t="shared" si="82"/>
        <v/>
      </c>
      <c r="DV324" s="57" t="str">
        <f>IF($DT324="要是正",MAX($DV$318:DV323)+1,"")</f>
        <v/>
      </c>
      <c r="DW324" s="273" t="str">
        <f t="shared" si="27"/>
        <v/>
      </c>
      <c r="DX324" s="30" t="str">
        <f t="shared" si="83"/>
        <v/>
      </c>
      <c r="DY324" s="13" t="str">
        <f t="shared" si="28"/>
        <v/>
      </c>
      <c r="DZ324" s="121" t="str">
        <f t="shared" si="29"/>
        <v/>
      </c>
      <c r="EA324" s="256" t="str">
        <f t="shared" si="30"/>
        <v/>
      </c>
      <c r="EB324" s="138" t="str">
        <f t="shared" si="31"/>
        <v/>
      </c>
      <c r="EC324" s="131" t="str">
        <f t="shared" si="84"/>
        <v>0</v>
      </c>
      <c r="ED324" s="54" t="str">
        <f t="shared" si="32"/>
        <v/>
      </c>
      <c r="EE324" s="131" t="str">
        <f t="shared" si="85"/>
        <v>0</v>
      </c>
      <c r="EF324" s="217" t="str">
        <f t="shared" si="33"/>
        <v/>
      </c>
      <c r="EG324" s="108" t="str">
        <f t="shared" si="34"/>
        <v/>
      </c>
      <c r="EH324" s="41" t="str">
        <f t="shared" si="86"/>
        <v>0</v>
      </c>
      <c r="EI324" s="54" t="str">
        <f t="shared" si="35"/>
        <v/>
      </c>
      <c r="EJ324" s="131" t="str">
        <f t="shared" si="87"/>
        <v>0</v>
      </c>
      <c r="EK324" s="217" t="str">
        <f t="shared" si="36"/>
        <v/>
      </c>
      <c r="EL324" s="253" t="e">
        <f t="shared" si="88"/>
        <v>#N/A</v>
      </c>
      <c r="EM324" s="57" t="e">
        <f t="shared" si="37"/>
        <v>#N/A</v>
      </c>
      <c r="EN324" s="243" t="e">
        <f t="shared" si="38"/>
        <v>#N/A</v>
      </c>
      <c r="EO324" s="127">
        <v>7</v>
      </c>
      <c r="EP324" s="23" t="s">
        <v>1060</v>
      </c>
      <c r="EQ324" s="23" t="s">
        <v>1029</v>
      </c>
      <c r="ER324" s="124" t="s">
        <v>1047</v>
      </c>
      <c r="ET324" s="2017">
        <v>6</v>
      </c>
      <c r="EU324" s="23" t="str">
        <f>DM475</f>
        <v/>
      </c>
      <c r="EV324" s="23" t="str">
        <f>DN475</f>
        <v/>
      </c>
      <c r="EW324" s="23" t="str">
        <f>DO475</f>
        <v/>
      </c>
      <c r="EX324" s="665" t="str">
        <f>DP475</f>
        <v/>
      </c>
      <c r="EY324" s="666" t="str">
        <f>EE492</f>
        <v>0</v>
      </c>
      <c r="EZ324" s="140" t="s">
        <v>1620</v>
      </c>
      <c r="FA324" s="353" t="str">
        <f>EF$475</f>
        <v/>
      </c>
      <c r="FB324" s="140" t="s">
        <v>1624</v>
      </c>
      <c r="FC324" s="140" t="s">
        <v>1624</v>
      </c>
      <c r="FD324" s="666" t="str">
        <f>EJ492</f>
        <v>0</v>
      </c>
      <c r="FE324" s="140" t="s">
        <v>1620</v>
      </c>
      <c r="FF324" s="353" t="str">
        <f>EK$475</f>
        <v/>
      </c>
      <c r="FG324" s="140" t="s">
        <v>1624</v>
      </c>
      <c r="FH324" s="140" t="s">
        <v>1624</v>
      </c>
      <c r="FI324" s="20"/>
      <c r="FJ324" s="20"/>
      <c r="FK324" s="326" t="str">
        <f t="shared" si="89"/>
        <v/>
      </c>
      <c r="FL324" s="326" t="str">
        <f t="shared" si="90"/>
        <v/>
      </c>
      <c r="FM324" s="326" t="str">
        <f t="shared" si="91"/>
        <v/>
      </c>
      <c r="FN324" s="326">
        <f t="shared" si="40"/>
        <v>0</v>
      </c>
      <c r="FO324" s="351" t="str">
        <f t="shared" si="41"/>
        <v/>
      </c>
      <c r="FQ324" s="138" t="str">
        <f t="shared" si="42"/>
        <v/>
      </c>
      <c r="FR324" s="131" t="str">
        <f t="shared" si="92"/>
        <v>0</v>
      </c>
      <c r="FS324" s="54" t="str">
        <f t="shared" si="43"/>
        <v/>
      </c>
      <c r="FT324" s="131" t="str">
        <f t="shared" si="93"/>
        <v>0</v>
      </c>
      <c r="FU324" s="217" t="str">
        <f t="shared" si="44"/>
        <v/>
      </c>
      <c r="FW324" s="667">
        <f t="shared" si="45"/>
        <v>0</v>
      </c>
      <c r="FX324" s="32"/>
      <c r="FY324" s="32"/>
      <c r="FZ324" s="668"/>
      <c r="GA324" s="14"/>
      <c r="GB324" s="658">
        <f t="shared" si="46"/>
        <v>0</v>
      </c>
      <c r="GC324" s="658">
        <f t="shared" si="47"/>
        <v>0</v>
      </c>
      <c r="GD324" s="658">
        <f t="shared" si="48"/>
        <v>0</v>
      </c>
      <c r="GE324" s="658" t="str">
        <f t="shared" si="49"/>
        <v/>
      </c>
      <c r="GF324" s="658" t="str">
        <f t="shared" si="50"/>
        <v/>
      </c>
      <c r="GG324" s="658" t="str">
        <f t="shared" si="51"/>
        <v/>
      </c>
      <c r="GH324" s="658" t="str">
        <f t="shared" si="52"/>
        <v/>
      </c>
      <c r="GI324" s="658" t="str">
        <f t="shared" si="53"/>
        <v/>
      </c>
      <c r="GJ324" s="658" t="str">
        <f t="shared" si="54"/>
        <v/>
      </c>
      <c r="GK324" s="658" t="str">
        <f t="shared" si="55"/>
        <v/>
      </c>
      <c r="GL324" s="658" t="str">
        <f t="shared" si="56"/>
        <v/>
      </c>
      <c r="GM324" s="658" t="str">
        <f t="shared" si="57"/>
        <v/>
      </c>
      <c r="GN324" s="658" t="str">
        <f t="shared" si="58"/>
        <v/>
      </c>
      <c r="GO324" s="658" t="str">
        <f t="shared" si="59"/>
        <v/>
      </c>
      <c r="GP324" s="658" t="str">
        <f t="shared" si="60"/>
        <v/>
      </c>
      <c r="GQ324" s="658" t="str">
        <f t="shared" si="61"/>
        <v/>
      </c>
      <c r="GR324" s="658" t="str">
        <f t="shared" si="62"/>
        <v/>
      </c>
      <c r="GS324" s="658" t="str">
        <f t="shared" si="63"/>
        <v/>
      </c>
      <c r="GT324" s="658">
        <f t="shared" si="94"/>
        <v>0</v>
      </c>
      <c r="GU324" s="658">
        <f t="shared" si="95"/>
        <v>0</v>
      </c>
      <c r="GV324" s="658">
        <f t="shared" si="96"/>
        <v>0</v>
      </c>
      <c r="GW324" s="658" t="b">
        <f t="shared" si="97"/>
        <v>0</v>
      </c>
      <c r="GX324" s="658" t="b">
        <f t="shared" si="98"/>
        <v>0</v>
      </c>
      <c r="GY324" s="658" t="b">
        <f t="shared" si="99"/>
        <v>0</v>
      </c>
      <c r="GZ324" s="658" t="str">
        <f t="shared" si="100"/>
        <v/>
      </c>
      <c r="HB324" s="658" t="str">
        <f t="shared" si="101"/>
        <v/>
      </c>
      <c r="HC324" s="658" t="str">
        <f t="shared" si="65"/>
        <v/>
      </c>
      <c r="HD324" s="658" t="str">
        <f t="shared" si="66"/>
        <v/>
      </c>
      <c r="HE324" s="658" t="str">
        <f t="shared" si="67"/>
        <v/>
      </c>
      <c r="HF324" s="658" t="str">
        <f t="shared" si="68"/>
        <v/>
      </c>
      <c r="HG324" s="658" t="str">
        <f t="shared" si="69"/>
        <v/>
      </c>
      <c r="HH324" s="658" t="str">
        <f t="shared" si="70"/>
        <v/>
      </c>
      <c r="HI324" s="658" t="str">
        <f t="shared" si="71"/>
        <v/>
      </c>
      <c r="HJ324" s="658" t="str">
        <f t="shared" si="72"/>
        <v/>
      </c>
      <c r="HK324" s="658" t="str">
        <f t="shared" si="73"/>
        <v/>
      </c>
      <c r="HL324" s="658" t="str">
        <f t="shared" si="74"/>
        <v/>
      </c>
      <c r="HM324" s="658" t="str">
        <f t="shared" si="75"/>
        <v/>
      </c>
      <c r="HN324" s="658" t="str">
        <f t="shared" si="76"/>
        <v/>
      </c>
      <c r="HO324" s="658" t="str">
        <f t="shared" si="77"/>
        <v/>
      </c>
      <c r="HP324" s="658" t="str">
        <f t="shared" si="78"/>
        <v/>
      </c>
      <c r="HQ324" s="658" t="str">
        <f t="shared" si="79"/>
        <v/>
      </c>
      <c r="HR324" s="658" t="str">
        <f t="shared" si="102"/>
        <v/>
      </c>
      <c r="HT324" s="658">
        <f>LEFT(M324,1)*10000+MID(M324,3,LEN(M324)-3)*100+COUNTIF($M$319:M324,M324)</f>
        <v>10601</v>
      </c>
      <c r="HU324" s="658" t="str">
        <f t="shared" si="103"/>
        <v/>
      </c>
      <c r="HV324" s="658" t="str">
        <f t="shared" si="80"/>
        <v/>
      </c>
      <c r="HW324" s="658" t="str">
        <f t="shared" si="104"/>
        <v/>
      </c>
      <c r="HX324" s="658" t="str">
        <f t="shared" si="81"/>
        <v/>
      </c>
    </row>
    <row r="325" spans="1:232" s="19" customFormat="1" ht="50.1" customHeight="1" x14ac:dyDescent="0.15">
      <c r="A325" s="1201"/>
      <c r="B325" s="1201"/>
      <c r="C325" s="1201"/>
      <c r="D325" s="1201"/>
      <c r="E325" s="1202"/>
      <c r="F325" s="652"/>
      <c r="G325" s="652"/>
      <c r="H325" s="652"/>
      <c r="I325" s="1354"/>
      <c r="J325" s="1234"/>
      <c r="K325" s="1261"/>
      <c r="L325" s="1261"/>
      <c r="M325" s="2495" t="s">
        <v>1122</v>
      </c>
      <c r="N325" s="2495"/>
      <c r="O325" s="2495"/>
      <c r="P325" s="2504"/>
      <c r="Q325" s="2504"/>
      <c r="R325" s="2504"/>
      <c r="S325" s="2504"/>
      <c r="T325" s="2504"/>
      <c r="U325" s="2437" t="s">
        <v>45</v>
      </c>
      <c r="V325" s="2437"/>
      <c r="W325" s="2437"/>
      <c r="X325" s="2437"/>
      <c r="Y325" s="2437"/>
      <c r="Z325" s="2437"/>
      <c r="AA325" s="2437"/>
      <c r="AB325" s="2437"/>
      <c r="AC325" s="2437"/>
      <c r="AD325" s="2437"/>
      <c r="AE325" s="2437"/>
      <c r="AF325" s="2468"/>
      <c r="AG325" s="2469"/>
      <c r="AH325" s="2469"/>
      <c r="AI325" s="2469"/>
      <c r="AJ325" s="2469"/>
      <c r="AK325" s="2469"/>
      <c r="AL325" s="2469"/>
      <c r="AM325" s="2469"/>
      <c r="AN325" s="2469"/>
      <c r="AO325" s="2469"/>
      <c r="AP325" s="2469"/>
      <c r="AQ325" s="2470"/>
      <c r="AR325" s="2152"/>
      <c r="AS325" s="2152"/>
      <c r="AT325" s="2432"/>
      <c r="AU325" s="2432"/>
      <c r="AV325" s="2432"/>
      <c r="AW325" s="2432"/>
      <c r="AX325" s="2432"/>
      <c r="AY325" s="2432"/>
      <c r="AZ325" s="2432"/>
      <c r="BA325" s="2432"/>
      <c r="BB325" s="2432"/>
      <c r="BC325" s="2432"/>
      <c r="BD325" s="2432"/>
      <c r="BE325" s="2432"/>
      <c r="BF325" s="2432"/>
      <c r="BG325" s="2432"/>
      <c r="BH325" s="2432"/>
      <c r="BI325" s="2432"/>
      <c r="BJ325" s="2432"/>
      <c r="BK325" s="2432"/>
      <c r="BL325" s="2432"/>
      <c r="BM325" s="2432"/>
      <c r="BN325" s="2432"/>
      <c r="BO325" s="2432"/>
      <c r="BP325" s="2432"/>
      <c r="BQ325" s="2432"/>
      <c r="BR325" s="2432"/>
      <c r="BS325" s="2848"/>
      <c r="BT325" s="2849"/>
      <c r="BU325" s="2850"/>
      <c r="BV325" s="2270"/>
      <c r="BW325" s="2270"/>
      <c r="BX325" s="2270"/>
      <c r="BY325" s="2270"/>
      <c r="BZ325" s="2152"/>
      <c r="CA325" s="2152"/>
      <c r="CB325" s="2736"/>
      <c r="CC325" s="2737"/>
      <c r="CD325" s="2737"/>
      <c r="CE325" s="2737"/>
      <c r="CF325" s="2737"/>
      <c r="CG325" s="2737"/>
      <c r="CH325" s="2737"/>
      <c r="CI325" s="2737"/>
      <c r="CJ325" s="2737"/>
      <c r="CK325" s="2737"/>
      <c r="CL325" s="2737"/>
      <c r="CM325" s="2737"/>
      <c r="CN325" s="2737"/>
      <c r="CO325" s="2737"/>
      <c r="CP325" s="2737"/>
      <c r="CQ325" s="2737"/>
      <c r="CR325" s="2737"/>
      <c r="CS325" s="2737"/>
      <c r="CT325" s="2737"/>
      <c r="CU325" s="2738"/>
      <c r="CV325" s="2300" t="str">
        <f t="shared" si="17"/>
        <v/>
      </c>
      <c r="CW325" s="2300"/>
      <c r="CX325" s="2300"/>
      <c r="CY325" s="2300"/>
      <c r="CZ325" s="2300"/>
      <c r="DA325" s="2300"/>
      <c r="DC325" s="329" t="str">
        <f t="shared" si="18"/>
        <v/>
      </c>
      <c r="DD325" s="197"/>
      <c r="DF325" s="14"/>
      <c r="DG325" s="14"/>
      <c r="DH325" s="14"/>
      <c r="DI325" s="1596"/>
      <c r="DJ325" s="1170" t="s">
        <v>2749</v>
      </c>
      <c r="DK325" s="1604" t="str">
        <f t="shared" si="19"/>
        <v/>
      </c>
      <c r="DL325" s="437" t="str">
        <f t="shared" si="20"/>
        <v/>
      </c>
      <c r="DM325" s="1128">
        <f t="shared" si="21"/>
        <v>0</v>
      </c>
      <c r="DN325" s="22">
        <f t="shared" si="22"/>
        <v>0</v>
      </c>
      <c r="DO325" s="22">
        <f t="shared" si="23"/>
        <v>0</v>
      </c>
      <c r="DP325" s="264">
        <f t="shared" si="24"/>
        <v>0</v>
      </c>
      <c r="DQ325" s="26" t="s">
        <v>725</v>
      </c>
      <c r="DR325" s="1804" t="str">
        <f>IF($U325="",P324,U325)</f>
        <v>組積造の塀又は補強コンクリートブロック造の塀等の劣化及び損傷の状況</v>
      </c>
      <c r="DS325" s="23">
        <f t="shared" si="25"/>
        <v>0</v>
      </c>
      <c r="DT325" s="29" t="str">
        <f t="shared" si="26"/>
        <v/>
      </c>
      <c r="DU325" s="242" t="str">
        <f t="shared" si="82"/>
        <v/>
      </c>
      <c r="DV325" s="57" t="str">
        <f>IF($DT325="要是正",MAX($DV$318:DV324)+1,"")</f>
        <v/>
      </c>
      <c r="DW325" s="273" t="str">
        <f t="shared" si="27"/>
        <v/>
      </c>
      <c r="DX325" s="30" t="str">
        <f t="shared" si="83"/>
        <v/>
      </c>
      <c r="DY325" s="13" t="str">
        <f t="shared" si="28"/>
        <v/>
      </c>
      <c r="DZ325" s="121" t="str">
        <f t="shared" si="29"/>
        <v/>
      </c>
      <c r="EA325" s="256" t="str">
        <f t="shared" si="30"/>
        <v/>
      </c>
      <c r="EB325" s="138" t="str">
        <f t="shared" si="31"/>
        <v/>
      </c>
      <c r="EC325" s="131" t="str">
        <f t="shared" si="84"/>
        <v>0</v>
      </c>
      <c r="ED325" s="54" t="str">
        <f t="shared" si="32"/>
        <v/>
      </c>
      <c r="EE325" s="131" t="str">
        <f t="shared" si="85"/>
        <v>0</v>
      </c>
      <c r="EF325" s="217" t="str">
        <f t="shared" si="33"/>
        <v/>
      </c>
      <c r="EG325" s="108" t="str">
        <f t="shared" si="34"/>
        <v/>
      </c>
      <c r="EH325" s="41" t="str">
        <f t="shared" si="86"/>
        <v>0</v>
      </c>
      <c r="EI325" s="54" t="str">
        <f t="shared" si="35"/>
        <v/>
      </c>
      <c r="EJ325" s="131" t="str">
        <f t="shared" si="87"/>
        <v>0</v>
      </c>
      <c r="EK325" s="217" t="str">
        <f t="shared" si="36"/>
        <v/>
      </c>
      <c r="EL325" s="253" t="e">
        <f t="shared" si="88"/>
        <v>#N/A</v>
      </c>
      <c r="EM325" s="57" t="e">
        <f t="shared" si="37"/>
        <v>#N/A</v>
      </c>
      <c r="EN325" s="243" t="e">
        <f t="shared" si="38"/>
        <v>#N/A</v>
      </c>
      <c r="EO325" s="128">
        <v>8</v>
      </c>
      <c r="EP325" s="23" t="s">
        <v>1060</v>
      </c>
      <c r="EQ325" s="23" t="s">
        <v>1030</v>
      </c>
      <c r="ER325" s="124" t="s">
        <v>1048</v>
      </c>
      <c r="ET325" s="2017" t="s">
        <v>3434</v>
      </c>
      <c r="EU325" s="23" t="str">
        <f>DM493</f>
        <v/>
      </c>
      <c r="EV325" s="353" t="str">
        <f t="shared" ref="EV325:EX325" si="107">DN493</f>
        <v/>
      </c>
      <c r="EW325" s="353" t="str">
        <f t="shared" si="107"/>
        <v/>
      </c>
      <c r="EX325" s="2095" t="str">
        <f t="shared" si="107"/>
        <v/>
      </c>
      <c r="EY325" s="666" t="str">
        <f>EE515</f>
        <v>0</v>
      </c>
      <c r="EZ325" s="140" t="s">
        <v>1620</v>
      </c>
      <c r="FA325" s="353" t="str">
        <f>EF$493</f>
        <v/>
      </c>
      <c r="FB325" s="140" t="s">
        <v>1624</v>
      </c>
      <c r="FC325" s="140" t="s">
        <v>1624</v>
      </c>
      <c r="FD325" s="666" t="str">
        <f>EJ515</f>
        <v>0</v>
      </c>
      <c r="FE325" s="140" t="s">
        <v>1620</v>
      </c>
      <c r="FF325" s="353" t="str">
        <f>EK$494</f>
        <v/>
      </c>
      <c r="FG325" s="140" t="s">
        <v>1624</v>
      </c>
      <c r="FH325" s="140" t="s">
        <v>1624</v>
      </c>
      <c r="FI325" s="20"/>
      <c r="FJ325" s="20"/>
      <c r="FK325" s="326" t="str">
        <f t="shared" si="89"/>
        <v/>
      </c>
      <c r="FL325" s="326" t="str">
        <f t="shared" si="90"/>
        <v/>
      </c>
      <c r="FM325" s="326" t="str">
        <f t="shared" si="91"/>
        <v/>
      </c>
      <c r="FN325" s="326">
        <f t="shared" si="40"/>
        <v>0</v>
      </c>
      <c r="FO325" s="351" t="str">
        <f t="shared" si="41"/>
        <v/>
      </c>
      <c r="FQ325" s="138" t="str">
        <f t="shared" si="42"/>
        <v/>
      </c>
      <c r="FR325" s="131" t="str">
        <f t="shared" si="92"/>
        <v>0</v>
      </c>
      <c r="FS325" s="54" t="str">
        <f t="shared" si="43"/>
        <v/>
      </c>
      <c r="FT325" s="131" t="str">
        <f t="shared" si="93"/>
        <v>0</v>
      </c>
      <c r="FU325" s="217" t="str">
        <f t="shared" si="44"/>
        <v/>
      </c>
      <c r="FW325" s="667">
        <f t="shared" si="45"/>
        <v>0</v>
      </c>
      <c r="FX325" s="32"/>
      <c r="FY325" s="32"/>
      <c r="FZ325" s="668"/>
      <c r="GA325" s="14"/>
      <c r="GB325" s="658">
        <f t="shared" si="46"/>
        <v>0</v>
      </c>
      <c r="GC325" s="658">
        <f t="shared" si="47"/>
        <v>0</v>
      </c>
      <c r="GD325" s="658">
        <f t="shared" si="48"/>
        <v>0</v>
      </c>
      <c r="GE325" s="658" t="str">
        <f t="shared" si="49"/>
        <v/>
      </c>
      <c r="GF325" s="658" t="str">
        <f t="shared" si="50"/>
        <v/>
      </c>
      <c r="GG325" s="658" t="str">
        <f t="shared" si="51"/>
        <v/>
      </c>
      <c r="GH325" s="658" t="str">
        <f t="shared" si="52"/>
        <v/>
      </c>
      <c r="GI325" s="658" t="str">
        <f t="shared" si="53"/>
        <v/>
      </c>
      <c r="GJ325" s="658" t="str">
        <f t="shared" si="54"/>
        <v/>
      </c>
      <c r="GK325" s="658" t="str">
        <f t="shared" si="55"/>
        <v/>
      </c>
      <c r="GL325" s="658" t="str">
        <f t="shared" si="56"/>
        <v/>
      </c>
      <c r="GM325" s="658" t="str">
        <f t="shared" si="57"/>
        <v/>
      </c>
      <c r="GN325" s="658" t="str">
        <f t="shared" si="58"/>
        <v/>
      </c>
      <c r="GO325" s="658" t="str">
        <f t="shared" si="59"/>
        <v/>
      </c>
      <c r="GP325" s="658" t="str">
        <f t="shared" si="60"/>
        <v/>
      </c>
      <c r="GQ325" s="658" t="str">
        <f t="shared" si="61"/>
        <v/>
      </c>
      <c r="GR325" s="658" t="str">
        <f t="shared" si="62"/>
        <v/>
      </c>
      <c r="GS325" s="658" t="str">
        <f t="shared" si="63"/>
        <v/>
      </c>
      <c r="GT325" s="658">
        <f t="shared" si="94"/>
        <v>0</v>
      </c>
      <c r="GU325" s="658">
        <f t="shared" si="95"/>
        <v>0</v>
      </c>
      <c r="GV325" s="658">
        <f t="shared" si="96"/>
        <v>0</v>
      </c>
      <c r="GW325" s="658" t="b">
        <f t="shared" si="97"/>
        <v>0</v>
      </c>
      <c r="GX325" s="658" t="b">
        <f t="shared" si="98"/>
        <v>0</v>
      </c>
      <c r="GY325" s="658" t="b">
        <f t="shared" si="99"/>
        <v>0</v>
      </c>
      <c r="GZ325" s="658" t="str">
        <f t="shared" si="100"/>
        <v/>
      </c>
      <c r="HB325" s="658" t="str">
        <f t="shared" si="101"/>
        <v/>
      </c>
      <c r="HC325" s="658" t="str">
        <f t="shared" si="65"/>
        <v/>
      </c>
      <c r="HD325" s="658" t="str">
        <f t="shared" si="66"/>
        <v/>
      </c>
      <c r="HE325" s="658" t="str">
        <f t="shared" si="67"/>
        <v/>
      </c>
      <c r="HF325" s="658" t="str">
        <f t="shared" si="68"/>
        <v/>
      </c>
      <c r="HG325" s="658" t="str">
        <f t="shared" si="69"/>
        <v/>
      </c>
      <c r="HH325" s="658" t="str">
        <f t="shared" si="70"/>
        <v/>
      </c>
      <c r="HI325" s="658" t="str">
        <f t="shared" si="71"/>
        <v/>
      </c>
      <c r="HJ325" s="658" t="str">
        <f t="shared" si="72"/>
        <v/>
      </c>
      <c r="HK325" s="658" t="str">
        <f t="shared" si="73"/>
        <v/>
      </c>
      <c r="HL325" s="658" t="str">
        <f t="shared" si="74"/>
        <v/>
      </c>
      <c r="HM325" s="658" t="str">
        <f t="shared" si="75"/>
        <v/>
      </c>
      <c r="HN325" s="658" t="str">
        <f t="shared" si="76"/>
        <v/>
      </c>
      <c r="HO325" s="658" t="str">
        <f t="shared" si="77"/>
        <v/>
      </c>
      <c r="HP325" s="658" t="str">
        <f t="shared" si="78"/>
        <v/>
      </c>
      <c r="HQ325" s="658" t="str">
        <f t="shared" si="79"/>
        <v/>
      </c>
      <c r="HR325" s="658" t="str">
        <f t="shared" si="102"/>
        <v/>
      </c>
      <c r="HT325" s="658">
        <f>LEFT(M325,1)*10000+MID(M325,3,LEN(M325)-3)*100+COUNTIF($M$319:M325,M325)</f>
        <v>10701</v>
      </c>
      <c r="HU325" s="658" t="str">
        <f t="shared" si="103"/>
        <v/>
      </c>
      <c r="HV325" s="658" t="str">
        <f t="shared" si="80"/>
        <v/>
      </c>
      <c r="HW325" s="658" t="str">
        <f t="shared" si="104"/>
        <v/>
      </c>
      <c r="HX325" s="658" t="str">
        <f t="shared" si="81"/>
        <v/>
      </c>
    </row>
    <row r="326" spans="1:232" s="19" customFormat="1" ht="50.1" customHeight="1" x14ac:dyDescent="0.15">
      <c r="A326" s="1201"/>
      <c r="B326" s="1201"/>
      <c r="C326" s="1201"/>
      <c r="D326" s="1201"/>
      <c r="E326" s="1202"/>
      <c r="F326" s="652"/>
      <c r="G326" s="652"/>
      <c r="H326" s="652"/>
      <c r="I326" s="1354"/>
      <c r="J326" s="1234"/>
      <c r="K326" s="1261"/>
      <c r="L326" s="1261"/>
      <c r="M326" s="2143" t="s">
        <v>1123</v>
      </c>
      <c r="N326" s="2143"/>
      <c r="O326" s="2143"/>
      <c r="P326" s="2444" t="s">
        <v>46</v>
      </c>
      <c r="Q326" s="2444"/>
      <c r="R326" s="2444"/>
      <c r="S326" s="2444"/>
      <c r="T326" s="2444"/>
      <c r="U326" s="2438" t="s">
        <v>47</v>
      </c>
      <c r="V326" s="2438"/>
      <c r="W326" s="2438"/>
      <c r="X326" s="2438"/>
      <c r="Y326" s="2438"/>
      <c r="Z326" s="2438"/>
      <c r="AA326" s="2438"/>
      <c r="AB326" s="2438"/>
      <c r="AC326" s="2438"/>
      <c r="AD326" s="2438"/>
      <c r="AE326" s="2438"/>
      <c r="AF326" s="2302"/>
      <c r="AG326" s="2302"/>
      <c r="AH326" s="2302"/>
      <c r="AI326" s="2302"/>
      <c r="AJ326" s="2302"/>
      <c r="AK326" s="2302"/>
      <c r="AL326" s="2302"/>
      <c r="AM326" s="2302"/>
      <c r="AN326" s="2302"/>
      <c r="AO326" s="2302"/>
      <c r="AP326" s="2302"/>
      <c r="AQ326" s="2302"/>
      <c r="AR326" s="2272"/>
      <c r="AS326" s="2272"/>
      <c r="AT326" s="2406"/>
      <c r="AU326" s="2406"/>
      <c r="AV326" s="2406"/>
      <c r="AW326" s="2406"/>
      <c r="AX326" s="2406"/>
      <c r="AY326" s="2406"/>
      <c r="AZ326" s="2406"/>
      <c r="BA326" s="2406"/>
      <c r="BB326" s="2406"/>
      <c r="BC326" s="2406"/>
      <c r="BD326" s="2406"/>
      <c r="BE326" s="2406"/>
      <c r="BF326" s="2406"/>
      <c r="BG326" s="2406"/>
      <c r="BH326" s="2406"/>
      <c r="BI326" s="2406"/>
      <c r="BJ326" s="2406"/>
      <c r="BK326" s="2406"/>
      <c r="BL326" s="2406"/>
      <c r="BM326" s="2406"/>
      <c r="BN326" s="2406"/>
      <c r="BO326" s="2406"/>
      <c r="BP326" s="2406"/>
      <c r="BQ326" s="2406"/>
      <c r="BR326" s="2406"/>
      <c r="BS326" s="2783"/>
      <c r="BT326" s="2784"/>
      <c r="BU326" s="2785"/>
      <c r="BV326" s="2271"/>
      <c r="BW326" s="2271"/>
      <c r="BX326" s="2271"/>
      <c r="BY326" s="2271"/>
      <c r="BZ326" s="2272"/>
      <c r="CA326" s="2272"/>
      <c r="CB326" s="2407"/>
      <c r="CC326" s="2408"/>
      <c r="CD326" s="2408"/>
      <c r="CE326" s="2408"/>
      <c r="CF326" s="2408"/>
      <c r="CG326" s="2408"/>
      <c r="CH326" s="2408"/>
      <c r="CI326" s="2408"/>
      <c r="CJ326" s="2408"/>
      <c r="CK326" s="2408"/>
      <c r="CL326" s="2408"/>
      <c r="CM326" s="2408"/>
      <c r="CN326" s="2408"/>
      <c r="CO326" s="2408"/>
      <c r="CP326" s="2408"/>
      <c r="CQ326" s="2408"/>
      <c r="CR326" s="2408"/>
      <c r="CS326" s="2408"/>
      <c r="CT326" s="2408"/>
      <c r="CU326" s="2409"/>
      <c r="CV326" s="2300" t="str">
        <f t="shared" si="17"/>
        <v/>
      </c>
      <c r="CW326" s="2300"/>
      <c r="CX326" s="2300"/>
      <c r="CY326" s="2300"/>
      <c r="CZ326" s="2300"/>
      <c r="DA326" s="2300"/>
      <c r="DC326" s="329" t="str">
        <f t="shared" si="18"/>
        <v/>
      </c>
      <c r="DD326" s="197"/>
      <c r="DF326" s="14"/>
      <c r="DG326" s="14"/>
      <c r="DH326" s="14"/>
      <c r="DI326" s="1596"/>
      <c r="DJ326" s="1170" t="s">
        <v>2749</v>
      </c>
      <c r="DK326" s="1604" t="str">
        <f t="shared" si="19"/>
        <v/>
      </c>
      <c r="DL326" s="437" t="str">
        <f t="shared" si="20"/>
        <v/>
      </c>
      <c r="DM326" s="1128">
        <f t="shared" si="21"/>
        <v>0</v>
      </c>
      <c r="DN326" s="22">
        <f t="shared" si="22"/>
        <v>0</v>
      </c>
      <c r="DO326" s="22">
        <f t="shared" si="23"/>
        <v>0</v>
      </c>
      <c r="DP326" s="264">
        <f t="shared" si="24"/>
        <v>0</v>
      </c>
      <c r="DQ326" s="26" t="s">
        <v>726</v>
      </c>
      <c r="DR326" s="1804" t="str">
        <f>IF($U326="",P326,U326)</f>
        <v>擁壁の劣化及び損傷の状況</v>
      </c>
      <c r="DS326" s="23">
        <f t="shared" si="25"/>
        <v>0</v>
      </c>
      <c r="DT326" s="29" t="str">
        <f t="shared" si="26"/>
        <v/>
      </c>
      <c r="DU326" s="242" t="str">
        <f t="shared" si="82"/>
        <v/>
      </c>
      <c r="DV326" s="57" t="str">
        <f>IF($DT326="要是正",MAX($DV$318:DV325)+1,"")</f>
        <v/>
      </c>
      <c r="DW326" s="273" t="str">
        <f t="shared" si="27"/>
        <v/>
      </c>
      <c r="DX326" s="30" t="str">
        <f t="shared" si="83"/>
        <v/>
      </c>
      <c r="DY326" s="13" t="str">
        <f t="shared" si="28"/>
        <v/>
      </c>
      <c r="DZ326" s="121" t="str">
        <f t="shared" si="29"/>
        <v/>
      </c>
      <c r="EA326" s="256" t="str">
        <f t="shared" si="30"/>
        <v/>
      </c>
      <c r="EB326" s="138" t="str">
        <f t="shared" si="31"/>
        <v/>
      </c>
      <c r="EC326" s="131" t="str">
        <f t="shared" si="84"/>
        <v>0</v>
      </c>
      <c r="ED326" s="54" t="str">
        <f t="shared" si="32"/>
        <v/>
      </c>
      <c r="EE326" s="131" t="str">
        <f t="shared" si="85"/>
        <v>0</v>
      </c>
      <c r="EF326" s="217" t="str">
        <f t="shared" si="33"/>
        <v/>
      </c>
      <c r="EG326" s="108" t="str">
        <f t="shared" si="34"/>
        <v/>
      </c>
      <c r="EH326" s="41" t="str">
        <f t="shared" si="86"/>
        <v>0</v>
      </c>
      <c r="EI326" s="54" t="str">
        <f t="shared" si="35"/>
        <v/>
      </c>
      <c r="EJ326" s="131" t="str">
        <f t="shared" si="87"/>
        <v>0</v>
      </c>
      <c r="EK326" s="217" t="str">
        <f t="shared" si="36"/>
        <v/>
      </c>
      <c r="EL326" s="253" t="e">
        <f t="shared" si="88"/>
        <v>#N/A</v>
      </c>
      <c r="EM326" s="57" t="e">
        <f t="shared" si="37"/>
        <v>#N/A</v>
      </c>
      <c r="EN326" s="243" t="e">
        <f t="shared" si="38"/>
        <v>#N/A</v>
      </c>
      <c r="EO326" s="127">
        <v>9</v>
      </c>
      <c r="EP326" s="23" t="s">
        <v>1060</v>
      </c>
      <c r="EQ326" s="23" t="s">
        <v>1031</v>
      </c>
      <c r="ER326" s="124" t="s">
        <v>1049</v>
      </c>
      <c r="ET326" s="2017" t="s">
        <v>3435</v>
      </c>
      <c r="EU326" s="23" t="str">
        <f>DM494</f>
        <v/>
      </c>
      <c r="EV326" s="23" t="str">
        <f t="shared" ref="EV326:EX326" si="108">DN494</f>
        <v/>
      </c>
      <c r="EW326" s="23" t="str">
        <f t="shared" si="108"/>
        <v/>
      </c>
      <c r="EX326" s="665" t="str">
        <f t="shared" si="108"/>
        <v/>
      </c>
      <c r="EY326" s="666" t="str">
        <f>EE516</f>
        <v>0</v>
      </c>
      <c r="EZ326" s="140" t="s">
        <v>1620</v>
      </c>
      <c r="FA326" s="353" t="str">
        <f>EF$494</f>
        <v/>
      </c>
      <c r="FB326" s="140" t="s">
        <v>1624</v>
      </c>
      <c r="FC326" s="140" t="s">
        <v>1624</v>
      </c>
      <c r="FD326" s="666" t="str">
        <f>EJ516</f>
        <v>0</v>
      </c>
      <c r="FE326" s="140" t="s">
        <v>1620</v>
      </c>
      <c r="FF326" s="353" t="str">
        <f>EK$517</f>
        <v/>
      </c>
      <c r="FG326" s="140" t="s">
        <v>1624</v>
      </c>
      <c r="FH326" s="140" t="s">
        <v>1624</v>
      </c>
      <c r="FI326" s="20"/>
      <c r="FJ326" s="20"/>
      <c r="FK326" s="326" t="str">
        <f t="shared" si="89"/>
        <v/>
      </c>
      <c r="FL326" s="326" t="str">
        <f t="shared" si="90"/>
        <v/>
      </c>
      <c r="FM326" s="326" t="str">
        <f t="shared" si="91"/>
        <v/>
      </c>
      <c r="FN326" s="326">
        <f t="shared" si="40"/>
        <v>0</v>
      </c>
      <c r="FO326" s="351" t="str">
        <f t="shared" si="41"/>
        <v/>
      </c>
      <c r="FQ326" s="138" t="str">
        <f t="shared" si="42"/>
        <v/>
      </c>
      <c r="FR326" s="131" t="str">
        <f t="shared" si="92"/>
        <v>0</v>
      </c>
      <c r="FS326" s="54" t="str">
        <f t="shared" si="43"/>
        <v/>
      </c>
      <c r="FT326" s="131" t="str">
        <f t="shared" si="93"/>
        <v>0</v>
      </c>
      <c r="FU326" s="217" t="str">
        <f t="shared" si="44"/>
        <v/>
      </c>
      <c r="FW326" s="667">
        <f t="shared" si="45"/>
        <v>0</v>
      </c>
      <c r="FX326" s="32"/>
      <c r="FY326" s="32"/>
      <c r="FZ326" s="668"/>
      <c r="GA326" s="14"/>
      <c r="GB326" s="658">
        <f t="shared" si="46"/>
        <v>0</v>
      </c>
      <c r="GC326" s="658">
        <f t="shared" si="47"/>
        <v>0</v>
      </c>
      <c r="GD326" s="658">
        <f t="shared" si="48"/>
        <v>0</v>
      </c>
      <c r="GE326" s="658" t="str">
        <f t="shared" si="49"/>
        <v/>
      </c>
      <c r="GF326" s="658" t="str">
        <f t="shared" si="50"/>
        <v/>
      </c>
      <c r="GG326" s="658" t="str">
        <f t="shared" si="51"/>
        <v/>
      </c>
      <c r="GH326" s="658" t="str">
        <f t="shared" si="52"/>
        <v/>
      </c>
      <c r="GI326" s="658" t="str">
        <f t="shared" si="53"/>
        <v/>
      </c>
      <c r="GJ326" s="658" t="str">
        <f t="shared" si="54"/>
        <v/>
      </c>
      <c r="GK326" s="658" t="str">
        <f t="shared" si="55"/>
        <v/>
      </c>
      <c r="GL326" s="658" t="str">
        <f t="shared" si="56"/>
        <v/>
      </c>
      <c r="GM326" s="658" t="str">
        <f t="shared" si="57"/>
        <v/>
      </c>
      <c r="GN326" s="658" t="str">
        <f t="shared" si="58"/>
        <v/>
      </c>
      <c r="GO326" s="658" t="str">
        <f t="shared" si="59"/>
        <v/>
      </c>
      <c r="GP326" s="658" t="str">
        <f t="shared" si="60"/>
        <v/>
      </c>
      <c r="GQ326" s="658" t="str">
        <f t="shared" si="61"/>
        <v/>
      </c>
      <c r="GR326" s="658" t="str">
        <f t="shared" si="62"/>
        <v/>
      </c>
      <c r="GS326" s="658" t="str">
        <f t="shared" si="63"/>
        <v/>
      </c>
      <c r="GT326" s="658">
        <f t="shared" si="94"/>
        <v>0</v>
      </c>
      <c r="GU326" s="658">
        <f t="shared" si="95"/>
        <v>0</v>
      </c>
      <c r="GV326" s="658">
        <f t="shared" si="96"/>
        <v>0</v>
      </c>
      <c r="GW326" s="658" t="b">
        <f t="shared" si="97"/>
        <v>0</v>
      </c>
      <c r="GX326" s="658" t="b">
        <f t="shared" si="98"/>
        <v>0</v>
      </c>
      <c r="GY326" s="658" t="b">
        <f t="shared" si="99"/>
        <v>0</v>
      </c>
      <c r="GZ326" s="658" t="str">
        <f t="shared" si="100"/>
        <v/>
      </c>
      <c r="HB326" s="658" t="str">
        <f t="shared" si="101"/>
        <v/>
      </c>
      <c r="HC326" s="658" t="str">
        <f t="shared" si="65"/>
        <v/>
      </c>
      <c r="HD326" s="658" t="str">
        <f t="shared" si="66"/>
        <v/>
      </c>
      <c r="HE326" s="658" t="str">
        <f t="shared" si="67"/>
        <v/>
      </c>
      <c r="HF326" s="658" t="str">
        <f t="shared" si="68"/>
        <v/>
      </c>
      <c r="HG326" s="658" t="str">
        <f t="shared" si="69"/>
        <v/>
      </c>
      <c r="HH326" s="658" t="str">
        <f t="shared" si="70"/>
        <v/>
      </c>
      <c r="HI326" s="658" t="str">
        <f t="shared" si="71"/>
        <v/>
      </c>
      <c r="HJ326" s="658" t="str">
        <f t="shared" si="72"/>
        <v/>
      </c>
      <c r="HK326" s="658" t="str">
        <f t="shared" si="73"/>
        <v/>
      </c>
      <c r="HL326" s="658" t="str">
        <f t="shared" si="74"/>
        <v/>
      </c>
      <c r="HM326" s="658" t="str">
        <f t="shared" si="75"/>
        <v/>
      </c>
      <c r="HN326" s="658" t="str">
        <f t="shared" si="76"/>
        <v/>
      </c>
      <c r="HO326" s="658" t="str">
        <f t="shared" si="77"/>
        <v/>
      </c>
      <c r="HP326" s="658" t="str">
        <f t="shared" si="78"/>
        <v/>
      </c>
      <c r="HQ326" s="658" t="str">
        <f t="shared" si="79"/>
        <v/>
      </c>
      <c r="HR326" s="658" t="str">
        <f t="shared" si="102"/>
        <v/>
      </c>
      <c r="HT326" s="658">
        <f>LEFT(M326,1)*10000+MID(M326,3,LEN(M326)-3)*100+COUNTIF($M$319:M326,M326)</f>
        <v>10801</v>
      </c>
      <c r="HU326" s="658" t="str">
        <f t="shared" si="103"/>
        <v/>
      </c>
      <c r="HV326" s="658" t="str">
        <f t="shared" si="80"/>
        <v/>
      </c>
      <c r="HW326" s="658" t="str">
        <f t="shared" si="104"/>
        <v/>
      </c>
      <c r="HX326" s="658" t="str">
        <f t="shared" si="81"/>
        <v/>
      </c>
    </row>
    <row r="327" spans="1:232" s="19" customFormat="1" ht="50.1" customHeight="1" thickBot="1" x14ac:dyDescent="0.2">
      <c r="A327" s="1201"/>
      <c r="B327" s="1201"/>
      <c r="C327" s="1201"/>
      <c r="D327" s="1201"/>
      <c r="E327" s="1202"/>
      <c r="F327" s="652"/>
      <c r="G327" s="652"/>
      <c r="H327" s="652"/>
      <c r="I327" s="1354"/>
      <c r="J327" s="1234"/>
      <c r="K327" s="1261"/>
      <c r="L327" s="1261"/>
      <c r="M327" s="2650" t="s">
        <v>1124</v>
      </c>
      <c r="N327" s="2650"/>
      <c r="O327" s="2650"/>
      <c r="P327" s="2430"/>
      <c r="Q327" s="2430"/>
      <c r="R327" s="2430"/>
      <c r="S327" s="2430"/>
      <c r="T327" s="2430"/>
      <c r="U327" s="2435" t="s">
        <v>48</v>
      </c>
      <c r="V327" s="2435"/>
      <c r="W327" s="2435"/>
      <c r="X327" s="2435"/>
      <c r="Y327" s="2435"/>
      <c r="Z327" s="2435"/>
      <c r="AA327" s="2435"/>
      <c r="AB327" s="2435"/>
      <c r="AC327" s="2435"/>
      <c r="AD327" s="2435"/>
      <c r="AE327" s="2446"/>
      <c r="AF327" s="2282"/>
      <c r="AG327" s="2282"/>
      <c r="AH327" s="2282"/>
      <c r="AI327" s="2282"/>
      <c r="AJ327" s="2282"/>
      <c r="AK327" s="2282"/>
      <c r="AL327" s="2282"/>
      <c r="AM327" s="2282"/>
      <c r="AN327" s="2282"/>
      <c r="AO327" s="2282"/>
      <c r="AP327" s="2282"/>
      <c r="AQ327" s="2282"/>
      <c r="AR327" s="2151"/>
      <c r="AS327" s="2151"/>
      <c r="AT327" s="2292"/>
      <c r="AU327" s="2292"/>
      <c r="AV327" s="2292"/>
      <c r="AW327" s="2292"/>
      <c r="AX327" s="2292"/>
      <c r="AY327" s="2292"/>
      <c r="AZ327" s="2292"/>
      <c r="BA327" s="2292"/>
      <c r="BB327" s="2292"/>
      <c r="BC327" s="2292"/>
      <c r="BD327" s="2292"/>
      <c r="BE327" s="2292"/>
      <c r="BF327" s="2292"/>
      <c r="BG327" s="2292"/>
      <c r="BH327" s="2292"/>
      <c r="BI327" s="2292"/>
      <c r="BJ327" s="2292"/>
      <c r="BK327" s="2292"/>
      <c r="BL327" s="2292"/>
      <c r="BM327" s="2292"/>
      <c r="BN327" s="2292"/>
      <c r="BO327" s="2292"/>
      <c r="BP327" s="2292"/>
      <c r="BQ327" s="2292"/>
      <c r="BR327" s="2292"/>
      <c r="BS327" s="2380"/>
      <c r="BT327" s="2381"/>
      <c r="BU327" s="2382"/>
      <c r="BV327" s="2269"/>
      <c r="BW327" s="2269"/>
      <c r="BX327" s="2269"/>
      <c r="BY327" s="2269"/>
      <c r="BZ327" s="2151"/>
      <c r="CA327" s="2151"/>
      <c r="CB327" s="2317"/>
      <c r="CC327" s="2174"/>
      <c r="CD327" s="2174"/>
      <c r="CE327" s="2174"/>
      <c r="CF327" s="2174"/>
      <c r="CG327" s="2174"/>
      <c r="CH327" s="2174"/>
      <c r="CI327" s="2174"/>
      <c r="CJ327" s="2174"/>
      <c r="CK327" s="2174"/>
      <c r="CL327" s="2174"/>
      <c r="CM327" s="2174"/>
      <c r="CN327" s="2174"/>
      <c r="CO327" s="2174"/>
      <c r="CP327" s="2174"/>
      <c r="CQ327" s="2174"/>
      <c r="CR327" s="2174"/>
      <c r="CS327" s="2174"/>
      <c r="CT327" s="2174"/>
      <c r="CU327" s="2318"/>
      <c r="CV327" s="2300" t="str">
        <f t="shared" si="17"/>
        <v/>
      </c>
      <c r="CW327" s="2300"/>
      <c r="CX327" s="2300"/>
      <c r="CY327" s="2300"/>
      <c r="CZ327" s="2300"/>
      <c r="DA327" s="2300"/>
      <c r="DC327" s="329" t="str">
        <f t="shared" si="18"/>
        <v/>
      </c>
      <c r="DD327" s="197"/>
      <c r="DF327" s="14"/>
      <c r="DG327" s="14"/>
      <c r="DH327" s="14"/>
      <c r="DI327" s="1596"/>
      <c r="DJ327" s="1170" t="s">
        <v>2749</v>
      </c>
      <c r="DK327" s="1604" t="str">
        <f t="shared" si="19"/>
        <v/>
      </c>
      <c r="DL327" s="437" t="str">
        <f t="shared" si="20"/>
        <v/>
      </c>
      <c r="DM327" s="1129">
        <f t="shared" si="21"/>
        <v>0</v>
      </c>
      <c r="DN327" s="266">
        <f t="shared" si="22"/>
        <v>0</v>
      </c>
      <c r="DO327" s="266">
        <f t="shared" si="23"/>
        <v>0</v>
      </c>
      <c r="DP327" s="267">
        <f t="shared" si="24"/>
        <v>0</v>
      </c>
      <c r="DQ327" s="26" t="s">
        <v>727</v>
      </c>
      <c r="DR327" s="1805" t="str">
        <f>IF($U327="",P326,U327)</f>
        <v>擁壁の水抜きパイプの維持保全の状況</v>
      </c>
      <c r="DS327" s="125">
        <f t="shared" si="25"/>
        <v>0</v>
      </c>
      <c r="DT327" s="270" t="str">
        <f t="shared" si="26"/>
        <v/>
      </c>
      <c r="DU327" s="242" t="str">
        <f t="shared" si="82"/>
        <v/>
      </c>
      <c r="DV327" s="137" t="str">
        <f>IF($DT327="要是正",MAX($DV$318:DV326)+1,"")</f>
        <v/>
      </c>
      <c r="DW327" s="274" t="str">
        <f t="shared" si="27"/>
        <v/>
      </c>
      <c r="DX327" s="257" t="str">
        <f t="shared" si="83"/>
        <v/>
      </c>
      <c r="DY327" s="258" t="str">
        <f t="shared" si="28"/>
        <v/>
      </c>
      <c r="DZ327" s="259" t="str">
        <f t="shared" si="29"/>
        <v/>
      </c>
      <c r="EA327" s="256" t="str">
        <f t="shared" si="30"/>
        <v/>
      </c>
      <c r="EB327" s="138" t="str">
        <f t="shared" si="31"/>
        <v/>
      </c>
      <c r="EC327" s="131" t="str">
        <f t="shared" si="84"/>
        <v>0</v>
      </c>
      <c r="ED327" s="54" t="str">
        <f t="shared" si="32"/>
        <v/>
      </c>
      <c r="EE327" s="250" t="str">
        <f t="shared" si="85"/>
        <v>0</v>
      </c>
      <c r="EF327" s="251" t="str">
        <f t="shared" si="33"/>
        <v/>
      </c>
      <c r="EG327" s="247" t="str">
        <f t="shared" si="34"/>
        <v/>
      </c>
      <c r="EH327" s="248" t="str">
        <f t="shared" si="86"/>
        <v>0</v>
      </c>
      <c r="EI327" s="249" t="str">
        <f t="shared" si="35"/>
        <v/>
      </c>
      <c r="EJ327" s="250" t="str">
        <f t="shared" si="87"/>
        <v>0</v>
      </c>
      <c r="EK327" s="251" t="str">
        <f t="shared" si="36"/>
        <v/>
      </c>
      <c r="EL327" s="254" t="e">
        <f t="shared" si="88"/>
        <v>#N/A</v>
      </c>
      <c r="EM327" s="137" t="e">
        <f t="shared" si="37"/>
        <v>#N/A</v>
      </c>
      <c r="EN327" s="244" t="e">
        <f t="shared" si="38"/>
        <v>#N/A</v>
      </c>
      <c r="EO327" s="129">
        <v>10</v>
      </c>
      <c r="EP327" s="125" t="s">
        <v>1060</v>
      </c>
      <c r="EQ327" s="125" t="s">
        <v>1022</v>
      </c>
      <c r="ER327" s="126" t="s">
        <v>1023</v>
      </c>
      <c r="ET327" s="2081">
        <v>8</v>
      </c>
      <c r="EU327" s="23" t="str">
        <f>DM517</f>
        <v/>
      </c>
      <c r="EV327" s="23" t="str">
        <f t="shared" ref="EV327:EX327" si="109">DN517</f>
        <v/>
      </c>
      <c r="EW327" s="23" t="str">
        <f t="shared" si="109"/>
        <v/>
      </c>
      <c r="EX327" s="23" t="str">
        <f t="shared" si="109"/>
        <v/>
      </c>
      <c r="EY327" s="666" t="str">
        <f>EE535</f>
        <v>0</v>
      </c>
      <c r="EZ327" s="140" t="s">
        <v>271</v>
      </c>
      <c r="FA327" s="353" t="str">
        <f>EF$517</f>
        <v/>
      </c>
      <c r="FB327" s="140" t="s">
        <v>1624</v>
      </c>
      <c r="FC327" s="140" t="s">
        <v>1624</v>
      </c>
      <c r="FD327" s="666" t="str">
        <f>EJ535</f>
        <v>0</v>
      </c>
      <c r="FE327" s="140" t="s">
        <v>271</v>
      </c>
      <c r="FF327" s="353" t="str">
        <f>EK$517</f>
        <v/>
      </c>
      <c r="FG327" s="140" t="s">
        <v>1624</v>
      </c>
      <c r="FH327" s="140" t="s">
        <v>1624</v>
      </c>
      <c r="FI327" s="20"/>
      <c r="FJ327" s="20"/>
      <c r="FK327" s="326" t="str">
        <f t="shared" si="89"/>
        <v/>
      </c>
      <c r="FL327" s="326" t="str">
        <f t="shared" si="90"/>
        <v/>
      </c>
      <c r="FM327" s="326" t="str">
        <f t="shared" si="91"/>
        <v/>
      </c>
      <c r="FN327" s="326">
        <f t="shared" si="40"/>
        <v>0</v>
      </c>
      <c r="FO327" s="351" t="str">
        <f t="shared" si="41"/>
        <v/>
      </c>
      <c r="FQ327" s="138" t="str">
        <f t="shared" si="42"/>
        <v/>
      </c>
      <c r="FR327" s="131" t="str">
        <f t="shared" si="92"/>
        <v>0</v>
      </c>
      <c r="FS327" s="54" t="str">
        <f t="shared" si="43"/>
        <v/>
      </c>
      <c r="FT327" s="131" t="str">
        <f t="shared" si="93"/>
        <v>0</v>
      </c>
      <c r="FU327" s="217" t="str">
        <f t="shared" si="44"/>
        <v/>
      </c>
      <c r="FW327" s="667">
        <f t="shared" si="45"/>
        <v>0</v>
      </c>
      <c r="FX327" s="32"/>
      <c r="FY327" s="32"/>
      <c r="FZ327" s="668"/>
      <c r="GA327" s="14"/>
      <c r="GB327" s="658">
        <f t="shared" si="46"/>
        <v>0</v>
      </c>
      <c r="GC327" s="658">
        <f t="shared" si="47"/>
        <v>0</v>
      </c>
      <c r="GD327" s="658">
        <f t="shared" si="48"/>
        <v>0</v>
      </c>
      <c r="GE327" s="658" t="str">
        <f t="shared" si="49"/>
        <v/>
      </c>
      <c r="GF327" s="658" t="str">
        <f t="shared" si="50"/>
        <v/>
      </c>
      <c r="GG327" s="658" t="str">
        <f t="shared" si="51"/>
        <v/>
      </c>
      <c r="GH327" s="658" t="str">
        <f t="shared" si="52"/>
        <v/>
      </c>
      <c r="GI327" s="658" t="str">
        <f t="shared" si="53"/>
        <v/>
      </c>
      <c r="GJ327" s="658" t="str">
        <f t="shared" si="54"/>
        <v/>
      </c>
      <c r="GK327" s="658" t="str">
        <f t="shared" si="55"/>
        <v/>
      </c>
      <c r="GL327" s="658" t="str">
        <f t="shared" si="56"/>
        <v/>
      </c>
      <c r="GM327" s="658" t="str">
        <f t="shared" si="57"/>
        <v/>
      </c>
      <c r="GN327" s="658" t="str">
        <f t="shared" si="58"/>
        <v/>
      </c>
      <c r="GO327" s="658" t="str">
        <f t="shared" si="59"/>
        <v/>
      </c>
      <c r="GP327" s="658" t="str">
        <f t="shared" si="60"/>
        <v/>
      </c>
      <c r="GQ327" s="658" t="str">
        <f t="shared" si="61"/>
        <v/>
      </c>
      <c r="GR327" s="658" t="str">
        <f t="shared" si="62"/>
        <v/>
      </c>
      <c r="GS327" s="658" t="str">
        <f t="shared" si="63"/>
        <v/>
      </c>
      <c r="GT327" s="658">
        <f t="shared" si="94"/>
        <v>0</v>
      </c>
      <c r="GU327" s="658">
        <f t="shared" si="95"/>
        <v>0</v>
      </c>
      <c r="GV327" s="658">
        <f t="shared" si="96"/>
        <v>0</v>
      </c>
      <c r="GW327" s="658" t="b">
        <f t="shared" si="97"/>
        <v>0</v>
      </c>
      <c r="GX327" s="658" t="b">
        <f t="shared" si="98"/>
        <v>0</v>
      </c>
      <c r="GY327" s="658" t="b">
        <f t="shared" si="99"/>
        <v>0</v>
      </c>
      <c r="GZ327" s="658" t="str">
        <f t="shared" si="100"/>
        <v/>
      </c>
      <c r="HB327" s="658" t="str">
        <f t="shared" si="101"/>
        <v/>
      </c>
      <c r="HC327" s="658" t="str">
        <f t="shared" si="65"/>
        <v/>
      </c>
      <c r="HD327" s="658" t="str">
        <f t="shared" si="66"/>
        <v/>
      </c>
      <c r="HE327" s="658" t="str">
        <f t="shared" si="67"/>
        <v/>
      </c>
      <c r="HF327" s="658" t="str">
        <f t="shared" si="68"/>
        <v/>
      </c>
      <c r="HG327" s="658" t="str">
        <f t="shared" si="69"/>
        <v/>
      </c>
      <c r="HH327" s="658" t="str">
        <f t="shared" si="70"/>
        <v/>
      </c>
      <c r="HI327" s="658" t="str">
        <f t="shared" si="71"/>
        <v/>
      </c>
      <c r="HJ327" s="658" t="str">
        <f t="shared" si="72"/>
        <v/>
      </c>
      <c r="HK327" s="658" t="str">
        <f t="shared" si="73"/>
        <v/>
      </c>
      <c r="HL327" s="658" t="str">
        <f t="shared" si="74"/>
        <v/>
      </c>
      <c r="HM327" s="658" t="str">
        <f t="shared" si="75"/>
        <v/>
      </c>
      <c r="HN327" s="658" t="str">
        <f t="shared" si="76"/>
        <v/>
      </c>
      <c r="HO327" s="658" t="str">
        <f t="shared" si="77"/>
        <v/>
      </c>
      <c r="HP327" s="658" t="str">
        <f t="shared" si="78"/>
        <v/>
      </c>
      <c r="HQ327" s="658" t="str">
        <f t="shared" si="79"/>
        <v/>
      </c>
      <c r="HR327" s="658" t="str">
        <f t="shared" si="102"/>
        <v/>
      </c>
      <c r="HT327" s="658">
        <f>LEFT(M327,1)*10000+MID(M327,3,LEN(M327)-3)*100+COUNTIF($M$319:M327,M327)</f>
        <v>10901</v>
      </c>
      <c r="HU327" s="658" t="str">
        <f t="shared" si="103"/>
        <v/>
      </c>
      <c r="HV327" s="658" t="str">
        <f t="shared" si="80"/>
        <v/>
      </c>
      <c r="HW327" s="658" t="str">
        <f t="shared" si="104"/>
        <v/>
      </c>
      <c r="HX327" s="658" t="str">
        <f t="shared" si="81"/>
        <v/>
      </c>
    </row>
    <row r="328" spans="1:232" s="19" customFormat="1" ht="50.1" hidden="1" customHeight="1" thickBot="1" x14ac:dyDescent="0.2">
      <c r="A328" s="1201"/>
      <c r="B328" s="1201"/>
      <c r="C328" s="1201"/>
      <c r="D328" s="1201"/>
      <c r="E328" s="1202"/>
      <c r="F328" s="652"/>
      <c r="G328" s="652"/>
      <c r="H328" s="652"/>
      <c r="I328" s="1354"/>
      <c r="J328" s="1234"/>
      <c r="K328" s="1261"/>
      <c r="L328" s="1261"/>
      <c r="M328" s="2149" t="s">
        <v>1715</v>
      </c>
      <c r="N328" s="2149"/>
      <c r="O328" s="2149"/>
      <c r="P328" s="2430"/>
      <c r="Q328" s="2430"/>
      <c r="R328" s="2430"/>
      <c r="S328" s="2430"/>
      <c r="T328" s="2430"/>
      <c r="U328" s="2435"/>
      <c r="V328" s="2435"/>
      <c r="W328" s="2435"/>
      <c r="X328" s="2435"/>
      <c r="Y328" s="2435"/>
      <c r="Z328" s="2435"/>
      <c r="AA328" s="2435"/>
      <c r="AB328" s="2435"/>
      <c r="AC328" s="2435"/>
      <c r="AD328" s="2435"/>
      <c r="AE328" s="2446"/>
      <c r="AF328" s="2510"/>
      <c r="AG328" s="2180"/>
      <c r="AH328" s="2180"/>
      <c r="AI328" s="2180"/>
      <c r="AJ328" s="2180"/>
      <c r="AK328" s="2180"/>
      <c r="AL328" s="2180"/>
      <c r="AM328" s="2180"/>
      <c r="AN328" s="2180"/>
      <c r="AO328" s="2180"/>
      <c r="AP328" s="2180"/>
      <c r="AQ328" s="2511"/>
      <c r="AR328" s="2307"/>
      <c r="AS328" s="2307"/>
      <c r="AT328" s="2410"/>
      <c r="AU328" s="2410"/>
      <c r="AV328" s="2410"/>
      <c r="AW328" s="2410"/>
      <c r="AX328" s="2410"/>
      <c r="AY328" s="2410"/>
      <c r="AZ328" s="2410"/>
      <c r="BA328" s="2410"/>
      <c r="BB328" s="2410"/>
      <c r="BC328" s="2410"/>
      <c r="BD328" s="2410"/>
      <c r="BE328" s="2410"/>
      <c r="BF328" s="2410"/>
      <c r="BG328" s="2410"/>
      <c r="BH328" s="2410"/>
      <c r="BI328" s="2410"/>
      <c r="BJ328" s="2410"/>
      <c r="BK328" s="2410"/>
      <c r="BL328" s="2410"/>
      <c r="BM328" s="2410"/>
      <c r="BN328" s="2410"/>
      <c r="BO328" s="2410"/>
      <c r="BP328" s="2410"/>
      <c r="BQ328" s="2410"/>
      <c r="BR328" s="2410"/>
      <c r="BS328" s="2420"/>
      <c r="BT328" s="2421"/>
      <c r="BU328" s="2422"/>
      <c r="BV328" s="2296"/>
      <c r="BW328" s="2296"/>
      <c r="BX328" s="2296"/>
      <c r="BY328" s="2296"/>
      <c r="BZ328" s="2307"/>
      <c r="CA328" s="2307"/>
      <c r="CB328" s="2317"/>
      <c r="CC328" s="2174"/>
      <c r="CD328" s="2174"/>
      <c r="CE328" s="2174"/>
      <c r="CF328" s="2174"/>
      <c r="CG328" s="2174"/>
      <c r="CH328" s="2174"/>
      <c r="CI328" s="2174"/>
      <c r="CJ328" s="2174"/>
      <c r="CK328" s="2174"/>
      <c r="CL328" s="2174"/>
      <c r="CM328" s="2174"/>
      <c r="CN328" s="2174"/>
      <c r="CO328" s="2174"/>
      <c r="CP328" s="2174"/>
      <c r="CQ328" s="2174"/>
      <c r="CR328" s="2174"/>
      <c r="CS328" s="2174"/>
      <c r="CT328" s="2174"/>
      <c r="CU328" s="2318"/>
      <c r="CV328" s="2300" t="str">
        <f t="shared" ref="CV328:CV332" si="110">IF(AND(DT328="要是正",DU328&lt;21),HYPERLINK("#"&amp;EL328&amp;"!"&amp;EM328&amp;":"&amp;EN328&amp;"","関連写真添付"),"")</f>
        <v/>
      </c>
      <c r="CW328" s="2300"/>
      <c r="CX328" s="2300"/>
      <c r="CY328" s="2300"/>
      <c r="CZ328" s="2300"/>
      <c r="DA328" s="2300"/>
      <c r="DC328" s="329" t="str">
        <f t="shared" ref="DC328:DC332" si="111">IF(AND(DU328&lt;&gt;"",DU328&gt;10),"「別途様式を作成、提出してください。」","")</f>
        <v/>
      </c>
      <c r="DD328" s="197"/>
      <c r="DF328" s="14"/>
      <c r="DG328" s="14"/>
      <c r="DH328" s="14"/>
      <c r="DI328" s="1596"/>
      <c r="DJ328" s="1170" t="s">
        <v>2749</v>
      </c>
      <c r="DK328" s="1604" t="str">
        <f t="shared" si="19"/>
        <v/>
      </c>
      <c r="DL328" s="437" t="str">
        <f t="shared" si="20"/>
        <v/>
      </c>
      <c r="DM328" s="1129">
        <f t="shared" si="21"/>
        <v>0</v>
      </c>
      <c r="DN328" s="266">
        <f t="shared" si="22"/>
        <v>0</v>
      </c>
      <c r="DO328" s="266">
        <f t="shared" si="23"/>
        <v>0</v>
      </c>
      <c r="DP328" s="267">
        <f t="shared" si="24"/>
        <v>0</v>
      </c>
      <c r="DQ328" s="26" t="s">
        <v>1740</v>
      </c>
      <c r="DR328" s="265">
        <f>IF($U328="",R328,U328)</f>
        <v>0</v>
      </c>
      <c r="DS328" s="125">
        <f t="shared" si="25"/>
        <v>0</v>
      </c>
      <c r="DT328" s="270" t="str">
        <f t="shared" si="26"/>
        <v/>
      </c>
      <c r="DU328" s="242" t="str">
        <f t="shared" si="82"/>
        <v/>
      </c>
      <c r="DV328" s="137" t="str">
        <f>IF($DT328="要是正",MAX($DV$318:DV327)+1,"")</f>
        <v/>
      </c>
      <c r="DW328" s="274" t="str">
        <f t="shared" si="27"/>
        <v/>
      </c>
      <c r="DX328" s="257" t="str">
        <f t="shared" si="83"/>
        <v/>
      </c>
      <c r="DY328" s="258" t="str">
        <f t="shared" si="28"/>
        <v/>
      </c>
      <c r="DZ328" s="259" t="str">
        <f t="shared" si="29"/>
        <v/>
      </c>
      <c r="EA328" s="256" t="str">
        <f t="shared" si="30"/>
        <v/>
      </c>
      <c r="EB328" s="138" t="str">
        <f t="shared" si="31"/>
        <v/>
      </c>
      <c r="EC328" s="131" t="str">
        <f t="shared" si="84"/>
        <v>0</v>
      </c>
      <c r="ED328" s="54" t="str">
        <f t="shared" si="32"/>
        <v/>
      </c>
      <c r="EE328" s="250" t="str">
        <f t="shared" ref="EE328:EE332" si="112">IF(ED328=1,EC328,"0")</f>
        <v>0</v>
      </c>
      <c r="EF328" s="251" t="str">
        <f t="shared" si="33"/>
        <v/>
      </c>
      <c r="EG328" s="247" t="str">
        <f t="shared" si="34"/>
        <v/>
      </c>
      <c r="EH328" s="248" t="str">
        <f t="shared" si="86"/>
        <v>0</v>
      </c>
      <c r="EI328" s="249" t="str">
        <f t="shared" si="35"/>
        <v/>
      </c>
      <c r="EJ328" s="250" t="str">
        <f t="shared" ref="EJ328:EJ332" si="113">IF(EI328=1,EH328,"0")</f>
        <v>0</v>
      </c>
      <c r="EK328" s="251" t="str">
        <f t="shared" si="36"/>
        <v/>
      </c>
      <c r="EL328" s="254" t="e">
        <f t="shared" ref="EL328:EL332" si="114">VLOOKUP($DU328,$EO$318:$ER$345,2,FALSE)</f>
        <v>#N/A</v>
      </c>
      <c r="EM328" s="137" t="e">
        <f t="shared" ref="EM328:EM332" si="115">VLOOKUP($DU328,$EO$318:$ER$346,3,FALSE)</f>
        <v>#N/A</v>
      </c>
      <c r="EN328" s="244" t="e">
        <f t="shared" ref="EN328:EN332" si="116">VLOOKUP($DU328,$EO$318:$ER$346,4,FALSE)</f>
        <v>#N/A</v>
      </c>
      <c r="EO328" s="129">
        <v>10</v>
      </c>
      <c r="EP328" s="125" t="s">
        <v>1060</v>
      </c>
      <c r="EQ328" s="125" t="s">
        <v>1022</v>
      </c>
      <c r="ER328" s="126" t="s">
        <v>1023</v>
      </c>
      <c r="ET328" s="669"/>
      <c r="EU328" s="2025" t="str">
        <f>IF(AND(EV328&lt;&gt;"レ",EW328&lt;&gt;"レ",EX328&lt;&gt;"レ",COUNTIF(EU319:EU327,"レ")&gt;0),"レ","")</f>
        <v/>
      </c>
      <c r="EV328" s="2025" t="str">
        <f>IF(AND(EW328&lt;&gt;"レ",EX328&lt;&gt;"レ",COUNTIF(EV319:EV327,"レ")&gt;0),"レ","")</f>
        <v/>
      </c>
      <c r="EW328" s="2025" t="str">
        <f>IF(COUNTIF(EW319:EW327,"レ")&gt;0,"レ","")</f>
        <v/>
      </c>
      <c r="EX328" s="2026" t="str">
        <f>IF(AND(EW328&lt;&gt;"レ",COUNTIF(EX319:EX327,"レ")&gt;0),"レ","")</f>
        <v/>
      </c>
      <c r="EY328" s="142" t="str" cm="1">
        <f t="array" ref="EY328">INDEX(EY319:EY327,MATCH(MIN(ABS(EY319:EY327-$DP$4)),ABS(EY319:EY327-$DP$4),0))</f>
        <v>0</v>
      </c>
      <c r="EZ328" s="276" t="s">
        <v>271</v>
      </c>
      <c r="FA328" s="354">
        <f>COUNTIF(FA319:FA327,"レ")</f>
        <v>0</v>
      </c>
      <c r="FB328" s="352" t="s">
        <v>1624</v>
      </c>
      <c r="FC328" s="352" t="s">
        <v>1624</v>
      </c>
      <c r="FD328" s="142" t="str" cm="1">
        <f t="array" ref="FD328">INDEX(FD319:FD327,MATCH(MIN(ABS(FD319:FD327-$DP$4)),ABS(FD319:FD327-$DP$4),0))</f>
        <v>0</v>
      </c>
      <c r="FE328" s="276" t="s">
        <v>271</v>
      </c>
      <c r="FF328" s="354">
        <f>COUNTIF(FF319:FF327,"レ")</f>
        <v>0</v>
      </c>
      <c r="FG328" s="352" t="s">
        <v>1624</v>
      </c>
      <c r="FH328" s="352" t="s">
        <v>1624</v>
      </c>
      <c r="FI328" s="20"/>
      <c r="FJ328" s="20"/>
      <c r="FK328" s="326" t="str">
        <f t="shared" si="89"/>
        <v/>
      </c>
      <c r="FL328" s="326" t="str">
        <f t="shared" si="90"/>
        <v/>
      </c>
      <c r="FM328" s="326" t="str">
        <f t="shared" si="91"/>
        <v/>
      </c>
      <c r="FN328" s="326">
        <f t="shared" si="40"/>
        <v>0</v>
      </c>
      <c r="FO328" s="351" t="str">
        <f t="shared" si="41"/>
        <v/>
      </c>
      <c r="FQ328" s="138" t="str">
        <f t="shared" si="42"/>
        <v/>
      </c>
      <c r="FR328" s="131" t="str">
        <f t="shared" si="92"/>
        <v>0</v>
      </c>
      <c r="FS328" s="54" t="str">
        <f t="shared" si="43"/>
        <v/>
      </c>
      <c r="FT328" s="131" t="str">
        <f t="shared" ref="FT328:FT332" si="117">IF(FS328=1,FR328,"0")</f>
        <v>0</v>
      </c>
      <c r="FU328" s="217" t="str">
        <f t="shared" si="44"/>
        <v/>
      </c>
      <c r="FW328" s="667">
        <f t="shared" si="45"/>
        <v>0</v>
      </c>
      <c r="FX328" s="32"/>
      <c r="FY328" s="32"/>
      <c r="FZ328" s="668"/>
      <c r="GA328" s="14"/>
      <c r="GB328" s="32">
        <f t="shared" si="46"/>
        <v>0</v>
      </c>
      <c r="GC328" s="32">
        <f t="shared" si="47"/>
        <v>0</v>
      </c>
      <c r="GD328" s="19">
        <f t="shared" si="48"/>
        <v>0</v>
      </c>
      <c r="GE328" s="658" t="str">
        <f t="shared" si="49"/>
        <v/>
      </c>
      <c r="GF328" s="658" t="str">
        <f t="shared" si="50"/>
        <v/>
      </c>
      <c r="GG328" s="658" t="str">
        <f t="shared" si="51"/>
        <v/>
      </c>
      <c r="GH328" s="658" t="str">
        <f t="shared" si="52"/>
        <v/>
      </c>
      <c r="GI328" s="658" t="str">
        <f t="shared" si="53"/>
        <v/>
      </c>
      <c r="GJ328" s="658" t="str">
        <f t="shared" si="54"/>
        <v/>
      </c>
      <c r="GK328" s="658" t="str">
        <f t="shared" si="55"/>
        <v/>
      </c>
      <c r="GL328" s="658" t="str">
        <f t="shared" si="56"/>
        <v/>
      </c>
      <c r="GM328" s="658" t="str">
        <f t="shared" si="57"/>
        <v/>
      </c>
      <c r="GN328" s="658" t="str">
        <f t="shared" si="58"/>
        <v/>
      </c>
      <c r="GO328" s="658" t="str">
        <f t="shared" si="59"/>
        <v/>
      </c>
      <c r="GP328" s="658" t="str">
        <f t="shared" si="60"/>
        <v/>
      </c>
      <c r="GQ328" s="658" t="str">
        <f t="shared" si="61"/>
        <v/>
      </c>
      <c r="GR328" s="658" t="str">
        <f t="shared" si="62"/>
        <v/>
      </c>
      <c r="GS328" s="658" t="str">
        <f t="shared" si="63"/>
        <v/>
      </c>
      <c r="GT328" s="658">
        <f t="shared" si="94"/>
        <v>0</v>
      </c>
      <c r="GU328" s="658">
        <f t="shared" si="95"/>
        <v>0</v>
      </c>
      <c r="GV328" s="658">
        <f t="shared" si="96"/>
        <v>0</v>
      </c>
      <c r="GW328" s="658" t="b">
        <f t="shared" si="97"/>
        <v>0</v>
      </c>
      <c r="GX328" s="658" t="b">
        <f t="shared" si="98"/>
        <v>0</v>
      </c>
      <c r="GY328" s="658" t="b">
        <f t="shared" si="99"/>
        <v>0</v>
      </c>
      <c r="GZ328" s="658" t="str">
        <f t="shared" si="100"/>
        <v/>
      </c>
      <c r="HB328" s="658" t="str">
        <f t="shared" si="101"/>
        <v/>
      </c>
      <c r="HC328" s="658" t="str">
        <f t="shared" si="65"/>
        <v/>
      </c>
      <c r="HD328" s="658" t="str">
        <f t="shared" si="66"/>
        <v/>
      </c>
      <c r="HE328" s="658" t="str">
        <f t="shared" si="67"/>
        <v/>
      </c>
      <c r="HF328" s="658" t="str">
        <f t="shared" si="68"/>
        <v/>
      </c>
      <c r="HG328" s="658" t="str">
        <f t="shared" si="69"/>
        <v/>
      </c>
      <c r="HH328" s="658" t="str">
        <f t="shared" si="70"/>
        <v/>
      </c>
      <c r="HI328" s="658" t="str">
        <f t="shared" si="71"/>
        <v/>
      </c>
      <c r="HJ328" s="658" t="str">
        <f t="shared" si="72"/>
        <v/>
      </c>
      <c r="HK328" s="658" t="str">
        <f t="shared" si="73"/>
        <v/>
      </c>
      <c r="HL328" s="658" t="str">
        <f t="shared" si="74"/>
        <v/>
      </c>
      <c r="HM328" s="658" t="str">
        <f t="shared" si="75"/>
        <v/>
      </c>
      <c r="HN328" s="658" t="str">
        <f t="shared" si="76"/>
        <v/>
      </c>
      <c r="HO328" s="658" t="str">
        <f t="shared" si="77"/>
        <v/>
      </c>
      <c r="HP328" s="658" t="str">
        <f t="shared" si="78"/>
        <v/>
      </c>
      <c r="HQ328" s="658" t="str">
        <f t="shared" si="79"/>
        <v/>
      </c>
      <c r="HR328" s="658" t="str">
        <f t="shared" si="102"/>
        <v/>
      </c>
      <c r="HT328" s="658">
        <f>LEFT(M328,1)*10000+MID(M328,3,LEN(M328)-3)*100+COUNTIF($M$319:M328,M328)</f>
        <v>11001</v>
      </c>
      <c r="HU328" s="658" t="str">
        <f t="shared" si="103"/>
        <v/>
      </c>
      <c r="HV328" s="658" t="str">
        <f t="shared" si="80"/>
        <v/>
      </c>
      <c r="HW328" s="658" t="str">
        <f t="shared" si="104"/>
        <v/>
      </c>
      <c r="HX328" s="658" t="str">
        <f t="shared" si="81"/>
        <v/>
      </c>
    </row>
    <row r="329" spans="1:232" s="19" customFormat="1" ht="50.1" hidden="1" customHeight="1" thickBot="1" x14ac:dyDescent="0.2">
      <c r="A329" s="1201"/>
      <c r="B329" s="1201"/>
      <c r="C329" s="1201"/>
      <c r="D329" s="1201"/>
      <c r="E329" s="1202"/>
      <c r="F329" s="652"/>
      <c r="G329" s="652"/>
      <c r="H329" s="652"/>
      <c r="I329" s="1354"/>
      <c r="J329" s="1234"/>
      <c r="K329" s="1261"/>
      <c r="L329" s="1261"/>
      <c r="M329" s="2149" t="s">
        <v>1716</v>
      </c>
      <c r="N329" s="2149"/>
      <c r="O329" s="2149"/>
      <c r="P329" s="2430"/>
      <c r="Q329" s="2430"/>
      <c r="R329" s="2430"/>
      <c r="S329" s="2430"/>
      <c r="T329" s="2430"/>
      <c r="U329" s="2435"/>
      <c r="V329" s="2435"/>
      <c r="W329" s="2435"/>
      <c r="X329" s="2435"/>
      <c r="Y329" s="2435"/>
      <c r="Z329" s="2435"/>
      <c r="AA329" s="2435"/>
      <c r="AB329" s="2435"/>
      <c r="AC329" s="2435"/>
      <c r="AD329" s="2435"/>
      <c r="AE329" s="2446"/>
      <c r="AF329" s="2434"/>
      <c r="AG329" s="2434"/>
      <c r="AH329" s="2434"/>
      <c r="AI329" s="2434"/>
      <c r="AJ329" s="2434"/>
      <c r="AK329" s="2434"/>
      <c r="AL329" s="2434"/>
      <c r="AM329" s="2434"/>
      <c r="AN329" s="2434"/>
      <c r="AO329" s="2434"/>
      <c r="AP329" s="2434"/>
      <c r="AQ329" s="2434"/>
      <c r="AR329" s="2307"/>
      <c r="AS329" s="2307"/>
      <c r="AT329" s="2410"/>
      <c r="AU329" s="2410"/>
      <c r="AV329" s="2410"/>
      <c r="AW329" s="2410"/>
      <c r="AX329" s="2410"/>
      <c r="AY329" s="2410"/>
      <c r="AZ329" s="2410"/>
      <c r="BA329" s="2410"/>
      <c r="BB329" s="2410"/>
      <c r="BC329" s="2410"/>
      <c r="BD329" s="2410"/>
      <c r="BE329" s="2410"/>
      <c r="BF329" s="2410"/>
      <c r="BG329" s="2410"/>
      <c r="BH329" s="2410"/>
      <c r="BI329" s="2410"/>
      <c r="BJ329" s="2410"/>
      <c r="BK329" s="2410"/>
      <c r="BL329" s="2410"/>
      <c r="BM329" s="2410"/>
      <c r="BN329" s="2410"/>
      <c r="BO329" s="2410"/>
      <c r="BP329" s="2410"/>
      <c r="BQ329" s="2410"/>
      <c r="BR329" s="2410"/>
      <c r="BS329" s="2420"/>
      <c r="BT329" s="2421"/>
      <c r="BU329" s="2422"/>
      <c r="BV329" s="2296"/>
      <c r="BW329" s="2296"/>
      <c r="BX329" s="2296"/>
      <c r="BY329" s="2296"/>
      <c r="BZ329" s="2307"/>
      <c r="CA329" s="2307"/>
      <c r="CB329" s="2317"/>
      <c r="CC329" s="2174"/>
      <c r="CD329" s="2174"/>
      <c r="CE329" s="2174"/>
      <c r="CF329" s="2174"/>
      <c r="CG329" s="2174"/>
      <c r="CH329" s="2174"/>
      <c r="CI329" s="2174"/>
      <c r="CJ329" s="2174"/>
      <c r="CK329" s="2174"/>
      <c r="CL329" s="2174"/>
      <c r="CM329" s="2174"/>
      <c r="CN329" s="2174"/>
      <c r="CO329" s="2174"/>
      <c r="CP329" s="2174"/>
      <c r="CQ329" s="2174"/>
      <c r="CR329" s="2174"/>
      <c r="CS329" s="2174"/>
      <c r="CT329" s="2174"/>
      <c r="CU329" s="2318"/>
      <c r="CV329" s="2300" t="str">
        <f t="shared" si="110"/>
        <v/>
      </c>
      <c r="CW329" s="2300"/>
      <c r="CX329" s="2300"/>
      <c r="CY329" s="2300"/>
      <c r="CZ329" s="2300"/>
      <c r="DA329" s="2300"/>
      <c r="DC329" s="329" t="str">
        <f t="shared" si="111"/>
        <v/>
      </c>
      <c r="DD329" s="197"/>
      <c r="DF329" s="14"/>
      <c r="DG329" s="14"/>
      <c r="DH329" s="14"/>
      <c r="DI329" s="1596"/>
      <c r="DJ329" s="1170" t="s">
        <v>2749</v>
      </c>
      <c r="DK329" s="1604" t="str">
        <f t="shared" si="19"/>
        <v/>
      </c>
      <c r="DL329" s="437" t="str">
        <f t="shared" si="20"/>
        <v/>
      </c>
      <c r="DM329" s="1129">
        <f t="shared" si="21"/>
        <v>0</v>
      </c>
      <c r="DN329" s="266">
        <f t="shared" si="22"/>
        <v>0</v>
      </c>
      <c r="DO329" s="266">
        <f t="shared" si="23"/>
        <v>0</v>
      </c>
      <c r="DP329" s="267">
        <f t="shared" si="24"/>
        <v>0</v>
      </c>
      <c r="DQ329" s="26" t="s">
        <v>1741</v>
      </c>
      <c r="DR329" s="265">
        <f>IF($U329="",R329,U329)</f>
        <v>0</v>
      </c>
      <c r="DS329" s="125">
        <f t="shared" si="25"/>
        <v>0</v>
      </c>
      <c r="DT329" s="270" t="str">
        <f t="shared" si="26"/>
        <v/>
      </c>
      <c r="DU329" s="242" t="str">
        <f t="shared" si="82"/>
        <v/>
      </c>
      <c r="DV329" s="137" t="str">
        <f>IF($DT329="要是正",MAX($DV$318:DV328)+1,"")</f>
        <v/>
      </c>
      <c r="DW329" s="274" t="str">
        <f t="shared" si="27"/>
        <v/>
      </c>
      <c r="DX329" s="257" t="str">
        <f t="shared" si="83"/>
        <v/>
      </c>
      <c r="DY329" s="258" t="str">
        <f t="shared" si="28"/>
        <v/>
      </c>
      <c r="DZ329" s="259" t="str">
        <f t="shared" si="29"/>
        <v/>
      </c>
      <c r="EA329" s="256" t="str">
        <f t="shared" si="30"/>
        <v/>
      </c>
      <c r="EB329" s="138" t="str">
        <f t="shared" si="31"/>
        <v/>
      </c>
      <c r="EC329" s="131" t="str">
        <f t="shared" si="84"/>
        <v>0</v>
      </c>
      <c r="ED329" s="54" t="str">
        <f t="shared" si="32"/>
        <v/>
      </c>
      <c r="EE329" s="250" t="str">
        <f t="shared" si="112"/>
        <v>0</v>
      </c>
      <c r="EF329" s="251" t="str">
        <f t="shared" si="33"/>
        <v/>
      </c>
      <c r="EG329" s="247" t="str">
        <f t="shared" si="34"/>
        <v/>
      </c>
      <c r="EH329" s="248" t="str">
        <f t="shared" si="86"/>
        <v>0</v>
      </c>
      <c r="EI329" s="249" t="str">
        <f t="shared" si="35"/>
        <v/>
      </c>
      <c r="EJ329" s="250" t="str">
        <f t="shared" si="113"/>
        <v>0</v>
      </c>
      <c r="EK329" s="251" t="str">
        <f t="shared" si="36"/>
        <v/>
      </c>
      <c r="EL329" s="254" t="e">
        <f t="shared" si="114"/>
        <v>#N/A</v>
      </c>
      <c r="EM329" s="137" t="e">
        <f t="shared" si="115"/>
        <v>#N/A</v>
      </c>
      <c r="EN329" s="244" t="e">
        <f t="shared" si="116"/>
        <v>#N/A</v>
      </c>
      <c r="EO329" s="129">
        <v>10</v>
      </c>
      <c r="EP329" s="125" t="s">
        <v>1060</v>
      </c>
      <c r="EQ329" s="125" t="s">
        <v>1022</v>
      </c>
      <c r="ER329" s="126" t="s">
        <v>1023</v>
      </c>
      <c r="ET329" s="15"/>
      <c r="EU329" s="1563" t="s">
        <v>3432</v>
      </c>
      <c r="EV329" s="31"/>
      <c r="EW329" s="31"/>
      <c r="EX329" s="31"/>
      <c r="EY329" s="307"/>
      <c r="EZ329" s="307"/>
      <c r="FA329" s="31"/>
      <c r="FB329" s="325"/>
      <c r="FC329" s="325"/>
      <c r="FD329" s="307"/>
      <c r="FE329" s="307"/>
      <c r="FF329" s="31"/>
      <c r="FG329" s="325"/>
      <c r="FH329" s="325"/>
      <c r="FI329" s="20"/>
      <c r="FJ329" s="20"/>
      <c r="FK329" s="326" t="str">
        <f t="shared" si="89"/>
        <v/>
      </c>
      <c r="FL329" s="326" t="str">
        <f t="shared" si="90"/>
        <v/>
      </c>
      <c r="FM329" s="326" t="str">
        <f t="shared" si="91"/>
        <v/>
      </c>
      <c r="FN329" s="326">
        <f t="shared" si="40"/>
        <v>0</v>
      </c>
      <c r="FO329" s="351" t="str">
        <f t="shared" si="41"/>
        <v/>
      </c>
      <c r="FQ329" s="138" t="str">
        <f t="shared" si="42"/>
        <v/>
      </c>
      <c r="FR329" s="131" t="str">
        <f t="shared" si="92"/>
        <v>0</v>
      </c>
      <c r="FS329" s="54" t="str">
        <f t="shared" si="43"/>
        <v/>
      </c>
      <c r="FT329" s="131" t="str">
        <f t="shared" si="117"/>
        <v>0</v>
      </c>
      <c r="FU329" s="217" t="str">
        <f t="shared" si="44"/>
        <v/>
      </c>
      <c r="FW329" s="667">
        <f t="shared" si="45"/>
        <v>0</v>
      </c>
      <c r="FX329" s="32"/>
      <c r="FY329" s="32"/>
      <c r="FZ329" s="668"/>
      <c r="GA329" s="14"/>
      <c r="GB329" s="32">
        <f t="shared" si="46"/>
        <v>0</v>
      </c>
      <c r="GC329" s="32">
        <f t="shared" si="47"/>
        <v>0</v>
      </c>
      <c r="GD329" s="19">
        <f t="shared" si="48"/>
        <v>0</v>
      </c>
      <c r="GE329" s="658" t="str">
        <f t="shared" si="49"/>
        <v/>
      </c>
      <c r="GF329" s="658" t="str">
        <f t="shared" si="50"/>
        <v/>
      </c>
      <c r="GG329" s="658" t="str">
        <f t="shared" si="51"/>
        <v/>
      </c>
      <c r="GH329" s="658" t="str">
        <f t="shared" si="52"/>
        <v/>
      </c>
      <c r="GI329" s="658" t="str">
        <f t="shared" si="53"/>
        <v/>
      </c>
      <c r="GJ329" s="658" t="str">
        <f t="shared" si="54"/>
        <v/>
      </c>
      <c r="GK329" s="658" t="str">
        <f t="shared" si="55"/>
        <v/>
      </c>
      <c r="GL329" s="658" t="str">
        <f t="shared" si="56"/>
        <v/>
      </c>
      <c r="GM329" s="658" t="str">
        <f t="shared" si="57"/>
        <v/>
      </c>
      <c r="GN329" s="658" t="str">
        <f t="shared" si="58"/>
        <v/>
      </c>
      <c r="GO329" s="658" t="str">
        <f t="shared" si="59"/>
        <v/>
      </c>
      <c r="GP329" s="658" t="str">
        <f t="shared" si="60"/>
        <v/>
      </c>
      <c r="GQ329" s="658" t="str">
        <f t="shared" si="61"/>
        <v/>
      </c>
      <c r="GR329" s="658" t="str">
        <f t="shared" si="62"/>
        <v/>
      </c>
      <c r="GS329" s="658" t="str">
        <f t="shared" si="63"/>
        <v/>
      </c>
      <c r="GT329" s="658">
        <f t="shared" si="94"/>
        <v>0</v>
      </c>
      <c r="GU329" s="658">
        <f t="shared" si="95"/>
        <v>0</v>
      </c>
      <c r="GV329" s="658">
        <f t="shared" si="96"/>
        <v>0</v>
      </c>
      <c r="GW329" s="658" t="b">
        <f t="shared" si="97"/>
        <v>0</v>
      </c>
      <c r="GX329" s="658" t="b">
        <f t="shared" si="98"/>
        <v>0</v>
      </c>
      <c r="GY329" s="658" t="b">
        <f t="shared" si="99"/>
        <v>0</v>
      </c>
      <c r="GZ329" s="658" t="str">
        <f t="shared" si="100"/>
        <v/>
      </c>
      <c r="HB329" s="658" t="str">
        <f t="shared" si="101"/>
        <v/>
      </c>
      <c r="HC329" s="658" t="str">
        <f t="shared" si="65"/>
        <v/>
      </c>
      <c r="HD329" s="658" t="str">
        <f t="shared" si="66"/>
        <v/>
      </c>
      <c r="HE329" s="658" t="str">
        <f t="shared" si="67"/>
        <v/>
      </c>
      <c r="HF329" s="658" t="str">
        <f t="shared" si="68"/>
        <v/>
      </c>
      <c r="HG329" s="658" t="str">
        <f t="shared" si="69"/>
        <v/>
      </c>
      <c r="HH329" s="658" t="str">
        <f t="shared" si="70"/>
        <v/>
      </c>
      <c r="HI329" s="658" t="str">
        <f t="shared" si="71"/>
        <v/>
      </c>
      <c r="HJ329" s="658" t="str">
        <f t="shared" si="72"/>
        <v/>
      </c>
      <c r="HK329" s="658" t="str">
        <f t="shared" si="73"/>
        <v/>
      </c>
      <c r="HL329" s="658" t="str">
        <f t="shared" si="74"/>
        <v/>
      </c>
      <c r="HM329" s="658" t="str">
        <f t="shared" si="75"/>
        <v/>
      </c>
      <c r="HN329" s="658" t="str">
        <f t="shared" si="76"/>
        <v/>
      </c>
      <c r="HO329" s="658" t="str">
        <f t="shared" si="77"/>
        <v/>
      </c>
      <c r="HP329" s="658" t="str">
        <f t="shared" si="78"/>
        <v/>
      </c>
      <c r="HQ329" s="658" t="str">
        <f t="shared" si="79"/>
        <v/>
      </c>
      <c r="HR329" s="658" t="str">
        <f t="shared" si="102"/>
        <v/>
      </c>
      <c r="HT329" s="658">
        <f>LEFT(M329,1)*10000+MID(M329,3,LEN(M329)-3)*100+COUNTIF($M$319:M329,M329)</f>
        <v>11101</v>
      </c>
      <c r="HU329" s="658" t="str">
        <f t="shared" si="103"/>
        <v/>
      </c>
      <c r="HV329" s="658" t="str">
        <f t="shared" si="80"/>
        <v/>
      </c>
      <c r="HW329" s="658" t="str">
        <f t="shared" si="104"/>
        <v/>
      </c>
      <c r="HX329" s="658" t="str">
        <f t="shared" si="81"/>
        <v/>
      </c>
    </row>
    <row r="330" spans="1:232" s="19" customFormat="1" ht="50.1" hidden="1" customHeight="1" thickBot="1" x14ac:dyDescent="0.2">
      <c r="A330" s="1201"/>
      <c r="B330" s="1201"/>
      <c r="C330" s="1201"/>
      <c r="D330" s="1201"/>
      <c r="E330" s="1202"/>
      <c r="F330" s="652"/>
      <c r="G330" s="652"/>
      <c r="H330" s="652"/>
      <c r="I330" s="1354"/>
      <c r="J330" s="1234"/>
      <c r="K330" s="1261"/>
      <c r="L330" s="1261"/>
      <c r="M330" s="2149" t="s">
        <v>1717</v>
      </c>
      <c r="N330" s="2149"/>
      <c r="O330" s="2149"/>
      <c r="P330" s="2430"/>
      <c r="Q330" s="2430"/>
      <c r="R330" s="2430"/>
      <c r="S330" s="2430"/>
      <c r="T330" s="2430"/>
      <c r="U330" s="2435"/>
      <c r="V330" s="2435"/>
      <c r="W330" s="2435"/>
      <c r="X330" s="2435"/>
      <c r="Y330" s="2435"/>
      <c r="Z330" s="2435"/>
      <c r="AA330" s="2435"/>
      <c r="AB330" s="2435"/>
      <c r="AC330" s="2435"/>
      <c r="AD330" s="2435"/>
      <c r="AE330" s="2446"/>
      <c r="AF330" s="2434"/>
      <c r="AG330" s="2434"/>
      <c r="AH330" s="2434"/>
      <c r="AI330" s="2434"/>
      <c r="AJ330" s="2434"/>
      <c r="AK330" s="2434"/>
      <c r="AL330" s="2434"/>
      <c r="AM330" s="2434"/>
      <c r="AN330" s="2434"/>
      <c r="AO330" s="2434"/>
      <c r="AP330" s="2434"/>
      <c r="AQ330" s="2434"/>
      <c r="AR330" s="2307"/>
      <c r="AS330" s="2307"/>
      <c r="AT330" s="2410"/>
      <c r="AU330" s="2410"/>
      <c r="AV330" s="2410"/>
      <c r="AW330" s="2410"/>
      <c r="AX330" s="2410"/>
      <c r="AY330" s="2410"/>
      <c r="AZ330" s="2410"/>
      <c r="BA330" s="2410"/>
      <c r="BB330" s="2410"/>
      <c r="BC330" s="2410"/>
      <c r="BD330" s="2410"/>
      <c r="BE330" s="2410"/>
      <c r="BF330" s="2410"/>
      <c r="BG330" s="2410"/>
      <c r="BH330" s="2410"/>
      <c r="BI330" s="2410"/>
      <c r="BJ330" s="2410"/>
      <c r="BK330" s="2410"/>
      <c r="BL330" s="2410"/>
      <c r="BM330" s="2410"/>
      <c r="BN330" s="2410"/>
      <c r="BO330" s="2410"/>
      <c r="BP330" s="2410"/>
      <c r="BQ330" s="2410"/>
      <c r="BR330" s="2410"/>
      <c r="BS330" s="2420"/>
      <c r="BT330" s="2421"/>
      <c r="BU330" s="2422"/>
      <c r="BV330" s="2296"/>
      <c r="BW330" s="2296"/>
      <c r="BX330" s="2296"/>
      <c r="BY330" s="2296"/>
      <c r="BZ330" s="2307"/>
      <c r="CA330" s="2307"/>
      <c r="CB330" s="2317"/>
      <c r="CC330" s="2174"/>
      <c r="CD330" s="2174"/>
      <c r="CE330" s="2174"/>
      <c r="CF330" s="2174"/>
      <c r="CG330" s="2174"/>
      <c r="CH330" s="2174"/>
      <c r="CI330" s="2174"/>
      <c r="CJ330" s="2174"/>
      <c r="CK330" s="2174"/>
      <c r="CL330" s="2174"/>
      <c r="CM330" s="2174"/>
      <c r="CN330" s="2174"/>
      <c r="CO330" s="2174"/>
      <c r="CP330" s="2174"/>
      <c r="CQ330" s="2174"/>
      <c r="CR330" s="2174"/>
      <c r="CS330" s="2174"/>
      <c r="CT330" s="2174"/>
      <c r="CU330" s="2318"/>
      <c r="CV330" s="2300" t="str">
        <f t="shared" si="110"/>
        <v/>
      </c>
      <c r="CW330" s="2300"/>
      <c r="CX330" s="2300"/>
      <c r="CY330" s="2300"/>
      <c r="CZ330" s="2300"/>
      <c r="DA330" s="2300"/>
      <c r="DC330" s="329" t="str">
        <f t="shared" si="111"/>
        <v/>
      </c>
      <c r="DD330" s="197"/>
      <c r="DF330" s="14"/>
      <c r="DG330" s="14"/>
      <c r="DH330" s="14"/>
      <c r="DI330" s="1596"/>
      <c r="DJ330" s="1170" t="s">
        <v>2749</v>
      </c>
      <c r="DK330" s="1604" t="str">
        <f t="shared" si="19"/>
        <v/>
      </c>
      <c r="DL330" s="437" t="str">
        <f t="shared" si="20"/>
        <v/>
      </c>
      <c r="DM330" s="1129">
        <f t="shared" si="21"/>
        <v>0</v>
      </c>
      <c r="DN330" s="266">
        <f t="shared" si="22"/>
        <v>0</v>
      </c>
      <c r="DO330" s="266">
        <f t="shared" si="23"/>
        <v>0</v>
      </c>
      <c r="DP330" s="267">
        <f t="shared" si="24"/>
        <v>0</v>
      </c>
      <c r="DQ330" s="26" t="s">
        <v>1742</v>
      </c>
      <c r="DR330" s="265">
        <f>IF($U330="",R330,U330)</f>
        <v>0</v>
      </c>
      <c r="DS330" s="125">
        <f t="shared" si="25"/>
        <v>0</v>
      </c>
      <c r="DT330" s="270" t="str">
        <f t="shared" si="26"/>
        <v/>
      </c>
      <c r="DU330" s="242" t="str">
        <f t="shared" si="82"/>
        <v/>
      </c>
      <c r="DV330" s="137" t="str">
        <f>IF($DT330="要是正",MAX($DV$318:DV329)+1,"")</f>
        <v/>
      </c>
      <c r="DW330" s="274" t="str">
        <f t="shared" si="27"/>
        <v/>
      </c>
      <c r="DX330" s="257" t="str">
        <f t="shared" si="83"/>
        <v/>
      </c>
      <c r="DY330" s="258" t="str">
        <f t="shared" si="28"/>
        <v/>
      </c>
      <c r="DZ330" s="259" t="str">
        <f t="shared" si="29"/>
        <v/>
      </c>
      <c r="EA330" s="256" t="str">
        <f t="shared" si="30"/>
        <v/>
      </c>
      <c r="EB330" s="138" t="str">
        <f t="shared" si="31"/>
        <v/>
      </c>
      <c r="EC330" s="131" t="str">
        <f t="shared" si="84"/>
        <v>0</v>
      </c>
      <c r="ED330" s="54" t="str">
        <f t="shared" si="32"/>
        <v/>
      </c>
      <c r="EE330" s="250" t="str">
        <f t="shared" si="112"/>
        <v>0</v>
      </c>
      <c r="EF330" s="251" t="str">
        <f t="shared" si="33"/>
        <v/>
      </c>
      <c r="EG330" s="247" t="str">
        <f t="shared" si="34"/>
        <v/>
      </c>
      <c r="EH330" s="248" t="str">
        <f t="shared" si="86"/>
        <v>0</v>
      </c>
      <c r="EI330" s="249" t="str">
        <f t="shared" si="35"/>
        <v/>
      </c>
      <c r="EJ330" s="250" t="str">
        <f t="shared" si="113"/>
        <v>0</v>
      </c>
      <c r="EK330" s="251" t="str">
        <f t="shared" si="36"/>
        <v/>
      </c>
      <c r="EL330" s="254" t="e">
        <f t="shared" si="114"/>
        <v>#N/A</v>
      </c>
      <c r="EM330" s="137" t="e">
        <f t="shared" si="115"/>
        <v>#N/A</v>
      </c>
      <c r="EN330" s="244" t="e">
        <f t="shared" si="116"/>
        <v>#N/A</v>
      </c>
      <c r="EO330" s="129">
        <v>10</v>
      </c>
      <c r="EP330" s="125" t="s">
        <v>1060</v>
      </c>
      <c r="EQ330" s="125" t="s">
        <v>1022</v>
      </c>
      <c r="ER330" s="126" t="s">
        <v>1023</v>
      </c>
      <c r="ET330" s="15"/>
      <c r="EU330" s="31"/>
      <c r="EV330" s="31"/>
      <c r="EW330" s="31"/>
      <c r="EX330" s="31"/>
      <c r="EY330" s="307"/>
      <c r="EZ330" s="307"/>
      <c r="FA330" s="31"/>
      <c r="FB330" s="325"/>
      <c r="FC330" s="325"/>
      <c r="FD330" s="307"/>
      <c r="FE330" s="307"/>
      <c r="FF330" s="31"/>
      <c r="FG330" s="325"/>
      <c r="FH330" s="325"/>
      <c r="FI330" s="20"/>
      <c r="FJ330" s="20"/>
      <c r="FK330" s="326" t="str">
        <f t="shared" si="89"/>
        <v/>
      </c>
      <c r="FL330" s="326" t="str">
        <f t="shared" si="90"/>
        <v/>
      </c>
      <c r="FM330" s="326" t="str">
        <f t="shared" si="91"/>
        <v/>
      </c>
      <c r="FN330" s="326">
        <f t="shared" si="40"/>
        <v>0</v>
      </c>
      <c r="FO330" s="351" t="str">
        <f t="shared" si="41"/>
        <v/>
      </c>
      <c r="FQ330" s="138" t="str">
        <f t="shared" si="42"/>
        <v/>
      </c>
      <c r="FR330" s="131" t="str">
        <f t="shared" si="92"/>
        <v>0</v>
      </c>
      <c r="FS330" s="54" t="str">
        <f t="shared" si="43"/>
        <v/>
      </c>
      <c r="FT330" s="131" t="str">
        <f t="shared" si="117"/>
        <v>0</v>
      </c>
      <c r="FU330" s="217" t="str">
        <f t="shared" si="44"/>
        <v/>
      </c>
      <c r="FW330" s="667">
        <f t="shared" si="45"/>
        <v>0</v>
      </c>
      <c r="FX330" s="32"/>
      <c r="FY330" s="32"/>
      <c r="FZ330" s="668"/>
      <c r="GA330" s="14"/>
      <c r="GB330" s="32">
        <f t="shared" si="46"/>
        <v>0</v>
      </c>
      <c r="GC330" s="32">
        <f t="shared" si="47"/>
        <v>0</v>
      </c>
      <c r="GD330" s="19">
        <f t="shared" si="48"/>
        <v>0</v>
      </c>
      <c r="GE330" s="658" t="str">
        <f t="shared" si="49"/>
        <v/>
      </c>
      <c r="GF330" s="658" t="str">
        <f t="shared" si="50"/>
        <v/>
      </c>
      <c r="GG330" s="658" t="str">
        <f t="shared" si="51"/>
        <v/>
      </c>
      <c r="GH330" s="658" t="str">
        <f t="shared" si="52"/>
        <v/>
      </c>
      <c r="GI330" s="658" t="str">
        <f t="shared" si="53"/>
        <v/>
      </c>
      <c r="GJ330" s="658" t="str">
        <f t="shared" si="54"/>
        <v/>
      </c>
      <c r="GK330" s="658" t="str">
        <f t="shared" si="55"/>
        <v/>
      </c>
      <c r="GL330" s="658" t="str">
        <f t="shared" si="56"/>
        <v/>
      </c>
      <c r="GM330" s="658" t="str">
        <f t="shared" si="57"/>
        <v/>
      </c>
      <c r="GN330" s="658" t="str">
        <f t="shared" si="58"/>
        <v/>
      </c>
      <c r="GO330" s="658" t="str">
        <f t="shared" si="59"/>
        <v/>
      </c>
      <c r="GP330" s="658" t="str">
        <f t="shared" si="60"/>
        <v/>
      </c>
      <c r="GQ330" s="658" t="str">
        <f t="shared" si="61"/>
        <v/>
      </c>
      <c r="GR330" s="658" t="str">
        <f t="shared" si="62"/>
        <v/>
      </c>
      <c r="GS330" s="658" t="str">
        <f t="shared" si="63"/>
        <v/>
      </c>
      <c r="GT330" s="658">
        <f t="shared" si="94"/>
        <v>0</v>
      </c>
      <c r="GU330" s="658">
        <f t="shared" si="95"/>
        <v>0</v>
      </c>
      <c r="GV330" s="658">
        <f t="shared" si="96"/>
        <v>0</v>
      </c>
      <c r="GW330" s="658" t="b">
        <f t="shared" si="97"/>
        <v>0</v>
      </c>
      <c r="GX330" s="658" t="b">
        <f t="shared" si="98"/>
        <v>0</v>
      </c>
      <c r="GY330" s="658" t="b">
        <f t="shared" si="99"/>
        <v>0</v>
      </c>
      <c r="GZ330" s="658" t="str">
        <f t="shared" si="100"/>
        <v/>
      </c>
      <c r="HB330" s="658" t="str">
        <f t="shared" si="101"/>
        <v/>
      </c>
      <c r="HC330" s="658" t="str">
        <f t="shared" si="65"/>
        <v/>
      </c>
      <c r="HD330" s="658" t="str">
        <f t="shared" si="66"/>
        <v/>
      </c>
      <c r="HE330" s="658" t="str">
        <f t="shared" si="67"/>
        <v/>
      </c>
      <c r="HF330" s="658" t="str">
        <f t="shared" si="68"/>
        <v/>
      </c>
      <c r="HG330" s="658" t="str">
        <f t="shared" si="69"/>
        <v/>
      </c>
      <c r="HH330" s="658" t="str">
        <f t="shared" si="70"/>
        <v/>
      </c>
      <c r="HI330" s="658" t="str">
        <f t="shared" si="71"/>
        <v/>
      </c>
      <c r="HJ330" s="658" t="str">
        <f t="shared" si="72"/>
        <v/>
      </c>
      <c r="HK330" s="658" t="str">
        <f t="shared" si="73"/>
        <v/>
      </c>
      <c r="HL330" s="658" t="str">
        <f t="shared" si="74"/>
        <v/>
      </c>
      <c r="HM330" s="658" t="str">
        <f t="shared" si="75"/>
        <v/>
      </c>
      <c r="HN330" s="658" t="str">
        <f t="shared" si="76"/>
        <v/>
      </c>
      <c r="HO330" s="658" t="str">
        <f t="shared" si="77"/>
        <v/>
      </c>
      <c r="HP330" s="658" t="str">
        <f t="shared" si="78"/>
        <v/>
      </c>
      <c r="HQ330" s="658" t="str">
        <f t="shared" si="79"/>
        <v/>
      </c>
      <c r="HR330" s="658" t="str">
        <f t="shared" si="102"/>
        <v/>
      </c>
      <c r="HT330" s="658">
        <f>LEFT(M330,1)*10000+MID(M330,3,LEN(M330)-3)*100+COUNTIF($M$319:M330,M330)</f>
        <v>11201</v>
      </c>
      <c r="HU330" s="658" t="str">
        <f t="shared" si="103"/>
        <v/>
      </c>
      <c r="HV330" s="658" t="str">
        <f t="shared" si="80"/>
        <v/>
      </c>
      <c r="HW330" s="658" t="str">
        <f t="shared" si="104"/>
        <v/>
      </c>
      <c r="HX330" s="658" t="str">
        <f t="shared" si="81"/>
        <v/>
      </c>
    </row>
    <row r="331" spans="1:232" s="19" customFormat="1" ht="50.1" hidden="1" customHeight="1" thickBot="1" x14ac:dyDescent="0.2">
      <c r="A331" s="1201"/>
      <c r="B331" s="1201"/>
      <c r="C331" s="1201"/>
      <c r="D331" s="1201"/>
      <c r="E331" s="1202"/>
      <c r="F331" s="652"/>
      <c r="G331" s="652"/>
      <c r="H331" s="652"/>
      <c r="I331" s="1354"/>
      <c r="J331" s="1234"/>
      <c r="K331" s="1261"/>
      <c r="L331" s="1261"/>
      <c r="M331" s="2149" t="s">
        <v>1718</v>
      </c>
      <c r="N331" s="2149"/>
      <c r="O331" s="2149"/>
      <c r="P331" s="2430"/>
      <c r="Q331" s="2430"/>
      <c r="R331" s="2430"/>
      <c r="S331" s="2430"/>
      <c r="T331" s="2430"/>
      <c r="U331" s="2435"/>
      <c r="V331" s="2435"/>
      <c r="W331" s="2435"/>
      <c r="X331" s="2435"/>
      <c r="Y331" s="2435"/>
      <c r="Z331" s="2435"/>
      <c r="AA331" s="2435"/>
      <c r="AB331" s="2435"/>
      <c r="AC331" s="2435"/>
      <c r="AD331" s="2435"/>
      <c r="AE331" s="2446"/>
      <c r="AF331" s="2434"/>
      <c r="AG331" s="2434"/>
      <c r="AH331" s="2434"/>
      <c r="AI331" s="2434"/>
      <c r="AJ331" s="2434"/>
      <c r="AK331" s="2434"/>
      <c r="AL331" s="2434"/>
      <c r="AM331" s="2434"/>
      <c r="AN331" s="2434"/>
      <c r="AO331" s="2434"/>
      <c r="AP331" s="2434"/>
      <c r="AQ331" s="2434"/>
      <c r="AR331" s="2307"/>
      <c r="AS331" s="2307"/>
      <c r="AT331" s="2410"/>
      <c r="AU331" s="2410"/>
      <c r="AV331" s="2410"/>
      <c r="AW331" s="2410"/>
      <c r="AX331" s="2410"/>
      <c r="AY331" s="2410"/>
      <c r="AZ331" s="2410"/>
      <c r="BA331" s="2410"/>
      <c r="BB331" s="2410"/>
      <c r="BC331" s="2410"/>
      <c r="BD331" s="2410"/>
      <c r="BE331" s="2410"/>
      <c r="BF331" s="2410"/>
      <c r="BG331" s="2410"/>
      <c r="BH331" s="2410"/>
      <c r="BI331" s="2410"/>
      <c r="BJ331" s="2410"/>
      <c r="BK331" s="2410"/>
      <c r="BL331" s="2410"/>
      <c r="BM331" s="2410"/>
      <c r="BN331" s="2410"/>
      <c r="BO331" s="2410"/>
      <c r="BP331" s="2410"/>
      <c r="BQ331" s="2410"/>
      <c r="BR331" s="2410"/>
      <c r="BS331" s="2420"/>
      <c r="BT331" s="2421"/>
      <c r="BU331" s="2422"/>
      <c r="BV331" s="2296"/>
      <c r="BW331" s="2296"/>
      <c r="BX331" s="2296"/>
      <c r="BY331" s="2296"/>
      <c r="BZ331" s="2307"/>
      <c r="CA331" s="2307"/>
      <c r="CB331" s="2317"/>
      <c r="CC331" s="2174"/>
      <c r="CD331" s="2174"/>
      <c r="CE331" s="2174"/>
      <c r="CF331" s="2174"/>
      <c r="CG331" s="2174"/>
      <c r="CH331" s="2174"/>
      <c r="CI331" s="2174"/>
      <c r="CJ331" s="2174"/>
      <c r="CK331" s="2174"/>
      <c r="CL331" s="2174"/>
      <c r="CM331" s="2174"/>
      <c r="CN331" s="2174"/>
      <c r="CO331" s="2174"/>
      <c r="CP331" s="2174"/>
      <c r="CQ331" s="2174"/>
      <c r="CR331" s="2174"/>
      <c r="CS331" s="2174"/>
      <c r="CT331" s="2174"/>
      <c r="CU331" s="2318"/>
      <c r="CV331" s="2300" t="str">
        <f t="shared" si="110"/>
        <v/>
      </c>
      <c r="CW331" s="2300"/>
      <c r="CX331" s="2300"/>
      <c r="CY331" s="2300"/>
      <c r="CZ331" s="2300"/>
      <c r="DA331" s="2300"/>
      <c r="DC331" s="329" t="str">
        <f t="shared" si="111"/>
        <v/>
      </c>
      <c r="DD331" s="197"/>
      <c r="DF331" s="14"/>
      <c r="DG331" s="14"/>
      <c r="DH331" s="14"/>
      <c r="DI331" s="1596"/>
      <c r="DJ331" s="1170" t="s">
        <v>2749</v>
      </c>
      <c r="DK331" s="1604" t="str">
        <f t="shared" si="19"/>
        <v/>
      </c>
      <c r="DL331" s="437" t="str">
        <f t="shared" si="20"/>
        <v/>
      </c>
      <c r="DM331" s="1129">
        <f t="shared" si="21"/>
        <v>0</v>
      </c>
      <c r="DN331" s="266">
        <f t="shared" si="22"/>
        <v>0</v>
      </c>
      <c r="DO331" s="266">
        <f t="shared" si="23"/>
        <v>0</v>
      </c>
      <c r="DP331" s="267">
        <f t="shared" si="24"/>
        <v>0</v>
      </c>
      <c r="DQ331" s="26" t="s">
        <v>1743</v>
      </c>
      <c r="DR331" s="265">
        <f>IF($U331="",R331,U331)</f>
        <v>0</v>
      </c>
      <c r="DS331" s="125">
        <f t="shared" si="25"/>
        <v>0</v>
      </c>
      <c r="DT331" s="270" t="str">
        <f t="shared" si="26"/>
        <v/>
      </c>
      <c r="DU331" s="242" t="str">
        <f t="shared" si="82"/>
        <v/>
      </c>
      <c r="DV331" s="137" t="str">
        <f>IF($DT331="要是正",MAX($DV$318:DV330)+1,"")</f>
        <v/>
      </c>
      <c r="DW331" s="274" t="str">
        <f t="shared" si="27"/>
        <v/>
      </c>
      <c r="DX331" s="257" t="str">
        <f t="shared" si="83"/>
        <v/>
      </c>
      <c r="DY331" s="258" t="str">
        <f t="shared" si="28"/>
        <v/>
      </c>
      <c r="DZ331" s="259" t="str">
        <f t="shared" si="29"/>
        <v/>
      </c>
      <c r="EA331" s="256" t="str">
        <f t="shared" si="30"/>
        <v/>
      </c>
      <c r="EB331" s="138" t="str">
        <f t="shared" si="31"/>
        <v/>
      </c>
      <c r="EC331" s="131" t="str">
        <f t="shared" si="84"/>
        <v>0</v>
      </c>
      <c r="ED331" s="54" t="str">
        <f t="shared" si="32"/>
        <v/>
      </c>
      <c r="EE331" s="250" t="str">
        <f t="shared" si="112"/>
        <v>0</v>
      </c>
      <c r="EF331" s="251" t="str">
        <f t="shared" si="33"/>
        <v/>
      </c>
      <c r="EG331" s="247" t="str">
        <f t="shared" si="34"/>
        <v/>
      </c>
      <c r="EH331" s="248" t="str">
        <f t="shared" si="86"/>
        <v>0</v>
      </c>
      <c r="EI331" s="249" t="str">
        <f t="shared" si="35"/>
        <v/>
      </c>
      <c r="EJ331" s="250" t="str">
        <f t="shared" si="113"/>
        <v>0</v>
      </c>
      <c r="EK331" s="251" t="str">
        <f t="shared" si="36"/>
        <v/>
      </c>
      <c r="EL331" s="254" t="e">
        <f t="shared" si="114"/>
        <v>#N/A</v>
      </c>
      <c r="EM331" s="137" t="e">
        <f t="shared" si="115"/>
        <v>#N/A</v>
      </c>
      <c r="EN331" s="244" t="e">
        <f t="shared" si="116"/>
        <v>#N/A</v>
      </c>
      <c r="EO331" s="129">
        <v>10</v>
      </c>
      <c r="EP331" s="125" t="s">
        <v>1060</v>
      </c>
      <c r="EQ331" s="125" t="s">
        <v>1022</v>
      </c>
      <c r="ER331" s="126" t="s">
        <v>1023</v>
      </c>
      <c r="ET331" s="15"/>
      <c r="EU331" s="31"/>
      <c r="EV331" s="31"/>
      <c r="EW331" s="31"/>
      <c r="EX331" s="31"/>
      <c r="EY331" s="307"/>
      <c r="EZ331" s="307"/>
      <c r="FA331" s="31"/>
      <c r="FB331" s="325"/>
      <c r="FC331" s="325"/>
      <c r="FD331" s="307"/>
      <c r="FE331" s="307"/>
      <c r="FF331" s="31"/>
      <c r="FG331" s="325"/>
      <c r="FH331" s="325"/>
      <c r="FI331" s="20"/>
      <c r="FJ331" s="20"/>
      <c r="FK331" s="326" t="str">
        <f t="shared" si="89"/>
        <v/>
      </c>
      <c r="FL331" s="326" t="str">
        <f t="shared" si="90"/>
        <v/>
      </c>
      <c r="FM331" s="326" t="str">
        <f t="shared" si="91"/>
        <v/>
      </c>
      <c r="FN331" s="326">
        <f t="shared" si="40"/>
        <v>0</v>
      </c>
      <c r="FO331" s="351" t="str">
        <f t="shared" si="41"/>
        <v/>
      </c>
      <c r="FQ331" s="138" t="str">
        <f t="shared" si="42"/>
        <v/>
      </c>
      <c r="FR331" s="131" t="str">
        <f t="shared" si="92"/>
        <v>0</v>
      </c>
      <c r="FS331" s="54" t="str">
        <f t="shared" si="43"/>
        <v/>
      </c>
      <c r="FT331" s="131" t="str">
        <f t="shared" si="117"/>
        <v>0</v>
      </c>
      <c r="FU331" s="217" t="str">
        <f t="shared" si="44"/>
        <v/>
      </c>
      <c r="FW331" s="667">
        <f t="shared" si="45"/>
        <v>0</v>
      </c>
      <c r="FX331" s="32"/>
      <c r="FY331" s="32"/>
      <c r="FZ331" s="668"/>
      <c r="GA331" s="14"/>
      <c r="GB331" s="32">
        <f t="shared" si="46"/>
        <v>0</v>
      </c>
      <c r="GC331" s="32">
        <f t="shared" si="47"/>
        <v>0</v>
      </c>
      <c r="GD331" s="19">
        <f t="shared" si="48"/>
        <v>0</v>
      </c>
      <c r="GE331" s="658" t="str">
        <f t="shared" si="49"/>
        <v/>
      </c>
      <c r="GF331" s="658" t="str">
        <f t="shared" si="50"/>
        <v/>
      </c>
      <c r="GG331" s="658" t="str">
        <f t="shared" si="51"/>
        <v/>
      </c>
      <c r="GH331" s="658" t="str">
        <f t="shared" si="52"/>
        <v/>
      </c>
      <c r="GI331" s="658" t="str">
        <f t="shared" si="53"/>
        <v/>
      </c>
      <c r="GJ331" s="658" t="str">
        <f t="shared" si="54"/>
        <v/>
      </c>
      <c r="GK331" s="658" t="str">
        <f t="shared" si="55"/>
        <v/>
      </c>
      <c r="GL331" s="658" t="str">
        <f t="shared" si="56"/>
        <v/>
      </c>
      <c r="GM331" s="658" t="str">
        <f t="shared" si="57"/>
        <v/>
      </c>
      <c r="GN331" s="658" t="str">
        <f t="shared" si="58"/>
        <v/>
      </c>
      <c r="GO331" s="658" t="str">
        <f t="shared" si="59"/>
        <v/>
      </c>
      <c r="GP331" s="658" t="str">
        <f t="shared" si="60"/>
        <v/>
      </c>
      <c r="GQ331" s="658" t="str">
        <f t="shared" si="61"/>
        <v/>
      </c>
      <c r="GR331" s="658" t="str">
        <f t="shared" si="62"/>
        <v/>
      </c>
      <c r="GS331" s="658" t="str">
        <f t="shared" si="63"/>
        <v/>
      </c>
      <c r="GT331" s="658">
        <f t="shared" si="94"/>
        <v>0</v>
      </c>
      <c r="GU331" s="658">
        <f t="shared" si="95"/>
        <v>0</v>
      </c>
      <c r="GV331" s="658">
        <f t="shared" si="96"/>
        <v>0</v>
      </c>
      <c r="GW331" s="658" t="b">
        <f t="shared" si="97"/>
        <v>0</v>
      </c>
      <c r="GX331" s="658" t="b">
        <f t="shared" si="98"/>
        <v>0</v>
      </c>
      <c r="GY331" s="658" t="b">
        <f t="shared" si="99"/>
        <v>0</v>
      </c>
      <c r="GZ331" s="658" t="str">
        <f t="shared" si="100"/>
        <v/>
      </c>
      <c r="HB331" s="658" t="str">
        <f t="shared" si="101"/>
        <v/>
      </c>
      <c r="HC331" s="658" t="str">
        <f t="shared" si="65"/>
        <v/>
      </c>
      <c r="HD331" s="658" t="str">
        <f t="shared" si="66"/>
        <v/>
      </c>
      <c r="HE331" s="658" t="str">
        <f t="shared" si="67"/>
        <v/>
      </c>
      <c r="HF331" s="658" t="str">
        <f t="shared" si="68"/>
        <v/>
      </c>
      <c r="HG331" s="658" t="str">
        <f t="shared" si="69"/>
        <v/>
      </c>
      <c r="HH331" s="658" t="str">
        <f t="shared" si="70"/>
        <v/>
      </c>
      <c r="HI331" s="658" t="str">
        <f t="shared" si="71"/>
        <v/>
      </c>
      <c r="HJ331" s="658" t="str">
        <f t="shared" si="72"/>
        <v/>
      </c>
      <c r="HK331" s="658" t="str">
        <f t="shared" si="73"/>
        <v/>
      </c>
      <c r="HL331" s="658" t="str">
        <f t="shared" si="74"/>
        <v/>
      </c>
      <c r="HM331" s="658" t="str">
        <f t="shared" si="75"/>
        <v/>
      </c>
      <c r="HN331" s="658" t="str">
        <f t="shared" si="76"/>
        <v/>
      </c>
      <c r="HO331" s="658" t="str">
        <f t="shared" si="77"/>
        <v/>
      </c>
      <c r="HP331" s="658" t="str">
        <f t="shared" si="78"/>
        <v/>
      </c>
      <c r="HQ331" s="658" t="str">
        <f t="shared" si="79"/>
        <v/>
      </c>
      <c r="HR331" s="658" t="str">
        <f t="shared" si="102"/>
        <v/>
      </c>
      <c r="HT331" s="658">
        <f>LEFT(M331,1)*10000+MID(M331,3,LEN(M331)-3)*100+COUNTIF($M$319:M331,M331)</f>
        <v>11301</v>
      </c>
      <c r="HU331" s="658" t="str">
        <f t="shared" si="103"/>
        <v/>
      </c>
      <c r="HV331" s="658" t="str">
        <f t="shared" si="80"/>
        <v/>
      </c>
      <c r="HW331" s="658" t="str">
        <f t="shared" si="104"/>
        <v/>
      </c>
      <c r="HX331" s="658" t="str">
        <f t="shared" si="81"/>
        <v/>
      </c>
    </row>
    <row r="332" spans="1:232" s="19" customFormat="1" ht="50.1" hidden="1" customHeight="1" thickBot="1" x14ac:dyDescent="0.2">
      <c r="A332" s="1201"/>
      <c r="B332" s="1201"/>
      <c r="C332" s="1201"/>
      <c r="D332" s="1201"/>
      <c r="E332" s="1202"/>
      <c r="F332" s="652"/>
      <c r="G332" s="652"/>
      <c r="H332" s="652"/>
      <c r="I332" s="1354"/>
      <c r="J332" s="1234"/>
      <c r="K332" s="1261"/>
      <c r="L332" s="1261"/>
      <c r="M332" s="2149" t="s">
        <v>1719</v>
      </c>
      <c r="N332" s="2149"/>
      <c r="O332" s="2149"/>
      <c r="P332" s="2445"/>
      <c r="Q332" s="2445"/>
      <c r="R332" s="2445"/>
      <c r="S332" s="2445"/>
      <c r="T332" s="2445"/>
      <c r="U332" s="2430"/>
      <c r="V332" s="2430"/>
      <c r="W332" s="2430"/>
      <c r="X332" s="2430"/>
      <c r="Y332" s="2430"/>
      <c r="Z332" s="2430"/>
      <c r="AA332" s="2430"/>
      <c r="AB332" s="2430"/>
      <c r="AC332" s="2430"/>
      <c r="AD332" s="2430"/>
      <c r="AE332" s="2430"/>
      <c r="AF332" s="2454"/>
      <c r="AG332" s="2454"/>
      <c r="AH332" s="2454"/>
      <c r="AI332" s="2454"/>
      <c r="AJ332" s="2454"/>
      <c r="AK332" s="2454"/>
      <c r="AL332" s="2454"/>
      <c r="AM332" s="2454"/>
      <c r="AN332" s="2454"/>
      <c r="AO332" s="2454"/>
      <c r="AP332" s="2454"/>
      <c r="AQ332" s="2454"/>
      <c r="AR332" s="2299"/>
      <c r="AS332" s="2299"/>
      <c r="AT332" s="2453"/>
      <c r="AU332" s="2453"/>
      <c r="AV332" s="2453"/>
      <c r="AW332" s="2453"/>
      <c r="AX332" s="2453"/>
      <c r="AY332" s="2453"/>
      <c r="AZ332" s="2453"/>
      <c r="BA332" s="2453"/>
      <c r="BB332" s="2453"/>
      <c r="BC332" s="2453"/>
      <c r="BD332" s="2453"/>
      <c r="BE332" s="2453"/>
      <c r="BF332" s="2453"/>
      <c r="BG332" s="2453"/>
      <c r="BH332" s="2453"/>
      <c r="BI332" s="2453"/>
      <c r="BJ332" s="2453"/>
      <c r="BK332" s="2453"/>
      <c r="BL332" s="2453"/>
      <c r="BM332" s="2453"/>
      <c r="BN332" s="2453"/>
      <c r="BO332" s="2453"/>
      <c r="BP332" s="2453"/>
      <c r="BQ332" s="2453"/>
      <c r="BR332" s="2453"/>
      <c r="BS332" s="2865"/>
      <c r="BT332" s="2866"/>
      <c r="BU332" s="2867"/>
      <c r="BV332" s="2298"/>
      <c r="BW332" s="2298"/>
      <c r="BX332" s="2298"/>
      <c r="BY332" s="2455"/>
      <c r="BZ332" s="2739"/>
      <c r="CA332" s="2739"/>
      <c r="CB332" s="2731"/>
      <c r="CC332" s="2732"/>
      <c r="CD332" s="2732"/>
      <c r="CE332" s="2732"/>
      <c r="CF332" s="2732"/>
      <c r="CG332" s="2732"/>
      <c r="CH332" s="2732"/>
      <c r="CI332" s="2732"/>
      <c r="CJ332" s="2732"/>
      <c r="CK332" s="2732"/>
      <c r="CL332" s="2732"/>
      <c r="CM332" s="2732"/>
      <c r="CN332" s="2732"/>
      <c r="CO332" s="2732"/>
      <c r="CP332" s="2732"/>
      <c r="CQ332" s="2732"/>
      <c r="CR332" s="2732"/>
      <c r="CS332" s="2732"/>
      <c r="CT332" s="2732"/>
      <c r="CU332" s="2733"/>
      <c r="CV332" s="2300" t="str">
        <f t="shared" si="110"/>
        <v/>
      </c>
      <c r="CW332" s="2300"/>
      <c r="CX332" s="2300"/>
      <c r="CY332" s="2300"/>
      <c r="CZ332" s="2300"/>
      <c r="DA332" s="2300"/>
      <c r="DC332" s="329" t="str">
        <f t="shared" si="111"/>
        <v/>
      </c>
      <c r="DD332" s="197"/>
      <c r="DF332" s="14"/>
      <c r="DG332" s="14"/>
      <c r="DH332" s="14"/>
      <c r="DI332" s="1596"/>
      <c r="DJ332" s="1171" t="s">
        <v>2749</v>
      </c>
      <c r="DK332" s="1605" t="str">
        <f t="shared" si="19"/>
        <v/>
      </c>
      <c r="DL332" s="1598" t="str">
        <f t="shared" si="20"/>
        <v/>
      </c>
      <c r="DM332" s="1129">
        <f t="shared" si="21"/>
        <v>0</v>
      </c>
      <c r="DN332" s="266">
        <f t="shared" si="22"/>
        <v>0</v>
      </c>
      <c r="DO332" s="266">
        <f t="shared" si="23"/>
        <v>0</v>
      </c>
      <c r="DP332" s="267">
        <f t="shared" si="24"/>
        <v>0</v>
      </c>
      <c r="DQ332" s="26" t="s">
        <v>1744</v>
      </c>
      <c r="DR332" s="265">
        <f>IF($U332="",R332,U332)</f>
        <v>0</v>
      </c>
      <c r="DS332" s="125">
        <f t="shared" si="25"/>
        <v>0</v>
      </c>
      <c r="DT332" s="270" t="str">
        <f t="shared" si="26"/>
        <v/>
      </c>
      <c r="DU332" s="242" t="str">
        <f t="shared" si="82"/>
        <v/>
      </c>
      <c r="DV332" s="137" t="str">
        <f>IF($DT332="要是正",MAX($DV$318:DV331)+1,"")</f>
        <v/>
      </c>
      <c r="DW332" s="274" t="str">
        <f t="shared" si="27"/>
        <v/>
      </c>
      <c r="DX332" s="257" t="str">
        <f t="shared" si="83"/>
        <v/>
      </c>
      <c r="DY332" s="258" t="str">
        <f t="shared" si="28"/>
        <v/>
      </c>
      <c r="DZ332" s="259" t="str">
        <f t="shared" si="29"/>
        <v/>
      </c>
      <c r="EA332" s="256" t="str">
        <f t="shared" si="30"/>
        <v/>
      </c>
      <c r="EB332" s="138" t="str">
        <f t="shared" si="31"/>
        <v/>
      </c>
      <c r="EC332" s="131" t="str">
        <f t="shared" si="84"/>
        <v>0</v>
      </c>
      <c r="ED332" s="54" t="str">
        <f t="shared" si="32"/>
        <v/>
      </c>
      <c r="EE332" s="250" t="str">
        <f t="shared" si="112"/>
        <v>0</v>
      </c>
      <c r="EF332" s="251" t="str">
        <f t="shared" si="33"/>
        <v/>
      </c>
      <c r="EG332" s="247" t="str">
        <f t="shared" si="34"/>
        <v/>
      </c>
      <c r="EH332" s="248" t="str">
        <f t="shared" si="86"/>
        <v>0</v>
      </c>
      <c r="EI332" s="249" t="str">
        <f t="shared" si="35"/>
        <v/>
      </c>
      <c r="EJ332" s="250" t="str">
        <f t="shared" si="113"/>
        <v>0</v>
      </c>
      <c r="EK332" s="251" t="str">
        <f t="shared" si="36"/>
        <v/>
      </c>
      <c r="EL332" s="254" t="e">
        <f t="shared" si="114"/>
        <v>#N/A</v>
      </c>
      <c r="EM332" s="137" t="e">
        <f t="shared" si="115"/>
        <v>#N/A</v>
      </c>
      <c r="EN332" s="244" t="e">
        <f t="shared" si="116"/>
        <v>#N/A</v>
      </c>
      <c r="EO332" s="129">
        <v>10</v>
      </c>
      <c r="EP332" s="125" t="s">
        <v>1060</v>
      </c>
      <c r="EQ332" s="125" t="s">
        <v>1022</v>
      </c>
      <c r="ER332" s="126" t="s">
        <v>1023</v>
      </c>
      <c r="ET332" s="15"/>
      <c r="EU332" s="31"/>
      <c r="EV332" s="31"/>
      <c r="EW332" s="31"/>
      <c r="EX332" s="31"/>
      <c r="EY332" s="307"/>
      <c r="EZ332" s="307"/>
      <c r="FA332" s="31"/>
      <c r="FB332" s="325"/>
      <c r="FC332" s="325"/>
      <c r="FD332" s="307"/>
      <c r="FE332" s="307"/>
      <c r="FF332" s="31"/>
      <c r="FG332" s="325"/>
      <c r="FH332" s="325"/>
      <c r="FI332" s="20"/>
      <c r="FJ332" s="20"/>
      <c r="FK332" s="326" t="str">
        <f t="shared" si="89"/>
        <v/>
      </c>
      <c r="FL332" s="326" t="str">
        <f t="shared" si="90"/>
        <v/>
      </c>
      <c r="FM332" s="326" t="str">
        <f t="shared" si="91"/>
        <v/>
      </c>
      <c r="FN332" s="326">
        <f t="shared" si="40"/>
        <v>0</v>
      </c>
      <c r="FO332" s="351" t="str">
        <f t="shared" si="41"/>
        <v/>
      </c>
      <c r="FQ332" s="138" t="str">
        <f t="shared" si="42"/>
        <v/>
      </c>
      <c r="FR332" s="131" t="str">
        <f t="shared" si="92"/>
        <v>0</v>
      </c>
      <c r="FS332" s="54" t="str">
        <f t="shared" si="43"/>
        <v/>
      </c>
      <c r="FT332" s="131" t="str">
        <f t="shared" si="117"/>
        <v>0</v>
      </c>
      <c r="FU332" s="217" t="str">
        <f t="shared" si="44"/>
        <v/>
      </c>
      <c r="FW332" s="667">
        <f t="shared" si="45"/>
        <v>0</v>
      </c>
      <c r="FX332" s="32"/>
      <c r="FY332" s="32"/>
      <c r="FZ332" s="668"/>
      <c r="GA332" s="14"/>
      <c r="GB332" s="32">
        <f t="shared" si="46"/>
        <v>0</v>
      </c>
      <c r="GC332" s="32">
        <f t="shared" si="47"/>
        <v>0</v>
      </c>
      <c r="GD332" s="19">
        <f t="shared" si="48"/>
        <v>0</v>
      </c>
      <c r="GE332" s="658" t="str">
        <f t="shared" si="49"/>
        <v/>
      </c>
      <c r="GF332" s="658" t="str">
        <f t="shared" si="50"/>
        <v/>
      </c>
      <c r="GG332" s="658" t="str">
        <f t="shared" si="51"/>
        <v/>
      </c>
      <c r="GH332" s="658" t="str">
        <f t="shared" si="52"/>
        <v/>
      </c>
      <c r="GI332" s="658" t="str">
        <f t="shared" si="53"/>
        <v/>
      </c>
      <c r="GJ332" s="658" t="str">
        <f t="shared" si="54"/>
        <v/>
      </c>
      <c r="GK332" s="658" t="str">
        <f t="shared" si="55"/>
        <v/>
      </c>
      <c r="GL332" s="658" t="str">
        <f t="shared" si="56"/>
        <v/>
      </c>
      <c r="GM332" s="658" t="str">
        <f t="shared" si="57"/>
        <v/>
      </c>
      <c r="GN332" s="658" t="str">
        <f t="shared" si="58"/>
        <v/>
      </c>
      <c r="GO332" s="658" t="str">
        <f t="shared" si="59"/>
        <v/>
      </c>
      <c r="GP332" s="658" t="str">
        <f t="shared" si="60"/>
        <v/>
      </c>
      <c r="GQ332" s="658" t="str">
        <f t="shared" si="61"/>
        <v/>
      </c>
      <c r="GR332" s="658" t="str">
        <f t="shared" si="62"/>
        <v/>
      </c>
      <c r="GS332" s="658" t="str">
        <f t="shared" si="63"/>
        <v/>
      </c>
      <c r="GT332" s="658">
        <f t="shared" si="94"/>
        <v>0</v>
      </c>
      <c r="GU332" s="658">
        <f t="shared" si="95"/>
        <v>0</v>
      </c>
      <c r="GV332" s="658">
        <f t="shared" si="96"/>
        <v>0</v>
      </c>
      <c r="GW332" s="658" t="b">
        <f t="shared" si="97"/>
        <v>0</v>
      </c>
      <c r="GX332" s="658" t="b">
        <f t="shared" si="98"/>
        <v>0</v>
      </c>
      <c r="GY332" s="658" t="b">
        <f t="shared" si="99"/>
        <v>0</v>
      </c>
      <c r="GZ332" s="658" t="str">
        <f t="shared" si="100"/>
        <v/>
      </c>
      <c r="HB332" s="658" t="str">
        <f t="shared" si="101"/>
        <v/>
      </c>
      <c r="HC332" s="658" t="str">
        <f t="shared" si="65"/>
        <v/>
      </c>
      <c r="HD332" s="658" t="str">
        <f t="shared" si="66"/>
        <v/>
      </c>
      <c r="HE332" s="658" t="str">
        <f t="shared" si="67"/>
        <v/>
      </c>
      <c r="HF332" s="658" t="str">
        <f t="shared" si="68"/>
        <v/>
      </c>
      <c r="HG332" s="658" t="str">
        <f t="shared" si="69"/>
        <v/>
      </c>
      <c r="HH332" s="658" t="str">
        <f t="shared" si="70"/>
        <v/>
      </c>
      <c r="HI332" s="658" t="str">
        <f t="shared" si="71"/>
        <v/>
      </c>
      <c r="HJ332" s="658" t="str">
        <f t="shared" si="72"/>
        <v/>
      </c>
      <c r="HK332" s="658" t="str">
        <f t="shared" si="73"/>
        <v/>
      </c>
      <c r="HL332" s="658" t="str">
        <f t="shared" si="74"/>
        <v/>
      </c>
      <c r="HM332" s="658" t="str">
        <f t="shared" si="75"/>
        <v/>
      </c>
      <c r="HN332" s="658" t="str">
        <f t="shared" si="76"/>
        <v/>
      </c>
      <c r="HO332" s="658" t="str">
        <f t="shared" si="77"/>
        <v/>
      </c>
      <c r="HP332" s="658" t="str">
        <f t="shared" si="78"/>
        <v/>
      </c>
      <c r="HQ332" s="658" t="str">
        <f t="shared" si="79"/>
        <v/>
      </c>
      <c r="HR332" s="658" t="str">
        <f t="shared" si="102"/>
        <v/>
      </c>
      <c r="HT332" s="658">
        <f>LEFT(M332,1)*10000+MID(M332,3,LEN(M332)-3)*100+COUNTIF($M$319:M332,M332)</f>
        <v>11401</v>
      </c>
      <c r="HU332" s="658" t="str">
        <f t="shared" si="103"/>
        <v/>
      </c>
      <c r="HV332" s="658" t="str">
        <f t="shared" si="80"/>
        <v/>
      </c>
      <c r="HW332" s="658" t="str">
        <f t="shared" si="104"/>
        <v/>
      </c>
      <c r="HX332" s="658" t="str">
        <f t="shared" si="81"/>
        <v/>
      </c>
    </row>
    <row r="333" spans="1:232" ht="15" customHeight="1" thickBot="1" x14ac:dyDescent="0.2">
      <c r="A333" s="1201"/>
      <c r="B333" s="1201"/>
      <c r="C333" s="1201"/>
      <c r="D333" s="1201"/>
      <c r="E333" s="1202"/>
      <c r="J333" s="1355"/>
      <c r="K333" s="1177"/>
      <c r="L333" s="1177"/>
      <c r="M333" s="1356"/>
      <c r="N333" s="1356"/>
      <c r="O333" s="1356"/>
      <c r="P333" s="1356"/>
      <c r="Q333" s="1356"/>
      <c r="R333" s="1356"/>
      <c r="S333" s="1356"/>
      <c r="T333" s="1356"/>
      <c r="U333" s="1356"/>
      <c r="V333" s="1356"/>
      <c r="W333" s="1356"/>
      <c r="X333" s="1356"/>
      <c r="Y333" s="1356"/>
      <c r="Z333" s="1356"/>
      <c r="AA333" s="1356"/>
      <c r="AB333" s="1356"/>
      <c r="AC333" s="1356"/>
      <c r="AD333" s="1356"/>
      <c r="AE333" s="1251"/>
      <c r="AF333" s="1251"/>
      <c r="AG333" s="1251"/>
      <c r="AH333" s="1251"/>
      <c r="AI333" s="1251"/>
      <c r="AJ333" s="1251"/>
      <c r="AK333" s="1251"/>
      <c r="AL333" s="1251"/>
      <c r="AM333" s="1251"/>
      <c r="AN333" s="1251"/>
      <c r="AO333" s="1251"/>
      <c r="AP333" s="1251"/>
      <c r="AQ333" s="1251"/>
      <c r="AR333" s="1186"/>
      <c r="AS333" s="1186"/>
      <c r="AT333" s="1251"/>
      <c r="AU333" s="1251"/>
      <c r="AV333" s="1251"/>
      <c r="AW333" s="1251"/>
      <c r="AX333" s="1251"/>
      <c r="AY333" s="1251"/>
      <c r="AZ333" s="1251"/>
      <c r="BA333" s="1251"/>
      <c r="BB333" s="1251"/>
      <c r="BC333" s="1251"/>
      <c r="BD333" s="1251"/>
      <c r="BE333" s="1251"/>
      <c r="BF333" s="1251"/>
      <c r="BG333" s="1251"/>
      <c r="BH333" s="1251"/>
      <c r="BI333" s="1251"/>
      <c r="BJ333" s="1251"/>
      <c r="BK333" s="1251"/>
      <c r="BL333" s="1251"/>
      <c r="BM333" s="1251"/>
      <c r="BN333" s="1251"/>
      <c r="BO333" s="1251"/>
      <c r="BP333" s="1251"/>
      <c r="BQ333" s="1251"/>
      <c r="BR333" s="1251"/>
      <c r="BS333" s="1186"/>
      <c r="BT333" s="1186"/>
      <c r="BU333" s="1186"/>
      <c r="BV333" s="1186"/>
      <c r="BW333" s="1186"/>
      <c r="BX333" s="1186"/>
      <c r="BY333" s="1182"/>
      <c r="BZ333" s="1182"/>
      <c r="CA333" s="1182"/>
      <c r="CB333" s="1182"/>
      <c r="CC333" s="1182"/>
      <c r="CD333" s="1182"/>
      <c r="CE333" s="1182"/>
      <c r="CF333" s="1182"/>
      <c r="CG333" s="1182"/>
      <c r="CH333" s="1182"/>
      <c r="CI333" s="1182"/>
      <c r="CJ333" s="1182"/>
      <c r="CK333" s="1182"/>
      <c r="CL333" s="1182"/>
      <c r="CM333" s="1182"/>
      <c r="CN333" s="1182"/>
      <c r="CO333" s="1182"/>
      <c r="CP333" s="1182"/>
      <c r="CQ333" s="1182"/>
      <c r="CR333" s="1182"/>
      <c r="CS333" s="1182"/>
      <c r="CT333" s="1182"/>
      <c r="CU333" s="1183"/>
      <c r="CV333" s="2300"/>
      <c r="CW333" s="2300"/>
      <c r="CX333" s="2300"/>
      <c r="CY333" s="2300"/>
      <c r="CZ333" s="2300"/>
      <c r="DA333" s="2300"/>
      <c r="DD333" s="197"/>
      <c r="DE333" s="16"/>
      <c r="DF333" s="16"/>
      <c r="DG333" s="16"/>
      <c r="DH333" s="16"/>
      <c r="DI333" s="1593"/>
      <c r="DJ333" s="1172"/>
      <c r="DK333" s="1606"/>
      <c r="DL333" s="1991" t="s">
        <v>3383</v>
      </c>
      <c r="DM333" s="99">
        <f>SUM(DM319:DM332)</f>
        <v>0</v>
      </c>
      <c r="DN333" s="99">
        <f>SUM(DN319:DN332)</f>
        <v>0</v>
      </c>
      <c r="DO333" s="99">
        <f>SUM(DO319:DO332)</f>
        <v>0</v>
      </c>
      <c r="DP333" s="99">
        <f>SUM(DP319:DP332)</f>
        <v>0</v>
      </c>
      <c r="DU333" s="242"/>
      <c r="DX333" s="2791" t="s">
        <v>1619</v>
      </c>
      <c r="DY333" s="461" t="s">
        <v>1621</v>
      </c>
      <c r="DZ333" s="72"/>
      <c r="EA333" s="256"/>
      <c r="EB333" s="138"/>
      <c r="EC333" s="131"/>
      <c r="ED333" s="111">
        <f>COUNTIF(ED319:ED332,"1")</f>
        <v>0</v>
      </c>
      <c r="EE333" s="110" t="str" cm="1">
        <f t="array" ref="EE333">INDEX(EE319:EE332,MATCH(MIN(ABS(EE319:EE332-$DP$4)),ABS(EE319:EE332-$DP$4),0))</f>
        <v>0</v>
      </c>
      <c r="EF333" s="111">
        <f>COUNTIF(EF319:EF332,"未定")</f>
        <v>0</v>
      </c>
      <c r="EG333" s="245"/>
      <c r="EH333" s="246"/>
      <c r="EI333" s="111">
        <f>COUNTIF(EI319:EI332,"1")</f>
        <v>0</v>
      </c>
      <c r="EJ333" s="110" t="str">
        <f t="array" ref="EJ333">INDEX(EJ319:EJ332,MATCH(MIN(ABS(EJ319:EJ332-$DP$4)),ABS(EJ319:EJ332-$DP$4),0))</f>
        <v>0</v>
      </c>
      <c r="EK333" s="111">
        <f>COUNTIF(EK319:EK332,"未定")</f>
        <v>0</v>
      </c>
      <c r="ET333" s="19"/>
      <c r="EU333" s="19"/>
      <c r="EV333" s="19"/>
      <c r="EW333" s="20"/>
      <c r="EX333" s="20"/>
      <c r="FG333" s="20"/>
      <c r="FK333" s="351"/>
      <c r="FL333" s="351"/>
      <c r="FM333" s="351"/>
      <c r="FN333" s="351"/>
      <c r="FO333" s="670"/>
      <c r="FQ333" s="122"/>
      <c r="FR333" s="133"/>
      <c r="FS333" s="111">
        <f>COUNTIF(FS319:FS332,"1")</f>
        <v>0</v>
      </c>
      <c r="FT333" s="110" t="str">
        <f t="array" ref="FT333">INDEX(FT319:FT332,MATCH(MIN(ABS(FT319:FT332-$DP$4)),ABS(FT319:FT332-$DP$4),0))</f>
        <v>0</v>
      </c>
      <c r="FU333" s="218">
        <f>COUNTIF(FU319:FU332,"未定")</f>
        <v>0</v>
      </c>
      <c r="FV333" s="73"/>
      <c r="FW333" s="667">
        <f t="shared" si="45"/>
        <v>0</v>
      </c>
      <c r="FX333" s="11"/>
      <c r="FY333" s="11"/>
      <c r="FZ333" s="671"/>
      <c r="GB333" s="658">
        <f>IF(SUM(GB319:GB332)&gt;0,1,0)</f>
        <v>0</v>
      </c>
      <c r="GC333" s="658">
        <f t="shared" ref="GC333" si="118">IF(SUM(GC319:GC332)&gt;0,1,0)</f>
        <v>0</v>
      </c>
      <c r="GD333" s="658">
        <f t="shared" ref="GD333" si="119">IF(SUM(GD319:GD332)&gt;0,1,0)</f>
        <v>0</v>
      </c>
      <c r="GE333" s="660"/>
      <c r="GF333" s="660"/>
      <c r="GG333" s="660"/>
      <c r="GH333" s="660"/>
      <c r="GI333" s="660"/>
      <c r="GJ333" s="660"/>
      <c r="GK333" s="660"/>
      <c r="GL333" s="660"/>
      <c r="GM333" s="660"/>
      <c r="GN333" s="660"/>
      <c r="GO333" s="660"/>
      <c r="GP333" s="660"/>
      <c r="GQ333" s="660"/>
      <c r="GR333" s="660"/>
      <c r="GS333" s="660"/>
      <c r="GT333" s="658">
        <f>IF(SUM(GT319:GT332)&gt;0,1,0)</f>
        <v>0</v>
      </c>
      <c r="GU333" s="658">
        <f t="shared" ref="GU333:GV333" si="120">IF(SUM(GU319:GU332)&gt;0,1,0)</f>
        <v>0</v>
      </c>
      <c r="GV333" s="658">
        <f t="shared" si="120"/>
        <v>0</v>
      </c>
      <c r="GW333" s="658" t="b">
        <f t="shared" si="97"/>
        <v>0</v>
      </c>
      <c r="GX333" s="658" t="b">
        <f t="shared" si="98"/>
        <v>0</v>
      </c>
      <c r="GY333" s="658" t="b">
        <f t="shared" si="99"/>
        <v>0</v>
      </c>
      <c r="GZ333" s="658" t="str">
        <f t="shared" si="100"/>
        <v/>
      </c>
      <c r="HB333" s="660"/>
      <c r="HC333" s="660"/>
      <c r="HD333" s="660"/>
      <c r="HE333" s="660"/>
      <c r="HF333" s="660"/>
      <c r="HG333" s="660"/>
      <c r="HH333" s="660"/>
      <c r="HI333" s="660"/>
      <c r="HJ333" s="660"/>
      <c r="HK333" s="660"/>
      <c r="HL333" s="660"/>
      <c r="HM333" s="660"/>
      <c r="HN333" s="660"/>
      <c r="HO333" s="660"/>
      <c r="HP333" s="660"/>
      <c r="HQ333" s="660"/>
      <c r="HR333" s="660"/>
      <c r="HT333" s="1133"/>
      <c r="HU333" s="1133"/>
      <c r="HV333" s="1133"/>
      <c r="HW333" s="1133"/>
      <c r="HX333" s="1133"/>
    </row>
    <row r="334" spans="1:232" s="19" customFormat="1" ht="35.1" customHeight="1" thickBot="1" x14ac:dyDescent="0.55000000000000004">
      <c r="A334" s="1201"/>
      <c r="B334" s="1201"/>
      <c r="C334" s="1201"/>
      <c r="D334" s="1201"/>
      <c r="E334" s="1202"/>
      <c r="F334" s="652"/>
      <c r="G334" s="652"/>
      <c r="H334" s="652"/>
      <c r="I334" s="1354"/>
      <c r="J334" s="1234"/>
      <c r="K334" s="1235"/>
      <c r="L334" s="1235"/>
      <c r="M334" s="2450" t="s">
        <v>2823</v>
      </c>
      <c r="N334" s="2450"/>
      <c r="O334" s="2450"/>
      <c r="P334" s="2450"/>
      <c r="Q334" s="2450"/>
      <c r="R334" s="2450"/>
      <c r="S334" s="2450"/>
      <c r="T334" s="2450"/>
      <c r="U334" s="2450"/>
      <c r="V334" s="2450"/>
      <c r="W334" s="2450"/>
      <c r="X334" s="2450"/>
      <c r="Y334" s="2450"/>
      <c r="Z334" s="2450"/>
      <c r="AA334" s="2450"/>
      <c r="AB334" s="2450"/>
      <c r="AC334" s="2450"/>
      <c r="AD334" s="2450"/>
      <c r="AE334" s="2450"/>
      <c r="AF334" s="2450"/>
      <c r="AG334" s="2450"/>
      <c r="AH334" s="2450"/>
      <c r="AI334" s="2450"/>
      <c r="AJ334" s="2450"/>
      <c r="AK334" s="2450"/>
      <c r="AL334" s="2450"/>
      <c r="AM334" s="2450"/>
      <c r="AN334" s="2450"/>
      <c r="AO334" s="2450"/>
      <c r="AP334" s="2450"/>
      <c r="AQ334" s="2450"/>
      <c r="AR334" s="2450"/>
      <c r="AS334" s="2450"/>
      <c r="AT334" s="2450"/>
      <c r="AU334" s="2450"/>
      <c r="AV334" s="2450"/>
      <c r="AW334" s="2450"/>
      <c r="AX334" s="2450"/>
      <c r="AY334" s="2450"/>
      <c r="AZ334" s="2450"/>
      <c r="BA334" s="2450"/>
      <c r="BB334" s="2450"/>
      <c r="BC334" s="2450"/>
      <c r="BD334" s="2450"/>
      <c r="BE334" s="2450"/>
      <c r="BF334" s="2450"/>
      <c r="BG334" s="2450"/>
      <c r="BH334" s="2450"/>
      <c r="BI334" s="2450"/>
      <c r="BJ334" s="2450"/>
      <c r="BK334" s="2450"/>
      <c r="BL334" s="2450"/>
      <c r="BM334" s="2450"/>
      <c r="BN334" s="2450"/>
      <c r="BO334" s="2450"/>
      <c r="BP334" s="2450"/>
      <c r="BQ334" s="2450"/>
      <c r="BR334" s="2450"/>
      <c r="BS334" s="2450"/>
      <c r="BT334" s="2450"/>
      <c r="BU334" s="2450"/>
      <c r="BV334" s="2450"/>
      <c r="BW334" s="2450"/>
      <c r="BX334" s="2450"/>
      <c r="BY334" s="2450"/>
      <c r="BZ334" s="2450"/>
      <c r="CA334" s="2450"/>
      <c r="CB334" s="2450"/>
      <c r="CC334" s="2450"/>
      <c r="CD334" s="2450"/>
      <c r="CE334" s="2450"/>
      <c r="CF334" s="2450"/>
      <c r="CG334" s="2450"/>
      <c r="CH334" s="2450"/>
      <c r="CI334" s="2450"/>
      <c r="CJ334" s="2450"/>
      <c r="CK334" s="2450"/>
      <c r="CL334" s="2450"/>
      <c r="CM334" s="2450"/>
      <c r="CN334" s="2450"/>
      <c r="CO334" s="2450"/>
      <c r="CP334" s="2450"/>
      <c r="CQ334" s="2450"/>
      <c r="CR334" s="2450"/>
      <c r="CS334" s="2450"/>
      <c r="CT334" s="2450"/>
      <c r="CU334" s="2451"/>
      <c r="CV334" s="2300" t="str">
        <f>IF(AND(DT334="要是正",DU334&lt;21),HYPERLINK("#"&amp;EL334&amp;"!"&amp;EM334&amp;":"&amp;EN334&amp;"","関連写真添付"),"")</f>
        <v/>
      </c>
      <c r="CW334" s="2300"/>
      <c r="CX334" s="2300"/>
      <c r="CY334" s="2300"/>
      <c r="CZ334" s="2300"/>
      <c r="DA334" s="2300"/>
      <c r="DC334" s="329" t="str">
        <f>IF(AND(DU334&lt;&gt;"",DU334&gt;10),"「別途様式を作成、提出してください。」","")</f>
        <v/>
      </c>
      <c r="DD334" s="197"/>
      <c r="DI334" s="1596"/>
      <c r="DJ334" s="1173"/>
      <c r="DK334" s="1607"/>
      <c r="DL334" s="2059" t="s">
        <v>3404</v>
      </c>
      <c r="DM334" s="1623" t="str">
        <f>IF(AND(DN334="",DO334="",DP334="",DM360&lt;&gt;0),"レ","")</f>
        <v/>
      </c>
      <c r="DN334" s="1623" t="str">
        <f>IF(AND(DO334="",DP334="",DN360&lt;&gt;0),"レ","")</f>
        <v/>
      </c>
      <c r="DO334" s="1623" t="str">
        <f>IF(DO360&lt;&gt;0,"レ","")</f>
        <v/>
      </c>
      <c r="DP334" s="1623" t="str">
        <f>IF(AND(DO334="",DP360&lt;&gt;0),"レ","")</f>
        <v/>
      </c>
      <c r="DQ334" s="232"/>
      <c r="DR334" s="235"/>
      <c r="DS334" s="235"/>
      <c r="DT334" s="236"/>
      <c r="DU334" s="234"/>
      <c r="DV334" s="24"/>
      <c r="DW334" s="2047" t="s">
        <v>3410</v>
      </c>
      <c r="DX334" s="2792"/>
      <c r="DY334" s="2046" t="str">
        <f>SUBSTITUTE(TRIM(DY337&amp;"　"&amp;DY338&amp;"　"&amp;DY339&amp;"　"&amp;DY340&amp;"　"&amp;DY341&amp;"　"&amp;DY342&amp;"　"&amp;DY343&amp;"　"&amp;DY344&amp;"　"&amp;DY345&amp;"　"&amp;DY346&amp;"　"&amp;DY347&amp;"　"&amp;DY348&amp;"　"&amp;DY349&amp;"　"&amp;DY350&amp;"　"&amp;DY351&amp;"　"&amp;DY352&amp;"　"&amp;DY353&amp;"　"&amp;DY354&amp;"　"&amp;DY355&amp;"　"&amp;DY356&amp;"　"&amp;DY357&amp;"　"&amp;DY358&amp;"　"&amp;DY359),"　",", ")&amp;HM536</f>
        <v/>
      </c>
      <c r="DZ334" s="2874" t="s">
        <v>1625</v>
      </c>
      <c r="EA334" s="2875"/>
      <c r="EB334" s="2060" t="str">
        <f>IF(COUNTIF(ED337:ED359,1)&gt;0,"レ","")</f>
        <v/>
      </c>
      <c r="EC334" s="202"/>
      <c r="ED334" s="2061" t="str">
        <f>IF(EB334="レ",YEAR(EE360)-VLOOKUP(EE360,$DS$6:$DV$9,4,TRUE),"")</f>
        <v/>
      </c>
      <c r="EE334" s="2061" t="str">
        <f>IF(EB334="レ",MONTH(EE360),IF(AND(DO334="レ",EF334="レ",EF360=0),"",IF(AND(DO334="レ",EF334="レ",EF360&gt;0),"","")))</f>
        <v/>
      </c>
      <c r="EF334" s="2062" t="str">
        <f>IF(EB334="",IF(OR(EF360&gt;0,DO334="レ"),"レ",""),"")</f>
        <v/>
      </c>
      <c r="EG334" s="2060" t="str">
        <f>IF(AND(COUNTIF(DT337:DT354,"要是正")=0,COUNTIF(EI337:EI354,1)&gt;0),"レ","")</f>
        <v/>
      </c>
      <c r="EH334" s="202"/>
      <c r="EI334" s="2061" t="str">
        <f>IF(EG334="レ",YEAR(EJ360)-VLOOKUP(EJ360,$DS$6:$DV$9,4,TRUE),"")</f>
        <v/>
      </c>
      <c r="EJ334" s="2061" t="str">
        <f>IF(EG334="レ",MONTH(EJ360),IF(AND(DP334="レ",EK334="レ",EK360=0),"",IF(AND(DP334="レ",EK334="レ",EK360&gt;0),"","")))</f>
        <v/>
      </c>
      <c r="EK334" s="2063" t="str">
        <f>IF(EG334="",IF(OR(EK360&gt;0,DP334="レ"),"レ",""),"")</f>
        <v/>
      </c>
      <c r="EL334" s="237"/>
      <c r="EM334" s="237"/>
      <c r="EN334" s="237"/>
      <c r="EO334" s="238"/>
      <c r="EP334" s="239"/>
      <c r="EQ334" s="239"/>
      <c r="ER334" s="239"/>
      <c r="ES334" s="1973" t="str">
        <f>$GW$539</f>
        <v>要是正なし</v>
      </c>
      <c r="ET334" s="15"/>
      <c r="EU334" s="15"/>
      <c r="EV334" s="15"/>
      <c r="EW334" s="15"/>
      <c r="EX334" s="15"/>
      <c r="EY334" s="15"/>
      <c r="EZ334" s="15"/>
      <c r="FA334" s="15"/>
      <c r="FB334" s="15"/>
      <c r="FC334" s="15"/>
      <c r="FD334" s="15"/>
      <c r="FE334" s="15"/>
      <c r="FF334" s="15"/>
      <c r="FG334" s="15"/>
      <c r="FH334" s="15"/>
      <c r="FK334" s="351"/>
      <c r="FL334" s="351"/>
      <c r="FM334" s="351"/>
      <c r="FN334" s="351"/>
      <c r="FO334" s="670"/>
      <c r="FQ334" s="134" t="str">
        <f>IF(COUNTIF(FS337:FS359,1)&gt;0,"レ","")</f>
        <v/>
      </c>
      <c r="FR334" s="202"/>
      <c r="FS334" s="135" t="str">
        <f>IF(FQ334="レ",TEXT(FT360,"ee"),"")</f>
        <v/>
      </c>
      <c r="FT334" s="135" t="str">
        <f>IF(FQ334="レ",MONTH(FT360),IF(AND(FH334="レ",FU334="レ",FU360=0),"",IF(AND(FH334="レ",FU334="レ",FU360&gt;0),"未定","")))</f>
        <v/>
      </c>
      <c r="FU334" s="200" t="str">
        <f>IF(FQ334="",IF(OR(FU360&gt;0,FH334="レ"),"レ",""),"")</f>
        <v/>
      </c>
      <c r="FW334" s="667">
        <f t="shared" si="45"/>
        <v>0</v>
      </c>
      <c r="FX334" s="32"/>
      <c r="FY334" s="32"/>
      <c r="FZ334" s="668"/>
      <c r="GA334" s="14"/>
      <c r="GB334" s="32"/>
      <c r="GC334" s="32"/>
      <c r="GE334" s="32"/>
      <c r="GF334" s="32"/>
      <c r="GG334" s="32"/>
      <c r="GH334" s="32"/>
      <c r="GI334" s="32"/>
      <c r="GJ334" s="32"/>
      <c r="GK334" s="32"/>
      <c r="GL334" s="32"/>
      <c r="GM334" s="32"/>
      <c r="GN334" s="32"/>
      <c r="GO334" s="32"/>
      <c r="GP334" s="32"/>
      <c r="GQ334" s="32"/>
      <c r="GR334" s="32"/>
      <c r="GS334" s="32"/>
      <c r="GT334" s="32"/>
      <c r="GU334" s="32"/>
      <c r="GV334" s="32"/>
      <c r="GW334" s="32"/>
      <c r="GX334" s="32"/>
      <c r="GY334" s="32"/>
      <c r="HB334" s="32"/>
      <c r="HC334" s="32"/>
      <c r="HD334" s="32"/>
      <c r="HE334" s="32"/>
      <c r="HF334" s="32"/>
      <c r="HG334" s="32"/>
      <c r="HH334" s="32"/>
      <c r="HI334" s="32"/>
      <c r="HJ334" s="32"/>
      <c r="HK334" s="32"/>
      <c r="HL334" s="32"/>
      <c r="HM334" s="32"/>
      <c r="HN334" s="32"/>
      <c r="HO334" s="32"/>
      <c r="HP334" s="32"/>
      <c r="HQ334" s="32"/>
      <c r="HR334" s="32"/>
      <c r="HT334" s="1134"/>
      <c r="HU334" s="1134"/>
      <c r="HV334" s="1134"/>
      <c r="HW334" s="1134"/>
      <c r="HX334" s="1134"/>
    </row>
    <row r="335" spans="1:232" s="19" customFormat="1" ht="36" customHeight="1" thickBot="1" x14ac:dyDescent="0.2">
      <c r="A335" s="1201"/>
      <c r="B335" s="1201"/>
      <c r="C335" s="1201"/>
      <c r="D335" s="1201"/>
      <c r="E335" s="1202"/>
      <c r="F335" s="652"/>
      <c r="G335" s="652"/>
      <c r="H335" s="652"/>
      <c r="I335" s="1351"/>
      <c r="J335" s="1260"/>
      <c r="K335" s="1261"/>
      <c r="L335" s="1261"/>
      <c r="M335" s="2471" t="s">
        <v>31</v>
      </c>
      <c r="N335" s="2471"/>
      <c r="O335" s="2471"/>
      <c r="P335" s="2387" t="s">
        <v>32</v>
      </c>
      <c r="Q335" s="2387"/>
      <c r="R335" s="2387"/>
      <c r="S335" s="2387"/>
      <c r="T335" s="2387"/>
      <c r="U335" s="2387"/>
      <c r="V335" s="2387"/>
      <c r="W335" s="2387"/>
      <c r="X335" s="2387"/>
      <c r="Y335" s="2387"/>
      <c r="Z335" s="2387"/>
      <c r="AA335" s="2387"/>
      <c r="AB335" s="2387"/>
      <c r="AC335" s="2387"/>
      <c r="AD335" s="2387"/>
      <c r="AE335" s="2387"/>
      <c r="AF335" s="2387" t="s">
        <v>33</v>
      </c>
      <c r="AG335" s="2387"/>
      <c r="AH335" s="2387"/>
      <c r="AI335" s="2387"/>
      <c r="AJ335" s="2387"/>
      <c r="AK335" s="2387"/>
      <c r="AL335" s="2387"/>
      <c r="AM335" s="2387"/>
      <c r="AN335" s="2387"/>
      <c r="AO335" s="2387"/>
      <c r="AP335" s="2387"/>
      <c r="AQ335" s="2387"/>
      <c r="AR335" s="2387" t="s">
        <v>716</v>
      </c>
      <c r="AS335" s="2387"/>
      <c r="AT335" s="2388" t="s">
        <v>149</v>
      </c>
      <c r="AU335" s="2388"/>
      <c r="AV335" s="2388"/>
      <c r="AW335" s="2388"/>
      <c r="AX335" s="2388"/>
      <c r="AY335" s="2388"/>
      <c r="AZ335" s="2388"/>
      <c r="BA335" s="2388"/>
      <c r="BB335" s="2388"/>
      <c r="BC335" s="2388"/>
      <c r="BD335" s="2388" t="s">
        <v>187</v>
      </c>
      <c r="BE335" s="2388"/>
      <c r="BF335" s="2388"/>
      <c r="BG335" s="2388"/>
      <c r="BH335" s="2388"/>
      <c r="BI335" s="2388"/>
      <c r="BJ335" s="2388"/>
      <c r="BK335" s="2388"/>
      <c r="BL335" s="2388"/>
      <c r="BM335" s="2388"/>
      <c r="BN335" s="2388"/>
      <c r="BO335" s="2388"/>
      <c r="BP335" s="2388"/>
      <c r="BQ335" s="2388"/>
      <c r="BR335" s="2388"/>
      <c r="BS335" s="2387" t="s">
        <v>352</v>
      </c>
      <c r="BT335" s="2388"/>
      <c r="BU335" s="2388"/>
      <c r="BV335" s="2388"/>
      <c r="BW335" s="2388"/>
      <c r="BX335" s="2388"/>
      <c r="BY335" s="2388"/>
      <c r="BZ335" s="2388"/>
      <c r="CA335" s="2388"/>
      <c r="CB335" s="2363" t="s">
        <v>1919</v>
      </c>
      <c r="CC335" s="2363"/>
      <c r="CD335" s="2363"/>
      <c r="CE335" s="2363"/>
      <c r="CF335" s="2363"/>
      <c r="CG335" s="2363"/>
      <c r="CH335" s="2363"/>
      <c r="CI335" s="2363"/>
      <c r="CJ335" s="2363"/>
      <c r="CK335" s="2363"/>
      <c r="CL335" s="2363"/>
      <c r="CM335" s="2363"/>
      <c r="CN335" s="2363"/>
      <c r="CO335" s="2363"/>
      <c r="CP335" s="2363"/>
      <c r="CQ335" s="2363"/>
      <c r="CR335" s="2363"/>
      <c r="CS335" s="2363"/>
      <c r="CT335" s="2363"/>
      <c r="CU335" s="2364"/>
      <c r="CV335" s="421"/>
      <c r="CW335" s="421"/>
      <c r="CX335" s="20"/>
      <c r="CY335" s="20"/>
      <c r="CZ335" s="20"/>
      <c r="DA335" s="20"/>
      <c r="DB335" s="20"/>
      <c r="DC335" s="15"/>
      <c r="DD335" s="197"/>
      <c r="DE335" s="14"/>
      <c r="DF335" s="14"/>
      <c r="DG335" s="14"/>
      <c r="DH335" s="14"/>
      <c r="DI335" s="1596"/>
      <c r="DJ335" s="1157"/>
      <c r="DK335" s="1608"/>
      <c r="DL335" s="14"/>
      <c r="DM335" s="72"/>
      <c r="DN335" s="14"/>
      <c r="DO335" s="14"/>
      <c r="DP335" s="14"/>
      <c r="DQ335" s="14"/>
      <c r="DR335" s="14"/>
      <c r="DU335" s="286"/>
      <c r="DV335" s="197"/>
      <c r="DX335" s="2792"/>
      <c r="DY335" s="2754" t="s">
        <v>872</v>
      </c>
      <c r="DZ335" s="2876" t="s">
        <v>187</v>
      </c>
      <c r="EA335" s="2873" t="s">
        <v>1605</v>
      </c>
      <c r="EB335" s="2262" t="s">
        <v>24</v>
      </c>
      <c r="EC335" s="2263"/>
      <c r="ED335" s="2263"/>
      <c r="EE335" s="2263"/>
      <c r="EF335" s="2263"/>
      <c r="EG335" s="2367" t="s">
        <v>891</v>
      </c>
      <c r="EH335" s="2368"/>
      <c r="EI335" s="2368"/>
      <c r="EJ335" s="2368"/>
      <c r="EK335" s="2369"/>
      <c r="EL335" s="2304" t="s">
        <v>898</v>
      </c>
      <c r="EM335" s="2305"/>
      <c r="EN335" s="2306"/>
      <c r="EO335" s="2305" t="s">
        <v>897</v>
      </c>
      <c r="EP335" s="2305"/>
      <c r="EQ335" s="2305"/>
      <c r="ER335" s="2306"/>
      <c r="ES335" s="32"/>
      <c r="ET335" s="2281"/>
      <c r="EU335" s="2281"/>
      <c r="EV335" s="2281"/>
      <c r="EW335" s="2281"/>
      <c r="EX335" s="2281"/>
      <c r="EY335" s="2265"/>
      <c r="EZ335" s="2265"/>
      <c r="FA335" s="2265"/>
      <c r="FB335" s="2265"/>
      <c r="FC335" s="2265"/>
      <c r="FD335" s="2265"/>
      <c r="FE335" s="2265"/>
      <c r="FF335" s="2265"/>
      <c r="FG335" s="2265"/>
      <c r="FH335" s="2265"/>
      <c r="FI335" s="20"/>
      <c r="FJ335" s="20"/>
      <c r="FK335" s="2283" t="s">
        <v>1108</v>
      </c>
      <c r="FL335" s="2284"/>
      <c r="FM335" s="2284"/>
      <c r="FN335" s="2284"/>
      <c r="FO335" s="2285"/>
      <c r="FQ335" s="2262" t="s">
        <v>24</v>
      </c>
      <c r="FR335" s="2263"/>
      <c r="FS335" s="2263"/>
      <c r="FT335" s="2263"/>
      <c r="FU335" s="2264"/>
      <c r="FW335" s="667" t="str">
        <f t="shared" si="45"/>
        <v>指摘の具体的内容等</v>
      </c>
      <c r="FX335" s="32"/>
      <c r="FY335" s="32"/>
      <c r="FZ335" s="668"/>
      <c r="GA335" s="14"/>
      <c r="GB335" s="32"/>
      <c r="GC335" s="32"/>
      <c r="GE335" s="32"/>
      <c r="GF335" s="32"/>
      <c r="GG335" s="32"/>
      <c r="GH335" s="32"/>
      <c r="GI335" s="32"/>
      <c r="GJ335" s="32"/>
      <c r="GK335" s="32"/>
      <c r="GL335" s="32"/>
      <c r="GM335" s="32"/>
      <c r="GN335" s="32"/>
      <c r="GO335" s="32"/>
      <c r="GP335" s="32"/>
      <c r="GQ335" s="32"/>
      <c r="GR335" s="32"/>
      <c r="GS335" s="32"/>
      <c r="GT335" s="32"/>
      <c r="GU335" s="32"/>
      <c r="GV335" s="32"/>
      <c r="GW335" s="32"/>
      <c r="GX335" s="32"/>
      <c r="GY335" s="32"/>
      <c r="HB335" s="32"/>
      <c r="HC335" s="32"/>
      <c r="HD335" s="32"/>
      <c r="HE335" s="32"/>
      <c r="HF335" s="32"/>
      <c r="HG335" s="32"/>
      <c r="HH335" s="32"/>
      <c r="HI335" s="32"/>
      <c r="HJ335" s="32"/>
      <c r="HK335" s="32"/>
      <c r="HL335" s="32"/>
      <c r="HM335" s="32"/>
      <c r="HN335" s="32"/>
      <c r="HO335" s="32"/>
      <c r="HP335" s="32"/>
      <c r="HQ335" s="32"/>
      <c r="HR335" s="32"/>
      <c r="HT335" s="1134"/>
      <c r="HU335" s="1134"/>
      <c r="HV335" s="1134"/>
      <c r="HW335" s="1134"/>
      <c r="HX335" s="1134"/>
    </row>
    <row r="336" spans="1:232" s="19" customFormat="1" ht="36" customHeight="1" thickBot="1" x14ac:dyDescent="0.2">
      <c r="A336" s="1201"/>
      <c r="B336" s="1201"/>
      <c r="C336" s="1201"/>
      <c r="D336" s="1201"/>
      <c r="E336" s="1202"/>
      <c r="F336" s="652"/>
      <c r="G336" s="652"/>
      <c r="H336" s="652"/>
      <c r="I336" s="1351"/>
      <c r="J336" s="1260"/>
      <c r="K336" s="1261"/>
      <c r="L336" s="1261"/>
      <c r="M336" s="2289"/>
      <c r="N336" s="2289"/>
      <c r="O336" s="2289"/>
      <c r="P336" s="2289"/>
      <c r="Q336" s="2289"/>
      <c r="R336" s="2289"/>
      <c r="S336" s="2289"/>
      <c r="T336" s="2289"/>
      <c r="U336" s="2289"/>
      <c r="V336" s="2289"/>
      <c r="W336" s="2289"/>
      <c r="X336" s="2289"/>
      <c r="Y336" s="2289"/>
      <c r="Z336" s="2289"/>
      <c r="AA336" s="2289"/>
      <c r="AB336" s="2289"/>
      <c r="AC336" s="2289"/>
      <c r="AD336" s="2289"/>
      <c r="AE336" s="2289"/>
      <c r="AF336" s="2289"/>
      <c r="AG336" s="2289"/>
      <c r="AH336" s="2289"/>
      <c r="AI336" s="2289"/>
      <c r="AJ336" s="2289"/>
      <c r="AK336" s="2289"/>
      <c r="AL336" s="2289"/>
      <c r="AM336" s="2289"/>
      <c r="AN336" s="2289"/>
      <c r="AO336" s="2289"/>
      <c r="AP336" s="2289"/>
      <c r="AQ336" s="2289"/>
      <c r="AR336" s="2289"/>
      <c r="AS336" s="2289"/>
      <c r="AT336" s="2386"/>
      <c r="AU336" s="2386"/>
      <c r="AV336" s="2386"/>
      <c r="AW336" s="2386"/>
      <c r="AX336" s="2386"/>
      <c r="AY336" s="2386"/>
      <c r="AZ336" s="2386"/>
      <c r="BA336" s="2386"/>
      <c r="BB336" s="2386"/>
      <c r="BC336" s="2386"/>
      <c r="BD336" s="2386"/>
      <c r="BE336" s="2386"/>
      <c r="BF336" s="2386"/>
      <c r="BG336" s="2386"/>
      <c r="BH336" s="2386"/>
      <c r="BI336" s="2386"/>
      <c r="BJ336" s="2386"/>
      <c r="BK336" s="2386"/>
      <c r="BL336" s="2386"/>
      <c r="BM336" s="2386"/>
      <c r="BN336" s="2386"/>
      <c r="BO336" s="2386"/>
      <c r="BP336" s="2386"/>
      <c r="BQ336" s="2386"/>
      <c r="BR336" s="2386"/>
      <c r="BS336" s="2289" t="s">
        <v>827</v>
      </c>
      <c r="BT336" s="2289"/>
      <c r="BU336" s="2289"/>
      <c r="BV336" s="2289" t="s">
        <v>348</v>
      </c>
      <c r="BW336" s="2289"/>
      <c r="BX336" s="2289"/>
      <c r="BY336" s="2289" t="s">
        <v>1314</v>
      </c>
      <c r="BZ336" s="2386"/>
      <c r="CA336" s="2386"/>
      <c r="CB336" s="2365"/>
      <c r="CC336" s="2365"/>
      <c r="CD336" s="2365"/>
      <c r="CE336" s="2365"/>
      <c r="CF336" s="2365"/>
      <c r="CG336" s="2365"/>
      <c r="CH336" s="2365"/>
      <c r="CI336" s="2365"/>
      <c r="CJ336" s="2365"/>
      <c r="CK336" s="2365"/>
      <c r="CL336" s="2365"/>
      <c r="CM336" s="2365"/>
      <c r="CN336" s="2365"/>
      <c r="CO336" s="2365"/>
      <c r="CP336" s="2365"/>
      <c r="CQ336" s="2365"/>
      <c r="CR336" s="2365"/>
      <c r="CS336" s="2365"/>
      <c r="CT336" s="2365"/>
      <c r="CU336" s="2366"/>
      <c r="CV336" s="421"/>
      <c r="CW336" s="421"/>
      <c r="CX336" s="20"/>
      <c r="CY336" s="20"/>
      <c r="CZ336" s="20"/>
      <c r="DA336" s="20"/>
      <c r="DB336" s="20"/>
      <c r="DC336" s="15"/>
      <c r="DD336" s="197"/>
      <c r="DE336" s="14"/>
      <c r="DF336" s="14"/>
      <c r="DG336" s="14"/>
      <c r="DH336" s="14"/>
      <c r="DI336" s="1596"/>
      <c r="DJ336" s="1169" t="s">
        <v>2752</v>
      </c>
      <c r="DK336" s="1599" t="s">
        <v>2751</v>
      </c>
      <c r="DL336" s="269" t="s">
        <v>2753</v>
      </c>
      <c r="DM336" s="281" t="s">
        <v>325</v>
      </c>
      <c r="DN336" s="261" t="s">
        <v>326</v>
      </c>
      <c r="DO336" s="261" t="s">
        <v>327</v>
      </c>
      <c r="DP336" s="262" t="s">
        <v>328</v>
      </c>
      <c r="DQ336" s="282" t="s">
        <v>825</v>
      </c>
      <c r="DR336" s="260" t="s">
        <v>718</v>
      </c>
      <c r="DS336" s="283" t="s">
        <v>717</v>
      </c>
      <c r="DT336" s="269" t="s">
        <v>710</v>
      </c>
      <c r="DU336" s="271" t="s">
        <v>881</v>
      </c>
      <c r="DV336" s="279" t="s">
        <v>873</v>
      </c>
      <c r="DW336" s="280" t="s">
        <v>660</v>
      </c>
      <c r="DX336" s="2793"/>
      <c r="DY336" s="2755"/>
      <c r="DZ336" s="2877"/>
      <c r="EA336" s="2373"/>
      <c r="EB336" s="139" t="s">
        <v>910</v>
      </c>
      <c r="EC336" s="132" t="s">
        <v>909</v>
      </c>
      <c r="ED336" s="132" t="s">
        <v>903</v>
      </c>
      <c r="EE336" s="119" t="s">
        <v>904</v>
      </c>
      <c r="EF336" s="120" t="s">
        <v>905</v>
      </c>
      <c r="EG336" s="118" t="s">
        <v>901</v>
      </c>
      <c r="EH336" s="119" t="s">
        <v>902</v>
      </c>
      <c r="EI336" s="132" t="s">
        <v>903</v>
      </c>
      <c r="EJ336" s="119" t="s">
        <v>904</v>
      </c>
      <c r="EK336" s="240" t="s">
        <v>905</v>
      </c>
      <c r="EL336" s="127" t="s">
        <v>336</v>
      </c>
      <c r="EM336" s="23" t="s">
        <v>658</v>
      </c>
      <c r="EN336" s="124" t="s">
        <v>659</v>
      </c>
      <c r="EO336" s="657"/>
      <c r="EP336" s="23" t="s">
        <v>336</v>
      </c>
      <c r="EQ336" s="23" t="s">
        <v>658</v>
      </c>
      <c r="ER336" s="124" t="s">
        <v>659</v>
      </c>
      <c r="ES336" s="287"/>
      <c r="ET336" s="15"/>
      <c r="EU336" s="181"/>
      <c r="EV336" s="181"/>
      <c r="EW336" s="181"/>
      <c r="EX336" s="181"/>
      <c r="EY336" s="182"/>
      <c r="EZ336" s="182"/>
      <c r="FA336" s="182"/>
      <c r="FB336" s="182"/>
      <c r="FC336" s="182"/>
      <c r="FD336" s="182"/>
      <c r="FE336" s="182"/>
      <c r="FF336" s="182"/>
      <c r="FG336" s="182"/>
      <c r="FH336" s="182"/>
      <c r="FI336" s="20"/>
      <c r="FJ336" s="20"/>
      <c r="FK336" s="2286"/>
      <c r="FL336" s="2287"/>
      <c r="FM336" s="2287"/>
      <c r="FN336" s="2287"/>
      <c r="FO336" s="2288"/>
      <c r="FQ336" s="139" t="s">
        <v>910</v>
      </c>
      <c r="FR336" s="132" t="s">
        <v>909</v>
      </c>
      <c r="FS336" s="132" t="s">
        <v>903</v>
      </c>
      <c r="FT336" s="119" t="s">
        <v>904</v>
      </c>
      <c r="FU336" s="216" t="s">
        <v>905</v>
      </c>
      <c r="FW336" s="667">
        <f t="shared" si="45"/>
        <v>0</v>
      </c>
      <c r="FX336" s="32"/>
      <c r="FY336" s="32"/>
      <c r="FZ336" s="668"/>
      <c r="GA336" s="14"/>
      <c r="GB336" s="32"/>
      <c r="GC336" s="32"/>
      <c r="GE336" s="672"/>
      <c r="GF336" s="672"/>
      <c r="GG336" s="672"/>
      <c r="GH336" s="672"/>
      <c r="GI336" s="672"/>
      <c r="GJ336" s="672"/>
      <c r="GK336" s="672"/>
      <c r="GL336" s="672"/>
      <c r="GM336" s="672"/>
      <c r="GN336" s="672"/>
      <c r="GO336" s="672"/>
      <c r="GP336" s="672"/>
      <c r="GQ336" s="672"/>
      <c r="GR336" s="672"/>
      <c r="GS336" s="672"/>
      <c r="GT336" s="672"/>
      <c r="GU336" s="672"/>
      <c r="GV336" s="672"/>
      <c r="GW336" s="32"/>
      <c r="GX336" s="32"/>
      <c r="GY336" s="32"/>
      <c r="HB336" s="672"/>
      <c r="HC336" s="672"/>
      <c r="HD336" s="672"/>
      <c r="HE336" s="672"/>
      <c r="HF336" s="672"/>
      <c r="HG336" s="672"/>
      <c r="HH336" s="672"/>
      <c r="HI336" s="672"/>
      <c r="HJ336" s="672"/>
      <c r="HK336" s="672"/>
      <c r="HL336" s="672"/>
      <c r="HM336" s="672"/>
      <c r="HN336" s="672"/>
      <c r="HO336" s="672"/>
      <c r="HP336" s="672"/>
      <c r="HQ336" s="672"/>
      <c r="HR336" s="672"/>
      <c r="HT336" s="1135"/>
      <c r="HU336" s="1135"/>
      <c r="HV336" s="1135"/>
      <c r="HW336" s="1135"/>
      <c r="HX336" s="1135"/>
    </row>
    <row r="337" spans="1:232" s="19" customFormat="1" ht="50.1" customHeight="1" x14ac:dyDescent="0.15">
      <c r="A337" s="1201"/>
      <c r="B337" s="1201"/>
      <c r="C337" s="1201"/>
      <c r="D337" s="1201"/>
      <c r="E337" s="1202"/>
      <c r="F337" s="652"/>
      <c r="G337" s="652"/>
      <c r="H337" s="652"/>
      <c r="I337" s="1354"/>
      <c r="J337" s="1234"/>
      <c r="K337" s="1261"/>
      <c r="L337" s="1261"/>
      <c r="M337" s="2142" t="s">
        <v>230</v>
      </c>
      <c r="N337" s="2142"/>
      <c r="O337" s="2143"/>
      <c r="P337" s="2429" t="s">
        <v>50</v>
      </c>
      <c r="Q337" s="2429"/>
      <c r="R337" s="2439"/>
      <c r="S337" s="2439"/>
      <c r="T337" s="2439"/>
      <c r="U337" s="2429" t="s">
        <v>51</v>
      </c>
      <c r="V337" s="2429"/>
      <c r="W337" s="2429"/>
      <c r="X337" s="2429"/>
      <c r="Y337" s="2429"/>
      <c r="Z337" s="2429"/>
      <c r="AA337" s="2429"/>
      <c r="AB337" s="2429"/>
      <c r="AC337" s="2429"/>
      <c r="AD337" s="2429"/>
      <c r="AE337" s="2429"/>
      <c r="AF337" s="2293"/>
      <c r="AG337" s="2293"/>
      <c r="AH337" s="2293"/>
      <c r="AI337" s="2293"/>
      <c r="AJ337" s="2293"/>
      <c r="AK337" s="2293"/>
      <c r="AL337" s="2293"/>
      <c r="AM337" s="2293"/>
      <c r="AN337" s="2293"/>
      <c r="AO337" s="2293"/>
      <c r="AP337" s="2293"/>
      <c r="AQ337" s="2293"/>
      <c r="AR337" s="2359"/>
      <c r="AS337" s="2359"/>
      <c r="AT337" s="2301"/>
      <c r="AU337" s="2301"/>
      <c r="AV337" s="2301"/>
      <c r="AW337" s="2301"/>
      <c r="AX337" s="2301"/>
      <c r="AY337" s="2301"/>
      <c r="AZ337" s="2301"/>
      <c r="BA337" s="2301"/>
      <c r="BB337" s="2301"/>
      <c r="BC337" s="2301"/>
      <c r="BD337" s="2301"/>
      <c r="BE337" s="2301"/>
      <c r="BF337" s="2301"/>
      <c r="BG337" s="2301"/>
      <c r="BH337" s="2301"/>
      <c r="BI337" s="2301"/>
      <c r="BJ337" s="2301"/>
      <c r="BK337" s="2301"/>
      <c r="BL337" s="2301"/>
      <c r="BM337" s="2301"/>
      <c r="BN337" s="2301"/>
      <c r="BO337" s="2301"/>
      <c r="BP337" s="2301"/>
      <c r="BQ337" s="2301"/>
      <c r="BR337" s="2301"/>
      <c r="BS337" s="2358"/>
      <c r="BT337" s="2358"/>
      <c r="BU337" s="2358"/>
      <c r="BV337" s="2358"/>
      <c r="BW337" s="2358"/>
      <c r="BX337" s="2358"/>
      <c r="BY337" s="2358"/>
      <c r="BZ337" s="2359"/>
      <c r="CA337" s="2359"/>
      <c r="CB337" s="2734"/>
      <c r="CC337" s="2211"/>
      <c r="CD337" s="2211"/>
      <c r="CE337" s="2211"/>
      <c r="CF337" s="2211"/>
      <c r="CG337" s="2211"/>
      <c r="CH337" s="2211"/>
      <c r="CI337" s="2211"/>
      <c r="CJ337" s="2211"/>
      <c r="CK337" s="2211"/>
      <c r="CL337" s="2211"/>
      <c r="CM337" s="2211"/>
      <c r="CN337" s="2211"/>
      <c r="CO337" s="2211"/>
      <c r="CP337" s="2211"/>
      <c r="CQ337" s="2211"/>
      <c r="CR337" s="2211"/>
      <c r="CS337" s="2211"/>
      <c r="CT337" s="2211"/>
      <c r="CU337" s="2735"/>
      <c r="CV337" s="2300" t="str">
        <f t="shared" ref="CV337:CV354" si="121">IF(AND(DT337="要是正",DU337&lt;21),HYPERLINK("#"&amp;EL337&amp;"!"&amp;EM337&amp;":"&amp;EN337&amp;"","関連写真添付"),"")</f>
        <v/>
      </c>
      <c r="CW337" s="2300"/>
      <c r="CX337" s="2300"/>
      <c r="CY337" s="2300"/>
      <c r="CZ337" s="2300"/>
      <c r="DA337" s="2300"/>
      <c r="DC337" s="329" t="str">
        <f>IF(AND(DU337&lt;&gt;"",DU337&gt;10),"「別途様式を作成、提出してください。」","")</f>
        <v/>
      </c>
      <c r="DD337" s="197"/>
      <c r="DF337" s="14"/>
      <c r="DG337" s="14"/>
      <c r="DH337" s="14"/>
      <c r="DI337" s="1596"/>
      <c r="DJ337" s="1170" t="s">
        <v>2749</v>
      </c>
      <c r="DK337" s="1604" t="str">
        <f t="shared" ref="DK337:DK359" si="122">IF(DS337=2,DATE(VLOOKUP(DJ337,$DU$6:$DV$9,2,FALSE)+BS337,BV337,1),"")</f>
        <v/>
      </c>
      <c r="DL337" s="437" t="str">
        <f t="shared" ref="DL337:DL359" si="123">IF(DS337=2,DJ337&amp;BS337&amp;"."&amp;BV337,"")</f>
        <v/>
      </c>
      <c r="DM337" s="1128">
        <f t="shared" ref="DM337:DM359" si="124">COUNTIFS(AF337,"―対象外")</f>
        <v>0</v>
      </c>
      <c r="DN337" s="22">
        <f t="shared" ref="DN337:DN359" si="125">COUNTIFS(AF337,"○指摘なし")</f>
        <v>0</v>
      </c>
      <c r="DO337" s="22">
        <f t="shared" ref="DO337:DO359" si="126">COUNTIFS(AF337,"×要是正（既存不適格以外）")</f>
        <v>0</v>
      </c>
      <c r="DP337" s="264">
        <f t="shared" ref="DP337:DP359" si="127">COUNTIFS(AF337,"△既存不適格")</f>
        <v>0</v>
      </c>
      <c r="DQ337" s="26" t="s">
        <v>230</v>
      </c>
      <c r="DR337" s="263" t="str">
        <f>IF($U337="",P337,U337)</f>
        <v>基礎の沈下等の状況</v>
      </c>
      <c r="DS337" s="23">
        <f t="shared" ref="DS337:DS359" si="128">COUNTA(BS337:BX337)</f>
        <v>0</v>
      </c>
      <c r="DT337" s="29" t="str">
        <f t="shared" ref="DT337:DT359" si="129">IF(AF337="×要是正（既存不適格以外）","要是正","")&amp;IF(AF337="△既存不適格","既存不適格","")</f>
        <v/>
      </c>
      <c r="DU337" s="242" t="str">
        <f t="shared" ref="DU337:DU359" si="130">IF(HV337="","",HV337)</f>
        <v/>
      </c>
      <c r="DV337" s="284" t="str">
        <f>IF($DT337="要是正",MAX($DV$318:DV334)+1,"")</f>
        <v/>
      </c>
      <c r="DW337" s="285" t="str">
        <f t="shared" ref="DW337:DW359" si="131">IF(OR(AF337="×要是正（既存不適格以外）",AF337="△既存不適格"),DQ337,"")</f>
        <v/>
      </c>
      <c r="DX337" s="30" t="str">
        <f>IF(OR($DT337="要是正",$DT337="既存不適格"),$DR337,"")</f>
        <v/>
      </c>
      <c r="DY337" s="13" t="str">
        <f t="shared" ref="DY337:DY359" si="132">IF($DT337="要是正",IF(AT337="","",DQ337 &amp;" " &amp; AT337),"")</f>
        <v/>
      </c>
      <c r="DZ337" s="121" t="str">
        <f t="shared" ref="DZ337:DZ359" si="133">IF($DT337="要是正",IF(BD337="","",BD337),"")</f>
        <v/>
      </c>
      <c r="EA337" s="206" t="str">
        <f t="shared" ref="EA337:EA359" si="134">IF(BY337="未定","未定",IF(FR337="0","",IF(BY337="予定","("&amp;DL337&amp;")",IF(BY337="改善済",DL337,DL337))))</f>
        <v/>
      </c>
      <c r="EB337" s="138" t="str">
        <f t="shared" ref="EB337:EB359" si="135">IF(OR(DT337="要是正",DT337="既存不適格"),IF(OR(DS337&lt;2,BY337&lt;&gt;"予定"),"",DK337),"")</f>
        <v/>
      </c>
      <c r="EC337" s="131" t="str">
        <f t="shared" ref="EC337:EC359" si="136">IF(EB337="","0",EB337)</f>
        <v>0</v>
      </c>
      <c r="ED337" s="54" t="str">
        <f t="shared" ref="ED337:ED359" si="137">IF(DT337="要是正",IF(AND(BY337="予定",DS337=2),1,IF(BY337="改善済",2,"")),"")</f>
        <v/>
      </c>
      <c r="EE337" s="131" t="str">
        <f>IF(ED337=1,EC337,"0")</f>
        <v>0</v>
      </c>
      <c r="EF337" s="327" t="str">
        <f t="shared" ref="EF337:EF359" si="138">IF(AND(DT337="要是正",AND(DS337=0,BY337="未定")),BY337,"")</f>
        <v/>
      </c>
      <c r="EG337" s="108" t="str">
        <f t="shared" ref="EG337:EG359" si="139">IF(DT337="既存不適格",IF(OR(DS337&lt;2,BY337&lt;&gt;"予定"),"",DK337),"")</f>
        <v/>
      </c>
      <c r="EH337" s="41" t="str">
        <f t="shared" ref="EH337:EH359" si="140">IF(EG337="","0",EG337)</f>
        <v>0</v>
      </c>
      <c r="EI337" s="54" t="str">
        <f t="shared" ref="EI337:EI359" si="141">IF(DT337="既存不適格",IF(AND(BY337="予定",DS337=2),1,IF(BY337="改善済",2,"")),"")</f>
        <v/>
      </c>
      <c r="EJ337" s="131" t="str">
        <f>IF(EI337=1,EH337,"0")</f>
        <v>0</v>
      </c>
      <c r="EK337" s="241" t="str">
        <f t="shared" ref="EK337:EK359" si="142">IF(AND(DT337="既存不適格",AND(DS337=0,BY337="未定")),BY337,"")</f>
        <v/>
      </c>
      <c r="EL337" s="242" t="e">
        <f t="shared" ref="EL337:EL354" si="143">VLOOKUP($DU337,$EO$318:$ER$346,2,FALSE)</f>
        <v>#N/A</v>
      </c>
      <c r="EM337" s="57" t="e">
        <f t="shared" ref="EM337:EM354" si="144">VLOOKUP($DU337,$EO$318:$ER$346,3,FALSE)</f>
        <v>#N/A</v>
      </c>
      <c r="EN337" s="243" t="e">
        <f t="shared" ref="EN337:EN354" si="145">VLOOKUP($DU337,$EO$318:$ER$346,4,FALSE)</f>
        <v>#N/A</v>
      </c>
      <c r="EO337" s="289">
        <v>11</v>
      </c>
      <c r="EP337" s="23" t="s">
        <v>1060</v>
      </c>
      <c r="EQ337" s="23" t="s">
        <v>1032</v>
      </c>
      <c r="ER337" s="124" t="s">
        <v>1050</v>
      </c>
      <c r="FK337" s="326" t="str">
        <f t="shared" ref="FK337:FK359" si="146">IF($AF337="○指摘なし","○",IF($AF337="―対象外","―",""))</f>
        <v/>
      </c>
      <c r="FL337" s="326" t="str">
        <f t="shared" ref="FL337:FL359" si="147">IF(OR($AF337="×要是正（既存不適格以外）",$AF337="△既存不適格"),"○",IF($AF337="―対象外","―",""))</f>
        <v/>
      </c>
      <c r="FM337" s="326" t="str">
        <f t="shared" ref="FM337:FM359" si="148">IF($AF337="△既存不適格","○",IF($AF337="―対象外","―",""))</f>
        <v/>
      </c>
      <c r="FN337" s="326">
        <f t="shared" ref="FN337:FN359" si="149">IF($AF337="―対象外","―",AR337)</f>
        <v>0</v>
      </c>
      <c r="FO337" s="670" t="str">
        <f t="shared" ref="FO337:FO359" si="150">IF($AF337="―対象外","○","")</f>
        <v/>
      </c>
      <c r="FQ337" s="138" t="str">
        <f t="shared" ref="FQ337:FQ359" si="151">IF(NOT(OR(BY337="未定",BY337="")),DK337,"")</f>
        <v/>
      </c>
      <c r="FR337" s="131" t="str">
        <f t="shared" ref="FR337:FR359" si="152">IF(FQ337="","0",FQ337)</f>
        <v>0</v>
      </c>
      <c r="FS337" s="54" t="str">
        <f t="shared" ref="FS337:FS359" si="153">IF(OR(BY337="予定",BY337="改善済"),1,"")</f>
        <v/>
      </c>
      <c r="FT337" s="131" t="str">
        <f>IF(FS337=1,FR337,"0")</f>
        <v>0</v>
      </c>
      <c r="FU337" s="217" t="str">
        <f t="shared" ref="FU337:FU359" si="154">IF(AND(DT337="要是正",AND(DS337=0,BY337="未定")),BY337,"")</f>
        <v/>
      </c>
      <c r="FW337" s="667">
        <f t="shared" si="45"/>
        <v>0</v>
      </c>
      <c r="FX337" s="32"/>
      <c r="FY337" s="32"/>
      <c r="FZ337" s="668"/>
      <c r="GA337" s="14"/>
      <c r="GB337" s="658">
        <f t="shared" ref="GB337:GB359" si="155">IF(BY337="予定",1,0)</f>
        <v>0</v>
      </c>
      <c r="GC337" s="658">
        <f t="shared" ref="GC337:GC359" si="156">IF(BY337="改善済",1,0)</f>
        <v>0</v>
      </c>
      <c r="GD337" s="658">
        <f t="shared" ref="GD337:GD359" si="157">IF(BY337="未定",1,0)</f>
        <v>0</v>
      </c>
      <c r="GE337" s="658" t="str">
        <f t="shared" ref="GE337:GE359" si="158">IF(GE$318=$M337,$BY$520,"")</f>
        <v/>
      </c>
      <c r="GF337" s="658" t="str">
        <f t="shared" ref="GF337:GF359" si="159">IF(GF$318=$M337,$BY$521,"")</f>
        <v/>
      </c>
      <c r="GG337" s="658" t="str">
        <f t="shared" ref="GG337:GG359" si="160">IF(GG$318=$M337,$BY$522,"")</f>
        <v/>
      </c>
      <c r="GH337" s="658" t="str">
        <f t="shared" ref="GH337:GH359" si="161">IF(GH$318=$M337,$BY$523,"")</f>
        <v/>
      </c>
      <c r="GI337" s="658" t="str">
        <f t="shared" ref="GI337:GI359" si="162">IF(GI$318=$M337,$BY$524,"")</f>
        <v/>
      </c>
      <c r="GJ337" s="658" t="str">
        <f t="shared" ref="GJ337:GJ359" si="163">IF(GJ$318=$M337,$BY$525,"")</f>
        <v/>
      </c>
      <c r="GK337" s="658" t="str">
        <f t="shared" ref="GK337:GK359" si="164">IF(GK$318=$M337,$BY$526,"")</f>
        <v/>
      </c>
      <c r="GL337" s="658" t="str">
        <f t="shared" ref="GL337:GL359" si="165">IF(GL$318=$M337,$BY$527,"")</f>
        <v/>
      </c>
      <c r="GM337" s="658" t="str">
        <f t="shared" ref="GM337:GM359" si="166">IF(GM$318=$M337,$BY$528,"")</f>
        <v/>
      </c>
      <c r="GN337" s="658" t="str">
        <f t="shared" ref="GN337:GN359" si="167">IF(GN$318=$M337,$BY$529,"")</f>
        <v/>
      </c>
      <c r="GO337" s="658" t="str">
        <f t="shared" ref="GO337:GO359" si="168">IF(GO$318=$M337,$BY$530,"")</f>
        <v/>
      </c>
      <c r="GP337" s="658" t="str">
        <f t="shared" ref="GP337:GP359" si="169">IF(GP$318=$M337,$BY$531,"")</f>
        <v/>
      </c>
      <c r="GQ337" s="658" t="str">
        <f t="shared" ref="GQ337:GQ359" si="170">IF(GQ$318=$M337,$BY$532,"")</f>
        <v/>
      </c>
      <c r="GR337" s="658" t="str">
        <f t="shared" ref="GR337:GR359" si="171">IF(GR$318=$M337,$BY$533,"")</f>
        <v/>
      </c>
      <c r="GS337" s="658" t="str">
        <f t="shared" ref="GS337:GS359" si="172">IF(GS$318=$M337,$BY$534,"")</f>
        <v/>
      </c>
      <c r="GT337" s="658">
        <f t="shared" si="94"/>
        <v>0</v>
      </c>
      <c r="GU337" s="658">
        <f t="shared" si="95"/>
        <v>0</v>
      </c>
      <c r="GV337" s="658">
        <f t="shared" si="96"/>
        <v>0</v>
      </c>
      <c r="GW337" s="658" t="b">
        <f t="shared" si="97"/>
        <v>0</v>
      </c>
      <c r="GX337" s="658" t="b">
        <f t="shared" si="98"/>
        <v>0</v>
      </c>
      <c r="GY337" s="658" t="b">
        <f t="shared" si="99"/>
        <v>0</v>
      </c>
      <c r="GZ337" s="658" t="str">
        <f t="shared" ref="GZ337:GZ400" si="173">IF(GW337,"有",IF(GY337,"無",""))&amp;IF(GX337,IF(OR(GW337,GY337),"（一部改善済）","改善済"),"")</f>
        <v/>
      </c>
      <c r="HB337" s="658" t="str">
        <f t="shared" si="101"/>
        <v/>
      </c>
      <c r="HC337" s="658" t="str">
        <f t="shared" ref="HC337:HC359" si="174">IF(HC$318=$M337,$FW$520&amp;", ","")</f>
        <v/>
      </c>
      <c r="HD337" s="658" t="str">
        <f t="shared" ref="HD337:HD359" si="175">IF(HD$318=$M337,$FW$521&amp;", ","")</f>
        <v/>
      </c>
      <c r="HE337" s="658" t="str">
        <f t="shared" ref="HE337:HE359" si="176">IF(HE$318=$M337,$FW$522&amp;", ","")</f>
        <v/>
      </c>
      <c r="HF337" s="658" t="str">
        <f t="shared" ref="HF337:HF359" si="177">IF(HF$318=$M337,$FW$523&amp;", ","")</f>
        <v/>
      </c>
      <c r="HG337" s="658" t="str">
        <f t="shared" ref="HG337:HG359" si="178">IF(HG$318=$M337,$FW$524&amp;", ","")</f>
        <v/>
      </c>
      <c r="HH337" s="658" t="str">
        <f t="shared" ref="HH337:HH359" si="179">IF(HH$318=$M337,$FW$525&amp;", ","")</f>
        <v/>
      </c>
      <c r="HI337" s="658" t="str">
        <f t="shared" ref="HI337:HI359" si="180">IF(HI$318=$M337,$FW$526&amp;", ","")</f>
        <v/>
      </c>
      <c r="HJ337" s="658" t="str">
        <f t="shared" ref="HJ337:HJ359" si="181">IF(HJ$318=$M337,$FW$527&amp;", ","")</f>
        <v/>
      </c>
      <c r="HK337" s="658" t="str">
        <f t="shared" ref="HK337:HK359" si="182">IF(HK$318=$M337,$FW$528&amp;", ","")</f>
        <v/>
      </c>
      <c r="HL337" s="658" t="str">
        <f t="shared" ref="HL337:HL359" si="183">IF(HL$318=$M337,$FW$529&amp;", ","")</f>
        <v/>
      </c>
      <c r="HM337" s="658" t="str">
        <f t="shared" ref="HM337:HM359" si="184">IF(HM$318=$M337,$FW$530&amp;", ","")</f>
        <v/>
      </c>
      <c r="HN337" s="658" t="str">
        <f t="shared" ref="HN337:HN359" si="185">IF(HN$318=$M337,$FW$531&amp;", ","")</f>
        <v/>
      </c>
      <c r="HO337" s="658" t="str">
        <f t="shared" ref="HO337:HO359" si="186">IF(HO$318=$M337,$FW$532&amp;", ","")</f>
        <v/>
      </c>
      <c r="HP337" s="658" t="str">
        <f t="shared" ref="HP337:HP359" si="187">IF(HP$318=$M337,$FW$533&amp;", ","")</f>
        <v/>
      </c>
      <c r="HQ337" s="658" t="str">
        <f t="shared" ref="HQ337:HQ359" si="188">IF(HQ$318=$M337,$FW$534&amp;", ","")</f>
        <v/>
      </c>
      <c r="HR337" s="658" t="str">
        <f t="shared" si="102"/>
        <v/>
      </c>
      <c r="HT337" s="658">
        <f>LEFT(M337,1)*10000+MID(M337,3,LEN(M337)-3)*100+COUNTIF($M$319:M337,M337)</f>
        <v>20101</v>
      </c>
      <c r="HU337" s="658" t="str">
        <f t="shared" si="103"/>
        <v/>
      </c>
      <c r="HV337" s="658" t="str">
        <f t="shared" ref="HV337:HV359" si="189">IF(HU337="","",RANK(HU337,HU$319:HU$534,1))</f>
        <v/>
      </c>
      <c r="HW337" s="658" t="str">
        <f t="shared" si="104"/>
        <v/>
      </c>
      <c r="HX337" s="658" t="str">
        <f t="shared" ref="HX337:HX359" si="190">IF(HW337="","",RANK(HW337,HW$319:HW$534,1))</f>
        <v/>
      </c>
    </row>
    <row r="338" spans="1:232" s="19" customFormat="1" ht="50.1" customHeight="1" x14ac:dyDescent="0.15">
      <c r="A338" s="1201"/>
      <c r="B338" s="1201"/>
      <c r="C338" s="1201"/>
      <c r="D338" s="1201"/>
      <c r="E338" s="1202"/>
      <c r="F338" s="652"/>
      <c r="G338" s="652"/>
      <c r="H338" s="652"/>
      <c r="I338" s="1354"/>
      <c r="J338" s="1234"/>
      <c r="K338" s="1261"/>
      <c r="L338" s="1261"/>
      <c r="M338" s="2142" t="s">
        <v>1125</v>
      </c>
      <c r="N338" s="2142"/>
      <c r="O338" s="2143"/>
      <c r="P338" s="2429"/>
      <c r="Q338" s="2429"/>
      <c r="R338" s="2439"/>
      <c r="S338" s="2439"/>
      <c r="T338" s="2439"/>
      <c r="U338" s="2429" t="s">
        <v>52</v>
      </c>
      <c r="V338" s="2429"/>
      <c r="W338" s="2429"/>
      <c r="X338" s="2429"/>
      <c r="Y338" s="2429"/>
      <c r="Z338" s="2429"/>
      <c r="AA338" s="2429"/>
      <c r="AB338" s="2429"/>
      <c r="AC338" s="2429"/>
      <c r="AD338" s="2429"/>
      <c r="AE338" s="2429"/>
      <c r="AF338" s="2293"/>
      <c r="AG338" s="2293"/>
      <c r="AH338" s="2293"/>
      <c r="AI338" s="2293"/>
      <c r="AJ338" s="2293"/>
      <c r="AK338" s="2293"/>
      <c r="AL338" s="2293"/>
      <c r="AM338" s="2293"/>
      <c r="AN338" s="2293"/>
      <c r="AO338" s="2293"/>
      <c r="AP338" s="2293"/>
      <c r="AQ338" s="2293"/>
      <c r="AR338" s="2359"/>
      <c r="AS338" s="2359"/>
      <c r="AT338" s="2301"/>
      <c r="AU338" s="2301"/>
      <c r="AV338" s="2301"/>
      <c r="AW338" s="2301"/>
      <c r="AX338" s="2301"/>
      <c r="AY338" s="2301"/>
      <c r="AZ338" s="2301"/>
      <c r="BA338" s="2301"/>
      <c r="BB338" s="2301"/>
      <c r="BC338" s="2301"/>
      <c r="BD338" s="2301"/>
      <c r="BE338" s="2301"/>
      <c r="BF338" s="2301"/>
      <c r="BG338" s="2301"/>
      <c r="BH338" s="2301"/>
      <c r="BI338" s="2301"/>
      <c r="BJ338" s="2301"/>
      <c r="BK338" s="2301"/>
      <c r="BL338" s="2301"/>
      <c r="BM338" s="2301"/>
      <c r="BN338" s="2301"/>
      <c r="BO338" s="2301"/>
      <c r="BP338" s="2301"/>
      <c r="BQ338" s="2301"/>
      <c r="BR338" s="2301"/>
      <c r="BS338" s="2358"/>
      <c r="BT338" s="2358"/>
      <c r="BU338" s="2358"/>
      <c r="BV338" s="2358"/>
      <c r="BW338" s="2358"/>
      <c r="BX338" s="2358"/>
      <c r="BY338" s="2358"/>
      <c r="BZ338" s="2359"/>
      <c r="CA338" s="2359"/>
      <c r="CB338" s="2734"/>
      <c r="CC338" s="2211"/>
      <c r="CD338" s="2211"/>
      <c r="CE338" s="2211"/>
      <c r="CF338" s="2211"/>
      <c r="CG338" s="2211"/>
      <c r="CH338" s="2211"/>
      <c r="CI338" s="2211"/>
      <c r="CJ338" s="2211"/>
      <c r="CK338" s="2211"/>
      <c r="CL338" s="2211"/>
      <c r="CM338" s="2211"/>
      <c r="CN338" s="2211"/>
      <c r="CO338" s="2211"/>
      <c r="CP338" s="2211"/>
      <c r="CQ338" s="2211"/>
      <c r="CR338" s="2211"/>
      <c r="CS338" s="2211"/>
      <c r="CT338" s="2211"/>
      <c r="CU338" s="2735"/>
      <c r="CV338" s="2300" t="str">
        <f t="shared" si="121"/>
        <v/>
      </c>
      <c r="CW338" s="2300"/>
      <c r="CX338" s="2300"/>
      <c r="CY338" s="2300"/>
      <c r="CZ338" s="2300"/>
      <c r="DA338" s="2300"/>
      <c r="DC338" s="329" t="str">
        <f t="shared" ref="DC338:DC354" si="191">IF(AND(DU338&lt;&gt;"",DU338&gt;20),"「別途様式を作成、提出してください。」","")</f>
        <v/>
      </c>
      <c r="DD338" s="197"/>
      <c r="DF338" s="14"/>
      <c r="DG338" s="14"/>
      <c r="DH338" s="14"/>
      <c r="DI338" s="1596"/>
      <c r="DJ338" s="1170" t="s">
        <v>2749</v>
      </c>
      <c r="DK338" s="1604" t="str">
        <f t="shared" si="122"/>
        <v/>
      </c>
      <c r="DL338" s="437" t="str">
        <f t="shared" si="123"/>
        <v/>
      </c>
      <c r="DM338" s="1128">
        <f t="shared" si="124"/>
        <v>0</v>
      </c>
      <c r="DN338" s="22">
        <f t="shared" si="125"/>
        <v>0</v>
      </c>
      <c r="DO338" s="22">
        <f t="shared" si="126"/>
        <v>0</v>
      </c>
      <c r="DP338" s="264">
        <f t="shared" si="127"/>
        <v>0</v>
      </c>
      <c r="DQ338" s="26" t="s">
        <v>231</v>
      </c>
      <c r="DR338" s="263" t="str">
        <f>IF($U338="",P337,U338)</f>
        <v>基礎の劣化及び損傷の状況</v>
      </c>
      <c r="DS338" s="23">
        <f t="shared" si="128"/>
        <v>0</v>
      </c>
      <c r="DT338" s="29" t="str">
        <f t="shared" si="129"/>
        <v/>
      </c>
      <c r="DU338" s="242" t="str">
        <f t="shared" si="130"/>
        <v/>
      </c>
      <c r="DV338" s="57" t="str">
        <f>IF($DT338="要是正",MAX($DV$333:DV337)+1,"")</f>
        <v/>
      </c>
      <c r="DW338" s="273" t="str">
        <f t="shared" si="131"/>
        <v/>
      </c>
      <c r="DX338" s="30" t="str">
        <f t="shared" ref="DX338:DX359" si="192">IF(OR($DT338="要是正",$DT338="既存不適格"),$DR338,"")</f>
        <v/>
      </c>
      <c r="DY338" s="13" t="str">
        <f t="shared" si="132"/>
        <v/>
      </c>
      <c r="DZ338" s="121" t="str">
        <f t="shared" si="133"/>
        <v/>
      </c>
      <c r="EA338" s="206" t="str">
        <f t="shared" si="134"/>
        <v/>
      </c>
      <c r="EB338" s="138" t="str">
        <f t="shared" si="135"/>
        <v/>
      </c>
      <c r="EC338" s="131" t="str">
        <f t="shared" si="136"/>
        <v>0</v>
      </c>
      <c r="ED338" s="54" t="str">
        <f t="shared" si="137"/>
        <v/>
      </c>
      <c r="EE338" s="131" t="str">
        <f t="shared" ref="EE338:EE354" si="193">IF(ED338=1,EC338,"0")</f>
        <v>0</v>
      </c>
      <c r="EF338" s="327" t="str">
        <f t="shared" si="138"/>
        <v/>
      </c>
      <c r="EG338" s="108" t="str">
        <f t="shared" si="139"/>
        <v/>
      </c>
      <c r="EH338" s="41" t="str">
        <f t="shared" si="140"/>
        <v>0</v>
      </c>
      <c r="EI338" s="54" t="str">
        <f t="shared" si="141"/>
        <v/>
      </c>
      <c r="EJ338" s="131" t="str">
        <f t="shared" ref="EJ338:EJ354" si="194">IF(EI338=1,EH338,"0")</f>
        <v>0</v>
      </c>
      <c r="EK338" s="241" t="str">
        <f t="shared" si="142"/>
        <v/>
      </c>
      <c r="EL338" s="242" t="e">
        <f t="shared" si="143"/>
        <v>#N/A</v>
      </c>
      <c r="EM338" s="57" t="e">
        <f t="shared" si="144"/>
        <v>#N/A</v>
      </c>
      <c r="EN338" s="243" t="e">
        <f t="shared" si="145"/>
        <v>#N/A</v>
      </c>
      <c r="EO338" s="289">
        <v>12</v>
      </c>
      <c r="EP338" s="23" t="s">
        <v>1060</v>
      </c>
      <c r="EQ338" s="23" t="s">
        <v>1033</v>
      </c>
      <c r="ER338" s="124" t="s">
        <v>1051</v>
      </c>
      <c r="FK338" s="326" t="str">
        <f t="shared" si="146"/>
        <v/>
      </c>
      <c r="FL338" s="326" t="str">
        <f t="shared" si="147"/>
        <v/>
      </c>
      <c r="FM338" s="326" t="str">
        <f t="shared" si="148"/>
        <v/>
      </c>
      <c r="FN338" s="326">
        <f t="shared" si="149"/>
        <v>0</v>
      </c>
      <c r="FO338" s="670" t="str">
        <f t="shared" si="150"/>
        <v/>
      </c>
      <c r="FQ338" s="138" t="str">
        <f t="shared" si="151"/>
        <v/>
      </c>
      <c r="FR338" s="131" t="str">
        <f t="shared" si="152"/>
        <v>0</v>
      </c>
      <c r="FS338" s="54" t="str">
        <f t="shared" si="153"/>
        <v/>
      </c>
      <c r="FT338" s="131" t="str">
        <f t="shared" ref="FT338:FT354" si="195">IF(FS338=1,FR338,"0")</f>
        <v>0</v>
      </c>
      <c r="FU338" s="217" t="str">
        <f t="shared" si="154"/>
        <v/>
      </c>
      <c r="FW338" s="667">
        <f t="shared" si="45"/>
        <v>0</v>
      </c>
      <c r="FX338" s="32"/>
      <c r="FY338" s="32"/>
      <c r="FZ338" s="668"/>
      <c r="GA338" s="14"/>
      <c r="GB338" s="658">
        <f t="shared" si="155"/>
        <v>0</v>
      </c>
      <c r="GC338" s="658">
        <f t="shared" si="156"/>
        <v>0</v>
      </c>
      <c r="GD338" s="658">
        <f t="shared" si="157"/>
        <v>0</v>
      </c>
      <c r="GE338" s="658" t="str">
        <f t="shared" si="158"/>
        <v/>
      </c>
      <c r="GF338" s="658" t="str">
        <f t="shared" si="159"/>
        <v/>
      </c>
      <c r="GG338" s="658" t="str">
        <f t="shared" si="160"/>
        <v/>
      </c>
      <c r="GH338" s="658" t="str">
        <f t="shared" si="161"/>
        <v/>
      </c>
      <c r="GI338" s="658" t="str">
        <f t="shared" si="162"/>
        <v/>
      </c>
      <c r="GJ338" s="658" t="str">
        <f t="shared" si="163"/>
        <v/>
      </c>
      <c r="GK338" s="658" t="str">
        <f t="shared" si="164"/>
        <v/>
      </c>
      <c r="GL338" s="658" t="str">
        <f t="shared" si="165"/>
        <v/>
      </c>
      <c r="GM338" s="658" t="str">
        <f t="shared" si="166"/>
        <v/>
      </c>
      <c r="GN338" s="658" t="str">
        <f t="shared" si="167"/>
        <v/>
      </c>
      <c r="GO338" s="658" t="str">
        <f t="shared" si="168"/>
        <v/>
      </c>
      <c r="GP338" s="658" t="str">
        <f t="shared" si="169"/>
        <v/>
      </c>
      <c r="GQ338" s="658" t="str">
        <f t="shared" si="170"/>
        <v/>
      </c>
      <c r="GR338" s="658" t="str">
        <f t="shared" si="171"/>
        <v/>
      </c>
      <c r="GS338" s="658" t="str">
        <f t="shared" si="172"/>
        <v/>
      </c>
      <c r="GT338" s="658">
        <f t="shared" si="94"/>
        <v>0</v>
      </c>
      <c r="GU338" s="658">
        <f t="shared" si="95"/>
        <v>0</v>
      </c>
      <c r="GV338" s="658">
        <f t="shared" si="96"/>
        <v>0</v>
      </c>
      <c r="GW338" s="658" t="b">
        <f t="shared" si="97"/>
        <v>0</v>
      </c>
      <c r="GX338" s="658" t="b">
        <f t="shared" si="98"/>
        <v>0</v>
      </c>
      <c r="GY338" s="658" t="b">
        <f t="shared" si="99"/>
        <v>0</v>
      </c>
      <c r="GZ338" s="658" t="str">
        <f t="shared" si="173"/>
        <v/>
      </c>
      <c r="HB338" s="658" t="str">
        <f t="shared" si="101"/>
        <v/>
      </c>
      <c r="HC338" s="658" t="str">
        <f t="shared" si="174"/>
        <v/>
      </c>
      <c r="HD338" s="658" t="str">
        <f t="shared" si="175"/>
        <v/>
      </c>
      <c r="HE338" s="658" t="str">
        <f t="shared" si="176"/>
        <v/>
      </c>
      <c r="HF338" s="658" t="str">
        <f t="shared" si="177"/>
        <v/>
      </c>
      <c r="HG338" s="658" t="str">
        <f t="shared" si="178"/>
        <v/>
      </c>
      <c r="HH338" s="658" t="str">
        <f t="shared" si="179"/>
        <v/>
      </c>
      <c r="HI338" s="658" t="str">
        <f t="shared" si="180"/>
        <v/>
      </c>
      <c r="HJ338" s="658" t="str">
        <f t="shared" si="181"/>
        <v/>
      </c>
      <c r="HK338" s="658" t="str">
        <f t="shared" si="182"/>
        <v/>
      </c>
      <c r="HL338" s="658" t="str">
        <f t="shared" si="183"/>
        <v/>
      </c>
      <c r="HM338" s="658" t="str">
        <f t="shared" si="184"/>
        <v/>
      </c>
      <c r="HN338" s="658" t="str">
        <f t="shared" si="185"/>
        <v/>
      </c>
      <c r="HO338" s="658" t="str">
        <f t="shared" si="186"/>
        <v/>
      </c>
      <c r="HP338" s="658" t="str">
        <f t="shared" si="187"/>
        <v/>
      </c>
      <c r="HQ338" s="658" t="str">
        <f t="shared" si="188"/>
        <v/>
      </c>
      <c r="HR338" s="658" t="str">
        <f t="shared" si="102"/>
        <v/>
      </c>
      <c r="HT338" s="658">
        <f>LEFT(M338,1)*10000+MID(M338,3,LEN(M338)-3)*100+COUNTIF($M$319:M338,M338)</f>
        <v>20201</v>
      </c>
      <c r="HU338" s="658" t="str">
        <f t="shared" si="103"/>
        <v/>
      </c>
      <c r="HV338" s="658" t="str">
        <f t="shared" si="189"/>
        <v/>
      </c>
      <c r="HW338" s="658" t="str">
        <f t="shared" si="104"/>
        <v/>
      </c>
      <c r="HX338" s="658" t="str">
        <f t="shared" si="190"/>
        <v/>
      </c>
    </row>
    <row r="339" spans="1:232" s="19" customFormat="1" ht="50.1" customHeight="1" x14ac:dyDescent="0.15">
      <c r="A339" s="1201"/>
      <c r="B339" s="1201"/>
      <c r="C339" s="1201"/>
      <c r="D339" s="1201"/>
      <c r="E339" s="1202"/>
      <c r="F339" s="652"/>
      <c r="G339" s="652"/>
      <c r="H339" s="652"/>
      <c r="I339" s="1354"/>
      <c r="J339" s="1234"/>
      <c r="K339" s="1261"/>
      <c r="L339" s="1261"/>
      <c r="M339" s="2142" t="s">
        <v>1126</v>
      </c>
      <c r="N339" s="2142"/>
      <c r="O339" s="2143"/>
      <c r="P339" s="2429" t="s">
        <v>167</v>
      </c>
      <c r="Q339" s="2429"/>
      <c r="R339" s="2439"/>
      <c r="S339" s="2439"/>
      <c r="T339" s="2439"/>
      <c r="U339" s="2438" t="s">
        <v>53</v>
      </c>
      <c r="V339" s="2438"/>
      <c r="W339" s="2438"/>
      <c r="X339" s="2438"/>
      <c r="Y339" s="2438"/>
      <c r="Z339" s="2438"/>
      <c r="AA339" s="2438"/>
      <c r="AB339" s="2438"/>
      <c r="AC339" s="2438"/>
      <c r="AD339" s="2438"/>
      <c r="AE339" s="2438"/>
      <c r="AF339" s="2302"/>
      <c r="AG339" s="2302"/>
      <c r="AH339" s="2302"/>
      <c r="AI339" s="2302"/>
      <c r="AJ339" s="2302"/>
      <c r="AK339" s="2302"/>
      <c r="AL339" s="2302"/>
      <c r="AM339" s="2302"/>
      <c r="AN339" s="2302"/>
      <c r="AO339" s="2302"/>
      <c r="AP339" s="2302"/>
      <c r="AQ339" s="2302"/>
      <c r="AR339" s="2272"/>
      <c r="AS339" s="2272"/>
      <c r="AT339" s="2406"/>
      <c r="AU339" s="2406"/>
      <c r="AV339" s="2406"/>
      <c r="AW339" s="2406"/>
      <c r="AX339" s="2406"/>
      <c r="AY339" s="2406"/>
      <c r="AZ339" s="2406"/>
      <c r="BA339" s="2406"/>
      <c r="BB339" s="2406"/>
      <c r="BC339" s="2406"/>
      <c r="BD339" s="2406"/>
      <c r="BE339" s="2406"/>
      <c r="BF339" s="2406"/>
      <c r="BG339" s="2406"/>
      <c r="BH339" s="2406"/>
      <c r="BI339" s="2406"/>
      <c r="BJ339" s="2406"/>
      <c r="BK339" s="2406"/>
      <c r="BL339" s="2406"/>
      <c r="BM339" s="2406"/>
      <c r="BN339" s="2406"/>
      <c r="BO339" s="2406"/>
      <c r="BP339" s="2406"/>
      <c r="BQ339" s="2406"/>
      <c r="BR339" s="2406"/>
      <c r="BS339" s="2271"/>
      <c r="BT339" s="2271"/>
      <c r="BU339" s="2271"/>
      <c r="BV339" s="2271"/>
      <c r="BW339" s="2271"/>
      <c r="BX339" s="2271"/>
      <c r="BY339" s="2271"/>
      <c r="BZ339" s="2272"/>
      <c r="CA339" s="2272"/>
      <c r="CB339" s="2407"/>
      <c r="CC339" s="2408"/>
      <c r="CD339" s="2408"/>
      <c r="CE339" s="2408"/>
      <c r="CF339" s="2408"/>
      <c r="CG339" s="2408"/>
      <c r="CH339" s="2408"/>
      <c r="CI339" s="2408"/>
      <c r="CJ339" s="2408"/>
      <c r="CK339" s="2408"/>
      <c r="CL339" s="2408"/>
      <c r="CM339" s="2408"/>
      <c r="CN339" s="2408"/>
      <c r="CO339" s="2408"/>
      <c r="CP339" s="2408"/>
      <c r="CQ339" s="2408"/>
      <c r="CR339" s="2408"/>
      <c r="CS339" s="2408"/>
      <c r="CT339" s="2408"/>
      <c r="CU339" s="2409"/>
      <c r="CV339" s="2300" t="str">
        <f t="shared" si="121"/>
        <v/>
      </c>
      <c r="CW339" s="2300"/>
      <c r="CX339" s="2300"/>
      <c r="CY339" s="2300"/>
      <c r="CZ339" s="2300"/>
      <c r="DA339" s="2300"/>
      <c r="DC339" s="329" t="str">
        <f t="shared" si="191"/>
        <v/>
      </c>
      <c r="DD339" s="197"/>
      <c r="DF339" s="14"/>
      <c r="DG339" s="14"/>
      <c r="DH339" s="14"/>
      <c r="DI339" s="1596"/>
      <c r="DJ339" s="1170" t="s">
        <v>2749</v>
      </c>
      <c r="DK339" s="1604" t="str">
        <f t="shared" si="122"/>
        <v/>
      </c>
      <c r="DL339" s="437" t="str">
        <f t="shared" si="123"/>
        <v/>
      </c>
      <c r="DM339" s="1128">
        <f t="shared" si="124"/>
        <v>0</v>
      </c>
      <c r="DN339" s="22">
        <f t="shared" si="125"/>
        <v>0</v>
      </c>
      <c r="DO339" s="22">
        <f t="shared" si="126"/>
        <v>0</v>
      </c>
      <c r="DP339" s="264">
        <f t="shared" si="127"/>
        <v>0</v>
      </c>
      <c r="DQ339" s="26" t="s">
        <v>232</v>
      </c>
      <c r="DR339" s="263" t="str">
        <f>IF($U339="",P339,U339)</f>
        <v>土台の沈下等の状況</v>
      </c>
      <c r="DS339" s="23">
        <f t="shared" si="128"/>
        <v>0</v>
      </c>
      <c r="DT339" s="29" t="str">
        <f t="shared" si="129"/>
        <v/>
      </c>
      <c r="DU339" s="242" t="str">
        <f t="shared" si="130"/>
        <v/>
      </c>
      <c r="DV339" s="57" t="str">
        <f>IF($DT339="要是正",MAX($DV$333:DV338)+1,"")</f>
        <v/>
      </c>
      <c r="DW339" s="273" t="str">
        <f t="shared" si="131"/>
        <v/>
      </c>
      <c r="DX339" s="30" t="str">
        <f t="shared" si="192"/>
        <v/>
      </c>
      <c r="DY339" s="13" t="str">
        <f t="shared" si="132"/>
        <v/>
      </c>
      <c r="DZ339" s="121" t="str">
        <f t="shared" si="133"/>
        <v/>
      </c>
      <c r="EA339" s="206" t="str">
        <f t="shared" si="134"/>
        <v/>
      </c>
      <c r="EB339" s="138" t="str">
        <f t="shared" si="135"/>
        <v/>
      </c>
      <c r="EC339" s="131" t="str">
        <f t="shared" si="136"/>
        <v>0</v>
      </c>
      <c r="ED339" s="54" t="str">
        <f t="shared" si="137"/>
        <v/>
      </c>
      <c r="EE339" s="131" t="str">
        <f t="shared" si="193"/>
        <v>0</v>
      </c>
      <c r="EF339" s="327" t="str">
        <f t="shared" si="138"/>
        <v/>
      </c>
      <c r="EG339" s="108" t="str">
        <f t="shared" si="139"/>
        <v/>
      </c>
      <c r="EH339" s="41" t="str">
        <f t="shared" si="140"/>
        <v>0</v>
      </c>
      <c r="EI339" s="54" t="str">
        <f t="shared" si="141"/>
        <v/>
      </c>
      <c r="EJ339" s="131" t="str">
        <f t="shared" si="194"/>
        <v>0</v>
      </c>
      <c r="EK339" s="241" t="str">
        <f t="shared" si="142"/>
        <v/>
      </c>
      <c r="EL339" s="242" t="e">
        <f t="shared" si="143"/>
        <v>#N/A</v>
      </c>
      <c r="EM339" s="57" t="e">
        <f t="shared" si="144"/>
        <v>#N/A</v>
      </c>
      <c r="EN339" s="243" t="e">
        <f t="shared" si="145"/>
        <v>#N/A</v>
      </c>
      <c r="EO339" s="289">
        <v>13</v>
      </c>
      <c r="EP339" s="23" t="s">
        <v>1060</v>
      </c>
      <c r="EQ339" s="23" t="s">
        <v>1034</v>
      </c>
      <c r="ER339" s="124" t="s">
        <v>1052</v>
      </c>
      <c r="FK339" s="326" t="str">
        <f t="shared" si="146"/>
        <v/>
      </c>
      <c r="FL339" s="326" t="str">
        <f t="shared" si="147"/>
        <v/>
      </c>
      <c r="FM339" s="326" t="str">
        <f t="shared" si="148"/>
        <v/>
      </c>
      <c r="FN339" s="326">
        <f t="shared" si="149"/>
        <v>0</v>
      </c>
      <c r="FO339" s="670" t="str">
        <f t="shared" si="150"/>
        <v/>
      </c>
      <c r="FQ339" s="138" t="str">
        <f t="shared" si="151"/>
        <v/>
      </c>
      <c r="FR339" s="131" t="str">
        <f t="shared" si="152"/>
        <v>0</v>
      </c>
      <c r="FS339" s="54" t="str">
        <f t="shared" si="153"/>
        <v/>
      </c>
      <c r="FT339" s="131" t="str">
        <f t="shared" si="195"/>
        <v>0</v>
      </c>
      <c r="FU339" s="217" t="str">
        <f t="shared" si="154"/>
        <v/>
      </c>
      <c r="FW339" s="667">
        <f t="shared" si="45"/>
        <v>0</v>
      </c>
      <c r="FX339" s="32"/>
      <c r="FY339" s="32"/>
      <c r="FZ339" s="668"/>
      <c r="GA339" s="14"/>
      <c r="GB339" s="658">
        <f t="shared" si="155"/>
        <v>0</v>
      </c>
      <c r="GC339" s="658">
        <f t="shared" si="156"/>
        <v>0</v>
      </c>
      <c r="GD339" s="658">
        <f t="shared" si="157"/>
        <v>0</v>
      </c>
      <c r="GE339" s="658" t="str">
        <f t="shared" si="158"/>
        <v/>
      </c>
      <c r="GF339" s="658" t="str">
        <f t="shared" si="159"/>
        <v/>
      </c>
      <c r="GG339" s="658" t="str">
        <f t="shared" si="160"/>
        <v/>
      </c>
      <c r="GH339" s="658" t="str">
        <f t="shared" si="161"/>
        <v/>
      </c>
      <c r="GI339" s="658" t="str">
        <f t="shared" si="162"/>
        <v/>
      </c>
      <c r="GJ339" s="658" t="str">
        <f t="shared" si="163"/>
        <v/>
      </c>
      <c r="GK339" s="658" t="str">
        <f t="shared" si="164"/>
        <v/>
      </c>
      <c r="GL339" s="658" t="str">
        <f t="shared" si="165"/>
        <v/>
      </c>
      <c r="GM339" s="658" t="str">
        <f t="shared" si="166"/>
        <v/>
      </c>
      <c r="GN339" s="658" t="str">
        <f t="shared" si="167"/>
        <v/>
      </c>
      <c r="GO339" s="658" t="str">
        <f t="shared" si="168"/>
        <v/>
      </c>
      <c r="GP339" s="658" t="str">
        <f t="shared" si="169"/>
        <v/>
      </c>
      <c r="GQ339" s="658" t="str">
        <f t="shared" si="170"/>
        <v/>
      </c>
      <c r="GR339" s="658" t="str">
        <f t="shared" si="171"/>
        <v/>
      </c>
      <c r="GS339" s="658" t="str">
        <f t="shared" si="172"/>
        <v/>
      </c>
      <c r="GT339" s="658">
        <f t="shared" si="94"/>
        <v>0</v>
      </c>
      <c r="GU339" s="658">
        <f t="shared" si="95"/>
        <v>0</v>
      </c>
      <c r="GV339" s="658">
        <f t="shared" si="96"/>
        <v>0</v>
      </c>
      <c r="GW339" s="658" t="b">
        <f t="shared" si="97"/>
        <v>0</v>
      </c>
      <c r="GX339" s="658" t="b">
        <f t="shared" si="98"/>
        <v>0</v>
      </c>
      <c r="GY339" s="658" t="b">
        <f t="shared" si="99"/>
        <v>0</v>
      </c>
      <c r="GZ339" s="658" t="str">
        <f t="shared" si="173"/>
        <v/>
      </c>
      <c r="HB339" s="658" t="str">
        <f t="shared" si="101"/>
        <v/>
      </c>
      <c r="HC339" s="658" t="str">
        <f t="shared" si="174"/>
        <v/>
      </c>
      <c r="HD339" s="658" t="str">
        <f t="shared" si="175"/>
        <v/>
      </c>
      <c r="HE339" s="658" t="str">
        <f t="shared" si="176"/>
        <v/>
      </c>
      <c r="HF339" s="658" t="str">
        <f t="shared" si="177"/>
        <v/>
      </c>
      <c r="HG339" s="658" t="str">
        <f t="shared" si="178"/>
        <v/>
      </c>
      <c r="HH339" s="658" t="str">
        <f t="shared" si="179"/>
        <v/>
      </c>
      <c r="HI339" s="658" t="str">
        <f t="shared" si="180"/>
        <v/>
      </c>
      <c r="HJ339" s="658" t="str">
        <f t="shared" si="181"/>
        <v/>
      </c>
      <c r="HK339" s="658" t="str">
        <f t="shared" si="182"/>
        <v/>
      </c>
      <c r="HL339" s="658" t="str">
        <f t="shared" si="183"/>
        <v/>
      </c>
      <c r="HM339" s="658" t="str">
        <f t="shared" si="184"/>
        <v/>
      </c>
      <c r="HN339" s="658" t="str">
        <f t="shared" si="185"/>
        <v/>
      </c>
      <c r="HO339" s="658" t="str">
        <f t="shared" si="186"/>
        <v/>
      </c>
      <c r="HP339" s="658" t="str">
        <f t="shared" si="187"/>
        <v/>
      </c>
      <c r="HQ339" s="658" t="str">
        <f t="shared" si="188"/>
        <v/>
      </c>
      <c r="HR339" s="658" t="str">
        <f t="shared" si="102"/>
        <v/>
      </c>
      <c r="HT339" s="658">
        <f>LEFT(M339,1)*10000+MID(M339,3,LEN(M339)-3)*100+COUNTIF($M$319:M339,M339)</f>
        <v>20301</v>
      </c>
      <c r="HU339" s="658" t="str">
        <f t="shared" si="103"/>
        <v/>
      </c>
      <c r="HV339" s="658" t="str">
        <f t="shared" si="189"/>
        <v/>
      </c>
      <c r="HW339" s="658" t="str">
        <f t="shared" si="104"/>
        <v/>
      </c>
      <c r="HX339" s="658" t="str">
        <f t="shared" si="190"/>
        <v/>
      </c>
    </row>
    <row r="340" spans="1:232" s="19" customFormat="1" ht="50.1" customHeight="1" x14ac:dyDescent="0.15">
      <c r="A340" s="1201"/>
      <c r="B340" s="1201"/>
      <c r="C340" s="1201"/>
      <c r="D340" s="1201"/>
      <c r="E340" s="1202"/>
      <c r="F340" s="652"/>
      <c r="G340" s="652"/>
      <c r="H340" s="652"/>
      <c r="I340" s="1354"/>
      <c r="J340" s="1234"/>
      <c r="K340" s="1261"/>
      <c r="L340" s="1261"/>
      <c r="M340" s="2142" t="s">
        <v>1127</v>
      </c>
      <c r="N340" s="2142"/>
      <c r="O340" s="2143"/>
      <c r="P340" s="2429"/>
      <c r="Q340" s="2429"/>
      <c r="R340" s="2439"/>
      <c r="S340" s="2439"/>
      <c r="T340" s="2439"/>
      <c r="U340" s="2445" t="s">
        <v>54</v>
      </c>
      <c r="V340" s="2445"/>
      <c r="W340" s="2445"/>
      <c r="X340" s="2445"/>
      <c r="Y340" s="2445"/>
      <c r="Z340" s="2445"/>
      <c r="AA340" s="2445"/>
      <c r="AB340" s="2445"/>
      <c r="AC340" s="2445"/>
      <c r="AD340" s="2445"/>
      <c r="AE340" s="2445"/>
      <c r="AF340" s="2459"/>
      <c r="AG340" s="2459"/>
      <c r="AH340" s="2459"/>
      <c r="AI340" s="2459"/>
      <c r="AJ340" s="2459"/>
      <c r="AK340" s="2459"/>
      <c r="AL340" s="2459"/>
      <c r="AM340" s="2459"/>
      <c r="AN340" s="2459"/>
      <c r="AO340" s="2459"/>
      <c r="AP340" s="2459"/>
      <c r="AQ340" s="2459"/>
      <c r="AR340" s="2152"/>
      <c r="AS340" s="2152"/>
      <c r="AT340" s="2432"/>
      <c r="AU340" s="2432"/>
      <c r="AV340" s="2432"/>
      <c r="AW340" s="2432"/>
      <c r="AX340" s="2432"/>
      <c r="AY340" s="2432"/>
      <c r="AZ340" s="2432"/>
      <c r="BA340" s="2432"/>
      <c r="BB340" s="2432"/>
      <c r="BC340" s="2432"/>
      <c r="BD340" s="2432"/>
      <c r="BE340" s="2432"/>
      <c r="BF340" s="2432"/>
      <c r="BG340" s="2432"/>
      <c r="BH340" s="2432"/>
      <c r="BI340" s="2432"/>
      <c r="BJ340" s="2432"/>
      <c r="BK340" s="2432"/>
      <c r="BL340" s="2432"/>
      <c r="BM340" s="2432"/>
      <c r="BN340" s="2432"/>
      <c r="BO340" s="2432"/>
      <c r="BP340" s="2432"/>
      <c r="BQ340" s="2432"/>
      <c r="BR340" s="2432"/>
      <c r="BS340" s="2270"/>
      <c r="BT340" s="2270"/>
      <c r="BU340" s="2270"/>
      <c r="BV340" s="2270"/>
      <c r="BW340" s="2270"/>
      <c r="BX340" s="2270"/>
      <c r="BY340" s="2270"/>
      <c r="BZ340" s="2152"/>
      <c r="CA340" s="2152"/>
      <c r="CB340" s="2736"/>
      <c r="CC340" s="2737"/>
      <c r="CD340" s="2737"/>
      <c r="CE340" s="2737"/>
      <c r="CF340" s="2737"/>
      <c r="CG340" s="2737"/>
      <c r="CH340" s="2737"/>
      <c r="CI340" s="2737"/>
      <c r="CJ340" s="2737"/>
      <c r="CK340" s="2737"/>
      <c r="CL340" s="2737"/>
      <c r="CM340" s="2737"/>
      <c r="CN340" s="2737"/>
      <c r="CO340" s="2737"/>
      <c r="CP340" s="2737"/>
      <c r="CQ340" s="2737"/>
      <c r="CR340" s="2737"/>
      <c r="CS340" s="2737"/>
      <c r="CT340" s="2737"/>
      <c r="CU340" s="2738"/>
      <c r="CV340" s="2300" t="str">
        <f t="shared" si="121"/>
        <v/>
      </c>
      <c r="CW340" s="2300"/>
      <c r="CX340" s="2300"/>
      <c r="CY340" s="2300"/>
      <c r="CZ340" s="2300"/>
      <c r="DA340" s="2300"/>
      <c r="DC340" s="329" t="str">
        <f t="shared" si="191"/>
        <v/>
      </c>
      <c r="DD340" s="197"/>
      <c r="DF340" s="14"/>
      <c r="DG340" s="14"/>
      <c r="DH340" s="14"/>
      <c r="DI340" s="1596"/>
      <c r="DJ340" s="1170" t="s">
        <v>2749</v>
      </c>
      <c r="DK340" s="1604" t="str">
        <f t="shared" si="122"/>
        <v/>
      </c>
      <c r="DL340" s="437" t="str">
        <f t="shared" si="123"/>
        <v/>
      </c>
      <c r="DM340" s="1128">
        <f t="shared" si="124"/>
        <v>0</v>
      </c>
      <c r="DN340" s="22">
        <f t="shared" si="125"/>
        <v>0</v>
      </c>
      <c r="DO340" s="22">
        <f t="shared" si="126"/>
        <v>0</v>
      </c>
      <c r="DP340" s="264">
        <f t="shared" si="127"/>
        <v>0</v>
      </c>
      <c r="DQ340" s="26" t="s">
        <v>233</v>
      </c>
      <c r="DR340" s="263" t="str">
        <f>IF($U340="",P339,U340)</f>
        <v>土台の劣化及び損傷の状況</v>
      </c>
      <c r="DS340" s="23">
        <f t="shared" si="128"/>
        <v>0</v>
      </c>
      <c r="DT340" s="29" t="str">
        <f t="shared" si="129"/>
        <v/>
      </c>
      <c r="DU340" s="242" t="str">
        <f t="shared" si="130"/>
        <v/>
      </c>
      <c r="DV340" s="57" t="str">
        <f>IF($DT340="要是正",MAX($DV$333:DV339)+1,"")</f>
        <v/>
      </c>
      <c r="DW340" s="273" t="str">
        <f t="shared" si="131"/>
        <v/>
      </c>
      <c r="DX340" s="30" t="str">
        <f t="shared" si="192"/>
        <v/>
      </c>
      <c r="DY340" s="13" t="str">
        <f t="shared" si="132"/>
        <v/>
      </c>
      <c r="DZ340" s="121" t="str">
        <f t="shared" si="133"/>
        <v/>
      </c>
      <c r="EA340" s="206" t="str">
        <f t="shared" si="134"/>
        <v/>
      </c>
      <c r="EB340" s="138" t="str">
        <f t="shared" si="135"/>
        <v/>
      </c>
      <c r="EC340" s="131" t="str">
        <f t="shared" si="136"/>
        <v>0</v>
      </c>
      <c r="ED340" s="54" t="str">
        <f t="shared" si="137"/>
        <v/>
      </c>
      <c r="EE340" s="131" t="str">
        <f t="shared" si="193"/>
        <v>0</v>
      </c>
      <c r="EF340" s="327" t="str">
        <f t="shared" si="138"/>
        <v/>
      </c>
      <c r="EG340" s="108" t="str">
        <f t="shared" si="139"/>
        <v/>
      </c>
      <c r="EH340" s="41" t="str">
        <f t="shared" si="140"/>
        <v>0</v>
      </c>
      <c r="EI340" s="54" t="str">
        <f t="shared" si="141"/>
        <v/>
      </c>
      <c r="EJ340" s="131" t="str">
        <f t="shared" si="194"/>
        <v>0</v>
      </c>
      <c r="EK340" s="241" t="str">
        <f t="shared" si="142"/>
        <v/>
      </c>
      <c r="EL340" s="242" t="e">
        <f t="shared" si="143"/>
        <v>#N/A</v>
      </c>
      <c r="EM340" s="57" t="e">
        <f t="shared" si="144"/>
        <v>#N/A</v>
      </c>
      <c r="EN340" s="243" t="e">
        <f t="shared" si="145"/>
        <v>#N/A</v>
      </c>
      <c r="EO340" s="289">
        <v>14</v>
      </c>
      <c r="EP340" s="23" t="s">
        <v>1060</v>
      </c>
      <c r="EQ340" s="23" t="s">
        <v>1035</v>
      </c>
      <c r="ER340" s="124" t="s">
        <v>1053</v>
      </c>
      <c r="FK340" s="326" t="str">
        <f t="shared" si="146"/>
        <v/>
      </c>
      <c r="FL340" s="326" t="str">
        <f t="shared" si="147"/>
        <v/>
      </c>
      <c r="FM340" s="326" t="str">
        <f t="shared" si="148"/>
        <v/>
      </c>
      <c r="FN340" s="326">
        <f t="shared" si="149"/>
        <v>0</v>
      </c>
      <c r="FO340" s="670" t="str">
        <f t="shared" si="150"/>
        <v/>
      </c>
      <c r="FQ340" s="138" t="str">
        <f t="shared" si="151"/>
        <v/>
      </c>
      <c r="FR340" s="131" t="str">
        <f t="shared" si="152"/>
        <v>0</v>
      </c>
      <c r="FS340" s="54" t="str">
        <f t="shared" si="153"/>
        <v/>
      </c>
      <c r="FT340" s="131" t="str">
        <f t="shared" si="195"/>
        <v>0</v>
      </c>
      <c r="FU340" s="217" t="str">
        <f t="shared" si="154"/>
        <v/>
      </c>
      <c r="FW340" s="667">
        <f t="shared" si="45"/>
        <v>0</v>
      </c>
      <c r="FX340" s="32"/>
      <c r="FY340" s="32"/>
      <c r="FZ340" s="668"/>
      <c r="GA340" s="14"/>
      <c r="GB340" s="658">
        <f t="shared" si="155"/>
        <v>0</v>
      </c>
      <c r="GC340" s="658">
        <f t="shared" si="156"/>
        <v>0</v>
      </c>
      <c r="GD340" s="658">
        <f t="shared" si="157"/>
        <v>0</v>
      </c>
      <c r="GE340" s="658" t="str">
        <f t="shared" si="158"/>
        <v/>
      </c>
      <c r="GF340" s="658" t="str">
        <f t="shared" si="159"/>
        <v/>
      </c>
      <c r="GG340" s="658" t="str">
        <f t="shared" si="160"/>
        <v/>
      </c>
      <c r="GH340" s="658" t="str">
        <f t="shared" si="161"/>
        <v/>
      </c>
      <c r="GI340" s="658" t="str">
        <f t="shared" si="162"/>
        <v/>
      </c>
      <c r="GJ340" s="658" t="str">
        <f t="shared" si="163"/>
        <v/>
      </c>
      <c r="GK340" s="658" t="str">
        <f t="shared" si="164"/>
        <v/>
      </c>
      <c r="GL340" s="658" t="str">
        <f t="shared" si="165"/>
        <v/>
      </c>
      <c r="GM340" s="658" t="str">
        <f t="shared" si="166"/>
        <v/>
      </c>
      <c r="GN340" s="658" t="str">
        <f t="shared" si="167"/>
        <v/>
      </c>
      <c r="GO340" s="658" t="str">
        <f t="shared" si="168"/>
        <v/>
      </c>
      <c r="GP340" s="658" t="str">
        <f t="shared" si="169"/>
        <v/>
      </c>
      <c r="GQ340" s="658" t="str">
        <f t="shared" si="170"/>
        <v/>
      </c>
      <c r="GR340" s="658" t="str">
        <f t="shared" si="171"/>
        <v/>
      </c>
      <c r="GS340" s="658" t="str">
        <f t="shared" si="172"/>
        <v/>
      </c>
      <c r="GT340" s="658">
        <f t="shared" si="94"/>
        <v>0</v>
      </c>
      <c r="GU340" s="658">
        <f t="shared" si="95"/>
        <v>0</v>
      </c>
      <c r="GV340" s="658">
        <f t="shared" si="96"/>
        <v>0</v>
      </c>
      <c r="GW340" s="658" t="b">
        <f t="shared" si="97"/>
        <v>0</v>
      </c>
      <c r="GX340" s="658" t="b">
        <f t="shared" si="98"/>
        <v>0</v>
      </c>
      <c r="GY340" s="658" t="b">
        <f t="shared" si="99"/>
        <v>0</v>
      </c>
      <c r="GZ340" s="658" t="str">
        <f t="shared" si="173"/>
        <v/>
      </c>
      <c r="HB340" s="658" t="str">
        <f t="shared" si="101"/>
        <v/>
      </c>
      <c r="HC340" s="658" t="str">
        <f t="shared" si="174"/>
        <v/>
      </c>
      <c r="HD340" s="658" t="str">
        <f t="shared" si="175"/>
        <v/>
      </c>
      <c r="HE340" s="658" t="str">
        <f t="shared" si="176"/>
        <v/>
      </c>
      <c r="HF340" s="658" t="str">
        <f t="shared" si="177"/>
        <v/>
      </c>
      <c r="HG340" s="658" t="str">
        <f t="shared" si="178"/>
        <v/>
      </c>
      <c r="HH340" s="658" t="str">
        <f t="shared" si="179"/>
        <v/>
      </c>
      <c r="HI340" s="658" t="str">
        <f t="shared" si="180"/>
        <v/>
      </c>
      <c r="HJ340" s="658" t="str">
        <f t="shared" si="181"/>
        <v/>
      </c>
      <c r="HK340" s="658" t="str">
        <f t="shared" si="182"/>
        <v/>
      </c>
      <c r="HL340" s="658" t="str">
        <f t="shared" si="183"/>
        <v/>
      </c>
      <c r="HM340" s="658" t="str">
        <f t="shared" si="184"/>
        <v/>
      </c>
      <c r="HN340" s="658" t="str">
        <f t="shared" si="185"/>
        <v/>
      </c>
      <c r="HO340" s="658" t="str">
        <f t="shared" si="186"/>
        <v/>
      </c>
      <c r="HP340" s="658" t="str">
        <f t="shared" si="187"/>
        <v/>
      </c>
      <c r="HQ340" s="658" t="str">
        <f t="shared" si="188"/>
        <v/>
      </c>
      <c r="HR340" s="658" t="str">
        <f t="shared" si="102"/>
        <v/>
      </c>
      <c r="HT340" s="658">
        <f>LEFT(M340,1)*10000+MID(M340,3,LEN(M340)-3)*100+COUNTIF($M$319:M340,M340)</f>
        <v>20401</v>
      </c>
      <c r="HU340" s="658" t="str">
        <f t="shared" si="103"/>
        <v/>
      </c>
      <c r="HV340" s="658" t="str">
        <f t="shared" si="189"/>
        <v/>
      </c>
      <c r="HW340" s="658" t="str">
        <f t="shared" si="104"/>
        <v/>
      </c>
      <c r="HX340" s="658" t="str">
        <f t="shared" si="190"/>
        <v/>
      </c>
    </row>
    <row r="341" spans="1:232" s="19" customFormat="1" ht="50.1" customHeight="1" x14ac:dyDescent="0.15">
      <c r="A341" s="1201"/>
      <c r="B341" s="1201"/>
      <c r="C341" s="1201"/>
      <c r="D341" s="1201"/>
      <c r="E341" s="1202"/>
      <c r="F341" s="652"/>
      <c r="G341" s="652"/>
      <c r="H341" s="652"/>
      <c r="I341" s="1354"/>
      <c r="J341" s="1234"/>
      <c r="K341" s="1261"/>
      <c r="L341" s="1261"/>
      <c r="M341" s="2142" t="s">
        <v>1128</v>
      </c>
      <c r="N341" s="2142"/>
      <c r="O341" s="2143"/>
      <c r="P341" s="2460" t="s">
        <v>161</v>
      </c>
      <c r="Q341" s="2460"/>
      <c r="R341" s="2429" t="s">
        <v>55</v>
      </c>
      <c r="S341" s="2439"/>
      <c r="T341" s="2439"/>
      <c r="U341" s="2438" t="s">
        <v>56</v>
      </c>
      <c r="V341" s="2438"/>
      <c r="W341" s="2438"/>
      <c r="X341" s="2438"/>
      <c r="Y341" s="2438"/>
      <c r="Z341" s="2438"/>
      <c r="AA341" s="2438"/>
      <c r="AB341" s="2438"/>
      <c r="AC341" s="2438"/>
      <c r="AD341" s="2438"/>
      <c r="AE341" s="2438"/>
      <c r="AF341" s="2302"/>
      <c r="AG341" s="2302"/>
      <c r="AH341" s="2302"/>
      <c r="AI341" s="2302"/>
      <c r="AJ341" s="2302"/>
      <c r="AK341" s="2302"/>
      <c r="AL341" s="2302"/>
      <c r="AM341" s="2302"/>
      <c r="AN341" s="2302"/>
      <c r="AO341" s="2302"/>
      <c r="AP341" s="2302"/>
      <c r="AQ341" s="2302"/>
      <c r="AR341" s="2272"/>
      <c r="AS341" s="2272"/>
      <c r="AT341" s="2406"/>
      <c r="AU341" s="2406"/>
      <c r="AV341" s="2406"/>
      <c r="AW341" s="2406"/>
      <c r="AX341" s="2406"/>
      <c r="AY341" s="2406"/>
      <c r="AZ341" s="2406"/>
      <c r="BA341" s="2406"/>
      <c r="BB341" s="2406"/>
      <c r="BC341" s="2406"/>
      <c r="BD341" s="2406"/>
      <c r="BE341" s="2406"/>
      <c r="BF341" s="2406"/>
      <c r="BG341" s="2406"/>
      <c r="BH341" s="2406"/>
      <c r="BI341" s="2406"/>
      <c r="BJ341" s="2406"/>
      <c r="BK341" s="2406"/>
      <c r="BL341" s="2406"/>
      <c r="BM341" s="2406"/>
      <c r="BN341" s="2406"/>
      <c r="BO341" s="2406"/>
      <c r="BP341" s="2406"/>
      <c r="BQ341" s="2406"/>
      <c r="BR341" s="2406"/>
      <c r="BS341" s="2271"/>
      <c r="BT341" s="2271"/>
      <c r="BU341" s="2271"/>
      <c r="BV341" s="2271"/>
      <c r="BW341" s="2271"/>
      <c r="BX341" s="2271"/>
      <c r="BY341" s="2271"/>
      <c r="BZ341" s="2272"/>
      <c r="CA341" s="2272"/>
      <c r="CB341" s="2407"/>
      <c r="CC341" s="2408"/>
      <c r="CD341" s="2408"/>
      <c r="CE341" s="2408"/>
      <c r="CF341" s="2408"/>
      <c r="CG341" s="2408"/>
      <c r="CH341" s="2408"/>
      <c r="CI341" s="2408"/>
      <c r="CJ341" s="2408"/>
      <c r="CK341" s="2408"/>
      <c r="CL341" s="2408"/>
      <c r="CM341" s="2408"/>
      <c r="CN341" s="2408"/>
      <c r="CO341" s="2408"/>
      <c r="CP341" s="2408"/>
      <c r="CQ341" s="2408"/>
      <c r="CR341" s="2408"/>
      <c r="CS341" s="2408"/>
      <c r="CT341" s="2408"/>
      <c r="CU341" s="2409"/>
      <c r="CV341" s="2300" t="str">
        <f t="shared" si="121"/>
        <v/>
      </c>
      <c r="CW341" s="2300"/>
      <c r="CX341" s="2300"/>
      <c r="CY341" s="2300"/>
      <c r="CZ341" s="2300"/>
      <c r="DA341" s="2300"/>
      <c r="DC341" s="329" t="str">
        <f t="shared" si="191"/>
        <v/>
      </c>
      <c r="DD341" s="197"/>
      <c r="DF341" s="14"/>
      <c r="DG341" s="14"/>
      <c r="DH341" s="14"/>
      <c r="DI341" s="1596"/>
      <c r="DJ341" s="1170" t="s">
        <v>2749</v>
      </c>
      <c r="DK341" s="1604" t="str">
        <f t="shared" si="122"/>
        <v/>
      </c>
      <c r="DL341" s="437" t="str">
        <f t="shared" si="123"/>
        <v/>
      </c>
      <c r="DM341" s="1128">
        <f t="shared" si="124"/>
        <v>0</v>
      </c>
      <c r="DN341" s="22">
        <f t="shared" si="125"/>
        <v>0</v>
      </c>
      <c r="DO341" s="22">
        <f t="shared" si="126"/>
        <v>0</v>
      </c>
      <c r="DP341" s="264">
        <f t="shared" si="127"/>
        <v>0</v>
      </c>
      <c r="DQ341" s="26" t="s">
        <v>234</v>
      </c>
      <c r="DR341" s="263" t="str">
        <f>IF($U341="",R341,U341)</f>
        <v>外壁、軒裏及び外壁の開口部で延焼のおそれのある部分の防火対策の状況</v>
      </c>
      <c r="DS341" s="23">
        <f t="shared" si="128"/>
        <v>0</v>
      </c>
      <c r="DT341" s="29" t="str">
        <f t="shared" si="129"/>
        <v/>
      </c>
      <c r="DU341" s="242" t="str">
        <f t="shared" si="130"/>
        <v/>
      </c>
      <c r="DV341" s="57" t="str">
        <f>IF($DT341="要是正",MAX($DV$333:DV340)+1,"")</f>
        <v/>
      </c>
      <c r="DW341" s="273" t="str">
        <f t="shared" si="131"/>
        <v/>
      </c>
      <c r="DX341" s="30" t="str">
        <f t="shared" si="192"/>
        <v/>
      </c>
      <c r="DY341" s="13" t="str">
        <f t="shared" si="132"/>
        <v/>
      </c>
      <c r="DZ341" s="121" t="str">
        <f t="shared" si="133"/>
        <v/>
      </c>
      <c r="EA341" s="206" t="str">
        <f t="shared" si="134"/>
        <v/>
      </c>
      <c r="EB341" s="138" t="str">
        <f t="shared" si="135"/>
        <v/>
      </c>
      <c r="EC341" s="131" t="str">
        <f t="shared" si="136"/>
        <v>0</v>
      </c>
      <c r="ED341" s="54" t="str">
        <f t="shared" si="137"/>
        <v/>
      </c>
      <c r="EE341" s="131" t="str">
        <f t="shared" si="193"/>
        <v>0</v>
      </c>
      <c r="EF341" s="327" t="str">
        <f t="shared" si="138"/>
        <v/>
      </c>
      <c r="EG341" s="108" t="str">
        <f t="shared" si="139"/>
        <v/>
      </c>
      <c r="EH341" s="41" t="str">
        <f t="shared" si="140"/>
        <v>0</v>
      </c>
      <c r="EI341" s="54" t="str">
        <f t="shared" si="141"/>
        <v/>
      </c>
      <c r="EJ341" s="131" t="str">
        <f t="shared" si="194"/>
        <v>0</v>
      </c>
      <c r="EK341" s="241" t="str">
        <f t="shared" si="142"/>
        <v/>
      </c>
      <c r="EL341" s="242" t="e">
        <f t="shared" si="143"/>
        <v>#N/A</v>
      </c>
      <c r="EM341" s="57" t="e">
        <f t="shared" si="144"/>
        <v>#N/A</v>
      </c>
      <c r="EN341" s="243" t="e">
        <f t="shared" si="145"/>
        <v>#N/A</v>
      </c>
      <c r="EO341" s="289">
        <v>15</v>
      </c>
      <c r="EP341" s="23" t="s">
        <v>1060</v>
      </c>
      <c r="EQ341" s="23" t="s">
        <v>1036</v>
      </c>
      <c r="ER341" s="124" t="s">
        <v>1054</v>
      </c>
      <c r="FK341" s="326" t="str">
        <f t="shared" si="146"/>
        <v/>
      </c>
      <c r="FL341" s="326" t="str">
        <f t="shared" si="147"/>
        <v/>
      </c>
      <c r="FM341" s="326" t="str">
        <f t="shared" si="148"/>
        <v/>
      </c>
      <c r="FN341" s="326">
        <f t="shared" si="149"/>
        <v>0</v>
      </c>
      <c r="FO341" s="670" t="str">
        <f t="shared" si="150"/>
        <v/>
      </c>
      <c r="FQ341" s="138" t="str">
        <f t="shared" si="151"/>
        <v/>
      </c>
      <c r="FR341" s="131" t="str">
        <f t="shared" si="152"/>
        <v>0</v>
      </c>
      <c r="FS341" s="54" t="str">
        <f t="shared" si="153"/>
        <v/>
      </c>
      <c r="FT341" s="131" t="str">
        <f t="shared" si="195"/>
        <v>0</v>
      </c>
      <c r="FU341" s="217" t="str">
        <f t="shared" si="154"/>
        <v/>
      </c>
      <c r="FW341" s="667">
        <f t="shared" si="45"/>
        <v>0</v>
      </c>
      <c r="FX341" s="32"/>
      <c r="FY341" s="32"/>
      <c r="FZ341" s="668"/>
      <c r="GA341" s="14"/>
      <c r="GB341" s="658">
        <f t="shared" si="155"/>
        <v>0</v>
      </c>
      <c r="GC341" s="658">
        <f t="shared" si="156"/>
        <v>0</v>
      </c>
      <c r="GD341" s="658">
        <f t="shared" si="157"/>
        <v>0</v>
      </c>
      <c r="GE341" s="658" t="str">
        <f t="shared" si="158"/>
        <v/>
      </c>
      <c r="GF341" s="658" t="str">
        <f t="shared" si="159"/>
        <v/>
      </c>
      <c r="GG341" s="658" t="str">
        <f t="shared" si="160"/>
        <v/>
      </c>
      <c r="GH341" s="658" t="str">
        <f t="shared" si="161"/>
        <v/>
      </c>
      <c r="GI341" s="658" t="str">
        <f t="shared" si="162"/>
        <v/>
      </c>
      <c r="GJ341" s="658" t="str">
        <f t="shared" si="163"/>
        <v/>
      </c>
      <c r="GK341" s="658" t="str">
        <f t="shared" si="164"/>
        <v/>
      </c>
      <c r="GL341" s="658" t="str">
        <f t="shared" si="165"/>
        <v/>
      </c>
      <c r="GM341" s="658" t="str">
        <f t="shared" si="166"/>
        <v/>
      </c>
      <c r="GN341" s="658" t="str">
        <f t="shared" si="167"/>
        <v/>
      </c>
      <c r="GO341" s="658" t="str">
        <f t="shared" si="168"/>
        <v/>
      </c>
      <c r="GP341" s="658" t="str">
        <f t="shared" si="169"/>
        <v/>
      </c>
      <c r="GQ341" s="658" t="str">
        <f t="shared" si="170"/>
        <v/>
      </c>
      <c r="GR341" s="658" t="str">
        <f t="shared" si="171"/>
        <v/>
      </c>
      <c r="GS341" s="658" t="str">
        <f t="shared" si="172"/>
        <v/>
      </c>
      <c r="GT341" s="658">
        <f t="shared" si="94"/>
        <v>0</v>
      </c>
      <c r="GU341" s="658">
        <f t="shared" si="95"/>
        <v>0</v>
      </c>
      <c r="GV341" s="658">
        <f t="shared" si="96"/>
        <v>0</v>
      </c>
      <c r="GW341" s="658" t="b">
        <f t="shared" si="97"/>
        <v>0</v>
      </c>
      <c r="GX341" s="658" t="b">
        <f t="shared" si="98"/>
        <v>0</v>
      </c>
      <c r="GY341" s="658" t="b">
        <f t="shared" si="99"/>
        <v>0</v>
      </c>
      <c r="GZ341" s="658" t="str">
        <f t="shared" si="173"/>
        <v/>
      </c>
      <c r="HB341" s="658" t="str">
        <f t="shared" si="101"/>
        <v/>
      </c>
      <c r="HC341" s="658" t="str">
        <f t="shared" si="174"/>
        <v/>
      </c>
      <c r="HD341" s="658" t="str">
        <f t="shared" si="175"/>
        <v/>
      </c>
      <c r="HE341" s="658" t="str">
        <f t="shared" si="176"/>
        <v/>
      </c>
      <c r="HF341" s="658" t="str">
        <f t="shared" si="177"/>
        <v/>
      </c>
      <c r="HG341" s="658" t="str">
        <f t="shared" si="178"/>
        <v/>
      </c>
      <c r="HH341" s="658" t="str">
        <f t="shared" si="179"/>
        <v/>
      </c>
      <c r="HI341" s="658" t="str">
        <f t="shared" si="180"/>
        <v/>
      </c>
      <c r="HJ341" s="658" t="str">
        <f t="shared" si="181"/>
        <v/>
      </c>
      <c r="HK341" s="658" t="str">
        <f t="shared" si="182"/>
        <v/>
      </c>
      <c r="HL341" s="658" t="str">
        <f t="shared" si="183"/>
        <v/>
      </c>
      <c r="HM341" s="658" t="str">
        <f t="shared" si="184"/>
        <v/>
      </c>
      <c r="HN341" s="658" t="str">
        <f t="shared" si="185"/>
        <v/>
      </c>
      <c r="HO341" s="658" t="str">
        <f t="shared" si="186"/>
        <v/>
      </c>
      <c r="HP341" s="658" t="str">
        <f t="shared" si="187"/>
        <v/>
      </c>
      <c r="HQ341" s="658" t="str">
        <f t="shared" si="188"/>
        <v/>
      </c>
      <c r="HR341" s="658" t="str">
        <f t="shared" si="102"/>
        <v/>
      </c>
      <c r="HT341" s="658">
        <f>LEFT(M341,1)*10000+MID(M341,3,LEN(M341)-3)*100+COUNTIF($M$319:M341,M341)</f>
        <v>20501</v>
      </c>
      <c r="HU341" s="658" t="str">
        <f t="shared" si="103"/>
        <v/>
      </c>
      <c r="HV341" s="658" t="str">
        <f t="shared" si="189"/>
        <v/>
      </c>
      <c r="HW341" s="658" t="str">
        <f t="shared" si="104"/>
        <v/>
      </c>
      <c r="HX341" s="658" t="str">
        <f t="shared" si="190"/>
        <v/>
      </c>
    </row>
    <row r="342" spans="1:232" s="19" customFormat="1" ht="50.1" customHeight="1" x14ac:dyDescent="0.15">
      <c r="A342" s="1201"/>
      <c r="B342" s="1201"/>
      <c r="C342" s="1201"/>
      <c r="D342" s="1201"/>
      <c r="E342" s="1202"/>
      <c r="F342" s="652"/>
      <c r="G342" s="652"/>
      <c r="H342" s="652"/>
      <c r="I342" s="1354"/>
      <c r="J342" s="1234"/>
      <c r="K342" s="1261"/>
      <c r="L342" s="1261"/>
      <c r="M342" s="2142" t="s">
        <v>1129</v>
      </c>
      <c r="N342" s="2142"/>
      <c r="O342" s="2143"/>
      <c r="P342" s="2461"/>
      <c r="Q342" s="2461"/>
      <c r="R342" s="2439"/>
      <c r="S342" s="2439"/>
      <c r="T342" s="2439"/>
      <c r="U342" s="2435" t="s">
        <v>57</v>
      </c>
      <c r="V342" s="2435"/>
      <c r="W342" s="2435"/>
      <c r="X342" s="2435"/>
      <c r="Y342" s="2435"/>
      <c r="Z342" s="2435"/>
      <c r="AA342" s="2435"/>
      <c r="AB342" s="2435"/>
      <c r="AC342" s="2435"/>
      <c r="AD342" s="2435"/>
      <c r="AE342" s="2435"/>
      <c r="AF342" s="2282"/>
      <c r="AG342" s="2282"/>
      <c r="AH342" s="2282"/>
      <c r="AI342" s="2282"/>
      <c r="AJ342" s="2282"/>
      <c r="AK342" s="2282"/>
      <c r="AL342" s="2282"/>
      <c r="AM342" s="2282"/>
      <c r="AN342" s="2282"/>
      <c r="AO342" s="2282"/>
      <c r="AP342" s="2282"/>
      <c r="AQ342" s="2282"/>
      <c r="AR342" s="2151"/>
      <c r="AS342" s="2151"/>
      <c r="AT342" s="2292"/>
      <c r="AU342" s="2292"/>
      <c r="AV342" s="2292"/>
      <c r="AW342" s="2292"/>
      <c r="AX342" s="2292"/>
      <c r="AY342" s="2292"/>
      <c r="AZ342" s="2292"/>
      <c r="BA342" s="2292"/>
      <c r="BB342" s="2292"/>
      <c r="BC342" s="2292"/>
      <c r="BD342" s="2292"/>
      <c r="BE342" s="2292"/>
      <c r="BF342" s="2292"/>
      <c r="BG342" s="2292"/>
      <c r="BH342" s="2292"/>
      <c r="BI342" s="2292"/>
      <c r="BJ342" s="2292"/>
      <c r="BK342" s="2292"/>
      <c r="BL342" s="2292"/>
      <c r="BM342" s="2292"/>
      <c r="BN342" s="2292"/>
      <c r="BO342" s="2292"/>
      <c r="BP342" s="2292"/>
      <c r="BQ342" s="2292"/>
      <c r="BR342" s="2292"/>
      <c r="BS342" s="2269"/>
      <c r="BT342" s="2269"/>
      <c r="BU342" s="2269"/>
      <c r="BV342" s="2269"/>
      <c r="BW342" s="2269"/>
      <c r="BX342" s="2269"/>
      <c r="BY342" s="2269"/>
      <c r="BZ342" s="2151"/>
      <c r="CA342" s="2151"/>
      <c r="CB342" s="2317"/>
      <c r="CC342" s="2174"/>
      <c r="CD342" s="2174"/>
      <c r="CE342" s="2174"/>
      <c r="CF342" s="2174"/>
      <c r="CG342" s="2174"/>
      <c r="CH342" s="2174"/>
      <c r="CI342" s="2174"/>
      <c r="CJ342" s="2174"/>
      <c r="CK342" s="2174"/>
      <c r="CL342" s="2174"/>
      <c r="CM342" s="2174"/>
      <c r="CN342" s="2174"/>
      <c r="CO342" s="2174"/>
      <c r="CP342" s="2174"/>
      <c r="CQ342" s="2174"/>
      <c r="CR342" s="2174"/>
      <c r="CS342" s="2174"/>
      <c r="CT342" s="2174"/>
      <c r="CU342" s="2318"/>
      <c r="CV342" s="2300" t="str">
        <f t="shared" si="121"/>
        <v/>
      </c>
      <c r="CW342" s="2300"/>
      <c r="CX342" s="2300"/>
      <c r="CY342" s="2300"/>
      <c r="CZ342" s="2300"/>
      <c r="DA342" s="2300"/>
      <c r="DC342" s="329" t="str">
        <f t="shared" si="191"/>
        <v/>
      </c>
      <c r="DD342" s="197"/>
      <c r="DF342" s="14"/>
      <c r="DG342" s="14"/>
      <c r="DH342" s="14"/>
      <c r="DI342" s="1596"/>
      <c r="DJ342" s="1170" t="s">
        <v>2749</v>
      </c>
      <c r="DK342" s="1604" t="str">
        <f t="shared" si="122"/>
        <v/>
      </c>
      <c r="DL342" s="437" t="str">
        <f t="shared" si="123"/>
        <v/>
      </c>
      <c r="DM342" s="1128">
        <f t="shared" si="124"/>
        <v>0</v>
      </c>
      <c r="DN342" s="22">
        <f t="shared" si="125"/>
        <v>0</v>
      </c>
      <c r="DO342" s="22">
        <f t="shared" si="126"/>
        <v>0</v>
      </c>
      <c r="DP342" s="264">
        <f t="shared" si="127"/>
        <v>0</v>
      </c>
      <c r="DQ342" s="27" t="s">
        <v>235</v>
      </c>
      <c r="DR342" s="263" t="str">
        <f>IF($U342="",R341,U342)</f>
        <v>木造の外壁躯体の劣化及び損傷の状況</v>
      </c>
      <c r="DS342" s="23">
        <f t="shared" si="128"/>
        <v>0</v>
      </c>
      <c r="DT342" s="29" t="str">
        <f t="shared" si="129"/>
        <v/>
      </c>
      <c r="DU342" s="242" t="str">
        <f t="shared" si="130"/>
        <v/>
      </c>
      <c r="DV342" s="57" t="str">
        <f>IF($DT342="要是正",MAX($DV$333:DV341)+1,"")</f>
        <v/>
      </c>
      <c r="DW342" s="273" t="str">
        <f t="shared" si="131"/>
        <v/>
      </c>
      <c r="DX342" s="30" t="str">
        <f t="shared" si="192"/>
        <v/>
      </c>
      <c r="DY342" s="13" t="str">
        <f t="shared" si="132"/>
        <v/>
      </c>
      <c r="DZ342" s="121" t="str">
        <f t="shared" si="133"/>
        <v/>
      </c>
      <c r="EA342" s="206" t="str">
        <f t="shared" si="134"/>
        <v/>
      </c>
      <c r="EB342" s="138" t="str">
        <f t="shared" si="135"/>
        <v/>
      </c>
      <c r="EC342" s="131" t="str">
        <f t="shared" si="136"/>
        <v>0</v>
      </c>
      <c r="ED342" s="54" t="str">
        <f t="shared" si="137"/>
        <v/>
      </c>
      <c r="EE342" s="131" t="str">
        <f t="shared" si="193"/>
        <v>0</v>
      </c>
      <c r="EF342" s="327" t="str">
        <f t="shared" si="138"/>
        <v/>
      </c>
      <c r="EG342" s="108" t="str">
        <f t="shared" si="139"/>
        <v/>
      </c>
      <c r="EH342" s="41" t="str">
        <f t="shared" si="140"/>
        <v>0</v>
      </c>
      <c r="EI342" s="54" t="str">
        <f t="shared" si="141"/>
        <v/>
      </c>
      <c r="EJ342" s="131" t="str">
        <f t="shared" si="194"/>
        <v>0</v>
      </c>
      <c r="EK342" s="241" t="str">
        <f t="shared" si="142"/>
        <v/>
      </c>
      <c r="EL342" s="242" t="e">
        <f t="shared" si="143"/>
        <v>#N/A</v>
      </c>
      <c r="EM342" s="57" t="e">
        <f t="shared" si="144"/>
        <v>#N/A</v>
      </c>
      <c r="EN342" s="243" t="e">
        <f t="shared" si="145"/>
        <v>#N/A</v>
      </c>
      <c r="EO342" s="289">
        <v>16</v>
      </c>
      <c r="EP342" s="23" t="s">
        <v>1060</v>
      </c>
      <c r="EQ342" s="23" t="s">
        <v>1037</v>
      </c>
      <c r="ER342" s="124" t="s">
        <v>1055</v>
      </c>
      <c r="FK342" s="326" t="str">
        <f t="shared" si="146"/>
        <v/>
      </c>
      <c r="FL342" s="326" t="str">
        <f t="shared" si="147"/>
        <v/>
      </c>
      <c r="FM342" s="326" t="str">
        <f t="shared" si="148"/>
        <v/>
      </c>
      <c r="FN342" s="326">
        <f t="shared" si="149"/>
        <v>0</v>
      </c>
      <c r="FO342" s="670" t="str">
        <f t="shared" si="150"/>
        <v/>
      </c>
      <c r="FQ342" s="138" t="str">
        <f t="shared" si="151"/>
        <v/>
      </c>
      <c r="FR342" s="131" t="str">
        <f t="shared" si="152"/>
        <v>0</v>
      </c>
      <c r="FS342" s="54" t="str">
        <f t="shared" si="153"/>
        <v/>
      </c>
      <c r="FT342" s="131" t="str">
        <f t="shared" si="195"/>
        <v>0</v>
      </c>
      <c r="FU342" s="217" t="str">
        <f t="shared" si="154"/>
        <v/>
      </c>
      <c r="FW342" s="667">
        <f t="shared" si="45"/>
        <v>0</v>
      </c>
      <c r="FX342" s="32"/>
      <c r="FY342" s="32"/>
      <c r="FZ342" s="668"/>
      <c r="GA342" s="14"/>
      <c r="GB342" s="658">
        <f t="shared" si="155"/>
        <v>0</v>
      </c>
      <c r="GC342" s="658">
        <f t="shared" si="156"/>
        <v>0</v>
      </c>
      <c r="GD342" s="658">
        <f t="shared" si="157"/>
        <v>0</v>
      </c>
      <c r="GE342" s="658" t="str">
        <f t="shared" si="158"/>
        <v/>
      </c>
      <c r="GF342" s="658" t="str">
        <f t="shared" si="159"/>
        <v/>
      </c>
      <c r="GG342" s="658" t="str">
        <f t="shared" si="160"/>
        <v/>
      </c>
      <c r="GH342" s="658" t="str">
        <f t="shared" si="161"/>
        <v/>
      </c>
      <c r="GI342" s="658" t="str">
        <f t="shared" si="162"/>
        <v/>
      </c>
      <c r="GJ342" s="658" t="str">
        <f t="shared" si="163"/>
        <v/>
      </c>
      <c r="GK342" s="658" t="str">
        <f t="shared" si="164"/>
        <v/>
      </c>
      <c r="GL342" s="658" t="str">
        <f t="shared" si="165"/>
        <v/>
      </c>
      <c r="GM342" s="658" t="str">
        <f t="shared" si="166"/>
        <v/>
      </c>
      <c r="GN342" s="658" t="str">
        <f t="shared" si="167"/>
        <v/>
      </c>
      <c r="GO342" s="658" t="str">
        <f t="shared" si="168"/>
        <v/>
      </c>
      <c r="GP342" s="658" t="str">
        <f t="shared" si="169"/>
        <v/>
      </c>
      <c r="GQ342" s="658" t="str">
        <f t="shared" si="170"/>
        <v/>
      </c>
      <c r="GR342" s="658" t="str">
        <f t="shared" si="171"/>
        <v/>
      </c>
      <c r="GS342" s="658" t="str">
        <f t="shared" si="172"/>
        <v/>
      </c>
      <c r="GT342" s="658">
        <f t="shared" si="94"/>
        <v>0</v>
      </c>
      <c r="GU342" s="658">
        <f t="shared" si="95"/>
        <v>0</v>
      </c>
      <c r="GV342" s="658">
        <f t="shared" si="96"/>
        <v>0</v>
      </c>
      <c r="GW342" s="658" t="b">
        <f t="shared" si="97"/>
        <v>0</v>
      </c>
      <c r="GX342" s="658" t="b">
        <f t="shared" si="98"/>
        <v>0</v>
      </c>
      <c r="GY342" s="658" t="b">
        <f t="shared" si="99"/>
        <v>0</v>
      </c>
      <c r="GZ342" s="658" t="str">
        <f t="shared" si="173"/>
        <v/>
      </c>
      <c r="HB342" s="658" t="str">
        <f t="shared" si="101"/>
        <v/>
      </c>
      <c r="HC342" s="658" t="str">
        <f t="shared" si="174"/>
        <v/>
      </c>
      <c r="HD342" s="658" t="str">
        <f t="shared" si="175"/>
        <v/>
      </c>
      <c r="HE342" s="658" t="str">
        <f t="shared" si="176"/>
        <v/>
      </c>
      <c r="HF342" s="658" t="str">
        <f t="shared" si="177"/>
        <v/>
      </c>
      <c r="HG342" s="658" t="str">
        <f t="shared" si="178"/>
        <v/>
      </c>
      <c r="HH342" s="658" t="str">
        <f t="shared" si="179"/>
        <v/>
      </c>
      <c r="HI342" s="658" t="str">
        <f t="shared" si="180"/>
        <v/>
      </c>
      <c r="HJ342" s="658" t="str">
        <f t="shared" si="181"/>
        <v/>
      </c>
      <c r="HK342" s="658" t="str">
        <f t="shared" si="182"/>
        <v/>
      </c>
      <c r="HL342" s="658" t="str">
        <f t="shared" si="183"/>
        <v/>
      </c>
      <c r="HM342" s="658" t="str">
        <f t="shared" si="184"/>
        <v/>
      </c>
      <c r="HN342" s="658" t="str">
        <f t="shared" si="185"/>
        <v/>
      </c>
      <c r="HO342" s="658" t="str">
        <f t="shared" si="186"/>
        <v/>
      </c>
      <c r="HP342" s="658" t="str">
        <f t="shared" si="187"/>
        <v/>
      </c>
      <c r="HQ342" s="658" t="str">
        <f t="shared" si="188"/>
        <v/>
      </c>
      <c r="HR342" s="658" t="str">
        <f t="shared" si="102"/>
        <v/>
      </c>
      <c r="HT342" s="658">
        <f>LEFT(M342,1)*10000+MID(M342,3,LEN(M342)-3)*100+COUNTIF($M$319:M342,M342)</f>
        <v>20601</v>
      </c>
      <c r="HU342" s="658" t="str">
        <f t="shared" si="103"/>
        <v/>
      </c>
      <c r="HV342" s="658" t="str">
        <f t="shared" si="189"/>
        <v/>
      </c>
      <c r="HW342" s="658" t="str">
        <f t="shared" si="104"/>
        <v/>
      </c>
      <c r="HX342" s="658" t="str">
        <f t="shared" si="190"/>
        <v/>
      </c>
    </row>
    <row r="343" spans="1:232" s="19" customFormat="1" ht="50.1" customHeight="1" x14ac:dyDescent="0.15">
      <c r="A343" s="1201"/>
      <c r="B343" s="1201"/>
      <c r="C343" s="1201"/>
      <c r="D343" s="1201"/>
      <c r="E343" s="1202"/>
      <c r="F343" s="652"/>
      <c r="G343" s="652"/>
      <c r="H343" s="652"/>
      <c r="I343" s="1354"/>
      <c r="J343" s="1234"/>
      <c r="K343" s="1261"/>
      <c r="L343" s="1261"/>
      <c r="M343" s="2142" t="s">
        <v>1130</v>
      </c>
      <c r="N343" s="2142"/>
      <c r="O343" s="2143"/>
      <c r="P343" s="2461"/>
      <c r="Q343" s="2461"/>
      <c r="R343" s="2439"/>
      <c r="S343" s="2439"/>
      <c r="T343" s="2439"/>
      <c r="U343" s="2435" t="s">
        <v>58</v>
      </c>
      <c r="V343" s="2435"/>
      <c r="W343" s="2435"/>
      <c r="X343" s="2435"/>
      <c r="Y343" s="2435"/>
      <c r="Z343" s="2435"/>
      <c r="AA343" s="2435"/>
      <c r="AB343" s="2435"/>
      <c r="AC343" s="2435"/>
      <c r="AD343" s="2435"/>
      <c r="AE343" s="2435"/>
      <c r="AF343" s="2282"/>
      <c r="AG343" s="2282"/>
      <c r="AH343" s="2282"/>
      <c r="AI343" s="2282"/>
      <c r="AJ343" s="2282"/>
      <c r="AK343" s="2282"/>
      <c r="AL343" s="2282"/>
      <c r="AM343" s="2282"/>
      <c r="AN343" s="2282"/>
      <c r="AO343" s="2282"/>
      <c r="AP343" s="2282"/>
      <c r="AQ343" s="2282"/>
      <c r="AR343" s="2151"/>
      <c r="AS343" s="2151"/>
      <c r="AT343" s="2292"/>
      <c r="AU343" s="2292"/>
      <c r="AV343" s="2292"/>
      <c r="AW343" s="2292"/>
      <c r="AX343" s="2292"/>
      <c r="AY343" s="2292"/>
      <c r="AZ343" s="2292"/>
      <c r="BA343" s="2292"/>
      <c r="BB343" s="2292"/>
      <c r="BC343" s="2292"/>
      <c r="BD343" s="2292"/>
      <c r="BE343" s="2292"/>
      <c r="BF343" s="2292"/>
      <c r="BG343" s="2292"/>
      <c r="BH343" s="2292"/>
      <c r="BI343" s="2292"/>
      <c r="BJ343" s="2292"/>
      <c r="BK343" s="2292"/>
      <c r="BL343" s="2292"/>
      <c r="BM343" s="2292"/>
      <c r="BN343" s="2292"/>
      <c r="BO343" s="2292"/>
      <c r="BP343" s="2292"/>
      <c r="BQ343" s="2292"/>
      <c r="BR343" s="2292"/>
      <c r="BS343" s="2269"/>
      <c r="BT343" s="2269"/>
      <c r="BU343" s="2269"/>
      <c r="BV343" s="2269"/>
      <c r="BW343" s="2269"/>
      <c r="BX343" s="2269"/>
      <c r="BY343" s="2269"/>
      <c r="BZ343" s="2151"/>
      <c r="CA343" s="2151"/>
      <c r="CB343" s="2317"/>
      <c r="CC343" s="2174"/>
      <c r="CD343" s="2174"/>
      <c r="CE343" s="2174"/>
      <c r="CF343" s="2174"/>
      <c r="CG343" s="2174"/>
      <c r="CH343" s="2174"/>
      <c r="CI343" s="2174"/>
      <c r="CJ343" s="2174"/>
      <c r="CK343" s="2174"/>
      <c r="CL343" s="2174"/>
      <c r="CM343" s="2174"/>
      <c r="CN343" s="2174"/>
      <c r="CO343" s="2174"/>
      <c r="CP343" s="2174"/>
      <c r="CQ343" s="2174"/>
      <c r="CR343" s="2174"/>
      <c r="CS343" s="2174"/>
      <c r="CT343" s="2174"/>
      <c r="CU343" s="2318"/>
      <c r="CV343" s="2300" t="str">
        <f t="shared" si="121"/>
        <v/>
      </c>
      <c r="CW343" s="2300"/>
      <c r="CX343" s="2300"/>
      <c r="CY343" s="2300"/>
      <c r="CZ343" s="2300"/>
      <c r="DA343" s="2300"/>
      <c r="DC343" s="329" t="str">
        <f t="shared" si="191"/>
        <v/>
      </c>
      <c r="DD343" s="197"/>
      <c r="DF343" s="14"/>
      <c r="DG343" s="14"/>
      <c r="DH343" s="14"/>
      <c r="DI343" s="1596"/>
      <c r="DJ343" s="1170" t="s">
        <v>2749</v>
      </c>
      <c r="DK343" s="1604" t="str">
        <f t="shared" si="122"/>
        <v/>
      </c>
      <c r="DL343" s="437" t="str">
        <f t="shared" si="123"/>
        <v/>
      </c>
      <c r="DM343" s="1128">
        <f t="shared" si="124"/>
        <v>0</v>
      </c>
      <c r="DN343" s="22">
        <f t="shared" si="125"/>
        <v>0</v>
      </c>
      <c r="DO343" s="22">
        <f t="shared" si="126"/>
        <v>0</v>
      </c>
      <c r="DP343" s="264">
        <f t="shared" si="127"/>
        <v>0</v>
      </c>
      <c r="DQ343" s="27" t="s">
        <v>236</v>
      </c>
      <c r="DR343" s="263" t="str">
        <f>IF($U343="",R341,U343)</f>
        <v>組積造の外壁躯体の劣化及び損傷の状況</v>
      </c>
      <c r="DS343" s="23">
        <f t="shared" si="128"/>
        <v>0</v>
      </c>
      <c r="DT343" s="29" t="str">
        <f t="shared" si="129"/>
        <v/>
      </c>
      <c r="DU343" s="242" t="str">
        <f t="shared" si="130"/>
        <v/>
      </c>
      <c r="DV343" s="57" t="str">
        <f>IF($DT343="要是正",MAX($DV$333:DV342)+1,"")</f>
        <v/>
      </c>
      <c r="DW343" s="273" t="str">
        <f t="shared" si="131"/>
        <v/>
      </c>
      <c r="DX343" s="30" t="str">
        <f t="shared" si="192"/>
        <v/>
      </c>
      <c r="DY343" s="13" t="str">
        <f t="shared" si="132"/>
        <v/>
      </c>
      <c r="DZ343" s="121" t="str">
        <f t="shared" si="133"/>
        <v/>
      </c>
      <c r="EA343" s="206" t="str">
        <f t="shared" si="134"/>
        <v/>
      </c>
      <c r="EB343" s="138" t="str">
        <f t="shared" si="135"/>
        <v/>
      </c>
      <c r="EC343" s="131" t="str">
        <f t="shared" si="136"/>
        <v>0</v>
      </c>
      <c r="ED343" s="54" t="str">
        <f t="shared" si="137"/>
        <v/>
      </c>
      <c r="EE343" s="131" t="str">
        <f t="shared" si="193"/>
        <v>0</v>
      </c>
      <c r="EF343" s="327" t="str">
        <f t="shared" si="138"/>
        <v/>
      </c>
      <c r="EG343" s="108" t="str">
        <f t="shared" si="139"/>
        <v/>
      </c>
      <c r="EH343" s="41" t="str">
        <f t="shared" si="140"/>
        <v>0</v>
      </c>
      <c r="EI343" s="54" t="str">
        <f t="shared" si="141"/>
        <v/>
      </c>
      <c r="EJ343" s="131" t="str">
        <f t="shared" si="194"/>
        <v>0</v>
      </c>
      <c r="EK343" s="241" t="str">
        <f t="shared" si="142"/>
        <v/>
      </c>
      <c r="EL343" s="242" t="e">
        <f t="shared" si="143"/>
        <v>#N/A</v>
      </c>
      <c r="EM343" s="57" t="e">
        <f t="shared" si="144"/>
        <v>#N/A</v>
      </c>
      <c r="EN343" s="243" t="e">
        <f t="shared" si="145"/>
        <v>#N/A</v>
      </c>
      <c r="EO343" s="289">
        <v>17</v>
      </c>
      <c r="EP343" s="23" t="s">
        <v>1060</v>
      </c>
      <c r="EQ343" s="23" t="s">
        <v>1038</v>
      </c>
      <c r="ER343" s="124" t="s">
        <v>1056</v>
      </c>
      <c r="FK343" s="326" t="str">
        <f t="shared" si="146"/>
        <v/>
      </c>
      <c r="FL343" s="326" t="str">
        <f t="shared" si="147"/>
        <v/>
      </c>
      <c r="FM343" s="326" t="str">
        <f t="shared" si="148"/>
        <v/>
      </c>
      <c r="FN343" s="326">
        <f t="shared" si="149"/>
        <v>0</v>
      </c>
      <c r="FO343" s="670" t="str">
        <f t="shared" si="150"/>
        <v/>
      </c>
      <c r="FQ343" s="138" t="str">
        <f t="shared" si="151"/>
        <v/>
      </c>
      <c r="FR343" s="131" t="str">
        <f t="shared" si="152"/>
        <v>0</v>
      </c>
      <c r="FS343" s="54" t="str">
        <f t="shared" si="153"/>
        <v/>
      </c>
      <c r="FT343" s="131" t="str">
        <f t="shared" si="195"/>
        <v>0</v>
      </c>
      <c r="FU343" s="217" t="str">
        <f t="shared" si="154"/>
        <v/>
      </c>
      <c r="FW343" s="667">
        <f t="shared" si="45"/>
        <v>0</v>
      </c>
      <c r="FX343" s="32"/>
      <c r="FY343" s="32"/>
      <c r="FZ343" s="668"/>
      <c r="GA343" s="14"/>
      <c r="GB343" s="658">
        <f t="shared" si="155"/>
        <v>0</v>
      </c>
      <c r="GC343" s="658">
        <f t="shared" si="156"/>
        <v>0</v>
      </c>
      <c r="GD343" s="658">
        <f t="shared" si="157"/>
        <v>0</v>
      </c>
      <c r="GE343" s="658" t="str">
        <f t="shared" si="158"/>
        <v/>
      </c>
      <c r="GF343" s="658" t="str">
        <f t="shared" si="159"/>
        <v/>
      </c>
      <c r="GG343" s="658" t="str">
        <f t="shared" si="160"/>
        <v/>
      </c>
      <c r="GH343" s="658" t="str">
        <f t="shared" si="161"/>
        <v/>
      </c>
      <c r="GI343" s="658" t="str">
        <f t="shared" si="162"/>
        <v/>
      </c>
      <c r="GJ343" s="658" t="str">
        <f t="shared" si="163"/>
        <v/>
      </c>
      <c r="GK343" s="658" t="str">
        <f t="shared" si="164"/>
        <v/>
      </c>
      <c r="GL343" s="658" t="str">
        <f t="shared" si="165"/>
        <v/>
      </c>
      <c r="GM343" s="658" t="str">
        <f t="shared" si="166"/>
        <v/>
      </c>
      <c r="GN343" s="658" t="str">
        <f t="shared" si="167"/>
        <v/>
      </c>
      <c r="GO343" s="658" t="str">
        <f t="shared" si="168"/>
        <v/>
      </c>
      <c r="GP343" s="658" t="str">
        <f t="shared" si="169"/>
        <v/>
      </c>
      <c r="GQ343" s="658" t="str">
        <f t="shared" si="170"/>
        <v/>
      </c>
      <c r="GR343" s="658" t="str">
        <f t="shared" si="171"/>
        <v/>
      </c>
      <c r="GS343" s="658" t="str">
        <f t="shared" si="172"/>
        <v/>
      </c>
      <c r="GT343" s="658">
        <f t="shared" si="94"/>
        <v>0</v>
      </c>
      <c r="GU343" s="658">
        <f t="shared" si="95"/>
        <v>0</v>
      </c>
      <c r="GV343" s="658">
        <f t="shared" si="96"/>
        <v>0</v>
      </c>
      <c r="GW343" s="658" t="b">
        <f t="shared" si="97"/>
        <v>0</v>
      </c>
      <c r="GX343" s="658" t="b">
        <f t="shared" si="98"/>
        <v>0</v>
      </c>
      <c r="GY343" s="658" t="b">
        <f t="shared" si="99"/>
        <v>0</v>
      </c>
      <c r="GZ343" s="658" t="str">
        <f t="shared" si="173"/>
        <v/>
      </c>
      <c r="HB343" s="658" t="str">
        <f t="shared" si="101"/>
        <v/>
      </c>
      <c r="HC343" s="658" t="str">
        <f t="shared" si="174"/>
        <v/>
      </c>
      <c r="HD343" s="658" t="str">
        <f t="shared" si="175"/>
        <v/>
      </c>
      <c r="HE343" s="658" t="str">
        <f t="shared" si="176"/>
        <v/>
      </c>
      <c r="HF343" s="658" t="str">
        <f t="shared" si="177"/>
        <v/>
      </c>
      <c r="HG343" s="658" t="str">
        <f t="shared" si="178"/>
        <v/>
      </c>
      <c r="HH343" s="658" t="str">
        <f t="shared" si="179"/>
        <v/>
      </c>
      <c r="HI343" s="658" t="str">
        <f t="shared" si="180"/>
        <v/>
      </c>
      <c r="HJ343" s="658" t="str">
        <f t="shared" si="181"/>
        <v/>
      </c>
      <c r="HK343" s="658" t="str">
        <f t="shared" si="182"/>
        <v/>
      </c>
      <c r="HL343" s="658" t="str">
        <f t="shared" si="183"/>
        <v/>
      </c>
      <c r="HM343" s="658" t="str">
        <f t="shared" si="184"/>
        <v/>
      </c>
      <c r="HN343" s="658" t="str">
        <f t="shared" si="185"/>
        <v/>
      </c>
      <c r="HO343" s="658" t="str">
        <f t="shared" si="186"/>
        <v/>
      </c>
      <c r="HP343" s="658" t="str">
        <f t="shared" si="187"/>
        <v/>
      </c>
      <c r="HQ343" s="658" t="str">
        <f t="shared" si="188"/>
        <v/>
      </c>
      <c r="HR343" s="658" t="str">
        <f t="shared" si="102"/>
        <v/>
      </c>
      <c r="HT343" s="658">
        <f>LEFT(M343,1)*10000+MID(M343,3,LEN(M343)-3)*100+COUNTIF($M$319:M343,M343)</f>
        <v>20701</v>
      </c>
      <c r="HU343" s="658" t="str">
        <f t="shared" si="103"/>
        <v/>
      </c>
      <c r="HV343" s="658" t="str">
        <f t="shared" si="189"/>
        <v/>
      </c>
      <c r="HW343" s="658" t="str">
        <f t="shared" si="104"/>
        <v/>
      </c>
      <c r="HX343" s="658" t="str">
        <f t="shared" si="190"/>
        <v/>
      </c>
    </row>
    <row r="344" spans="1:232" s="19" customFormat="1" ht="50.1" customHeight="1" x14ac:dyDescent="0.15">
      <c r="A344" s="1201"/>
      <c r="B344" s="1201"/>
      <c r="C344" s="1201"/>
      <c r="D344" s="1201"/>
      <c r="E344" s="1202"/>
      <c r="F344" s="652"/>
      <c r="G344" s="652"/>
      <c r="H344" s="652"/>
      <c r="I344" s="1354"/>
      <c r="J344" s="1234"/>
      <c r="K344" s="1261"/>
      <c r="L344" s="1261"/>
      <c r="M344" s="2142" t="s">
        <v>1131</v>
      </c>
      <c r="N344" s="2142"/>
      <c r="O344" s="2143"/>
      <c r="P344" s="2461"/>
      <c r="Q344" s="2461"/>
      <c r="R344" s="2439"/>
      <c r="S344" s="2439"/>
      <c r="T344" s="2439"/>
      <c r="U344" s="2435" t="s">
        <v>59</v>
      </c>
      <c r="V344" s="2435"/>
      <c r="W344" s="2435"/>
      <c r="X344" s="2435"/>
      <c r="Y344" s="2435"/>
      <c r="Z344" s="2435"/>
      <c r="AA344" s="2435"/>
      <c r="AB344" s="2435"/>
      <c r="AC344" s="2435"/>
      <c r="AD344" s="2435"/>
      <c r="AE344" s="2435"/>
      <c r="AF344" s="2282"/>
      <c r="AG344" s="2282"/>
      <c r="AH344" s="2282"/>
      <c r="AI344" s="2282"/>
      <c r="AJ344" s="2282"/>
      <c r="AK344" s="2282"/>
      <c r="AL344" s="2282"/>
      <c r="AM344" s="2282"/>
      <c r="AN344" s="2282"/>
      <c r="AO344" s="2282"/>
      <c r="AP344" s="2282"/>
      <c r="AQ344" s="2282"/>
      <c r="AR344" s="2151"/>
      <c r="AS344" s="2151"/>
      <c r="AT344" s="2292"/>
      <c r="AU344" s="2292"/>
      <c r="AV344" s="2292"/>
      <c r="AW344" s="2292"/>
      <c r="AX344" s="2292"/>
      <c r="AY344" s="2292"/>
      <c r="AZ344" s="2292"/>
      <c r="BA344" s="2292"/>
      <c r="BB344" s="2292"/>
      <c r="BC344" s="2292"/>
      <c r="BD344" s="2292"/>
      <c r="BE344" s="2292"/>
      <c r="BF344" s="2292"/>
      <c r="BG344" s="2292"/>
      <c r="BH344" s="2292"/>
      <c r="BI344" s="2292"/>
      <c r="BJ344" s="2292"/>
      <c r="BK344" s="2292"/>
      <c r="BL344" s="2292"/>
      <c r="BM344" s="2292"/>
      <c r="BN344" s="2292"/>
      <c r="BO344" s="2292"/>
      <c r="BP344" s="2292"/>
      <c r="BQ344" s="2292"/>
      <c r="BR344" s="2292"/>
      <c r="BS344" s="2269"/>
      <c r="BT344" s="2269"/>
      <c r="BU344" s="2269"/>
      <c r="BV344" s="2269"/>
      <c r="BW344" s="2269"/>
      <c r="BX344" s="2269"/>
      <c r="BY344" s="2269"/>
      <c r="BZ344" s="2151"/>
      <c r="CA344" s="2151"/>
      <c r="CB344" s="2317"/>
      <c r="CC344" s="2174"/>
      <c r="CD344" s="2174"/>
      <c r="CE344" s="2174"/>
      <c r="CF344" s="2174"/>
      <c r="CG344" s="2174"/>
      <c r="CH344" s="2174"/>
      <c r="CI344" s="2174"/>
      <c r="CJ344" s="2174"/>
      <c r="CK344" s="2174"/>
      <c r="CL344" s="2174"/>
      <c r="CM344" s="2174"/>
      <c r="CN344" s="2174"/>
      <c r="CO344" s="2174"/>
      <c r="CP344" s="2174"/>
      <c r="CQ344" s="2174"/>
      <c r="CR344" s="2174"/>
      <c r="CS344" s="2174"/>
      <c r="CT344" s="2174"/>
      <c r="CU344" s="2318"/>
      <c r="CV344" s="2300" t="str">
        <f t="shared" si="121"/>
        <v/>
      </c>
      <c r="CW344" s="2300"/>
      <c r="CX344" s="2300"/>
      <c r="CY344" s="2300"/>
      <c r="CZ344" s="2300"/>
      <c r="DA344" s="2300"/>
      <c r="DC344" s="329" t="str">
        <f t="shared" si="191"/>
        <v/>
      </c>
      <c r="DD344" s="197"/>
      <c r="DF344" s="14"/>
      <c r="DG344" s="14"/>
      <c r="DH344" s="14"/>
      <c r="DI344" s="1596"/>
      <c r="DJ344" s="1170" t="s">
        <v>2749</v>
      </c>
      <c r="DK344" s="1604" t="str">
        <f t="shared" si="122"/>
        <v/>
      </c>
      <c r="DL344" s="437" t="str">
        <f t="shared" si="123"/>
        <v/>
      </c>
      <c r="DM344" s="1128">
        <f t="shared" si="124"/>
        <v>0</v>
      </c>
      <c r="DN344" s="22">
        <f t="shared" si="125"/>
        <v>0</v>
      </c>
      <c r="DO344" s="22">
        <f t="shared" si="126"/>
        <v>0</v>
      </c>
      <c r="DP344" s="264">
        <f t="shared" si="127"/>
        <v>0</v>
      </c>
      <c r="DQ344" s="27" t="s">
        <v>237</v>
      </c>
      <c r="DR344" s="263" t="str">
        <f>IF($U344="",R341,U344)</f>
        <v>補強コンクリートブロック造の外壁躯体の劣化及び損傷の状況</v>
      </c>
      <c r="DS344" s="23">
        <f t="shared" si="128"/>
        <v>0</v>
      </c>
      <c r="DT344" s="29" t="str">
        <f t="shared" si="129"/>
        <v/>
      </c>
      <c r="DU344" s="242" t="str">
        <f t="shared" si="130"/>
        <v/>
      </c>
      <c r="DV344" s="57" t="str">
        <f>IF($DT344="要是正",MAX($DV$333:DV343)+1,"")</f>
        <v/>
      </c>
      <c r="DW344" s="273" t="str">
        <f t="shared" si="131"/>
        <v/>
      </c>
      <c r="DX344" s="30" t="str">
        <f t="shared" si="192"/>
        <v/>
      </c>
      <c r="DY344" s="13" t="str">
        <f t="shared" si="132"/>
        <v/>
      </c>
      <c r="DZ344" s="121" t="str">
        <f t="shared" si="133"/>
        <v/>
      </c>
      <c r="EA344" s="206" t="str">
        <f t="shared" si="134"/>
        <v/>
      </c>
      <c r="EB344" s="138" t="str">
        <f t="shared" si="135"/>
        <v/>
      </c>
      <c r="EC344" s="131" t="str">
        <f t="shared" si="136"/>
        <v>0</v>
      </c>
      <c r="ED344" s="54" t="str">
        <f t="shared" si="137"/>
        <v/>
      </c>
      <c r="EE344" s="131" t="str">
        <f t="shared" si="193"/>
        <v>0</v>
      </c>
      <c r="EF344" s="327" t="str">
        <f t="shared" si="138"/>
        <v/>
      </c>
      <c r="EG344" s="108" t="str">
        <f t="shared" si="139"/>
        <v/>
      </c>
      <c r="EH344" s="41" t="str">
        <f t="shared" si="140"/>
        <v>0</v>
      </c>
      <c r="EI344" s="54" t="str">
        <f t="shared" si="141"/>
        <v/>
      </c>
      <c r="EJ344" s="131" t="str">
        <f t="shared" si="194"/>
        <v>0</v>
      </c>
      <c r="EK344" s="241" t="str">
        <f t="shared" si="142"/>
        <v/>
      </c>
      <c r="EL344" s="242" t="e">
        <f t="shared" si="143"/>
        <v>#N/A</v>
      </c>
      <c r="EM344" s="57" t="e">
        <f t="shared" si="144"/>
        <v>#N/A</v>
      </c>
      <c r="EN344" s="243" t="e">
        <f t="shared" si="145"/>
        <v>#N/A</v>
      </c>
      <c r="EO344" s="289">
        <v>18</v>
      </c>
      <c r="EP344" s="23" t="s">
        <v>1060</v>
      </c>
      <c r="EQ344" s="23" t="s">
        <v>1039</v>
      </c>
      <c r="ER344" s="124" t="s">
        <v>1057</v>
      </c>
      <c r="FK344" s="326" t="str">
        <f t="shared" si="146"/>
        <v/>
      </c>
      <c r="FL344" s="326" t="str">
        <f t="shared" si="147"/>
        <v/>
      </c>
      <c r="FM344" s="326" t="str">
        <f t="shared" si="148"/>
        <v/>
      </c>
      <c r="FN344" s="326">
        <f t="shared" si="149"/>
        <v>0</v>
      </c>
      <c r="FO344" s="670" t="str">
        <f t="shared" si="150"/>
        <v/>
      </c>
      <c r="FQ344" s="138" t="str">
        <f t="shared" si="151"/>
        <v/>
      </c>
      <c r="FR344" s="131" t="str">
        <f t="shared" si="152"/>
        <v>0</v>
      </c>
      <c r="FS344" s="54" t="str">
        <f t="shared" si="153"/>
        <v/>
      </c>
      <c r="FT344" s="131" t="str">
        <f t="shared" si="195"/>
        <v>0</v>
      </c>
      <c r="FU344" s="217" t="str">
        <f t="shared" si="154"/>
        <v/>
      </c>
      <c r="FW344" s="667">
        <f t="shared" si="45"/>
        <v>0</v>
      </c>
      <c r="FX344" s="32"/>
      <c r="FY344" s="32"/>
      <c r="FZ344" s="668"/>
      <c r="GA344" s="14"/>
      <c r="GB344" s="658">
        <f t="shared" si="155"/>
        <v>0</v>
      </c>
      <c r="GC344" s="658">
        <f t="shared" si="156"/>
        <v>0</v>
      </c>
      <c r="GD344" s="658">
        <f t="shared" si="157"/>
        <v>0</v>
      </c>
      <c r="GE344" s="658" t="str">
        <f t="shared" si="158"/>
        <v/>
      </c>
      <c r="GF344" s="658" t="str">
        <f t="shared" si="159"/>
        <v/>
      </c>
      <c r="GG344" s="658" t="str">
        <f t="shared" si="160"/>
        <v/>
      </c>
      <c r="GH344" s="658" t="str">
        <f t="shared" si="161"/>
        <v/>
      </c>
      <c r="GI344" s="658" t="str">
        <f t="shared" si="162"/>
        <v/>
      </c>
      <c r="GJ344" s="658" t="str">
        <f t="shared" si="163"/>
        <v/>
      </c>
      <c r="GK344" s="658" t="str">
        <f t="shared" si="164"/>
        <v/>
      </c>
      <c r="GL344" s="658" t="str">
        <f t="shared" si="165"/>
        <v/>
      </c>
      <c r="GM344" s="658" t="str">
        <f t="shared" si="166"/>
        <v/>
      </c>
      <c r="GN344" s="658" t="str">
        <f t="shared" si="167"/>
        <v/>
      </c>
      <c r="GO344" s="658" t="str">
        <f t="shared" si="168"/>
        <v/>
      </c>
      <c r="GP344" s="658" t="str">
        <f t="shared" si="169"/>
        <v/>
      </c>
      <c r="GQ344" s="658" t="str">
        <f t="shared" si="170"/>
        <v/>
      </c>
      <c r="GR344" s="658" t="str">
        <f t="shared" si="171"/>
        <v/>
      </c>
      <c r="GS344" s="658" t="str">
        <f t="shared" si="172"/>
        <v/>
      </c>
      <c r="GT344" s="658">
        <f t="shared" si="94"/>
        <v>0</v>
      </c>
      <c r="GU344" s="658">
        <f t="shared" si="95"/>
        <v>0</v>
      </c>
      <c r="GV344" s="658">
        <f t="shared" si="96"/>
        <v>0</v>
      </c>
      <c r="GW344" s="658" t="b">
        <f t="shared" si="97"/>
        <v>0</v>
      </c>
      <c r="GX344" s="658" t="b">
        <f t="shared" si="98"/>
        <v>0</v>
      </c>
      <c r="GY344" s="658" t="b">
        <f t="shared" si="99"/>
        <v>0</v>
      </c>
      <c r="GZ344" s="658" t="str">
        <f t="shared" si="173"/>
        <v/>
      </c>
      <c r="HB344" s="658" t="str">
        <f t="shared" si="101"/>
        <v/>
      </c>
      <c r="HC344" s="658" t="str">
        <f t="shared" si="174"/>
        <v/>
      </c>
      <c r="HD344" s="658" t="str">
        <f t="shared" si="175"/>
        <v/>
      </c>
      <c r="HE344" s="658" t="str">
        <f t="shared" si="176"/>
        <v/>
      </c>
      <c r="HF344" s="658" t="str">
        <f t="shared" si="177"/>
        <v/>
      </c>
      <c r="HG344" s="658" t="str">
        <f t="shared" si="178"/>
        <v/>
      </c>
      <c r="HH344" s="658" t="str">
        <f t="shared" si="179"/>
        <v/>
      </c>
      <c r="HI344" s="658" t="str">
        <f t="shared" si="180"/>
        <v/>
      </c>
      <c r="HJ344" s="658" t="str">
        <f t="shared" si="181"/>
        <v/>
      </c>
      <c r="HK344" s="658" t="str">
        <f t="shared" si="182"/>
        <v/>
      </c>
      <c r="HL344" s="658" t="str">
        <f t="shared" si="183"/>
        <v/>
      </c>
      <c r="HM344" s="658" t="str">
        <f t="shared" si="184"/>
        <v/>
      </c>
      <c r="HN344" s="658" t="str">
        <f t="shared" si="185"/>
        <v/>
      </c>
      <c r="HO344" s="658" t="str">
        <f t="shared" si="186"/>
        <v/>
      </c>
      <c r="HP344" s="658" t="str">
        <f t="shared" si="187"/>
        <v/>
      </c>
      <c r="HQ344" s="658" t="str">
        <f t="shared" si="188"/>
        <v/>
      </c>
      <c r="HR344" s="658" t="str">
        <f t="shared" si="102"/>
        <v/>
      </c>
      <c r="HT344" s="658">
        <f>LEFT(M344,1)*10000+MID(M344,3,LEN(M344)-3)*100+COUNTIF($M$319:M344,M344)</f>
        <v>20801</v>
      </c>
      <c r="HU344" s="658" t="str">
        <f t="shared" si="103"/>
        <v/>
      </c>
      <c r="HV344" s="658" t="str">
        <f t="shared" si="189"/>
        <v/>
      </c>
      <c r="HW344" s="658" t="str">
        <f t="shared" si="104"/>
        <v/>
      </c>
      <c r="HX344" s="658" t="str">
        <f t="shared" si="190"/>
        <v/>
      </c>
    </row>
    <row r="345" spans="1:232" s="19" customFormat="1" ht="50.1" customHeight="1" x14ac:dyDescent="0.15">
      <c r="A345" s="1201"/>
      <c r="B345" s="1201"/>
      <c r="C345" s="1201"/>
      <c r="D345" s="1201"/>
      <c r="E345" s="1202"/>
      <c r="F345" s="652"/>
      <c r="G345" s="652"/>
      <c r="H345" s="652"/>
      <c r="I345" s="1354"/>
      <c r="J345" s="1234"/>
      <c r="K345" s="1261"/>
      <c r="L345" s="1261"/>
      <c r="M345" s="2142" t="s">
        <v>1132</v>
      </c>
      <c r="N345" s="2142"/>
      <c r="O345" s="2143"/>
      <c r="P345" s="2461"/>
      <c r="Q345" s="2461"/>
      <c r="R345" s="2439"/>
      <c r="S345" s="2439"/>
      <c r="T345" s="2439"/>
      <c r="U345" s="2435" t="s">
        <v>60</v>
      </c>
      <c r="V345" s="2435"/>
      <c r="W345" s="2435"/>
      <c r="X345" s="2435"/>
      <c r="Y345" s="2435"/>
      <c r="Z345" s="2435"/>
      <c r="AA345" s="2435"/>
      <c r="AB345" s="2435"/>
      <c r="AC345" s="2435"/>
      <c r="AD345" s="2435"/>
      <c r="AE345" s="2435"/>
      <c r="AF345" s="2282"/>
      <c r="AG345" s="2282"/>
      <c r="AH345" s="2282"/>
      <c r="AI345" s="2282"/>
      <c r="AJ345" s="2282"/>
      <c r="AK345" s="2282"/>
      <c r="AL345" s="2282"/>
      <c r="AM345" s="2282"/>
      <c r="AN345" s="2282"/>
      <c r="AO345" s="2282"/>
      <c r="AP345" s="2282"/>
      <c r="AQ345" s="2282"/>
      <c r="AR345" s="2151"/>
      <c r="AS345" s="2151"/>
      <c r="AT345" s="2292"/>
      <c r="AU345" s="2292"/>
      <c r="AV345" s="2292"/>
      <c r="AW345" s="2292"/>
      <c r="AX345" s="2292"/>
      <c r="AY345" s="2292"/>
      <c r="AZ345" s="2292"/>
      <c r="BA345" s="2292"/>
      <c r="BB345" s="2292"/>
      <c r="BC345" s="2292"/>
      <c r="BD345" s="2292"/>
      <c r="BE345" s="2292"/>
      <c r="BF345" s="2292"/>
      <c r="BG345" s="2292"/>
      <c r="BH345" s="2292"/>
      <c r="BI345" s="2292"/>
      <c r="BJ345" s="2292"/>
      <c r="BK345" s="2292"/>
      <c r="BL345" s="2292"/>
      <c r="BM345" s="2292"/>
      <c r="BN345" s="2292"/>
      <c r="BO345" s="2292"/>
      <c r="BP345" s="2292"/>
      <c r="BQ345" s="2292"/>
      <c r="BR345" s="2292"/>
      <c r="BS345" s="2269"/>
      <c r="BT345" s="2269"/>
      <c r="BU345" s="2269"/>
      <c r="BV345" s="2269"/>
      <c r="BW345" s="2269"/>
      <c r="BX345" s="2269"/>
      <c r="BY345" s="2269"/>
      <c r="BZ345" s="2151"/>
      <c r="CA345" s="2151"/>
      <c r="CB345" s="2317"/>
      <c r="CC345" s="2174"/>
      <c r="CD345" s="2174"/>
      <c r="CE345" s="2174"/>
      <c r="CF345" s="2174"/>
      <c r="CG345" s="2174"/>
      <c r="CH345" s="2174"/>
      <c r="CI345" s="2174"/>
      <c r="CJ345" s="2174"/>
      <c r="CK345" s="2174"/>
      <c r="CL345" s="2174"/>
      <c r="CM345" s="2174"/>
      <c r="CN345" s="2174"/>
      <c r="CO345" s="2174"/>
      <c r="CP345" s="2174"/>
      <c r="CQ345" s="2174"/>
      <c r="CR345" s="2174"/>
      <c r="CS345" s="2174"/>
      <c r="CT345" s="2174"/>
      <c r="CU345" s="2318"/>
      <c r="CV345" s="2300" t="str">
        <f t="shared" si="121"/>
        <v/>
      </c>
      <c r="CW345" s="2300"/>
      <c r="CX345" s="2300"/>
      <c r="CY345" s="2300"/>
      <c r="CZ345" s="2300"/>
      <c r="DA345" s="2300"/>
      <c r="DC345" s="329" t="str">
        <f t="shared" si="191"/>
        <v/>
      </c>
      <c r="DD345" s="197"/>
      <c r="DF345" s="14"/>
      <c r="DG345" s="14"/>
      <c r="DH345" s="14"/>
      <c r="DI345" s="1596"/>
      <c r="DJ345" s="1170" t="s">
        <v>2749</v>
      </c>
      <c r="DK345" s="1604" t="str">
        <f t="shared" si="122"/>
        <v/>
      </c>
      <c r="DL345" s="437" t="str">
        <f t="shared" si="123"/>
        <v/>
      </c>
      <c r="DM345" s="1128">
        <f t="shared" si="124"/>
        <v>0</v>
      </c>
      <c r="DN345" s="22">
        <f t="shared" si="125"/>
        <v>0</v>
      </c>
      <c r="DO345" s="22">
        <f t="shared" si="126"/>
        <v>0</v>
      </c>
      <c r="DP345" s="264">
        <f t="shared" si="127"/>
        <v>0</v>
      </c>
      <c r="DQ345" s="27" t="s">
        <v>238</v>
      </c>
      <c r="DR345" s="263" t="str">
        <f>IF($U345="",R341,U345)</f>
        <v>鉄骨造の外壁躯体の劣化及び損傷の状況</v>
      </c>
      <c r="DS345" s="23">
        <f t="shared" si="128"/>
        <v>0</v>
      </c>
      <c r="DT345" s="29" t="str">
        <f t="shared" si="129"/>
        <v/>
      </c>
      <c r="DU345" s="242" t="str">
        <f t="shared" si="130"/>
        <v/>
      </c>
      <c r="DV345" s="57" t="str">
        <f>IF($DT345="要是正",MAX($DV$333:DV344)+1,"")</f>
        <v/>
      </c>
      <c r="DW345" s="273" t="str">
        <f t="shared" si="131"/>
        <v/>
      </c>
      <c r="DX345" s="30" t="str">
        <f t="shared" si="192"/>
        <v/>
      </c>
      <c r="DY345" s="13" t="str">
        <f t="shared" si="132"/>
        <v/>
      </c>
      <c r="DZ345" s="121" t="str">
        <f t="shared" si="133"/>
        <v/>
      </c>
      <c r="EA345" s="206" t="str">
        <f t="shared" si="134"/>
        <v/>
      </c>
      <c r="EB345" s="138" t="str">
        <f t="shared" si="135"/>
        <v/>
      </c>
      <c r="EC345" s="131" t="str">
        <f t="shared" si="136"/>
        <v>0</v>
      </c>
      <c r="ED345" s="54" t="str">
        <f t="shared" si="137"/>
        <v/>
      </c>
      <c r="EE345" s="131" t="str">
        <f t="shared" si="193"/>
        <v>0</v>
      </c>
      <c r="EF345" s="327" t="str">
        <f t="shared" si="138"/>
        <v/>
      </c>
      <c r="EG345" s="108" t="str">
        <f t="shared" si="139"/>
        <v/>
      </c>
      <c r="EH345" s="41" t="str">
        <f t="shared" si="140"/>
        <v>0</v>
      </c>
      <c r="EI345" s="54" t="str">
        <f t="shared" si="141"/>
        <v/>
      </c>
      <c r="EJ345" s="131" t="str">
        <f t="shared" si="194"/>
        <v>0</v>
      </c>
      <c r="EK345" s="241" t="str">
        <f t="shared" si="142"/>
        <v/>
      </c>
      <c r="EL345" s="242" t="e">
        <f t="shared" si="143"/>
        <v>#N/A</v>
      </c>
      <c r="EM345" s="57" t="e">
        <f t="shared" si="144"/>
        <v>#N/A</v>
      </c>
      <c r="EN345" s="243" t="e">
        <f t="shared" si="145"/>
        <v>#N/A</v>
      </c>
      <c r="EO345" s="289">
        <v>19</v>
      </c>
      <c r="EP345" s="23" t="s">
        <v>1060</v>
      </c>
      <c r="EQ345" s="23" t="s">
        <v>1040</v>
      </c>
      <c r="ER345" s="124" t="s">
        <v>1058</v>
      </c>
      <c r="FK345" s="326" t="str">
        <f t="shared" si="146"/>
        <v/>
      </c>
      <c r="FL345" s="326" t="str">
        <f t="shared" si="147"/>
        <v/>
      </c>
      <c r="FM345" s="326" t="str">
        <f t="shared" si="148"/>
        <v/>
      </c>
      <c r="FN345" s="326">
        <f t="shared" si="149"/>
        <v>0</v>
      </c>
      <c r="FO345" s="670" t="str">
        <f t="shared" si="150"/>
        <v/>
      </c>
      <c r="FQ345" s="138" t="str">
        <f t="shared" si="151"/>
        <v/>
      </c>
      <c r="FR345" s="131" t="str">
        <f t="shared" si="152"/>
        <v>0</v>
      </c>
      <c r="FS345" s="54" t="str">
        <f t="shared" si="153"/>
        <v/>
      </c>
      <c r="FT345" s="131" t="str">
        <f t="shared" si="195"/>
        <v>0</v>
      </c>
      <c r="FU345" s="217" t="str">
        <f t="shared" si="154"/>
        <v/>
      </c>
      <c r="FW345" s="667">
        <f t="shared" si="45"/>
        <v>0</v>
      </c>
      <c r="FX345" s="32"/>
      <c r="FY345" s="32"/>
      <c r="FZ345" s="668"/>
      <c r="GA345" s="14"/>
      <c r="GB345" s="658">
        <f t="shared" si="155"/>
        <v>0</v>
      </c>
      <c r="GC345" s="658">
        <f t="shared" si="156"/>
        <v>0</v>
      </c>
      <c r="GD345" s="658">
        <f t="shared" si="157"/>
        <v>0</v>
      </c>
      <c r="GE345" s="658" t="str">
        <f t="shared" si="158"/>
        <v/>
      </c>
      <c r="GF345" s="658" t="str">
        <f t="shared" si="159"/>
        <v/>
      </c>
      <c r="GG345" s="658" t="str">
        <f t="shared" si="160"/>
        <v/>
      </c>
      <c r="GH345" s="658" t="str">
        <f t="shared" si="161"/>
        <v/>
      </c>
      <c r="GI345" s="658" t="str">
        <f t="shared" si="162"/>
        <v/>
      </c>
      <c r="GJ345" s="658" t="str">
        <f t="shared" si="163"/>
        <v/>
      </c>
      <c r="GK345" s="658" t="str">
        <f t="shared" si="164"/>
        <v/>
      </c>
      <c r="GL345" s="658" t="str">
        <f t="shared" si="165"/>
        <v/>
      </c>
      <c r="GM345" s="658" t="str">
        <f t="shared" si="166"/>
        <v/>
      </c>
      <c r="GN345" s="658" t="str">
        <f t="shared" si="167"/>
        <v/>
      </c>
      <c r="GO345" s="658" t="str">
        <f t="shared" si="168"/>
        <v/>
      </c>
      <c r="GP345" s="658" t="str">
        <f t="shared" si="169"/>
        <v/>
      </c>
      <c r="GQ345" s="658" t="str">
        <f t="shared" si="170"/>
        <v/>
      </c>
      <c r="GR345" s="658" t="str">
        <f t="shared" si="171"/>
        <v/>
      </c>
      <c r="GS345" s="658" t="str">
        <f t="shared" si="172"/>
        <v/>
      </c>
      <c r="GT345" s="658">
        <f t="shared" si="94"/>
        <v>0</v>
      </c>
      <c r="GU345" s="658">
        <f t="shared" si="95"/>
        <v>0</v>
      </c>
      <c r="GV345" s="658">
        <f t="shared" si="96"/>
        <v>0</v>
      </c>
      <c r="GW345" s="658" t="b">
        <f t="shared" si="97"/>
        <v>0</v>
      </c>
      <c r="GX345" s="658" t="b">
        <f t="shared" si="98"/>
        <v>0</v>
      </c>
      <c r="GY345" s="658" t="b">
        <f t="shared" si="99"/>
        <v>0</v>
      </c>
      <c r="GZ345" s="658" t="str">
        <f t="shared" si="173"/>
        <v/>
      </c>
      <c r="HB345" s="658" t="str">
        <f t="shared" si="101"/>
        <v/>
      </c>
      <c r="HC345" s="658" t="str">
        <f t="shared" si="174"/>
        <v/>
      </c>
      <c r="HD345" s="658" t="str">
        <f t="shared" si="175"/>
        <v/>
      </c>
      <c r="HE345" s="658" t="str">
        <f t="shared" si="176"/>
        <v/>
      </c>
      <c r="HF345" s="658" t="str">
        <f t="shared" si="177"/>
        <v/>
      </c>
      <c r="HG345" s="658" t="str">
        <f t="shared" si="178"/>
        <v/>
      </c>
      <c r="HH345" s="658" t="str">
        <f t="shared" si="179"/>
        <v/>
      </c>
      <c r="HI345" s="658" t="str">
        <f t="shared" si="180"/>
        <v/>
      </c>
      <c r="HJ345" s="658" t="str">
        <f t="shared" si="181"/>
        <v/>
      </c>
      <c r="HK345" s="658" t="str">
        <f t="shared" si="182"/>
        <v/>
      </c>
      <c r="HL345" s="658" t="str">
        <f t="shared" si="183"/>
        <v/>
      </c>
      <c r="HM345" s="658" t="str">
        <f t="shared" si="184"/>
        <v/>
      </c>
      <c r="HN345" s="658" t="str">
        <f t="shared" si="185"/>
        <v/>
      </c>
      <c r="HO345" s="658" t="str">
        <f t="shared" si="186"/>
        <v/>
      </c>
      <c r="HP345" s="658" t="str">
        <f t="shared" si="187"/>
        <v/>
      </c>
      <c r="HQ345" s="658" t="str">
        <f t="shared" si="188"/>
        <v/>
      </c>
      <c r="HR345" s="658" t="str">
        <f t="shared" si="102"/>
        <v/>
      </c>
      <c r="HT345" s="658">
        <f>LEFT(M345,1)*10000+MID(M345,3,LEN(M345)-3)*100+COUNTIF($M$319:M345,M345)</f>
        <v>20901</v>
      </c>
      <c r="HU345" s="658" t="str">
        <f t="shared" si="103"/>
        <v/>
      </c>
      <c r="HV345" s="658" t="str">
        <f t="shared" si="189"/>
        <v/>
      </c>
      <c r="HW345" s="658" t="str">
        <f t="shared" si="104"/>
        <v/>
      </c>
      <c r="HX345" s="658" t="str">
        <f t="shared" si="190"/>
        <v/>
      </c>
    </row>
    <row r="346" spans="1:232" s="19" customFormat="1" ht="50.1" customHeight="1" thickBot="1" x14ac:dyDescent="0.2">
      <c r="A346" s="1201"/>
      <c r="B346" s="1201"/>
      <c r="C346" s="1201"/>
      <c r="D346" s="1201"/>
      <c r="E346" s="1202"/>
      <c r="F346" s="652"/>
      <c r="G346" s="652"/>
      <c r="H346" s="652"/>
      <c r="I346" s="1354"/>
      <c r="J346" s="1234"/>
      <c r="K346" s="1261"/>
      <c r="L346" s="1261"/>
      <c r="M346" s="2142" t="s">
        <v>1133</v>
      </c>
      <c r="N346" s="2142"/>
      <c r="O346" s="2143"/>
      <c r="P346" s="2461"/>
      <c r="Q346" s="2461"/>
      <c r="R346" s="2439"/>
      <c r="S346" s="2439"/>
      <c r="T346" s="2439"/>
      <c r="U346" s="2445" t="s">
        <v>61</v>
      </c>
      <c r="V346" s="2445"/>
      <c r="W346" s="2445"/>
      <c r="X346" s="2445"/>
      <c r="Y346" s="2445"/>
      <c r="Z346" s="2445"/>
      <c r="AA346" s="2445"/>
      <c r="AB346" s="2445"/>
      <c r="AC346" s="2445"/>
      <c r="AD346" s="2445"/>
      <c r="AE346" s="2445"/>
      <c r="AF346" s="2459"/>
      <c r="AG346" s="2459"/>
      <c r="AH346" s="2459"/>
      <c r="AI346" s="2459"/>
      <c r="AJ346" s="2459"/>
      <c r="AK346" s="2459"/>
      <c r="AL346" s="2459"/>
      <c r="AM346" s="2459"/>
      <c r="AN346" s="2459"/>
      <c r="AO346" s="2459"/>
      <c r="AP346" s="2459"/>
      <c r="AQ346" s="2459"/>
      <c r="AR346" s="2152"/>
      <c r="AS346" s="2152"/>
      <c r="AT346" s="2432"/>
      <c r="AU346" s="2432"/>
      <c r="AV346" s="2432"/>
      <c r="AW346" s="2432"/>
      <c r="AX346" s="2432"/>
      <c r="AY346" s="2432"/>
      <c r="AZ346" s="2432"/>
      <c r="BA346" s="2432"/>
      <c r="BB346" s="2432"/>
      <c r="BC346" s="2432"/>
      <c r="BD346" s="2432"/>
      <c r="BE346" s="2432"/>
      <c r="BF346" s="2432"/>
      <c r="BG346" s="2432"/>
      <c r="BH346" s="2432"/>
      <c r="BI346" s="2432"/>
      <c r="BJ346" s="2432"/>
      <c r="BK346" s="2432"/>
      <c r="BL346" s="2432"/>
      <c r="BM346" s="2432"/>
      <c r="BN346" s="2432"/>
      <c r="BO346" s="2432"/>
      <c r="BP346" s="2432"/>
      <c r="BQ346" s="2432"/>
      <c r="BR346" s="2432"/>
      <c r="BS346" s="2270"/>
      <c r="BT346" s="2270"/>
      <c r="BU346" s="2270"/>
      <c r="BV346" s="2270"/>
      <c r="BW346" s="2270"/>
      <c r="BX346" s="2270"/>
      <c r="BY346" s="2270"/>
      <c r="BZ346" s="2152"/>
      <c r="CA346" s="2152"/>
      <c r="CB346" s="2736"/>
      <c r="CC346" s="2737"/>
      <c r="CD346" s="2737"/>
      <c r="CE346" s="2737"/>
      <c r="CF346" s="2737"/>
      <c r="CG346" s="2737"/>
      <c r="CH346" s="2737"/>
      <c r="CI346" s="2737"/>
      <c r="CJ346" s="2737"/>
      <c r="CK346" s="2737"/>
      <c r="CL346" s="2737"/>
      <c r="CM346" s="2737"/>
      <c r="CN346" s="2737"/>
      <c r="CO346" s="2737"/>
      <c r="CP346" s="2737"/>
      <c r="CQ346" s="2737"/>
      <c r="CR346" s="2737"/>
      <c r="CS346" s="2737"/>
      <c r="CT346" s="2737"/>
      <c r="CU346" s="2738"/>
      <c r="CV346" s="2300" t="str">
        <f t="shared" si="121"/>
        <v/>
      </c>
      <c r="CW346" s="2300"/>
      <c r="CX346" s="2300"/>
      <c r="CY346" s="2300"/>
      <c r="CZ346" s="2300"/>
      <c r="DA346" s="2300"/>
      <c r="DC346" s="329" t="str">
        <f t="shared" si="191"/>
        <v/>
      </c>
      <c r="DD346" s="197"/>
      <c r="DF346" s="14"/>
      <c r="DG346" s="14"/>
      <c r="DH346" s="14"/>
      <c r="DI346" s="1596"/>
      <c r="DJ346" s="1170" t="s">
        <v>2749</v>
      </c>
      <c r="DK346" s="1604" t="str">
        <f t="shared" si="122"/>
        <v/>
      </c>
      <c r="DL346" s="437" t="str">
        <f t="shared" si="123"/>
        <v/>
      </c>
      <c r="DM346" s="1128">
        <f t="shared" si="124"/>
        <v>0</v>
      </c>
      <c r="DN346" s="22">
        <f t="shared" si="125"/>
        <v>0</v>
      </c>
      <c r="DO346" s="22">
        <f t="shared" si="126"/>
        <v>0</v>
      </c>
      <c r="DP346" s="264">
        <f t="shared" si="127"/>
        <v>0</v>
      </c>
      <c r="DQ346" s="28" t="s">
        <v>239</v>
      </c>
      <c r="DR346" s="263" t="str">
        <f>IF($U346="",R341,U346)</f>
        <v>鉄筋コンクリート造及び鉄骨鉄筋コンクリート造の外壁躯体の劣化及び損傷の状況</v>
      </c>
      <c r="DS346" s="23">
        <f t="shared" si="128"/>
        <v>0</v>
      </c>
      <c r="DT346" s="29" t="str">
        <f t="shared" si="129"/>
        <v/>
      </c>
      <c r="DU346" s="242" t="str">
        <f t="shared" si="130"/>
        <v/>
      </c>
      <c r="DV346" s="57" t="str">
        <f>IF($DT346="要是正",MAX($DV$333:DV345)+1,"")</f>
        <v/>
      </c>
      <c r="DW346" s="273" t="str">
        <f t="shared" si="131"/>
        <v/>
      </c>
      <c r="DX346" s="30" t="str">
        <f>IF(OR($DT346="要是正",$DT346="既存不適格"),$DR346,"")</f>
        <v/>
      </c>
      <c r="DY346" s="13" t="str">
        <f t="shared" si="132"/>
        <v/>
      </c>
      <c r="DZ346" s="121" t="str">
        <f t="shared" si="133"/>
        <v/>
      </c>
      <c r="EA346" s="206" t="str">
        <f t="shared" si="134"/>
        <v/>
      </c>
      <c r="EB346" s="138" t="str">
        <f t="shared" si="135"/>
        <v/>
      </c>
      <c r="EC346" s="131" t="str">
        <f t="shared" si="136"/>
        <v>0</v>
      </c>
      <c r="ED346" s="54" t="str">
        <f t="shared" si="137"/>
        <v/>
      </c>
      <c r="EE346" s="131" t="str">
        <f t="shared" si="193"/>
        <v>0</v>
      </c>
      <c r="EF346" s="327" t="str">
        <f t="shared" si="138"/>
        <v/>
      </c>
      <c r="EG346" s="108" t="str">
        <f t="shared" si="139"/>
        <v/>
      </c>
      <c r="EH346" s="41" t="str">
        <f t="shared" si="140"/>
        <v>0</v>
      </c>
      <c r="EI346" s="54" t="str">
        <f t="shared" si="141"/>
        <v/>
      </c>
      <c r="EJ346" s="131" t="str">
        <f t="shared" si="194"/>
        <v>0</v>
      </c>
      <c r="EK346" s="241" t="str">
        <f t="shared" si="142"/>
        <v/>
      </c>
      <c r="EL346" s="242" t="e">
        <f t="shared" si="143"/>
        <v>#N/A</v>
      </c>
      <c r="EM346" s="57" t="e">
        <f t="shared" si="144"/>
        <v>#N/A</v>
      </c>
      <c r="EN346" s="243" t="e">
        <f t="shared" si="145"/>
        <v>#N/A</v>
      </c>
      <c r="EO346" s="290">
        <v>20</v>
      </c>
      <c r="EP346" s="125" t="s">
        <v>1060</v>
      </c>
      <c r="EQ346" s="125" t="s">
        <v>1041</v>
      </c>
      <c r="ER346" s="126" t="s">
        <v>1059</v>
      </c>
      <c r="FK346" s="326" t="str">
        <f t="shared" si="146"/>
        <v/>
      </c>
      <c r="FL346" s="326" t="str">
        <f t="shared" si="147"/>
        <v/>
      </c>
      <c r="FM346" s="326" t="str">
        <f t="shared" si="148"/>
        <v/>
      </c>
      <c r="FN346" s="326">
        <f t="shared" si="149"/>
        <v>0</v>
      </c>
      <c r="FO346" s="670" t="str">
        <f t="shared" si="150"/>
        <v/>
      </c>
      <c r="FQ346" s="138" t="str">
        <f t="shared" si="151"/>
        <v/>
      </c>
      <c r="FR346" s="131" t="str">
        <f t="shared" si="152"/>
        <v>0</v>
      </c>
      <c r="FS346" s="54" t="str">
        <f t="shared" si="153"/>
        <v/>
      </c>
      <c r="FT346" s="131" t="str">
        <f t="shared" si="195"/>
        <v>0</v>
      </c>
      <c r="FU346" s="217" t="str">
        <f t="shared" si="154"/>
        <v/>
      </c>
      <c r="FW346" s="667">
        <f t="shared" si="45"/>
        <v>0</v>
      </c>
      <c r="FX346" s="32"/>
      <c r="FY346" s="32"/>
      <c r="FZ346" s="668"/>
      <c r="GA346" s="14"/>
      <c r="GB346" s="658">
        <f t="shared" si="155"/>
        <v>0</v>
      </c>
      <c r="GC346" s="658">
        <f t="shared" si="156"/>
        <v>0</v>
      </c>
      <c r="GD346" s="658">
        <f t="shared" si="157"/>
        <v>0</v>
      </c>
      <c r="GE346" s="658" t="str">
        <f t="shared" si="158"/>
        <v/>
      </c>
      <c r="GF346" s="658" t="str">
        <f t="shared" si="159"/>
        <v/>
      </c>
      <c r="GG346" s="658" t="str">
        <f t="shared" si="160"/>
        <v/>
      </c>
      <c r="GH346" s="658" t="str">
        <f t="shared" si="161"/>
        <v/>
      </c>
      <c r="GI346" s="658" t="str">
        <f t="shared" si="162"/>
        <v/>
      </c>
      <c r="GJ346" s="658" t="str">
        <f t="shared" si="163"/>
        <v/>
      </c>
      <c r="GK346" s="658" t="str">
        <f t="shared" si="164"/>
        <v/>
      </c>
      <c r="GL346" s="658" t="str">
        <f t="shared" si="165"/>
        <v/>
      </c>
      <c r="GM346" s="658" t="str">
        <f t="shared" si="166"/>
        <v/>
      </c>
      <c r="GN346" s="658" t="str">
        <f t="shared" si="167"/>
        <v/>
      </c>
      <c r="GO346" s="658" t="str">
        <f t="shared" si="168"/>
        <v/>
      </c>
      <c r="GP346" s="658" t="str">
        <f t="shared" si="169"/>
        <v/>
      </c>
      <c r="GQ346" s="658" t="str">
        <f t="shared" si="170"/>
        <v/>
      </c>
      <c r="GR346" s="658" t="str">
        <f t="shared" si="171"/>
        <v/>
      </c>
      <c r="GS346" s="658" t="str">
        <f t="shared" si="172"/>
        <v/>
      </c>
      <c r="GT346" s="658">
        <f t="shared" si="94"/>
        <v>0</v>
      </c>
      <c r="GU346" s="658">
        <f t="shared" si="95"/>
        <v>0</v>
      </c>
      <c r="GV346" s="658">
        <f t="shared" si="96"/>
        <v>0</v>
      </c>
      <c r="GW346" s="658" t="b">
        <f t="shared" si="97"/>
        <v>0</v>
      </c>
      <c r="GX346" s="658" t="b">
        <f t="shared" si="98"/>
        <v>0</v>
      </c>
      <c r="GY346" s="658" t="b">
        <f t="shared" si="99"/>
        <v>0</v>
      </c>
      <c r="GZ346" s="658" t="str">
        <f t="shared" si="173"/>
        <v/>
      </c>
      <c r="HB346" s="658" t="str">
        <f t="shared" si="101"/>
        <v/>
      </c>
      <c r="HC346" s="658" t="str">
        <f t="shared" si="174"/>
        <v/>
      </c>
      <c r="HD346" s="658" t="str">
        <f t="shared" si="175"/>
        <v/>
      </c>
      <c r="HE346" s="658" t="str">
        <f t="shared" si="176"/>
        <v/>
      </c>
      <c r="HF346" s="658" t="str">
        <f t="shared" si="177"/>
        <v/>
      </c>
      <c r="HG346" s="658" t="str">
        <f t="shared" si="178"/>
        <v/>
      </c>
      <c r="HH346" s="658" t="str">
        <f t="shared" si="179"/>
        <v/>
      </c>
      <c r="HI346" s="658" t="str">
        <f t="shared" si="180"/>
        <v/>
      </c>
      <c r="HJ346" s="658" t="str">
        <f t="shared" si="181"/>
        <v/>
      </c>
      <c r="HK346" s="658" t="str">
        <f t="shared" si="182"/>
        <v/>
      </c>
      <c r="HL346" s="658" t="str">
        <f t="shared" si="183"/>
        <v/>
      </c>
      <c r="HM346" s="658" t="str">
        <f t="shared" si="184"/>
        <v/>
      </c>
      <c r="HN346" s="658" t="str">
        <f t="shared" si="185"/>
        <v/>
      </c>
      <c r="HO346" s="658" t="str">
        <f t="shared" si="186"/>
        <v/>
      </c>
      <c r="HP346" s="658" t="str">
        <f t="shared" si="187"/>
        <v/>
      </c>
      <c r="HQ346" s="658" t="str">
        <f t="shared" si="188"/>
        <v/>
      </c>
      <c r="HR346" s="658" t="str">
        <f t="shared" si="102"/>
        <v/>
      </c>
      <c r="HT346" s="658">
        <f>LEFT(M346,1)*10000+MID(M346,3,LEN(M346)-3)*100+COUNTIF($M$319:M346,M346)</f>
        <v>21001</v>
      </c>
      <c r="HU346" s="658" t="str">
        <f t="shared" si="103"/>
        <v/>
      </c>
      <c r="HV346" s="658" t="str">
        <f t="shared" si="189"/>
        <v/>
      </c>
      <c r="HW346" s="658" t="str">
        <f t="shared" si="104"/>
        <v/>
      </c>
      <c r="HX346" s="658" t="str">
        <f t="shared" si="190"/>
        <v/>
      </c>
    </row>
    <row r="347" spans="1:232" s="19" customFormat="1" ht="50.1" customHeight="1" x14ac:dyDescent="0.15">
      <c r="A347" s="1201"/>
      <c r="B347" s="1201"/>
      <c r="C347" s="1201"/>
      <c r="D347" s="1201"/>
      <c r="E347" s="1202"/>
      <c r="F347" s="652"/>
      <c r="G347" s="652"/>
      <c r="H347" s="652"/>
      <c r="I347" s="1354"/>
      <c r="J347" s="1234"/>
      <c r="K347" s="1261"/>
      <c r="L347" s="1261"/>
      <c r="M347" s="2142" t="s">
        <v>1134</v>
      </c>
      <c r="N347" s="2142"/>
      <c r="O347" s="2143"/>
      <c r="P347" s="2461"/>
      <c r="Q347" s="2461"/>
      <c r="R347" s="2429" t="s">
        <v>62</v>
      </c>
      <c r="S347" s="2439"/>
      <c r="T347" s="2439"/>
      <c r="U347" s="2438" t="s">
        <v>207</v>
      </c>
      <c r="V347" s="2438"/>
      <c r="W347" s="2438"/>
      <c r="X347" s="2438"/>
      <c r="Y347" s="2438"/>
      <c r="Z347" s="2438"/>
      <c r="AA347" s="2438"/>
      <c r="AB347" s="2438"/>
      <c r="AC347" s="2438"/>
      <c r="AD347" s="2438"/>
      <c r="AE347" s="2438"/>
      <c r="AF347" s="2302"/>
      <c r="AG347" s="2302"/>
      <c r="AH347" s="2302"/>
      <c r="AI347" s="2302"/>
      <c r="AJ347" s="2302"/>
      <c r="AK347" s="2302"/>
      <c r="AL347" s="2302"/>
      <c r="AM347" s="2302"/>
      <c r="AN347" s="2302"/>
      <c r="AO347" s="2302"/>
      <c r="AP347" s="2302"/>
      <c r="AQ347" s="2302"/>
      <c r="AR347" s="2272"/>
      <c r="AS347" s="2272"/>
      <c r="AT347" s="2406"/>
      <c r="AU347" s="2406"/>
      <c r="AV347" s="2406"/>
      <c r="AW347" s="2406"/>
      <c r="AX347" s="2406"/>
      <c r="AY347" s="2406"/>
      <c r="AZ347" s="2406"/>
      <c r="BA347" s="2406"/>
      <c r="BB347" s="2406"/>
      <c r="BC347" s="2406"/>
      <c r="BD347" s="2406"/>
      <c r="BE347" s="2406"/>
      <c r="BF347" s="2406"/>
      <c r="BG347" s="2406"/>
      <c r="BH347" s="2406"/>
      <c r="BI347" s="2406"/>
      <c r="BJ347" s="2406"/>
      <c r="BK347" s="2406"/>
      <c r="BL347" s="2406"/>
      <c r="BM347" s="2406"/>
      <c r="BN347" s="2406"/>
      <c r="BO347" s="2406"/>
      <c r="BP347" s="2406"/>
      <c r="BQ347" s="2406"/>
      <c r="BR347" s="2406"/>
      <c r="BS347" s="2271"/>
      <c r="BT347" s="2271"/>
      <c r="BU347" s="2271"/>
      <c r="BV347" s="2271"/>
      <c r="BW347" s="2271"/>
      <c r="BX347" s="2271"/>
      <c r="BY347" s="2271"/>
      <c r="BZ347" s="2272"/>
      <c r="CA347" s="2272"/>
      <c r="CB347" s="2878" t="str">
        <f>IF(DP273=1,"19外装仕上げ材等についてに未使用と記載あり","")</f>
        <v/>
      </c>
      <c r="CC347" s="2879"/>
      <c r="CD347" s="2879"/>
      <c r="CE347" s="2879"/>
      <c r="CF347" s="2879"/>
      <c r="CG347" s="2879"/>
      <c r="CH347" s="2879"/>
      <c r="CI347" s="2879"/>
      <c r="CJ347" s="2879"/>
      <c r="CK347" s="2879"/>
      <c r="CL347" s="2879"/>
      <c r="CM347" s="2879"/>
      <c r="CN347" s="2879"/>
      <c r="CO347" s="2879"/>
      <c r="CP347" s="2879"/>
      <c r="CQ347" s="2879"/>
      <c r="CR347" s="2879"/>
      <c r="CS347" s="2879"/>
      <c r="CT347" s="2879"/>
      <c r="CU347" s="2880"/>
      <c r="CV347" s="2300" t="str">
        <f t="shared" si="121"/>
        <v/>
      </c>
      <c r="CW347" s="2300"/>
      <c r="CX347" s="2300"/>
      <c r="CY347" s="2300"/>
      <c r="CZ347" s="2300"/>
      <c r="DA347" s="2300"/>
      <c r="DC347" s="329" t="str">
        <f t="shared" si="191"/>
        <v/>
      </c>
      <c r="DD347" s="197"/>
      <c r="DF347" s="14"/>
      <c r="DG347" s="14"/>
      <c r="DH347" s="14"/>
      <c r="DI347" s="1596"/>
      <c r="DJ347" s="1170" t="s">
        <v>2749</v>
      </c>
      <c r="DK347" s="1604" t="str">
        <f t="shared" si="122"/>
        <v/>
      </c>
      <c r="DL347" s="437" t="str">
        <f t="shared" si="123"/>
        <v/>
      </c>
      <c r="DM347" s="1128">
        <f t="shared" si="124"/>
        <v>0</v>
      </c>
      <c r="DN347" s="22">
        <f t="shared" si="125"/>
        <v>0</v>
      </c>
      <c r="DO347" s="22">
        <f t="shared" si="126"/>
        <v>0</v>
      </c>
      <c r="DP347" s="264">
        <f t="shared" si="127"/>
        <v>0</v>
      </c>
      <c r="DQ347" s="27" t="s">
        <v>240</v>
      </c>
      <c r="DR347" s="263" t="str">
        <f>IF($U347="",R347,U347)</f>
        <v>タイル、石貼り等（乾式工法によるものを除く。）、モルタル等の劣化及び損傷の状況</v>
      </c>
      <c r="DS347" s="23">
        <f t="shared" si="128"/>
        <v>0</v>
      </c>
      <c r="DT347" s="29" t="str">
        <f t="shared" si="129"/>
        <v/>
      </c>
      <c r="DU347" s="242" t="str">
        <f t="shared" si="130"/>
        <v/>
      </c>
      <c r="DV347" s="57" t="str">
        <f>IF($DT347="要是正",MAX($DV$333:DV346)+1,"")</f>
        <v/>
      </c>
      <c r="DW347" s="273" t="str">
        <f t="shared" si="131"/>
        <v/>
      </c>
      <c r="DX347" s="30" t="str">
        <f t="shared" si="192"/>
        <v/>
      </c>
      <c r="DY347" s="13" t="str">
        <f t="shared" si="132"/>
        <v/>
      </c>
      <c r="DZ347" s="121" t="str">
        <f t="shared" si="133"/>
        <v/>
      </c>
      <c r="EA347" s="206" t="str">
        <f t="shared" si="134"/>
        <v/>
      </c>
      <c r="EB347" s="138" t="str">
        <f t="shared" si="135"/>
        <v/>
      </c>
      <c r="EC347" s="131" t="str">
        <f t="shared" si="136"/>
        <v>0</v>
      </c>
      <c r="ED347" s="54" t="str">
        <f t="shared" si="137"/>
        <v/>
      </c>
      <c r="EE347" s="131" t="str">
        <f t="shared" si="193"/>
        <v>0</v>
      </c>
      <c r="EF347" s="327" t="str">
        <f t="shared" si="138"/>
        <v/>
      </c>
      <c r="EG347" s="108" t="str">
        <f t="shared" si="139"/>
        <v/>
      </c>
      <c r="EH347" s="41" t="str">
        <f t="shared" si="140"/>
        <v>0</v>
      </c>
      <c r="EI347" s="54" t="str">
        <f t="shared" si="141"/>
        <v/>
      </c>
      <c r="EJ347" s="131" t="str">
        <f t="shared" si="194"/>
        <v>0</v>
      </c>
      <c r="EK347" s="241" t="str">
        <f t="shared" si="142"/>
        <v/>
      </c>
      <c r="EL347" s="242" t="e">
        <f t="shared" si="143"/>
        <v>#N/A</v>
      </c>
      <c r="EM347" s="57" t="e">
        <f t="shared" si="144"/>
        <v>#N/A</v>
      </c>
      <c r="EN347" s="243" t="e">
        <f t="shared" si="145"/>
        <v>#N/A</v>
      </c>
      <c r="FK347" s="326" t="str">
        <f t="shared" si="146"/>
        <v/>
      </c>
      <c r="FL347" s="326" t="str">
        <f t="shared" si="147"/>
        <v/>
      </c>
      <c r="FM347" s="326" t="str">
        <f t="shared" si="148"/>
        <v/>
      </c>
      <c r="FN347" s="326">
        <f t="shared" si="149"/>
        <v>0</v>
      </c>
      <c r="FO347" s="670" t="str">
        <f t="shared" si="150"/>
        <v/>
      </c>
      <c r="FQ347" s="138" t="str">
        <f t="shared" si="151"/>
        <v/>
      </c>
      <c r="FR347" s="131" t="str">
        <f t="shared" si="152"/>
        <v>0</v>
      </c>
      <c r="FS347" s="54" t="str">
        <f t="shared" si="153"/>
        <v/>
      </c>
      <c r="FT347" s="131" t="str">
        <f t="shared" si="195"/>
        <v>0</v>
      </c>
      <c r="FU347" s="217" t="str">
        <f t="shared" si="154"/>
        <v/>
      </c>
      <c r="FW347" s="667">
        <f t="shared" si="45"/>
        <v>0</v>
      </c>
      <c r="FX347" s="32"/>
      <c r="FY347" s="32"/>
      <c r="FZ347" s="668"/>
      <c r="GA347" s="14"/>
      <c r="GB347" s="658">
        <f t="shared" si="155"/>
        <v>0</v>
      </c>
      <c r="GC347" s="658">
        <f t="shared" si="156"/>
        <v>0</v>
      </c>
      <c r="GD347" s="658">
        <f t="shared" si="157"/>
        <v>0</v>
      </c>
      <c r="GE347" s="658" t="str">
        <f t="shared" si="158"/>
        <v/>
      </c>
      <c r="GF347" s="658" t="str">
        <f t="shared" si="159"/>
        <v/>
      </c>
      <c r="GG347" s="658" t="str">
        <f t="shared" si="160"/>
        <v/>
      </c>
      <c r="GH347" s="658" t="str">
        <f t="shared" si="161"/>
        <v/>
      </c>
      <c r="GI347" s="658" t="str">
        <f t="shared" si="162"/>
        <v/>
      </c>
      <c r="GJ347" s="658" t="str">
        <f t="shared" si="163"/>
        <v/>
      </c>
      <c r="GK347" s="658" t="str">
        <f t="shared" si="164"/>
        <v/>
      </c>
      <c r="GL347" s="658" t="str">
        <f t="shared" si="165"/>
        <v/>
      </c>
      <c r="GM347" s="658" t="str">
        <f t="shared" si="166"/>
        <v/>
      </c>
      <c r="GN347" s="658" t="str">
        <f t="shared" si="167"/>
        <v/>
      </c>
      <c r="GO347" s="658" t="str">
        <f t="shared" si="168"/>
        <v/>
      </c>
      <c r="GP347" s="658" t="str">
        <f t="shared" si="169"/>
        <v/>
      </c>
      <c r="GQ347" s="658" t="str">
        <f t="shared" si="170"/>
        <v/>
      </c>
      <c r="GR347" s="658" t="str">
        <f t="shared" si="171"/>
        <v/>
      </c>
      <c r="GS347" s="658" t="str">
        <f t="shared" si="172"/>
        <v/>
      </c>
      <c r="GT347" s="658">
        <f t="shared" si="94"/>
        <v>0</v>
      </c>
      <c r="GU347" s="658">
        <f t="shared" si="95"/>
        <v>0</v>
      </c>
      <c r="GV347" s="658">
        <f t="shared" si="96"/>
        <v>0</v>
      </c>
      <c r="GW347" s="658" t="b">
        <f t="shared" si="97"/>
        <v>0</v>
      </c>
      <c r="GX347" s="658" t="b">
        <f t="shared" si="98"/>
        <v>0</v>
      </c>
      <c r="GY347" s="658" t="b">
        <f t="shared" si="99"/>
        <v>0</v>
      </c>
      <c r="GZ347" s="658" t="str">
        <f t="shared" si="173"/>
        <v/>
      </c>
      <c r="HB347" s="658" t="str">
        <f t="shared" si="101"/>
        <v/>
      </c>
      <c r="HC347" s="658" t="str">
        <f t="shared" si="174"/>
        <v/>
      </c>
      <c r="HD347" s="658" t="str">
        <f t="shared" si="175"/>
        <v/>
      </c>
      <c r="HE347" s="658" t="str">
        <f t="shared" si="176"/>
        <v/>
      </c>
      <c r="HF347" s="658" t="str">
        <f t="shared" si="177"/>
        <v/>
      </c>
      <c r="HG347" s="658" t="str">
        <f t="shared" si="178"/>
        <v/>
      </c>
      <c r="HH347" s="658" t="str">
        <f t="shared" si="179"/>
        <v/>
      </c>
      <c r="HI347" s="658" t="str">
        <f t="shared" si="180"/>
        <v/>
      </c>
      <c r="HJ347" s="658" t="str">
        <f t="shared" si="181"/>
        <v/>
      </c>
      <c r="HK347" s="658" t="str">
        <f t="shared" si="182"/>
        <v/>
      </c>
      <c r="HL347" s="658" t="str">
        <f t="shared" si="183"/>
        <v/>
      </c>
      <c r="HM347" s="658" t="str">
        <f t="shared" si="184"/>
        <v/>
      </c>
      <c r="HN347" s="658" t="str">
        <f t="shared" si="185"/>
        <v/>
      </c>
      <c r="HO347" s="658" t="str">
        <f t="shared" si="186"/>
        <v/>
      </c>
      <c r="HP347" s="658" t="str">
        <f t="shared" si="187"/>
        <v/>
      </c>
      <c r="HQ347" s="658" t="str">
        <f t="shared" si="188"/>
        <v/>
      </c>
      <c r="HR347" s="658" t="str">
        <f t="shared" si="102"/>
        <v/>
      </c>
      <c r="HT347" s="658">
        <f>LEFT(M347,1)*10000+MID(M347,3,LEN(M347)-3)*100+COUNTIF($M$319:M347,M347)</f>
        <v>21101</v>
      </c>
      <c r="HU347" s="658" t="str">
        <f t="shared" si="103"/>
        <v/>
      </c>
      <c r="HV347" s="658" t="str">
        <f t="shared" si="189"/>
        <v/>
      </c>
      <c r="HW347" s="658" t="str">
        <f t="shared" si="104"/>
        <v/>
      </c>
      <c r="HX347" s="658" t="str">
        <f t="shared" si="190"/>
        <v/>
      </c>
    </row>
    <row r="348" spans="1:232" s="19" customFormat="1" ht="50.1" customHeight="1" x14ac:dyDescent="0.15">
      <c r="A348" s="1201"/>
      <c r="B348" s="1201"/>
      <c r="C348" s="1201"/>
      <c r="D348" s="1201"/>
      <c r="E348" s="1202"/>
      <c r="F348" s="652"/>
      <c r="G348" s="652"/>
      <c r="H348" s="652"/>
      <c r="I348" s="1354"/>
      <c r="J348" s="1234"/>
      <c r="K348" s="1261"/>
      <c r="L348" s="1261"/>
      <c r="M348" s="2142" t="s">
        <v>1135</v>
      </c>
      <c r="N348" s="2142"/>
      <c r="O348" s="2143"/>
      <c r="P348" s="2461"/>
      <c r="Q348" s="2461"/>
      <c r="R348" s="2439"/>
      <c r="S348" s="2439"/>
      <c r="T348" s="2439"/>
      <c r="U348" s="2435" t="s">
        <v>63</v>
      </c>
      <c r="V348" s="2435"/>
      <c r="W348" s="2435"/>
      <c r="X348" s="2435"/>
      <c r="Y348" s="2435"/>
      <c r="Z348" s="2435"/>
      <c r="AA348" s="2435"/>
      <c r="AB348" s="2435"/>
      <c r="AC348" s="2435"/>
      <c r="AD348" s="2435"/>
      <c r="AE348" s="2435"/>
      <c r="AF348" s="2282"/>
      <c r="AG348" s="2282"/>
      <c r="AH348" s="2282"/>
      <c r="AI348" s="2282"/>
      <c r="AJ348" s="2282"/>
      <c r="AK348" s="2282"/>
      <c r="AL348" s="2282"/>
      <c r="AM348" s="2282"/>
      <c r="AN348" s="2282"/>
      <c r="AO348" s="2282"/>
      <c r="AP348" s="2282"/>
      <c r="AQ348" s="2282"/>
      <c r="AR348" s="2151"/>
      <c r="AS348" s="2151"/>
      <c r="AT348" s="2292"/>
      <c r="AU348" s="2292"/>
      <c r="AV348" s="2292"/>
      <c r="AW348" s="2292"/>
      <c r="AX348" s="2292"/>
      <c r="AY348" s="2292"/>
      <c r="AZ348" s="2292"/>
      <c r="BA348" s="2292"/>
      <c r="BB348" s="2292"/>
      <c r="BC348" s="2292"/>
      <c r="BD348" s="2292"/>
      <c r="BE348" s="2292"/>
      <c r="BF348" s="2292"/>
      <c r="BG348" s="2292"/>
      <c r="BH348" s="2292"/>
      <c r="BI348" s="2292"/>
      <c r="BJ348" s="2292"/>
      <c r="BK348" s="2292"/>
      <c r="BL348" s="2292"/>
      <c r="BM348" s="2292"/>
      <c r="BN348" s="2292"/>
      <c r="BO348" s="2292"/>
      <c r="BP348" s="2292"/>
      <c r="BQ348" s="2292"/>
      <c r="BR348" s="2292"/>
      <c r="BS348" s="2269"/>
      <c r="BT348" s="2269"/>
      <c r="BU348" s="2269"/>
      <c r="BV348" s="2269"/>
      <c r="BW348" s="2269"/>
      <c r="BX348" s="2269"/>
      <c r="BY348" s="2269"/>
      <c r="BZ348" s="2151"/>
      <c r="CA348" s="2151"/>
      <c r="CB348" s="2317"/>
      <c r="CC348" s="2174"/>
      <c r="CD348" s="2174"/>
      <c r="CE348" s="2174"/>
      <c r="CF348" s="2174"/>
      <c r="CG348" s="2174"/>
      <c r="CH348" s="2174"/>
      <c r="CI348" s="2174"/>
      <c r="CJ348" s="2174"/>
      <c r="CK348" s="2174"/>
      <c r="CL348" s="2174"/>
      <c r="CM348" s="2174"/>
      <c r="CN348" s="2174"/>
      <c r="CO348" s="2174"/>
      <c r="CP348" s="2174"/>
      <c r="CQ348" s="2174"/>
      <c r="CR348" s="2174"/>
      <c r="CS348" s="2174"/>
      <c r="CT348" s="2174"/>
      <c r="CU348" s="2318"/>
      <c r="CV348" s="2300" t="str">
        <f t="shared" si="121"/>
        <v/>
      </c>
      <c r="CW348" s="2300"/>
      <c r="CX348" s="2300"/>
      <c r="CY348" s="2300"/>
      <c r="CZ348" s="2300"/>
      <c r="DA348" s="2300"/>
      <c r="DC348" s="329" t="str">
        <f t="shared" si="191"/>
        <v/>
      </c>
      <c r="DD348" s="197"/>
      <c r="DF348" s="14"/>
      <c r="DG348" s="14"/>
      <c r="DH348" s="14"/>
      <c r="DI348" s="1596"/>
      <c r="DJ348" s="1170" t="s">
        <v>2749</v>
      </c>
      <c r="DK348" s="1604" t="str">
        <f t="shared" si="122"/>
        <v/>
      </c>
      <c r="DL348" s="437" t="str">
        <f t="shared" si="123"/>
        <v/>
      </c>
      <c r="DM348" s="1128">
        <f t="shared" si="124"/>
        <v>0</v>
      </c>
      <c r="DN348" s="22">
        <f t="shared" si="125"/>
        <v>0</v>
      </c>
      <c r="DO348" s="22">
        <f t="shared" si="126"/>
        <v>0</v>
      </c>
      <c r="DP348" s="264">
        <f t="shared" si="127"/>
        <v>0</v>
      </c>
      <c r="DQ348" s="27" t="s">
        <v>241</v>
      </c>
      <c r="DR348" s="263" t="str">
        <f>IF($U348="",R347,U348)</f>
        <v>乾式工法によるタイル、石貼り等の劣化及び損傷の状況</v>
      </c>
      <c r="DS348" s="23">
        <f t="shared" si="128"/>
        <v>0</v>
      </c>
      <c r="DT348" s="29" t="str">
        <f t="shared" si="129"/>
        <v/>
      </c>
      <c r="DU348" s="242" t="str">
        <f t="shared" si="130"/>
        <v/>
      </c>
      <c r="DV348" s="57" t="str">
        <f>IF($DT348="要是正",MAX($DV$333:DV347)+1,"")</f>
        <v/>
      </c>
      <c r="DW348" s="273" t="str">
        <f t="shared" si="131"/>
        <v/>
      </c>
      <c r="DX348" s="30" t="str">
        <f t="shared" si="192"/>
        <v/>
      </c>
      <c r="DY348" s="13" t="str">
        <f t="shared" si="132"/>
        <v/>
      </c>
      <c r="DZ348" s="121" t="str">
        <f t="shared" si="133"/>
        <v/>
      </c>
      <c r="EA348" s="206" t="str">
        <f t="shared" si="134"/>
        <v/>
      </c>
      <c r="EB348" s="138" t="str">
        <f t="shared" si="135"/>
        <v/>
      </c>
      <c r="EC348" s="131" t="str">
        <f t="shared" si="136"/>
        <v>0</v>
      </c>
      <c r="ED348" s="54" t="str">
        <f t="shared" si="137"/>
        <v/>
      </c>
      <c r="EE348" s="131" t="str">
        <f t="shared" si="193"/>
        <v>0</v>
      </c>
      <c r="EF348" s="327" t="str">
        <f t="shared" si="138"/>
        <v/>
      </c>
      <c r="EG348" s="108" t="str">
        <f t="shared" si="139"/>
        <v/>
      </c>
      <c r="EH348" s="41" t="str">
        <f t="shared" si="140"/>
        <v>0</v>
      </c>
      <c r="EI348" s="54" t="str">
        <f t="shared" si="141"/>
        <v/>
      </c>
      <c r="EJ348" s="131" t="str">
        <f t="shared" si="194"/>
        <v>0</v>
      </c>
      <c r="EK348" s="241" t="str">
        <f t="shared" si="142"/>
        <v/>
      </c>
      <c r="EL348" s="242" t="e">
        <f t="shared" si="143"/>
        <v>#N/A</v>
      </c>
      <c r="EM348" s="57" t="e">
        <f t="shared" si="144"/>
        <v>#N/A</v>
      </c>
      <c r="EN348" s="243" t="e">
        <f t="shared" si="145"/>
        <v>#N/A</v>
      </c>
      <c r="FK348" s="326" t="str">
        <f t="shared" si="146"/>
        <v/>
      </c>
      <c r="FL348" s="326" t="str">
        <f t="shared" si="147"/>
        <v/>
      </c>
      <c r="FM348" s="326" t="str">
        <f t="shared" si="148"/>
        <v/>
      </c>
      <c r="FN348" s="326">
        <f t="shared" si="149"/>
        <v>0</v>
      </c>
      <c r="FO348" s="670" t="str">
        <f t="shared" si="150"/>
        <v/>
      </c>
      <c r="FQ348" s="138" t="str">
        <f t="shared" si="151"/>
        <v/>
      </c>
      <c r="FR348" s="131" t="str">
        <f t="shared" si="152"/>
        <v>0</v>
      </c>
      <c r="FS348" s="54" t="str">
        <f t="shared" si="153"/>
        <v/>
      </c>
      <c r="FT348" s="131" t="str">
        <f t="shared" si="195"/>
        <v>0</v>
      </c>
      <c r="FU348" s="217" t="str">
        <f t="shared" si="154"/>
        <v/>
      </c>
      <c r="FW348" s="667">
        <f t="shared" si="45"/>
        <v>0</v>
      </c>
      <c r="FX348" s="32"/>
      <c r="FY348" s="32"/>
      <c r="FZ348" s="668"/>
      <c r="GA348" s="14"/>
      <c r="GB348" s="658">
        <f t="shared" si="155"/>
        <v>0</v>
      </c>
      <c r="GC348" s="658">
        <f t="shared" si="156"/>
        <v>0</v>
      </c>
      <c r="GD348" s="658">
        <f t="shared" si="157"/>
        <v>0</v>
      </c>
      <c r="GE348" s="658" t="str">
        <f t="shared" si="158"/>
        <v/>
      </c>
      <c r="GF348" s="658" t="str">
        <f t="shared" si="159"/>
        <v/>
      </c>
      <c r="GG348" s="658" t="str">
        <f t="shared" si="160"/>
        <v/>
      </c>
      <c r="GH348" s="658" t="str">
        <f t="shared" si="161"/>
        <v/>
      </c>
      <c r="GI348" s="658" t="str">
        <f t="shared" si="162"/>
        <v/>
      </c>
      <c r="GJ348" s="658" t="str">
        <f t="shared" si="163"/>
        <v/>
      </c>
      <c r="GK348" s="658" t="str">
        <f t="shared" si="164"/>
        <v/>
      </c>
      <c r="GL348" s="658" t="str">
        <f t="shared" si="165"/>
        <v/>
      </c>
      <c r="GM348" s="658" t="str">
        <f t="shared" si="166"/>
        <v/>
      </c>
      <c r="GN348" s="658" t="str">
        <f t="shared" si="167"/>
        <v/>
      </c>
      <c r="GO348" s="658" t="str">
        <f t="shared" si="168"/>
        <v/>
      </c>
      <c r="GP348" s="658" t="str">
        <f t="shared" si="169"/>
        <v/>
      </c>
      <c r="GQ348" s="658" t="str">
        <f t="shared" si="170"/>
        <v/>
      </c>
      <c r="GR348" s="658" t="str">
        <f t="shared" si="171"/>
        <v/>
      </c>
      <c r="GS348" s="658" t="str">
        <f t="shared" si="172"/>
        <v/>
      </c>
      <c r="GT348" s="658">
        <f t="shared" si="94"/>
        <v>0</v>
      </c>
      <c r="GU348" s="658">
        <f t="shared" si="95"/>
        <v>0</v>
      </c>
      <c r="GV348" s="658">
        <f t="shared" si="96"/>
        <v>0</v>
      </c>
      <c r="GW348" s="658" t="b">
        <f t="shared" si="97"/>
        <v>0</v>
      </c>
      <c r="GX348" s="658" t="b">
        <f t="shared" si="98"/>
        <v>0</v>
      </c>
      <c r="GY348" s="658" t="b">
        <f t="shared" si="99"/>
        <v>0</v>
      </c>
      <c r="GZ348" s="658" t="str">
        <f t="shared" si="173"/>
        <v/>
      </c>
      <c r="HB348" s="658" t="str">
        <f t="shared" si="101"/>
        <v/>
      </c>
      <c r="HC348" s="658" t="str">
        <f t="shared" si="174"/>
        <v/>
      </c>
      <c r="HD348" s="658" t="str">
        <f t="shared" si="175"/>
        <v/>
      </c>
      <c r="HE348" s="658" t="str">
        <f t="shared" si="176"/>
        <v/>
      </c>
      <c r="HF348" s="658" t="str">
        <f t="shared" si="177"/>
        <v/>
      </c>
      <c r="HG348" s="658" t="str">
        <f t="shared" si="178"/>
        <v/>
      </c>
      <c r="HH348" s="658" t="str">
        <f t="shared" si="179"/>
        <v/>
      </c>
      <c r="HI348" s="658" t="str">
        <f t="shared" si="180"/>
        <v/>
      </c>
      <c r="HJ348" s="658" t="str">
        <f t="shared" si="181"/>
        <v/>
      </c>
      <c r="HK348" s="658" t="str">
        <f t="shared" si="182"/>
        <v/>
      </c>
      <c r="HL348" s="658" t="str">
        <f t="shared" si="183"/>
        <v/>
      </c>
      <c r="HM348" s="658" t="str">
        <f t="shared" si="184"/>
        <v/>
      </c>
      <c r="HN348" s="658" t="str">
        <f t="shared" si="185"/>
        <v/>
      </c>
      <c r="HO348" s="658" t="str">
        <f t="shared" si="186"/>
        <v/>
      </c>
      <c r="HP348" s="658" t="str">
        <f t="shared" si="187"/>
        <v/>
      </c>
      <c r="HQ348" s="658" t="str">
        <f t="shared" si="188"/>
        <v/>
      </c>
      <c r="HR348" s="658" t="str">
        <f t="shared" si="102"/>
        <v/>
      </c>
      <c r="HT348" s="658">
        <f>LEFT(M348,1)*10000+MID(M348,3,LEN(M348)-3)*100+COUNTIF($M$319:M348,M348)</f>
        <v>21201</v>
      </c>
      <c r="HU348" s="658" t="str">
        <f t="shared" si="103"/>
        <v/>
      </c>
      <c r="HV348" s="658" t="str">
        <f t="shared" si="189"/>
        <v/>
      </c>
      <c r="HW348" s="658" t="str">
        <f t="shared" si="104"/>
        <v/>
      </c>
      <c r="HX348" s="658" t="str">
        <f t="shared" si="190"/>
        <v/>
      </c>
    </row>
    <row r="349" spans="1:232" s="19" customFormat="1" ht="50.1" customHeight="1" x14ac:dyDescent="0.15">
      <c r="A349" s="1201"/>
      <c r="B349" s="1201"/>
      <c r="C349" s="1201"/>
      <c r="D349" s="1201"/>
      <c r="E349" s="1202"/>
      <c r="F349" s="652"/>
      <c r="G349" s="652"/>
      <c r="H349" s="652"/>
      <c r="I349" s="1354"/>
      <c r="J349" s="1234"/>
      <c r="K349" s="1261"/>
      <c r="L349" s="1261"/>
      <c r="M349" s="2142" t="s">
        <v>1136</v>
      </c>
      <c r="N349" s="2142"/>
      <c r="O349" s="2143"/>
      <c r="P349" s="2461"/>
      <c r="Q349" s="2461"/>
      <c r="R349" s="2439"/>
      <c r="S349" s="2439"/>
      <c r="T349" s="2439"/>
      <c r="U349" s="2435" t="s">
        <v>64</v>
      </c>
      <c r="V349" s="2435"/>
      <c r="W349" s="2435"/>
      <c r="X349" s="2435"/>
      <c r="Y349" s="2435"/>
      <c r="Z349" s="2435"/>
      <c r="AA349" s="2435"/>
      <c r="AB349" s="2435"/>
      <c r="AC349" s="2435"/>
      <c r="AD349" s="2435"/>
      <c r="AE349" s="2435"/>
      <c r="AF349" s="2282"/>
      <c r="AG349" s="2282"/>
      <c r="AH349" s="2282"/>
      <c r="AI349" s="2282"/>
      <c r="AJ349" s="2282"/>
      <c r="AK349" s="2282"/>
      <c r="AL349" s="2282"/>
      <c r="AM349" s="2282"/>
      <c r="AN349" s="2282"/>
      <c r="AO349" s="2282"/>
      <c r="AP349" s="2282"/>
      <c r="AQ349" s="2282"/>
      <c r="AR349" s="2151"/>
      <c r="AS349" s="2151"/>
      <c r="AT349" s="2292"/>
      <c r="AU349" s="2292"/>
      <c r="AV349" s="2292"/>
      <c r="AW349" s="2292"/>
      <c r="AX349" s="2292"/>
      <c r="AY349" s="2292"/>
      <c r="AZ349" s="2292"/>
      <c r="BA349" s="2292"/>
      <c r="BB349" s="2292"/>
      <c r="BC349" s="2292"/>
      <c r="BD349" s="2292"/>
      <c r="BE349" s="2292"/>
      <c r="BF349" s="2292"/>
      <c r="BG349" s="2292"/>
      <c r="BH349" s="2292"/>
      <c r="BI349" s="2292"/>
      <c r="BJ349" s="2292"/>
      <c r="BK349" s="2292"/>
      <c r="BL349" s="2292"/>
      <c r="BM349" s="2292"/>
      <c r="BN349" s="2292"/>
      <c r="BO349" s="2292"/>
      <c r="BP349" s="2292"/>
      <c r="BQ349" s="2292"/>
      <c r="BR349" s="2292"/>
      <c r="BS349" s="2269"/>
      <c r="BT349" s="2269"/>
      <c r="BU349" s="2269"/>
      <c r="BV349" s="2269"/>
      <c r="BW349" s="2269"/>
      <c r="BX349" s="2269"/>
      <c r="BY349" s="2269"/>
      <c r="BZ349" s="2151"/>
      <c r="CA349" s="2151"/>
      <c r="CB349" s="2317"/>
      <c r="CC349" s="2174"/>
      <c r="CD349" s="2174"/>
      <c r="CE349" s="2174"/>
      <c r="CF349" s="2174"/>
      <c r="CG349" s="2174"/>
      <c r="CH349" s="2174"/>
      <c r="CI349" s="2174"/>
      <c r="CJ349" s="2174"/>
      <c r="CK349" s="2174"/>
      <c r="CL349" s="2174"/>
      <c r="CM349" s="2174"/>
      <c r="CN349" s="2174"/>
      <c r="CO349" s="2174"/>
      <c r="CP349" s="2174"/>
      <c r="CQ349" s="2174"/>
      <c r="CR349" s="2174"/>
      <c r="CS349" s="2174"/>
      <c r="CT349" s="2174"/>
      <c r="CU349" s="2318"/>
      <c r="CV349" s="2300" t="str">
        <f t="shared" si="121"/>
        <v/>
      </c>
      <c r="CW349" s="2300"/>
      <c r="CX349" s="2300"/>
      <c r="CY349" s="2300"/>
      <c r="CZ349" s="2300"/>
      <c r="DA349" s="2300"/>
      <c r="DC349" s="329" t="str">
        <f t="shared" si="191"/>
        <v/>
      </c>
      <c r="DD349" s="197"/>
      <c r="DF349" s="14"/>
      <c r="DG349" s="14"/>
      <c r="DH349" s="14"/>
      <c r="DI349" s="1596"/>
      <c r="DJ349" s="1170" t="s">
        <v>2749</v>
      </c>
      <c r="DK349" s="1604" t="str">
        <f t="shared" si="122"/>
        <v/>
      </c>
      <c r="DL349" s="437" t="str">
        <f t="shared" si="123"/>
        <v/>
      </c>
      <c r="DM349" s="1128">
        <f t="shared" si="124"/>
        <v>0</v>
      </c>
      <c r="DN349" s="22">
        <f t="shared" si="125"/>
        <v>0</v>
      </c>
      <c r="DO349" s="22">
        <f t="shared" si="126"/>
        <v>0</v>
      </c>
      <c r="DP349" s="264">
        <f t="shared" si="127"/>
        <v>0</v>
      </c>
      <c r="DQ349" s="27" t="s">
        <v>279</v>
      </c>
      <c r="DR349" s="263" t="str">
        <f>IF($U349="",R347,U349)</f>
        <v>金属系パネル（帳壁を含む。）の劣化及び損傷の状況</v>
      </c>
      <c r="DS349" s="23">
        <f t="shared" si="128"/>
        <v>0</v>
      </c>
      <c r="DT349" s="29" t="str">
        <f t="shared" si="129"/>
        <v/>
      </c>
      <c r="DU349" s="242" t="str">
        <f t="shared" si="130"/>
        <v/>
      </c>
      <c r="DV349" s="57" t="str">
        <f>IF($DT349="要是正",MAX($DV$333:DV348)+1,"")</f>
        <v/>
      </c>
      <c r="DW349" s="273" t="str">
        <f t="shared" si="131"/>
        <v/>
      </c>
      <c r="DX349" s="30" t="str">
        <f t="shared" si="192"/>
        <v/>
      </c>
      <c r="DY349" s="13" t="str">
        <f t="shared" si="132"/>
        <v/>
      </c>
      <c r="DZ349" s="121" t="str">
        <f t="shared" si="133"/>
        <v/>
      </c>
      <c r="EA349" s="206" t="str">
        <f t="shared" si="134"/>
        <v/>
      </c>
      <c r="EB349" s="138" t="str">
        <f t="shared" si="135"/>
        <v/>
      </c>
      <c r="EC349" s="131" t="str">
        <f t="shared" si="136"/>
        <v>0</v>
      </c>
      <c r="ED349" s="54" t="str">
        <f t="shared" si="137"/>
        <v/>
      </c>
      <c r="EE349" s="131" t="str">
        <f t="shared" si="193"/>
        <v>0</v>
      </c>
      <c r="EF349" s="327" t="str">
        <f t="shared" si="138"/>
        <v/>
      </c>
      <c r="EG349" s="108" t="str">
        <f t="shared" si="139"/>
        <v/>
      </c>
      <c r="EH349" s="41" t="str">
        <f t="shared" si="140"/>
        <v>0</v>
      </c>
      <c r="EI349" s="54" t="str">
        <f t="shared" si="141"/>
        <v/>
      </c>
      <c r="EJ349" s="131" t="str">
        <f t="shared" si="194"/>
        <v>0</v>
      </c>
      <c r="EK349" s="241" t="str">
        <f t="shared" si="142"/>
        <v/>
      </c>
      <c r="EL349" s="242" t="e">
        <f t="shared" si="143"/>
        <v>#N/A</v>
      </c>
      <c r="EM349" s="57" t="e">
        <f t="shared" si="144"/>
        <v>#N/A</v>
      </c>
      <c r="EN349" s="243" t="e">
        <f t="shared" si="145"/>
        <v>#N/A</v>
      </c>
      <c r="FK349" s="326" t="str">
        <f t="shared" si="146"/>
        <v/>
      </c>
      <c r="FL349" s="326" t="str">
        <f t="shared" si="147"/>
        <v/>
      </c>
      <c r="FM349" s="326" t="str">
        <f t="shared" si="148"/>
        <v/>
      </c>
      <c r="FN349" s="326">
        <f t="shared" si="149"/>
        <v>0</v>
      </c>
      <c r="FO349" s="670" t="str">
        <f t="shared" si="150"/>
        <v/>
      </c>
      <c r="FQ349" s="138" t="str">
        <f t="shared" si="151"/>
        <v/>
      </c>
      <c r="FR349" s="131" t="str">
        <f t="shared" si="152"/>
        <v>0</v>
      </c>
      <c r="FS349" s="54" t="str">
        <f t="shared" si="153"/>
        <v/>
      </c>
      <c r="FT349" s="131" t="str">
        <f t="shared" si="195"/>
        <v>0</v>
      </c>
      <c r="FU349" s="217" t="str">
        <f t="shared" si="154"/>
        <v/>
      </c>
      <c r="FW349" s="667">
        <f t="shared" si="45"/>
        <v>0</v>
      </c>
      <c r="FX349" s="32"/>
      <c r="FY349" s="32"/>
      <c r="FZ349" s="668"/>
      <c r="GA349" s="14"/>
      <c r="GB349" s="658">
        <f t="shared" si="155"/>
        <v>0</v>
      </c>
      <c r="GC349" s="658">
        <f t="shared" si="156"/>
        <v>0</v>
      </c>
      <c r="GD349" s="658">
        <f t="shared" si="157"/>
        <v>0</v>
      </c>
      <c r="GE349" s="658" t="str">
        <f t="shared" si="158"/>
        <v/>
      </c>
      <c r="GF349" s="658" t="str">
        <f t="shared" si="159"/>
        <v/>
      </c>
      <c r="GG349" s="658" t="str">
        <f t="shared" si="160"/>
        <v/>
      </c>
      <c r="GH349" s="658" t="str">
        <f t="shared" si="161"/>
        <v/>
      </c>
      <c r="GI349" s="658" t="str">
        <f t="shared" si="162"/>
        <v/>
      </c>
      <c r="GJ349" s="658" t="str">
        <f t="shared" si="163"/>
        <v/>
      </c>
      <c r="GK349" s="658" t="str">
        <f t="shared" si="164"/>
        <v/>
      </c>
      <c r="GL349" s="658" t="str">
        <f t="shared" si="165"/>
        <v/>
      </c>
      <c r="GM349" s="658" t="str">
        <f t="shared" si="166"/>
        <v/>
      </c>
      <c r="GN349" s="658" t="str">
        <f t="shared" si="167"/>
        <v/>
      </c>
      <c r="GO349" s="658" t="str">
        <f t="shared" si="168"/>
        <v/>
      </c>
      <c r="GP349" s="658" t="str">
        <f t="shared" si="169"/>
        <v/>
      </c>
      <c r="GQ349" s="658" t="str">
        <f t="shared" si="170"/>
        <v/>
      </c>
      <c r="GR349" s="658" t="str">
        <f t="shared" si="171"/>
        <v/>
      </c>
      <c r="GS349" s="658" t="str">
        <f t="shared" si="172"/>
        <v/>
      </c>
      <c r="GT349" s="658">
        <f t="shared" si="94"/>
        <v>0</v>
      </c>
      <c r="GU349" s="658">
        <f t="shared" si="95"/>
        <v>0</v>
      </c>
      <c r="GV349" s="658">
        <f t="shared" si="96"/>
        <v>0</v>
      </c>
      <c r="GW349" s="658" t="b">
        <f t="shared" si="97"/>
        <v>0</v>
      </c>
      <c r="GX349" s="658" t="b">
        <f t="shared" si="98"/>
        <v>0</v>
      </c>
      <c r="GY349" s="658" t="b">
        <f t="shared" si="99"/>
        <v>0</v>
      </c>
      <c r="GZ349" s="658" t="str">
        <f t="shared" si="173"/>
        <v/>
      </c>
      <c r="HB349" s="658" t="str">
        <f t="shared" si="101"/>
        <v/>
      </c>
      <c r="HC349" s="658" t="str">
        <f t="shared" si="174"/>
        <v/>
      </c>
      <c r="HD349" s="658" t="str">
        <f t="shared" si="175"/>
        <v/>
      </c>
      <c r="HE349" s="658" t="str">
        <f t="shared" si="176"/>
        <v/>
      </c>
      <c r="HF349" s="658" t="str">
        <f t="shared" si="177"/>
        <v/>
      </c>
      <c r="HG349" s="658" t="str">
        <f t="shared" si="178"/>
        <v/>
      </c>
      <c r="HH349" s="658" t="str">
        <f t="shared" si="179"/>
        <v/>
      </c>
      <c r="HI349" s="658" t="str">
        <f t="shared" si="180"/>
        <v/>
      </c>
      <c r="HJ349" s="658" t="str">
        <f t="shared" si="181"/>
        <v/>
      </c>
      <c r="HK349" s="658" t="str">
        <f t="shared" si="182"/>
        <v/>
      </c>
      <c r="HL349" s="658" t="str">
        <f t="shared" si="183"/>
        <v/>
      </c>
      <c r="HM349" s="658" t="str">
        <f t="shared" si="184"/>
        <v/>
      </c>
      <c r="HN349" s="658" t="str">
        <f t="shared" si="185"/>
        <v/>
      </c>
      <c r="HO349" s="658" t="str">
        <f t="shared" si="186"/>
        <v/>
      </c>
      <c r="HP349" s="658" t="str">
        <f t="shared" si="187"/>
        <v/>
      </c>
      <c r="HQ349" s="658" t="str">
        <f t="shared" si="188"/>
        <v/>
      </c>
      <c r="HR349" s="658" t="str">
        <f t="shared" si="102"/>
        <v/>
      </c>
      <c r="HT349" s="658">
        <f>LEFT(M349,1)*10000+MID(M349,3,LEN(M349)-3)*100+COUNTIF($M$319:M349,M349)</f>
        <v>21301</v>
      </c>
      <c r="HU349" s="658" t="str">
        <f t="shared" si="103"/>
        <v/>
      </c>
      <c r="HV349" s="658" t="str">
        <f t="shared" si="189"/>
        <v/>
      </c>
      <c r="HW349" s="658" t="str">
        <f t="shared" si="104"/>
        <v/>
      </c>
      <c r="HX349" s="658" t="str">
        <f t="shared" si="190"/>
        <v/>
      </c>
    </row>
    <row r="350" spans="1:232" s="19" customFormat="1" ht="50.1" customHeight="1" x14ac:dyDescent="0.15">
      <c r="A350" s="1201"/>
      <c r="B350" s="1201"/>
      <c r="C350" s="1201"/>
      <c r="D350" s="1201"/>
      <c r="E350" s="1202"/>
      <c r="F350" s="652"/>
      <c r="G350" s="652"/>
      <c r="H350" s="652"/>
      <c r="I350" s="1354"/>
      <c r="J350" s="1234"/>
      <c r="K350" s="1261"/>
      <c r="L350" s="1261"/>
      <c r="M350" s="2142" t="s">
        <v>1137</v>
      </c>
      <c r="N350" s="2142"/>
      <c r="O350" s="2143"/>
      <c r="P350" s="2461"/>
      <c r="Q350" s="2461"/>
      <c r="R350" s="2439"/>
      <c r="S350" s="2439"/>
      <c r="T350" s="2439"/>
      <c r="U350" s="2445" t="s">
        <v>65</v>
      </c>
      <c r="V350" s="2445"/>
      <c r="W350" s="2445"/>
      <c r="X350" s="2445"/>
      <c r="Y350" s="2445"/>
      <c r="Z350" s="2445"/>
      <c r="AA350" s="2445"/>
      <c r="AB350" s="2445"/>
      <c r="AC350" s="2445"/>
      <c r="AD350" s="2445"/>
      <c r="AE350" s="2445"/>
      <c r="AF350" s="2459"/>
      <c r="AG350" s="2459"/>
      <c r="AH350" s="2459"/>
      <c r="AI350" s="2459"/>
      <c r="AJ350" s="2459"/>
      <c r="AK350" s="2459"/>
      <c r="AL350" s="2459"/>
      <c r="AM350" s="2459"/>
      <c r="AN350" s="2459"/>
      <c r="AO350" s="2459"/>
      <c r="AP350" s="2459"/>
      <c r="AQ350" s="2459"/>
      <c r="AR350" s="2152"/>
      <c r="AS350" s="2152"/>
      <c r="AT350" s="2432"/>
      <c r="AU350" s="2432"/>
      <c r="AV350" s="2432"/>
      <c r="AW350" s="2432"/>
      <c r="AX350" s="2432"/>
      <c r="AY350" s="2432"/>
      <c r="AZ350" s="2432"/>
      <c r="BA350" s="2432"/>
      <c r="BB350" s="2432"/>
      <c r="BC350" s="2432"/>
      <c r="BD350" s="2432"/>
      <c r="BE350" s="2432"/>
      <c r="BF350" s="2432"/>
      <c r="BG350" s="2432"/>
      <c r="BH350" s="2432"/>
      <c r="BI350" s="2432"/>
      <c r="BJ350" s="2432"/>
      <c r="BK350" s="2432"/>
      <c r="BL350" s="2432"/>
      <c r="BM350" s="2432"/>
      <c r="BN350" s="2432"/>
      <c r="BO350" s="2432"/>
      <c r="BP350" s="2432"/>
      <c r="BQ350" s="2432"/>
      <c r="BR350" s="2432"/>
      <c r="BS350" s="2270"/>
      <c r="BT350" s="2270"/>
      <c r="BU350" s="2270"/>
      <c r="BV350" s="2270"/>
      <c r="BW350" s="2270"/>
      <c r="BX350" s="2270"/>
      <c r="BY350" s="2270"/>
      <c r="BZ350" s="2152"/>
      <c r="CA350" s="2152"/>
      <c r="CB350" s="2736"/>
      <c r="CC350" s="2737"/>
      <c r="CD350" s="2737"/>
      <c r="CE350" s="2737"/>
      <c r="CF350" s="2737"/>
      <c r="CG350" s="2737"/>
      <c r="CH350" s="2737"/>
      <c r="CI350" s="2737"/>
      <c r="CJ350" s="2737"/>
      <c r="CK350" s="2737"/>
      <c r="CL350" s="2737"/>
      <c r="CM350" s="2737"/>
      <c r="CN350" s="2737"/>
      <c r="CO350" s="2737"/>
      <c r="CP350" s="2737"/>
      <c r="CQ350" s="2737"/>
      <c r="CR350" s="2737"/>
      <c r="CS350" s="2737"/>
      <c r="CT350" s="2737"/>
      <c r="CU350" s="2738"/>
      <c r="CV350" s="2300" t="str">
        <f t="shared" si="121"/>
        <v/>
      </c>
      <c r="CW350" s="2300"/>
      <c r="CX350" s="2300"/>
      <c r="CY350" s="2300"/>
      <c r="CZ350" s="2300"/>
      <c r="DA350" s="2300"/>
      <c r="DC350" s="329" t="str">
        <f t="shared" si="191"/>
        <v/>
      </c>
      <c r="DD350" s="197"/>
      <c r="DF350" s="14"/>
      <c r="DG350" s="14"/>
      <c r="DH350" s="14"/>
      <c r="DI350" s="1596"/>
      <c r="DJ350" s="1170" t="s">
        <v>2749</v>
      </c>
      <c r="DK350" s="1604" t="str">
        <f t="shared" si="122"/>
        <v/>
      </c>
      <c r="DL350" s="437" t="str">
        <f t="shared" si="123"/>
        <v/>
      </c>
      <c r="DM350" s="1128">
        <f t="shared" si="124"/>
        <v>0</v>
      </c>
      <c r="DN350" s="22">
        <f t="shared" si="125"/>
        <v>0</v>
      </c>
      <c r="DO350" s="22">
        <f t="shared" si="126"/>
        <v>0</v>
      </c>
      <c r="DP350" s="264">
        <f t="shared" si="127"/>
        <v>0</v>
      </c>
      <c r="DQ350" s="27" t="s">
        <v>280</v>
      </c>
      <c r="DR350" s="263" t="str">
        <f>IF($U350="",R347,U350)</f>
        <v>コンクリート系パネル（帳壁を含む。）の劣化及び損傷の状況</v>
      </c>
      <c r="DS350" s="23">
        <f t="shared" si="128"/>
        <v>0</v>
      </c>
      <c r="DT350" s="29" t="str">
        <f t="shared" si="129"/>
        <v/>
      </c>
      <c r="DU350" s="242" t="str">
        <f t="shared" si="130"/>
        <v/>
      </c>
      <c r="DV350" s="57" t="str">
        <f>IF($DT350="要是正",MAX($DV$333:DV349)+1,"")</f>
        <v/>
      </c>
      <c r="DW350" s="273" t="str">
        <f t="shared" si="131"/>
        <v/>
      </c>
      <c r="DX350" s="30" t="str">
        <f t="shared" si="192"/>
        <v/>
      </c>
      <c r="DY350" s="13" t="str">
        <f t="shared" si="132"/>
        <v/>
      </c>
      <c r="DZ350" s="121" t="str">
        <f t="shared" si="133"/>
        <v/>
      </c>
      <c r="EA350" s="206" t="str">
        <f t="shared" si="134"/>
        <v/>
      </c>
      <c r="EB350" s="138" t="str">
        <f t="shared" si="135"/>
        <v/>
      </c>
      <c r="EC350" s="131" t="str">
        <f t="shared" si="136"/>
        <v>0</v>
      </c>
      <c r="ED350" s="54" t="str">
        <f t="shared" si="137"/>
        <v/>
      </c>
      <c r="EE350" s="131" t="str">
        <f t="shared" si="193"/>
        <v>0</v>
      </c>
      <c r="EF350" s="327" t="str">
        <f t="shared" si="138"/>
        <v/>
      </c>
      <c r="EG350" s="108" t="str">
        <f t="shared" si="139"/>
        <v/>
      </c>
      <c r="EH350" s="41" t="str">
        <f t="shared" si="140"/>
        <v>0</v>
      </c>
      <c r="EI350" s="54" t="str">
        <f t="shared" si="141"/>
        <v/>
      </c>
      <c r="EJ350" s="131" t="str">
        <f t="shared" si="194"/>
        <v>0</v>
      </c>
      <c r="EK350" s="241" t="str">
        <f t="shared" si="142"/>
        <v/>
      </c>
      <c r="EL350" s="242" t="e">
        <f t="shared" si="143"/>
        <v>#N/A</v>
      </c>
      <c r="EM350" s="57" t="e">
        <f t="shared" si="144"/>
        <v>#N/A</v>
      </c>
      <c r="EN350" s="243" t="e">
        <f t="shared" si="145"/>
        <v>#N/A</v>
      </c>
      <c r="FK350" s="326" t="str">
        <f t="shared" si="146"/>
        <v/>
      </c>
      <c r="FL350" s="326" t="str">
        <f t="shared" si="147"/>
        <v/>
      </c>
      <c r="FM350" s="326" t="str">
        <f t="shared" si="148"/>
        <v/>
      </c>
      <c r="FN350" s="326">
        <f t="shared" si="149"/>
        <v>0</v>
      </c>
      <c r="FO350" s="670" t="str">
        <f t="shared" si="150"/>
        <v/>
      </c>
      <c r="FQ350" s="138" t="str">
        <f t="shared" si="151"/>
        <v/>
      </c>
      <c r="FR350" s="131" t="str">
        <f t="shared" si="152"/>
        <v>0</v>
      </c>
      <c r="FS350" s="54" t="str">
        <f t="shared" si="153"/>
        <v/>
      </c>
      <c r="FT350" s="131" t="str">
        <f t="shared" si="195"/>
        <v>0</v>
      </c>
      <c r="FU350" s="217" t="str">
        <f t="shared" si="154"/>
        <v/>
      </c>
      <c r="FW350" s="667">
        <f t="shared" si="45"/>
        <v>0</v>
      </c>
      <c r="FX350" s="32"/>
      <c r="FY350" s="32"/>
      <c r="FZ350" s="668"/>
      <c r="GA350" s="14"/>
      <c r="GB350" s="658">
        <f t="shared" si="155"/>
        <v>0</v>
      </c>
      <c r="GC350" s="658">
        <f t="shared" si="156"/>
        <v>0</v>
      </c>
      <c r="GD350" s="658">
        <f t="shared" si="157"/>
        <v>0</v>
      </c>
      <c r="GE350" s="658" t="str">
        <f t="shared" si="158"/>
        <v/>
      </c>
      <c r="GF350" s="658" t="str">
        <f t="shared" si="159"/>
        <v/>
      </c>
      <c r="GG350" s="658" t="str">
        <f t="shared" si="160"/>
        <v/>
      </c>
      <c r="GH350" s="658" t="str">
        <f t="shared" si="161"/>
        <v/>
      </c>
      <c r="GI350" s="658" t="str">
        <f t="shared" si="162"/>
        <v/>
      </c>
      <c r="GJ350" s="658" t="str">
        <f t="shared" si="163"/>
        <v/>
      </c>
      <c r="GK350" s="658" t="str">
        <f t="shared" si="164"/>
        <v/>
      </c>
      <c r="GL350" s="658" t="str">
        <f t="shared" si="165"/>
        <v/>
      </c>
      <c r="GM350" s="658" t="str">
        <f t="shared" si="166"/>
        <v/>
      </c>
      <c r="GN350" s="658" t="str">
        <f t="shared" si="167"/>
        <v/>
      </c>
      <c r="GO350" s="658" t="str">
        <f t="shared" si="168"/>
        <v/>
      </c>
      <c r="GP350" s="658" t="str">
        <f t="shared" si="169"/>
        <v/>
      </c>
      <c r="GQ350" s="658" t="str">
        <f t="shared" si="170"/>
        <v/>
      </c>
      <c r="GR350" s="658" t="str">
        <f t="shared" si="171"/>
        <v/>
      </c>
      <c r="GS350" s="658" t="str">
        <f t="shared" si="172"/>
        <v/>
      </c>
      <c r="GT350" s="658">
        <f t="shared" si="94"/>
        <v>0</v>
      </c>
      <c r="GU350" s="658">
        <f t="shared" si="95"/>
        <v>0</v>
      </c>
      <c r="GV350" s="658">
        <f t="shared" si="96"/>
        <v>0</v>
      </c>
      <c r="GW350" s="658" t="b">
        <f t="shared" si="97"/>
        <v>0</v>
      </c>
      <c r="GX350" s="658" t="b">
        <f t="shared" si="98"/>
        <v>0</v>
      </c>
      <c r="GY350" s="658" t="b">
        <f t="shared" si="99"/>
        <v>0</v>
      </c>
      <c r="GZ350" s="658" t="str">
        <f t="shared" si="173"/>
        <v/>
      </c>
      <c r="HB350" s="658" t="str">
        <f t="shared" si="101"/>
        <v/>
      </c>
      <c r="HC350" s="658" t="str">
        <f t="shared" si="174"/>
        <v/>
      </c>
      <c r="HD350" s="658" t="str">
        <f t="shared" si="175"/>
        <v/>
      </c>
      <c r="HE350" s="658" t="str">
        <f t="shared" si="176"/>
        <v/>
      </c>
      <c r="HF350" s="658" t="str">
        <f t="shared" si="177"/>
        <v/>
      </c>
      <c r="HG350" s="658" t="str">
        <f t="shared" si="178"/>
        <v/>
      </c>
      <c r="HH350" s="658" t="str">
        <f t="shared" si="179"/>
        <v/>
      </c>
      <c r="HI350" s="658" t="str">
        <f t="shared" si="180"/>
        <v/>
      </c>
      <c r="HJ350" s="658" t="str">
        <f t="shared" si="181"/>
        <v/>
      </c>
      <c r="HK350" s="658" t="str">
        <f t="shared" si="182"/>
        <v/>
      </c>
      <c r="HL350" s="658" t="str">
        <f t="shared" si="183"/>
        <v/>
      </c>
      <c r="HM350" s="658" t="str">
        <f t="shared" si="184"/>
        <v/>
      </c>
      <c r="HN350" s="658" t="str">
        <f t="shared" si="185"/>
        <v/>
      </c>
      <c r="HO350" s="658" t="str">
        <f t="shared" si="186"/>
        <v/>
      </c>
      <c r="HP350" s="658" t="str">
        <f t="shared" si="187"/>
        <v/>
      </c>
      <c r="HQ350" s="658" t="str">
        <f t="shared" si="188"/>
        <v/>
      </c>
      <c r="HR350" s="658" t="str">
        <f t="shared" si="102"/>
        <v/>
      </c>
      <c r="HT350" s="658">
        <f>LEFT(M350,1)*10000+MID(M350,3,LEN(M350)-3)*100+COUNTIF($M$319:M350,M350)</f>
        <v>21401</v>
      </c>
      <c r="HU350" s="658" t="str">
        <f t="shared" si="103"/>
        <v/>
      </c>
      <c r="HV350" s="658" t="str">
        <f t="shared" si="189"/>
        <v/>
      </c>
      <c r="HW350" s="658" t="str">
        <f t="shared" si="104"/>
        <v/>
      </c>
      <c r="HX350" s="658" t="str">
        <f t="shared" si="190"/>
        <v/>
      </c>
    </row>
    <row r="351" spans="1:232" s="19" customFormat="1" ht="50.1" customHeight="1" x14ac:dyDescent="0.15">
      <c r="A351" s="1201"/>
      <c r="B351" s="1201"/>
      <c r="C351" s="1201"/>
      <c r="D351" s="1201"/>
      <c r="E351" s="1202"/>
      <c r="F351" s="652"/>
      <c r="G351" s="652"/>
      <c r="H351" s="652"/>
      <c r="I351" s="1354"/>
      <c r="J351" s="1234"/>
      <c r="K351" s="1261"/>
      <c r="L351" s="1261"/>
      <c r="M351" s="2142" t="s">
        <v>1138</v>
      </c>
      <c r="N351" s="2142"/>
      <c r="O351" s="2143"/>
      <c r="P351" s="2461"/>
      <c r="Q351" s="2461"/>
      <c r="R351" s="2429" t="s">
        <v>66</v>
      </c>
      <c r="S351" s="2429"/>
      <c r="T351" s="2429"/>
      <c r="U351" s="2438" t="s">
        <v>67</v>
      </c>
      <c r="V351" s="2438"/>
      <c r="W351" s="2438"/>
      <c r="X351" s="2438"/>
      <c r="Y351" s="2438"/>
      <c r="Z351" s="2438"/>
      <c r="AA351" s="2438"/>
      <c r="AB351" s="2438"/>
      <c r="AC351" s="2438"/>
      <c r="AD351" s="2438"/>
      <c r="AE351" s="2438"/>
      <c r="AF351" s="2302"/>
      <c r="AG351" s="2302"/>
      <c r="AH351" s="2302"/>
      <c r="AI351" s="2302"/>
      <c r="AJ351" s="2302"/>
      <c r="AK351" s="2302"/>
      <c r="AL351" s="2302"/>
      <c r="AM351" s="2302"/>
      <c r="AN351" s="2302"/>
      <c r="AO351" s="2302"/>
      <c r="AP351" s="2302"/>
      <c r="AQ351" s="2302"/>
      <c r="AR351" s="2272"/>
      <c r="AS351" s="2272"/>
      <c r="AT351" s="2406"/>
      <c r="AU351" s="2406"/>
      <c r="AV351" s="2406"/>
      <c r="AW351" s="2406"/>
      <c r="AX351" s="2406"/>
      <c r="AY351" s="2406"/>
      <c r="AZ351" s="2406"/>
      <c r="BA351" s="2406"/>
      <c r="BB351" s="2406"/>
      <c r="BC351" s="2406"/>
      <c r="BD351" s="2406"/>
      <c r="BE351" s="2406"/>
      <c r="BF351" s="2406"/>
      <c r="BG351" s="2406"/>
      <c r="BH351" s="2406"/>
      <c r="BI351" s="2406"/>
      <c r="BJ351" s="2406"/>
      <c r="BK351" s="2406"/>
      <c r="BL351" s="2406"/>
      <c r="BM351" s="2406"/>
      <c r="BN351" s="2406"/>
      <c r="BO351" s="2406"/>
      <c r="BP351" s="2406"/>
      <c r="BQ351" s="2406"/>
      <c r="BR351" s="2406"/>
      <c r="BS351" s="2271"/>
      <c r="BT351" s="2271"/>
      <c r="BU351" s="2271"/>
      <c r="BV351" s="2271"/>
      <c r="BW351" s="2271"/>
      <c r="BX351" s="2271"/>
      <c r="BY351" s="2271"/>
      <c r="BZ351" s="2272"/>
      <c r="CA351" s="2272"/>
      <c r="CB351" s="2407"/>
      <c r="CC351" s="2408"/>
      <c r="CD351" s="2408"/>
      <c r="CE351" s="2408"/>
      <c r="CF351" s="2408"/>
      <c r="CG351" s="2408"/>
      <c r="CH351" s="2408"/>
      <c r="CI351" s="2408"/>
      <c r="CJ351" s="2408"/>
      <c r="CK351" s="2408"/>
      <c r="CL351" s="2408"/>
      <c r="CM351" s="2408"/>
      <c r="CN351" s="2408"/>
      <c r="CO351" s="2408"/>
      <c r="CP351" s="2408"/>
      <c r="CQ351" s="2408"/>
      <c r="CR351" s="2408"/>
      <c r="CS351" s="2408"/>
      <c r="CT351" s="2408"/>
      <c r="CU351" s="2409"/>
      <c r="CV351" s="2300" t="str">
        <f t="shared" si="121"/>
        <v/>
      </c>
      <c r="CW351" s="2300"/>
      <c r="CX351" s="2300"/>
      <c r="CY351" s="2300"/>
      <c r="CZ351" s="2300"/>
      <c r="DA351" s="2300"/>
      <c r="DC351" s="329" t="str">
        <f t="shared" si="191"/>
        <v/>
      </c>
      <c r="DD351" s="197"/>
      <c r="DF351" s="14"/>
      <c r="DG351" s="14"/>
      <c r="DH351" s="14"/>
      <c r="DI351" s="1596"/>
      <c r="DJ351" s="1170" t="s">
        <v>2749</v>
      </c>
      <c r="DK351" s="1604" t="str">
        <f t="shared" si="122"/>
        <v/>
      </c>
      <c r="DL351" s="437" t="str">
        <f t="shared" si="123"/>
        <v/>
      </c>
      <c r="DM351" s="1128">
        <f t="shared" si="124"/>
        <v>0</v>
      </c>
      <c r="DN351" s="22">
        <f t="shared" si="125"/>
        <v>0</v>
      </c>
      <c r="DO351" s="22">
        <f t="shared" si="126"/>
        <v>0</v>
      </c>
      <c r="DP351" s="264">
        <f t="shared" si="127"/>
        <v>0</v>
      </c>
      <c r="DQ351" s="27" t="s">
        <v>281</v>
      </c>
      <c r="DR351" s="263" t="str">
        <f>IF($U351="",R351,U351)</f>
        <v>サッシ等の劣化及び損傷の状況</v>
      </c>
      <c r="DS351" s="23">
        <f t="shared" si="128"/>
        <v>0</v>
      </c>
      <c r="DT351" s="29" t="str">
        <f t="shared" si="129"/>
        <v/>
      </c>
      <c r="DU351" s="242" t="str">
        <f t="shared" si="130"/>
        <v/>
      </c>
      <c r="DV351" s="57" t="str">
        <f>IF($DT351="要是正",MAX($DV$333:DV350)+1,"")</f>
        <v/>
      </c>
      <c r="DW351" s="273" t="str">
        <f t="shared" si="131"/>
        <v/>
      </c>
      <c r="DX351" s="30" t="str">
        <f t="shared" si="192"/>
        <v/>
      </c>
      <c r="DY351" s="13" t="str">
        <f t="shared" si="132"/>
        <v/>
      </c>
      <c r="DZ351" s="121" t="str">
        <f t="shared" si="133"/>
        <v/>
      </c>
      <c r="EA351" s="206" t="str">
        <f t="shared" si="134"/>
        <v/>
      </c>
      <c r="EB351" s="138" t="str">
        <f t="shared" si="135"/>
        <v/>
      </c>
      <c r="EC351" s="131" t="str">
        <f t="shared" si="136"/>
        <v>0</v>
      </c>
      <c r="ED351" s="54" t="str">
        <f t="shared" si="137"/>
        <v/>
      </c>
      <c r="EE351" s="131" t="str">
        <f t="shared" si="193"/>
        <v>0</v>
      </c>
      <c r="EF351" s="327" t="str">
        <f t="shared" si="138"/>
        <v/>
      </c>
      <c r="EG351" s="108" t="str">
        <f t="shared" si="139"/>
        <v/>
      </c>
      <c r="EH351" s="41" t="str">
        <f t="shared" si="140"/>
        <v>0</v>
      </c>
      <c r="EI351" s="54" t="str">
        <f t="shared" si="141"/>
        <v/>
      </c>
      <c r="EJ351" s="131" t="str">
        <f t="shared" si="194"/>
        <v>0</v>
      </c>
      <c r="EK351" s="241" t="str">
        <f t="shared" si="142"/>
        <v/>
      </c>
      <c r="EL351" s="242" t="e">
        <f t="shared" si="143"/>
        <v>#N/A</v>
      </c>
      <c r="EM351" s="57" t="e">
        <f t="shared" si="144"/>
        <v>#N/A</v>
      </c>
      <c r="EN351" s="243" t="e">
        <f t="shared" si="145"/>
        <v>#N/A</v>
      </c>
      <c r="FK351" s="326" t="str">
        <f t="shared" si="146"/>
        <v/>
      </c>
      <c r="FL351" s="326" t="str">
        <f t="shared" si="147"/>
        <v/>
      </c>
      <c r="FM351" s="326" t="str">
        <f t="shared" si="148"/>
        <v/>
      </c>
      <c r="FN351" s="326">
        <f t="shared" si="149"/>
        <v>0</v>
      </c>
      <c r="FO351" s="670" t="str">
        <f t="shared" si="150"/>
        <v/>
      </c>
      <c r="FQ351" s="138" t="str">
        <f t="shared" si="151"/>
        <v/>
      </c>
      <c r="FR351" s="131" t="str">
        <f t="shared" si="152"/>
        <v>0</v>
      </c>
      <c r="FS351" s="54" t="str">
        <f t="shared" si="153"/>
        <v/>
      </c>
      <c r="FT351" s="131" t="str">
        <f t="shared" si="195"/>
        <v>0</v>
      </c>
      <c r="FU351" s="217" t="str">
        <f t="shared" si="154"/>
        <v/>
      </c>
      <c r="FW351" s="667">
        <f t="shared" ref="FW351:FW382" si="196">IF(AF351="△既存不適格",AT351&amp;"(既存不適格)",AT351)</f>
        <v>0</v>
      </c>
      <c r="FX351" s="32"/>
      <c r="FY351" s="32"/>
      <c r="FZ351" s="668"/>
      <c r="GA351" s="14"/>
      <c r="GB351" s="658">
        <f t="shared" si="155"/>
        <v>0</v>
      </c>
      <c r="GC351" s="658">
        <f t="shared" si="156"/>
        <v>0</v>
      </c>
      <c r="GD351" s="658">
        <f t="shared" si="157"/>
        <v>0</v>
      </c>
      <c r="GE351" s="658" t="str">
        <f t="shared" si="158"/>
        <v/>
      </c>
      <c r="GF351" s="658" t="str">
        <f t="shared" si="159"/>
        <v/>
      </c>
      <c r="GG351" s="658" t="str">
        <f t="shared" si="160"/>
        <v/>
      </c>
      <c r="GH351" s="658" t="str">
        <f t="shared" si="161"/>
        <v/>
      </c>
      <c r="GI351" s="658" t="str">
        <f t="shared" si="162"/>
        <v/>
      </c>
      <c r="GJ351" s="658" t="str">
        <f t="shared" si="163"/>
        <v/>
      </c>
      <c r="GK351" s="658" t="str">
        <f t="shared" si="164"/>
        <v/>
      </c>
      <c r="GL351" s="658" t="str">
        <f t="shared" si="165"/>
        <v/>
      </c>
      <c r="GM351" s="658" t="str">
        <f t="shared" si="166"/>
        <v/>
      </c>
      <c r="GN351" s="658" t="str">
        <f t="shared" si="167"/>
        <v/>
      </c>
      <c r="GO351" s="658" t="str">
        <f t="shared" si="168"/>
        <v/>
      </c>
      <c r="GP351" s="658" t="str">
        <f t="shared" si="169"/>
        <v/>
      </c>
      <c r="GQ351" s="658" t="str">
        <f t="shared" si="170"/>
        <v/>
      </c>
      <c r="GR351" s="658" t="str">
        <f t="shared" si="171"/>
        <v/>
      </c>
      <c r="GS351" s="658" t="str">
        <f t="shared" si="172"/>
        <v/>
      </c>
      <c r="GT351" s="658">
        <f t="shared" si="94"/>
        <v>0</v>
      </c>
      <c r="GU351" s="658">
        <f t="shared" si="95"/>
        <v>0</v>
      </c>
      <c r="GV351" s="658">
        <f t="shared" si="96"/>
        <v>0</v>
      </c>
      <c r="GW351" s="658" t="b">
        <f t="shared" si="97"/>
        <v>0</v>
      </c>
      <c r="GX351" s="658" t="b">
        <f t="shared" si="98"/>
        <v>0</v>
      </c>
      <c r="GY351" s="658" t="b">
        <f t="shared" si="99"/>
        <v>0</v>
      </c>
      <c r="GZ351" s="658" t="str">
        <f t="shared" si="173"/>
        <v/>
      </c>
      <c r="HB351" s="658" t="str">
        <f t="shared" si="101"/>
        <v/>
      </c>
      <c r="HC351" s="658" t="str">
        <f t="shared" si="174"/>
        <v/>
      </c>
      <c r="HD351" s="658" t="str">
        <f t="shared" si="175"/>
        <v/>
      </c>
      <c r="HE351" s="658" t="str">
        <f t="shared" si="176"/>
        <v/>
      </c>
      <c r="HF351" s="658" t="str">
        <f t="shared" si="177"/>
        <v/>
      </c>
      <c r="HG351" s="658" t="str">
        <f t="shared" si="178"/>
        <v/>
      </c>
      <c r="HH351" s="658" t="str">
        <f t="shared" si="179"/>
        <v/>
      </c>
      <c r="HI351" s="658" t="str">
        <f t="shared" si="180"/>
        <v/>
      </c>
      <c r="HJ351" s="658" t="str">
        <f t="shared" si="181"/>
        <v/>
      </c>
      <c r="HK351" s="658" t="str">
        <f t="shared" si="182"/>
        <v/>
      </c>
      <c r="HL351" s="658" t="str">
        <f t="shared" si="183"/>
        <v/>
      </c>
      <c r="HM351" s="658" t="str">
        <f t="shared" si="184"/>
        <v/>
      </c>
      <c r="HN351" s="658" t="str">
        <f t="shared" si="185"/>
        <v/>
      </c>
      <c r="HO351" s="658" t="str">
        <f t="shared" si="186"/>
        <v/>
      </c>
      <c r="HP351" s="658" t="str">
        <f t="shared" si="187"/>
        <v/>
      </c>
      <c r="HQ351" s="658" t="str">
        <f t="shared" si="188"/>
        <v/>
      </c>
      <c r="HR351" s="658" t="str">
        <f t="shared" si="102"/>
        <v/>
      </c>
      <c r="HT351" s="658">
        <f>LEFT(M351,1)*10000+MID(M351,3,LEN(M351)-3)*100+COUNTIF($M$319:M351,M351)</f>
        <v>21501</v>
      </c>
      <c r="HU351" s="658" t="str">
        <f t="shared" si="103"/>
        <v/>
      </c>
      <c r="HV351" s="658" t="str">
        <f t="shared" si="189"/>
        <v/>
      </c>
      <c r="HW351" s="658" t="str">
        <f t="shared" si="104"/>
        <v/>
      </c>
      <c r="HX351" s="658" t="str">
        <f t="shared" si="190"/>
        <v/>
      </c>
    </row>
    <row r="352" spans="1:232" s="19" customFormat="1" ht="50.1" customHeight="1" x14ac:dyDescent="0.15">
      <c r="A352" s="1201"/>
      <c r="B352" s="1201"/>
      <c r="C352" s="1201"/>
      <c r="D352" s="1201"/>
      <c r="E352" s="1202"/>
      <c r="F352" s="652"/>
      <c r="G352" s="652"/>
      <c r="H352" s="652"/>
      <c r="I352" s="1354"/>
      <c r="J352" s="1234"/>
      <c r="K352" s="1261"/>
      <c r="L352" s="1261"/>
      <c r="M352" s="2142" t="s">
        <v>1139</v>
      </c>
      <c r="N352" s="2142"/>
      <c r="O352" s="2143"/>
      <c r="P352" s="2461"/>
      <c r="Q352" s="2461"/>
      <c r="R352" s="2429"/>
      <c r="S352" s="2429"/>
      <c r="T352" s="2429"/>
      <c r="U352" s="2445" t="s">
        <v>68</v>
      </c>
      <c r="V352" s="2445"/>
      <c r="W352" s="2445"/>
      <c r="X352" s="2445"/>
      <c r="Y352" s="2445"/>
      <c r="Z352" s="2445"/>
      <c r="AA352" s="2445"/>
      <c r="AB352" s="2445"/>
      <c r="AC352" s="2445"/>
      <c r="AD352" s="2445"/>
      <c r="AE352" s="2445"/>
      <c r="AF352" s="2459"/>
      <c r="AG352" s="2459"/>
      <c r="AH352" s="2459"/>
      <c r="AI352" s="2459"/>
      <c r="AJ352" s="2459"/>
      <c r="AK352" s="2459"/>
      <c r="AL352" s="2459"/>
      <c r="AM352" s="2459"/>
      <c r="AN352" s="2459"/>
      <c r="AO352" s="2459"/>
      <c r="AP352" s="2459"/>
      <c r="AQ352" s="2459"/>
      <c r="AR352" s="2152"/>
      <c r="AS352" s="2152"/>
      <c r="AT352" s="2432"/>
      <c r="AU352" s="2432"/>
      <c r="AV352" s="2432"/>
      <c r="AW352" s="2432"/>
      <c r="AX352" s="2432"/>
      <c r="AY352" s="2432"/>
      <c r="AZ352" s="2432"/>
      <c r="BA352" s="2432"/>
      <c r="BB352" s="2432"/>
      <c r="BC352" s="2432"/>
      <c r="BD352" s="2432"/>
      <c r="BE352" s="2432"/>
      <c r="BF352" s="2432"/>
      <c r="BG352" s="2432"/>
      <c r="BH352" s="2432"/>
      <c r="BI352" s="2432"/>
      <c r="BJ352" s="2432"/>
      <c r="BK352" s="2432"/>
      <c r="BL352" s="2432"/>
      <c r="BM352" s="2432"/>
      <c r="BN352" s="2432"/>
      <c r="BO352" s="2432"/>
      <c r="BP352" s="2432"/>
      <c r="BQ352" s="2432"/>
      <c r="BR352" s="2432"/>
      <c r="BS352" s="2270"/>
      <c r="BT352" s="2270"/>
      <c r="BU352" s="2270"/>
      <c r="BV352" s="2270"/>
      <c r="BW352" s="2270"/>
      <c r="BX352" s="2270"/>
      <c r="BY352" s="2270"/>
      <c r="BZ352" s="2152"/>
      <c r="CA352" s="2152"/>
      <c r="CB352" s="2736"/>
      <c r="CC352" s="2737"/>
      <c r="CD352" s="2737"/>
      <c r="CE352" s="2737"/>
      <c r="CF352" s="2737"/>
      <c r="CG352" s="2737"/>
      <c r="CH352" s="2737"/>
      <c r="CI352" s="2737"/>
      <c r="CJ352" s="2737"/>
      <c r="CK352" s="2737"/>
      <c r="CL352" s="2737"/>
      <c r="CM352" s="2737"/>
      <c r="CN352" s="2737"/>
      <c r="CO352" s="2737"/>
      <c r="CP352" s="2737"/>
      <c r="CQ352" s="2737"/>
      <c r="CR352" s="2737"/>
      <c r="CS352" s="2737"/>
      <c r="CT352" s="2737"/>
      <c r="CU352" s="2738"/>
      <c r="CV352" s="2300" t="str">
        <f t="shared" si="121"/>
        <v/>
      </c>
      <c r="CW352" s="2300"/>
      <c r="CX352" s="2300"/>
      <c r="CY352" s="2300"/>
      <c r="CZ352" s="2300"/>
      <c r="DA352" s="2300"/>
      <c r="DC352" s="329" t="str">
        <f t="shared" si="191"/>
        <v/>
      </c>
      <c r="DD352" s="197"/>
      <c r="DF352" s="14"/>
      <c r="DG352" s="14"/>
      <c r="DH352" s="14"/>
      <c r="DI352" s="1596"/>
      <c r="DJ352" s="1170" t="s">
        <v>2749</v>
      </c>
      <c r="DK352" s="1604" t="str">
        <f t="shared" si="122"/>
        <v/>
      </c>
      <c r="DL352" s="437" t="str">
        <f t="shared" si="123"/>
        <v/>
      </c>
      <c r="DM352" s="1128">
        <f t="shared" si="124"/>
        <v>0</v>
      </c>
      <c r="DN352" s="22">
        <f t="shared" si="125"/>
        <v>0</v>
      </c>
      <c r="DO352" s="22">
        <f t="shared" si="126"/>
        <v>0</v>
      </c>
      <c r="DP352" s="264">
        <f t="shared" si="127"/>
        <v>0</v>
      </c>
      <c r="DQ352" s="27" t="s">
        <v>282</v>
      </c>
      <c r="DR352" s="263" t="str">
        <f>IF($U352="",R351,U352)</f>
        <v>はめ殺し窓のガラスの固定の状況</v>
      </c>
      <c r="DS352" s="23">
        <f t="shared" si="128"/>
        <v>0</v>
      </c>
      <c r="DT352" s="29" t="str">
        <f t="shared" si="129"/>
        <v/>
      </c>
      <c r="DU352" s="242" t="str">
        <f t="shared" si="130"/>
        <v/>
      </c>
      <c r="DV352" s="57" t="str">
        <f>IF($DT352="要是正",MAX($DV$333:DV351)+1,"")</f>
        <v/>
      </c>
      <c r="DW352" s="273" t="str">
        <f t="shared" si="131"/>
        <v/>
      </c>
      <c r="DX352" s="30" t="str">
        <f t="shared" si="192"/>
        <v/>
      </c>
      <c r="DY352" s="13" t="str">
        <f t="shared" si="132"/>
        <v/>
      </c>
      <c r="DZ352" s="121" t="str">
        <f t="shared" si="133"/>
        <v/>
      </c>
      <c r="EA352" s="206" t="str">
        <f t="shared" si="134"/>
        <v/>
      </c>
      <c r="EB352" s="138" t="str">
        <f t="shared" si="135"/>
        <v/>
      </c>
      <c r="EC352" s="131" t="str">
        <f t="shared" si="136"/>
        <v>0</v>
      </c>
      <c r="ED352" s="54" t="str">
        <f t="shared" si="137"/>
        <v/>
      </c>
      <c r="EE352" s="131" t="str">
        <f t="shared" si="193"/>
        <v>0</v>
      </c>
      <c r="EF352" s="327" t="str">
        <f t="shared" si="138"/>
        <v/>
      </c>
      <c r="EG352" s="108" t="str">
        <f t="shared" si="139"/>
        <v/>
      </c>
      <c r="EH352" s="41" t="str">
        <f t="shared" si="140"/>
        <v>0</v>
      </c>
      <c r="EI352" s="54" t="str">
        <f t="shared" si="141"/>
        <v/>
      </c>
      <c r="EJ352" s="131" t="str">
        <f t="shared" si="194"/>
        <v>0</v>
      </c>
      <c r="EK352" s="241" t="str">
        <f t="shared" si="142"/>
        <v/>
      </c>
      <c r="EL352" s="242" t="e">
        <f t="shared" si="143"/>
        <v>#N/A</v>
      </c>
      <c r="EM352" s="57" t="e">
        <f t="shared" si="144"/>
        <v>#N/A</v>
      </c>
      <c r="EN352" s="243" t="e">
        <f t="shared" si="145"/>
        <v>#N/A</v>
      </c>
      <c r="FK352" s="326" t="str">
        <f t="shared" si="146"/>
        <v/>
      </c>
      <c r="FL352" s="326" t="str">
        <f t="shared" si="147"/>
        <v/>
      </c>
      <c r="FM352" s="326" t="str">
        <f t="shared" si="148"/>
        <v/>
      </c>
      <c r="FN352" s="326">
        <f t="shared" si="149"/>
        <v>0</v>
      </c>
      <c r="FO352" s="670" t="str">
        <f t="shared" si="150"/>
        <v/>
      </c>
      <c r="FQ352" s="138" t="str">
        <f t="shared" si="151"/>
        <v/>
      </c>
      <c r="FR352" s="131" t="str">
        <f t="shared" si="152"/>
        <v>0</v>
      </c>
      <c r="FS352" s="54" t="str">
        <f t="shared" si="153"/>
        <v/>
      </c>
      <c r="FT352" s="131" t="str">
        <f t="shared" si="195"/>
        <v>0</v>
      </c>
      <c r="FU352" s="217" t="str">
        <f t="shared" si="154"/>
        <v/>
      </c>
      <c r="FW352" s="667">
        <f t="shared" si="196"/>
        <v>0</v>
      </c>
      <c r="FX352" s="32"/>
      <c r="FY352" s="32"/>
      <c r="FZ352" s="668"/>
      <c r="GA352" s="14"/>
      <c r="GB352" s="658">
        <f t="shared" si="155"/>
        <v>0</v>
      </c>
      <c r="GC352" s="658">
        <f t="shared" si="156"/>
        <v>0</v>
      </c>
      <c r="GD352" s="658">
        <f t="shared" si="157"/>
        <v>0</v>
      </c>
      <c r="GE352" s="658" t="str">
        <f t="shared" si="158"/>
        <v/>
      </c>
      <c r="GF352" s="658" t="str">
        <f t="shared" si="159"/>
        <v/>
      </c>
      <c r="GG352" s="658" t="str">
        <f t="shared" si="160"/>
        <v/>
      </c>
      <c r="GH352" s="658" t="str">
        <f t="shared" si="161"/>
        <v/>
      </c>
      <c r="GI352" s="658" t="str">
        <f t="shared" si="162"/>
        <v/>
      </c>
      <c r="GJ352" s="658" t="str">
        <f t="shared" si="163"/>
        <v/>
      </c>
      <c r="GK352" s="658" t="str">
        <f t="shared" si="164"/>
        <v/>
      </c>
      <c r="GL352" s="658" t="str">
        <f t="shared" si="165"/>
        <v/>
      </c>
      <c r="GM352" s="658" t="str">
        <f t="shared" si="166"/>
        <v/>
      </c>
      <c r="GN352" s="658" t="str">
        <f t="shared" si="167"/>
        <v/>
      </c>
      <c r="GO352" s="658" t="str">
        <f t="shared" si="168"/>
        <v/>
      </c>
      <c r="GP352" s="658" t="str">
        <f t="shared" si="169"/>
        <v/>
      </c>
      <c r="GQ352" s="658" t="str">
        <f t="shared" si="170"/>
        <v/>
      </c>
      <c r="GR352" s="658" t="str">
        <f t="shared" si="171"/>
        <v/>
      </c>
      <c r="GS352" s="658" t="str">
        <f t="shared" si="172"/>
        <v/>
      </c>
      <c r="GT352" s="658">
        <f t="shared" si="94"/>
        <v>0</v>
      </c>
      <c r="GU352" s="658">
        <f t="shared" si="95"/>
        <v>0</v>
      </c>
      <c r="GV352" s="658">
        <f t="shared" si="96"/>
        <v>0</v>
      </c>
      <c r="GW352" s="658" t="b">
        <f t="shared" si="97"/>
        <v>0</v>
      </c>
      <c r="GX352" s="658" t="b">
        <f t="shared" si="98"/>
        <v>0</v>
      </c>
      <c r="GY352" s="658" t="b">
        <f t="shared" si="99"/>
        <v>0</v>
      </c>
      <c r="GZ352" s="658" t="str">
        <f t="shared" si="173"/>
        <v/>
      </c>
      <c r="HB352" s="658" t="str">
        <f t="shared" si="101"/>
        <v/>
      </c>
      <c r="HC352" s="658" t="str">
        <f t="shared" si="174"/>
        <v/>
      </c>
      <c r="HD352" s="658" t="str">
        <f t="shared" si="175"/>
        <v/>
      </c>
      <c r="HE352" s="658" t="str">
        <f t="shared" si="176"/>
        <v/>
      </c>
      <c r="HF352" s="658" t="str">
        <f t="shared" si="177"/>
        <v/>
      </c>
      <c r="HG352" s="658" t="str">
        <f t="shared" si="178"/>
        <v/>
      </c>
      <c r="HH352" s="658" t="str">
        <f t="shared" si="179"/>
        <v/>
      </c>
      <c r="HI352" s="658" t="str">
        <f t="shared" si="180"/>
        <v/>
      </c>
      <c r="HJ352" s="658" t="str">
        <f t="shared" si="181"/>
        <v/>
      </c>
      <c r="HK352" s="658" t="str">
        <f t="shared" si="182"/>
        <v/>
      </c>
      <c r="HL352" s="658" t="str">
        <f t="shared" si="183"/>
        <v/>
      </c>
      <c r="HM352" s="658" t="str">
        <f t="shared" si="184"/>
        <v/>
      </c>
      <c r="HN352" s="658" t="str">
        <f t="shared" si="185"/>
        <v/>
      </c>
      <c r="HO352" s="658" t="str">
        <f t="shared" si="186"/>
        <v/>
      </c>
      <c r="HP352" s="658" t="str">
        <f t="shared" si="187"/>
        <v/>
      </c>
      <c r="HQ352" s="658" t="str">
        <f t="shared" si="188"/>
        <v/>
      </c>
      <c r="HR352" s="658" t="str">
        <f t="shared" si="102"/>
        <v/>
      </c>
      <c r="HT352" s="658">
        <f>LEFT(M352,1)*10000+MID(M352,3,LEN(M352)-3)*100+COUNTIF($M$319:M352,M352)</f>
        <v>21601</v>
      </c>
      <c r="HU352" s="658" t="str">
        <f t="shared" si="103"/>
        <v/>
      </c>
      <c r="HV352" s="658" t="str">
        <f t="shared" si="189"/>
        <v/>
      </c>
      <c r="HW352" s="658" t="str">
        <f t="shared" si="104"/>
        <v/>
      </c>
      <c r="HX352" s="658" t="str">
        <f t="shared" si="190"/>
        <v/>
      </c>
    </row>
    <row r="353" spans="1:232" s="19" customFormat="1" ht="50.1" customHeight="1" x14ac:dyDescent="0.15">
      <c r="A353" s="1201"/>
      <c r="B353" s="1201"/>
      <c r="C353" s="1201"/>
      <c r="D353" s="1201"/>
      <c r="E353" s="1202"/>
      <c r="F353" s="652"/>
      <c r="G353" s="652"/>
      <c r="H353" s="652"/>
      <c r="I353" s="1354"/>
      <c r="J353" s="1234"/>
      <c r="K353" s="1261"/>
      <c r="L353" s="1261"/>
      <c r="M353" s="2142" t="s">
        <v>1140</v>
      </c>
      <c r="N353" s="2142"/>
      <c r="O353" s="2143"/>
      <c r="P353" s="2461"/>
      <c r="Q353" s="2461"/>
      <c r="R353" s="2444" t="s">
        <v>69</v>
      </c>
      <c r="S353" s="2444"/>
      <c r="T353" s="2444"/>
      <c r="U353" s="2438" t="s">
        <v>70</v>
      </c>
      <c r="V353" s="2438"/>
      <c r="W353" s="2438"/>
      <c r="X353" s="2438"/>
      <c r="Y353" s="2438"/>
      <c r="Z353" s="2438"/>
      <c r="AA353" s="2438"/>
      <c r="AB353" s="2438"/>
      <c r="AC353" s="2438"/>
      <c r="AD353" s="2438"/>
      <c r="AE353" s="2438"/>
      <c r="AF353" s="2302"/>
      <c r="AG353" s="2302"/>
      <c r="AH353" s="2302"/>
      <c r="AI353" s="2302"/>
      <c r="AJ353" s="2302"/>
      <c r="AK353" s="2302"/>
      <c r="AL353" s="2302"/>
      <c r="AM353" s="2302"/>
      <c r="AN353" s="2302"/>
      <c r="AO353" s="2302"/>
      <c r="AP353" s="2302"/>
      <c r="AQ353" s="2302"/>
      <c r="AR353" s="2272"/>
      <c r="AS353" s="2272"/>
      <c r="AT353" s="2406"/>
      <c r="AU353" s="2406"/>
      <c r="AV353" s="2406"/>
      <c r="AW353" s="2406"/>
      <c r="AX353" s="2406"/>
      <c r="AY353" s="2406"/>
      <c r="AZ353" s="2406"/>
      <c r="BA353" s="2406"/>
      <c r="BB353" s="2406"/>
      <c r="BC353" s="2406"/>
      <c r="BD353" s="2406"/>
      <c r="BE353" s="2406"/>
      <c r="BF353" s="2406"/>
      <c r="BG353" s="2406"/>
      <c r="BH353" s="2406"/>
      <c r="BI353" s="2406"/>
      <c r="BJ353" s="2406"/>
      <c r="BK353" s="2406"/>
      <c r="BL353" s="2406"/>
      <c r="BM353" s="2406"/>
      <c r="BN353" s="2406"/>
      <c r="BO353" s="2406"/>
      <c r="BP353" s="2406"/>
      <c r="BQ353" s="2406"/>
      <c r="BR353" s="2406"/>
      <c r="BS353" s="2271"/>
      <c r="BT353" s="2271"/>
      <c r="BU353" s="2271"/>
      <c r="BV353" s="2271"/>
      <c r="BW353" s="2271"/>
      <c r="BX353" s="2271"/>
      <c r="BY353" s="2271"/>
      <c r="BZ353" s="2272"/>
      <c r="CA353" s="2272"/>
      <c r="CB353" s="2407"/>
      <c r="CC353" s="2408"/>
      <c r="CD353" s="2408"/>
      <c r="CE353" s="2408"/>
      <c r="CF353" s="2408"/>
      <c r="CG353" s="2408"/>
      <c r="CH353" s="2408"/>
      <c r="CI353" s="2408"/>
      <c r="CJ353" s="2408"/>
      <c r="CK353" s="2408"/>
      <c r="CL353" s="2408"/>
      <c r="CM353" s="2408"/>
      <c r="CN353" s="2408"/>
      <c r="CO353" s="2408"/>
      <c r="CP353" s="2408"/>
      <c r="CQ353" s="2408"/>
      <c r="CR353" s="2408"/>
      <c r="CS353" s="2408"/>
      <c r="CT353" s="2408"/>
      <c r="CU353" s="2409"/>
      <c r="CV353" s="2300" t="str">
        <f t="shared" si="121"/>
        <v/>
      </c>
      <c r="CW353" s="2300"/>
      <c r="CX353" s="2300"/>
      <c r="CY353" s="2300"/>
      <c r="CZ353" s="2300"/>
      <c r="DA353" s="2300"/>
      <c r="DC353" s="329" t="str">
        <f t="shared" si="191"/>
        <v/>
      </c>
      <c r="DD353" s="197"/>
      <c r="DF353" s="14"/>
      <c r="DG353" s="14"/>
      <c r="DH353" s="14"/>
      <c r="DI353" s="1596"/>
      <c r="DJ353" s="1170" t="s">
        <v>2749</v>
      </c>
      <c r="DK353" s="1604" t="str">
        <f t="shared" si="122"/>
        <v/>
      </c>
      <c r="DL353" s="437" t="str">
        <f t="shared" si="123"/>
        <v/>
      </c>
      <c r="DM353" s="1128">
        <f t="shared" si="124"/>
        <v>0</v>
      </c>
      <c r="DN353" s="22">
        <f t="shared" si="125"/>
        <v>0</v>
      </c>
      <c r="DO353" s="22">
        <f t="shared" si="126"/>
        <v>0</v>
      </c>
      <c r="DP353" s="264">
        <f t="shared" si="127"/>
        <v>0</v>
      </c>
      <c r="DQ353" s="27" t="s">
        <v>283</v>
      </c>
      <c r="DR353" s="263" t="str">
        <f>IF($U353="",R353,U353)</f>
        <v>機器本体の劣化及び損傷の状況</v>
      </c>
      <c r="DS353" s="23">
        <f t="shared" si="128"/>
        <v>0</v>
      </c>
      <c r="DT353" s="29" t="str">
        <f t="shared" si="129"/>
        <v/>
      </c>
      <c r="DU353" s="242" t="str">
        <f t="shared" si="130"/>
        <v/>
      </c>
      <c r="DV353" s="57" t="str">
        <f>IF($DT353="要是正",MAX($DV$333:DV352)+1,"")</f>
        <v/>
      </c>
      <c r="DW353" s="273" t="str">
        <f t="shared" si="131"/>
        <v/>
      </c>
      <c r="DX353" s="30" t="str">
        <f t="shared" si="192"/>
        <v/>
      </c>
      <c r="DY353" s="13" t="str">
        <f t="shared" si="132"/>
        <v/>
      </c>
      <c r="DZ353" s="121" t="str">
        <f t="shared" si="133"/>
        <v/>
      </c>
      <c r="EA353" s="206" t="str">
        <f t="shared" si="134"/>
        <v/>
      </c>
      <c r="EB353" s="138" t="str">
        <f t="shared" si="135"/>
        <v/>
      </c>
      <c r="EC353" s="131" t="str">
        <f t="shared" si="136"/>
        <v>0</v>
      </c>
      <c r="ED353" s="54" t="str">
        <f t="shared" si="137"/>
        <v/>
      </c>
      <c r="EE353" s="131" t="str">
        <f t="shared" si="193"/>
        <v>0</v>
      </c>
      <c r="EF353" s="327" t="str">
        <f t="shared" si="138"/>
        <v/>
      </c>
      <c r="EG353" s="108" t="str">
        <f t="shared" si="139"/>
        <v/>
      </c>
      <c r="EH353" s="41" t="str">
        <f t="shared" si="140"/>
        <v>0</v>
      </c>
      <c r="EI353" s="54" t="str">
        <f t="shared" si="141"/>
        <v/>
      </c>
      <c r="EJ353" s="131" t="str">
        <f t="shared" si="194"/>
        <v>0</v>
      </c>
      <c r="EK353" s="241" t="str">
        <f t="shared" si="142"/>
        <v/>
      </c>
      <c r="EL353" s="242" t="e">
        <f t="shared" si="143"/>
        <v>#N/A</v>
      </c>
      <c r="EM353" s="57" t="e">
        <f t="shared" si="144"/>
        <v>#N/A</v>
      </c>
      <c r="EN353" s="243" t="e">
        <f t="shared" si="145"/>
        <v>#N/A</v>
      </c>
      <c r="FK353" s="326" t="str">
        <f t="shared" si="146"/>
        <v/>
      </c>
      <c r="FL353" s="326" t="str">
        <f t="shared" si="147"/>
        <v/>
      </c>
      <c r="FM353" s="326" t="str">
        <f t="shared" si="148"/>
        <v/>
      </c>
      <c r="FN353" s="326">
        <f t="shared" si="149"/>
        <v>0</v>
      </c>
      <c r="FO353" s="670" t="str">
        <f t="shared" si="150"/>
        <v/>
      </c>
      <c r="FQ353" s="138" t="str">
        <f t="shared" si="151"/>
        <v/>
      </c>
      <c r="FR353" s="131" t="str">
        <f t="shared" si="152"/>
        <v>0</v>
      </c>
      <c r="FS353" s="54" t="str">
        <f t="shared" si="153"/>
        <v/>
      </c>
      <c r="FT353" s="131" t="str">
        <f t="shared" si="195"/>
        <v>0</v>
      </c>
      <c r="FU353" s="217" t="str">
        <f t="shared" si="154"/>
        <v/>
      </c>
      <c r="FW353" s="667">
        <f t="shared" si="196"/>
        <v>0</v>
      </c>
      <c r="FX353" s="32"/>
      <c r="FY353" s="32"/>
      <c r="FZ353" s="668"/>
      <c r="GA353" s="14"/>
      <c r="GB353" s="658">
        <f t="shared" si="155"/>
        <v>0</v>
      </c>
      <c r="GC353" s="658">
        <f t="shared" si="156"/>
        <v>0</v>
      </c>
      <c r="GD353" s="658">
        <f t="shared" si="157"/>
        <v>0</v>
      </c>
      <c r="GE353" s="658" t="str">
        <f t="shared" si="158"/>
        <v/>
      </c>
      <c r="GF353" s="658" t="str">
        <f t="shared" si="159"/>
        <v/>
      </c>
      <c r="GG353" s="658" t="str">
        <f t="shared" si="160"/>
        <v/>
      </c>
      <c r="GH353" s="658" t="str">
        <f t="shared" si="161"/>
        <v/>
      </c>
      <c r="GI353" s="658" t="str">
        <f t="shared" si="162"/>
        <v/>
      </c>
      <c r="GJ353" s="658" t="str">
        <f t="shared" si="163"/>
        <v/>
      </c>
      <c r="GK353" s="658" t="str">
        <f t="shared" si="164"/>
        <v/>
      </c>
      <c r="GL353" s="658" t="str">
        <f t="shared" si="165"/>
        <v/>
      </c>
      <c r="GM353" s="658" t="str">
        <f t="shared" si="166"/>
        <v/>
      </c>
      <c r="GN353" s="658" t="str">
        <f t="shared" si="167"/>
        <v/>
      </c>
      <c r="GO353" s="658" t="str">
        <f t="shared" si="168"/>
        <v/>
      </c>
      <c r="GP353" s="658" t="str">
        <f t="shared" si="169"/>
        <v/>
      </c>
      <c r="GQ353" s="658" t="str">
        <f t="shared" si="170"/>
        <v/>
      </c>
      <c r="GR353" s="658" t="str">
        <f t="shared" si="171"/>
        <v/>
      </c>
      <c r="GS353" s="658" t="str">
        <f t="shared" si="172"/>
        <v/>
      </c>
      <c r="GT353" s="658">
        <f t="shared" si="94"/>
        <v>0</v>
      </c>
      <c r="GU353" s="658">
        <f t="shared" si="95"/>
        <v>0</v>
      </c>
      <c r="GV353" s="658">
        <f t="shared" si="96"/>
        <v>0</v>
      </c>
      <c r="GW353" s="658" t="b">
        <f t="shared" si="97"/>
        <v>0</v>
      </c>
      <c r="GX353" s="658" t="b">
        <f t="shared" si="98"/>
        <v>0</v>
      </c>
      <c r="GY353" s="658" t="b">
        <f t="shared" si="99"/>
        <v>0</v>
      </c>
      <c r="GZ353" s="658" t="str">
        <f t="shared" si="173"/>
        <v/>
      </c>
      <c r="HB353" s="658" t="str">
        <f t="shared" si="101"/>
        <v/>
      </c>
      <c r="HC353" s="658" t="str">
        <f t="shared" si="174"/>
        <v/>
      </c>
      <c r="HD353" s="658" t="str">
        <f t="shared" si="175"/>
        <v/>
      </c>
      <c r="HE353" s="658" t="str">
        <f t="shared" si="176"/>
        <v/>
      </c>
      <c r="HF353" s="658" t="str">
        <f t="shared" si="177"/>
        <v/>
      </c>
      <c r="HG353" s="658" t="str">
        <f t="shared" si="178"/>
        <v/>
      </c>
      <c r="HH353" s="658" t="str">
        <f t="shared" si="179"/>
        <v/>
      </c>
      <c r="HI353" s="658" t="str">
        <f t="shared" si="180"/>
        <v/>
      </c>
      <c r="HJ353" s="658" t="str">
        <f t="shared" si="181"/>
        <v/>
      </c>
      <c r="HK353" s="658" t="str">
        <f t="shared" si="182"/>
        <v/>
      </c>
      <c r="HL353" s="658" t="str">
        <f t="shared" si="183"/>
        <v/>
      </c>
      <c r="HM353" s="658" t="str">
        <f t="shared" si="184"/>
        <v/>
      </c>
      <c r="HN353" s="658" t="str">
        <f t="shared" si="185"/>
        <v/>
      </c>
      <c r="HO353" s="658" t="str">
        <f t="shared" si="186"/>
        <v/>
      </c>
      <c r="HP353" s="658" t="str">
        <f t="shared" si="187"/>
        <v/>
      </c>
      <c r="HQ353" s="658" t="str">
        <f t="shared" si="188"/>
        <v/>
      </c>
      <c r="HR353" s="658" t="str">
        <f t="shared" si="102"/>
        <v/>
      </c>
      <c r="HT353" s="658">
        <f>LEFT(M353,1)*10000+MID(M353,3,LEN(M353)-3)*100+COUNTIF($M$319:M353,M353)</f>
        <v>21701</v>
      </c>
      <c r="HU353" s="658" t="str">
        <f t="shared" si="103"/>
        <v/>
      </c>
      <c r="HV353" s="658" t="str">
        <f t="shared" si="189"/>
        <v/>
      </c>
      <c r="HW353" s="658" t="str">
        <f t="shared" si="104"/>
        <v/>
      </c>
      <c r="HX353" s="658" t="str">
        <f t="shared" si="190"/>
        <v/>
      </c>
    </row>
    <row r="354" spans="1:232" s="19" customFormat="1" ht="50.1" customHeight="1" thickBot="1" x14ac:dyDescent="0.2">
      <c r="A354" s="1201"/>
      <c r="B354" s="1201"/>
      <c r="C354" s="1201"/>
      <c r="D354" s="1201"/>
      <c r="E354" s="1202"/>
      <c r="F354" s="652"/>
      <c r="G354" s="652"/>
      <c r="H354" s="652"/>
      <c r="I354" s="1354"/>
      <c r="J354" s="1234"/>
      <c r="K354" s="1261"/>
      <c r="L354" s="1261"/>
      <c r="M354" s="2650" t="s">
        <v>1141</v>
      </c>
      <c r="N354" s="2650"/>
      <c r="O354" s="2650"/>
      <c r="P354" s="2461"/>
      <c r="Q354" s="2461"/>
      <c r="R354" s="2430"/>
      <c r="S354" s="2430"/>
      <c r="T354" s="2430"/>
      <c r="U354" s="2513" t="s">
        <v>71</v>
      </c>
      <c r="V354" s="2513"/>
      <c r="W354" s="2513"/>
      <c r="X354" s="2513"/>
      <c r="Y354" s="2513"/>
      <c r="Z354" s="2513"/>
      <c r="AA354" s="2513"/>
      <c r="AB354" s="2513"/>
      <c r="AC354" s="2513"/>
      <c r="AD354" s="2513"/>
      <c r="AE354" s="2513"/>
      <c r="AF354" s="2443"/>
      <c r="AG354" s="2443"/>
      <c r="AH354" s="2443"/>
      <c r="AI354" s="2443"/>
      <c r="AJ354" s="2443"/>
      <c r="AK354" s="2443"/>
      <c r="AL354" s="2443"/>
      <c r="AM354" s="2443"/>
      <c r="AN354" s="2443"/>
      <c r="AO354" s="2443"/>
      <c r="AP354" s="2443"/>
      <c r="AQ354" s="2443"/>
      <c r="AR354" s="2476"/>
      <c r="AS354" s="2476"/>
      <c r="AT354" s="2472"/>
      <c r="AU354" s="2472"/>
      <c r="AV354" s="2472"/>
      <c r="AW354" s="2472"/>
      <c r="AX354" s="2472"/>
      <c r="AY354" s="2472"/>
      <c r="AZ354" s="2472"/>
      <c r="BA354" s="2472"/>
      <c r="BB354" s="2472"/>
      <c r="BC354" s="2472"/>
      <c r="BD354" s="2472"/>
      <c r="BE354" s="2472"/>
      <c r="BF354" s="2472"/>
      <c r="BG354" s="2472"/>
      <c r="BH354" s="2472"/>
      <c r="BI354" s="2472"/>
      <c r="BJ354" s="2472"/>
      <c r="BK354" s="2472"/>
      <c r="BL354" s="2472"/>
      <c r="BM354" s="2472"/>
      <c r="BN354" s="2472"/>
      <c r="BO354" s="2472"/>
      <c r="BP354" s="2472"/>
      <c r="BQ354" s="2472"/>
      <c r="BR354" s="2472"/>
      <c r="BS354" s="2463"/>
      <c r="BT354" s="2463"/>
      <c r="BU354" s="2463"/>
      <c r="BV354" s="2463"/>
      <c r="BW354" s="2463"/>
      <c r="BX354" s="2463"/>
      <c r="BY354" s="2463"/>
      <c r="BZ354" s="2476"/>
      <c r="CA354" s="2476"/>
      <c r="CB354" s="2317"/>
      <c r="CC354" s="2174"/>
      <c r="CD354" s="2174"/>
      <c r="CE354" s="2174"/>
      <c r="CF354" s="2174"/>
      <c r="CG354" s="2174"/>
      <c r="CH354" s="2174"/>
      <c r="CI354" s="2174"/>
      <c r="CJ354" s="2174"/>
      <c r="CK354" s="2174"/>
      <c r="CL354" s="2174"/>
      <c r="CM354" s="2174"/>
      <c r="CN354" s="2174"/>
      <c r="CO354" s="2174"/>
      <c r="CP354" s="2174"/>
      <c r="CQ354" s="2174"/>
      <c r="CR354" s="2174"/>
      <c r="CS354" s="2174"/>
      <c r="CT354" s="2174"/>
      <c r="CU354" s="2318"/>
      <c r="CV354" s="2300" t="str">
        <f t="shared" si="121"/>
        <v/>
      </c>
      <c r="CW354" s="2300"/>
      <c r="CX354" s="2300"/>
      <c r="CY354" s="2300"/>
      <c r="CZ354" s="2300"/>
      <c r="DA354" s="2300"/>
      <c r="DC354" s="329" t="str">
        <f t="shared" si="191"/>
        <v/>
      </c>
      <c r="DD354" s="197"/>
      <c r="DF354" s="14"/>
      <c r="DG354" s="14"/>
      <c r="DH354" s="14"/>
      <c r="DI354" s="1596"/>
      <c r="DJ354" s="1170" t="s">
        <v>2749</v>
      </c>
      <c r="DK354" s="1604" t="str">
        <f t="shared" si="122"/>
        <v/>
      </c>
      <c r="DL354" s="437" t="str">
        <f t="shared" si="123"/>
        <v/>
      </c>
      <c r="DM354" s="1129">
        <f t="shared" si="124"/>
        <v>0</v>
      </c>
      <c r="DN354" s="266">
        <f t="shared" si="125"/>
        <v>0</v>
      </c>
      <c r="DO354" s="266">
        <f t="shared" si="126"/>
        <v>0</v>
      </c>
      <c r="DP354" s="267">
        <f t="shared" si="127"/>
        <v>0</v>
      </c>
      <c r="DQ354" s="27" t="s">
        <v>284</v>
      </c>
      <c r="DR354" s="265" t="str">
        <f>IF($U354="",R353,U354)</f>
        <v>支持部分等の劣化及び損傷の状況</v>
      </c>
      <c r="DS354" s="125">
        <f t="shared" si="128"/>
        <v>0</v>
      </c>
      <c r="DT354" s="270" t="str">
        <f t="shared" si="129"/>
        <v/>
      </c>
      <c r="DU354" s="136" t="str">
        <f t="shared" si="130"/>
        <v/>
      </c>
      <c r="DV354" s="137" t="str">
        <f>IF($DT354="要是正",MAX($DV$333:DV353)+1,"")</f>
        <v/>
      </c>
      <c r="DW354" s="274" t="str">
        <f t="shared" si="131"/>
        <v/>
      </c>
      <c r="DX354" s="300" t="str">
        <f t="shared" si="192"/>
        <v/>
      </c>
      <c r="DY354" s="301" t="str">
        <f t="shared" si="132"/>
        <v/>
      </c>
      <c r="DZ354" s="302" t="str">
        <f t="shared" si="133"/>
        <v/>
      </c>
      <c r="EA354" s="206" t="str">
        <f t="shared" si="134"/>
        <v/>
      </c>
      <c r="EB354" s="138" t="str">
        <f t="shared" si="135"/>
        <v/>
      </c>
      <c r="EC354" s="131" t="str">
        <f t="shared" si="136"/>
        <v>0</v>
      </c>
      <c r="ED354" s="54" t="str">
        <f t="shared" si="137"/>
        <v/>
      </c>
      <c r="EE354" s="131" t="str">
        <f t="shared" si="193"/>
        <v>0</v>
      </c>
      <c r="EF354" s="327" t="str">
        <f t="shared" si="138"/>
        <v/>
      </c>
      <c r="EG354" s="108" t="str">
        <f t="shared" si="139"/>
        <v/>
      </c>
      <c r="EH354" s="41" t="str">
        <f t="shared" si="140"/>
        <v>0</v>
      </c>
      <c r="EI354" s="54" t="str">
        <f t="shared" si="141"/>
        <v/>
      </c>
      <c r="EJ354" s="131" t="str">
        <f t="shared" si="194"/>
        <v>0</v>
      </c>
      <c r="EK354" s="241" t="str">
        <f t="shared" si="142"/>
        <v/>
      </c>
      <c r="EL354" s="242" t="e">
        <f t="shared" si="143"/>
        <v>#N/A</v>
      </c>
      <c r="EM354" s="57" t="e">
        <f t="shared" si="144"/>
        <v>#N/A</v>
      </c>
      <c r="EN354" s="243" t="e">
        <f t="shared" si="145"/>
        <v>#N/A</v>
      </c>
      <c r="FK354" s="326" t="str">
        <f t="shared" si="146"/>
        <v/>
      </c>
      <c r="FL354" s="326" t="str">
        <f t="shared" si="147"/>
        <v/>
      </c>
      <c r="FM354" s="326" t="str">
        <f t="shared" si="148"/>
        <v/>
      </c>
      <c r="FN354" s="326">
        <f t="shared" si="149"/>
        <v>0</v>
      </c>
      <c r="FO354" s="670" t="str">
        <f t="shared" si="150"/>
        <v/>
      </c>
      <c r="FQ354" s="138" t="str">
        <f t="shared" si="151"/>
        <v/>
      </c>
      <c r="FR354" s="131" t="str">
        <f t="shared" si="152"/>
        <v>0</v>
      </c>
      <c r="FS354" s="54" t="str">
        <f t="shared" si="153"/>
        <v/>
      </c>
      <c r="FT354" s="131" t="str">
        <f t="shared" si="195"/>
        <v>0</v>
      </c>
      <c r="FU354" s="217" t="str">
        <f t="shared" si="154"/>
        <v/>
      </c>
      <c r="FW354" s="667">
        <f t="shared" si="196"/>
        <v>0</v>
      </c>
      <c r="FX354" s="32"/>
      <c r="FY354" s="32"/>
      <c r="FZ354" s="668"/>
      <c r="GA354" s="14"/>
      <c r="GB354" s="658">
        <f t="shared" si="155"/>
        <v>0</v>
      </c>
      <c r="GC354" s="658">
        <f t="shared" si="156"/>
        <v>0</v>
      </c>
      <c r="GD354" s="658">
        <f t="shared" si="157"/>
        <v>0</v>
      </c>
      <c r="GE354" s="658" t="str">
        <f t="shared" si="158"/>
        <v/>
      </c>
      <c r="GF354" s="658" t="str">
        <f t="shared" si="159"/>
        <v/>
      </c>
      <c r="GG354" s="658" t="str">
        <f t="shared" si="160"/>
        <v/>
      </c>
      <c r="GH354" s="658" t="str">
        <f t="shared" si="161"/>
        <v/>
      </c>
      <c r="GI354" s="658" t="str">
        <f t="shared" si="162"/>
        <v/>
      </c>
      <c r="GJ354" s="658" t="str">
        <f t="shared" si="163"/>
        <v/>
      </c>
      <c r="GK354" s="658" t="str">
        <f t="shared" si="164"/>
        <v/>
      </c>
      <c r="GL354" s="658" t="str">
        <f t="shared" si="165"/>
        <v/>
      </c>
      <c r="GM354" s="658" t="str">
        <f t="shared" si="166"/>
        <v/>
      </c>
      <c r="GN354" s="658" t="str">
        <f t="shared" si="167"/>
        <v/>
      </c>
      <c r="GO354" s="658" t="str">
        <f t="shared" si="168"/>
        <v/>
      </c>
      <c r="GP354" s="658" t="str">
        <f t="shared" si="169"/>
        <v/>
      </c>
      <c r="GQ354" s="658" t="str">
        <f t="shared" si="170"/>
        <v/>
      </c>
      <c r="GR354" s="658" t="str">
        <f t="shared" si="171"/>
        <v/>
      </c>
      <c r="GS354" s="658" t="str">
        <f t="shared" si="172"/>
        <v/>
      </c>
      <c r="GT354" s="658">
        <f t="shared" si="94"/>
        <v>0</v>
      </c>
      <c r="GU354" s="658">
        <f t="shared" si="95"/>
        <v>0</v>
      </c>
      <c r="GV354" s="658">
        <f t="shared" si="96"/>
        <v>0</v>
      </c>
      <c r="GW354" s="658" t="b">
        <f t="shared" si="97"/>
        <v>0</v>
      </c>
      <c r="GX354" s="658" t="b">
        <f t="shared" si="98"/>
        <v>0</v>
      </c>
      <c r="GY354" s="658" t="b">
        <f t="shared" si="99"/>
        <v>0</v>
      </c>
      <c r="GZ354" s="658" t="str">
        <f t="shared" si="173"/>
        <v/>
      </c>
      <c r="HB354" s="658" t="str">
        <f t="shared" si="101"/>
        <v/>
      </c>
      <c r="HC354" s="658" t="str">
        <f t="shared" si="174"/>
        <v/>
      </c>
      <c r="HD354" s="658" t="str">
        <f t="shared" si="175"/>
        <v/>
      </c>
      <c r="HE354" s="658" t="str">
        <f t="shared" si="176"/>
        <v/>
      </c>
      <c r="HF354" s="658" t="str">
        <f t="shared" si="177"/>
        <v/>
      </c>
      <c r="HG354" s="658" t="str">
        <f t="shared" si="178"/>
        <v/>
      </c>
      <c r="HH354" s="658" t="str">
        <f t="shared" si="179"/>
        <v/>
      </c>
      <c r="HI354" s="658" t="str">
        <f t="shared" si="180"/>
        <v/>
      </c>
      <c r="HJ354" s="658" t="str">
        <f t="shared" si="181"/>
        <v/>
      </c>
      <c r="HK354" s="658" t="str">
        <f t="shared" si="182"/>
        <v/>
      </c>
      <c r="HL354" s="658" t="str">
        <f t="shared" si="183"/>
        <v/>
      </c>
      <c r="HM354" s="658" t="str">
        <f t="shared" si="184"/>
        <v/>
      </c>
      <c r="HN354" s="658" t="str">
        <f t="shared" si="185"/>
        <v/>
      </c>
      <c r="HO354" s="658" t="str">
        <f t="shared" si="186"/>
        <v/>
      </c>
      <c r="HP354" s="658" t="str">
        <f t="shared" si="187"/>
        <v/>
      </c>
      <c r="HQ354" s="658" t="str">
        <f t="shared" si="188"/>
        <v/>
      </c>
      <c r="HR354" s="658" t="str">
        <f t="shared" si="102"/>
        <v/>
      </c>
      <c r="HT354" s="658">
        <f>LEFT(M354,1)*10000+MID(M354,3,LEN(M354)-3)*100+COUNTIF($M$319:M354,M354)</f>
        <v>21801</v>
      </c>
      <c r="HU354" s="658" t="str">
        <f t="shared" si="103"/>
        <v/>
      </c>
      <c r="HV354" s="658" t="str">
        <f t="shared" si="189"/>
        <v/>
      </c>
      <c r="HW354" s="658" t="str">
        <f t="shared" si="104"/>
        <v/>
      </c>
      <c r="HX354" s="658" t="str">
        <f t="shared" si="190"/>
        <v/>
      </c>
    </row>
    <row r="355" spans="1:232" s="19" customFormat="1" ht="50.1" hidden="1" customHeight="1" thickBot="1" x14ac:dyDescent="0.2">
      <c r="A355" s="1201"/>
      <c r="B355" s="1201"/>
      <c r="C355" s="1201"/>
      <c r="D355" s="1201"/>
      <c r="E355" s="1202"/>
      <c r="F355" s="652"/>
      <c r="G355" s="652"/>
      <c r="H355" s="652"/>
      <c r="I355" s="1354"/>
      <c r="J355" s="1234"/>
      <c r="K355" s="1261"/>
      <c r="L355" s="1261"/>
      <c r="M355" s="2149" t="s">
        <v>1720</v>
      </c>
      <c r="N355" s="2149"/>
      <c r="O355" s="2149"/>
      <c r="P355" s="2461"/>
      <c r="Q355" s="2461"/>
      <c r="R355" s="2430"/>
      <c r="S355" s="2430"/>
      <c r="T355" s="2430"/>
      <c r="U355" s="2435"/>
      <c r="V355" s="2435"/>
      <c r="W355" s="2435"/>
      <c r="X355" s="2435"/>
      <c r="Y355" s="2435"/>
      <c r="Z355" s="2435"/>
      <c r="AA355" s="2435"/>
      <c r="AB355" s="2435"/>
      <c r="AC355" s="2435"/>
      <c r="AD355" s="2435"/>
      <c r="AE355" s="2435"/>
      <c r="AF355" s="2434"/>
      <c r="AG355" s="2434"/>
      <c r="AH355" s="2434"/>
      <c r="AI355" s="2434"/>
      <c r="AJ355" s="2434"/>
      <c r="AK355" s="2434"/>
      <c r="AL355" s="2434"/>
      <c r="AM355" s="2434"/>
      <c r="AN355" s="2434"/>
      <c r="AO355" s="2434"/>
      <c r="AP355" s="2434"/>
      <c r="AQ355" s="2434"/>
      <c r="AR355" s="2307"/>
      <c r="AS355" s="2307"/>
      <c r="AT355" s="2410"/>
      <c r="AU355" s="2410"/>
      <c r="AV355" s="2410"/>
      <c r="AW355" s="2410"/>
      <c r="AX355" s="2410"/>
      <c r="AY355" s="2410"/>
      <c r="AZ355" s="2410"/>
      <c r="BA355" s="2410"/>
      <c r="BB355" s="2410"/>
      <c r="BC355" s="2410"/>
      <c r="BD355" s="2410"/>
      <c r="BE355" s="2410"/>
      <c r="BF355" s="2410"/>
      <c r="BG355" s="2410"/>
      <c r="BH355" s="2410"/>
      <c r="BI355" s="2410"/>
      <c r="BJ355" s="2410"/>
      <c r="BK355" s="2410"/>
      <c r="BL355" s="2410"/>
      <c r="BM355" s="2410"/>
      <c r="BN355" s="2410"/>
      <c r="BO355" s="2410"/>
      <c r="BP355" s="2410"/>
      <c r="BQ355" s="2410"/>
      <c r="BR355" s="2410"/>
      <c r="BS355" s="2296"/>
      <c r="BT355" s="2296"/>
      <c r="BU355" s="2296"/>
      <c r="BV355" s="2296"/>
      <c r="BW355" s="2296"/>
      <c r="BX355" s="2296"/>
      <c r="BY355" s="2296"/>
      <c r="BZ355" s="2307"/>
      <c r="CA355" s="2307"/>
      <c r="CB355" s="2317"/>
      <c r="CC355" s="2174"/>
      <c r="CD355" s="2174"/>
      <c r="CE355" s="2174"/>
      <c r="CF355" s="2174"/>
      <c r="CG355" s="2174"/>
      <c r="CH355" s="2174"/>
      <c r="CI355" s="2174"/>
      <c r="CJ355" s="2174"/>
      <c r="CK355" s="2174"/>
      <c r="CL355" s="2174"/>
      <c r="CM355" s="2174"/>
      <c r="CN355" s="2174"/>
      <c r="CO355" s="2174"/>
      <c r="CP355" s="2174"/>
      <c r="CQ355" s="2174"/>
      <c r="CR355" s="2174"/>
      <c r="CS355" s="2174"/>
      <c r="CT355" s="2174"/>
      <c r="CU355" s="2318"/>
      <c r="CV355" s="2300" t="str">
        <f t="shared" ref="CV355:CV359" si="197">IF(AND(DT355="要是正",DU355&lt;21),HYPERLINK("#"&amp;EL355&amp;"!"&amp;EM355&amp;":"&amp;EN355&amp;"","関連写真添付"),"")</f>
        <v/>
      </c>
      <c r="CW355" s="2300"/>
      <c r="CX355" s="2300"/>
      <c r="CY355" s="2300"/>
      <c r="CZ355" s="2300"/>
      <c r="DA355" s="2300"/>
      <c r="DC355" s="329" t="str">
        <f t="shared" ref="DC355:DC359" si="198">IF(AND(DU355&lt;&gt;"",DU355&gt;20),"「別途様式を作成、提出してください。」","")</f>
        <v/>
      </c>
      <c r="DD355" s="197"/>
      <c r="DF355" s="14"/>
      <c r="DG355" s="14"/>
      <c r="DH355" s="14"/>
      <c r="DI355" s="1596"/>
      <c r="DJ355" s="1170" t="s">
        <v>2749</v>
      </c>
      <c r="DK355" s="1604" t="str">
        <f t="shared" si="122"/>
        <v/>
      </c>
      <c r="DL355" s="437" t="str">
        <f t="shared" si="123"/>
        <v/>
      </c>
      <c r="DM355" s="1129">
        <f t="shared" si="124"/>
        <v>0</v>
      </c>
      <c r="DN355" s="266">
        <f t="shared" si="125"/>
        <v>0</v>
      </c>
      <c r="DO355" s="266">
        <f t="shared" si="126"/>
        <v>0</v>
      </c>
      <c r="DP355" s="267">
        <f t="shared" si="127"/>
        <v>0</v>
      </c>
      <c r="DQ355" s="27" t="s">
        <v>1720</v>
      </c>
      <c r="DR355" s="265">
        <f>IF($U355="",R355,U355)</f>
        <v>0</v>
      </c>
      <c r="DS355" s="125">
        <f t="shared" si="128"/>
        <v>0</v>
      </c>
      <c r="DT355" s="270" t="str">
        <f t="shared" si="129"/>
        <v/>
      </c>
      <c r="DU355" s="136" t="str">
        <f t="shared" si="130"/>
        <v/>
      </c>
      <c r="DV355" s="137" t="str">
        <f>IF($DT355="要是正",MAX($DV$333:DV354)+1,"")</f>
        <v/>
      </c>
      <c r="DW355" s="274" t="str">
        <f t="shared" si="131"/>
        <v/>
      </c>
      <c r="DX355" s="300" t="str">
        <f t="shared" si="192"/>
        <v/>
      </c>
      <c r="DY355" s="301" t="str">
        <f t="shared" si="132"/>
        <v/>
      </c>
      <c r="DZ355" s="302" t="str">
        <f t="shared" si="133"/>
        <v/>
      </c>
      <c r="EA355" s="206" t="str">
        <f t="shared" si="134"/>
        <v/>
      </c>
      <c r="EB355" s="138" t="str">
        <f t="shared" si="135"/>
        <v/>
      </c>
      <c r="EC355" s="131" t="str">
        <f t="shared" si="136"/>
        <v>0</v>
      </c>
      <c r="ED355" s="54" t="str">
        <f t="shared" si="137"/>
        <v/>
      </c>
      <c r="EE355" s="131" t="str">
        <f t="shared" ref="EE355:EE359" si="199">IF(ED355=1,EC355,"0")</f>
        <v>0</v>
      </c>
      <c r="EF355" s="327" t="str">
        <f t="shared" si="138"/>
        <v/>
      </c>
      <c r="EG355" s="108" t="str">
        <f t="shared" si="139"/>
        <v/>
      </c>
      <c r="EH355" s="41" t="str">
        <f t="shared" si="140"/>
        <v>0</v>
      </c>
      <c r="EI355" s="54" t="str">
        <f t="shared" si="141"/>
        <v/>
      </c>
      <c r="EJ355" s="131" t="str">
        <f t="shared" ref="EJ355:EJ359" si="200">IF(EI355=1,EH355,"0")</f>
        <v>0</v>
      </c>
      <c r="EK355" s="241" t="str">
        <f t="shared" si="142"/>
        <v/>
      </c>
      <c r="EL355" s="242" t="e">
        <f t="shared" ref="EL355:EL359" si="201">VLOOKUP($DU355,$EO$318:$ER$346,2,FALSE)</f>
        <v>#N/A</v>
      </c>
      <c r="EM355" s="57" t="e">
        <f t="shared" ref="EM355:EM359" si="202">VLOOKUP($DU355,$EO$318:$ER$346,3,FALSE)</f>
        <v>#N/A</v>
      </c>
      <c r="EN355" s="243" t="e">
        <f t="shared" ref="EN355:EN359" si="203">VLOOKUP($DU355,$EO$318:$ER$346,4,FALSE)</f>
        <v>#N/A</v>
      </c>
      <c r="FK355" s="326" t="str">
        <f t="shared" si="146"/>
        <v/>
      </c>
      <c r="FL355" s="326" t="str">
        <f t="shared" si="147"/>
        <v/>
      </c>
      <c r="FM355" s="326" t="str">
        <f t="shared" si="148"/>
        <v/>
      </c>
      <c r="FN355" s="326">
        <f t="shared" si="149"/>
        <v>0</v>
      </c>
      <c r="FO355" s="670" t="str">
        <f t="shared" si="150"/>
        <v/>
      </c>
      <c r="FQ355" s="138" t="str">
        <f t="shared" si="151"/>
        <v/>
      </c>
      <c r="FR355" s="131" t="str">
        <f t="shared" si="152"/>
        <v>0</v>
      </c>
      <c r="FS355" s="54" t="str">
        <f t="shared" si="153"/>
        <v/>
      </c>
      <c r="FT355" s="131" t="str">
        <f t="shared" ref="FT355:FT359" si="204">IF(FS355=1,FR355,"0")</f>
        <v>0</v>
      </c>
      <c r="FU355" s="217" t="str">
        <f t="shared" si="154"/>
        <v/>
      </c>
      <c r="FW355" s="667">
        <f t="shared" si="196"/>
        <v>0</v>
      </c>
      <c r="FX355" s="32"/>
      <c r="FY355" s="32"/>
      <c r="FZ355" s="668"/>
      <c r="GA355" s="14"/>
      <c r="GB355" s="32">
        <f t="shared" si="155"/>
        <v>0</v>
      </c>
      <c r="GC355" s="32">
        <f t="shared" si="156"/>
        <v>0</v>
      </c>
      <c r="GD355" s="19">
        <f t="shared" si="157"/>
        <v>0</v>
      </c>
      <c r="GE355" s="658" t="str">
        <f t="shared" si="158"/>
        <v/>
      </c>
      <c r="GF355" s="658" t="str">
        <f t="shared" si="159"/>
        <v/>
      </c>
      <c r="GG355" s="658" t="str">
        <f t="shared" si="160"/>
        <v/>
      </c>
      <c r="GH355" s="658" t="str">
        <f t="shared" si="161"/>
        <v/>
      </c>
      <c r="GI355" s="658" t="str">
        <f t="shared" si="162"/>
        <v/>
      </c>
      <c r="GJ355" s="658" t="str">
        <f t="shared" si="163"/>
        <v/>
      </c>
      <c r="GK355" s="658" t="str">
        <f t="shared" si="164"/>
        <v/>
      </c>
      <c r="GL355" s="658" t="str">
        <f t="shared" si="165"/>
        <v/>
      </c>
      <c r="GM355" s="658" t="str">
        <f t="shared" si="166"/>
        <v/>
      </c>
      <c r="GN355" s="658" t="str">
        <f t="shared" si="167"/>
        <v/>
      </c>
      <c r="GO355" s="658" t="str">
        <f t="shared" si="168"/>
        <v/>
      </c>
      <c r="GP355" s="658" t="str">
        <f t="shared" si="169"/>
        <v/>
      </c>
      <c r="GQ355" s="658" t="str">
        <f t="shared" si="170"/>
        <v/>
      </c>
      <c r="GR355" s="658" t="str">
        <f t="shared" si="171"/>
        <v/>
      </c>
      <c r="GS355" s="658" t="str">
        <f t="shared" si="172"/>
        <v/>
      </c>
      <c r="GT355" s="658">
        <f t="shared" si="94"/>
        <v>0</v>
      </c>
      <c r="GU355" s="658">
        <f t="shared" si="95"/>
        <v>0</v>
      </c>
      <c r="GV355" s="658">
        <f t="shared" si="96"/>
        <v>0</v>
      </c>
      <c r="GW355" s="658" t="b">
        <f t="shared" si="97"/>
        <v>0</v>
      </c>
      <c r="GX355" s="658" t="b">
        <f t="shared" si="98"/>
        <v>0</v>
      </c>
      <c r="GY355" s="658" t="b">
        <f t="shared" si="99"/>
        <v>0</v>
      </c>
      <c r="GZ355" s="658" t="str">
        <f t="shared" si="173"/>
        <v/>
      </c>
      <c r="HB355" s="658" t="str">
        <f t="shared" si="101"/>
        <v/>
      </c>
      <c r="HC355" s="658" t="str">
        <f t="shared" si="174"/>
        <v/>
      </c>
      <c r="HD355" s="658" t="str">
        <f t="shared" si="175"/>
        <v/>
      </c>
      <c r="HE355" s="658" t="str">
        <f t="shared" si="176"/>
        <v/>
      </c>
      <c r="HF355" s="658" t="str">
        <f t="shared" si="177"/>
        <v/>
      </c>
      <c r="HG355" s="658" t="str">
        <f t="shared" si="178"/>
        <v/>
      </c>
      <c r="HH355" s="658" t="str">
        <f t="shared" si="179"/>
        <v/>
      </c>
      <c r="HI355" s="658" t="str">
        <f t="shared" si="180"/>
        <v/>
      </c>
      <c r="HJ355" s="658" t="str">
        <f t="shared" si="181"/>
        <v/>
      </c>
      <c r="HK355" s="658" t="str">
        <f t="shared" si="182"/>
        <v/>
      </c>
      <c r="HL355" s="658" t="str">
        <f t="shared" si="183"/>
        <v/>
      </c>
      <c r="HM355" s="658" t="str">
        <f t="shared" si="184"/>
        <v/>
      </c>
      <c r="HN355" s="658" t="str">
        <f t="shared" si="185"/>
        <v/>
      </c>
      <c r="HO355" s="658" t="str">
        <f t="shared" si="186"/>
        <v/>
      </c>
      <c r="HP355" s="658" t="str">
        <f t="shared" si="187"/>
        <v/>
      </c>
      <c r="HQ355" s="658" t="str">
        <f t="shared" si="188"/>
        <v/>
      </c>
      <c r="HR355" s="658" t="str">
        <f t="shared" si="102"/>
        <v/>
      </c>
      <c r="HT355" s="658">
        <f>LEFT(M355,1)*10000+MID(M355,3,LEN(M355)-3)*100+COUNTIF($M$319:M355,M355)</f>
        <v>21901</v>
      </c>
      <c r="HU355" s="658" t="str">
        <f t="shared" si="103"/>
        <v/>
      </c>
      <c r="HV355" s="658" t="str">
        <f t="shared" si="189"/>
        <v/>
      </c>
      <c r="HW355" s="658" t="str">
        <f t="shared" si="104"/>
        <v/>
      </c>
      <c r="HX355" s="658" t="str">
        <f t="shared" si="190"/>
        <v/>
      </c>
    </row>
    <row r="356" spans="1:232" s="19" customFormat="1" ht="50.1" hidden="1" customHeight="1" thickBot="1" x14ac:dyDescent="0.2">
      <c r="A356" s="1201"/>
      <c r="B356" s="1201"/>
      <c r="C356" s="1201"/>
      <c r="D356" s="1201"/>
      <c r="E356" s="1202"/>
      <c r="F356" s="652"/>
      <c r="G356" s="652"/>
      <c r="H356" s="652"/>
      <c r="I356" s="1354"/>
      <c r="J356" s="1234"/>
      <c r="K356" s="1261"/>
      <c r="L356" s="1261"/>
      <c r="M356" s="2149" t="s">
        <v>1734</v>
      </c>
      <c r="N356" s="2149"/>
      <c r="O356" s="2149"/>
      <c r="P356" s="2461"/>
      <c r="Q356" s="2461"/>
      <c r="R356" s="2430"/>
      <c r="S356" s="2430"/>
      <c r="T356" s="2430"/>
      <c r="U356" s="2435"/>
      <c r="V356" s="2435"/>
      <c r="W356" s="2435"/>
      <c r="X356" s="2435"/>
      <c r="Y356" s="2435"/>
      <c r="Z356" s="2435"/>
      <c r="AA356" s="2435"/>
      <c r="AB356" s="2435"/>
      <c r="AC356" s="2435"/>
      <c r="AD356" s="2435"/>
      <c r="AE356" s="2435"/>
      <c r="AF356" s="2434"/>
      <c r="AG356" s="2434"/>
      <c r="AH356" s="2434"/>
      <c r="AI356" s="2434"/>
      <c r="AJ356" s="2434"/>
      <c r="AK356" s="2434"/>
      <c r="AL356" s="2434"/>
      <c r="AM356" s="2434"/>
      <c r="AN356" s="2434"/>
      <c r="AO356" s="2434"/>
      <c r="AP356" s="2434"/>
      <c r="AQ356" s="2434"/>
      <c r="AR356" s="2307"/>
      <c r="AS356" s="2307"/>
      <c r="AT356" s="2410"/>
      <c r="AU356" s="2410"/>
      <c r="AV356" s="2410"/>
      <c r="AW356" s="2410"/>
      <c r="AX356" s="2410"/>
      <c r="AY356" s="2410"/>
      <c r="AZ356" s="2410"/>
      <c r="BA356" s="2410"/>
      <c r="BB356" s="2410"/>
      <c r="BC356" s="2410"/>
      <c r="BD356" s="2410"/>
      <c r="BE356" s="2410"/>
      <c r="BF356" s="2410"/>
      <c r="BG356" s="2410"/>
      <c r="BH356" s="2410"/>
      <c r="BI356" s="2410"/>
      <c r="BJ356" s="2410"/>
      <c r="BK356" s="2410"/>
      <c r="BL356" s="2410"/>
      <c r="BM356" s="2410"/>
      <c r="BN356" s="2410"/>
      <c r="BO356" s="2410"/>
      <c r="BP356" s="2410"/>
      <c r="BQ356" s="2410"/>
      <c r="BR356" s="2410"/>
      <c r="BS356" s="2296"/>
      <c r="BT356" s="2296"/>
      <c r="BU356" s="2296"/>
      <c r="BV356" s="2296"/>
      <c r="BW356" s="2296"/>
      <c r="BX356" s="2296"/>
      <c r="BY356" s="2296"/>
      <c r="BZ356" s="2307"/>
      <c r="CA356" s="2307"/>
      <c r="CB356" s="2317"/>
      <c r="CC356" s="2174"/>
      <c r="CD356" s="2174"/>
      <c r="CE356" s="2174"/>
      <c r="CF356" s="2174"/>
      <c r="CG356" s="2174"/>
      <c r="CH356" s="2174"/>
      <c r="CI356" s="2174"/>
      <c r="CJ356" s="2174"/>
      <c r="CK356" s="2174"/>
      <c r="CL356" s="2174"/>
      <c r="CM356" s="2174"/>
      <c r="CN356" s="2174"/>
      <c r="CO356" s="2174"/>
      <c r="CP356" s="2174"/>
      <c r="CQ356" s="2174"/>
      <c r="CR356" s="2174"/>
      <c r="CS356" s="2174"/>
      <c r="CT356" s="2174"/>
      <c r="CU356" s="2318"/>
      <c r="CV356" s="2300" t="str">
        <f t="shared" si="197"/>
        <v/>
      </c>
      <c r="CW356" s="2300"/>
      <c r="CX356" s="2300"/>
      <c r="CY356" s="2300"/>
      <c r="CZ356" s="2300"/>
      <c r="DA356" s="2300"/>
      <c r="DC356" s="329" t="str">
        <f t="shared" si="198"/>
        <v/>
      </c>
      <c r="DD356" s="197"/>
      <c r="DF356" s="14"/>
      <c r="DG356" s="14"/>
      <c r="DH356" s="14"/>
      <c r="DI356" s="1596"/>
      <c r="DJ356" s="1170" t="s">
        <v>2749</v>
      </c>
      <c r="DK356" s="1604" t="str">
        <f t="shared" si="122"/>
        <v/>
      </c>
      <c r="DL356" s="437" t="str">
        <f t="shared" si="123"/>
        <v/>
      </c>
      <c r="DM356" s="1129">
        <f t="shared" si="124"/>
        <v>0</v>
      </c>
      <c r="DN356" s="266">
        <f t="shared" si="125"/>
        <v>0</v>
      </c>
      <c r="DO356" s="266">
        <f t="shared" si="126"/>
        <v>0</v>
      </c>
      <c r="DP356" s="267">
        <f t="shared" si="127"/>
        <v>0</v>
      </c>
      <c r="DQ356" s="27" t="s">
        <v>1734</v>
      </c>
      <c r="DR356" s="265">
        <f>IF($U356="",R356,U356)</f>
        <v>0</v>
      </c>
      <c r="DS356" s="125">
        <f t="shared" si="128"/>
        <v>0</v>
      </c>
      <c r="DT356" s="270" t="str">
        <f t="shared" si="129"/>
        <v/>
      </c>
      <c r="DU356" s="136" t="str">
        <f t="shared" si="130"/>
        <v/>
      </c>
      <c r="DV356" s="137" t="str">
        <f>IF($DT356="要是正",MAX($DV$333:DV355)+1,"")</f>
        <v/>
      </c>
      <c r="DW356" s="274" t="str">
        <f t="shared" si="131"/>
        <v/>
      </c>
      <c r="DX356" s="300" t="str">
        <f t="shared" si="192"/>
        <v/>
      </c>
      <c r="DY356" s="301" t="str">
        <f t="shared" si="132"/>
        <v/>
      </c>
      <c r="DZ356" s="302" t="str">
        <f t="shared" si="133"/>
        <v/>
      </c>
      <c r="EA356" s="206" t="str">
        <f t="shared" si="134"/>
        <v/>
      </c>
      <c r="EB356" s="138" t="str">
        <f t="shared" si="135"/>
        <v/>
      </c>
      <c r="EC356" s="131" t="str">
        <f t="shared" si="136"/>
        <v>0</v>
      </c>
      <c r="ED356" s="54" t="str">
        <f t="shared" si="137"/>
        <v/>
      </c>
      <c r="EE356" s="131" t="str">
        <f t="shared" si="199"/>
        <v>0</v>
      </c>
      <c r="EF356" s="327" t="str">
        <f t="shared" si="138"/>
        <v/>
      </c>
      <c r="EG356" s="108" t="str">
        <f t="shared" si="139"/>
        <v/>
      </c>
      <c r="EH356" s="41" t="str">
        <f t="shared" si="140"/>
        <v>0</v>
      </c>
      <c r="EI356" s="54" t="str">
        <f t="shared" si="141"/>
        <v/>
      </c>
      <c r="EJ356" s="131" t="str">
        <f t="shared" si="200"/>
        <v>0</v>
      </c>
      <c r="EK356" s="241" t="str">
        <f t="shared" si="142"/>
        <v/>
      </c>
      <c r="EL356" s="242" t="e">
        <f t="shared" si="201"/>
        <v>#N/A</v>
      </c>
      <c r="EM356" s="57" t="e">
        <f t="shared" si="202"/>
        <v>#N/A</v>
      </c>
      <c r="EN356" s="243" t="e">
        <f t="shared" si="203"/>
        <v>#N/A</v>
      </c>
      <c r="FK356" s="326" t="str">
        <f t="shared" si="146"/>
        <v/>
      </c>
      <c r="FL356" s="326" t="str">
        <f t="shared" si="147"/>
        <v/>
      </c>
      <c r="FM356" s="326" t="str">
        <f t="shared" si="148"/>
        <v/>
      </c>
      <c r="FN356" s="326">
        <f t="shared" si="149"/>
        <v>0</v>
      </c>
      <c r="FO356" s="670" t="str">
        <f t="shared" si="150"/>
        <v/>
      </c>
      <c r="FQ356" s="138" t="str">
        <f t="shared" si="151"/>
        <v/>
      </c>
      <c r="FR356" s="131" t="str">
        <f t="shared" si="152"/>
        <v>0</v>
      </c>
      <c r="FS356" s="54" t="str">
        <f t="shared" si="153"/>
        <v/>
      </c>
      <c r="FT356" s="131" t="str">
        <f t="shared" si="204"/>
        <v>0</v>
      </c>
      <c r="FU356" s="217" t="str">
        <f t="shared" si="154"/>
        <v/>
      </c>
      <c r="FW356" s="667">
        <f t="shared" si="196"/>
        <v>0</v>
      </c>
      <c r="FX356" s="32"/>
      <c r="FY356" s="32"/>
      <c r="FZ356" s="668"/>
      <c r="GA356" s="14"/>
      <c r="GB356" s="32">
        <f t="shared" si="155"/>
        <v>0</v>
      </c>
      <c r="GC356" s="32">
        <f t="shared" si="156"/>
        <v>0</v>
      </c>
      <c r="GD356" s="19">
        <f t="shared" si="157"/>
        <v>0</v>
      </c>
      <c r="GE356" s="658" t="str">
        <f t="shared" si="158"/>
        <v/>
      </c>
      <c r="GF356" s="658" t="str">
        <f t="shared" si="159"/>
        <v/>
      </c>
      <c r="GG356" s="658" t="str">
        <f t="shared" si="160"/>
        <v/>
      </c>
      <c r="GH356" s="658" t="str">
        <f t="shared" si="161"/>
        <v/>
      </c>
      <c r="GI356" s="658" t="str">
        <f t="shared" si="162"/>
        <v/>
      </c>
      <c r="GJ356" s="658" t="str">
        <f t="shared" si="163"/>
        <v/>
      </c>
      <c r="GK356" s="658" t="str">
        <f t="shared" si="164"/>
        <v/>
      </c>
      <c r="GL356" s="658" t="str">
        <f t="shared" si="165"/>
        <v/>
      </c>
      <c r="GM356" s="658" t="str">
        <f t="shared" si="166"/>
        <v/>
      </c>
      <c r="GN356" s="658" t="str">
        <f t="shared" si="167"/>
        <v/>
      </c>
      <c r="GO356" s="658" t="str">
        <f t="shared" si="168"/>
        <v/>
      </c>
      <c r="GP356" s="658" t="str">
        <f t="shared" si="169"/>
        <v/>
      </c>
      <c r="GQ356" s="658" t="str">
        <f t="shared" si="170"/>
        <v/>
      </c>
      <c r="GR356" s="658" t="str">
        <f t="shared" si="171"/>
        <v/>
      </c>
      <c r="GS356" s="658" t="str">
        <f t="shared" si="172"/>
        <v/>
      </c>
      <c r="GT356" s="658">
        <f t="shared" si="94"/>
        <v>0</v>
      </c>
      <c r="GU356" s="658">
        <f t="shared" si="95"/>
        <v>0</v>
      </c>
      <c r="GV356" s="658">
        <f t="shared" si="96"/>
        <v>0</v>
      </c>
      <c r="GW356" s="658" t="b">
        <f t="shared" si="97"/>
        <v>0</v>
      </c>
      <c r="GX356" s="658" t="b">
        <f t="shared" si="98"/>
        <v>0</v>
      </c>
      <c r="GY356" s="658" t="b">
        <f t="shared" si="99"/>
        <v>0</v>
      </c>
      <c r="GZ356" s="658" t="str">
        <f t="shared" si="173"/>
        <v/>
      </c>
      <c r="HB356" s="658" t="str">
        <f t="shared" si="101"/>
        <v/>
      </c>
      <c r="HC356" s="658" t="str">
        <f t="shared" si="174"/>
        <v/>
      </c>
      <c r="HD356" s="658" t="str">
        <f t="shared" si="175"/>
        <v/>
      </c>
      <c r="HE356" s="658" t="str">
        <f t="shared" si="176"/>
        <v/>
      </c>
      <c r="HF356" s="658" t="str">
        <f t="shared" si="177"/>
        <v/>
      </c>
      <c r="HG356" s="658" t="str">
        <f t="shared" si="178"/>
        <v/>
      </c>
      <c r="HH356" s="658" t="str">
        <f t="shared" si="179"/>
        <v/>
      </c>
      <c r="HI356" s="658" t="str">
        <f t="shared" si="180"/>
        <v/>
      </c>
      <c r="HJ356" s="658" t="str">
        <f t="shared" si="181"/>
        <v/>
      </c>
      <c r="HK356" s="658" t="str">
        <f t="shared" si="182"/>
        <v/>
      </c>
      <c r="HL356" s="658" t="str">
        <f t="shared" si="183"/>
        <v/>
      </c>
      <c r="HM356" s="658" t="str">
        <f t="shared" si="184"/>
        <v/>
      </c>
      <c r="HN356" s="658" t="str">
        <f t="shared" si="185"/>
        <v/>
      </c>
      <c r="HO356" s="658" t="str">
        <f t="shared" si="186"/>
        <v/>
      </c>
      <c r="HP356" s="658" t="str">
        <f t="shared" si="187"/>
        <v/>
      </c>
      <c r="HQ356" s="658" t="str">
        <f t="shared" si="188"/>
        <v/>
      </c>
      <c r="HR356" s="658" t="str">
        <f t="shared" si="102"/>
        <v/>
      </c>
      <c r="HT356" s="658">
        <f>LEFT(M356,1)*10000+MID(M356,3,LEN(M356)-3)*100+COUNTIF($M$319:M356,M356)</f>
        <v>22001</v>
      </c>
      <c r="HU356" s="658" t="str">
        <f t="shared" si="103"/>
        <v/>
      </c>
      <c r="HV356" s="658" t="str">
        <f t="shared" si="189"/>
        <v/>
      </c>
      <c r="HW356" s="658" t="str">
        <f t="shared" si="104"/>
        <v/>
      </c>
      <c r="HX356" s="658" t="str">
        <f t="shared" si="190"/>
        <v/>
      </c>
    </row>
    <row r="357" spans="1:232" s="19" customFormat="1" ht="50.1" hidden="1" customHeight="1" thickBot="1" x14ac:dyDescent="0.2">
      <c r="A357" s="1201"/>
      <c r="B357" s="1201"/>
      <c r="C357" s="1201"/>
      <c r="D357" s="1201"/>
      <c r="E357" s="1202"/>
      <c r="F357" s="652"/>
      <c r="G357" s="652"/>
      <c r="H357" s="652"/>
      <c r="I357" s="1354"/>
      <c r="J357" s="1234"/>
      <c r="K357" s="1261"/>
      <c r="L357" s="1261"/>
      <c r="M357" s="2149" t="s">
        <v>1721</v>
      </c>
      <c r="N357" s="2149"/>
      <c r="O357" s="2149"/>
      <c r="P357" s="2461"/>
      <c r="Q357" s="2461"/>
      <c r="R357" s="2430"/>
      <c r="S357" s="2430"/>
      <c r="T357" s="2430"/>
      <c r="U357" s="2435"/>
      <c r="V357" s="2435"/>
      <c r="W357" s="2435"/>
      <c r="X357" s="2435"/>
      <c r="Y357" s="2435"/>
      <c r="Z357" s="2435"/>
      <c r="AA357" s="2435"/>
      <c r="AB357" s="2435"/>
      <c r="AC357" s="2435"/>
      <c r="AD357" s="2435"/>
      <c r="AE357" s="2435"/>
      <c r="AF357" s="2434"/>
      <c r="AG357" s="2434"/>
      <c r="AH357" s="2434"/>
      <c r="AI357" s="2434"/>
      <c r="AJ357" s="2434"/>
      <c r="AK357" s="2434"/>
      <c r="AL357" s="2434"/>
      <c r="AM357" s="2434"/>
      <c r="AN357" s="2434"/>
      <c r="AO357" s="2434"/>
      <c r="AP357" s="2434"/>
      <c r="AQ357" s="2434"/>
      <c r="AR357" s="2307"/>
      <c r="AS357" s="2307"/>
      <c r="AT357" s="2410"/>
      <c r="AU357" s="2410"/>
      <c r="AV357" s="2410"/>
      <c r="AW357" s="2410"/>
      <c r="AX357" s="2410"/>
      <c r="AY357" s="2410"/>
      <c r="AZ357" s="2410"/>
      <c r="BA357" s="2410"/>
      <c r="BB357" s="2410"/>
      <c r="BC357" s="2410"/>
      <c r="BD357" s="2410"/>
      <c r="BE357" s="2410"/>
      <c r="BF357" s="2410"/>
      <c r="BG357" s="2410"/>
      <c r="BH357" s="2410"/>
      <c r="BI357" s="2410"/>
      <c r="BJ357" s="2410"/>
      <c r="BK357" s="2410"/>
      <c r="BL357" s="2410"/>
      <c r="BM357" s="2410"/>
      <c r="BN357" s="2410"/>
      <c r="BO357" s="2410"/>
      <c r="BP357" s="2410"/>
      <c r="BQ357" s="2410"/>
      <c r="BR357" s="2410"/>
      <c r="BS357" s="2296"/>
      <c r="BT357" s="2296"/>
      <c r="BU357" s="2296"/>
      <c r="BV357" s="2296"/>
      <c r="BW357" s="2296"/>
      <c r="BX357" s="2296"/>
      <c r="BY357" s="2296"/>
      <c r="BZ357" s="2307"/>
      <c r="CA357" s="2307"/>
      <c r="CB357" s="2317"/>
      <c r="CC357" s="2174"/>
      <c r="CD357" s="2174"/>
      <c r="CE357" s="2174"/>
      <c r="CF357" s="2174"/>
      <c r="CG357" s="2174"/>
      <c r="CH357" s="2174"/>
      <c r="CI357" s="2174"/>
      <c r="CJ357" s="2174"/>
      <c r="CK357" s="2174"/>
      <c r="CL357" s="2174"/>
      <c r="CM357" s="2174"/>
      <c r="CN357" s="2174"/>
      <c r="CO357" s="2174"/>
      <c r="CP357" s="2174"/>
      <c r="CQ357" s="2174"/>
      <c r="CR357" s="2174"/>
      <c r="CS357" s="2174"/>
      <c r="CT357" s="2174"/>
      <c r="CU357" s="2318"/>
      <c r="CV357" s="2300" t="str">
        <f t="shared" si="197"/>
        <v/>
      </c>
      <c r="CW357" s="2300"/>
      <c r="CX357" s="2300"/>
      <c r="CY357" s="2300"/>
      <c r="CZ357" s="2300"/>
      <c r="DA357" s="2300"/>
      <c r="DC357" s="329" t="str">
        <f t="shared" si="198"/>
        <v/>
      </c>
      <c r="DD357" s="197"/>
      <c r="DF357" s="14"/>
      <c r="DG357" s="14"/>
      <c r="DH357" s="14"/>
      <c r="DI357" s="1596"/>
      <c r="DJ357" s="1170" t="s">
        <v>2749</v>
      </c>
      <c r="DK357" s="1604" t="str">
        <f t="shared" si="122"/>
        <v/>
      </c>
      <c r="DL357" s="437" t="str">
        <f t="shared" si="123"/>
        <v/>
      </c>
      <c r="DM357" s="1129">
        <f t="shared" si="124"/>
        <v>0</v>
      </c>
      <c r="DN357" s="266">
        <f t="shared" si="125"/>
        <v>0</v>
      </c>
      <c r="DO357" s="266">
        <f t="shared" si="126"/>
        <v>0</v>
      </c>
      <c r="DP357" s="267">
        <f t="shared" si="127"/>
        <v>0</v>
      </c>
      <c r="DQ357" s="27" t="s">
        <v>1721</v>
      </c>
      <c r="DR357" s="265">
        <f>IF($U357="",R357,U357)</f>
        <v>0</v>
      </c>
      <c r="DS357" s="125">
        <f t="shared" si="128"/>
        <v>0</v>
      </c>
      <c r="DT357" s="270" t="str">
        <f t="shared" si="129"/>
        <v/>
      </c>
      <c r="DU357" s="136" t="str">
        <f t="shared" si="130"/>
        <v/>
      </c>
      <c r="DV357" s="137" t="str">
        <f>IF($DT357="要是正",MAX($DV$333:DV356)+1,"")</f>
        <v/>
      </c>
      <c r="DW357" s="274" t="str">
        <f t="shared" si="131"/>
        <v/>
      </c>
      <c r="DX357" s="300" t="str">
        <f t="shared" si="192"/>
        <v/>
      </c>
      <c r="DY357" s="301" t="str">
        <f t="shared" si="132"/>
        <v/>
      </c>
      <c r="DZ357" s="302" t="str">
        <f t="shared" si="133"/>
        <v/>
      </c>
      <c r="EA357" s="206" t="str">
        <f t="shared" si="134"/>
        <v/>
      </c>
      <c r="EB357" s="138" t="str">
        <f t="shared" si="135"/>
        <v/>
      </c>
      <c r="EC357" s="131" t="str">
        <f t="shared" si="136"/>
        <v>0</v>
      </c>
      <c r="ED357" s="54" t="str">
        <f t="shared" si="137"/>
        <v/>
      </c>
      <c r="EE357" s="131" t="str">
        <f t="shared" si="199"/>
        <v>0</v>
      </c>
      <c r="EF357" s="327" t="str">
        <f t="shared" si="138"/>
        <v/>
      </c>
      <c r="EG357" s="108" t="str">
        <f t="shared" si="139"/>
        <v/>
      </c>
      <c r="EH357" s="41" t="str">
        <f t="shared" si="140"/>
        <v>0</v>
      </c>
      <c r="EI357" s="54" t="str">
        <f t="shared" si="141"/>
        <v/>
      </c>
      <c r="EJ357" s="131" t="str">
        <f t="shared" si="200"/>
        <v>0</v>
      </c>
      <c r="EK357" s="241" t="str">
        <f t="shared" si="142"/>
        <v/>
      </c>
      <c r="EL357" s="242" t="e">
        <f t="shared" si="201"/>
        <v>#N/A</v>
      </c>
      <c r="EM357" s="57" t="e">
        <f t="shared" si="202"/>
        <v>#N/A</v>
      </c>
      <c r="EN357" s="243" t="e">
        <f t="shared" si="203"/>
        <v>#N/A</v>
      </c>
      <c r="FK357" s="326" t="str">
        <f t="shared" si="146"/>
        <v/>
      </c>
      <c r="FL357" s="326" t="str">
        <f t="shared" si="147"/>
        <v/>
      </c>
      <c r="FM357" s="326" t="str">
        <f t="shared" si="148"/>
        <v/>
      </c>
      <c r="FN357" s="326">
        <f t="shared" si="149"/>
        <v>0</v>
      </c>
      <c r="FO357" s="670" t="str">
        <f t="shared" si="150"/>
        <v/>
      </c>
      <c r="FQ357" s="138" t="str">
        <f t="shared" si="151"/>
        <v/>
      </c>
      <c r="FR357" s="131" t="str">
        <f t="shared" si="152"/>
        <v>0</v>
      </c>
      <c r="FS357" s="54" t="str">
        <f t="shared" si="153"/>
        <v/>
      </c>
      <c r="FT357" s="131" t="str">
        <f t="shared" si="204"/>
        <v>0</v>
      </c>
      <c r="FU357" s="217" t="str">
        <f t="shared" si="154"/>
        <v/>
      </c>
      <c r="FW357" s="667">
        <f t="shared" si="196"/>
        <v>0</v>
      </c>
      <c r="FX357" s="32"/>
      <c r="FY357" s="32"/>
      <c r="FZ357" s="668"/>
      <c r="GA357" s="14"/>
      <c r="GB357" s="32">
        <f t="shared" si="155"/>
        <v>0</v>
      </c>
      <c r="GC357" s="32">
        <f t="shared" si="156"/>
        <v>0</v>
      </c>
      <c r="GD357" s="19">
        <f t="shared" si="157"/>
        <v>0</v>
      </c>
      <c r="GE357" s="658" t="str">
        <f t="shared" si="158"/>
        <v/>
      </c>
      <c r="GF357" s="658" t="str">
        <f t="shared" si="159"/>
        <v/>
      </c>
      <c r="GG357" s="658" t="str">
        <f t="shared" si="160"/>
        <v/>
      </c>
      <c r="GH357" s="658" t="str">
        <f t="shared" si="161"/>
        <v/>
      </c>
      <c r="GI357" s="658" t="str">
        <f t="shared" si="162"/>
        <v/>
      </c>
      <c r="GJ357" s="658" t="str">
        <f t="shared" si="163"/>
        <v/>
      </c>
      <c r="GK357" s="658" t="str">
        <f t="shared" si="164"/>
        <v/>
      </c>
      <c r="GL357" s="658" t="str">
        <f t="shared" si="165"/>
        <v/>
      </c>
      <c r="GM357" s="658" t="str">
        <f t="shared" si="166"/>
        <v/>
      </c>
      <c r="GN357" s="658" t="str">
        <f t="shared" si="167"/>
        <v/>
      </c>
      <c r="GO357" s="658" t="str">
        <f t="shared" si="168"/>
        <v/>
      </c>
      <c r="GP357" s="658" t="str">
        <f t="shared" si="169"/>
        <v/>
      </c>
      <c r="GQ357" s="658" t="str">
        <f t="shared" si="170"/>
        <v/>
      </c>
      <c r="GR357" s="658" t="str">
        <f t="shared" si="171"/>
        <v/>
      </c>
      <c r="GS357" s="658" t="str">
        <f t="shared" si="172"/>
        <v/>
      </c>
      <c r="GT357" s="658">
        <f t="shared" si="94"/>
        <v>0</v>
      </c>
      <c r="GU357" s="658">
        <f t="shared" si="95"/>
        <v>0</v>
      </c>
      <c r="GV357" s="658">
        <f t="shared" si="96"/>
        <v>0</v>
      </c>
      <c r="GW357" s="658" t="b">
        <f t="shared" si="97"/>
        <v>0</v>
      </c>
      <c r="GX357" s="658" t="b">
        <f t="shared" si="98"/>
        <v>0</v>
      </c>
      <c r="GY357" s="658" t="b">
        <f t="shared" si="99"/>
        <v>0</v>
      </c>
      <c r="GZ357" s="658" t="str">
        <f t="shared" si="173"/>
        <v/>
      </c>
      <c r="HB357" s="658" t="str">
        <f t="shared" si="101"/>
        <v/>
      </c>
      <c r="HC357" s="658" t="str">
        <f t="shared" si="174"/>
        <v/>
      </c>
      <c r="HD357" s="658" t="str">
        <f t="shared" si="175"/>
        <v/>
      </c>
      <c r="HE357" s="658" t="str">
        <f t="shared" si="176"/>
        <v/>
      </c>
      <c r="HF357" s="658" t="str">
        <f t="shared" si="177"/>
        <v/>
      </c>
      <c r="HG357" s="658" t="str">
        <f t="shared" si="178"/>
        <v/>
      </c>
      <c r="HH357" s="658" t="str">
        <f t="shared" si="179"/>
        <v/>
      </c>
      <c r="HI357" s="658" t="str">
        <f t="shared" si="180"/>
        <v/>
      </c>
      <c r="HJ357" s="658" t="str">
        <f t="shared" si="181"/>
        <v/>
      </c>
      <c r="HK357" s="658" t="str">
        <f t="shared" si="182"/>
        <v/>
      </c>
      <c r="HL357" s="658" t="str">
        <f t="shared" si="183"/>
        <v/>
      </c>
      <c r="HM357" s="658" t="str">
        <f t="shared" si="184"/>
        <v/>
      </c>
      <c r="HN357" s="658" t="str">
        <f t="shared" si="185"/>
        <v/>
      </c>
      <c r="HO357" s="658" t="str">
        <f t="shared" si="186"/>
        <v/>
      </c>
      <c r="HP357" s="658" t="str">
        <f t="shared" si="187"/>
        <v/>
      </c>
      <c r="HQ357" s="658" t="str">
        <f t="shared" si="188"/>
        <v/>
      </c>
      <c r="HR357" s="658" t="str">
        <f t="shared" si="102"/>
        <v/>
      </c>
      <c r="HT357" s="658">
        <f>LEFT(M357,1)*10000+MID(M357,3,LEN(M357)-3)*100+COUNTIF($M$319:M357,M357)</f>
        <v>22101</v>
      </c>
      <c r="HU357" s="658" t="str">
        <f t="shared" si="103"/>
        <v/>
      </c>
      <c r="HV357" s="658" t="str">
        <f t="shared" si="189"/>
        <v/>
      </c>
      <c r="HW357" s="658" t="str">
        <f t="shared" si="104"/>
        <v/>
      </c>
      <c r="HX357" s="658" t="str">
        <f t="shared" si="190"/>
        <v/>
      </c>
    </row>
    <row r="358" spans="1:232" s="19" customFormat="1" ht="50.1" hidden="1" customHeight="1" thickBot="1" x14ac:dyDescent="0.2">
      <c r="A358" s="1201"/>
      <c r="B358" s="1201"/>
      <c r="C358" s="1201"/>
      <c r="D358" s="1201"/>
      <c r="E358" s="1202"/>
      <c r="F358" s="652"/>
      <c r="G358" s="652"/>
      <c r="H358" s="652"/>
      <c r="I358" s="1354"/>
      <c r="J358" s="1234"/>
      <c r="K358" s="1261"/>
      <c r="L358" s="1261"/>
      <c r="M358" s="2149" t="s">
        <v>1722</v>
      </c>
      <c r="N358" s="2149"/>
      <c r="O358" s="2149"/>
      <c r="P358" s="2461"/>
      <c r="Q358" s="2461"/>
      <c r="R358" s="2430"/>
      <c r="S358" s="2430"/>
      <c r="T358" s="2430"/>
      <c r="U358" s="2435"/>
      <c r="V358" s="2435"/>
      <c r="W358" s="2435"/>
      <c r="X358" s="2435"/>
      <c r="Y358" s="2435"/>
      <c r="Z358" s="2435"/>
      <c r="AA358" s="2435"/>
      <c r="AB358" s="2435"/>
      <c r="AC358" s="2435"/>
      <c r="AD358" s="2435"/>
      <c r="AE358" s="2435"/>
      <c r="AF358" s="2434"/>
      <c r="AG358" s="2434"/>
      <c r="AH358" s="2434"/>
      <c r="AI358" s="2434"/>
      <c r="AJ358" s="2434"/>
      <c r="AK358" s="2434"/>
      <c r="AL358" s="2434"/>
      <c r="AM358" s="2434"/>
      <c r="AN358" s="2434"/>
      <c r="AO358" s="2434"/>
      <c r="AP358" s="2434"/>
      <c r="AQ358" s="2434"/>
      <c r="AR358" s="2307"/>
      <c r="AS358" s="2307"/>
      <c r="AT358" s="2410"/>
      <c r="AU358" s="2410"/>
      <c r="AV358" s="2410"/>
      <c r="AW358" s="2410"/>
      <c r="AX358" s="2410"/>
      <c r="AY358" s="2410"/>
      <c r="AZ358" s="2410"/>
      <c r="BA358" s="2410"/>
      <c r="BB358" s="2410"/>
      <c r="BC358" s="2410"/>
      <c r="BD358" s="2410"/>
      <c r="BE358" s="2410"/>
      <c r="BF358" s="2410"/>
      <c r="BG358" s="2410"/>
      <c r="BH358" s="2410"/>
      <c r="BI358" s="2410"/>
      <c r="BJ358" s="2410"/>
      <c r="BK358" s="2410"/>
      <c r="BL358" s="2410"/>
      <c r="BM358" s="2410"/>
      <c r="BN358" s="2410"/>
      <c r="BO358" s="2410"/>
      <c r="BP358" s="2410"/>
      <c r="BQ358" s="2410"/>
      <c r="BR358" s="2410"/>
      <c r="BS358" s="2296"/>
      <c r="BT358" s="2296"/>
      <c r="BU358" s="2296"/>
      <c r="BV358" s="2296"/>
      <c r="BW358" s="2296"/>
      <c r="BX358" s="2296"/>
      <c r="BY358" s="2296"/>
      <c r="BZ358" s="2307"/>
      <c r="CA358" s="2307"/>
      <c r="CB358" s="2317"/>
      <c r="CC358" s="2174"/>
      <c r="CD358" s="2174"/>
      <c r="CE358" s="2174"/>
      <c r="CF358" s="2174"/>
      <c r="CG358" s="2174"/>
      <c r="CH358" s="2174"/>
      <c r="CI358" s="2174"/>
      <c r="CJ358" s="2174"/>
      <c r="CK358" s="2174"/>
      <c r="CL358" s="2174"/>
      <c r="CM358" s="2174"/>
      <c r="CN358" s="2174"/>
      <c r="CO358" s="2174"/>
      <c r="CP358" s="2174"/>
      <c r="CQ358" s="2174"/>
      <c r="CR358" s="2174"/>
      <c r="CS358" s="2174"/>
      <c r="CT358" s="2174"/>
      <c r="CU358" s="2318"/>
      <c r="CV358" s="2300" t="str">
        <f t="shared" si="197"/>
        <v/>
      </c>
      <c r="CW358" s="2300"/>
      <c r="CX358" s="2300"/>
      <c r="CY358" s="2300"/>
      <c r="CZ358" s="2300"/>
      <c r="DA358" s="2300"/>
      <c r="DC358" s="329" t="str">
        <f t="shared" si="198"/>
        <v/>
      </c>
      <c r="DD358" s="197"/>
      <c r="DF358" s="14"/>
      <c r="DG358" s="14"/>
      <c r="DH358" s="14"/>
      <c r="DI358" s="1596"/>
      <c r="DJ358" s="1170" t="s">
        <v>2749</v>
      </c>
      <c r="DK358" s="1604" t="str">
        <f t="shared" si="122"/>
        <v/>
      </c>
      <c r="DL358" s="437" t="str">
        <f t="shared" si="123"/>
        <v/>
      </c>
      <c r="DM358" s="1129">
        <f t="shared" si="124"/>
        <v>0</v>
      </c>
      <c r="DN358" s="266">
        <f t="shared" si="125"/>
        <v>0</v>
      </c>
      <c r="DO358" s="266">
        <f t="shared" si="126"/>
        <v>0</v>
      </c>
      <c r="DP358" s="267">
        <f t="shared" si="127"/>
        <v>0</v>
      </c>
      <c r="DQ358" s="27" t="s">
        <v>1722</v>
      </c>
      <c r="DR358" s="265">
        <f>IF($U358="",R358,U358)</f>
        <v>0</v>
      </c>
      <c r="DS358" s="125">
        <f t="shared" si="128"/>
        <v>0</v>
      </c>
      <c r="DT358" s="270" t="str">
        <f t="shared" si="129"/>
        <v/>
      </c>
      <c r="DU358" s="136" t="str">
        <f t="shared" si="130"/>
        <v/>
      </c>
      <c r="DV358" s="137" t="str">
        <f>IF($DT358="要是正",MAX($DV$333:DV357)+1,"")</f>
        <v/>
      </c>
      <c r="DW358" s="274" t="str">
        <f t="shared" si="131"/>
        <v/>
      </c>
      <c r="DX358" s="300" t="str">
        <f t="shared" si="192"/>
        <v/>
      </c>
      <c r="DY358" s="301" t="str">
        <f t="shared" si="132"/>
        <v/>
      </c>
      <c r="DZ358" s="302" t="str">
        <f t="shared" si="133"/>
        <v/>
      </c>
      <c r="EA358" s="206" t="str">
        <f t="shared" si="134"/>
        <v/>
      </c>
      <c r="EB358" s="138" t="str">
        <f t="shared" si="135"/>
        <v/>
      </c>
      <c r="EC358" s="131" t="str">
        <f t="shared" si="136"/>
        <v>0</v>
      </c>
      <c r="ED358" s="54" t="str">
        <f t="shared" si="137"/>
        <v/>
      </c>
      <c r="EE358" s="131" t="str">
        <f t="shared" si="199"/>
        <v>0</v>
      </c>
      <c r="EF358" s="327" t="str">
        <f t="shared" si="138"/>
        <v/>
      </c>
      <c r="EG358" s="108" t="str">
        <f t="shared" si="139"/>
        <v/>
      </c>
      <c r="EH358" s="41" t="str">
        <f t="shared" si="140"/>
        <v>0</v>
      </c>
      <c r="EI358" s="54" t="str">
        <f t="shared" si="141"/>
        <v/>
      </c>
      <c r="EJ358" s="131" t="str">
        <f t="shared" si="200"/>
        <v>0</v>
      </c>
      <c r="EK358" s="241" t="str">
        <f t="shared" si="142"/>
        <v/>
      </c>
      <c r="EL358" s="242" t="e">
        <f t="shared" si="201"/>
        <v>#N/A</v>
      </c>
      <c r="EM358" s="57" t="e">
        <f t="shared" si="202"/>
        <v>#N/A</v>
      </c>
      <c r="EN358" s="243" t="e">
        <f t="shared" si="203"/>
        <v>#N/A</v>
      </c>
      <c r="FK358" s="326" t="str">
        <f t="shared" si="146"/>
        <v/>
      </c>
      <c r="FL358" s="326" t="str">
        <f t="shared" si="147"/>
        <v/>
      </c>
      <c r="FM358" s="326" t="str">
        <f t="shared" si="148"/>
        <v/>
      </c>
      <c r="FN358" s="326">
        <f t="shared" si="149"/>
        <v>0</v>
      </c>
      <c r="FO358" s="670" t="str">
        <f t="shared" si="150"/>
        <v/>
      </c>
      <c r="FQ358" s="138" t="str">
        <f t="shared" si="151"/>
        <v/>
      </c>
      <c r="FR358" s="131" t="str">
        <f t="shared" si="152"/>
        <v>0</v>
      </c>
      <c r="FS358" s="54" t="str">
        <f t="shared" si="153"/>
        <v/>
      </c>
      <c r="FT358" s="131" t="str">
        <f t="shared" si="204"/>
        <v>0</v>
      </c>
      <c r="FU358" s="217" t="str">
        <f t="shared" si="154"/>
        <v/>
      </c>
      <c r="FW358" s="667">
        <f t="shared" si="196"/>
        <v>0</v>
      </c>
      <c r="FX358" s="32"/>
      <c r="FY358" s="32"/>
      <c r="FZ358" s="668"/>
      <c r="GA358" s="14"/>
      <c r="GB358" s="32">
        <f t="shared" si="155"/>
        <v>0</v>
      </c>
      <c r="GC358" s="32">
        <f t="shared" si="156"/>
        <v>0</v>
      </c>
      <c r="GD358" s="19">
        <f t="shared" si="157"/>
        <v>0</v>
      </c>
      <c r="GE358" s="658" t="str">
        <f t="shared" si="158"/>
        <v/>
      </c>
      <c r="GF358" s="658" t="str">
        <f t="shared" si="159"/>
        <v/>
      </c>
      <c r="GG358" s="658" t="str">
        <f t="shared" si="160"/>
        <v/>
      </c>
      <c r="GH358" s="658" t="str">
        <f t="shared" si="161"/>
        <v/>
      </c>
      <c r="GI358" s="658" t="str">
        <f t="shared" si="162"/>
        <v/>
      </c>
      <c r="GJ358" s="658" t="str">
        <f t="shared" si="163"/>
        <v/>
      </c>
      <c r="GK358" s="658" t="str">
        <f t="shared" si="164"/>
        <v/>
      </c>
      <c r="GL358" s="658" t="str">
        <f t="shared" si="165"/>
        <v/>
      </c>
      <c r="GM358" s="658" t="str">
        <f t="shared" si="166"/>
        <v/>
      </c>
      <c r="GN358" s="658" t="str">
        <f t="shared" si="167"/>
        <v/>
      </c>
      <c r="GO358" s="658" t="str">
        <f t="shared" si="168"/>
        <v/>
      </c>
      <c r="GP358" s="658" t="str">
        <f t="shared" si="169"/>
        <v/>
      </c>
      <c r="GQ358" s="658" t="str">
        <f t="shared" si="170"/>
        <v/>
      </c>
      <c r="GR358" s="658" t="str">
        <f t="shared" si="171"/>
        <v/>
      </c>
      <c r="GS358" s="658" t="str">
        <f t="shared" si="172"/>
        <v/>
      </c>
      <c r="GT358" s="658">
        <f t="shared" si="94"/>
        <v>0</v>
      </c>
      <c r="GU358" s="658">
        <f t="shared" si="95"/>
        <v>0</v>
      </c>
      <c r="GV358" s="658">
        <f t="shared" si="96"/>
        <v>0</v>
      </c>
      <c r="GW358" s="658" t="b">
        <f t="shared" si="97"/>
        <v>0</v>
      </c>
      <c r="GX358" s="658" t="b">
        <f t="shared" si="98"/>
        <v>0</v>
      </c>
      <c r="GY358" s="658" t="b">
        <f t="shared" si="99"/>
        <v>0</v>
      </c>
      <c r="GZ358" s="658" t="str">
        <f t="shared" si="173"/>
        <v/>
      </c>
      <c r="HB358" s="658" t="str">
        <f t="shared" si="101"/>
        <v/>
      </c>
      <c r="HC358" s="658" t="str">
        <f t="shared" si="174"/>
        <v/>
      </c>
      <c r="HD358" s="658" t="str">
        <f t="shared" si="175"/>
        <v/>
      </c>
      <c r="HE358" s="658" t="str">
        <f t="shared" si="176"/>
        <v/>
      </c>
      <c r="HF358" s="658" t="str">
        <f t="shared" si="177"/>
        <v/>
      </c>
      <c r="HG358" s="658" t="str">
        <f t="shared" si="178"/>
        <v/>
      </c>
      <c r="HH358" s="658" t="str">
        <f t="shared" si="179"/>
        <v/>
      </c>
      <c r="HI358" s="658" t="str">
        <f t="shared" si="180"/>
        <v/>
      </c>
      <c r="HJ358" s="658" t="str">
        <f t="shared" si="181"/>
        <v/>
      </c>
      <c r="HK358" s="658" t="str">
        <f t="shared" si="182"/>
        <v/>
      </c>
      <c r="HL358" s="658" t="str">
        <f t="shared" si="183"/>
        <v/>
      </c>
      <c r="HM358" s="658" t="str">
        <f t="shared" si="184"/>
        <v/>
      </c>
      <c r="HN358" s="658" t="str">
        <f t="shared" si="185"/>
        <v/>
      </c>
      <c r="HO358" s="658" t="str">
        <f t="shared" si="186"/>
        <v/>
      </c>
      <c r="HP358" s="658" t="str">
        <f t="shared" si="187"/>
        <v/>
      </c>
      <c r="HQ358" s="658" t="str">
        <f t="shared" si="188"/>
        <v/>
      </c>
      <c r="HR358" s="658" t="str">
        <f t="shared" si="102"/>
        <v/>
      </c>
      <c r="HT358" s="658">
        <f>LEFT(M358,1)*10000+MID(M358,3,LEN(M358)-3)*100+COUNTIF($M$319:M358,M358)</f>
        <v>22201</v>
      </c>
      <c r="HU358" s="658" t="str">
        <f t="shared" si="103"/>
        <v/>
      </c>
      <c r="HV358" s="658" t="str">
        <f t="shared" si="189"/>
        <v/>
      </c>
      <c r="HW358" s="658" t="str">
        <f t="shared" si="104"/>
        <v/>
      </c>
      <c r="HX358" s="658" t="str">
        <f t="shared" si="190"/>
        <v/>
      </c>
    </row>
    <row r="359" spans="1:232" s="19" customFormat="1" ht="50.1" hidden="1" customHeight="1" thickBot="1" x14ac:dyDescent="0.2">
      <c r="A359" s="1201"/>
      <c r="B359" s="1201"/>
      <c r="C359" s="1201"/>
      <c r="D359" s="1201"/>
      <c r="E359" s="1202"/>
      <c r="F359" s="652"/>
      <c r="G359" s="652"/>
      <c r="H359" s="652"/>
      <c r="I359" s="1354"/>
      <c r="J359" s="1234"/>
      <c r="K359" s="1261"/>
      <c r="L359" s="1261"/>
      <c r="M359" s="2149" t="s">
        <v>1723</v>
      </c>
      <c r="N359" s="2149"/>
      <c r="O359" s="2149"/>
      <c r="P359" s="2462"/>
      <c r="Q359" s="2462"/>
      <c r="R359" s="2445"/>
      <c r="S359" s="2445"/>
      <c r="T359" s="2445"/>
      <c r="U359" s="2430"/>
      <c r="V359" s="2430"/>
      <c r="W359" s="2430"/>
      <c r="X359" s="2430"/>
      <c r="Y359" s="2430"/>
      <c r="Z359" s="2430"/>
      <c r="AA359" s="2430"/>
      <c r="AB359" s="2430"/>
      <c r="AC359" s="2430"/>
      <c r="AD359" s="2430"/>
      <c r="AE359" s="2430"/>
      <c r="AF359" s="2454"/>
      <c r="AG359" s="2454"/>
      <c r="AH359" s="2454"/>
      <c r="AI359" s="2454"/>
      <c r="AJ359" s="2454"/>
      <c r="AK359" s="2454"/>
      <c r="AL359" s="2454"/>
      <c r="AM359" s="2454"/>
      <c r="AN359" s="2454"/>
      <c r="AO359" s="2454"/>
      <c r="AP359" s="2454"/>
      <c r="AQ359" s="2454"/>
      <c r="AR359" s="2299"/>
      <c r="AS359" s="2299"/>
      <c r="AT359" s="2453"/>
      <c r="AU359" s="2453"/>
      <c r="AV359" s="2453"/>
      <c r="AW359" s="2453"/>
      <c r="AX359" s="2453"/>
      <c r="AY359" s="2453"/>
      <c r="AZ359" s="2453"/>
      <c r="BA359" s="2453"/>
      <c r="BB359" s="2453"/>
      <c r="BC359" s="2453"/>
      <c r="BD359" s="2453"/>
      <c r="BE359" s="2453"/>
      <c r="BF359" s="2453"/>
      <c r="BG359" s="2453"/>
      <c r="BH359" s="2453"/>
      <c r="BI359" s="2453"/>
      <c r="BJ359" s="2453"/>
      <c r="BK359" s="2453"/>
      <c r="BL359" s="2453"/>
      <c r="BM359" s="2453"/>
      <c r="BN359" s="2453"/>
      <c r="BO359" s="2453"/>
      <c r="BP359" s="2453"/>
      <c r="BQ359" s="2453"/>
      <c r="BR359" s="2453"/>
      <c r="BS359" s="2455"/>
      <c r="BT359" s="2455"/>
      <c r="BU359" s="2455"/>
      <c r="BV359" s="2298"/>
      <c r="BW359" s="2298"/>
      <c r="BX359" s="2298"/>
      <c r="BY359" s="2455"/>
      <c r="BZ359" s="2739"/>
      <c r="CA359" s="2739"/>
      <c r="CB359" s="2731"/>
      <c r="CC359" s="2732"/>
      <c r="CD359" s="2732"/>
      <c r="CE359" s="2732"/>
      <c r="CF359" s="2732"/>
      <c r="CG359" s="2732"/>
      <c r="CH359" s="2732"/>
      <c r="CI359" s="2732"/>
      <c r="CJ359" s="2732"/>
      <c r="CK359" s="2732"/>
      <c r="CL359" s="2732"/>
      <c r="CM359" s="2732"/>
      <c r="CN359" s="2732"/>
      <c r="CO359" s="2732"/>
      <c r="CP359" s="2732"/>
      <c r="CQ359" s="2732"/>
      <c r="CR359" s="2732"/>
      <c r="CS359" s="2732"/>
      <c r="CT359" s="2732"/>
      <c r="CU359" s="2733"/>
      <c r="CV359" s="2300" t="str">
        <f t="shared" si="197"/>
        <v/>
      </c>
      <c r="CW359" s="2300"/>
      <c r="CX359" s="2300"/>
      <c r="CY359" s="2300"/>
      <c r="CZ359" s="2300"/>
      <c r="DA359" s="2300"/>
      <c r="DC359" s="329" t="str">
        <f t="shared" si="198"/>
        <v/>
      </c>
      <c r="DD359" s="197"/>
      <c r="DF359" s="14"/>
      <c r="DG359" s="14"/>
      <c r="DH359" s="14"/>
      <c r="DI359" s="1596"/>
      <c r="DJ359" s="1171" t="s">
        <v>2749</v>
      </c>
      <c r="DK359" s="1605" t="str">
        <f t="shared" si="122"/>
        <v/>
      </c>
      <c r="DL359" s="1598" t="str">
        <f t="shared" si="123"/>
        <v/>
      </c>
      <c r="DM359" s="1129">
        <f t="shared" si="124"/>
        <v>0</v>
      </c>
      <c r="DN359" s="266">
        <f t="shared" si="125"/>
        <v>0</v>
      </c>
      <c r="DO359" s="266">
        <f t="shared" si="126"/>
        <v>0</v>
      </c>
      <c r="DP359" s="267">
        <f t="shared" si="127"/>
        <v>0</v>
      </c>
      <c r="DQ359" s="27" t="s">
        <v>1723</v>
      </c>
      <c r="DR359" s="265">
        <f>IF($U359="",R359,U359)</f>
        <v>0</v>
      </c>
      <c r="DS359" s="125">
        <f t="shared" si="128"/>
        <v>0</v>
      </c>
      <c r="DT359" s="270" t="str">
        <f t="shared" si="129"/>
        <v/>
      </c>
      <c r="DU359" s="136" t="str">
        <f t="shared" si="130"/>
        <v/>
      </c>
      <c r="DV359" s="137" t="str">
        <f>IF($DT359="要是正",MAX($DV$333:DV358)+1,"")</f>
        <v/>
      </c>
      <c r="DW359" s="274" t="str">
        <f t="shared" si="131"/>
        <v/>
      </c>
      <c r="DX359" s="300" t="str">
        <f t="shared" si="192"/>
        <v/>
      </c>
      <c r="DY359" s="301" t="str">
        <f t="shared" si="132"/>
        <v/>
      </c>
      <c r="DZ359" s="302" t="str">
        <f t="shared" si="133"/>
        <v/>
      </c>
      <c r="EA359" s="206" t="str">
        <f t="shared" si="134"/>
        <v/>
      </c>
      <c r="EB359" s="138" t="str">
        <f t="shared" si="135"/>
        <v/>
      </c>
      <c r="EC359" s="131" t="str">
        <f t="shared" si="136"/>
        <v>0</v>
      </c>
      <c r="ED359" s="54" t="str">
        <f t="shared" si="137"/>
        <v/>
      </c>
      <c r="EE359" s="131" t="str">
        <f t="shared" si="199"/>
        <v>0</v>
      </c>
      <c r="EF359" s="327" t="str">
        <f t="shared" si="138"/>
        <v/>
      </c>
      <c r="EG359" s="108" t="str">
        <f t="shared" si="139"/>
        <v/>
      </c>
      <c r="EH359" s="41" t="str">
        <f t="shared" si="140"/>
        <v>0</v>
      </c>
      <c r="EI359" s="54" t="str">
        <f t="shared" si="141"/>
        <v/>
      </c>
      <c r="EJ359" s="131" t="str">
        <f t="shared" si="200"/>
        <v>0</v>
      </c>
      <c r="EK359" s="241" t="str">
        <f t="shared" si="142"/>
        <v/>
      </c>
      <c r="EL359" s="242" t="e">
        <f t="shared" si="201"/>
        <v>#N/A</v>
      </c>
      <c r="EM359" s="57" t="e">
        <f t="shared" si="202"/>
        <v>#N/A</v>
      </c>
      <c r="EN359" s="243" t="e">
        <f t="shared" si="203"/>
        <v>#N/A</v>
      </c>
      <c r="FK359" s="326" t="str">
        <f t="shared" si="146"/>
        <v/>
      </c>
      <c r="FL359" s="326" t="str">
        <f t="shared" si="147"/>
        <v/>
      </c>
      <c r="FM359" s="326" t="str">
        <f t="shared" si="148"/>
        <v/>
      </c>
      <c r="FN359" s="326">
        <f t="shared" si="149"/>
        <v>0</v>
      </c>
      <c r="FO359" s="670" t="str">
        <f t="shared" si="150"/>
        <v/>
      </c>
      <c r="FQ359" s="138" t="str">
        <f t="shared" si="151"/>
        <v/>
      </c>
      <c r="FR359" s="131" t="str">
        <f t="shared" si="152"/>
        <v>0</v>
      </c>
      <c r="FS359" s="54" t="str">
        <f t="shared" si="153"/>
        <v/>
      </c>
      <c r="FT359" s="131" t="str">
        <f t="shared" si="204"/>
        <v>0</v>
      </c>
      <c r="FU359" s="217" t="str">
        <f t="shared" si="154"/>
        <v/>
      </c>
      <c r="FW359" s="667">
        <f t="shared" si="196"/>
        <v>0</v>
      </c>
      <c r="FX359" s="32"/>
      <c r="FY359" s="32"/>
      <c r="FZ359" s="668"/>
      <c r="GA359" s="14"/>
      <c r="GB359" s="32">
        <f t="shared" si="155"/>
        <v>0</v>
      </c>
      <c r="GC359" s="32">
        <f t="shared" si="156"/>
        <v>0</v>
      </c>
      <c r="GD359" s="19">
        <f t="shared" si="157"/>
        <v>0</v>
      </c>
      <c r="GE359" s="658" t="str">
        <f t="shared" si="158"/>
        <v/>
      </c>
      <c r="GF359" s="658" t="str">
        <f t="shared" si="159"/>
        <v/>
      </c>
      <c r="GG359" s="658" t="str">
        <f t="shared" si="160"/>
        <v/>
      </c>
      <c r="GH359" s="658" t="str">
        <f t="shared" si="161"/>
        <v/>
      </c>
      <c r="GI359" s="658" t="str">
        <f t="shared" si="162"/>
        <v/>
      </c>
      <c r="GJ359" s="658" t="str">
        <f t="shared" si="163"/>
        <v/>
      </c>
      <c r="GK359" s="658" t="str">
        <f t="shared" si="164"/>
        <v/>
      </c>
      <c r="GL359" s="658" t="str">
        <f t="shared" si="165"/>
        <v/>
      </c>
      <c r="GM359" s="658" t="str">
        <f t="shared" si="166"/>
        <v/>
      </c>
      <c r="GN359" s="658" t="str">
        <f t="shared" si="167"/>
        <v/>
      </c>
      <c r="GO359" s="658" t="str">
        <f t="shared" si="168"/>
        <v/>
      </c>
      <c r="GP359" s="658" t="str">
        <f t="shared" si="169"/>
        <v/>
      </c>
      <c r="GQ359" s="658" t="str">
        <f t="shared" si="170"/>
        <v/>
      </c>
      <c r="GR359" s="658" t="str">
        <f t="shared" si="171"/>
        <v/>
      </c>
      <c r="GS359" s="658" t="str">
        <f t="shared" si="172"/>
        <v/>
      </c>
      <c r="GT359" s="658">
        <f t="shared" si="94"/>
        <v>0</v>
      </c>
      <c r="GU359" s="658">
        <f t="shared" si="95"/>
        <v>0</v>
      </c>
      <c r="GV359" s="658">
        <f t="shared" si="96"/>
        <v>0</v>
      </c>
      <c r="GW359" s="658" t="b">
        <f t="shared" si="97"/>
        <v>0</v>
      </c>
      <c r="GX359" s="658" t="b">
        <f t="shared" si="98"/>
        <v>0</v>
      </c>
      <c r="GY359" s="658" t="b">
        <f t="shared" si="99"/>
        <v>0</v>
      </c>
      <c r="GZ359" s="658" t="str">
        <f t="shared" si="173"/>
        <v/>
      </c>
      <c r="HB359" s="658" t="str">
        <f t="shared" si="101"/>
        <v/>
      </c>
      <c r="HC359" s="658" t="str">
        <f t="shared" si="174"/>
        <v/>
      </c>
      <c r="HD359" s="658" t="str">
        <f t="shared" si="175"/>
        <v/>
      </c>
      <c r="HE359" s="658" t="str">
        <f t="shared" si="176"/>
        <v/>
      </c>
      <c r="HF359" s="658" t="str">
        <f t="shared" si="177"/>
        <v/>
      </c>
      <c r="HG359" s="658" t="str">
        <f t="shared" si="178"/>
        <v/>
      </c>
      <c r="HH359" s="658" t="str">
        <f t="shared" si="179"/>
        <v/>
      </c>
      <c r="HI359" s="658" t="str">
        <f t="shared" si="180"/>
        <v/>
      </c>
      <c r="HJ359" s="658" t="str">
        <f t="shared" si="181"/>
        <v/>
      </c>
      <c r="HK359" s="658" t="str">
        <f t="shared" si="182"/>
        <v/>
      </c>
      <c r="HL359" s="658" t="str">
        <f t="shared" si="183"/>
        <v/>
      </c>
      <c r="HM359" s="658" t="str">
        <f t="shared" si="184"/>
        <v/>
      </c>
      <c r="HN359" s="658" t="str">
        <f t="shared" si="185"/>
        <v/>
      </c>
      <c r="HO359" s="658" t="str">
        <f t="shared" si="186"/>
        <v/>
      </c>
      <c r="HP359" s="658" t="str">
        <f t="shared" si="187"/>
        <v/>
      </c>
      <c r="HQ359" s="658" t="str">
        <f t="shared" si="188"/>
        <v/>
      </c>
      <c r="HR359" s="658" t="str">
        <f t="shared" si="102"/>
        <v/>
      </c>
      <c r="HT359" s="658">
        <f>LEFT(M359,1)*10000+MID(M359,3,LEN(M359)-3)*100+COUNTIF($M$319:M359,M359)</f>
        <v>22301</v>
      </c>
      <c r="HU359" s="658" t="str">
        <f t="shared" si="103"/>
        <v/>
      </c>
      <c r="HV359" s="658" t="str">
        <f t="shared" si="189"/>
        <v/>
      </c>
      <c r="HW359" s="658" t="str">
        <f t="shared" si="104"/>
        <v/>
      </c>
      <c r="HX359" s="658" t="str">
        <f t="shared" si="190"/>
        <v/>
      </c>
    </row>
    <row r="360" spans="1:232" ht="15" customHeight="1" thickBot="1" x14ac:dyDescent="0.2">
      <c r="A360" s="1201"/>
      <c r="B360" s="1201"/>
      <c r="C360" s="1201"/>
      <c r="D360" s="1201"/>
      <c r="E360" s="1202"/>
      <c r="J360" s="1355"/>
      <c r="K360" s="1177"/>
      <c r="L360" s="1177"/>
      <c r="M360" s="1356"/>
      <c r="N360" s="1356"/>
      <c r="O360" s="1356"/>
      <c r="P360" s="1356"/>
      <c r="Q360" s="1356"/>
      <c r="R360" s="1356"/>
      <c r="S360" s="1356"/>
      <c r="T360" s="1356"/>
      <c r="U360" s="1356"/>
      <c r="V360" s="1356"/>
      <c r="W360" s="1356"/>
      <c r="X360" s="1356"/>
      <c r="Y360" s="1356"/>
      <c r="Z360" s="1356"/>
      <c r="AA360" s="1356"/>
      <c r="AB360" s="1356"/>
      <c r="AC360" s="1356"/>
      <c r="AD360" s="1356"/>
      <c r="AE360" s="1251"/>
      <c r="AF360" s="1251"/>
      <c r="AG360" s="1251"/>
      <c r="AH360" s="1251"/>
      <c r="AI360" s="1251"/>
      <c r="AJ360" s="1251"/>
      <c r="AK360" s="1251"/>
      <c r="AL360" s="1251"/>
      <c r="AM360" s="1251"/>
      <c r="AN360" s="1251"/>
      <c r="AO360" s="1251"/>
      <c r="AP360" s="1251"/>
      <c r="AQ360" s="1251"/>
      <c r="AR360" s="1186"/>
      <c r="AS360" s="1186"/>
      <c r="AT360" s="1251"/>
      <c r="AU360" s="1251"/>
      <c r="AV360" s="1251"/>
      <c r="AW360" s="1251"/>
      <c r="AX360" s="1251"/>
      <c r="AY360" s="1251"/>
      <c r="AZ360" s="1251"/>
      <c r="BA360" s="1251"/>
      <c r="BB360" s="1251"/>
      <c r="BC360" s="1251"/>
      <c r="BD360" s="1251"/>
      <c r="BE360" s="1251"/>
      <c r="BF360" s="1251"/>
      <c r="BG360" s="1251"/>
      <c r="BH360" s="1251"/>
      <c r="BI360" s="1251"/>
      <c r="BJ360" s="1251"/>
      <c r="BK360" s="1251"/>
      <c r="BL360" s="1251"/>
      <c r="BM360" s="1251"/>
      <c r="BN360" s="1251"/>
      <c r="BO360" s="1251"/>
      <c r="BP360" s="1251"/>
      <c r="BQ360" s="1251"/>
      <c r="BR360" s="1251"/>
      <c r="BS360" s="1186"/>
      <c r="BT360" s="1186"/>
      <c r="BU360" s="1186"/>
      <c r="BV360" s="1186"/>
      <c r="BW360" s="1186"/>
      <c r="BX360" s="1186"/>
      <c r="BY360" s="1182"/>
      <c r="BZ360" s="1182"/>
      <c r="CA360" s="1182"/>
      <c r="CB360" s="1182"/>
      <c r="CC360" s="1182"/>
      <c r="CD360" s="1182"/>
      <c r="CE360" s="1182"/>
      <c r="CF360" s="1182"/>
      <c r="CG360" s="1182"/>
      <c r="CH360" s="1182"/>
      <c r="CI360" s="1182"/>
      <c r="CJ360" s="1182"/>
      <c r="CK360" s="1182"/>
      <c r="CL360" s="1182"/>
      <c r="CM360" s="1182"/>
      <c r="CN360" s="1182"/>
      <c r="CO360" s="1182"/>
      <c r="CP360" s="1182"/>
      <c r="CQ360" s="1182"/>
      <c r="CR360" s="1182"/>
      <c r="CS360" s="1182"/>
      <c r="CT360" s="1182"/>
      <c r="CU360" s="1183"/>
      <c r="CV360" s="2300"/>
      <c r="CW360" s="2300"/>
      <c r="CX360" s="2300"/>
      <c r="CY360" s="2300"/>
      <c r="CZ360" s="2300"/>
      <c r="DA360" s="2300"/>
      <c r="DC360" s="329"/>
      <c r="DD360" s="197"/>
      <c r="DE360" s="16"/>
      <c r="DF360" s="16"/>
      <c r="DG360" s="16"/>
      <c r="DH360" s="16"/>
      <c r="DI360" s="1593"/>
      <c r="DJ360" s="1172"/>
      <c r="DK360" s="1606"/>
      <c r="DL360" s="1991" t="s">
        <v>3403</v>
      </c>
      <c r="DM360" s="99">
        <f>SUM(DM337:DM359)</f>
        <v>0</v>
      </c>
      <c r="DN360" s="99">
        <f>SUM(DN337:DN359)</f>
        <v>0</v>
      </c>
      <c r="DO360" s="99">
        <f>SUM(DO337:DO359)</f>
        <v>0</v>
      </c>
      <c r="DP360" s="99">
        <f>SUM(DP337:DP359)</f>
        <v>0</v>
      </c>
      <c r="DU360" s="277"/>
      <c r="DX360" s="2791" t="s">
        <v>1619</v>
      </c>
      <c r="DY360" s="461" t="s">
        <v>1621</v>
      </c>
      <c r="DZ360" s="222"/>
      <c r="EA360" s="303"/>
      <c r="EB360" s="673"/>
      <c r="EC360" s="133"/>
      <c r="ED360" s="111">
        <f>COUNTIF(ED337:ED359,"1")</f>
        <v>0</v>
      </c>
      <c r="EE360" s="110" t="str">
        <f t="array" ref="EE360">INDEX(EE337:EE359,MATCH(MIN(ABS(EE337:EE359-$DP$4)),ABS(EE337:EE359-$DP$4),0))</f>
        <v>0</v>
      </c>
      <c r="EF360" s="111">
        <f>COUNTIF(EF337:EF359,"未定")</f>
        <v>0</v>
      </c>
      <c r="EG360" s="109"/>
      <c r="EH360" s="133"/>
      <c r="EI360" s="111">
        <f>COUNTIF(EI337:EI359,"1")</f>
        <v>0</v>
      </c>
      <c r="EJ360" s="110" t="str">
        <f t="array" ref="EJ360">INDEX(EJ337:EJ359,MATCH(MIN(ABS(EJ337:EJ359-$DP$4)),ABS(EJ337:EJ359-$DP$4),0))</f>
        <v>0</v>
      </c>
      <c r="EK360" s="288">
        <f>COUNTIF(EK337:EK359,"未定")</f>
        <v>0</v>
      </c>
      <c r="EL360" s="674"/>
      <c r="EM360" s="11"/>
      <c r="EN360" s="675"/>
      <c r="FK360" s="351"/>
      <c r="FL360" s="351"/>
      <c r="FM360" s="351"/>
      <c r="FN360" s="351"/>
      <c r="FO360" s="670"/>
      <c r="FQ360" s="673"/>
      <c r="FR360" s="133"/>
      <c r="FS360" s="111">
        <f>COUNTIF(FS337:FS359,"1")</f>
        <v>0</v>
      </c>
      <c r="FT360" s="110" t="str">
        <f t="array" ref="FT360">INDEX(FT337:FT359,MATCH(MIN(ABS(FT337:FT359-$DP$4)),ABS(FT337:FT359-$DP$4),0))</f>
        <v>0</v>
      </c>
      <c r="FU360" s="218">
        <f>COUNTIF(FU337:FU359,"未定")</f>
        <v>0</v>
      </c>
      <c r="FV360" s="73"/>
      <c r="FW360" s="667">
        <f t="shared" si="196"/>
        <v>0</v>
      </c>
      <c r="FX360" s="11"/>
      <c r="FY360" s="11"/>
      <c r="FZ360" s="671"/>
      <c r="GB360" s="658">
        <f t="shared" ref="GB360" si="205">IF(SUM(GB337:GB359)&gt;0,1,0)</f>
        <v>0</v>
      </c>
      <c r="GC360" s="658">
        <f t="shared" ref="GC360" si="206">IF(SUM(GC337:GC359)&gt;0,1,0)</f>
        <v>0</v>
      </c>
      <c r="GD360" s="658">
        <f>IF(SUM(GD337:GD359)&gt;0,1,0)</f>
        <v>0</v>
      </c>
      <c r="GE360" s="660"/>
      <c r="GF360" s="660"/>
      <c r="GG360" s="660"/>
      <c r="GH360" s="660"/>
      <c r="GI360" s="660"/>
      <c r="GJ360" s="660"/>
      <c r="GK360" s="660"/>
      <c r="GL360" s="660"/>
      <c r="GM360" s="660"/>
      <c r="GN360" s="660"/>
      <c r="GO360" s="660"/>
      <c r="GP360" s="660"/>
      <c r="GQ360" s="660"/>
      <c r="GR360" s="660"/>
      <c r="GS360" s="660"/>
      <c r="GT360" s="658">
        <f>IF(SUM(GT337:GT359)&gt;0,1,0)</f>
        <v>0</v>
      </c>
      <c r="GU360" s="658">
        <f t="shared" ref="GU360" si="207">IF(SUM(GU337:GU359)&gt;0,1,0)</f>
        <v>0</v>
      </c>
      <c r="GV360" s="658">
        <f>IF(SUM(GV337:GV359)&gt;0,1,0)</f>
        <v>0</v>
      </c>
      <c r="GW360" s="658" t="b">
        <f>(GB360+GT360)&gt;0</f>
        <v>0</v>
      </c>
      <c r="GX360" s="658" t="b">
        <f t="shared" si="98"/>
        <v>0</v>
      </c>
      <c r="GY360" s="658" t="b">
        <f t="shared" si="99"/>
        <v>0</v>
      </c>
      <c r="GZ360" s="658" t="str">
        <f t="shared" si="173"/>
        <v/>
      </c>
      <c r="HB360" s="660"/>
      <c r="HC360" s="660"/>
      <c r="HD360" s="660"/>
      <c r="HE360" s="660"/>
      <c r="HF360" s="660"/>
      <c r="HG360" s="660"/>
      <c r="HH360" s="660"/>
      <c r="HI360" s="660"/>
      <c r="HJ360" s="660"/>
      <c r="HK360" s="660"/>
      <c r="HL360" s="660"/>
      <c r="HM360" s="660"/>
      <c r="HN360" s="660"/>
      <c r="HO360" s="660"/>
      <c r="HP360" s="660"/>
      <c r="HQ360" s="660"/>
      <c r="HR360" s="660"/>
      <c r="HT360" s="1133"/>
      <c r="HU360" s="1133"/>
      <c r="HV360" s="1133"/>
      <c r="HW360" s="1133"/>
      <c r="HX360" s="1133"/>
    </row>
    <row r="361" spans="1:232" s="19" customFormat="1" ht="34.5" customHeight="1" thickBot="1" x14ac:dyDescent="0.55000000000000004">
      <c r="A361" s="1201"/>
      <c r="B361" s="1201"/>
      <c r="C361" s="1201"/>
      <c r="D361" s="1201"/>
      <c r="E361" s="1202"/>
      <c r="F361" s="652"/>
      <c r="G361" s="652"/>
      <c r="H361" s="652"/>
      <c r="I361" s="1354"/>
      <c r="J361" s="1234"/>
      <c r="K361" s="1261"/>
      <c r="L361" s="1261"/>
      <c r="M361" s="2450" t="s">
        <v>2824</v>
      </c>
      <c r="N361" s="2450"/>
      <c r="O361" s="2450"/>
      <c r="P361" s="2450"/>
      <c r="Q361" s="2450"/>
      <c r="R361" s="2450"/>
      <c r="S361" s="2450"/>
      <c r="T361" s="2450"/>
      <c r="U361" s="2450"/>
      <c r="V361" s="2450"/>
      <c r="W361" s="2450"/>
      <c r="X361" s="2450"/>
      <c r="Y361" s="2450"/>
      <c r="Z361" s="2450"/>
      <c r="AA361" s="2450"/>
      <c r="AB361" s="2450"/>
      <c r="AC361" s="2450"/>
      <c r="AD361" s="2450"/>
      <c r="AE361" s="2450"/>
      <c r="AF361" s="2450"/>
      <c r="AG361" s="2450"/>
      <c r="AH361" s="2450"/>
      <c r="AI361" s="2450"/>
      <c r="AJ361" s="2450"/>
      <c r="AK361" s="2450"/>
      <c r="AL361" s="2450"/>
      <c r="AM361" s="2450"/>
      <c r="AN361" s="2450"/>
      <c r="AO361" s="2450"/>
      <c r="AP361" s="2450"/>
      <c r="AQ361" s="2450"/>
      <c r="AR361" s="2450"/>
      <c r="AS361" s="2450"/>
      <c r="AT361" s="2450"/>
      <c r="AU361" s="2450"/>
      <c r="AV361" s="2450"/>
      <c r="AW361" s="2450"/>
      <c r="AX361" s="2450"/>
      <c r="AY361" s="2450"/>
      <c r="AZ361" s="2450"/>
      <c r="BA361" s="2450"/>
      <c r="BB361" s="2450"/>
      <c r="BC361" s="2450"/>
      <c r="BD361" s="2450"/>
      <c r="BE361" s="2450"/>
      <c r="BF361" s="2450"/>
      <c r="BG361" s="2450"/>
      <c r="BH361" s="2450"/>
      <c r="BI361" s="2450"/>
      <c r="BJ361" s="2450"/>
      <c r="BK361" s="2450"/>
      <c r="BL361" s="2450"/>
      <c r="BM361" s="2450"/>
      <c r="BN361" s="2450"/>
      <c r="BO361" s="2450"/>
      <c r="BP361" s="2450"/>
      <c r="BQ361" s="2450"/>
      <c r="BR361" s="2450"/>
      <c r="BS361" s="2450"/>
      <c r="BT361" s="2450"/>
      <c r="BU361" s="2450"/>
      <c r="BV361" s="2450"/>
      <c r="BW361" s="2450"/>
      <c r="BX361" s="2450"/>
      <c r="BY361" s="2450"/>
      <c r="BZ361" s="2450"/>
      <c r="CA361" s="2450"/>
      <c r="CB361" s="2450"/>
      <c r="CC361" s="2450"/>
      <c r="CD361" s="2450"/>
      <c r="CE361" s="2450"/>
      <c r="CF361" s="2450"/>
      <c r="CG361" s="2450"/>
      <c r="CH361" s="2450"/>
      <c r="CI361" s="2450"/>
      <c r="CJ361" s="2450"/>
      <c r="CK361" s="2450"/>
      <c r="CL361" s="2450"/>
      <c r="CM361" s="2450"/>
      <c r="CN361" s="2450"/>
      <c r="CO361" s="2450"/>
      <c r="CP361" s="2450"/>
      <c r="CQ361" s="2450"/>
      <c r="CR361" s="2450"/>
      <c r="CS361" s="2450"/>
      <c r="CT361" s="2450"/>
      <c r="CU361" s="2451"/>
      <c r="CV361" s="2300" t="str">
        <f>IF(AND(DT361="要是正",DU361&lt;21),HYPERLINK("#"&amp;EL361&amp;"!"&amp;EM361&amp;":"&amp;EN361&amp;"","関連写真添付"),"")</f>
        <v/>
      </c>
      <c r="CW361" s="2300"/>
      <c r="CX361" s="2300"/>
      <c r="CY361" s="2300"/>
      <c r="CZ361" s="2300"/>
      <c r="DA361" s="2300"/>
      <c r="DC361" s="329"/>
      <c r="DD361" s="197"/>
      <c r="DF361" s="14"/>
      <c r="DG361" s="14"/>
      <c r="DH361" s="14"/>
      <c r="DI361" s="1596"/>
      <c r="DJ361" s="1157"/>
      <c r="DK361" s="1608"/>
      <c r="DL361" s="2058" t="s">
        <v>3405</v>
      </c>
      <c r="DM361" s="1623" t="str">
        <f>IF(AND(DN361="",DO361="",DP361="",DM378&lt;&gt;0),"レ","")</f>
        <v/>
      </c>
      <c r="DN361" s="1623" t="str">
        <f>IF(AND(DO361="",DP361="",DN378&lt;&gt;0),"レ","")</f>
        <v/>
      </c>
      <c r="DO361" s="1623" t="str">
        <f>IF(DO378&lt;&gt;0,"レ","")</f>
        <v/>
      </c>
      <c r="DP361" s="1623" t="str">
        <f>IF(AND(DO361="",DP378&lt;&gt;0),"レ","")</f>
        <v/>
      </c>
      <c r="DQ361" s="25"/>
      <c r="DR361" s="25"/>
      <c r="DS361" s="25"/>
      <c r="DT361" s="24"/>
      <c r="DU361" s="233"/>
      <c r="DV361" s="24"/>
      <c r="DW361" s="2047" t="s">
        <v>3411</v>
      </c>
      <c r="DX361" s="2792"/>
      <c r="DY361" s="2048" t="str">
        <f>SUBSTITUTE(TRIM(DY364&amp;"　"&amp;DY365&amp;"　"&amp;DY366&amp;"　"&amp;DY367&amp;"　"&amp;DY368&amp;"　"&amp;DY369&amp;"　"&amp;DY370&amp;"　"&amp;DY371&amp;"　"&amp;DY372&amp;"　"&amp;DY373&amp;"　"&amp;DY374&amp;"　"&amp;DY375&amp;"　"&amp;DY376&amp;"　"&amp;DY377),"　",", ")&amp;HN536</f>
        <v/>
      </c>
      <c r="DZ361" s="2370" t="s">
        <v>1625</v>
      </c>
      <c r="EA361" s="2371"/>
      <c r="EB361" s="2060" t="str">
        <f>IF(COUNTIF(ED364:ED377,1)&gt;0,"レ","")</f>
        <v/>
      </c>
      <c r="EC361" s="202"/>
      <c r="ED361" s="2061" t="str">
        <f>IF(EB361="レ",YEAR(EE378)-VLOOKUP(EE378,$DS$6:$DV$9,4,TRUE),"")</f>
        <v/>
      </c>
      <c r="EE361" s="2061" t="str">
        <f>IF(EB361="レ",MONTH(EE378),IF(AND(DO361="レ",EF361="レ",EF378=0),"",IF(AND(DO361="レ",EF361="レ",EF378&gt;0),"","")))</f>
        <v/>
      </c>
      <c r="EF361" s="2062" t="str">
        <f>IF(EB361="",IF(OR(EF378&gt;0,DO361="レ"),"レ",""),"")</f>
        <v/>
      </c>
      <c r="EG361" s="2060" t="str">
        <f>IF(AND(COUNTIF(DT364:DT372,"要是正")=0,COUNTIF(EI364:EI372,1)&gt;0),"レ","")</f>
        <v/>
      </c>
      <c r="EH361" s="202"/>
      <c r="EI361" s="2061" t="str">
        <f>IF(EG361="レ",YEAR(EJ378)-VLOOKUP(EJ378,$DS$6:$DV$9,4,TRUE),"")</f>
        <v/>
      </c>
      <c r="EJ361" s="2061" t="str">
        <f>IF(EG361="レ",MONTH(EJ378),IF(AND(DP361="レ",EK361="レ",EK378=0),"",IF(AND(DP361="レ",EK361="レ",EK378&gt;0),"","")))</f>
        <v/>
      </c>
      <c r="EK361" s="2063" t="str">
        <f>IF(EG361="",IF(OR(EK378&gt;0,DP361="レ"),"レ",""),"")</f>
        <v/>
      </c>
      <c r="EL361" s="136" t="e">
        <f>VLOOKUP($DU361,$EO$318:$ER$346,2,FALSE)</f>
        <v>#N/A</v>
      </c>
      <c r="EM361" s="137" t="e">
        <f>VLOOKUP($DU361,$EO$318:$ER$346,3,FALSE)</f>
        <v>#N/A</v>
      </c>
      <c r="EN361" s="244" t="e">
        <f>VLOOKUP($DU361,$EO$318:$ER$346,4,FALSE)</f>
        <v>#N/A</v>
      </c>
      <c r="EO361" s="15"/>
      <c r="EP361" s="15"/>
      <c r="EQ361" s="15"/>
      <c r="ER361" s="15"/>
      <c r="ES361" s="2080" t="str">
        <f>$GX$539</f>
        <v>要是正なし</v>
      </c>
      <c r="ET361" s="15"/>
      <c r="EU361" s="15"/>
      <c r="EV361" s="15"/>
      <c r="EW361" s="15"/>
      <c r="EX361" s="15"/>
      <c r="EY361" s="15"/>
      <c r="EZ361" s="15"/>
      <c r="FA361" s="15"/>
      <c r="FB361" s="15"/>
      <c r="FC361" s="15"/>
      <c r="FD361" s="15"/>
      <c r="FE361" s="15"/>
      <c r="FF361" s="15"/>
      <c r="FG361" s="15"/>
      <c r="FH361" s="15"/>
      <c r="FI361" s="15"/>
      <c r="FK361" s="351"/>
      <c r="FL361" s="351"/>
      <c r="FM361" s="351"/>
      <c r="FN361" s="351"/>
      <c r="FO361" s="670"/>
      <c r="FQ361" s="134" t="str">
        <f>IF(COUNTIF(FS364:FS377,1)&gt;0,"レ","")</f>
        <v/>
      </c>
      <c r="FR361" s="202"/>
      <c r="FS361" s="135" t="str">
        <f>IF(FQ361="レ",TEXT(FT378,"ee"),"")</f>
        <v/>
      </c>
      <c r="FT361" s="135" t="str">
        <f>IF(FQ361="レ",MONTH(FT378),IF(AND(FH361="レ",FU361="レ",FU378=0),"",IF(AND(FH361="レ",FU361="レ",FU378&gt;0),"未定","")))</f>
        <v/>
      </c>
      <c r="FU361" s="200" t="str">
        <f>IF(FQ361="",IF(OR(FU378&gt;0,FH361="レ"),"レ",""),"")</f>
        <v/>
      </c>
      <c r="FW361" s="667">
        <f t="shared" si="196"/>
        <v>0</v>
      </c>
      <c r="FX361" s="32"/>
      <c r="FY361" s="32"/>
      <c r="FZ361" s="668"/>
      <c r="GA361" s="14"/>
      <c r="GB361" s="32"/>
      <c r="GC361" s="32"/>
      <c r="GE361" s="32"/>
      <c r="GF361" s="32"/>
      <c r="GG361" s="32"/>
      <c r="GH361" s="32"/>
      <c r="GI361" s="32"/>
      <c r="GJ361" s="32"/>
      <c r="GK361" s="32"/>
      <c r="GL361" s="32"/>
      <c r="GM361" s="32"/>
      <c r="GN361" s="32"/>
      <c r="GO361" s="32"/>
      <c r="GP361" s="32"/>
      <c r="GQ361" s="32"/>
      <c r="GR361" s="32"/>
      <c r="GS361" s="32"/>
      <c r="GT361" s="32"/>
      <c r="GU361" s="32"/>
      <c r="GV361" s="32"/>
      <c r="GW361" s="32"/>
      <c r="GX361" s="32"/>
      <c r="GY361" s="32"/>
      <c r="HB361" s="32"/>
      <c r="HC361" s="32"/>
      <c r="HD361" s="32"/>
      <c r="HE361" s="32"/>
      <c r="HF361" s="32"/>
      <c r="HG361" s="32"/>
      <c r="HH361" s="32"/>
      <c r="HI361" s="32"/>
      <c r="HJ361" s="32"/>
      <c r="HK361" s="32"/>
      <c r="HL361" s="32"/>
      <c r="HM361" s="32"/>
      <c r="HN361" s="32"/>
      <c r="HO361" s="32"/>
      <c r="HP361" s="32"/>
      <c r="HQ361" s="32"/>
      <c r="HR361" s="32"/>
      <c r="HT361" s="1134"/>
      <c r="HU361" s="1134"/>
      <c r="HV361" s="1134"/>
      <c r="HW361" s="1134"/>
      <c r="HX361" s="1134"/>
    </row>
    <row r="362" spans="1:232" s="19" customFormat="1" ht="36" customHeight="1" thickBot="1" x14ac:dyDescent="0.2">
      <c r="A362" s="1201"/>
      <c r="B362" s="1201"/>
      <c r="C362" s="1201"/>
      <c r="D362" s="1201"/>
      <c r="E362" s="1202"/>
      <c r="F362" s="652"/>
      <c r="G362" s="652"/>
      <c r="H362" s="652"/>
      <c r="I362" s="1351"/>
      <c r="J362" s="1260"/>
      <c r="K362" s="1261"/>
      <c r="L362" s="1261"/>
      <c r="M362" s="2471" t="s">
        <v>31</v>
      </c>
      <c r="N362" s="2471"/>
      <c r="O362" s="2471"/>
      <c r="P362" s="2387" t="s">
        <v>32</v>
      </c>
      <c r="Q362" s="2387"/>
      <c r="R362" s="2387"/>
      <c r="S362" s="2387"/>
      <c r="T362" s="2387"/>
      <c r="U362" s="2387"/>
      <c r="V362" s="2387"/>
      <c r="W362" s="2387"/>
      <c r="X362" s="2387"/>
      <c r="Y362" s="2387"/>
      <c r="Z362" s="2387"/>
      <c r="AA362" s="2387"/>
      <c r="AB362" s="2387"/>
      <c r="AC362" s="2387"/>
      <c r="AD362" s="2387"/>
      <c r="AE362" s="2387"/>
      <c r="AF362" s="2387" t="s">
        <v>33</v>
      </c>
      <c r="AG362" s="2387"/>
      <c r="AH362" s="2387"/>
      <c r="AI362" s="2387"/>
      <c r="AJ362" s="2387"/>
      <c r="AK362" s="2387"/>
      <c r="AL362" s="2387"/>
      <c r="AM362" s="2387"/>
      <c r="AN362" s="2387"/>
      <c r="AO362" s="2387"/>
      <c r="AP362" s="2387"/>
      <c r="AQ362" s="2387"/>
      <c r="AR362" s="2387" t="s">
        <v>716</v>
      </c>
      <c r="AS362" s="2387"/>
      <c r="AT362" s="2388" t="s">
        <v>149</v>
      </c>
      <c r="AU362" s="2388"/>
      <c r="AV362" s="2388"/>
      <c r="AW362" s="2388"/>
      <c r="AX362" s="2388"/>
      <c r="AY362" s="2388"/>
      <c r="AZ362" s="2388"/>
      <c r="BA362" s="2388"/>
      <c r="BB362" s="2388"/>
      <c r="BC362" s="2388"/>
      <c r="BD362" s="2388" t="s">
        <v>187</v>
      </c>
      <c r="BE362" s="2388"/>
      <c r="BF362" s="2388"/>
      <c r="BG362" s="2388"/>
      <c r="BH362" s="2388"/>
      <c r="BI362" s="2388"/>
      <c r="BJ362" s="2388"/>
      <c r="BK362" s="2388"/>
      <c r="BL362" s="2388"/>
      <c r="BM362" s="2388"/>
      <c r="BN362" s="2388"/>
      <c r="BO362" s="2388"/>
      <c r="BP362" s="2388"/>
      <c r="BQ362" s="2388"/>
      <c r="BR362" s="2388"/>
      <c r="BS362" s="2387" t="s">
        <v>352</v>
      </c>
      <c r="BT362" s="2388"/>
      <c r="BU362" s="2388"/>
      <c r="BV362" s="2388"/>
      <c r="BW362" s="2388"/>
      <c r="BX362" s="2388"/>
      <c r="BY362" s="2388"/>
      <c r="BZ362" s="2388"/>
      <c r="CA362" s="2388"/>
      <c r="CB362" s="2363" t="s">
        <v>1919</v>
      </c>
      <c r="CC362" s="2363"/>
      <c r="CD362" s="2363"/>
      <c r="CE362" s="2363"/>
      <c r="CF362" s="2363"/>
      <c r="CG362" s="2363"/>
      <c r="CH362" s="2363"/>
      <c r="CI362" s="2363"/>
      <c r="CJ362" s="2363"/>
      <c r="CK362" s="2363"/>
      <c r="CL362" s="2363"/>
      <c r="CM362" s="2363"/>
      <c r="CN362" s="2363"/>
      <c r="CO362" s="2363"/>
      <c r="CP362" s="2363"/>
      <c r="CQ362" s="2363"/>
      <c r="CR362" s="2363"/>
      <c r="CS362" s="2363"/>
      <c r="CT362" s="2363"/>
      <c r="CU362" s="2364"/>
      <c r="CV362" s="421"/>
      <c r="CW362" s="421"/>
      <c r="CX362" s="20"/>
      <c r="CY362" s="20"/>
      <c r="CZ362" s="20"/>
      <c r="DA362" s="20"/>
      <c r="DB362" s="20"/>
      <c r="DC362" s="15"/>
      <c r="DD362" s="197"/>
      <c r="DE362" s="14"/>
      <c r="DF362" s="14"/>
      <c r="DG362" s="14"/>
      <c r="DH362" s="14"/>
      <c r="DI362" s="1596"/>
      <c r="DJ362" s="1157"/>
      <c r="DK362" s="1608"/>
      <c r="DL362" s="14"/>
      <c r="DM362" s="72" t="s">
        <v>2426</v>
      </c>
      <c r="DN362" s="14"/>
      <c r="DO362" s="14"/>
      <c r="DP362" s="14"/>
      <c r="DQ362" s="14"/>
      <c r="DR362" s="14"/>
      <c r="DU362" s="182"/>
      <c r="DV362" s="182"/>
      <c r="DW362" s="32"/>
      <c r="DX362" s="2792"/>
      <c r="DY362" s="2754" t="s">
        <v>872</v>
      </c>
      <c r="DZ362" s="2290" t="s">
        <v>187</v>
      </c>
      <c r="EA362" s="2372" t="s">
        <v>1605</v>
      </c>
      <c r="EB362" s="2262" t="s">
        <v>24</v>
      </c>
      <c r="EC362" s="2263"/>
      <c r="ED362" s="2263"/>
      <c r="EE362" s="2263"/>
      <c r="EF362" s="2263"/>
      <c r="EG362" s="2367" t="s">
        <v>891</v>
      </c>
      <c r="EH362" s="2368"/>
      <c r="EI362" s="2368"/>
      <c r="EJ362" s="2368"/>
      <c r="EK362" s="2369"/>
      <c r="EL362" s="2304" t="s">
        <v>898</v>
      </c>
      <c r="EM362" s="2305"/>
      <c r="EN362" s="2306"/>
      <c r="EO362" s="2281"/>
      <c r="EP362" s="2281"/>
      <c r="EQ362" s="2281"/>
      <c r="ER362" s="2281"/>
      <c r="ES362" s="15"/>
      <c r="ET362" s="2281"/>
      <c r="EU362" s="2281"/>
      <c r="EV362" s="2281"/>
      <c r="EW362" s="2281"/>
      <c r="EX362" s="2281"/>
      <c r="EY362" s="2265"/>
      <c r="EZ362" s="2265"/>
      <c r="FA362" s="2265"/>
      <c r="FB362" s="2265"/>
      <c r="FC362" s="2265"/>
      <c r="FD362" s="2265"/>
      <c r="FE362" s="2265"/>
      <c r="FF362" s="2265"/>
      <c r="FG362" s="2265"/>
      <c r="FH362" s="2265"/>
      <c r="FI362" s="31"/>
      <c r="FJ362" s="20"/>
      <c r="FK362" s="2283" t="s">
        <v>1108</v>
      </c>
      <c r="FL362" s="2284"/>
      <c r="FM362" s="2284"/>
      <c r="FN362" s="2284"/>
      <c r="FO362" s="2285"/>
      <c r="FQ362" s="2262" t="s">
        <v>24</v>
      </c>
      <c r="FR362" s="2263"/>
      <c r="FS362" s="2263"/>
      <c r="FT362" s="2263"/>
      <c r="FU362" s="2264"/>
      <c r="FW362" s="667" t="str">
        <f t="shared" si="196"/>
        <v>指摘の具体的内容等</v>
      </c>
      <c r="FX362" s="32"/>
      <c r="FY362" s="32"/>
      <c r="FZ362" s="668"/>
      <c r="GA362" s="14"/>
      <c r="GB362" s="32"/>
      <c r="GC362" s="32"/>
      <c r="GE362" s="32"/>
      <c r="GF362" s="32"/>
      <c r="GG362" s="32"/>
      <c r="GH362" s="32"/>
      <c r="GI362" s="32"/>
      <c r="GJ362" s="32"/>
      <c r="GK362" s="32"/>
      <c r="GL362" s="32"/>
      <c r="GM362" s="32"/>
      <c r="GN362" s="32"/>
      <c r="GO362" s="32"/>
      <c r="GP362" s="32"/>
      <c r="GQ362" s="32"/>
      <c r="GR362" s="32"/>
      <c r="GS362" s="32"/>
      <c r="GT362" s="32"/>
      <c r="GU362" s="32"/>
      <c r="GV362" s="73"/>
      <c r="GW362" s="32"/>
      <c r="GX362" s="32"/>
      <c r="GY362" s="32"/>
      <c r="HB362" s="32"/>
      <c r="HC362" s="32"/>
      <c r="HD362" s="32"/>
      <c r="HE362" s="32"/>
      <c r="HF362" s="32"/>
      <c r="HG362" s="32"/>
      <c r="HH362" s="32"/>
      <c r="HI362" s="32"/>
      <c r="HJ362" s="32"/>
      <c r="HK362" s="32"/>
      <c r="HL362" s="32"/>
      <c r="HM362" s="32"/>
      <c r="HN362" s="32"/>
      <c r="HO362" s="32"/>
      <c r="HP362" s="32"/>
      <c r="HQ362" s="32"/>
      <c r="HR362" s="32"/>
      <c r="HS362" s="73"/>
      <c r="HT362" s="1134"/>
      <c r="HU362" s="1134"/>
      <c r="HV362" s="1134"/>
      <c r="HW362" s="1134"/>
      <c r="HX362" s="1134"/>
    </row>
    <row r="363" spans="1:232" s="19" customFormat="1" ht="36" customHeight="1" thickBot="1" x14ac:dyDescent="0.2">
      <c r="A363" s="1201"/>
      <c r="B363" s="1201"/>
      <c r="C363" s="1201"/>
      <c r="D363" s="1201"/>
      <c r="E363" s="1202"/>
      <c r="F363" s="652"/>
      <c r="G363" s="652"/>
      <c r="H363" s="652"/>
      <c r="I363" s="1351"/>
      <c r="J363" s="1260"/>
      <c r="K363" s="1261"/>
      <c r="L363" s="1261"/>
      <c r="M363" s="2289"/>
      <c r="N363" s="2289"/>
      <c r="O363" s="2289"/>
      <c r="P363" s="2289"/>
      <c r="Q363" s="2289"/>
      <c r="R363" s="2289"/>
      <c r="S363" s="2289"/>
      <c r="T363" s="2289"/>
      <c r="U363" s="2289"/>
      <c r="V363" s="2289"/>
      <c r="W363" s="2289"/>
      <c r="X363" s="2289"/>
      <c r="Y363" s="2289"/>
      <c r="Z363" s="2289"/>
      <c r="AA363" s="2289"/>
      <c r="AB363" s="2289"/>
      <c r="AC363" s="2289"/>
      <c r="AD363" s="2289"/>
      <c r="AE363" s="2289"/>
      <c r="AF363" s="2289"/>
      <c r="AG363" s="2289"/>
      <c r="AH363" s="2289"/>
      <c r="AI363" s="2289"/>
      <c r="AJ363" s="2289"/>
      <c r="AK363" s="2289"/>
      <c r="AL363" s="2289"/>
      <c r="AM363" s="2289"/>
      <c r="AN363" s="2289"/>
      <c r="AO363" s="2289"/>
      <c r="AP363" s="2289"/>
      <c r="AQ363" s="2289"/>
      <c r="AR363" s="2289"/>
      <c r="AS363" s="2289"/>
      <c r="AT363" s="2386"/>
      <c r="AU363" s="2386"/>
      <c r="AV363" s="2386"/>
      <c r="AW363" s="2386"/>
      <c r="AX363" s="2386"/>
      <c r="AY363" s="2386"/>
      <c r="AZ363" s="2386"/>
      <c r="BA363" s="2386"/>
      <c r="BB363" s="2386"/>
      <c r="BC363" s="2386"/>
      <c r="BD363" s="2386"/>
      <c r="BE363" s="2386"/>
      <c r="BF363" s="2386"/>
      <c r="BG363" s="2386"/>
      <c r="BH363" s="2386"/>
      <c r="BI363" s="2386"/>
      <c r="BJ363" s="2386"/>
      <c r="BK363" s="2386"/>
      <c r="BL363" s="2386"/>
      <c r="BM363" s="2386"/>
      <c r="BN363" s="2386"/>
      <c r="BO363" s="2386"/>
      <c r="BP363" s="2386"/>
      <c r="BQ363" s="2386"/>
      <c r="BR363" s="2386"/>
      <c r="BS363" s="2289" t="s">
        <v>827</v>
      </c>
      <c r="BT363" s="2289"/>
      <c r="BU363" s="2289"/>
      <c r="BV363" s="2289" t="s">
        <v>348</v>
      </c>
      <c r="BW363" s="2289"/>
      <c r="BX363" s="2289"/>
      <c r="BY363" s="2289" t="s">
        <v>1314</v>
      </c>
      <c r="BZ363" s="2386"/>
      <c r="CA363" s="2386"/>
      <c r="CB363" s="2365"/>
      <c r="CC363" s="2365"/>
      <c r="CD363" s="2365"/>
      <c r="CE363" s="2365"/>
      <c r="CF363" s="2365"/>
      <c r="CG363" s="2365"/>
      <c r="CH363" s="2365"/>
      <c r="CI363" s="2365"/>
      <c r="CJ363" s="2365"/>
      <c r="CK363" s="2365"/>
      <c r="CL363" s="2365"/>
      <c r="CM363" s="2365"/>
      <c r="CN363" s="2365"/>
      <c r="CO363" s="2365"/>
      <c r="CP363" s="2365"/>
      <c r="CQ363" s="2365"/>
      <c r="CR363" s="2365"/>
      <c r="CS363" s="2365"/>
      <c r="CT363" s="2365"/>
      <c r="CU363" s="2366"/>
      <c r="CV363" s="421"/>
      <c r="CW363" s="421"/>
      <c r="CX363" s="20"/>
      <c r="CY363" s="20"/>
      <c r="CZ363" s="20"/>
      <c r="DA363" s="20"/>
      <c r="DB363" s="20"/>
      <c r="DC363" s="15"/>
      <c r="DD363" s="197"/>
      <c r="DE363" s="14"/>
      <c r="DF363" s="14"/>
      <c r="DG363" s="14"/>
      <c r="DH363" s="14"/>
      <c r="DI363" s="1596"/>
      <c r="DJ363" s="1169" t="s">
        <v>2752</v>
      </c>
      <c r="DK363" s="1599" t="s">
        <v>2751</v>
      </c>
      <c r="DL363" s="269" t="s">
        <v>2753</v>
      </c>
      <c r="DM363" s="281" t="s">
        <v>325</v>
      </c>
      <c r="DN363" s="261" t="s">
        <v>326</v>
      </c>
      <c r="DO363" s="261" t="s">
        <v>327</v>
      </c>
      <c r="DP363" s="262" t="s">
        <v>328</v>
      </c>
      <c r="DQ363" s="98" t="s">
        <v>825</v>
      </c>
      <c r="DR363" s="260" t="s">
        <v>718</v>
      </c>
      <c r="DS363" s="268" t="s">
        <v>717</v>
      </c>
      <c r="DT363" s="269" t="s">
        <v>710</v>
      </c>
      <c r="DU363" s="292" t="s">
        <v>881</v>
      </c>
      <c r="DV363" s="293" t="s">
        <v>873</v>
      </c>
      <c r="DW363" s="294" t="s">
        <v>660</v>
      </c>
      <c r="DX363" s="2793"/>
      <c r="DY363" s="2755"/>
      <c r="DZ363" s="2291"/>
      <c r="EA363" s="2373"/>
      <c r="EB363" s="139" t="s">
        <v>910</v>
      </c>
      <c r="EC363" s="132" t="s">
        <v>909</v>
      </c>
      <c r="ED363" s="132" t="s">
        <v>903</v>
      </c>
      <c r="EE363" s="119" t="s">
        <v>904</v>
      </c>
      <c r="EF363" s="120" t="s">
        <v>905</v>
      </c>
      <c r="EG363" s="118" t="s">
        <v>901</v>
      </c>
      <c r="EH363" s="119" t="s">
        <v>902</v>
      </c>
      <c r="EI363" s="132" t="s">
        <v>903</v>
      </c>
      <c r="EJ363" s="119" t="s">
        <v>904</v>
      </c>
      <c r="EK363" s="240" t="s">
        <v>905</v>
      </c>
      <c r="EL363" s="127" t="s">
        <v>336</v>
      </c>
      <c r="EM363" s="23" t="s">
        <v>658</v>
      </c>
      <c r="EN363" s="124" t="s">
        <v>659</v>
      </c>
      <c r="EO363" s="15"/>
      <c r="EP363" s="185"/>
      <c r="EQ363" s="185"/>
      <c r="ER363" s="185"/>
      <c r="ES363" s="181"/>
      <c r="ET363" s="15"/>
      <c r="EU363" s="181"/>
      <c r="EV363" s="181"/>
      <c r="EW363" s="181"/>
      <c r="EX363" s="181"/>
      <c r="EY363" s="182"/>
      <c r="EZ363" s="182"/>
      <c r="FA363" s="182"/>
      <c r="FB363" s="182"/>
      <c r="FC363" s="182"/>
      <c r="FD363" s="182"/>
      <c r="FE363" s="182"/>
      <c r="FF363" s="182"/>
      <c r="FG363" s="182"/>
      <c r="FH363" s="182"/>
      <c r="FI363" s="31"/>
      <c r="FJ363" s="20"/>
      <c r="FK363" s="2286"/>
      <c r="FL363" s="2287"/>
      <c r="FM363" s="2287"/>
      <c r="FN363" s="2287"/>
      <c r="FO363" s="2288"/>
      <c r="FQ363" s="139" t="s">
        <v>910</v>
      </c>
      <c r="FR363" s="132" t="s">
        <v>909</v>
      </c>
      <c r="FS363" s="132" t="s">
        <v>903</v>
      </c>
      <c r="FT363" s="119" t="s">
        <v>904</v>
      </c>
      <c r="FU363" s="216" t="s">
        <v>905</v>
      </c>
      <c r="FW363" s="667">
        <f t="shared" si="196"/>
        <v>0</v>
      </c>
      <c r="FX363" s="32"/>
      <c r="FY363" s="32"/>
      <c r="FZ363" s="668"/>
      <c r="GA363" s="14"/>
      <c r="GB363" s="32"/>
      <c r="GC363" s="32"/>
      <c r="GE363" s="672"/>
      <c r="GF363" s="672"/>
      <c r="GG363" s="672"/>
      <c r="GH363" s="672"/>
      <c r="GI363" s="672"/>
      <c r="GJ363" s="672"/>
      <c r="GK363" s="672"/>
      <c r="GL363" s="672"/>
      <c r="GM363" s="672"/>
      <c r="GN363" s="672"/>
      <c r="GO363" s="672"/>
      <c r="GP363" s="672"/>
      <c r="GQ363" s="672"/>
      <c r="GR363" s="672"/>
      <c r="GS363" s="672"/>
      <c r="GT363" s="672"/>
      <c r="GU363" s="672"/>
      <c r="GV363" s="672"/>
      <c r="GW363" s="32"/>
      <c r="GX363" s="32"/>
      <c r="GY363" s="32"/>
      <c r="HB363" s="672"/>
      <c r="HC363" s="672"/>
      <c r="HD363" s="672"/>
      <c r="HE363" s="672"/>
      <c r="HF363" s="672"/>
      <c r="HG363" s="672"/>
      <c r="HH363" s="672"/>
      <c r="HI363" s="672"/>
      <c r="HJ363" s="672"/>
      <c r="HK363" s="672"/>
      <c r="HL363" s="672"/>
      <c r="HM363" s="672"/>
      <c r="HN363" s="672"/>
      <c r="HO363" s="672"/>
      <c r="HP363" s="672"/>
      <c r="HQ363" s="672"/>
      <c r="HR363" s="672"/>
      <c r="HT363" s="1135"/>
      <c r="HU363" s="1135"/>
      <c r="HV363" s="1135"/>
      <c r="HW363" s="1135"/>
      <c r="HX363" s="1135"/>
    </row>
    <row r="364" spans="1:232" s="19" customFormat="1" ht="50.1" customHeight="1" x14ac:dyDescent="0.15">
      <c r="A364" s="1201"/>
      <c r="B364" s="1201"/>
      <c r="C364" s="1201"/>
      <c r="D364" s="1201"/>
      <c r="E364" s="1202"/>
      <c r="F364" s="652"/>
      <c r="G364" s="652"/>
      <c r="H364" s="652"/>
      <c r="I364" s="1354"/>
      <c r="J364" s="1234"/>
      <c r="K364" s="1261"/>
      <c r="L364" s="1261"/>
      <c r="M364" s="2424" t="s">
        <v>285</v>
      </c>
      <c r="N364" s="2424"/>
      <c r="O364" s="2424"/>
      <c r="P364" s="2429" t="s">
        <v>73</v>
      </c>
      <c r="Q364" s="2429"/>
      <c r="R364" s="2429"/>
      <c r="S364" s="2429"/>
      <c r="T364" s="2429"/>
      <c r="U364" s="2429" t="s">
        <v>74</v>
      </c>
      <c r="V364" s="2429"/>
      <c r="W364" s="2429"/>
      <c r="X364" s="2429"/>
      <c r="Y364" s="2429"/>
      <c r="Z364" s="2429"/>
      <c r="AA364" s="2429"/>
      <c r="AB364" s="2429"/>
      <c r="AC364" s="2429"/>
      <c r="AD364" s="2429"/>
      <c r="AE364" s="2429"/>
      <c r="AF364" s="2293"/>
      <c r="AG364" s="2293"/>
      <c r="AH364" s="2293"/>
      <c r="AI364" s="2293"/>
      <c r="AJ364" s="2293"/>
      <c r="AK364" s="2293"/>
      <c r="AL364" s="2293"/>
      <c r="AM364" s="2293"/>
      <c r="AN364" s="2293"/>
      <c r="AO364" s="2293"/>
      <c r="AP364" s="2293"/>
      <c r="AQ364" s="2293"/>
      <c r="AR364" s="2359"/>
      <c r="AS364" s="2359"/>
      <c r="AT364" s="2301"/>
      <c r="AU364" s="2301"/>
      <c r="AV364" s="2301"/>
      <c r="AW364" s="2301"/>
      <c r="AX364" s="2301"/>
      <c r="AY364" s="2301"/>
      <c r="AZ364" s="2301"/>
      <c r="BA364" s="2301"/>
      <c r="BB364" s="2301"/>
      <c r="BC364" s="2301"/>
      <c r="BD364" s="2301"/>
      <c r="BE364" s="2301"/>
      <c r="BF364" s="2301"/>
      <c r="BG364" s="2301"/>
      <c r="BH364" s="2301"/>
      <c r="BI364" s="2301"/>
      <c r="BJ364" s="2301"/>
      <c r="BK364" s="2301"/>
      <c r="BL364" s="2301"/>
      <c r="BM364" s="2301"/>
      <c r="BN364" s="2301"/>
      <c r="BO364" s="2301"/>
      <c r="BP364" s="2301"/>
      <c r="BQ364" s="2301"/>
      <c r="BR364" s="2301"/>
      <c r="BS364" s="2358"/>
      <c r="BT364" s="2358"/>
      <c r="BU364" s="2358"/>
      <c r="BV364" s="2358"/>
      <c r="BW364" s="2358"/>
      <c r="BX364" s="2358"/>
      <c r="BY364" s="2358"/>
      <c r="BZ364" s="2359"/>
      <c r="CA364" s="2359"/>
      <c r="CB364" s="2734"/>
      <c r="CC364" s="2211"/>
      <c r="CD364" s="2211"/>
      <c r="CE364" s="2211"/>
      <c r="CF364" s="2211"/>
      <c r="CG364" s="2211"/>
      <c r="CH364" s="2211"/>
      <c r="CI364" s="2211"/>
      <c r="CJ364" s="2211"/>
      <c r="CK364" s="2211"/>
      <c r="CL364" s="2211"/>
      <c r="CM364" s="2211"/>
      <c r="CN364" s="2211"/>
      <c r="CO364" s="2211"/>
      <c r="CP364" s="2211"/>
      <c r="CQ364" s="2211"/>
      <c r="CR364" s="2211"/>
      <c r="CS364" s="2211"/>
      <c r="CT364" s="2211"/>
      <c r="CU364" s="2735"/>
      <c r="CV364" s="2300" t="str">
        <f t="shared" ref="CV364:CV372" si="208">IF(AND(DT364="要是正",DU364&lt;21),HYPERLINK("#"&amp;EL364&amp;"!"&amp;EM364&amp;":"&amp;EN364&amp;"","関連写真添付"),"")</f>
        <v/>
      </c>
      <c r="CW364" s="2300"/>
      <c r="CX364" s="2300"/>
      <c r="CY364" s="2300"/>
      <c r="CZ364" s="2300"/>
      <c r="DA364" s="2300"/>
      <c r="DC364" s="329" t="str">
        <f t="shared" ref="DC364:DC372" si="209">IF(AND(DU364&lt;&gt;"",DU364&gt;20),"「別途様式を作成、提出してください。」","")</f>
        <v/>
      </c>
      <c r="DD364" s="197"/>
      <c r="DF364" s="14"/>
      <c r="DG364" s="14"/>
      <c r="DH364" s="14"/>
      <c r="DI364" s="1596"/>
      <c r="DJ364" s="1170" t="s">
        <v>2749</v>
      </c>
      <c r="DK364" s="1604" t="str">
        <f t="shared" ref="DK364:DK377" si="210">IF(DS364=2,DATE(VLOOKUP(DJ364,$DU$6:$DV$9,2,FALSE)+BS364,BV364,1),"")</f>
        <v/>
      </c>
      <c r="DL364" s="437" t="str">
        <f t="shared" ref="DL364:DL377" si="211">IF(DS364=2,DJ364&amp;BS364&amp;"."&amp;BV364,"")</f>
        <v/>
      </c>
      <c r="DM364" s="1128">
        <f t="shared" ref="DM364:DM377" si="212">COUNTIFS(AF364,"―対象外")</f>
        <v>0</v>
      </c>
      <c r="DN364" s="22">
        <f t="shared" ref="DN364:DN377" si="213">COUNTIFS(AF364,"○指摘なし")</f>
        <v>0</v>
      </c>
      <c r="DO364" s="22">
        <f t="shared" ref="DO364:DO377" si="214">COUNTIFS(AF364,"×要是正（既存不適格以外）")</f>
        <v>0</v>
      </c>
      <c r="DP364" s="264">
        <f t="shared" ref="DP364:DP377" si="215">COUNTIFS(AF364,"△既存不適格")</f>
        <v>0</v>
      </c>
      <c r="DQ364" s="33" t="s">
        <v>285</v>
      </c>
      <c r="DR364" s="263" t="str">
        <f>IF($U364="",P364,U364)</f>
        <v>屋上面の劣化及び損傷の状況</v>
      </c>
      <c r="DS364" s="23">
        <f t="shared" ref="DS364:DS377" si="216">COUNTA(BS364:BX364)</f>
        <v>0</v>
      </c>
      <c r="DT364" s="29" t="str">
        <f t="shared" ref="DT364:DT377" si="217">IF(AF364="×要是正（既存不適格以外）","要是正","")&amp;IF(AF364="△既存不適格","既存不適格","")</f>
        <v/>
      </c>
      <c r="DU364" s="242" t="str">
        <f t="shared" ref="DU364:DU377" si="218">IF(HV364="","",HV364)</f>
        <v/>
      </c>
      <c r="DV364" s="57" t="str">
        <f>IF($DT364="要是正",MAX($DV$360:DV361)+1,"")</f>
        <v/>
      </c>
      <c r="DW364" s="273" t="str">
        <f t="shared" ref="DW364:DW377" si="219">IF(OR(AF364="×要是正（既存不適格以外）",AF364="△既存不適格"),DQ364,"")</f>
        <v/>
      </c>
      <c r="DX364" s="30" t="str">
        <f t="shared" ref="DX364:DX377" si="220">IF(OR($DT364="要是正",$DT364="既存不適格"),$DR364,"")</f>
        <v/>
      </c>
      <c r="DY364" s="13" t="str">
        <f t="shared" ref="DY364:DY377" si="221">IF($DT364="要是正",IF(AT364="","",DQ364 &amp;" " &amp; AT364),"")</f>
        <v/>
      </c>
      <c r="DZ364" s="121" t="str">
        <f t="shared" ref="DZ364:DZ377" si="222">IF($DT364="要是正",IF(BD364="","",BD364),"")</f>
        <v/>
      </c>
      <c r="EA364" s="256" t="str">
        <f t="shared" ref="EA364:EA377" si="223">IF(BY364="未定","未定",IF(FR364="0","",IF(BY364="予定","("&amp;DL364&amp;")",IF(BY364="改善済",DL364,DL364))))</f>
        <v/>
      </c>
      <c r="EB364" s="138" t="str">
        <f t="shared" ref="EB364:EB377" si="224">IF(OR(DT364="要是正",DT364="既存不適格"),IF(OR(DS364&lt;2,BY364&lt;&gt;"予定"),"",DK364),"")</f>
        <v/>
      </c>
      <c r="EC364" s="131" t="str">
        <f t="shared" ref="EC364:EC377" si="225">IF(EB364="","0",EB364)</f>
        <v>0</v>
      </c>
      <c r="ED364" s="54" t="str">
        <f t="shared" ref="ED364:ED377" si="226">IF(DT364="要是正",IF(AND(BY364="予定",DS364=2),1,IF(BY364="改善済",2,"")),"")</f>
        <v/>
      </c>
      <c r="EE364" s="131" t="str">
        <f>IF(ED364=1,EC364,"0")</f>
        <v>0</v>
      </c>
      <c r="EF364" s="37" t="str">
        <f t="shared" ref="EF364:EF377" si="227">IF(AND(DT364="要是正",AND(DS364=0,BY364="未定")),BY364,"")</f>
        <v/>
      </c>
      <c r="EG364" s="108" t="str">
        <f t="shared" ref="EG364:EG377" si="228">IF(DT364="既存不適格",IF(OR(DS364&lt;2,BY364&lt;&gt;"予定"),"",DK364),"")</f>
        <v/>
      </c>
      <c r="EH364" s="41" t="str">
        <f t="shared" ref="EH364:EH377" si="229">IF(EG364="","0",EG364)</f>
        <v>0</v>
      </c>
      <c r="EI364" s="54" t="str">
        <f t="shared" ref="EI364:EI377" si="230">IF(DT364="既存不適格",IF(AND(BY364="予定",DS364=2),1,IF(BY364="改善済",2,"")),"")</f>
        <v/>
      </c>
      <c r="EJ364" s="131" t="str">
        <f>IF(EI364=1,EH364,"0")</f>
        <v>0</v>
      </c>
      <c r="EK364" s="241" t="str">
        <f t="shared" ref="EK364:EK377" si="231">IF(AND(DT364="既存不適格",AND(DS364=0,BY364="未定")),BY364,"")</f>
        <v/>
      </c>
      <c r="EL364" s="242" t="e">
        <f>VLOOKUP($DU364,$EO$318:$ER$346,2,FALSE)</f>
        <v>#N/A</v>
      </c>
      <c r="EM364" s="57" t="e">
        <f t="shared" ref="EM364:EM372" si="232">VLOOKUP($DU364,$EO$318:$ER$346,3,FALSE)</f>
        <v>#N/A</v>
      </c>
      <c r="EN364" s="243" t="e">
        <f t="shared" ref="EN364:EN372" si="233">VLOOKUP($DU364,$EO$318:$ER$346,4,FALSE)</f>
        <v>#N/A</v>
      </c>
      <c r="EO364" s="15"/>
      <c r="EP364" s="15"/>
      <c r="EQ364" s="15"/>
      <c r="ER364" s="15"/>
      <c r="ES364" s="15"/>
      <c r="ET364" s="15"/>
      <c r="EU364" s="15"/>
      <c r="EV364" s="15"/>
      <c r="EW364" s="15"/>
      <c r="EX364" s="15"/>
      <c r="EY364" s="15"/>
      <c r="EZ364" s="15"/>
      <c r="FA364" s="15"/>
      <c r="FB364" s="15"/>
      <c r="FC364" s="15"/>
      <c r="FD364" s="15"/>
      <c r="FE364" s="15"/>
      <c r="FF364" s="15"/>
      <c r="FG364" s="15"/>
      <c r="FH364" s="15"/>
      <c r="FI364" s="15"/>
      <c r="FK364" s="326" t="str">
        <f t="shared" ref="FK364:FK377" si="234">IF($AF364="○指摘なし","○",IF($AF364="―対象外","―",""))</f>
        <v/>
      </c>
      <c r="FL364" s="326" t="str">
        <f t="shared" ref="FL364:FL377" si="235">IF(OR($AF364="×要是正（既存不適格以外）",$AF364="△既存不適格"),"○",IF($AF364="―対象外","―",""))</f>
        <v/>
      </c>
      <c r="FM364" s="326" t="str">
        <f t="shared" ref="FM364:FM377" si="236">IF($AF364="△既存不適格","○",IF($AF364="―対象外","―",""))</f>
        <v/>
      </c>
      <c r="FN364" s="326">
        <f t="shared" ref="FN364:FN377" si="237">IF($AF364="―対象外","―",AR364)</f>
        <v>0</v>
      </c>
      <c r="FO364" s="670" t="str">
        <f t="shared" ref="FO364:FO377" si="238">IF($AF364="―対象外","○","")</f>
        <v/>
      </c>
      <c r="FQ364" s="138" t="str">
        <f t="shared" ref="FQ364:FQ377" si="239">IF(NOT(OR(BY364="未定",BY364="")),DK364,"")</f>
        <v/>
      </c>
      <c r="FR364" s="131" t="str">
        <f t="shared" ref="FR364:FR377" si="240">IF(FQ364="","0",FQ364)</f>
        <v>0</v>
      </c>
      <c r="FS364" s="54" t="str">
        <f t="shared" ref="FS364:FS377" si="241">IF(OR(BY364="予定",BY364="改善済"),1,"")</f>
        <v/>
      </c>
      <c r="FT364" s="131" t="str">
        <f>IF(FS364=1,FR364,"0")</f>
        <v>0</v>
      </c>
      <c r="FU364" s="217" t="str">
        <f t="shared" ref="FU364:FU377" si="242">IF(AND(DT364="要是正",AND(DS364=0,BY364="未定")),BY364,"")</f>
        <v/>
      </c>
      <c r="FW364" s="667">
        <f t="shared" si="196"/>
        <v>0</v>
      </c>
      <c r="FX364" s="32"/>
      <c r="FY364" s="32"/>
      <c r="FZ364" s="668"/>
      <c r="GA364" s="14"/>
      <c r="GB364" s="658">
        <f t="shared" ref="GB364:GB377" si="243">IF(BY364="予定",1,0)</f>
        <v>0</v>
      </c>
      <c r="GC364" s="658">
        <f t="shared" ref="GC364:GC377" si="244">IF(BY364="改善済",1,0)</f>
        <v>0</v>
      </c>
      <c r="GD364" s="658">
        <f t="shared" ref="GD364:GD377" si="245">IF(BY364="未定",1,0)</f>
        <v>0</v>
      </c>
      <c r="GE364" s="658" t="str">
        <f t="shared" ref="GE364:GE377" si="246">IF(GE$318=$M364,$BY$520,"")</f>
        <v/>
      </c>
      <c r="GF364" s="658" t="str">
        <f t="shared" ref="GF364:GF377" si="247">IF(GF$318=$M364,$BY$521,"")</f>
        <v/>
      </c>
      <c r="GG364" s="658" t="str">
        <f t="shared" ref="GG364:GG377" si="248">IF(GG$318=$M364,$BY$522,"")</f>
        <v/>
      </c>
      <c r="GH364" s="658" t="str">
        <f t="shared" ref="GH364:GH377" si="249">IF(GH$318=$M364,$BY$523,"")</f>
        <v/>
      </c>
      <c r="GI364" s="658" t="str">
        <f t="shared" ref="GI364:GI377" si="250">IF(GI$318=$M364,$BY$524,"")</f>
        <v/>
      </c>
      <c r="GJ364" s="658" t="str">
        <f t="shared" ref="GJ364:GJ377" si="251">IF(GJ$318=$M364,$BY$525,"")</f>
        <v/>
      </c>
      <c r="GK364" s="658" t="str">
        <f t="shared" ref="GK364:GK377" si="252">IF(GK$318=$M364,$BY$526,"")</f>
        <v/>
      </c>
      <c r="GL364" s="658" t="str">
        <f t="shared" ref="GL364:GL377" si="253">IF(GL$318=$M364,$BY$527,"")</f>
        <v/>
      </c>
      <c r="GM364" s="658" t="str">
        <f t="shared" ref="GM364:GM377" si="254">IF(GM$318=$M364,$BY$528,"")</f>
        <v/>
      </c>
      <c r="GN364" s="658" t="str">
        <f t="shared" ref="GN364:GN377" si="255">IF(GN$318=$M364,$BY$529,"")</f>
        <v/>
      </c>
      <c r="GO364" s="658" t="str">
        <f t="shared" ref="GO364:GO377" si="256">IF(GO$318=$M364,$BY$530,"")</f>
        <v/>
      </c>
      <c r="GP364" s="658" t="str">
        <f t="shared" ref="GP364:GP377" si="257">IF(GP$318=$M364,$BY$531,"")</f>
        <v/>
      </c>
      <c r="GQ364" s="658" t="str">
        <f t="shared" ref="GQ364:GQ377" si="258">IF(GQ$318=$M364,$BY$532,"")</f>
        <v/>
      </c>
      <c r="GR364" s="658" t="str">
        <f t="shared" ref="GR364:GR377" si="259">IF(GR$318=$M364,$BY$533,"")</f>
        <v/>
      </c>
      <c r="GS364" s="658" t="str">
        <f t="shared" ref="GS364:GS377" si="260">IF(GS$318=$M364,$BY$534,"")</f>
        <v/>
      </c>
      <c r="GT364" s="658">
        <f t="shared" si="94"/>
        <v>0</v>
      </c>
      <c r="GU364" s="658">
        <f t="shared" si="95"/>
        <v>0</v>
      </c>
      <c r="GV364" s="658">
        <f t="shared" si="96"/>
        <v>0</v>
      </c>
      <c r="GW364" s="658" t="b">
        <f t="shared" si="97"/>
        <v>0</v>
      </c>
      <c r="GX364" s="658" t="b">
        <f t="shared" si="98"/>
        <v>0</v>
      </c>
      <c r="GY364" s="658" t="b">
        <f t="shared" si="99"/>
        <v>0</v>
      </c>
      <c r="GZ364" s="658" t="str">
        <f t="shared" si="173"/>
        <v/>
      </c>
      <c r="HB364" s="658" t="str">
        <f t="shared" si="101"/>
        <v/>
      </c>
      <c r="HC364" s="658" t="str">
        <f t="shared" ref="HC364:HC377" si="261">IF(HC$318=$M364,$FW$520&amp;", ","")</f>
        <v/>
      </c>
      <c r="HD364" s="658" t="str">
        <f t="shared" ref="HD364:HD377" si="262">IF(HD$318=$M364,$FW$521&amp;", ","")</f>
        <v/>
      </c>
      <c r="HE364" s="658" t="str">
        <f t="shared" ref="HE364:HE377" si="263">IF(HE$318=$M364,$FW$522&amp;", ","")</f>
        <v/>
      </c>
      <c r="HF364" s="658" t="str">
        <f t="shared" ref="HF364:HF377" si="264">IF(HF$318=$M364,$FW$523&amp;", ","")</f>
        <v/>
      </c>
      <c r="HG364" s="658" t="str">
        <f t="shared" ref="HG364:HG377" si="265">IF(HG$318=$M364,$FW$524&amp;", ","")</f>
        <v/>
      </c>
      <c r="HH364" s="658" t="str">
        <f t="shared" ref="HH364:HH377" si="266">IF(HH$318=$M364,$FW$525&amp;", ","")</f>
        <v/>
      </c>
      <c r="HI364" s="658" t="str">
        <f t="shared" ref="HI364:HI377" si="267">IF(HI$318=$M364,$FW$526&amp;", ","")</f>
        <v/>
      </c>
      <c r="HJ364" s="658" t="str">
        <f t="shared" ref="HJ364:HJ377" si="268">IF(HJ$318=$M364,$FW$527&amp;", ","")</f>
        <v/>
      </c>
      <c r="HK364" s="658" t="str">
        <f t="shared" ref="HK364:HK377" si="269">IF(HK$318=$M364,$FW$528&amp;", ","")</f>
        <v/>
      </c>
      <c r="HL364" s="658" t="str">
        <f t="shared" ref="HL364:HL377" si="270">IF(HL$318=$M364,$FW$529&amp;", ","")</f>
        <v/>
      </c>
      <c r="HM364" s="658" t="str">
        <f t="shared" ref="HM364:HM377" si="271">IF(HM$318=$M364,$FW$530&amp;", ","")</f>
        <v/>
      </c>
      <c r="HN364" s="658" t="str">
        <f t="shared" ref="HN364:HN377" si="272">IF(HN$318=$M364,$FW$531&amp;", ","")</f>
        <v/>
      </c>
      <c r="HO364" s="658" t="str">
        <f t="shared" ref="HO364:HO377" si="273">IF(HO$318=$M364,$FW$532&amp;", ","")</f>
        <v/>
      </c>
      <c r="HP364" s="658" t="str">
        <f t="shared" ref="HP364:HP377" si="274">IF(HP$318=$M364,$FW$533&amp;", ","")</f>
        <v/>
      </c>
      <c r="HQ364" s="658" t="str">
        <f t="shared" ref="HQ364:HQ377" si="275">IF(HQ$318=$M364,$FW$534&amp;", ","")</f>
        <v/>
      </c>
      <c r="HR364" s="658" t="str">
        <f t="shared" si="102"/>
        <v/>
      </c>
      <c r="HT364" s="658">
        <f>LEFT(M364,1)*10000+MID(M364,3,LEN(M364)-3)*100+COUNTIF($M$319:M364,M364)</f>
        <v>30101</v>
      </c>
      <c r="HU364" s="658" t="str">
        <f t="shared" si="103"/>
        <v/>
      </c>
      <c r="HV364" s="658" t="str">
        <f t="shared" ref="HV364:HV377" si="276">IF(HU364="","",RANK(HU364,HU$319:HU$534,1))</f>
        <v/>
      </c>
      <c r="HW364" s="658" t="str">
        <f t="shared" si="104"/>
        <v/>
      </c>
      <c r="HX364" s="658" t="str">
        <f t="shared" ref="HX364:HX377" si="277">IF(HW364="","",RANK(HW364,HW$319:HW$534,1))</f>
        <v/>
      </c>
    </row>
    <row r="365" spans="1:232" s="19" customFormat="1" ht="50.1" customHeight="1" x14ac:dyDescent="0.15">
      <c r="A365" s="1201"/>
      <c r="B365" s="1201"/>
      <c r="C365" s="1201"/>
      <c r="D365" s="1201"/>
      <c r="E365" s="1202"/>
      <c r="F365" s="652"/>
      <c r="G365" s="652"/>
      <c r="H365" s="652"/>
      <c r="I365" s="1354"/>
      <c r="J365" s="1234"/>
      <c r="K365" s="1261"/>
      <c r="L365" s="1261"/>
      <c r="M365" s="2424" t="s">
        <v>1142</v>
      </c>
      <c r="N365" s="2424"/>
      <c r="O365" s="2424"/>
      <c r="P365" s="2444" t="s">
        <v>206</v>
      </c>
      <c r="Q365" s="2444"/>
      <c r="R365" s="2444"/>
      <c r="S365" s="2444"/>
      <c r="T365" s="2444"/>
      <c r="U365" s="2438" t="s">
        <v>75</v>
      </c>
      <c r="V365" s="2438"/>
      <c r="W365" s="2438"/>
      <c r="X365" s="2438"/>
      <c r="Y365" s="2438"/>
      <c r="Z365" s="2438"/>
      <c r="AA365" s="2438"/>
      <c r="AB365" s="2438"/>
      <c r="AC365" s="2438"/>
      <c r="AD365" s="2438"/>
      <c r="AE365" s="2438"/>
      <c r="AF365" s="2302"/>
      <c r="AG365" s="2302"/>
      <c r="AH365" s="2302"/>
      <c r="AI365" s="2302"/>
      <c r="AJ365" s="2302"/>
      <c r="AK365" s="2302"/>
      <c r="AL365" s="2302"/>
      <c r="AM365" s="2302"/>
      <c r="AN365" s="2302"/>
      <c r="AO365" s="2302"/>
      <c r="AP365" s="2302"/>
      <c r="AQ365" s="2302"/>
      <c r="AR365" s="2272"/>
      <c r="AS365" s="2272"/>
      <c r="AT365" s="2406"/>
      <c r="AU365" s="2406"/>
      <c r="AV365" s="2406"/>
      <c r="AW365" s="2406"/>
      <c r="AX365" s="2406"/>
      <c r="AY365" s="2406"/>
      <c r="AZ365" s="2406"/>
      <c r="BA365" s="2406"/>
      <c r="BB365" s="2406"/>
      <c r="BC365" s="2406"/>
      <c r="BD365" s="2406"/>
      <c r="BE365" s="2406"/>
      <c r="BF365" s="2406"/>
      <c r="BG365" s="2406"/>
      <c r="BH365" s="2406"/>
      <c r="BI365" s="2406"/>
      <c r="BJ365" s="2406"/>
      <c r="BK365" s="2406"/>
      <c r="BL365" s="2406"/>
      <c r="BM365" s="2406"/>
      <c r="BN365" s="2406"/>
      <c r="BO365" s="2406"/>
      <c r="BP365" s="2406"/>
      <c r="BQ365" s="2406"/>
      <c r="BR365" s="2406"/>
      <c r="BS365" s="2271"/>
      <c r="BT365" s="2271"/>
      <c r="BU365" s="2271"/>
      <c r="BV365" s="2271"/>
      <c r="BW365" s="2271"/>
      <c r="BX365" s="2271"/>
      <c r="BY365" s="2271"/>
      <c r="BZ365" s="2272"/>
      <c r="CA365" s="2272"/>
      <c r="CB365" s="2407"/>
      <c r="CC365" s="2408"/>
      <c r="CD365" s="2408"/>
      <c r="CE365" s="2408"/>
      <c r="CF365" s="2408"/>
      <c r="CG365" s="2408"/>
      <c r="CH365" s="2408"/>
      <c r="CI365" s="2408"/>
      <c r="CJ365" s="2408"/>
      <c r="CK365" s="2408"/>
      <c r="CL365" s="2408"/>
      <c r="CM365" s="2408"/>
      <c r="CN365" s="2408"/>
      <c r="CO365" s="2408"/>
      <c r="CP365" s="2408"/>
      <c r="CQ365" s="2408"/>
      <c r="CR365" s="2408"/>
      <c r="CS365" s="2408"/>
      <c r="CT365" s="2408"/>
      <c r="CU365" s="2409"/>
      <c r="CV365" s="2300" t="str">
        <f t="shared" si="208"/>
        <v/>
      </c>
      <c r="CW365" s="2300"/>
      <c r="CX365" s="2300"/>
      <c r="CY365" s="2300"/>
      <c r="CZ365" s="2300"/>
      <c r="DA365" s="2300"/>
      <c r="DC365" s="329" t="str">
        <f t="shared" si="209"/>
        <v/>
      </c>
      <c r="DD365" s="197"/>
      <c r="DF365" s="14"/>
      <c r="DG365" s="14"/>
      <c r="DH365" s="14"/>
      <c r="DI365" s="1596"/>
      <c r="DJ365" s="1170" t="s">
        <v>2749</v>
      </c>
      <c r="DK365" s="1604" t="str">
        <f t="shared" si="210"/>
        <v/>
      </c>
      <c r="DL365" s="437" t="str">
        <f t="shared" si="211"/>
        <v/>
      </c>
      <c r="DM365" s="1128">
        <f t="shared" si="212"/>
        <v>0</v>
      </c>
      <c r="DN365" s="22">
        <f t="shared" si="213"/>
        <v>0</v>
      </c>
      <c r="DO365" s="22">
        <f t="shared" si="214"/>
        <v>0</v>
      </c>
      <c r="DP365" s="264">
        <f t="shared" si="215"/>
        <v>0</v>
      </c>
      <c r="DQ365" s="33" t="s">
        <v>286</v>
      </c>
      <c r="DR365" s="263" t="str">
        <f>IF($U365="",P365,U365)</f>
        <v>パラペットの立上り面の劣化及び損傷の状況</v>
      </c>
      <c r="DS365" s="23">
        <f t="shared" si="216"/>
        <v>0</v>
      </c>
      <c r="DT365" s="29" t="str">
        <f t="shared" si="217"/>
        <v/>
      </c>
      <c r="DU365" s="242" t="str">
        <f t="shared" si="218"/>
        <v/>
      </c>
      <c r="DV365" s="57" t="str">
        <f>IF($DT365="要是正",MAX($DV$360:DV364)+1,"")</f>
        <v/>
      </c>
      <c r="DW365" s="273" t="str">
        <f t="shared" si="219"/>
        <v/>
      </c>
      <c r="DX365" s="30" t="str">
        <f t="shared" si="220"/>
        <v/>
      </c>
      <c r="DY365" s="13" t="str">
        <f t="shared" si="221"/>
        <v/>
      </c>
      <c r="DZ365" s="121" t="str">
        <f t="shared" si="222"/>
        <v/>
      </c>
      <c r="EA365" s="256" t="str">
        <f t="shared" si="223"/>
        <v/>
      </c>
      <c r="EB365" s="138" t="str">
        <f t="shared" si="224"/>
        <v/>
      </c>
      <c r="EC365" s="131" t="str">
        <f t="shared" si="225"/>
        <v>0</v>
      </c>
      <c r="ED365" s="54" t="str">
        <f t="shared" si="226"/>
        <v/>
      </c>
      <c r="EE365" s="131" t="str">
        <f t="shared" ref="EE365:EE372" si="278">IF(ED365=1,EC365,"0")</f>
        <v>0</v>
      </c>
      <c r="EF365" s="37" t="str">
        <f t="shared" si="227"/>
        <v/>
      </c>
      <c r="EG365" s="108" t="str">
        <f t="shared" si="228"/>
        <v/>
      </c>
      <c r="EH365" s="41" t="str">
        <f t="shared" si="229"/>
        <v>0</v>
      </c>
      <c r="EI365" s="54" t="str">
        <f t="shared" si="230"/>
        <v/>
      </c>
      <c r="EJ365" s="131" t="str">
        <f t="shared" ref="EJ365:EJ372" si="279">IF(EI365=1,EH365,"0")</f>
        <v>0</v>
      </c>
      <c r="EK365" s="241" t="str">
        <f t="shared" si="231"/>
        <v/>
      </c>
      <c r="EL365" s="242" t="e">
        <f t="shared" ref="EL365:EL372" si="280">VLOOKUP($DU365,$EO$318:$ER$346,2,FALSE)</f>
        <v>#N/A</v>
      </c>
      <c r="EM365" s="57" t="e">
        <f t="shared" si="232"/>
        <v>#N/A</v>
      </c>
      <c r="EN365" s="243" t="e">
        <f t="shared" si="233"/>
        <v>#N/A</v>
      </c>
      <c r="FK365" s="326" t="str">
        <f t="shared" si="234"/>
        <v/>
      </c>
      <c r="FL365" s="326" t="str">
        <f t="shared" si="235"/>
        <v/>
      </c>
      <c r="FM365" s="326" t="str">
        <f t="shared" si="236"/>
        <v/>
      </c>
      <c r="FN365" s="326">
        <f t="shared" si="237"/>
        <v>0</v>
      </c>
      <c r="FO365" s="670" t="str">
        <f t="shared" si="238"/>
        <v/>
      </c>
      <c r="FQ365" s="138" t="str">
        <f t="shared" si="239"/>
        <v/>
      </c>
      <c r="FR365" s="131" t="str">
        <f t="shared" si="240"/>
        <v>0</v>
      </c>
      <c r="FS365" s="54" t="str">
        <f t="shared" si="241"/>
        <v/>
      </c>
      <c r="FT365" s="131" t="str">
        <f t="shared" ref="FT365:FT372" si="281">IF(FS365=1,FR365,"0")</f>
        <v>0</v>
      </c>
      <c r="FU365" s="217" t="str">
        <f t="shared" si="242"/>
        <v/>
      </c>
      <c r="FW365" s="667">
        <f t="shared" si="196"/>
        <v>0</v>
      </c>
      <c r="FX365" s="32"/>
      <c r="FY365" s="32"/>
      <c r="FZ365" s="668"/>
      <c r="GA365" s="14"/>
      <c r="GB365" s="658">
        <f t="shared" si="243"/>
        <v>0</v>
      </c>
      <c r="GC365" s="658">
        <f t="shared" si="244"/>
        <v>0</v>
      </c>
      <c r="GD365" s="658">
        <f t="shared" si="245"/>
        <v>0</v>
      </c>
      <c r="GE365" s="658" t="str">
        <f t="shared" si="246"/>
        <v/>
      </c>
      <c r="GF365" s="658" t="str">
        <f t="shared" si="247"/>
        <v/>
      </c>
      <c r="GG365" s="658" t="str">
        <f t="shared" si="248"/>
        <v/>
      </c>
      <c r="GH365" s="658" t="str">
        <f t="shared" si="249"/>
        <v/>
      </c>
      <c r="GI365" s="658" t="str">
        <f t="shared" si="250"/>
        <v/>
      </c>
      <c r="GJ365" s="658" t="str">
        <f t="shared" si="251"/>
        <v/>
      </c>
      <c r="GK365" s="658" t="str">
        <f t="shared" si="252"/>
        <v/>
      </c>
      <c r="GL365" s="658" t="str">
        <f t="shared" si="253"/>
        <v/>
      </c>
      <c r="GM365" s="658" t="str">
        <f t="shared" si="254"/>
        <v/>
      </c>
      <c r="GN365" s="658" t="str">
        <f t="shared" si="255"/>
        <v/>
      </c>
      <c r="GO365" s="658" t="str">
        <f t="shared" si="256"/>
        <v/>
      </c>
      <c r="GP365" s="658" t="str">
        <f t="shared" si="257"/>
        <v/>
      </c>
      <c r="GQ365" s="658" t="str">
        <f t="shared" si="258"/>
        <v/>
      </c>
      <c r="GR365" s="658" t="str">
        <f t="shared" si="259"/>
        <v/>
      </c>
      <c r="GS365" s="658" t="str">
        <f t="shared" si="260"/>
        <v/>
      </c>
      <c r="GT365" s="658">
        <f t="shared" si="94"/>
        <v>0</v>
      </c>
      <c r="GU365" s="658">
        <f t="shared" si="95"/>
        <v>0</v>
      </c>
      <c r="GV365" s="658">
        <f t="shared" si="96"/>
        <v>0</v>
      </c>
      <c r="GW365" s="658" t="b">
        <f t="shared" si="97"/>
        <v>0</v>
      </c>
      <c r="GX365" s="658" t="b">
        <f t="shared" si="98"/>
        <v>0</v>
      </c>
      <c r="GY365" s="658" t="b">
        <f t="shared" si="99"/>
        <v>0</v>
      </c>
      <c r="GZ365" s="658" t="str">
        <f t="shared" si="173"/>
        <v/>
      </c>
      <c r="HB365" s="658" t="str">
        <f t="shared" si="101"/>
        <v/>
      </c>
      <c r="HC365" s="658" t="str">
        <f t="shared" si="261"/>
        <v/>
      </c>
      <c r="HD365" s="658" t="str">
        <f t="shared" si="262"/>
        <v/>
      </c>
      <c r="HE365" s="658" t="str">
        <f t="shared" si="263"/>
        <v/>
      </c>
      <c r="HF365" s="658" t="str">
        <f t="shared" si="264"/>
        <v/>
      </c>
      <c r="HG365" s="658" t="str">
        <f t="shared" si="265"/>
        <v/>
      </c>
      <c r="HH365" s="658" t="str">
        <f t="shared" si="266"/>
        <v/>
      </c>
      <c r="HI365" s="658" t="str">
        <f t="shared" si="267"/>
        <v/>
      </c>
      <c r="HJ365" s="658" t="str">
        <f t="shared" si="268"/>
        <v/>
      </c>
      <c r="HK365" s="658" t="str">
        <f t="shared" si="269"/>
        <v/>
      </c>
      <c r="HL365" s="658" t="str">
        <f t="shared" si="270"/>
        <v/>
      </c>
      <c r="HM365" s="658" t="str">
        <f t="shared" si="271"/>
        <v/>
      </c>
      <c r="HN365" s="658" t="str">
        <f t="shared" si="272"/>
        <v/>
      </c>
      <c r="HO365" s="658" t="str">
        <f t="shared" si="273"/>
        <v/>
      </c>
      <c r="HP365" s="658" t="str">
        <f t="shared" si="274"/>
        <v/>
      </c>
      <c r="HQ365" s="658" t="str">
        <f t="shared" si="275"/>
        <v/>
      </c>
      <c r="HR365" s="658" t="str">
        <f t="shared" si="102"/>
        <v/>
      </c>
      <c r="HT365" s="658">
        <f>LEFT(M365,1)*10000+MID(M365,3,LEN(M365)-3)*100+COUNTIF($M$319:M365,M365)</f>
        <v>30201</v>
      </c>
      <c r="HU365" s="658" t="str">
        <f t="shared" si="103"/>
        <v/>
      </c>
      <c r="HV365" s="658" t="str">
        <f t="shared" si="276"/>
        <v/>
      </c>
      <c r="HW365" s="658" t="str">
        <f t="shared" si="104"/>
        <v/>
      </c>
      <c r="HX365" s="658" t="str">
        <f t="shared" si="277"/>
        <v/>
      </c>
    </row>
    <row r="366" spans="1:232" s="19" customFormat="1" ht="50.1" customHeight="1" x14ac:dyDescent="0.15">
      <c r="A366" s="1201"/>
      <c r="B366" s="1201"/>
      <c r="C366" s="1201"/>
      <c r="D366" s="1201"/>
      <c r="E366" s="1202"/>
      <c r="F366" s="652"/>
      <c r="G366" s="652"/>
      <c r="H366" s="652"/>
      <c r="I366" s="1354"/>
      <c r="J366" s="1234"/>
      <c r="K366" s="1261"/>
      <c r="L366" s="1261"/>
      <c r="M366" s="2424" t="s">
        <v>1143</v>
      </c>
      <c r="N366" s="2424"/>
      <c r="O366" s="2424"/>
      <c r="P366" s="2430"/>
      <c r="Q366" s="2430"/>
      <c r="R366" s="2430"/>
      <c r="S366" s="2430"/>
      <c r="T366" s="2430"/>
      <c r="U366" s="2435" t="s">
        <v>76</v>
      </c>
      <c r="V366" s="2435"/>
      <c r="W366" s="2435"/>
      <c r="X366" s="2435"/>
      <c r="Y366" s="2435"/>
      <c r="Z366" s="2435"/>
      <c r="AA366" s="2435"/>
      <c r="AB366" s="2435"/>
      <c r="AC366" s="2435"/>
      <c r="AD366" s="2435"/>
      <c r="AE366" s="2435"/>
      <c r="AF366" s="2282"/>
      <c r="AG366" s="2282"/>
      <c r="AH366" s="2282"/>
      <c r="AI366" s="2282"/>
      <c r="AJ366" s="2282"/>
      <c r="AK366" s="2282"/>
      <c r="AL366" s="2282"/>
      <c r="AM366" s="2282"/>
      <c r="AN366" s="2282"/>
      <c r="AO366" s="2282"/>
      <c r="AP366" s="2282"/>
      <c r="AQ366" s="2282"/>
      <c r="AR366" s="2151"/>
      <c r="AS366" s="2151"/>
      <c r="AT366" s="2292"/>
      <c r="AU366" s="2292"/>
      <c r="AV366" s="2292"/>
      <c r="AW366" s="2292"/>
      <c r="AX366" s="2292"/>
      <c r="AY366" s="2292"/>
      <c r="AZ366" s="2292"/>
      <c r="BA366" s="2292"/>
      <c r="BB366" s="2292"/>
      <c r="BC366" s="2292"/>
      <c r="BD366" s="2292"/>
      <c r="BE366" s="2292"/>
      <c r="BF366" s="2292"/>
      <c r="BG366" s="2292"/>
      <c r="BH366" s="2292"/>
      <c r="BI366" s="2292"/>
      <c r="BJ366" s="2292"/>
      <c r="BK366" s="2292"/>
      <c r="BL366" s="2292"/>
      <c r="BM366" s="2292"/>
      <c r="BN366" s="2292"/>
      <c r="BO366" s="2292"/>
      <c r="BP366" s="2292"/>
      <c r="BQ366" s="2292"/>
      <c r="BR366" s="2292"/>
      <c r="BS366" s="2269"/>
      <c r="BT366" s="2269"/>
      <c r="BU366" s="2269"/>
      <c r="BV366" s="2269"/>
      <c r="BW366" s="2269"/>
      <c r="BX366" s="2269"/>
      <c r="BY366" s="2269"/>
      <c r="BZ366" s="2151"/>
      <c r="CA366" s="2151"/>
      <c r="CB366" s="2317"/>
      <c r="CC366" s="2174"/>
      <c r="CD366" s="2174"/>
      <c r="CE366" s="2174"/>
      <c r="CF366" s="2174"/>
      <c r="CG366" s="2174"/>
      <c r="CH366" s="2174"/>
      <c r="CI366" s="2174"/>
      <c r="CJ366" s="2174"/>
      <c r="CK366" s="2174"/>
      <c r="CL366" s="2174"/>
      <c r="CM366" s="2174"/>
      <c r="CN366" s="2174"/>
      <c r="CO366" s="2174"/>
      <c r="CP366" s="2174"/>
      <c r="CQ366" s="2174"/>
      <c r="CR366" s="2174"/>
      <c r="CS366" s="2174"/>
      <c r="CT366" s="2174"/>
      <c r="CU366" s="2318"/>
      <c r="CV366" s="2300" t="str">
        <f t="shared" si="208"/>
        <v/>
      </c>
      <c r="CW366" s="2300"/>
      <c r="CX366" s="2300"/>
      <c r="CY366" s="2300"/>
      <c r="CZ366" s="2300"/>
      <c r="DA366" s="2300"/>
      <c r="DC366" s="329" t="str">
        <f t="shared" si="209"/>
        <v/>
      </c>
      <c r="DD366" s="197"/>
      <c r="DF366" s="14"/>
      <c r="DG366" s="14"/>
      <c r="DH366" s="14"/>
      <c r="DI366" s="1596"/>
      <c r="DJ366" s="1170" t="s">
        <v>2749</v>
      </c>
      <c r="DK366" s="1604" t="str">
        <f t="shared" si="210"/>
        <v/>
      </c>
      <c r="DL366" s="437" t="str">
        <f t="shared" si="211"/>
        <v/>
      </c>
      <c r="DM366" s="1128">
        <f t="shared" si="212"/>
        <v>0</v>
      </c>
      <c r="DN366" s="22">
        <f t="shared" si="213"/>
        <v>0</v>
      </c>
      <c r="DO366" s="22">
        <f t="shared" si="214"/>
        <v>0</v>
      </c>
      <c r="DP366" s="264">
        <f t="shared" si="215"/>
        <v>0</v>
      </c>
      <c r="DQ366" s="33" t="s">
        <v>287</v>
      </c>
      <c r="DR366" s="263" t="str">
        <f>IF($U366="",P365,U366)</f>
        <v>笠木モルタル等の劣化及び損傷の状況</v>
      </c>
      <c r="DS366" s="23">
        <f t="shared" si="216"/>
        <v>0</v>
      </c>
      <c r="DT366" s="29" t="str">
        <f t="shared" si="217"/>
        <v/>
      </c>
      <c r="DU366" s="242" t="str">
        <f t="shared" si="218"/>
        <v/>
      </c>
      <c r="DV366" s="57" t="str">
        <f>IF($DT366="要是正",MAX($DV$360:DV365)+1,"")</f>
        <v/>
      </c>
      <c r="DW366" s="273" t="str">
        <f t="shared" si="219"/>
        <v/>
      </c>
      <c r="DX366" s="30" t="str">
        <f t="shared" si="220"/>
        <v/>
      </c>
      <c r="DY366" s="13" t="str">
        <f t="shared" si="221"/>
        <v/>
      </c>
      <c r="DZ366" s="121" t="str">
        <f t="shared" si="222"/>
        <v/>
      </c>
      <c r="EA366" s="256" t="str">
        <f t="shared" si="223"/>
        <v/>
      </c>
      <c r="EB366" s="138" t="str">
        <f t="shared" si="224"/>
        <v/>
      </c>
      <c r="EC366" s="131" t="str">
        <f t="shared" si="225"/>
        <v>0</v>
      </c>
      <c r="ED366" s="54" t="str">
        <f t="shared" si="226"/>
        <v/>
      </c>
      <c r="EE366" s="131" t="str">
        <f t="shared" si="278"/>
        <v>0</v>
      </c>
      <c r="EF366" s="37" t="str">
        <f t="shared" si="227"/>
        <v/>
      </c>
      <c r="EG366" s="108" t="str">
        <f t="shared" si="228"/>
        <v/>
      </c>
      <c r="EH366" s="41" t="str">
        <f t="shared" si="229"/>
        <v>0</v>
      </c>
      <c r="EI366" s="54" t="str">
        <f t="shared" si="230"/>
        <v/>
      </c>
      <c r="EJ366" s="131" t="str">
        <f t="shared" si="279"/>
        <v>0</v>
      </c>
      <c r="EK366" s="241" t="str">
        <f t="shared" si="231"/>
        <v/>
      </c>
      <c r="EL366" s="242" t="e">
        <f t="shared" si="280"/>
        <v>#N/A</v>
      </c>
      <c r="EM366" s="57" t="e">
        <f t="shared" si="232"/>
        <v>#N/A</v>
      </c>
      <c r="EN366" s="243" t="e">
        <f t="shared" si="233"/>
        <v>#N/A</v>
      </c>
      <c r="FK366" s="326" t="str">
        <f t="shared" si="234"/>
        <v/>
      </c>
      <c r="FL366" s="326" t="str">
        <f t="shared" si="235"/>
        <v/>
      </c>
      <c r="FM366" s="326" t="str">
        <f t="shared" si="236"/>
        <v/>
      </c>
      <c r="FN366" s="326">
        <f t="shared" si="237"/>
        <v>0</v>
      </c>
      <c r="FO366" s="670" t="str">
        <f t="shared" si="238"/>
        <v/>
      </c>
      <c r="FQ366" s="138" t="str">
        <f t="shared" si="239"/>
        <v/>
      </c>
      <c r="FR366" s="131" t="str">
        <f t="shared" si="240"/>
        <v>0</v>
      </c>
      <c r="FS366" s="54" t="str">
        <f t="shared" si="241"/>
        <v/>
      </c>
      <c r="FT366" s="131" t="str">
        <f t="shared" si="281"/>
        <v>0</v>
      </c>
      <c r="FU366" s="217" t="str">
        <f t="shared" si="242"/>
        <v/>
      </c>
      <c r="FW366" s="667">
        <f t="shared" si="196"/>
        <v>0</v>
      </c>
      <c r="FX366" s="32"/>
      <c r="FY366" s="32"/>
      <c r="FZ366" s="668"/>
      <c r="GA366" s="14"/>
      <c r="GB366" s="658">
        <f t="shared" si="243"/>
        <v>0</v>
      </c>
      <c r="GC366" s="658">
        <f t="shared" si="244"/>
        <v>0</v>
      </c>
      <c r="GD366" s="658">
        <f t="shared" si="245"/>
        <v>0</v>
      </c>
      <c r="GE366" s="658" t="str">
        <f t="shared" si="246"/>
        <v/>
      </c>
      <c r="GF366" s="658" t="str">
        <f t="shared" si="247"/>
        <v/>
      </c>
      <c r="GG366" s="658" t="str">
        <f t="shared" si="248"/>
        <v/>
      </c>
      <c r="GH366" s="658" t="str">
        <f t="shared" si="249"/>
        <v/>
      </c>
      <c r="GI366" s="658" t="str">
        <f t="shared" si="250"/>
        <v/>
      </c>
      <c r="GJ366" s="658" t="str">
        <f t="shared" si="251"/>
        <v/>
      </c>
      <c r="GK366" s="658" t="str">
        <f t="shared" si="252"/>
        <v/>
      </c>
      <c r="GL366" s="658" t="str">
        <f t="shared" si="253"/>
        <v/>
      </c>
      <c r="GM366" s="658" t="str">
        <f t="shared" si="254"/>
        <v/>
      </c>
      <c r="GN366" s="658" t="str">
        <f t="shared" si="255"/>
        <v/>
      </c>
      <c r="GO366" s="658" t="str">
        <f t="shared" si="256"/>
        <v/>
      </c>
      <c r="GP366" s="658" t="str">
        <f t="shared" si="257"/>
        <v/>
      </c>
      <c r="GQ366" s="658" t="str">
        <f t="shared" si="258"/>
        <v/>
      </c>
      <c r="GR366" s="658" t="str">
        <f t="shared" si="259"/>
        <v/>
      </c>
      <c r="GS366" s="658" t="str">
        <f t="shared" si="260"/>
        <v/>
      </c>
      <c r="GT366" s="658">
        <f t="shared" si="94"/>
        <v>0</v>
      </c>
      <c r="GU366" s="658">
        <f t="shared" si="95"/>
        <v>0</v>
      </c>
      <c r="GV366" s="658">
        <f t="shared" si="96"/>
        <v>0</v>
      </c>
      <c r="GW366" s="658" t="b">
        <f t="shared" si="97"/>
        <v>0</v>
      </c>
      <c r="GX366" s="658" t="b">
        <f t="shared" si="98"/>
        <v>0</v>
      </c>
      <c r="GY366" s="658" t="b">
        <f t="shared" si="99"/>
        <v>0</v>
      </c>
      <c r="GZ366" s="658" t="str">
        <f t="shared" si="173"/>
        <v/>
      </c>
      <c r="HB366" s="658" t="str">
        <f t="shared" si="101"/>
        <v/>
      </c>
      <c r="HC366" s="658" t="str">
        <f t="shared" si="261"/>
        <v/>
      </c>
      <c r="HD366" s="658" t="str">
        <f t="shared" si="262"/>
        <v/>
      </c>
      <c r="HE366" s="658" t="str">
        <f t="shared" si="263"/>
        <v/>
      </c>
      <c r="HF366" s="658" t="str">
        <f t="shared" si="264"/>
        <v/>
      </c>
      <c r="HG366" s="658" t="str">
        <f t="shared" si="265"/>
        <v/>
      </c>
      <c r="HH366" s="658" t="str">
        <f t="shared" si="266"/>
        <v/>
      </c>
      <c r="HI366" s="658" t="str">
        <f t="shared" si="267"/>
        <v/>
      </c>
      <c r="HJ366" s="658" t="str">
        <f t="shared" si="268"/>
        <v/>
      </c>
      <c r="HK366" s="658" t="str">
        <f t="shared" si="269"/>
        <v/>
      </c>
      <c r="HL366" s="658" t="str">
        <f t="shared" si="270"/>
        <v/>
      </c>
      <c r="HM366" s="658" t="str">
        <f t="shared" si="271"/>
        <v/>
      </c>
      <c r="HN366" s="658" t="str">
        <f t="shared" si="272"/>
        <v/>
      </c>
      <c r="HO366" s="658" t="str">
        <f t="shared" si="273"/>
        <v/>
      </c>
      <c r="HP366" s="658" t="str">
        <f t="shared" si="274"/>
        <v/>
      </c>
      <c r="HQ366" s="658" t="str">
        <f t="shared" si="275"/>
        <v/>
      </c>
      <c r="HR366" s="658" t="str">
        <f t="shared" si="102"/>
        <v/>
      </c>
      <c r="HT366" s="658">
        <f>LEFT(M366,1)*10000+MID(M366,3,LEN(M366)-3)*100+COUNTIF($M$319:M366,M366)</f>
        <v>30301</v>
      </c>
      <c r="HU366" s="658" t="str">
        <f t="shared" si="103"/>
        <v/>
      </c>
      <c r="HV366" s="658" t="str">
        <f t="shared" si="276"/>
        <v/>
      </c>
      <c r="HW366" s="658" t="str">
        <f t="shared" si="104"/>
        <v/>
      </c>
      <c r="HX366" s="658" t="str">
        <f t="shared" si="277"/>
        <v/>
      </c>
    </row>
    <row r="367" spans="1:232" s="19" customFormat="1" ht="50.1" customHeight="1" x14ac:dyDescent="0.15">
      <c r="A367" s="1201"/>
      <c r="B367" s="1201"/>
      <c r="C367" s="1201"/>
      <c r="D367" s="1201"/>
      <c r="E367" s="1202"/>
      <c r="F367" s="652"/>
      <c r="G367" s="652"/>
      <c r="H367" s="652"/>
      <c r="I367" s="1354"/>
      <c r="J367" s="1234"/>
      <c r="K367" s="1261"/>
      <c r="L367" s="1261"/>
      <c r="M367" s="2424" t="s">
        <v>1144</v>
      </c>
      <c r="N367" s="2424"/>
      <c r="O367" s="2424"/>
      <c r="P367" s="2430"/>
      <c r="Q367" s="2430"/>
      <c r="R367" s="2430"/>
      <c r="S367" s="2430"/>
      <c r="T367" s="2430"/>
      <c r="U367" s="2435" t="s">
        <v>77</v>
      </c>
      <c r="V367" s="2435"/>
      <c r="W367" s="2435"/>
      <c r="X367" s="2435"/>
      <c r="Y367" s="2435"/>
      <c r="Z367" s="2435"/>
      <c r="AA367" s="2435"/>
      <c r="AB367" s="2435"/>
      <c r="AC367" s="2435"/>
      <c r="AD367" s="2435"/>
      <c r="AE367" s="2435"/>
      <c r="AF367" s="2282"/>
      <c r="AG367" s="2282"/>
      <c r="AH367" s="2282"/>
      <c r="AI367" s="2282"/>
      <c r="AJ367" s="2282"/>
      <c r="AK367" s="2282"/>
      <c r="AL367" s="2282"/>
      <c r="AM367" s="2282"/>
      <c r="AN367" s="2282"/>
      <c r="AO367" s="2282"/>
      <c r="AP367" s="2282"/>
      <c r="AQ367" s="2282"/>
      <c r="AR367" s="2151"/>
      <c r="AS367" s="2151"/>
      <c r="AT367" s="2292"/>
      <c r="AU367" s="2292"/>
      <c r="AV367" s="2292"/>
      <c r="AW367" s="2292"/>
      <c r="AX367" s="2292"/>
      <c r="AY367" s="2292"/>
      <c r="AZ367" s="2292"/>
      <c r="BA367" s="2292"/>
      <c r="BB367" s="2292"/>
      <c r="BC367" s="2292"/>
      <c r="BD367" s="2292"/>
      <c r="BE367" s="2292"/>
      <c r="BF367" s="2292"/>
      <c r="BG367" s="2292"/>
      <c r="BH367" s="2292"/>
      <c r="BI367" s="2292"/>
      <c r="BJ367" s="2292"/>
      <c r="BK367" s="2292"/>
      <c r="BL367" s="2292"/>
      <c r="BM367" s="2292"/>
      <c r="BN367" s="2292"/>
      <c r="BO367" s="2292"/>
      <c r="BP367" s="2292"/>
      <c r="BQ367" s="2292"/>
      <c r="BR367" s="2292"/>
      <c r="BS367" s="2269"/>
      <c r="BT367" s="2269"/>
      <c r="BU367" s="2269"/>
      <c r="BV367" s="2269"/>
      <c r="BW367" s="2269"/>
      <c r="BX367" s="2269"/>
      <c r="BY367" s="2269"/>
      <c r="BZ367" s="2151"/>
      <c r="CA367" s="2151"/>
      <c r="CB367" s="2317"/>
      <c r="CC367" s="2174"/>
      <c r="CD367" s="2174"/>
      <c r="CE367" s="2174"/>
      <c r="CF367" s="2174"/>
      <c r="CG367" s="2174"/>
      <c r="CH367" s="2174"/>
      <c r="CI367" s="2174"/>
      <c r="CJ367" s="2174"/>
      <c r="CK367" s="2174"/>
      <c r="CL367" s="2174"/>
      <c r="CM367" s="2174"/>
      <c r="CN367" s="2174"/>
      <c r="CO367" s="2174"/>
      <c r="CP367" s="2174"/>
      <c r="CQ367" s="2174"/>
      <c r="CR367" s="2174"/>
      <c r="CS367" s="2174"/>
      <c r="CT367" s="2174"/>
      <c r="CU367" s="2318"/>
      <c r="CV367" s="2300" t="str">
        <f t="shared" si="208"/>
        <v/>
      </c>
      <c r="CW367" s="2300"/>
      <c r="CX367" s="2300"/>
      <c r="CY367" s="2300"/>
      <c r="CZ367" s="2300"/>
      <c r="DA367" s="2300"/>
      <c r="DC367" s="329" t="str">
        <f t="shared" si="209"/>
        <v/>
      </c>
      <c r="DD367" s="197"/>
      <c r="DF367" s="14"/>
      <c r="DG367" s="14"/>
      <c r="DH367" s="14"/>
      <c r="DI367" s="1596"/>
      <c r="DJ367" s="1170" t="s">
        <v>2749</v>
      </c>
      <c r="DK367" s="1604" t="str">
        <f t="shared" si="210"/>
        <v/>
      </c>
      <c r="DL367" s="437" t="str">
        <f t="shared" si="211"/>
        <v/>
      </c>
      <c r="DM367" s="1128">
        <f t="shared" si="212"/>
        <v>0</v>
      </c>
      <c r="DN367" s="22">
        <f t="shared" si="213"/>
        <v>0</v>
      </c>
      <c r="DO367" s="22">
        <f t="shared" si="214"/>
        <v>0</v>
      </c>
      <c r="DP367" s="264">
        <f t="shared" si="215"/>
        <v>0</v>
      </c>
      <c r="DQ367" s="33" t="s">
        <v>288</v>
      </c>
      <c r="DR367" s="263" t="str">
        <f>IF($U367="",P365,U367)</f>
        <v>金属笠木の劣化及び損傷の状況</v>
      </c>
      <c r="DS367" s="23">
        <f t="shared" si="216"/>
        <v>0</v>
      </c>
      <c r="DT367" s="29" t="str">
        <f t="shared" si="217"/>
        <v/>
      </c>
      <c r="DU367" s="242" t="str">
        <f t="shared" si="218"/>
        <v/>
      </c>
      <c r="DV367" s="57" t="str">
        <f>IF($DT367="要是正",MAX($DV$360:DV366)+1,"")</f>
        <v/>
      </c>
      <c r="DW367" s="273" t="str">
        <f t="shared" si="219"/>
        <v/>
      </c>
      <c r="DX367" s="30" t="str">
        <f t="shared" si="220"/>
        <v/>
      </c>
      <c r="DY367" s="13" t="str">
        <f t="shared" si="221"/>
        <v/>
      </c>
      <c r="DZ367" s="121" t="str">
        <f t="shared" si="222"/>
        <v/>
      </c>
      <c r="EA367" s="256" t="str">
        <f t="shared" si="223"/>
        <v/>
      </c>
      <c r="EB367" s="138" t="str">
        <f t="shared" si="224"/>
        <v/>
      </c>
      <c r="EC367" s="131" t="str">
        <f t="shared" si="225"/>
        <v>0</v>
      </c>
      <c r="ED367" s="54" t="str">
        <f t="shared" si="226"/>
        <v/>
      </c>
      <c r="EE367" s="131" t="str">
        <f t="shared" si="278"/>
        <v>0</v>
      </c>
      <c r="EF367" s="37" t="str">
        <f t="shared" si="227"/>
        <v/>
      </c>
      <c r="EG367" s="108" t="str">
        <f t="shared" si="228"/>
        <v/>
      </c>
      <c r="EH367" s="41" t="str">
        <f t="shared" si="229"/>
        <v>0</v>
      </c>
      <c r="EI367" s="54" t="str">
        <f t="shared" si="230"/>
        <v/>
      </c>
      <c r="EJ367" s="131" t="str">
        <f t="shared" si="279"/>
        <v>0</v>
      </c>
      <c r="EK367" s="241" t="str">
        <f t="shared" si="231"/>
        <v/>
      </c>
      <c r="EL367" s="242" t="e">
        <f t="shared" si="280"/>
        <v>#N/A</v>
      </c>
      <c r="EM367" s="57" t="e">
        <f t="shared" si="232"/>
        <v>#N/A</v>
      </c>
      <c r="EN367" s="243" t="e">
        <f t="shared" si="233"/>
        <v>#N/A</v>
      </c>
      <c r="FK367" s="326" t="str">
        <f t="shared" si="234"/>
        <v/>
      </c>
      <c r="FL367" s="326" t="str">
        <f t="shared" si="235"/>
        <v/>
      </c>
      <c r="FM367" s="326" t="str">
        <f t="shared" si="236"/>
        <v/>
      </c>
      <c r="FN367" s="326">
        <f t="shared" si="237"/>
        <v>0</v>
      </c>
      <c r="FO367" s="670" t="str">
        <f t="shared" si="238"/>
        <v/>
      </c>
      <c r="FQ367" s="138" t="str">
        <f t="shared" si="239"/>
        <v/>
      </c>
      <c r="FR367" s="131" t="str">
        <f t="shared" si="240"/>
        <v>0</v>
      </c>
      <c r="FS367" s="54" t="str">
        <f t="shared" si="241"/>
        <v/>
      </c>
      <c r="FT367" s="131" t="str">
        <f t="shared" si="281"/>
        <v>0</v>
      </c>
      <c r="FU367" s="217" t="str">
        <f t="shared" si="242"/>
        <v/>
      </c>
      <c r="FW367" s="667">
        <f t="shared" si="196"/>
        <v>0</v>
      </c>
      <c r="FX367" s="32"/>
      <c r="FY367" s="32"/>
      <c r="FZ367" s="668"/>
      <c r="GA367" s="14"/>
      <c r="GB367" s="658">
        <f t="shared" si="243"/>
        <v>0</v>
      </c>
      <c r="GC367" s="658">
        <f t="shared" si="244"/>
        <v>0</v>
      </c>
      <c r="GD367" s="658">
        <f t="shared" si="245"/>
        <v>0</v>
      </c>
      <c r="GE367" s="658" t="str">
        <f t="shared" si="246"/>
        <v/>
      </c>
      <c r="GF367" s="658" t="str">
        <f t="shared" si="247"/>
        <v/>
      </c>
      <c r="GG367" s="658" t="str">
        <f t="shared" si="248"/>
        <v/>
      </c>
      <c r="GH367" s="658" t="str">
        <f t="shared" si="249"/>
        <v/>
      </c>
      <c r="GI367" s="658" t="str">
        <f t="shared" si="250"/>
        <v/>
      </c>
      <c r="GJ367" s="658" t="str">
        <f t="shared" si="251"/>
        <v/>
      </c>
      <c r="GK367" s="658" t="str">
        <f t="shared" si="252"/>
        <v/>
      </c>
      <c r="GL367" s="658" t="str">
        <f t="shared" si="253"/>
        <v/>
      </c>
      <c r="GM367" s="658" t="str">
        <f t="shared" si="254"/>
        <v/>
      </c>
      <c r="GN367" s="658" t="str">
        <f t="shared" si="255"/>
        <v/>
      </c>
      <c r="GO367" s="658" t="str">
        <f t="shared" si="256"/>
        <v/>
      </c>
      <c r="GP367" s="658" t="str">
        <f t="shared" si="257"/>
        <v/>
      </c>
      <c r="GQ367" s="658" t="str">
        <f t="shared" si="258"/>
        <v/>
      </c>
      <c r="GR367" s="658" t="str">
        <f t="shared" si="259"/>
        <v/>
      </c>
      <c r="GS367" s="658" t="str">
        <f t="shared" si="260"/>
        <v/>
      </c>
      <c r="GT367" s="658">
        <f t="shared" si="94"/>
        <v>0</v>
      </c>
      <c r="GU367" s="658">
        <f t="shared" si="95"/>
        <v>0</v>
      </c>
      <c r="GV367" s="658">
        <f t="shared" si="96"/>
        <v>0</v>
      </c>
      <c r="GW367" s="658" t="b">
        <f t="shared" si="97"/>
        <v>0</v>
      </c>
      <c r="GX367" s="658" t="b">
        <f t="shared" si="98"/>
        <v>0</v>
      </c>
      <c r="GY367" s="658" t="b">
        <f t="shared" si="99"/>
        <v>0</v>
      </c>
      <c r="GZ367" s="658" t="str">
        <f t="shared" si="173"/>
        <v/>
      </c>
      <c r="HB367" s="658" t="str">
        <f t="shared" si="101"/>
        <v/>
      </c>
      <c r="HC367" s="658" t="str">
        <f t="shared" si="261"/>
        <v/>
      </c>
      <c r="HD367" s="658" t="str">
        <f t="shared" si="262"/>
        <v/>
      </c>
      <c r="HE367" s="658" t="str">
        <f t="shared" si="263"/>
        <v/>
      </c>
      <c r="HF367" s="658" t="str">
        <f t="shared" si="264"/>
        <v/>
      </c>
      <c r="HG367" s="658" t="str">
        <f t="shared" si="265"/>
        <v/>
      </c>
      <c r="HH367" s="658" t="str">
        <f t="shared" si="266"/>
        <v/>
      </c>
      <c r="HI367" s="658" t="str">
        <f t="shared" si="267"/>
        <v/>
      </c>
      <c r="HJ367" s="658" t="str">
        <f t="shared" si="268"/>
        <v/>
      </c>
      <c r="HK367" s="658" t="str">
        <f t="shared" si="269"/>
        <v/>
      </c>
      <c r="HL367" s="658" t="str">
        <f t="shared" si="270"/>
        <v/>
      </c>
      <c r="HM367" s="658" t="str">
        <f t="shared" si="271"/>
        <v/>
      </c>
      <c r="HN367" s="658" t="str">
        <f t="shared" si="272"/>
        <v/>
      </c>
      <c r="HO367" s="658" t="str">
        <f t="shared" si="273"/>
        <v/>
      </c>
      <c r="HP367" s="658" t="str">
        <f t="shared" si="274"/>
        <v/>
      </c>
      <c r="HQ367" s="658" t="str">
        <f t="shared" si="275"/>
        <v/>
      </c>
      <c r="HR367" s="658" t="str">
        <f t="shared" si="102"/>
        <v/>
      </c>
      <c r="HT367" s="658">
        <f>LEFT(M367,1)*10000+MID(M367,3,LEN(M367)-3)*100+COUNTIF($M$319:M367,M367)</f>
        <v>30401</v>
      </c>
      <c r="HU367" s="658" t="str">
        <f t="shared" si="103"/>
        <v/>
      </c>
      <c r="HV367" s="658" t="str">
        <f t="shared" si="276"/>
        <v/>
      </c>
      <c r="HW367" s="658" t="str">
        <f t="shared" si="104"/>
        <v/>
      </c>
      <c r="HX367" s="658" t="str">
        <f t="shared" si="277"/>
        <v/>
      </c>
    </row>
    <row r="368" spans="1:232" s="19" customFormat="1" ht="50.1" customHeight="1" x14ac:dyDescent="0.15">
      <c r="A368" s="1201"/>
      <c r="B368" s="1201"/>
      <c r="C368" s="1201"/>
      <c r="D368" s="1201"/>
      <c r="E368" s="1202"/>
      <c r="F368" s="652"/>
      <c r="G368" s="652"/>
      <c r="H368" s="652"/>
      <c r="I368" s="1354"/>
      <c r="J368" s="1234"/>
      <c r="K368" s="1261"/>
      <c r="L368" s="1261"/>
      <c r="M368" s="2424" t="s">
        <v>1145</v>
      </c>
      <c r="N368" s="2424"/>
      <c r="O368" s="2424"/>
      <c r="P368" s="2445"/>
      <c r="Q368" s="2445"/>
      <c r="R368" s="2445"/>
      <c r="S368" s="2445"/>
      <c r="T368" s="2445"/>
      <c r="U368" s="2445" t="s">
        <v>205</v>
      </c>
      <c r="V368" s="2445"/>
      <c r="W368" s="2445"/>
      <c r="X368" s="2445"/>
      <c r="Y368" s="2445"/>
      <c r="Z368" s="2445"/>
      <c r="AA368" s="2445"/>
      <c r="AB368" s="2445"/>
      <c r="AC368" s="2445"/>
      <c r="AD368" s="2445"/>
      <c r="AE368" s="2445"/>
      <c r="AF368" s="2459"/>
      <c r="AG368" s="2459"/>
      <c r="AH368" s="2459"/>
      <c r="AI368" s="2459"/>
      <c r="AJ368" s="2459"/>
      <c r="AK368" s="2459"/>
      <c r="AL368" s="2459"/>
      <c r="AM368" s="2459"/>
      <c r="AN368" s="2459"/>
      <c r="AO368" s="2459"/>
      <c r="AP368" s="2459"/>
      <c r="AQ368" s="2459"/>
      <c r="AR368" s="2152"/>
      <c r="AS368" s="2152"/>
      <c r="AT368" s="2432"/>
      <c r="AU368" s="2432"/>
      <c r="AV368" s="2432"/>
      <c r="AW368" s="2432"/>
      <c r="AX368" s="2432"/>
      <c r="AY368" s="2432"/>
      <c r="AZ368" s="2432"/>
      <c r="BA368" s="2432"/>
      <c r="BB368" s="2432"/>
      <c r="BC368" s="2432"/>
      <c r="BD368" s="2432"/>
      <c r="BE368" s="2432"/>
      <c r="BF368" s="2432"/>
      <c r="BG368" s="2432"/>
      <c r="BH368" s="2432"/>
      <c r="BI368" s="2432"/>
      <c r="BJ368" s="2432"/>
      <c r="BK368" s="2432"/>
      <c r="BL368" s="2432"/>
      <c r="BM368" s="2432"/>
      <c r="BN368" s="2432"/>
      <c r="BO368" s="2432"/>
      <c r="BP368" s="2432"/>
      <c r="BQ368" s="2432"/>
      <c r="BR368" s="2432"/>
      <c r="BS368" s="2270"/>
      <c r="BT368" s="2270"/>
      <c r="BU368" s="2270"/>
      <c r="BV368" s="2270"/>
      <c r="BW368" s="2270"/>
      <c r="BX368" s="2270"/>
      <c r="BY368" s="2270"/>
      <c r="BZ368" s="2152"/>
      <c r="CA368" s="2152"/>
      <c r="CB368" s="2736"/>
      <c r="CC368" s="2737"/>
      <c r="CD368" s="2737"/>
      <c r="CE368" s="2737"/>
      <c r="CF368" s="2737"/>
      <c r="CG368" s="2737"/>
      <c r="CH368" s="2737"/>
      <c r="CI368" s="2737"/>
      <c r="CJ368" s="2737"/>
      <c r="CK368" s="2737"/>
      <c r="CL368" s="2737"/>
      <c r="CM368" s="2737"/>
      <c r="CN368" s="2737"/>
      <c r="CO368" s="2737"/>
      <c r="CP368" s="2737"/>
      <c r="CQ368" s="2737"/>
      <c r="CR368" s="2737"/>
      <c r="CS368" s="2737"/>
      <c r="CT368" s="2737"/>
      <c r="CU368" s="2738"/>
      <c r="CV368" s="2300" t="str">
        <f t="shared" si="208"/>
        <v/>
      </c>
      <c r="CW368" s="2300"/>
      <c r="CX368" s="2300"/>
      <c r="CY368" s="2300"/>
      <c r="CZ368" s="2300"/>
      <c r="DA368" s="2300"/>
      <c r="DC368" s="329" t="str">
        <f t="shared" si="209"/>
        <v/>
      </c>
      <c r="DD368" s="197"/>
      <c r="DF368" s="14"/>
      <c r="DG368" s="14"/>
      <c r="DH368" s="14"/>
      <c r="DI368" s="1596"/>
      <c r="DJ368" s="1170" t="s">
        <v>2749</v>
      </c>
      <c r="DK368" s="1604" t="str">
        <f t="shared" si="210"/>
        <v/>
      </c>
      <c r="DL368" s="437" t="str">
        <f t="shared" si="211"/>
        <v/>
      </c>
      <c r="DM368" s="1128">
        <f t="shared" si="212"/>
        <v>0</v>
      </c>
      <c r="DN368" s="22">
        <f t="shared" si="213"/>
        <v>0</v>
      </c>
      <c r="DO368" s="22">
        <f t="shared" si="214"/>
        <v>0</v>
      </c>
      <c r="DP368" s="264">
        <f t="shared" si="215"/>
        <v>0</v>
      </c>
      <c r="DQ368" s="33" t="s">
        <v>289</v>
      </c>
      <c r="DR368" s="263" t="str">
        <f>IF($U368="",P365,U368)</f>
        <v>排水溝（ドレーンを含む。）の劣化及び損傷の状況</v>
      </c>
      <c r="DS368" s="23">
        <f t="shared" si="216"/>
        <v>0</v>
      </c>
      <c r="DT368" s="29" t="str">
        <f t="shared" si="217"/>
        <v/>
      </c>
      <c r="DU368" s="242" t="str">
        <f t="shared" si="218"/>
        <v/>
      </c>
      <c r="DV368" s="57" t="str">
        <f>IF($DT368="要是正",MAX($DV$360:DV367)+1,"")</f>
        <v/>
      </c>
      <c r="DW368" s="273" t="str">
        <f t="shared" si="219"/>
        <v/>
      </c>
      <c r="DX368" s="30" t="str">
        <f t="shared" si="220"/>
        <v/>
      </c>
      <c r="DY368" s="13" t="str">
        <f t="shared" si="221"/>
        <v/>
      </c>
      <c r="DZ368" s="121" t="str">
        <f t="shared" si="222"/>
        <v/>
      </c>
      <c r="EA368" s="256" t="str">
        <f t="shared" si="223"/>
        <v/>
      </c>
      <c r="EB368" s="138" t="str">
        <f t="shared" si="224"/>
        <v/>
      </c>
      <c r="EC368" s="131" t="str">
        <f t="shared" si="225"/>
        <v>0</v>
      </c>
      <c r="ED368" s="54" t="str">
        <f t="shared" si="226"/>
        <v/>
      </c>
      <c r="EE368" s="131" t="str">
        <f t="shared" si="278"/>
        <v>0</v>
      </c>
      <c r="EF368" s="37" t="str">
        <f t="shared" si="227"/>
        <v/>
      </c>
      <c r="EG368" s="108" t="str">
        <f t="shared" si="228"/>
        <v/>
      </c>
      <c r="EH368" s="41" t="str">
        <f t="shared" si="229"/>
        <v>0</v>
      </c>
      <c r="EI368" s="54" t="str">
        <f t="shared" si="230"/>
        <v/>
      </c>
      <c r="EJ368" s="131" t="str">
        <f t="shared" si="279"/>
        <v>0</v>
      </c>
      <c r="EK368" s="241" t="str">
        <f t="shared" si="231"/>
        <v/>
      </c>
      <c r="EL368" s="242" t="e">
        <f t="shared" si="280"/>
        <v>#N/A</v>
      </c>
      <c r="EM368" s="57" t="e">
        <f t="shared" si="232"/>
        <v>#N/A</v>
      </c>
      <c r="EN368" s="243" t="e">
        <f t="shared" si="233"/>
        <v>#N/A</v>
      </c>
      <c r="FK368" s="326" t="str">
        <f t="shared" si="234"/>
        <v/>
      </c>
      <c r="FL368" s="326" t="str">
        <f t="shared" si="235"/>
        <v/>
      </c>
      <c r="FM368" s="326" t="str">
        <f t="shared" si="236"/>
        <v/>
      </c>
      <c r="FN368" s="326">
        <f t="shared" si="237"/>
        <v>0</v>
      </c>
      <c r="FO368" s="670" t="str">
        <f t="shared" si="238"/>
        <v/>
      </c>
      <c r="FQ368" s="138" t="str">
        <f t="shared" si="239"/>
        <v/>
      </c>
      <c r="FR368" s="131" t="str">
        <f t="shared" si="240"/>
        <v>0</v>
      </c>
      <c r="FS368" s="54" t="str">
        <f t="shared" si="241"/>
        <v/>
      </c>
      <c r="FT368" s="131" t="str">
        <f t="shared" si="281"/>
        <v>0</v>
      </c>
      <c r="FU368" s="217" t="str">
        <f t="shared" si="242"/>
        <v/>
      </c>
      <c r="FW368" s="667">
        <f t="shared" si="196"/>
        <v>0</v>
      </c>
      <c r="FX368" s="32"/>
      <c r="FY368" s="32"/>
      <c r="FZ368" s="668"/>
      <c r="GA368" s="14"/>
      <c r="GB368" s="658">
        <f t="shared" si="243"/>
        <v>0</v>
      </c>
      <c r="GC368" s="658">
        <f t="shared" si="244"/>
        <v>0</v>
      </c>
      <c r="GD368" s="658">
        <f t="shared" si="245"/>
        <v>0</v>
      </c>
      <c r="GE368" s="658" t="str">
        <f t="shared" si="246"/>
        <v/>
      </c>
      <c r="GF368" s="658" t="str">
        <f t="shared" si="247"/>
        <v/>
      </c>
      <c r="GG368" s="658" t="str">
        <f t="shared" si="248"/>
        <v/>
      </c>
      <c r="GH368" s="658" t="str">
        <f t="shared" si="249"/>
        <v/>
      </c>
      <c r="GI368" s="658" t="str">
        <f t="shared" si="250"/>
        <v/>
      </c>
      <c r="GJ368" s="658" t="str">
        <f t="shared" si="251"/>
        <v/>
      </c>
      <c r="GK368" s="658" t="str">
        <f t="shared" si="252"/>
        <v/>
      </c>
      <c r="GL368" s="658" t="str">
        <f t="shared" si="253"/>
        <v/>
      </c>
      <c r="GM368" s="658" t="str">
        <f t="shared" si="254"/>
        <v/>
      </c>
      <c r="GN368" s="658" t="str">
        <f t="shared" si="255"/>
        <v/>
      </c>
      <c r="GO368" s="658" t="str">
        <f t="shared" si="256"/>
        <v/>
      </c>
      <c r="GP368" s="658" t="str">
        <f t="shared" si="257"/>
        <v/>
      </c>
      <c r="GQ368" s="658" t="str">
        <f t="shared" si="258"/>
        <v/>
      </c>
      <c r="GR368" s="658" t="str">
        <f t="shared" si="259"/>
        <v/>
      </c>
      <c r="GS368" s="658" t="str">
        <f t="shared" si="260"/>
        <v/>
      </c>
      <c r="GT368" s="658">
        <f t="shared" si="94"/>
        <v>0</v>
      </c>
      <c r="GU368" s="658">
        <f t="shared" si="95"/>
        <v>0</v>
      </c>
      <c r="GV368" s="658">
        <f t="shared" si="96"/>
        <v>0</v>
      </c>
      <c r="GW368" s="658" t="b">
        <f t="shared" si="97"/>
        <v>0</v>
      </c>
      <c r="GX368" s="658" t="b">
        <f t="shared" si="98"/>
        <v>0</v>
      </c>
      <c r="GY368" s="658" t="b">
        <f t="shared" si="99"/>
        <v>0</v>
      </c>
      <c r="GZ368" s="658" t="str">
        <f t="shared" si="173"/>
        <v/>
      </c>
      <c r="HB368" s="658" t="str">
        <f t="shared" si="101"/>
        <v/>
      </c>
      <c r="HC368" s="658" t="str">
        <f t="shared" si="261"/>
        <v/>
      </c>
      <c r="HD368" s="658" t="str">
        <f t="shared" si="262"/>
        <v/>
      </c>
      <c r="HE368" s="658" t="str">
        <f t="shared" si="263"/>
        <v/>
      </c>
      <c r="HF368" s="658" t="str">
        <f t="shared" si="264"/>
        <v/>
      </c>
      <c r="HG368" s="658" t="str">
        <f t="shared" si="265"/>
        <v/>
      </c>
      <c r="HH368" s="658" t="str">
        <f t="shared" si="266"/>
        <v/>
      </c>
      <c r="HI368" s="658" t="str">
        <f t="shared" si="267"/>
        <v/>
      </c>
      <c r="HJ368" s="658" t="str">
        <f t="shared" si="268"/>
        <v/>
      </c>
      <c r="HK368" s="658" t="str">
        <f t="shared" si="269"/>
        <v/>
      </c>
      <c r="HL368" s="658" t="str">
        <f t="shared" si="270"/>
        <v/>
      </c>
      <c r="HM368" s="658" t="str">
        <f t="shared" si="271"/>
        <v/>
      </c>
      <c r="HN368" s="658" t="str">
        <f t="shared" si="272"/>
        <v/>
      </c>
      <c r="HO368" s="658" t="str">
        <f t="shared" si="273"/>
        <v/>
      </c>
      <c r="HP368" s="658" t="str">
        <f t="shared" si="274"/>
        <v/>
      </c>
      <c r="HQ368" s="658" t="str">
        <f t="shared" si="275"/>
        <v/>
      </c>
      <c r="HR368" s="658" t="str">
        <f t="shared" si="102"/>
        <v/>
      </c>
      <c r="HT368" s="658">
        <f>LEFT(M368,1)*10000+MID(M368,3,LEN(M368)-3)*100+COUNTIF($M$319:M368,M368)</f>
        <v>30501</v>
      </c>
      <c r="HU368" s="658" t="str">
        <f t="shared" si="103"/>
        <v/>
      </c>
      <c r="HV368" s="658" t="str">
        <f t="shared" si="276"/>
        <v/>
      </c>
      <c r="HW368" s="658" t="str">
        <f t="shared" si="104"/>
        <v/>
      </c>
      <c r="HX368" s="658" t="str">
        <f t="shared" si="277"/>
        <v/>
      </c>
    </row>
    <row r="369" spans="1:232" s="19" customFormat="1" ht="50.1" customHeight="1" x14ac:dyDescent="0.15">
      <c r="A369" s="1201"/>
      <c r="B369" s="1201"/>
      <c r="C369" s="1201"/>
      <c r="D369" s="1201"/>
      <c r="E369" s="1202"/>
      <c r="F369" s="652"/>
      <c r="G369" s="652"/>
      <c r="H369" s="652"/>
      <c r="I369" s="1354"/>
      <c r="J369" s="1234"/>
      <c r="K369" s="1261"/>
      <c r="L369" s="1261"/>
      <c r="M369" s="2424" t="s">
        <v>1146</v>
      </c>
      <c r="N369" s="2424"/>
      <c r="O369" s="2424"/>
      <c r="P369" s="2444" t="s">
        <v>168</v>
      </c>
      <c r="Q369" s="2444"/>
      <c r="R369" s="2444"/>
      <c r="S369" s="2444"/>
      <c r="T369" s="2444"/>
      <c r="U369" s="2438" t="s">
        <v>78</v>
      </c>
      <c r="V369" s="2438"/>
      <c r="W369" s="2438"/>
      <c r="X369" s="2438"/>
      <c r="Y369" s="2438"/>
      <c r="Z369" s="2438"/>
      <c r="AA369" s="2438"/>
      <c r="AB369" s="2438"/>
      <c r="AC369" s="2438"/>
      <c r="AD369" s="2438"/>
      <c r="AE369" s="2438"/>
      <c r="AF369" s="2302"/>
      <c r="AG369" s="2302"/>
      <c r="AH369" s="2302"/>
      <c r="AI369" s="2302"/>
      <c r="AJ369" s="2302"/>
      <c r="AK369" s="2302"/>
      <c r="AL369" s="2302"/>
      <c r="AM369" s="2302"/>
      <c r="AN369" s="2302"/>
      <c r="AO369" s="2302"/>
      <c r="AP369" s="2302"/>
      <c r="AQ369" s="2302"/>
      <c r="AR369" s="2272"/>
      <c r="AS369" s="2272"/>
      <c r="AT369" s="2406"/>
      <c r="AU369" s="2406"/>
      <c r="AV369" s="2406"/>
      <c r="AW369" s="2406"/>
      <c r="AX369" s="2406"/>
      <c r="AY369" s="2406"/>
      <c r="AZ369" s="2406"/>
      <c r="BA369" s="2406"/>
      <c r="BB369" s="2406"/>
      <c r="BC369" s="2406"/>
      <c r="BD369" s="2406"/>
      <c r="BE369" s="2406"/>
      <c r="BF369" s="2406"/>
      <c r="BG369" s="2406"/>
      <c r="BH369" s="2406"/>
      <c r="BI369" s="2406"/>
      <c r="BJ369" s="2406"/>
      <c r="BK369" s="2406"/>
      <c r="BL369" s="2406"/>
      <c r="BM369" s="2406"/>
      <c r="BN369" s="2406"/>
      <c r="BO369" s="2406"/>
      <c r="BP369" s="2406"/>
      <c r="BQ369" s="2406"/>
      <c r="BR369" s="2406"/>
      <c r="BS369" s="2271"/>
      <c r="BT369" s="2271"/>
      <c r="BU369" s="2271"/>
      <c r="BV369" s="2271"/>
      <c r="BW369" s="2271"/>
      <c r="BX369" s="2271"/>
      <c r="BY369" s="2271"/>
      <c r="BZ369" s="2272"/>
      <c r="CA369" s="2272"/>
      <c r="CB369" s="2407"/>
      <c r="CC369" s="2408"/>
      <c r="CD369" s="2408"/>
      <c r="CE369" s="2408"/>
      <c r="CF369" s="2408"/>
      <c r="CG369" s="2408"/>
      <c r="CH369" s="2408"/>
      <c r="CI369" s="2408"/>
      <c r="CJ369" s="2408"/>
      <c r="CK369" s="2408"/>
      <c r="CL369" s="2408"/>
      <c r="CM369" s="2408"/>
      <c r="CN369" s="2408"/>
      <c r="CO369" s="2408"/>
      <c r="CP369" s="2408"/>
      <c r="CQ369" s="2408"/>
      <c r="CR369" s="2408"/>
      <c r="CS369" s="2408"/>
      <c r="CT369" s="2408"/>
      <c r="CU369" s="2409"/>
      <c r="CV369" s="2300" t="str">
        <f t="shared" si="208"/>
        <v/>
      </c>
      <c r="CW369" s="2300"/>
      <c r="CX369" s="2300"/>
      <c r="CY369" s="2300"/>
      <c r="CZ369" s="2300"/>
      <c r="DA369" s="2300"/>
      <c r="DC369" s="329" t="str">
        <f t="shared" si="209"/>
        <v/>
      </c>
      <c r="DD369" s="197"/>
      <c r="DF369" s="14"/>
      <c r="DG369" s="14"/>
      <c r="DH369" s="14"/>
      <c r="DI369" s="1596"/>
      <c r="DJ369" s="1170" t="s">
        <v>2749</v>
      </c>
      <c r="DK369" s="1604" t="str">
        <f t="shared" si="210"/>
        <v/>
      </c>
      <c r="DL369" s="437" t="str">
        <f t="shared" si="211"/>
        <v/>
      </c>
      <c r="DM369" s="1128">
        <f t="shared" si="212"/>
        <v>0</v>
      </c>
      <c r="DN369" s="22">
        <f t="shared" si="213"/>
        <v>0</v>
      </c>
      <c r="DO369" s="22">
        <f t="shared" si="214"/>
        <v>0</v>
      </c>
      <c r="DP369" s="264">
        <f t="shared" si="215"/>
        <v>0</v>
      </c>
      <c r="DQ369" s="33" t="s">
        <v>290</v>
      </c>
      <c r="DR369" s="263" t="str">
        <f>IF($U369="",P369,U369)</f>
        <v>屋根の防火対策の状況</v>
      </c>
      <c r="DS369" s="23">
        <f t="shared" si="216"/>
        <v>0</v>
      </c>
      <c r="DT369" s="29" t="str">
        <f t="shared" si="217"/>
        <v/>
      </c>
      <c r="DU369" s="242" t="str">
        <f t="shared" si="218"/>
        <v/>
      </c>
      <c r="DV369" s="57" t="str">
        <f>IF($DT369="要是正",MAX($DV$360:DV368)+1,"")</f>
        <v/>
      </c>
      <c r="DW369" s="273" t="str">
        <f t="shared" si="219"/>
        <v/>
      </c>
      <c r="DX369" s="30" t="str">
        <f t="shared" si="220"/>
        <v/>
      </c>
      <c r="DY369" s="13" t="str">
        <f t="shared" si="221"/>
        <v/>
      </c>
      <c r="DZ369" s="121" t="str">
        <f t="shared" si="222"/>
        <v/>
      </c>
      <c r="EA369" s="256" t="str">
        <f t="shared" si="223"/>
        <v/>
      </c>
      <c r="EB369" s="138" t="str">
        <f t="shared" si="224"/>
        <v/>
      </c>
      <c r="EC369" s="131" t="str">
        <f t="shared" si="225"/>
        <v>0</v>
      </c>
      <c r="ED369" s="54" t="str">
        <f t="shared" si="226"/>
        <v/>
      </c>
      <c r="EE369" s="131" t="str">
        <f t="shared" si="278"/>
        <v>0</v>
      </c>
      <c r="EF369" s="37" t="str">
        <f t="shared" si="227"/>
        <v/>
      </c>
      <c r="EG369" s="108" t="str">
        <f t="shared" si="228"/>
        <v/>
      </c>
      <c r="EH369" s="41" t="str">
        <f t="shared" si="229"/>
        <v>0</v>
      </c>
      <c r="EI369" s="54" t="str">
        <f t="shared" si="230"/>
        <v/>
      </c>
      <c r="EJ369" s="131" t="str">
        <f t="shared" si="279"/>
        <v>0</v>
      </c>
      <c r="EK369" s="241" t="str">
        <f t="shared" si="231"/>
        <v/>
      </c>
      <c r="EL369" s="242" t="e">
        <f t="shared" si="280"/>
        <v>#N/A</v>
      </c>
      <c r="EM369" s="57" t="e">
        <f t="shared" si="232"/>
        <v>#N/A</v>
      </c>
      <c r="EN369" s="243" t="e">
        <f t="shared" si="233"/>
        <v>#N/A</v>
      </c>
      <c r="FK369" s="326" t="str">
        <f t="shared" si="234"/>
        <v/>
      </c>
      <c r="FL369" s="326" t="str">
        <f t="shared" si="235"/>
        <v/>
      </c>
      <c r="FM369" s="326" t="str">
        <f t="shared" si="236"/>
        <v/>
      </c>
      <c r="FN369" s="326">
        <f t="shared" si="237"/>
        <v>0</v>
      </c>
      <c r="FO369" s="670" t="str">
        <f t="shared" si="238"/>
        <v/>
      </c>
      <c r="FQ369" s="138" t="str">
        <f t="shared" si="239"/>
        <v/>
      </c>
      <c r="FR369" s="131" t="str">
        <f t="shared" si="240"/>
        <v>0</v>
      </c>
      <c r="FS369" s="54" t="str">
        <f t="shared" si="241"/>
        <v/>
      </c>
      <c r="FT369" s="131" t="str">
        <f t="shared" si="281"/>
        <v>0</v>
      </c>
      <c r="FU369" s="217" t="str">
        <f t="shared" si="242"/>
        <v/>
      </c>
      <c r="FW369" s="667">
        <f t="shared" si="196"/>
        <v>0</v>
      </c>
      <c r="FX369" s="32"/>
      <c r="FY369" s="32"/>
      <c r="FZ369" s="668"/>
      <c r="GA369" s="14"/>
      <c r="GB369" s="658">
        <f t="shared" si="243"/>
        <v>0</v>
      </c>
      <c r="GC369" s="658">
        <f t="shared" si="244"/>
        <v>0</v>
      </c>
      <c r="GD369" s="658">
        <f t="shared" si="245"/>
        <v>0</v>
      </c>
      <c r="GE369" s="658" t="str">
        <f t="shared" si="246"/>
        <v/>
      </c>
      <c r="GF369" s="658" t="str">
        <f t="shared" si="247"/>
        <v/>
      </c>
      <c r="GG369" s="658" t="str">
        <f t="shared" si="248"/>
        <v/>
      </c>
      <c r="GH369" s="658" t="str">
        <f t="shared" si="249"/>
        <v/>
      </c>
      <c r="GI369" s="658" t="str">
        <f t="shared" si="250"/>
        <v/>
      </c>
      <c r="GJ369" s="658" t="str">
        <f t="shared" si="251"/>
        <v/>
      </c>
      <c r="GK369" s="658" t="str">
        <f t="shared" si="252"/>
        <v/>
      </c>
      <c r="GL369" s="658" t="str">
        <f t="shared" si="253"/>
        <v/>
      </c>
      <c r="GM369" s="658" t="str">
        <f t="shared" si="254"/>
        <v/>
      </c>
      <c r="GN369" s="658" t="str">
        <f t="shared" si="255"/>
        <v/>
      </c>
      <c r="GO369" s="658" t="str">
        <f t="shared" si="256"/>
        <v/>
      </c>
      <c r="GP369" s="658" t="str">
        <f t="shared" si="257"/>
        <v/>
      </c>
      <c r="GQ369" s="658" t="str">
        <f t="shared" si="258"/>
        <v/>
      </c>
      <c r="GR369" s="658" t="str">
        <f t="shared" si="259"/>
        <v/>
      </c>
      <c r="GS369" s="658" t="str">
        <f t="shared" si="260"/>
        <v/>
      </c>
      <c r="GT369" s="658">
        <f t="shared" si="94"/>
        <v>0</v>
      </c>
      <c r="GU369" s="658">
        <f t="shared" si="95"/>
        <v>0</v>
      </c>
      <c r="GV369" s="658">
        <f t="shared" si="96"/>
        <v>0</v>
      </c>
      <c r="GW369" s="658" t="b">
        <f t="shared" si="97"/>
        <v>0</v>
      </c>
      <c r="GX369" s="658" t="b">
        <f t="shared" si="98"/>
        <v>0</v>
      </c>
      <c r="GY369" s="658" t="b">
        <f t="shared" si="99"/>
        <v>0</v>
      </c>
      <c r="GZ369" s="658" t="str">
        <f t="shared" si="173"/>
        <v/>
      </c>
      <c r="HB369" s="658" t="str">
        <f t="shared" si="101"/>
        <v/>
      </c>
      <c r="HC369" s="658" t="str">
        <f t="shared" si="261"/>
        <v/>
      </c>
      <c r="HD369" s="658" t="str">
        <f t="shared" si="262"/>
        <v/>
      </c>
      <c r="HE369" s="658" t="str">
        <f t="shared" si="263"/>
        <v/>
      </c>
      <c r="HF369" s="658" t="str">
        <f t="shared" si="264"/>
        <v/>
      </c>
      <c r="HG369" s="658" t="str">
        <f t="shared" si="265"/>
        <v/>
      </c>
      <c r="HH369" s="658" t="str">
        <f t="shared" si="266"/>
        <v/>
      </c>
      <c r="HI369" s="658" t="str">
        <f t="shared" si="267"/>
        <v/>
      </c>
      <c r="HJ369" s="658" t="str">
        <f t="shared" si="268"/>
        <v/>
      </c>
      <c r="HK369" s="658" t="str">
        <f t="shared" si="269"/>
        <v/>
      </c>
      <c r="HL369" s="658" t="str">
        <f t="shared" si="270"/>
        <v/>
      </c>
      <c r="HM369" s="658" t="str">
        <f t="shared" si="271"/>
        <v/>
      </c>
      <c r="HN369" s="658" t="str">
        <f t="shared" si="272"/>
        <v/>
      </c>
      <c r="HO369" s="658" t="str">
        <f t="shared" si="273"/>
        <v/>
      </c>
      <c r="HP369" s="658" t="str">
        <f t="shared" si="274"/>
        <v/>
      </c>
      <c r="HQ369" s="658" t="str">
        <f t="shared" si="275"/>
        <v/>
      </c>
      <c r="HR369" s="658" t="str">
        <f t="shared" si="102"/>
        <v/>
      </c>
      <c r="HT369" s="658">
        <f>LEFT(M369,1)*10000+MID(M369,3,LEN(M369)-3)*100+COUNTIF($M$319:M369,M369)</f>
        <v>30601</v>
      </c>
      <c r="HU369" s="658" t="str">
        <f t="shared" si="103"/>
        <v/>
      </c>
      <c r="HV369" s="658" t="str">
        <f t="shared" si="276"/>
        <v/>
      </c>
      <c r="HW369" s="658" t="str">
        <f t="shared" si="104"/>
        <v/>
      </c>
      <c r="HX369" s="658" t="str">
        <f t="shared" si="277"/>
        <v/>
      </c>
    </row>
    <row r="370" spans="1:232" s="19" customFormat="1" ht="50.1" customHeight="1" x14ac:dyDescent="0.15">
      <c r="A370" s="1201"/>
      <c r="B370" s="1201"/>
      <c r="C370" s="1201"/>
      <c r="D370" s="1201"/>
      <c r="E370" s="1202"/>
      <c r="F370" s="652"/>
      <c r="G370" s="652"/>
      <c r="H370" s="652"/>
      <c r="I370" s="1354"/>
      <c r="J370" s="1234"/>
      <c r="K370" s="1261"/>
      <c r="L370" s="1261"/>
      <c r="M370" s="2424" t="s">
        <v>1147</v>
      </c>
      <c r="N370" s="2424"/>
      <c r="O370" s="2424"/>
      <c r="P370" s="2445"/>
      <c r="Q370" s="2445"/>
      <c r="R370" s="2445"/>
      <c r="S370" s="2445"/>
      <c r="T370" s="2445"/>
      <c r="U370" s="2445" t="s">
        <v>79</v>
      </c>
      <c r="V370" s="2445"/>
      <c r="W370" s="2445"/>
      <c r="X370" s="2445"/>
      <c r="Y370" s="2445"/>
      <c r="Z370" s="2445"/>
      <c r="AA370" s="2445"/>
      <c r="AB370" s="2445"/>
      <c r="AC370" s="2445"/>
      <c r="AD370" s="2445"/>
      <c r="AE370" s="2445"/>
      <c r="AF370" s="2459"/>
      <c r="AG370" s="2459"/>
      <c r="AH370" s="2459"/>
      <c r="AI370" s="2459"/>
      <c r="AJ370" s="2459"/>
      <c r="AK370" s="2459"/>
      <c r="AL370" s="2459"/>
      <c r="AM370" s="2459"/>
      <c r="AN370" s="2459"/>
      <c r="AO370" s="2459"/>
      <c r="AP370" s="2459"/>
      <c r="AQ370" s="2459"/>
      <c r="AR370" s="2152"/>
      <c r="AS370" s="2152"/>
      <c r="AT370" s="2432"/>
      <c r="AU370" s="2432"/>
      <c r="AV370" s="2432"/>
      <c r="AW370" s="2432"/>
      <c r="AX370" s="2432"/>
      <c r="AY370" s="2432"/>
      <c r="AZ370" s="2432"/>
      <c r="BA370" s="2432"/>
      <c r="BB370" s="2432"/>
      <c r="BC370" s="2432"/>
      <c r="BD370" s="2432"/>
      <c r="BE370" s="2432"/>
      <c r="BF370" s="2432"/>
      <c r="BG370" s="2432"/>
      <c r="BH370" s="2432"/>
      <c r="BI370" s="2432"/>
      <c r="BJ370" s="2432"/>
      <c r="BK370" s="2432"/>
      <c r="BL370" s="2432"/>
      <c r="BM370" s="2432"/>
      <c r="BN370" s="2432"/>
      <c r="BO370" s="2432"/>
      <c r="BP370" s="2432"/>
      <c r="BQ370" s="2432"/>
      <c r="BR370" s="2432"/>
      <c r="BS370" s="2270"/>
      <c r="BT370" s="2270"/>
      <c r="BU370" s="2270"/>
      <c r="BV370" s="2270"/>
      <c r="BW370" s="2270"/>
      <c r="BX370" s="2270"/>
      <c r="BY370" s="2270"/>
      <c r="BZ370" s="2152"/>
      <c r="CA370" s="2152"/>
      <c r="CB370" s="2736"/>
      <c r="CC370" s="2737"/>
      <c r="CD370" s="2737"/>
      <c r="CE370" s="2737"/>
      <c r="CF370" s="2737"/>
      <c r="CG370" s="2737"/>
      <c r="CH370" s="2737"/>
      <c r="CI370" s="2737"/>
      <c r="CJ370" s="2737"/>
      <c r="CK370" s="2737"/>
      <c r="CL370" s="2737"/>
      <c r="CM370" s="2737"/>
      <c r="CN370" s="2737"/>
      <c r="CO370" s="2737"/>
      <c r="CP370" s="2737"/>
      <c r="CQ370" s="2737"/>
      <c r="CR370" s="2737"/>
      <c r="CS370" s="2737"/>
      <c r="CT370" s="2737"/>
      <c r="CU370" s="2738"/>
      <c r="CV370" s="2300" t="str">
        <f t="shared" si="208"/>
        <v/>
      </c>
      <c r="CW370" s="2300"/>
      <c r="CX370" s="2300"/>
      <c r="CY370" s="2300"/>
      <c r="CZ370" s="2300"/>
      <c r="DA370" s="2300"/>
      <c r="DC370" s="329" t="str">
        <f t="shared" si="209"/>
        <v/>
      </c>
      <c r="DD370" s="197"/>
      <c r="DF370" s="14"/>
      <c r="DG370" s="14"/>
      <c r="DH370" s="14"/>
      <c r="DI370" s="1596"/>
      <c r="DJ370" s="1170" t="s">
        <v>2749</v>
      </c>
      <c r="DK370" s="1604" t="str">
        <f t="shared" si="210"/>
        <v/>
      </c>
      <c r="DL370" s="437" t="str">
        <f t="shared" si="211"/>
        <v/>
      </c>
      <c r="DM370" s="1128">
        <f t="shared" si="212"/>
        <v>0</v>
      </c>
      <c r="DN370" s="22">
        <f t="shared" si="213"/>
        <v>0</v>
      </c>
      <c r="DO370" s="22">
        <f t="shared" si="214"/>
        <v>0</v>
      </c>
      <c r="DP370" s="264">
        <f t="shared" si="215"/>
        <v>0</v>
      </c>
      <c r="DQ370" s="33" t="s">
        <v>291</v>
      </c>
      <c r="DR370" s="263" t="str">
        <f>IF($U370="",P369,U370)</f>
        <v>屋根の劣化及び損傷の状況</v>
      </c>
      <c r="DS370" s="23">
        <f t="shared" si="216"/>
        <v>0</v>
      </c>
      <c r="DT370" s="29" t="str">
        <f t="shared" si="217"/>
        <v/>
      </c>
      <c r="DU370" s="242" t="str">
        <f t="shared" si="218"/>
        <v/>
      </c>
      <c r="DV370" s="57" t="str">
        <f>IF($DT370="要是正",MAX($DV$360:DV369)+1,"")</f>
        <v/>
      </c>
      <c r="DW370" s="273" t="str">
        <f t="shared" si="219"/>
        <v/>
      </c>
      <c r="DX370" s="30" t="str">
        <f t="shared" si="220"/>
        <v/>
      </c>
      <c r="DY370" s="13" t="str">
        <f t="shared" si="221"/>
        <v/>
      </c>
      <c r="DZ370" s="121" t="str">
        <f t="shared" si="222"/>
        <v/>
      </c>
      <c r="EA370" s="256" t="str">
        <f t="shared" si="223"/>
        <v/>
      </c>
      <c r="EB370" s="138" t="str">
        <f t="shared" si="224"/>
        <v/>
      </c>
      <c r="EC370" s="131" t="str">
        <f t="shared" si="225"/>
        <v>0</v>
      </c>
      <c r="ED370" s="54" t="str">
        <f t="shared" si="226"/>
        <v/>
      </c>
      <c r="EE370" s="131" t="str">
        <f t="shared" si="278"/>
        <v>0</v>
      </c>
      <c r="EF370" s="37" t="str">
        <f t="shared" si="227"/>
        <v/>
      </c>
      <c r="EG370" s="108" t="str">
        <f t="shared" si="228"/>
        <v/>
      </c>
      <c r="EH370" s="41" t="str">
        <f t="shared" si="229"/>
        <v>0</v>
      </c>
      <c r="EI370" s="54" t="str">
        <f t="shared" si="230"/>
        <v/>
      </c>
      <c r="EJ370" s="131" t="str">
        <f t="shared" si="279"/>
        <v>0</v>
      </c>
      <c r="EK370" s="241" t="str">
        <f t="shared" si="231"/>
        <v/>
      </c>
      <c r="EL370" s="242" t="e">
        <f t="shared" si="280"/>
        <v>#N/A</v>
      </c>
      <c r="EM370" s="57" t="e">
        <f t="shared" si="232"/>
        <v>#N/A</v>
      </c>
      <c r="EN370" s="243" t="e">
        <f t="shared" si="233"/>
        <v>#N/A</v>
      </c>
      <c r="FK370" s="326" t="str">
        <f t="shared" si="234"/>
        <v/>
      </c>
      <c r="FL370" s="326" t="str">
        <f t="shared" si="235"/>
        <v/>
      </c>
      <c r="FM370" s="326" t="str">
        <f t="shared" si="236"/>
        <v/>
      </c>
      <c r="FN370" s="326">
        <f t="shared" si="237"/>
        <v>0</v>
      </c>
      <c r="FO370" s="670" t="str">
        <f t="shared" si="238"/>
        <v/>
      </c>
      <c r="FQ370" s="138" t="str">
        <f t="shared" si="239"/>
        <v/>
      </c>
      <c r="FR370" s="131" t="str">
        <f t="shared" si="240"/>
        <v>0</v>
      </c>
      <c r="FS370" s="54" t="str">
        <f t="shared" si="241"/>
        <v/>
      </c>
      <c r="FT370" s="131" t="str">
        <f t="shared" si="281"/>
        <v>0</v>
      </c>
      <c r="FU370" s="217" t="str">
        <f t="shared" si="242"/>
        <v/>
      </c>
      <c r="FW370" s="667">
        <f t="shared" si="196"/>
        <v>0</v>
      </c>
      <c r="FX370" s="32"/>
      <c r="FY370" s="32"/>
      <c r="FZ370" s="668"/>
      <c r="GA370" s="14"/>
      <c r="GB370" s="658">
        <f t="shared" si="243"/>
        <v>0</v>
      </c>
      <c r="GC370" s="658">
        <f t="shared" si="244"/>
        <v>0</v>
      </c>
      <c r="GD370" s="658">
        <f t="shared" si="245"/>
        <v>0</v>
      </c>
      <c r="GE370" s="658" t="str">
        <f t="shared" si="246"/>
        <v/>
      </c>
      <c r="GF370" s="658" t="str">
        <f t="shared" si="247"/>
        <v/>
      </c>
      <c r="GG370" s="658" t="str">
        <f t="shared" si="248"/>
        <v/>
      </c>
      <c r="GH370" s="658" t="str">
        <f t="shared" si="249"/>
        <v/>
      </c>
      <c r="GI370" s="658" t="str">
        <f t="shared" si="250"/>
        <v/>
      </c>
      <c r="GJ370" s="658" t="str">
        <f t="shared" si="251"/>
        <v/>
      </c>
      <c r="GK370" s="658" t="str">
        <f t="shared" si="252"/>
        <v/>
      </c>
      <c r="GL370" s="658" t="str">
        <f t="shared" si="253"/>
        <v/>
      </c>
      <c r="GM370" s="658" t="str">
        <f t="shared" si="254"/>
        <v/>
      </c>
      <c r="GN370" s="658" t="str">
        <f t="shared" si="255"/>
        <v/>
      </c>
      <c r="GO370" s="658" t="str">
        <f t="shared" si="256"/>
        <v/>
      </c>
      <c r="GP370" s="658" t="str">
        <f t="shared" si="257"/>
        <v/>
      </c>
      <c r="GQ370" s="658" t="str">
        <f t="shared" si="258"/>
        <v/>
      </c>
      <c r="GR370" s="658" t="str">
        <f t="shared" si="259"/>
        <v/>
      </c>
      <c r="GS370" s="658" t="str">
        <f t="shared" si="260"/>
        <v/>
      </c>
      <c r="GT370" s="658">
        <f t="shared" si="94"/>
        <v>0</v>
      </c>
      <c r="GU370" s="658">
        <f t="shared" si="95"/>
        <v>0</v>
      </c>
      <c r="GV370" s="658">
        <f t="shared" si="96"/>
        <v>0</v>
      </c>
      <c r="GW370" s="658" t="b">
        <f t="shared" si="97"/>
        <v>0</v>
      </c>
      <c r="GX370" s="658" t="b">
        <f t="shared" si="98"/>
        <v>0</v>
      </c>
      <c r="GY370" s="658" t="b">
        <f t="shared" si="99"/>
        <v>0</v>
      </c>
      <c r="GZ370" s="658" t="str">
        <f t="shared" si="173"/>
        <v/>
      </c>
      <c r="HB370" s="658" t="str">
        <f t="shared" si="101"/>
        <v/>
      </c>
      <c r="HC370" s="658" t="str">
        <f t="shared" si="261"/>
        <v/>
      </c>
      <c r="HD370" s="658" t="str">
        <f t="shared" si="262"/>
        <v/>
      </c>
      <c r="HE370" s="658" t="str">
        <f t="shared" si="263"/>
        <v/>
      </c>
      <c r="HF370" s="658" t="str">
        <f t="shared" si="264"/>
        <v/>
      </c>
      <c r="HG370" s="658" t="str">
        <f t="shared" si="265"/>
        <v/>
      </c>
      <c r="HH370" s="658" t="str">
        <f t="shared" si="266"/>
        <v/>
      </c>
      <c r="HI370" s="658" t="str">
        <f t="shared" si="267"/>
        <v/>
      </c>
      <c r="HJ370" s="658" t="str">
        <f t="shared" si="268"/>
        <v/>
      </c>
      <c r="HK370" s="658" t="str">
        <f t="shared" si="269"/>
        <v/>
      </c>
      <c r="HL370" s="658" t="str">
        <f t="shared" si="270"/>
        <v/>
      </c>
      <c r="HM370" s="658" t="str">
        <f t="shared" si="271"/>
        <v/>
      </c>
      <c r="HN370" s="658" t="str">
        <f t="shared" si="272"/>
        <v/>
      </c>
      <c r="HO370" s="658" t="str">
        <f t="shared" si="273"/>
        <v/>
      </c>
      <c r="HP370" s="658" t="str">
        <f t="shared" si="274"/>
        <v/>
      </c>
      <c r="HQ370" s="658" t="str">
        <f t="shared" si="275"/>
        <v/>
      </c>
      <c r="HR370" s="658" t="str">
        <f t="shared" si="102"/>
        <v/>
      </c>
      <c r="HT370" s="658">
        <f>LEFT(M370,1)*10000+MID(M370,3,LEN(M370)-3)*100+COUNTIF($M$319:M370,M370)</f>
        <v>30701</v>
      </c>
      <c r="HU370" s="658" t="str">
        <f t="shared" si="103"/>
        <v/>
      </c>
      <c r="HV370" s="658" t="str">
        <f t="shared" si="276"/>
        <v/>
      </c>
      <c r="HW370" s="658" t="str">
        <f t="shared" si="104"/>
        <v/>
      </c>
      <c r="HX370" s="658" t="str">
        <f t="shared" si="277"/>
        <v/>
      </c>
    </row>
    <row r="371" spans="1:232" s="19" customFormat="1" ht="50.1" customHeight="1" x14ac:dyDescent="0.15">
      <c r="A371" s="1201"/>
      <c r="B371" s="1201"/>
      <c r="C371" s="1201"/>
      <c r="D371" s="1201"/>
      <c r="E371" s="1202"/>
      <c r="F371" s="652"/>
      <c r="G371" s="652"/>
      <c r="H371" s="652"/>
      <c r="I371" s="1354"/>
      <c r="J371" s="1234"/>
      <c r="K371" s="1261"/>
      <c r="L371" s="1261"/>
      <c r="M371" s="2424" t="s">
        <v>1148</v>
      </c>
      <c r="N371" s="2424"/>
      <c r="O371" s="2424"/>
      <c r="P371" s="2444" t="s">
        <v>204</v>
      </c>
      <c r="Q371" s="2444"/>
      <c r="R371" s="2444"/>
      <c r="S371" s="2444"/>
      <c r="T371" s="2444"/>
      <c r="U371" s="2438" t="s">
        <v>80</v>
      </c>
      <c r="V371" s="2438"/>
      <c r="W371" s="2438"/>
      <c r="X371" s="2438"/>
      <c r="Y371" s="2438"/>
      <c r="Z371" s="2438"/>
      <c r="AA371" s="2438"/>
      <c r="AB371" s="2438"/>
      <c r="AC371" s="2438"/>
      <c r="AD371" s="2438"/>
      <c r="AE371" s="2438"/>
      <c r="AF371" s="2302"/>
      <c r="AG371" s="2302"/>
      <c r="AH371" s="2302"/>
      <c r="AI371" s="2302"/>
      <c r="AJ371" s="2302"/>
      <c r="AK371" s="2302"/>
      <c r="AL371" s="2302"/>
      <c r="AM371" s="2302"/>
      <c r="AN371" s="2302"/>
      <c r="AO371" s="2302"/>
      <c r="AP371" s="2302"/>
      <c r="AQ371" s="2302"/>
      <c r="AR371" s="2272"/>
      <c r="AS371" s="2272"/>
      <c r="AT371" s="2406"/>
      <c r="AU371" s="2406"/>
      <c r="AV371" s="2406"/>
      <c r="AW371" s="2406"/>
      <c r="AX371" s="2406"/>
      <c r="AY371" s="2406"/>
      <c r="AZ371" s="2406"/>
      <c r="BA371" s="2406"/>
      <c r="BB371" s="2406"/>
      <c r="BC371" s="2406"/>
      <c r="BD371" s="2406"/>
      <c r="BE371" s="2406"/>
      <c r="BF371" s="2406"/>
      <c r="BG371" s="2406"/>
      <c r="BH371" s="2406"/>
      <c r="BI371" s="2406"/>
      <c r="BJ371" s="2406"/>
      <c r="BK371" s="2406"/>
      <c r="BL371" s="2406"/>
      <c r="BM371" s="2406"/>
      <c r="BN371" s="2406"/>
      <c r="BO371" s="2406"/>
      <c r="BP371" s="2406"/>
      <c r="BQ371" s="2406"/>
      <c r="BR371" s="2406"/>
      <c r="BS371" s="2271"/>
      <c r="BT371" s="2271"/>
      <c r="BU371" s="2271"/>
      <c r="BV371" s="2271"/>
      <c r="BW371" s="2271"/>
      <c r="BX371" s="2271"/>
      <c r="BY371" s="2271"/>
      <c r="BZ371" s="2272"/>
      <c r="CA371" s="2272"/>
      <c r="CB371" s="2407"/>
      <c r="CC371" s="2408"/>
      <c r="CD371" s="2408"/>
      <c r="CE371" s="2408"/>
      <c r="CF371" s="2408"/>
      <c r="CG371" s="2408"/>
      <c r="CH371" s="2408"/>
      <c r="CI371" s="2408"/>
      <c r="CJ371" s="2408"/>
      <c r="CK371" s="2408"/>
      <c r="CL371" s="2408"/>
      <c r="CM371" s="2408"/>
      <c r="CN371" s="2408"/>
      <c r="CO371" s="2408"/>
      <c r="CP371" s="2408"/>
      <c r="CQ371" s="2408"/>
      <c r="CR371" s="2408"/>
      <c r="CS371" s="2408"/>
      <c r="CT371" s="2408"/>
      <c r="CU371" s="2409"/>
      <c r="CV371" s="2300" t="str">
        <f t="shared" si="208"/>
        <v/>
      </c>
      <c r="CW371" s="2300"/>
      <c r="CX371" s="2300"/>
      <c r="CY371" s="2300"/>
      <c r="CZ371" s="2300"/>
      <c r="DA371" s="2300"/>
      <c r="DC371" s="329" t="str">
        <f t="shared" si="209"/>
        <v/>
      </c>
      <c r="DD371" s="197"/>
      <c r="DF371" s="14"/>
      <c r="DG371" s="14"/>
      <c r="DH371" s="14"/>
      <c r="DI371" s="1596"/>
      <c r="DJ371" s="1170" t="s">
        <v>2749</v>
      </c>
      <c r="DK371" s="1604" t="str">
        <f t="shared" si="210"/>
        <v/>
      </c>
      <c r="DL371" s="437" t="str">
        <f t="shared" si="211"/>
        <v/>
      </c>
      <c r="DM371" s="1128">
        <f t="shared" si="212"/>
        <v>0</v>
      </c>
      <c r="DN371" s="22">
        <f t="shared" si="213"/>
        <v>0</v>
      </c>
      <c r="DO371" s="22">
        <f t="shared" si="214"/>
        <v>0</v>
      </c>
      <c r="DP371" s="264">
        <f t="shared" si="215"/>
        <v>0</v>
      </c>
      <c r="DQ371" s="33" t="s">
        <v>292</v>
      </c>
      <c r="DR371" s="263" t="str">
        <f>IF($U371="",P371,U371)</f>
        <v>機器、工作物本体及び接合部の劣化及び損傷の状況</v>
      </c>
      <c r="DS371" s="23">
        <f t="shared" si="216"/>
        <v>0</v>
      </c>
      <c r="DT371" s="29" t="str">
        <f t="shared" si="217"/>
        <v/>
      </c>
      <c r="DU371" s="242" t="str">
        <f t="shared" si="218"/>
        <v/>
      </c>
      <c r="DV371" s="57" t="str">
        <f>IF($DT371="要是正",MAX($DV$360:DV370)+1,"")</f>
        <v/>
      </c>
      <c r="DW371" s="273" t="str">
        <f t="shared" si="219"/>
        <v/>
      </c>
      <c r="DX371" s="30" t="str">
        <f t="shared" si="220"/>
        <v/>
      </c>
      <c r="DY371" s="13" t="str">
        <f t="shared" si="221"/>
        <v/>
      </c>
      <c r="DZ371" s="121" t="str">
        <f t="shared" si="222"/>
        <v/>
      </c>
      <c r="EA371" s="256" t="str">
        <f t="shared" si="223"/>
        <v/>
      </c>
      <c r="EB371" s="138" t="str">
        <f t="shared" si="224"/>
        <v/>
      </c>
      <c r="EC371" s="131" t="str">
        <f t="shared" si="225"/>
        <v>0</v>
      </c>
      <c r="ED371" s="54" t="str">
        <f t="shared" si="226"/>
        <v/>
      </c>
      <c r="EE371" s="131" t="str">
        <f t="shared" si="278"/>
        <v>0</v>
      </c>
      <c r="EF371" s="37" t="str">
        <f t="shared" si="227"/>
        <v/>
      </c>
      <c r="EG371" s="108" t="str">
        <f t="shared" si="228"/>
        <v/>
      </c>
      <c r="EH371" s="41" t="str">
        <f t="shared" si="229"/>
        <v>0</v>
      </c>
      <c r="EI371" s="54" t="str">
        <f t="shared" si="230"/>
        <v/>
      </c>
      <c r="EJ371" s="131" t="str">
        <f t="shared" si="279"/>
        <v>0</v>
      </c>
      <c r="EK371" s="241" t="str">
        <f t="shared" si="231"/>
        <v/>
      </c>
      <c r="EL371" s="242" t="e">
        <f t="shared" si="280"/>
        <v>#N/A</v>
      </c>
      <c r="EM371" s="57" t="e">
        <f t="shared" si="232"/>
        <v>#N/A</v>
      </c>
      <c r="EN371" s="243" t="e">
        <f t="shared" si="233"/>
        <v>#N/A</v>
      </c>
      <c r="FK371" s="326" t="str">
        <f t="shared" si="234"/>
        <v/>
      </c>
      <c r="FL371" s="326" t="str">
        <f t="shared" si="235"/>
        <v/>
      </c>
      <c r="FM371" s="326" t="str">
        <f t="shared" si="236"/>
        <v/>
      </c>
      <c r="FN371" s="326">
        <f t="shared" si="237"/>
        <v>0</v>
      </c>
      <c r="FO371" s="670" t="str">
        <f t="shared" si="238"/>
        <v/>
      </c>
      <c r="FQ371" s="138" t="str">
        <f t="shared" si="239"/>
        <v/>
      </c>
      <c r="FR371" s="131" t="str">
        <f t="shared" si="240"/>
        <v>0</v>
      </c>
      <c r="FS371" s="54" t="str">
        <f t="shared" si="241"/>
        <v/>
      </c>
      <c r="FT371" s="131" t="str">
        <f t="shared" si="281"/>
        <v>0</v>
      </c>
      <c r="FU371" s="217" t="str">
        <f t="shared" si="242"/>
        <v/>
      </c>
      <c r="FW371" s="667">
        <f t="shared" si="196"/>
        <v>0</v>
      </c>
      <c r="FX371" s="32"/>
      <c r="FY371" s="32"/>
      <c r="FZ371" s="668"/>
      <c r="GA371" s="14"/>
      <c r="GB371" s="658">
        <f t="shared" si="243"/>
        <v>0</v>
      </c>
      <c r="GC371" s="658">
        <f t="shared" si="244"/>
        <v>0</v>
      </c>
      <c r="GD371" s="658">
        <f t="shared" si="245"/>
        <v>0</v>
      </c>
      <c r="GE371" s="658" t="str">
        <f t="shared" si="246"/>
        <v/>
      </c>
      <c r="GF371" s="658" t="str">
        <f t="shared" si="247"/>
        <v/>
      </c>
      <c r="GG371" s="658" t="str">
        <f t="shared" si="248"/>
        <v/>
      </c>
      <c r="GH371" s="658" t="str">
        <f t="shared" si="249"/>
        <v/>
      </c>
      <c r="GI371" s="658" t="str">
        <f t="shared" si="250"/>
        <v/>
      </c>
      <c r="GJ371" s="658" t="str">
        <f t="shared" si="251"/>
        <v/>
      </c>
      <c r="GK371" s="658" t="str">
        <f t="shared" si="252"/>
        <v/>
      </c>
      <c r="GL371" s="658" t="str">
        <f t="shared" si="253"/>
        <v/>
      </c>
      <c r="GM371" s="658" t="str">
        <f t="shared" si="254"/>
        <v/>
      </c>
      <c r="GN371" s="658" t="str">
        <f t="shared" si="255"/>
        <v/>
      </c>
      <c r="GO371" s="658" t="str">
        <f t="shared" si="256"/>
        <v/>
      </c>
      <c r="GP371" s="658" t="str">
        <f t="shared" si="257"/>
        <v/>
      </c>
      <c r="GQ371" s="658" t="str">
        <f t="shared" si="258"/>
        <v/>
      </c>
      <c r="GR371" s="658" t="str">
        <f t="shared" si="259"/>
        <v/>
      </c>
      <c r="GS371" s="658" t="str">
        <f t="shared" si="260"/>
        <v/>
      </c>
      <c r="GT371" s="658">
        <f t="shared" si="94"/>
        <v>0</v>
      </c>
      <c r="GU371" s="658">
        <f t="shared" si="95"/>
        <v>0</v>
      </c>
      <c r="GV371" s="658">
        <f t="shared" si="96"/>
        <v>0</v>
      </c>
      <c r="GW371" s="658" t="b">
        <f t="shared" si="97"/>
        <v>0</v>
      </c>
      <c r="GX371" s="658" t="b">
        <f t="shared" si="98"/>
        <v>0</v>
      </c>
      <c r="GY371" s="658" t="b">
        <f t="shared" si="99"/>
        <v>0</v>
      </c>
      <c r="GZ371" s="658" t="str">
        <f t="shared" si="173"/>
        <v/>
      </c>
      <c r="HB371" s="658" t="str">
        <f t="shared" si="101"/>
        <v/>
      </c>
      <c r="HC371" s="658" t="str">
        <f t="shared" si="261"/>
        <v/>
      </c>
      <c r="HD371" s="658" t="str">
        <f t="shared" si="262"/>
        <v/>
      </c>
      <c r="HE371" s="658" t="str">
        <f t="shared" si="263"/>
        <v/>
      </c>
      <c r="HF371" s="658" t="str">
        <f t="shared" si="264"/>
        <v/>
      </c>
      <c r="HG371" s="658" t="str">
        <f t="shared" si="265"/>
        <v/>
      </c>
      <c r="HH371" s="658" t="str">
        <f t="shared" si="266"/>
        <v/>
      </c>
      <c r="HI371" s="658" t="str">
        <f t="shared" si="267"/>
        <v/>
      </c>
      <c r="HJ371" s="658" t="str">
        <f t="shared" si="268"/>
        <v/>
      </c>
      <c r="HK371" s="658" t="str">
        <f t="shared" si="269"/>
        <v/>
      </c>
      <c r="HL371" s="658" t="str">
        <f t="shared" si="270"/>
        <v/>
      </c>
      <c r="HM371" s="658" t="str">
        <f t="shared" si="271"/>
        <v/>
      </c>
      <c r="HN371" s="658" t="str">
        <f t="shared" si="272"/>
        <v/>
      </c>
      <c r="HO371" s="658" t="str">
        <f t="shared" si="273"/>
        <v/>
      </c>
      <c r="HP371" s="658" t="str">
        <f t="shared" si="274"/>
        <v/>
      </c>
      <c r="HQ371" s="658" t="str">
        <f t="shared" si="275"/>
        <v/>
      </c>
      <c r="HR371" s="658" t="str">
        <f t="shared" si="102"/>
        <v/>
      </c>
      <c r="HT371" s="658">
        <f>LEFT(M371,1)*10000+MID(M371,3,LEN(M371)-3)*100+COUNTIF($M$319:M371,M371)</f>
        <v>30801</v>
      </c>
      <c r="HU371" s="658" t="str">
        <f t="shared" si="103"/>
        <v/>
      </c>
      <c r="HV371" s="658" t="str">
        <f t="shared" si="276"/>
        <v/>
      </c>
      <c r="HW371" s="658" t="str">
        <f t="shared" si="104"/>
        <v/>
      </c>
      <c r="HX371" s="658" t="str">
        <f t="shared" si="277"/>
        <v/>
      </c>
    </row>
    <row r="372" spans="1:232" s="19" customFormat="1" ht="50.1" customHeight="1" thickBot="1" x14ac:dyDescent="0.2">
      <c r="A372" s="1201"/>
      <c r="B372" s="1201"/>
      <c r="C372" s="1201"/>
      <c r="D372" s="1201"/>
      <c r="E372" s="1202"/>
      <c r="F372" s="652"/>
      <c r="G372" s="652"/>
      <c r="H372" s="652"/>
      <c r="I372" s="1354"/>
      <c r="J372" s="1234"/>
      <c r="K372" s="1261"/>
      <c r="L372" s="1261"/>
      <c r="M372" s="2150" t="s">
        <v>1149</v>
      </c>
      <c r="N372" s="2150"/>
      <c r="O372" s="2150"/>
      <c r="P372" s="2430"/>
      <c r="Q372" s="2430"/>
      <c r="R372" s="2430"/>
      <c r="S372" s="2430"/>
      <c r="T372" s="2430"/>
      <c r="U372" s="2435" t="s">
        <v>71</v>
      </c>
      <c r="V372" s="2435"/>
      <c r="W372" s="2435"/>
      <c r="X372" s="2435"/>
      <c r="Y372" s="2435"/>
      <c r="Z372" s="2435"/>
      <c r="AA372" s="2435"/>
      <c r="AB372" s="2435"/>
      <c r="AC372" s="2435"/>
      <c r="AD372" s="2435"/>
      <c r="AE372" s="2435"/>
      <c r="AF372" s="2282"/>
      <c r="AG372" s="2282"/>
      <c r="AH372" s="2282"/>
      <c r="AI372" s="2282"/>
      <c r="AJ372" s="2282"/>
      <c r="AK372" s="2282"/>
      <c r="AL372" s="2282"/>
      <c r="AM372" s="2282"/>
      <c r="AN372" s="2282"/>
      <c r="AO372" s="2282"/>
      <c r="AP372" s="2282"/>
      <c r="AQ372" s="2282"/>
      <c r="AR372" s="2151"/>
      <c r="AS372" s="2151"/>
      <c r="AT372" s="2292"/>
      <c r="AU372" s="2292"/>
      <c r="AV372" s="2292"/>
      <c r="AW372" s="2292"/>
      <c r="AX372" s="2292"/>
      <c r="AY372" s="2292"/>
      <c r="AZ372" s="2292"/>
      <c r="BA372" s="2292"/>
      <c r="BB372" s="2292"/>
      <c r="BC372" s="2292"/>
      <c r="BD372" s="2292"/>
      <c r="BE372" s="2292"/>
      <c r="BF372" s="2292"/>
      <c r="BG372" s="2292"/>
      <c r="BH372" s="2292"/>
      <c r="BI372" s="2292"/>
      <c r="BJ372" s="2292"/>
      <c r="BK372" s="2292"/>
      <c r="BL372" s="2292"/>
      <c r="BM372" s="2292"/>
      <c r="BN372" s="2292"/>
      <c r="BO372" s="2292"/>
      <c r="BP372" s="2292"/>
      <c r="BQ372" s="2292"/>
      <c r="BR372" s="2292"/>
      <c r="BS372" s="2269"/>
      <c r="BT372" s="2269"/>
      <c r="BU372" s="2269"/>
      <c r="BV372" s="2269"/>
      <c r="BW372" s="2269"/>
      <c r="BX372" s="2269"/>
      <c r="BY372" s="2269"/>
      <c r="BZ372" s="2151"/>
      <c r="CA372" s="2151"/>
      <c r="CB372" s="2317"/>
      <c r="CC372" s="2174"/>
      <c r="CD372" s="2174"/>
      <c r="CE372" s="2174"/>
      <c r="CF372" s="2174"/>
      <c r="CG372" s="2174"/>
      <c r="CH372" s="2174"/>
      <c r="CI372" s="2174"/>
      <c r="CJ372" s="2174"/>
      <c r="CK372" s="2174"/>
      <c r="CL372" s="2174"/>
      <c r="CM372" s="2174"/>
      <c r="CN372" s="2174"/>
      <c r="CO372" s="2174"/>
      <c r="CP372" s="2174"/>
      <c r="CQ372" s="2174"/>
      <c r="CR372" s="2174"/>
      <c r="CS372" s="2174"/>
      <c r="CT372" s="2174"/>
      <c r="CU372" s="2318"/>
      <c r="CV372" s="2300" t="str">
        <f t="shared" si="208"/>
        <v/>
      </c>
      <c r="CW372" s="2300"/>
      <c r="CX372" s="2300"/>
      <c r="CY372" s="2300"/>
      <c r="CZ372" s="2300"/>
      <c r="DA372" s="2300"/>
      <c r="DC372" s="329" t="str">
        <f t="shared" si="209"/>
        <v/>
      </c>
      <c r="DD372" s="197"/>
      <c r="DF372" s="14"/>
      <c r="DG372" s="14"/>
      <c r="DH372" s="14"/>
      <c r="DI372" s="1596"/>
      <c r="DJ372" s="1170" t="s">
        <v>2749</v>
      </c>
      <c r="DK372" s="1604" t="str">
        <f t="shared" si="210"/>
        <v/>
      </c>
      <c r="DL372" s="437" t="str">
        <f t="shared" si="211"/>
        <v/>
      </c>
      <c r="DM372" s="1129">
        <f t="shared" si="212"/>
        <v>0</v>
      </c>
      <c r="DN372" s="266">
        <f t="shared" si="213"/>
        <v>0</v>
      </c>
      <c r="DO372" s="266">
        <f t="shared" si="214"/>
        <v>0</v>
      </c>
      <c r="DP372" s="267">
        <f t="shared" si="215"/>
        <v>0</v>
      </c>
      <c r="DQ372" s="33" t="s">
        <v>293</v>
      </c>
      <c r="DR372" s="265" t="str">
        <f>IF($U372="",P371,U372)</f>
        <v>支持部分等の劣化及び損傷の状況</v>
      </c>
      <c r="DS372" s="125">
        <f t="shared" si="216"/>
        <v>0</v>
      </c>
      <c r="DT372" s="270" t="str">
        <f t="shared" si="217"/>
        <v/>
      </c>
      <c r="DU372" s="136" t="str">
        <f t="shared" si="218"/>
        <v/>
      </c>
      <c r="DV372" s="137" t="str">
        <f>IF($DT372="要是正",MAX($DV$360:DV371)+1,"")</f>
        <v/>
      </c>
      <c r="DW372" s="274" t="str">
        <f t="shared" si="219"/>
        <v/>
      </c>
      <c r="DX372" s="257" t="str">
        <f t="shared" si="220"/>
        <v/>
      </c>
      <c r="DY372" s="258" t="str">
        <f t="shared" si="221"/>
        <v/>
      </c>
      <c r="DZ372" s="259" t="str">
        <f t="shared" si="222"/>
        <v/>
      </c>
      <c r="EA372" s="256" t="str">
        <f t="shared" si="223"/>
        <v/>
      </c>
      <c r="EB372" s="255" t="str">
        <f t="shared" si="224"/>
        <v/>
      </c>
      <c r="EC372" s="250" t="str">
        <f t="shared" si="225"/>
        <v>0</v>
      </c>
      <c r="ED372" s="249" t="str">
        <f t="shared" si="226"/>
        <v/>
      </c>
      <c r="EE372" s="250" t="str">
        <f t="shared" si="278"/>
        <v>0</v>
      </c>
      <c r="EF372" s="251" t="str">
        <f t="shared" si="227"/>
        <v/>
      </c>
      <c r="EG372" s="108" t="str">
        <f t="shared" si="228"/>
        <v/>
      </c>
      <c r="EH372" s="41" t="str">
        <f t="shared" si="229"/>
        <v>0</v>
      </c>
      <c r="EI372" s="54" t="str">
        <f t="shared" si="230"/>
        <v/>
      </c>
      <c r="EJ372" s="131" t="str">
        <f t="shared" si="279"/>
        <v>0</v>
      </c>
      <c r="EK372" s="241" t="str">
        <f t="shared" si="231"/>
        <v/>
      </c>
      <c r="EL372" s="242" t="e">
        <f t="shared" si="280"/>
        <v>#N/A</v>
      </c>
      <c r="EM372" s="57" t="e">
        <f t="shared" si="232"/>
        <v>#N/A</v>
      </c>
      <c r="EN372" s="243" t="e">
        <f t="shared" si="233"/>
        <v>#N/A</v>
      </c>
      <c r="FK372" s="326" t="str">
        <f t="shared" si="234"/>
        <v/>
      </c>
      <c r="FL372" s="326" t="str">
        <f t="shared" si="235"/>
        <v/>
      </c>
      <c r="FM372" s="326" t="str">
        <f t="shared" si="236"/>
        <v/>
      </c>
      <c r="FN372" s="326">
        <f t="shared" si="237"/>
        <v>0</v>
      </c>
      <c r="FO372" s="670" t="str">
        <f t="shared" si="238"/>
        <v/>
      </c>
      <c r="FQ372" s="138" t="str">
        <f t="shared" si="239"/>
        <v/>
      </c>
      <c r="FR372" s="131" t="str">
        <f t="shared" si="240"/>
        <v>0</v>
      </c>
      <c r="FS372" s="54" t="str">
        <f t="shared" si="241"/>
        <v/>
      </c>
      <c r="FT372" s="131" t="str">
        <f t="shared" si="281"/>
        <v>0</v>
      </c>
      <c r="FU372" s="217" t="str">
        <f t="shared" si="242"/>
        <v/>
      </c>
      <c r="FW372" s="667">
        <f t="shared" si="196"/>
        <v>0</v>
      </c>
      <c r="FX372" s="32"/>
      <c r="FY372" s="32"/>
      <c r="FZ372" s="668"/>
      <c r="GA372" s="14"/>
      <c r="GB372" s="658">
        <f t="shared" si="243"/>
        <v>0</v>
      </c>
      <c r="GC372" s="658">
        <f t="shared" si="244"/>
        <v>0</v>
      </c>
      <c r="GD372" s="658">
        <f t="shared" si="245"/>
        <v>0</v>
      </c>
      <c r="GE372" s="658" t="str">
        <f t="shared" si="246"/>
        <v/>
      </c>
      <c r="GF372" s="658" t="str">
        <f t="shared" si="247"/>
        <v/>
      </c>
      <c r="GG372" s="658" t="str">
        <f t="shared" si="248"/>
        <v/>
      </c>
      <c r="GH372" s="658" t="str">
        <f t="shared" si="249"/>
        <v/>
      </c>
      <c r="GI372" s="658" t="str">
        <f t="shared" si="250"/>
        <v/>
      </c>
      <c r="GJ372" s="658" t="str">
        <f t="shared" si="251"/>
        <v/>
      </c>
      <c r="GK372" s="658" t="str">
        <f t="shared" si="252"/>
        <v/>
      </c>
      <c r="GL372" s="658" t="str">
        <f t="shared" si="253"/>
        <v/>
      </c>
      <c r="GM372" s="658" t="str">
        <f t="shared" si="254"/>
        <v/>
      </c>
      <c r="GN372" s="658" t="str">
        <f t="shared" si="255"/>
        <v/>
      </c>
      <c r="GO372" s="658" t="str">
        <f t="shared" si="256"/>
        <v/>
      </c>
      <c r="GP372" s="658" t="str">
        <f t="shared" si="257"/>
        <v/>
      </c>
      <c r="GQ372" s="658" t="str">
        <f t="shared" si="258"/>
        <v/>
      </c>
      <c r="GR372" s="658" t="str">
        <f t="shared" si="259"/>
        <v/>
      </c>
      <c r="GS372" s="658" t="str">
        <f t="shared" si="260"/>
        <v/>
      </c>
      <c r="GT372" s="658">
        <f t="shared" si="94"/>
        <v>0</v>
      </c>
      <c r="GU372" s="658">
        <f t="shared" si="95"/>
        <v>0</v>
      </c>
      <c r="GV372" s="658">
        <f t="shared" si="96"/>
        <v>0</v>
      </c>
      <c r="GW372" s="658" t="b">
        <f t="shared" si="97"/>
        <v>0</v>
      </c>
      <c r="GX372" s="658" t="b">
        <f t="shared" si="98"/>
        <v>0</v>
      </c>
      <c r="GY372" s="658" t="b">
        <f t="shared" si="99"/>
        <v>0</v>
      </c>
      <c r="GZ372" s="658" t="str">
        <f t="shared" si="173"/>
        <v/>
      </c>
      <c r="HB372" s="658" t="str">
        <f t="shared" si="101"/>
        <v/>
      </c>
      <c r="HC372" s="658" t="str">
        <f t="shared" si="261"/>
        <v/>
      </c>
      <c r="HD372" s="658" t="str">
        <f t="shared" si="262"/>
        <v/>
      </c>
      <c r="HE372" s="658" t="str">
        <f t="shared" si="263"/>
        <v/>
      </c>
      <c r="HF372" s="658" t="str">
        <f t="shared" si="264"/>
        <v/>
      </c>
      <c r="HG372" s="658" t="str">
        <f t="shared" si="265"/>
        <v/>
      </c>
      <c r="HH372" s="658" t="str">
        <f t="shared" si="266"/>
        <v/>
      </c>
      <c r="HI372" s="658" t="str">
        <f t="shared" si="267"/>
        <v/>
      </c>
      <c r="HJ372" s="658" t="str">
        <f t="shared" si="268"/>
        <v/>
      </c>
      <c r="HK372" s="658" t="str">
        <f t="shared" si="269"/>
        <v/>
      </c>
      <c r="HL372" s="658" t="str">
        <f t="shared" si="270"/>
        <v/>
      </c>
      <c r="HM372" s="658" t="str">
        <f t="shared" si="271"/>
        <v/>
      </c>
      <c r="HN372" s="658" t="str">
        <f t="shared" si="272"/>
        <v/>
      </c>
      <c r="HO372" s="658" t="str">
        <f t="shared" si="273"/>
        <v/>
      </c>
      <c r="HP372" s="658" t="str">
        <f t="shared" si="274"/>
        <v/>
      </c>
      <c r="HQ372" s="658" t="str">
        <f t="shared" si="275"/>
        <v/>
      </c>
      <c r="HR372" s="658" t="str">
        <f t="shared" si="102"/>
        <v/>
      </c>
      <c r="HT372" s="658">
        <f>LEFT(M372,1)*10000+MID(M372,3,LEN(M372)-3)*100+COUNTIF($M$319:M372,M372)</f>
        <v>30901</v>
      </c>
      <c r="HU372" s="658" t="str">
        <f t="shared" si="103"/>
        <v/>
      </c>
      <c r="HV372" s="658" t="str">
        <f t="shared" si="276"/>
        <v/>
      </c>
      <c r="HW372" s="658" t="str">
        <f t="shared" si="104"/>
        <v/>
      </c>
      <c r="HX372" s="658" t="str">
        <f t="shared" si="277"/>
        <v/>
      </c>
    </row>
    <row r="373" spans="1:232" s="19" customFormat="1" ht="50.1" hidden="1" customHeight="1" thickBot="1" x14ac:dyDescent="0.2">
      <c r="A373" s="1201"/>
      <c r="B373" s="1201"/>
      <c r="C373" s="1201"/>
      <c r="D373" s="1201"/>
      <c r="E373" s="1202"/>
      <c r="F373" s="652"/>
      <c r="G373" s="652"/>
      <c r="H373" s="652"/>
      <c r="I373" s="1354"/>
      <c r="J373" s="1234"/>
      <c r="K373" s="1261"/>
      <c r="L373" s="1261"/>
      <c r="M373" s="2425" t="s">
        <v>1724</v>
      </c>
      <c r="N373" s="2425"/>
      <c r="O373" s="2425"/>
      <c r="P373" s="2430"/>
      <c r="Q373" s="2430"/>
      <c r="R373" s="2430"/>
      <c r="S373" s="2430"/>
      <c r="T373" s="2430"/>
      <c r="U373" s="2435"/>
      <c r="V373" s="2435"/>
      <c r="W373" s="2435"/>
      <c r="X373" s="2435"/>
      <c r="Y373" s="2435"/>
      <c r="Z373" s="2435"/>
      <c r="AA373" s="2435"/>
      <c r="AB373" s="2435"/>
      <c r="AC373" s="2435"/>
      <c r="AD373" s="2435"/>
      <c r="AE373" s="2435"/>
      <c r="AF373" s="2434"/>
      <c r="AG373" s="2434"/>
      <c r="AH373" s="2434"/>
      <c r="AI373" s="2434"/>
      <c r="AJ373" s="2434"/>
      <c r="AK373" s="2434"/>
      <c r="AL373" s="2434"/>
      <c r="AM373" s="2434"/>
      <c r="AN373" s="2434"/>
      <c r="AO373" s="2434"/>
      <c r="AP373" s="2434"/>
      <c r="AQ373" s="2434"/>
      <c r="AR373" s="2307"/>
      <c r="AS373" s="2307"/>
      <c r="AT373" s="2410"/>
      <c r="AU373" s="2410"/>
      <c r="AV373" s="2410"/>
      <c r="AW373" s="2410"/>
      <c r="AX373" s="2410"/>
      <c r="AY373" s="2410"/>
      <c r="AZ373" s="2410"/>
      <c r="BA373" s="2410"/>
      <c r="BB373" s="2410"/>
      <c r="BC373" s="2410"/>
      <c r="BD373" s="2410"/>
      <c r="BE373" s="2410"/>
      <c r="BF373" s="2410"/>
      <c r="BG373" s="2410"/>
      <c r="BH373" s="2410"/>
      <c r="BI373" s="2410"/>
      <c r="BJ373" s="2410"/>
      <c r="BK373" s="2410"/>
      <c r="BL373" s="2410"/>
      <c r="BM373" s="2410"/>
      <c r="BN373" s="2410"/>
      <c r="BO373" s="2410"/>
      <c r="BP373" s="2410"/>
      <c r="BQ373" s="2410"/>
      <c r="BR373" s="2410"/>
      <c r="BS373" s="2296"/>
      <c r="BT373" s="2296"/>
      <c r="BU373" s="2296"/>
      <c r="BV373" s="2296"/>
      <c r="BW373" s="2296"/>
      <c r="BX373" s="2296"/>
      <c r="BY373" s="2296"/>
      <c r="BZ373" s="2307"/>
      <c r="CA373" s="2307"/>
      <c r="CB373" s="2317"/>
      <c r="CC373" s="2174"/>
      <c r="CD373" s="2174"/>
      <c r="CE373" s="2174"/>
      <c r="CF373" s="2174"/>
      <c r="CG373" s="2174"/>
      <c r="CH373" s="2174"/>
      <c r="CI373" s="2174"/>
      <c r="CJ373" s="2174"/>
      <c r="CK373" s="2174"/>
      <c r="CL373" s="2174"/>
      <c r="CM373" s="2174"/>
      <c r="CN373" s="2174"/>
      <c r="CO373" s="2174"/>
      <c r="CP373" s="2174"/>
      <c r="CQ373" s="2174"/>
      <c r="CR373" s="2174"/>
      <c r="CS373" s="2174"/>
      <c r="CT373" s="2174"/>
      <c r="CU373" s="2318"/>
      <c r="CV373" s="2300" t="str">
        <f t="shared" ref="CV373:CV377" si="282">IF(AND(DT373="要是正",DU373&lt;21),HYPERLINK("#"&amp;EL373&amp;"!"&amp;EM373&amp;":"&amp;EN373&amp;"","関連写真添付"),"")</f>
        <v/>
      </c>
      <c r="CW373" s="2300"/>
      <c r="CX373" s="2300"/>
      <c r="CY373" s="2300"/>
      <c r="CZ373" s="2300"/>
      <c r="DA373" s="2300"/>
      <c r="DC373" s="329" t="str">
        <f t="shared" ref="DC373:DC377" si="283">IF(AND(DU373&lt;&gt;"",DU373&gt;20),"「別途様式を作成、提出してください。」","")</f>
        <v/>
      </c>
      <c r="DD373" s="197"/>
      <c r="DF373" s="14"/>
      <c r="DG373" s="14"/>
      <c r="DH373" s="14"/>
      <c r="DI373" s="1596"/>
      <c r="DJ373" s="1170" t="s">
        <v>2749</v>
      </c>
      <c r="DK373" s="1604" t="str">
        <f t="shared" si="210"/>
        <v/>
      </c>
      <c r="DL373" s="437" t="str">
        <f t="shared" si="211"/>
        <v/>
      </c>
      <c r="DM373" s="1129">
        <f t="shared" si="212"/>
        <v>0</v>
      </c>
      <c r="DN373" s="266">
        <f t="shared" si="213"/>
        <v>0</v>
      </c>
      <c r="DO373" s="266">
        <f t="shared" si="214"/>
        <v>0</v>
      </c>
      <c r="DP373" s="267">
        <f t="shared" si="215"/>
        <v>0</v>
      </c>
      <c r="DQ373" s="33" t="s">
        <v>1747</v>
      </c>
      <c r="DR373" s="265">
        <f>IF($U373="",R373,U373)</f>
        <v>0</v>
      </c>
      <c r="DS373" s="125">
        <f t="shared" si="216"/>
        <v>0</v>
      </c>
      <c r="DT373" s="270" t="str">
        <f t="shared" si="217"/>
        <v/>
      </c>
      <c r="DU373" s="136" t="str">
        <f t="shared" si="218"/>
        <v/>
      </c>
      <c r="DV373" s="137" t="str">
        <f>IF($DT373="要是正",MAX($DV$360:DV372)+1,"")</f>
        <v/>
      </c>
      <c r="DW373" s="274" t="str">
        <f t="shared" si="219"/>
        <v/>
      </c>
      <c r="DX373" s="257" t="str">
        <f t="shared" si="220"/>
        <v/>
      </c>
      <c r="DY373" s="258" t="str">
        <f t="shared" si="221"/>
        <v/>
      </c>
      <c r="DZ373" s="259" t="str">
        <f t="shared" si="222"/>
        <v/>
      </c>
      <c r="EA373" s="256" t="str">
        <f t="shared" si="223"/>
        <v/>
      </c>
      <c r="EB373" s="255" t="str">
        <f t="shared" si="224"/>
        <v/>
      </c>
      <c r="EC373" s="250" t="str">
        <f t="shared" si="225"/>
        <v>0</v>
      </c>
      <c r="ED373" s="249" t="str">
        <f t="shared" si="226"/>
        <v/>
      </c>
      <c r="EE373" s="250" t="str">
        <f t="shared" ref="EE373:EE377" si="284">IF(ED373=1,EC373,"0")</f>
        <v>0</v>
      </c>
      <c r="EF373" s="251" t="str">
        <f t="shared" si="227"/>
        <v/>
      </c>
      <c r="EG373" s="108" t="str">
        <f t="shared" si="228"/>
        <v/>
      </c>
      <c r="EH373" s="41" t="str">
        <f t="shared" si="229"/>
        <v>0</v>
      </c>
      <c r="EI373" s="54" t="str">
        <f t="shared" si="230"/>
        <v/>
      </c>
      <c r="EJ373" s="131" t="str">
        <f t="shared" ref="EJ373:EJ377" si="285">IF(EI373=1,EH373,"0")</f>
        <v>0</v>
      </c>
      <c r="EK373" s="241" t="str">
        <f t="shared" si="231"/>
        <v/>
      </c>
      <c r="EL373" s="242" t="e">
        <f t="shared" ref="EL373:EL377" si="286">VLOOKUP($DU373,$EO$318:$ER$346,2,FALSE)</f>
        <v>#N/A</v>
      </c>
      <c r="EM373" s="57" t="e">
        <f t="shared" ref="EM373:EM377" si="287">VLOOKUP($DU373,$EO$318:$ER$346,3,FALSE)</f>
        <v>#N/A</v>
      </c>
      <c r="EN373" s="243" t="e">
        <f t="shared" ref="EN373:EN377" si="288">VLOOKUP($DU373,$EO$318:$ER$346,4,FALSE)</f>
        <v>#N/A</v>
      </c>
      <c r="FK373" s="326" t="str">
        <f t="shared" si="234"/>
        <v/>
      </c>
      <c r="FL373" s="326" t="str">
        <f t="shared" si="235"/>
        <v/>
      </c>
      <c r="FM373" s="326" t="str">
        <f t="shared" si="236"/>
        <v/>
      </c>
      <c r="FN373" s="326">
        <f t="shared" si="237"/>
        <v>0</v>
      </c>
      <c r="FO373" s="670" t="str">
        <f t="shared" si="238"/>
        <v/>
      </c>
      <c r="FQ373" s="138" t="str">
        <f t="shared" si="239"/>
        <v/>
      </c>
      <c r="FR373" s="131" t="str">
        <f t="shared" si="240"/>
        <v>0</v>
      </c>
      <c r="FS373" s="54" t="str">
        <f t="shared" si="241"/>
        <v/>
      </c>
      <c r="FT373" s="131" t="str">
        <f t="shared" ref="FT373:FT377" si="289">IF(FS373=1,FR373,"0")</f>
        <v>0</v>
      </c>
      <c r="FU373" s="217" t="str">
        <f t="shared" si="242"/>
        <v/>
      </c>
      <c r="FW373" s="667">
        <f t="shared" si="196"/>
        <v>0</v>
      </c>
      <c r="FX373" s="32"/>
      <c r="FY373" s="32"/>
      <c r="FZ373" s="668"/>
      <c r="GA373" s="14"/>
      <c r="GB373" s="32">
        <f t="shared" si="243"/>
        <v>0</v>
      </c>
      <c r="GC373" s="32">
        <f t="shared" si="244"/>
        <v>0</v>
      </c>
      <c r="GD373" s="19">
        <f t="shared" si="245"/>
        <v>0</v>
      </c>
      <c r="GE373" s="658" t="str">
        <f t="shared" si="246"/>
        <v/>
      </c>
      <c r="GF373" s="658" t="str">
        <f t="shared" si="247"/>
        <v/>
      </c>
      <c r="GG373" s="658" t="str">
        <f t="shared" si="248"/>
        <v/>
      </c>
      <c r="GH373" s="658" t="str">
        <f t="shared" si="249"/>
        <v/>
      </c>
      <c r="GI373" s="658" t="str">
        <f t="shared" si="250"/>
        <v/>
      </c>
      <c r="GJ373" s="658" t="str">
        <f t="shared" si="251"/>
        <v/>
      </c>
      <c r="GK373" s="658" t="str">
        <f t="shared" si="252"/>
        <v/>
      </c>
      <c r="GL373" s="658" t="str">
        <f t="shared" si="253"/>
        <v/>
      </c>
      <c r="GM373" s="658" t="str">
        <f t="shared" si="254"/>
        <v/>
      </c>
      <c r="GN373" s="658" t="str">
        <f t="shared" si="255"/>
        <v/>
      </c>
      <c r="GO373" s="658" t="str">
        <f t="shared" si="256"/>
        <v/>
      </c>
      <c r="GP373" s="658" t="str">
        <f t="shared" si="257"/>
        <v/>
      </c>
      <c r="GQ373" s="658" t="str">
        <f t="shared" si="258"/>
        <v/>
      </c>
      <c r="GR373" s="658" t="str">
        <f t="shared" si="259"/>
        <v/>
      </c>
      <c r="GS373" s="658" t="str">
        <f t="shared" si="260"/>
        <v/>
      </c>
      <c r="GT373" s="658">
        <f t="shared" si="94"/>
        <v>0</v>
      </c>
      <c r="GU373" s="658">
        <f t="shared" si="95"/>
        <v>0</v>
      </c>
      <c r="GV373" s="658">
        <f t="shared" si="96"/>
        <v>0</v>
      </c>
      <c r="GW373" s="658" t="b">
        <f t="shared" si="97"/>
        <v>0</v>
      </c>
      <c r="GX373" s="658" t="b">
        <f t="shared" si="98"/>
        <v>0</v>
      </c>
      <c r="GY373" s="658" t="b">
        <f t="shared" si="99"/>
        <v>0</v>
      </c>
      <c r="GZ373" s="658" t="str">
        <f t="shared" si="173"/>
        <v/>
      </c>
      <c r="HB373" s="658" t="str">
        <f t="shared" si="101"/>
        <v/>
      </c>
      <c r="HC373" s="658" t="str">
        <f t="shared" si="261"/>
        <v/>
      </c>
      <c r="HD373" s="658" t="str">
        <f t="shared" si="262"/>
        <v/>
      </c>
      <c r="HE373" s="658" t="str">
        <f t="shared" si="263"/>
        <v/>
      </c>
      <c r="HF373" s="658" t="str">
        <f t="shared" si="264"/>
        <v/>
      </c>
      <c r="HG373" s="658" t="str">
        <f t="shared" si="265"/>
        <v/>
      </c>
      <c r="HH373" s="658" t="str">
        <f t="shared" si="266"/>
        <v/>
      </c>
      <c r="HI373" s="658" t="str">
        <f t="shared" si="267"/>
        <v/>
      </c>
      <c r="HJ373" s="658" t="str">
        <f t="shared" si="268"/>
        <v/>
      </c>
      <c r="HK373" s="658" t="str">
        <f t="shared" si="269"/>
        <v/>
      </c>
      <c r="HL373" s="658" t="str">
        <f t="shared" si="270"/>
        <v/>
      </c>
      <c r="HM373" s="658" t="str">
        <f t="shared" si="271"/>
        <v/>
      </c>
      <c r="HN373" s="658" t="str">
        <f t="shared" si="272"/>
        <v/>
      </c>
      <c r="HO373" s="658" t="str">
        <f t="shared" si="273"/>
        <v/>
      </c>
      <c r="HP373" s="658" t="str">
        <f t="shared" si="274"/>
        <v/>
      </c>
      <c r="HQ373" s="658" t="str">
        <f t="shared" si="275"/>
        <v/>
      </c>
      <c r="HR373" s="658" t="str">
        <f t="shared" si="102"/>
        <v/>
      </c>
      <c r="HT373" s="658">
        <f>LEFT(M373,1)*10000+MID(M373,3,LEN(M373)-3)*100+COUNTIF($M$319:M373,M373)</f>
        <v>31001</v>
      </c>
      <c r="HU373" s="658" t="str">
        <f t="shared" si="103"/>
        <v/>
      </c>
      <c r="HV373" s="658" t="str">
        <f t="shared" si="276"/>
        <v/>
      </c>
      <c r="HW373" s="658" t="str">
        <f t="shared" si="104"/>
        <v/>
      </c>
      <c r="HX373" s="658" t="str">
        <f t="shared" si="277"/>
        <v/>
      </c>
    </row>
    <row r="374" spans="1:232" s="19" customFormat="1" ht="50.1" hidden="1" customHeight="1" thickBot="1" x14ac:dyDescent="0.2">
      <c r="A374" s="1201"/>
      <c r="B374" s="1201"/>
      <c r="C374" s="1201"/>
      <c r="D374" s="1201"/>
      <c r="E374" s="1202"/>
      <c r="F374" s="652"/>
      <c r="G374" s="652"/>
      <c r="H374" s="652"/>
      <c r="I374" s="1354"/>
      <c r="J374" s="1234"/>
      <c r="K374" s="1261"/>
      <c r="L374" s="1261"/>
      <c r="M374" s="2425" t="s">
        <v>1725</v>
      </c>
      <c r="N374" s="2425"/>
      <c r="O374" s="2425"/>
      <c r="P374" s="2430"/>
      <c r="Q374" s="2430"/>
      <c r="R374" s="2430"/>
      <c r="S374" s="2430"/>
      <c r="T374" s="2430"/>
      <c r="U374" s="2435"/>
      <c r="V374" s="2435"/>
      <c r="W374" s="2435"/>
      <c r="X374" s="2435"/>
      <c r="Y374" s="2435"/>
      <c r="Z374" s="2435"/>
      <c r="AA374" s="2435"/>
      <c r="AB374" s="2435"/>
      <c r="AC374" s="2435"/>
      <c r="AD374" s="2435"/>
      <c r="AE374" s="2435"/>
      <c r="AF374" s="2434"/>
      <c r="AG374" s="2434"/>
      <c r="AH374" s="2434"/>
      <c r="AI374" s="2434"/>
      <c r="AJ374" s="2434"/>
      <c r="AK374" s="2434"/>
      <c r="AL374" s="2434"/>
      <c r="AM374" s="2434"/>
      <c r="AN374" s="2434"/>
      <c r="AO374" s="2434"/>
      <c r="AP374" s="2434"/>
      <c r="AQ374" s="2434"/>
      <c r="AR374" s="2307"/>
      <c r="AS374" s="2307"/>
      <c r="AT374" s="2410"/>
      <c r="AU374" s="2410"/>
      <c r="AV374" s="2410"/>
      <c r="AW374" s="2410"/>
      <c r="AX374" s="2410"/>
      <c r="AY374" s="2410"/>
      <c r="AZ374" s="2410"/>
      <c r="BA374" s="2410"/>
      <c r="BB374" s="2410"/>
      <c r="BC374" s="2410"/>
      <c r="BD374" s="2410"/>
      <c r="BE374" s="2410"/>
      <c r="BF374" s="2410"/>
      <c r="BG374" s="2410"/>
      <c r="BH374" s="2410"/>
      <c r="BI374" s="2410"/>
      <c r="BJ374" s="2410"/>
      <c r="BK374" s="2410"/>
      <c r="BL374" s="2410"/>
      <c r="BM374" s="2410"/>
      <c r="BN374" s="2410"/>
      <c r="BO374" s="2410"/>
      <c r="BP374" s="2410"/>
      <c r="BQ374" s="2410"/>
      <c r="BR374" s="2410"/>
      <c r="BS374" s="2296"/>
      <c r="BT374" s="2296"/>
      <c r="BU374" s="2296"/>
      <c r="BV374" s="2296"/>
      <c r="BW374" s="2296"/>
      <c r="BX374" s="2296"/>
      <c r="BY374" s="2296"/>
      <c r="BZ374" s="2307"/>
      <c r="CA374" s="2307"/>
      <c r="CB374" s="2317"/>
      <c r="CC374" s="2174"/>
      <c r="CD374" s="2174"/>
      <c r="CE374" s="2174"/>
      <c r="CF374" s="2174"/>
      <c r="CG374" s="2174"/>
      <c r="CH374" s="2174"/>
      <c r="CI374" s="2174"/>
      <c r="CJ374" s="2174"/>
      <c r="CK374" s="2174"/>
      <c r="CL374" s="2174"/>
      <c r="CM374" s="2174"/>
      <c r="CN374" s="2174"/>
      <c r="CO374" s="2174"/>
      <c r="CP374" s="2174"/>
      <c r="CQ374" s="2174"/>
      <c r="CR374" s="2174"/>
      <c r="CS374" s="2174"/>
      <c r="CT374" s="2174"/>
      <c r="CU374" s="2318"/>
      <c r="CV374" s="2300" t="str">
        <f t="shared" si="282"/>
        <v/>
      </c>
      <c r="CW374" s="2300"/>
      <c r="CX374" s="2300"/>
      <c r="CY374" s="2300"/>
      <c r="CZ374" s="2300"/>
      <c r="DA374" s="2300"/>
      <c r="DC374" s="329" t="str">
        <f t="shared" si="283"/>
        <v/>
      </c>
      <c r="DD374" s="197"/>
      <c r="DF374" s="14"/>
      <c r="DG374" s="14"/>
      <c r="DH374" s="14"/>
      <c r="DI374" s="1596"/>
      <c r="DJ374" s="1170" t="s">
        <v>2749</v>
      </c>
      <c r="DK374" s="1604" t="str">
        <f t="shared" si="210"/>
        <v/>
      </c>
      <c r="DL374" s="437" t="str">
        <f t="shared" si="211"/>
        <v/>
      </c>
      <c r="DM374" s="1129">
        <f t="shared" si="212"/>
        <v>0</v>
      </c>
      <c r="DN374" s="266">
        <f t="shared" si="213"/>
        <v>0</v>
      </c>
      <c r="DO374" s="266">
        <f t="shared" si="214"/>
        <v>0</v>
      </c>
      <c r="DP374" s="267">
        <f t="shared" si="215"/>
        <v>0</v>
      </c>
      <c r="DQ374" s="33" t="s">
        <v>1748</v>
      </c>
      <c r="DR374" s="265">
        <f>IF($U374="",R374,U374)</f>
        <v>0</v>
      </c>
      <c r="DS374" s="125">
        <f t="shared" si="216"/>
        <v>0</v>
      </c>
      <c r="DT374" s="270" t="str">
        <f t="shared" si="217"/>
        <v/>
      </c>
      <c r="DU374" s="136" t="str">
        <f t="shared" si="218"/>
        <v/>
      </c>
      <c r="DV374" s="137" t="str">
        <f>IF($DT374="要是正",MAX($DV$360:DV373)+1,"")</f>
        <v/>
      </c>
      <c r="DW374" s="274" t="str">
        <f t="shared" si="219"/>
        <v/>
      </c>
      <c r="DX374" s="257" t="str">
        <f t="shared" si="220"/>
        <v/>
      </c>
      <c r="DY374" s="258" t="str">
        <f t="shared" si="221"/>
        <v/>
      </c>
      <c r="DZ374" s="259" t="str">
        <f t="shared" si="222"/>
        <v/>
      </c>
      <c r="EA374" s="256" t="str">
        <f t="shared" si="223"/>
        <v/>
      </c>
      <c r="EB374" s="255" t="str">
        <f t="shared" si="224"/>
        <v/>
      </c>
      <c r="EC374" s="250" t="str">
        <f t="shared" si="225"/>
        <v>0</v>
      </c>
      <c r="ED374" s="249" t="str">
        <f t="shared" si="226"/>
        <v/>
      </c>
      <c r="EE374" s="250" t="str">
        <f t="shared" si="284"/>
        <v>0</v>
      </c>
      <c r="EF374" s="251" t="str">
        <f t="shared" si="227"/>
        <v/>
      </c>
      <c r="EG374" s="108" t="str">
        <f t="shared" si="228"/>
        <v/>
      </c>
      <c r="EH374" s="41" t="str">
        <f t="shared" si="229"/>
        <v>0</v>
      </c>
      <c r="EI374" s="54" t="str">
        <f t="shared" si="230"/>
        <v/>
      </c>
      <c r="EJ374" s="131" t="str">
        <f t="shared" si="285"/>
        <v>0</v>
      </c>
      <c r="EK374" s="241" t="str">
        <f t="shared" si="231"/>
        <v/>
      </c>
      <c r="EL374" s="242" t="e">
        <f t="shared" si="286"/>
        <v>#N/A</v>
      </c>
      <c r="EM374" s="57" t="e">
        <f t="shared" si="287"/>
        <v>#N/A</v>
      </c>
      <c r="EN374" s="243" t="e">
        <f t="shared" si="288"/>
        <v>#N/A</v>
      </c>
      <c r="FK374" s="326" t="str">
        <f t="shared" si="234"/>
        <v/>
      </c>
      <c r="FL374" s="326" t="str">
        <f t="shared" si="235"/>
        <v/>
      </c>
      <c r="FM374" s="326" t="str">
        <f t="shared" si="236"/>
        <v/>
      </c>
      <c r="FN374" s="326">
        <f t="shared" si="237"/>
        <v>0</v>
      </c>
      <c r="FO374" s="670" t="str">
        <f t="shared" si="238"/>
        <v/>
      </c>
      <c r="FQ374" s="138" t="str">
        <f t="shared" si="239"/>
        <v/>
      </c>
      <c r="FR374" s="131" t="str">
        <f t="shared" si="240"/>
        <v>0</v>
      </c>
      <c r="FS374" s="54" t="str">
        <f t="shared" si="241"/>
        <v/>
      </c>
      <c r="FT374" s="131" t="str">
        <f t="shared" si="289"/>
        <v>0</v>
      </c>
      <c r="FU374" s="217" t="str">
        <f t="shared" si="242"/>
        <v/>
      </c>
      <c r="FW374" s="667">
        <f t="shared" si="196"/>
        <v>0</v>
      </c>
      <c r="FX374" s="32"/>
      <c r="FY374" s="32"/>
      <c r="FZ374" s="668"/>
      <c r="GA374" s="14"/>
      <c r="GB374" s="32">
        <f t="shared" si="243"/>
        <v>0</v>
      </c>
      <c r="GC374" s="32">
        <f t="shared" si="244"/>
        <v>0</v>
      </c>
      <c r="GD374" s="19">
        <f t="shared" si="245"/>
        <v>0</v>
      </c>
      <c r="GE374" s="658" t="str">
        <f t="shared" si="246"/>
        <v/>
      </c>
      <c r="GF374" s="658" t="str">
        <f t="shared" si="247"/>
        <v/>
      </c>
      <c r="GG374" s="658" t="str">
        <f t="shared" si="248"/>
        <v/>
      </c>
      <c r="GH374" s="658" t="str">
        <f t="shared" si="249"/>
        <v/>
      </c>
      <c r="GI374" s="658" t="str">
        <f t="shared" si="250"/>
        <v/>
      </c>
      <c r="GJ374" s="658" t="str">
        <f t="shared" si="251"/>
        <v/>
      </c>
      <c r="GK374" s="658" t="str">
        <f t="shared" si="252"/>
        <v/>
      </c>
      <c r="GL374" s="658" t="str">
        <f t="shared" si="253"/>
        <v/>
      </c>
      <c r="GM374" s="658" t="str">
        <f t="shared" si="254"/>
        <v/>
      </c>
      <c r="GN374" s="658" t="str">
        <f t="shared" si="255"/>
        <v/>
      </c>
      <c r="GO374" s="658" t="str">
        <f t="shared" si="256"/>
        <v/>
      </c>
      <c r="GP374" s="658" t="str">
        <f t="shared" si="257"/>
        <v/>
      </c>
      <c r="GQ374" s="658" t="str">
        <f t="shared" si="258"/>
        <v/>
      </c>
      <c r="GR374" s="658" t="str">
        <f t="shared" si="259"/>
        <v/>
      </c>
      <c r="GS374" s="658" t="str">
        <f t="shared" si="260"/>
        <v/>
      </c>
      <c r="GT374" s="658">
        <f t="shared" si="94"/>
        <v>0</v>
      </c>
      <c r="GU374" s="658">
        <f t="shared" si="95"/>
        <v>0</v>
      </c>
      <c r="GV374" s="658">
        <f t="shared" si="96"/>
        <v>0</v>
      </c>
      <c r="GW374" s="658" t="b">
        <f t="shared" si="97"/>
        <v>0</v>
      </c>
      <c r="GX374" s="658" t="b">
        <f t="shared" si="98"/>
        <v>0</v>
      </c>
      <c r="GY374" s="658" t="b">
        <f t="shared" si="99"/>
        <v>0</v>
      </c>
      <c r="GZ374" s="658" t="str">
        <f t="shared" si="173"/>
        <v/>
      </c>
      <c r="HB374" s="658" t="str">
        <f t="shared" si="101"/>
        <v/>
      </c>
      <c r="HC374" s="658" t="str">
        <f t="shared" si="261"/>
        <v/>
      </c>
      <c r="HD374" s="658" t="str">
        <f t="shared" si="262"/>
        <v/>
      </c>
      <c r="HE374" s="658" t="str">
        <f t="shared" si="263"/>
        <v/>
      </c>
      <c r="HF374" s="658" t="str">
        <f t="shared" si="264"/>
        <v/>
      </c>
      <c r="HG374" s="658" t="str">
        <f t="shared" si="265"/>
        <v/>
      </c>
      <c r="HH374" s="658" t="str">
        <f t="shared" si="266"/>
        <v/>
      </c>
      <c r="HI374" s="658" t="str">
        <f t="shared" si="267"/>
        <v/>
      </c>
      <c r="HJ374" s="658" t="str">
        <f t="shared" si="268"/>
        <v/>
      </c>
      <c r="HK374" s="658" t="str">
        <f t="shared" si="269"/>
        <v/>
      </c>
      <c r="HL374" s="658" t="str">
        <f t="shared" si="270"/>
        <v/>
      </c>
      <c r="HM374" s="658" t="str">
        <f t="shared" si="271"/>
        <v/>
      </c>
      <c r="HN374" s="658" t="str">
        <f t="shared" si="272"/>
        <v/>
      </c>
      <c r="HO374" s="658" t="str">
        <f t="shared" si="273"/>
        <v/>
      </c>
      <c r="HP374" s="658" t="str">
        <f t="shared" si="274"/>
        <v/>
      </c>
      <c r="HQ374" s="658" t="str">
        <f t="shared" si="275"/>
        <v/>
      </c>
      <c r="HR374" s="658" t="str">
        <f t="shared" si="102"/>
        <v/>
      </c>
      <c r="HT374" s="658">
        <f>LEFT(M374,1)*10000+MID(M374,3,LEN(M374)-3)*100+COUNTIF($M$319:M374,M374)</f>
        <v>31101</v>
      </c>
      <c r="HU374" s="658" t="str">
        <f t="shared" si="103"/>
        <v/>
      </c>
      <c r="HV374" s="658" t="str">
        <f t="shared" si="276"/>
        <v/>
      </c>
      <c r="HW374" s="658" t="str">
        <f t="shared" si="104"/>
        <v/>
      </c>
      <c r="HX374" s="658" t="str">
        <f t="shared" si="277"/>
        <v/>
      </c>
    </row>
    <row r="375" spans="1:232" s="19" customFormat="1" ht="50.1" hidden="1" customHeight="1" thickBot="1" x14ac:dyDescent="0.2">
      <c r="A375" s="1201"/>
      <c r="B375" s="1201"/>
      <c r="C375" s="1201"/>
      <c r="D375" s="1201"/>
      <c r="E375" s="1202"/>
      <c r="F375" s="652"/>
      <c r="G375" s="652"/>
      <c r="H375" s="652"/>
      <c r="I375" s="1354"/>
      <c r="J375" s="1234"/>
      <c r="K375" s="1261"/>
      <c r="L375" s="1261"/>
      <c r="M375" s="2425" t="s">
        <v>1726</v>
      </c>
      <c r="N375" s="2425"/>
      <c r="O375" s="2425"/>
      <c r="P375" s="2430"/>
      <c r="Q375" s="2430"/>
      <c r="R375" s="2430"/>
      <c r="S375" s="2430"/>
      <c r="T375" s="2430"/>
      <c r="U375" s="2435"/>
      <c r="V375" s="2435"/>
      <c r="W375" s="2435"/>
      <c r="X375" s="2435"/>
      <c r="Y375" s="2435"/>
      <c r="Z375" s="2435"/>
      <c r="AA375" s="2435"/>
      <c r="AB375" s="2435"/>
      <c r="AC375" s="2435"/>
      <c r="AD375" s="2435"/>
      <c r="AE375" s="2435"/>
      <c r="AF375" s="2434"/>
      <c r="AG375" s="2434"/>
      <c r="AH375" s="2434"/>
      <c r="AI375" s="2434"/>
      <c r="AJ375" s="2434"/>
      <c r="AK375" s="2434"/>
      <c r="AL375" s="2434"/>
      <c r="AM375" s="2434"/>
      <c r="AN375" s="2434"/>
      <c r="AO375" s="2434"/>
      <c r="AP375" s="2434"/>
      <c r="AQ375" s="2434"/>
      <c r="AR375" s="2307"/>
      <c r="AS375" s="2307"/>
      <c r="AT375" s="2410"/>
      <c r="AU375" s="2410"/>
      <c r="AV375" s="2410"/>
      <c r="AW375" s="2410"/>
      <c r="AX375" s="2410"/>
      <c r="AY375" s="2410"/>
      <c r="AZ375" s="2410"/>
      <c r="BA375" s="2410"/>
      <c r="BB375" s="2410"/>
      <c r="BC375" s="2410"/>
      <c r="BD375" s="2410"/>
      <c r="BE375" s="2410"/>
      <c r="BF375" s="2410"/>
      <c r="BG375" s="2410"/>
      <c r="BH375" s="2410"/>
      <c r="BI375" s="2410"/>
      <c r="BJ375" s="2410"/>
      <c r="BK375" s="2410"/>
      <c r="BL375" s="2410"/>
      <c r="BM375" s="2410"/>
      <c r="BN375" s="2410"/>
      <c r="BO375" s="2410"/>
      <c r="BP375" s="2410"/>
      <c r="BQ375" s="2410"/>
      <c r="BR375" s="2410"/>
      <c r="BS375" s="2296"/>
      <c r="BT375" s="2296"/>
      <c r="BU375" s="2296"/>
      <c r="BV375" s="2296"/>
      <c r="BW375" s="2296"/>
      <c r="BX375" s="2296"/>
      <c r="BY375" s="2296"/>
      <c r="BZ375" s="2307"/>
      <c r="CA375" s="2307"/>
      <c r="CB375" s="2317"/>
      <c r="CC375" s="2174"/>
      <c r="CD375" s="2174"/>
      <c r="CE375" s="2174"/>
      <c r="CF375" s="2174"/>
      <c r="CG375" s="2174"/>
      <c r="CH375" s="2174"/>
      <c r="CI375" s="2174"/>
      <c r="CJ375" s="2174"/>
      <c r="CK375" s="2174"/>
      <c r="CL375" s="2174"/>
      <c r="CM375" s="2174"/>
      <c r="CN375" s="2174"/>
      <c r="CO375" s="2174"/>
      <c r="CP375" s="2174"/>
      <c r="CQ375" s="2174"/>
      <c r="CR375" s="2174"/>
      <c r="CS375" s="2174"/>
      <c r="CT375" s="2174"/>
      <c r="CU375" s="2318"/>
      <c r="CV375" s="2300" t="str">
        <f t="shared" si="282"/>
        <v/>
      </c>
      <c r="CW375" s="2300"/>
      <c r="CX375" s="2300"/>
      <c r="CY375" s="2300"/>
      <c r="CZ375" s="2300"/>
      <c r="DA375" s="2300"/>
      <c r="DC375" s="329" t="str">
        <f t="shared" si="283"/>
        <v/>
      </c>
      <c r="DD375" s="197"/>
      <c r="DF375" s="14"/>
      <c r="DG375" s="14"/>
      <c r="DH375" s="14"/>
      <c r="DI375" s="1596"/>
      <c r="DJ375" s="1170" t="s">
        <v>2749</v>
      </c>
      <c r="DK375" s="1604" t="str">
        <f t="shared" si="210"/>
        <v/>
      </c>
      <c r="DL375" s="437" t="str">
        <f t="shared" si="211"/>
        <v/>
      </c>
      <c r="DM375" s="1129">
        <f t="shared" si="212"/>
        <v>0</v>
      </c>
      <c r="DN375" s="266">
        <f t="shared" si="213"/>
        <v>0</v>
      </c>
      <c r="DO375" s="266">
        <f t="shared" si="214"/>
        <v>0</v>
      </c>
      <c r="DP375" s="267">
        <f t="shared" si="215"/>
        <v>0</v>
      </c>
      <c r="DQ375" s="33" t="s">
        <v>1749</v>
      </c>
      <c r="DR375" s="265">
        <f>IF($U375="",R375,U375)</f>
        <v>0</v>
      </c>
      <c r="DS375" s="125">
        <f t="shared" si="216"/>
        <v>0</v>
      </c>
      <c r="DT375" s="270" t="str">
        <f t="shared" si="217"/>
        <v/>
      </c>
      <c r="DU375" s="136" t="str">
        <f t="shared" si="218"/>
        <v/>
      </c>
      <c r="DV375" s="137" t="str">
        <f>IF($DT375="要是正",MAX($DV$360:DV374)+1,"")</f>
        <v/>
      </c>
      <c r="DW375" s="274" t="str">
        <f t="shared" si="219"/>
        <v/>
      </c>
      <c r="DX375" s="257" t="str">
        <f t="shared" si="220"/>
        <v/>
      </c>
      <c r="DY375" s="258" t="str">
        <f t="shared" si="221"/>
        <v/>
      </c>
      <c r="DZ375" s="259" t="str">
        <f t="shared" si="222"/>
        <v/>
      </c>
      <c r="EA375" s="256" t="str">
        <f t="shared" si="223"/>
        <v/>
      </c>
      <c r="EB375" s="255" t="str">
        <f t="shared" si="224"/>
        <v/>
      </c>
      <c r="EC375" s="250" t="str">
        <f t="shared" si="225"/>
        <v>0</v>
      </c>
      <c r="ED375" s="249" t="str">
        <f t="shared" si="226"/>
        <v/>
      </c>
      <c r="EE375" s="250" t="str">
        <f t="shared" si="284"/>
        <v>0</v>
      </c>
      <c r="EF375" s="251" t="str">
        <f t="shared" si="227"/>
        <v/>
      </c>
      <c r="EG375" s="108" t="str">
        <f t="shared" si="228"/>
        <v/>
      </c>
      <c r="EH375" s="41" t="str">
        <f t="shared" si="229"/>
        <v>0</v>
      </c>
      <c r="EI375" s="54" t="str">
        <f t="shared" si="230"/>
        <v/>
      </c>
      <c r="EJ375" s="131" t="str">
        <f t="shared" si="285"/>
        <v>0</v>
      </c>
      <c r="EK375" s="241" t="str">
        <f t="shared" si="231"/>
        <v/>
      </c>
      <c r="EL375" s="242" t="e">
        <f t="shared" si="286"/>
        <v>#N/A</v>
      </c>
      <c r="EM375" s="57" t="e">
        <f t="shared" si="287"/>
        <v>#N/A</v>
      </c>
      <c r="EN375" s="243" t="e">
        <f t="shared" si="288"/>
        <v>#N/A</v>
      </c>
      <c r="FK375" s="326" t="str">
        <f t="shared" si="234"/>
        <v/>
      </c>
      <c r="FL375" s="326" t="str">
        <f t="shared" si="235"/>
        <v/>
      </c>
      <c r="FM375" s="326" t="str">
        <f t="shared" si="236"/>
        <v/>
      </c>
      <c r="FN375" s="326">
        <f t="shared" si="237"/>
        <v>0</v>
      </c>
      <c r="FO375" s="670" t="str">
        <f t="shared" si="238"/>
        <v/>
      </c>
      <c r="FQ375" s="138" t="str">
        <f t="shared" si="239"/>
        <v/>
      </c>
      <c r="FR375" s="131" t="str">
        <f t="shared" si="240"/>
        <v>0</v>
      </c>
      <c r="FS375" s="54" t="str">
        <f t="shared" si="241"/>
        <v/>
      </c>
      <c r="FT375" s="131" t="str">
        <f t="shared" si="289"/>
        <v>0</v>
      </c>
      <c r="FU375" s="217" t="str">
        <f t="shared" si="242"/>
        <v/>
      </c>
      <c r="FW375" s="667">
        <f t="shared" si="196"/>
        <v>0</v>
      </c>
      <c r="FX375" s="32"/>
      <c r="FY375" s="32"/>
      <c r="FZ375" s="668"/>
      <c r="GA375" s="14"/>
      <c r="GB375" s="32">
        <f t="shared" si="243"/>
        <v>0</v>
      </c>
      <c r="GC375" s="32">
        <f t="shared" si="244"/>
        <v>0</v>
      </c>
      <c r="GD375" s="19">
        <f t="shared" si="245"/>
        <v>0</v>
      </c>
      <c r="GE375" s="658" t="str">
        <f t="shared" si="246"/>
        <v/>
      </c>
      <c r="GF375" s="658" t="str">
        <f t="shared" si="247"/>
        <v/>
      </c>
      <c r="GG375" s="658" t="str">
        <f t="shared" si="248"/>
        <v/>
      </c>
      <c r="GH375" s="658" t="str">
        <f t="shared" si="249"/>
        <v/>
      </c>
      <c r="GI375" s="658" t="str">
        <f t="shared" si="250"/>
        <v/>
      </c>
      <c r="GJ375" s="658" t="str">
        <f t="shared" si="251"/>
        <v/>
      </c>
      <c r="GK375" s="658" t="str">
        <f t="shared" si="252"/>
        <v/>
      </c>
      <c r="GL375" s="658" t="str">
        <f t="shared" si="253"/>
        <v/>
      </c>
      <c r="GM375" s="658" t="str">
        <f t="shared" si="254"/>
        <v/>
      </c>
      <c r="GN375" s="658" t="str">
        <f t="shared" si="255"/>
        <v/>
      </c>
      <c r="GO375" s="658" t="str">
        <f t="shared" si="256"/>
        <v/>
      </c>
      <c r="GP375" s="658" t="str">
        <f t="shared" si="257"/>
        <v/>
      </c>
      <c r="GQ375" s="658" t="str">
        <f t="shared" si="258"/>
        <v/>
      </c>
      <c r="GR375" s="658" t="str">
        <f t="shared" si="259"/>
        <v/>
      </c>
      <c r="GS375" s="658" t="str">
        <f t="shared" si="260"/>
        <v/>
      </c>
      <c r="GT375" s="658">
        <f t="shared" si="94"/>
        <v>0</v>
      </c>
      <c r="GU375" s="658">
        <f t="shared" si="95"/>
        <v>0</v>
      </c>
      <c r="GV375" s="658">
        <f t="shared" si="96"/>
        <v>0</v>
      </c>
      <c r="GW375" s="658" t="b">
        <f t="shared" si="97"/>
        <v>0</v>
      </c>
      <c r="GX375" s="658" t="b">
        <f t="shared" si="98"/>
        <v>0</v>
      </c>
      <c r="GY375" s="658" t="b">
        <f t="shared" si="99"/>
        <v>0</v>
      </c>
      <c r="GZ375" s="658" t="str">
        <f t="shared" si="173"/>
        <v/>
      </c>
      <c r="HB375" s="658" t="str">
        <f t="shared" si="101"/>
        <v/>
      </c>
      <c r="HC375" s="658" t="str">
        <f t="shared" si="261"/>
        <v/>
      </c>
      <c r="HD375" s="658" t="str">
        <f t="shared" si="262"/>
        <v/>
      </c>
      <c r="HE375" s="658" t="str">
        <f t="shared" si="263"/>
        <v/>
      </c>
      <c r="HF375" s="658" t="str">
        <f t="shared" si="264"/>
        <v/>
      </c>
      <c r="HG375" s="658" t="str">
        <f t="shared" si="265"/>
        <v/>
      </c>
      <c r="HH375" s="658" t="str">
        <f t="shared" si="266"/>
        <v/>
      </c>
      <c r="HI375" s="658" t="str">
        <f t="shared" si="267"/>
        <v/>
      </c>
      <c r="HJ375" s="658" t="str">
        <f t="shared" si="268"/>
        <v/>
      </c>
      <c r="HK375" s="658" t="str">
        <f t="shared" si="269"/>
        <v/>
      </c>
      <c r="HL375" s="658" t="str">
        <f t="shared" si="270"/>
        <v/>
      </c>
      <c r="HM375" s="658" t="str">
        <f t="shared" si="271"/>
        <v/>
      </c>
      <c r="HN375" s="658" t="str">
        <f t="shared" si="272"/>
        <v/>
      </c>
      <c r="HO375" s="658" t="str">
        <f t="shared" si="273"/>
        <v/>
      </c>
      <c r="HP375" s="658" t="str">
        <f t="shared" si="274"/>
        <v/>
      </c>
      <c r="HQ375" s="658" t="str">
        <f t="shared" si="275"/>
        <v/>
      </c>
      <c r="HR375" s="658" t="str">
        <f t="shared" si="102"/>
        <v/>
      </c>
      <c r="HT375" s="658">
        <f>LEFT(M375,1)*10000+MID(M375,3,LEN(M375)-3)*100+COUNTIF($M$319:M375,M375)</f>
        <v>31201</v>
      </c>
      <c r="HU375" s="658" t="str">
        <f t="shared" si="103"/>
        <v/>
      </c>
      <c r="HV375" s="658" t="str">
        <f t="shared" si="276"/>
        <v/>
      </c>
      <c r="HW375" s="658" t="str">
        <f t="shared" si="104"/>
        <v/>
      </c>
      <c r="HX375" s="658" t="str">
        <f t="shared" si="277"/>
        <v/>
      </c>
    </row>
    <row r="376" spans="1:232" s="19" customFormat="1" ht="50.1" hidden="1" customHeight="1" thickBot="1" x14ac:dyDescent="0.2">
      <c r="A376" s="1201"/>
      <c r="B376" s="1201"/>
      <c r="C376" s="1201"/>
      <c r="D376" s="1201"/>
      <c r="E376" s="1202"/>
      <c r="F376" s="652"/>
      <c r="G376" s="652"/>
      <c r="H376" s="652"/>
      <c r="I376" s="1354"/>
      <c r="J376" s="1234"/>
      <c r="K376" s="1261"/>
      <c r="L376" s="1261"/>
      <c r="M376" s="2425" t="s">
        <v>1727</v>
      </c>
      <c r="N376" s="2425"/>
      <c r="O376" s="2425"/>
      <c r="P376" s="2430"/>
      <c r="Q376" s="2430"/>
      <c r="R376" s="2430"/>
      <c r="S376" s="2430"/>
      <c r="T376" s="2430"/>
      <c r="U376" s="2435"/>
      <c r="V376" s="2435"/>
      <c r="W376" s="2435"/>
      <c r="X376" s="2435"/>
      <c r="Y376" s="2435"/>
      <c r="Z376" s="2435"/>
      <c r="AA376" s="2435"/>
      <c r="AB376" s="2435"/>
      <c r="AC376" s="2435"/>
      <c r="AD376" s="2435"/>
      <c r="AE376" s="2435"/>
      <c r="AF376" s="2434"/>
      <c r="AG376" s="2434"/>
      <c r="AH376" s="2434"/>
      <c r="AI376" s="2434"/>
      <c r="AJ376" s="2434"/>
      <c r="AK376" s="2434"/>
      <c r="AL376" s="2434"/>
      <c r="AM376" s="2434"/>
      <c r="AN376" s="2434"/>
      <c r="AO376" s="2434"/>
      <c r="AP376" s="2434"/>
      <c r="AQ376" s="2434"/>
      <c r="AR376" s="2307"/>
      <c r="AS376" s="2307"/>
      <c r="AT376" s="2410"/>
      <c r="AU376" s="2410"/>
      <c r="AV376" s="2410"/>
      <c r="AW376" s="2410"/>
      <c r="AX376" s="2410"/>
      <c r="AY376" s="2410"/>
      <c r="AZ376" s="2410"/>
      <c r="BA376" s="2410"/>
      <c r="BB376" s="2410"/>
      <c r="BC376" s="2410"/>
      <c r="BD376" s="2410"/>
      <c r="BE376" s="2410"/>
      <c r="BF376" s="2410"/>
      <c r="BG376" s="2410"/>
      <c r="BH376" s="2410"/>
      <c r="BI376" s="2410"/>
      <c r="BJ376" s="2410"/>
      <c r="BK376" s="2410"/>
      <c r="BL376" s="2410"/>
      <c r="BM376" s="2410"/>
      <c r="BN376" s="2410"/>
      <c r="BO376" s="2410"/>
      <c r="BP376" s="2410"/>
      <c r="BQ376" s="2410"/>
      <c r="BR376" s="2410"/>
      <c r="BS376" s="2296"/>
      <c r="BT376" s="2296"/>
      <c r="BU376" s="2296"/>
      <c r="BV376" s="2296"/>
      <c r="BW376" s="2296"/>
      <c r="BX376" s="2296"/>
      <c r="BY376" s="2296"/>
      <c r="BZ376" s="2307"/>
      <c r="CA376" s="2307"/>
      <c r="CB376" s="2317"/>
      <c r="CC376" s="2174"/>
      <c r="CD376" s="2174"/>
      <c r="CE376" s="2174"/>
      <c r="CF376" s="2174"/>
      <c r="CG376" s="2174"/>
      <c r="CH376" s="2174"/>
      <c r="CI376" s="2174"/>
      <c r="CJ376" s="2174"/>
      <c r="CK376" s="2174"/>
      <c r="CL376" s="2174"/>
      <c r="CM376" s="2174"/>
      <c r="CN376" s="2174"/>
      <c r="CO376" s="2174"/>
      <c r="CP376" s="2174"/>
      <c r="CQ376" s="2174"/>
      <c r="CR376" s="2174"/>
      <c r="CS376" s="2174"/>
      <c r="CT376" s="2174"/>
      <c r="CU376" s="2318"/>
      <c r="CV376" s="2300" t="str">
        <f t="shared" si="282"/>
        <v/>
      </c>
      <c r="CW376" s="2300"/>
      <c r="CX376" s="2300"/>
      <c r="CY376" s="2300"/>
      <c r="CZ376" s="2300"/>
      <c r="DA376" s="2300"/>
      <c r="DC376" s="329" t="str">
        <f t="shared" si="283"/>
        <v/>
      </c>
      <c r="DD376" s="197"/>
      <c r="DF376" s="14"/>
      <c r="DG376" s="14"/>
      <c r="DH376" s="14"/>
      <c r="DI376" s="1596"/>
      <c r="DJ376" s="1170" t="s">
        <v>2749</v>
      </c>
      <c r="DK376" s="1604" t="str">
        <f t="shared" si="210"/>
        <v/>
      </c>
      <c r="DL376" s="437" t="str">
        <f t="shared" si="211"/>
        <v/>
      </c>
      <c r="DM376" s="1129">
        <f t="shared" si="212"/>
        <v>0</v>
      </c>
      <c r="DN376" s="266">
        <f t="shared" si="213"/>
        <v>0</v>
      </c>
      <c r="DO376" s="266">
        <f t="shared" si="214"/>
        <v>0</v>
      </c>
      <c r="DP376" s="267">
        <f t="shared" si="215"/>
        <v>0</v>
      </c>
      <c r="DQ376" s="33" t="s">
        <v>1750</v>
      </c>
      <c r="DR376" s="265">
        <f>IF($U376="",R376,U376)</f>
        <v>0</v>
      </c>
      <c r="DS376" s="125">
        <f t="shared" si="216"/>
        <v>0</v>
      </c>
      <c r="DT376" s="270" t="str">
        <f t="shared" si="217"/>
        <v/>
      </c>
      <c r="DU376" s="136" t="str">
        <f t="shared" si="218"/>
        <v/>
      </c>
      <c r="DV376" s="137" t="str">
        <f>IF($DT376="要是正",MAX($DV$360:DV375)+1,"")</f>
        <v/>
      </c>
      <c r="DW376" s="274" t="str">
        <f t="shared" si="219"/>
        <v/>
      </c>
      <c r="DX376" s="257" t="str">
        <f t="shared" si="220"/>
        <v/>
      </c>
      <c r="DY376" s="258" t="str">
        <f t="shared" si="221"/>
        <v/>
      </c>
      <c r="DZ376" s="259" t="str">
        <f t="shared" si="222"/>
        <v/>
      </c>
      <c r="EA376" s="256" t="str">
        <f t="shared" si="223"/>
        <v/>
      </c>
      <c r="EB376" s="255" t="str">
        <f t="shared" si="224"/>
        <v/>
      </c>
      <c r="EC376" s="250" t="str">
        <f t="shared" si="225"/>
        <v>0</v>
      </c>
      <c r="ED376" s="249" t="str">
        <f t="shared" si="226"/>
        <v/>
      </c>
      <c r="EE376" s="250" t="str">
        <f t="shared" si="284"/>
        <v>0</v>
      </c>
      <c r="EF376" s="251" t="str">
        <f t="shared" si="227"/>
        <v/>
      </c>
      <c r="EG376" s="108" t="str">
        <f t="shared" si="228"/>
        <v/>
      </c>
      <c r="EH376" s="41" t="str">
        <f t="shared" si="229"/>
        <v>0</v>
      </c>
      <c r="EI376" s="54" t="str">
        <f t="shared" si="230"/>
        <v/>
      </c>
      <c r="EJ376" s="131" t="str">
        <f t="shared" si="285"/>
        <v>0</v>
      </c>
      <c r="EK376" s="241" t="str">
        <f t="shared" si="231"/>
        <v/>
      </c>
      <c r="EL376" s="242" t="e">
        <f t="shared" si="286"/>
        <v>#N/A</v>
      </c>
      <c r="EM376" s="57" t="e">
        <f t="shared" si="287"/>
        <v>#N/A</v>
      </c>
      <c r="EN376" s="243" t="e">
        <f t="shared" si="288"/>
        <v>#N/A</v>
      </c>
      <c r="FK376" s="326" t="str">
        <f t="shared" si="234"/>
        <v/>
      </c>
      <c r="FL376" s="326" t="str">
        <f t="shared" si="235"/>
        <v/>
      </c>
      <c r="FM376" s="326" t="str">
        <f t="shared" si="236"/>
        <v/>
      </c>
      <c r="FN376" s="326">
        <f t="shared" si="237"/>
        <v>0</v>
      </c>
      <c r="FO376" s="670" t="str">
        <f t="shared" si="238"/>
        <v/>
      </c>
      <c r="FQ376" s="138" t="str">
        <f t="shared" si="239"/>
        <v/>
      </c>
      <c r="FR376" s="131" t="str">
        <f t="shared" si="240"/>
        <v>0</v>
      </c>
      <c r="FS376" s="54" t="str">
        <f t="shared" si="241"/>
        <v/>
      </c>
      <c r="FT376" s="131" t="str">
        <f t="shared" si="289"/>
        <v>0</v>
      </c>
      <c r="FU376" s="217" t="str">
        <f t="shared" si="242"/>
        <v/>
      </c>
      <c r="FW376" s="667">
        <f t="shared" si="196"/>
        <v>0</v>
      </c>
      <c r="FX376" s="32"/>
      <c r="FY376" s="32"/>
      <c r="FZ376" s="668"/>
      <c r="GA376" s="14"/>
      <c r="GB376" s="32">
        <f t="shared" si="243"/>
        <v>0</v>
      </c>
      <c r="GC376" s="32">
        <f t="shared" si="244"/>
        <v>0</v>
      </c>
      <c r="GD376" s="19">
        <f t="shared" si="245"/>
        <v>0</v>
      </c>
      <c r="GE376" s="658" t="str">
        <f t="shared" si="246"/>
        <v/>
      </c>
      <c r="GF376" s="658" t="str">
        <f t="shared" si="247"/>
        <v/>
      </c>
      <c r="GG376" s="658" t="str">
        <f t="shared" si="248"/>
        <v/>
      </c>
      <c r="GH376" s="658" t="str">
        <f t="shared" si="249"/>
        <v/>
      </c>
      <c r="GI376" s="658" t="str">
        <f t="shared" si="250"/>
        <v/>
      </c>
      <c r="GJ376" s="658" t="str">
        <f t="shared" si="251"/>
        <v/>
      </c>
      <c r="GK376" s="658" t="str">
        <f t="shared" si="252"/>
        <v/>
      </c>
      <c r="GL376" s="658" t="str">
        <f t="shared" si="253"/>
        <v/>
      </c>
      <c r="GM376" s="658" t="str">
        <f t="shared" si="254"/>
        <v/>
      </c>
      <c r="GN376" s="658" t="str">
        <f t="shared" si="255"/>
        <v/>
      </c>
      <c r="GO376" s="658" t="str">
        <f t="shared" si="256"/>
        <v/>
      </c>
      <c r="GP376" s="658" t="str">
        <f t="shared" si="257"/>
        <v/>
      </c>
      <c r="GQ376" s="658" t="str">
        <f t="shared" si="258"/>
        <v/>
      </c>
      <c r="GR376" s="658" t="str">
        <f t="shared" si="259"/>
        <v/>
      </c>
      <c r="GS376" s="658" t="str">
        <f t="shared" si="260"/>
        <v/>
      </c>
      <c r="GT376" s="658">
        <f t="shared" si="94"/>
        <v>0</v>
      </c>
      <c r="GU376" s="658">
        <f t="shared" si="95"/>
        <v>0</v>
      </c>
      <c r="GV376" s="658">
        <f t="shared" si="96"/>
        <v>0</v>
      </c>
      <c r="GW376" s="658" t="b">
        <f t="shared" si="97"/>
        <v>0</v>
      </c>
      <c r="GX376" s="658" t="b">
        <f t="shared" si="98"/>
        <v>0</v>
      </c>
      <c r="GY376" s="658" t="b">
        <f t="shared" si="99"/>
        <v>0</v>
      </c>
      <c r="GZ376" s="658" t="str">
        <f t="shared" si="173"/>
        <v/>
      </c>
      <c r="HB376" s="658" t="str">
        <f t="shared" si="101"/>
        <v/>
      </c>
      <c r="HC376" s="658" t="str">
        <f t="shared" si="261"/>
        <v/>
      </c>
      <c r="HD376" s="658" t="str">
        <f t="shared" si="262"/>
        <v/>
      </c>
      <c r="HE376" s="658" t="str">
        <f t="shared" si="263"/>
        <v/>
      </c>
      <c r="HF376" s="658" t="str">
        <f t="shared" si="264"/>
        <v/>
      </c>
      <c r="HG376" s="658" t="str">
        <f t="shared" si="265"/>
        <v/>
      </c>
      <c r="HH376" s="658" t="str">
        <f t="shared" si="266"/>
        <v/>
      </c>
      <c r="HI376" s="658" t="str">
        <f t="shared" si="267"/>
        <v/>
      </c>
      <c r="HJ376" s="658" t="str">
        <f t="shared" si="268"/>
        <v/>
      </c>
      <c r="HK376" s="658" t="str">
        <f t="shared" si="269"/>
        <v/>
      </c>
      <c r="HL376" s="658" t="str">
        <f t="shared" si="270"/>
        <v/>
      </c>
      <c r="HM376" s="658" t="str">
        <f t="shared" si="271"/>
        <v/>
      </c>
      <c r="HN376" s="658" t="str">
        <f t="shared" si="272"/>
        <v/>
      </c>
      <c r="HO376" s="658" t="str">
        <f t="shared" si="273"/>
        <v/>
      </c>
      <c r="HP376" s="658" t="str">
        <f t="shared" si="274"/>
        <v/>
      </c>
      <c r="HQ376" s="658" t="str">
        <f t="shared" si="275"/>
        <v/>
      </c>
      <c r="HR376" s="658" t="str">
        <f t="shared" si="102"/>
        <v/>
      </c>
      <c r="HT376" s="658">
        <f>LEFT(M376,1)*10000+MID(M376,3,LEN(M376)-3)*100+COUNTIF($M$319:M376,M376)</f>
        <v>31301</v>
      </c>
      <c r="HU376" s="658" t="str">
        <f t="shared" si="103"/>
        <v/>
      </c>
      <c r="HV376" s="658" t="str">
        <f t="shared" si="276"/>
        <v/>
      </c>
      <c r="HW376" s="658" t="str">
        <f t="shared" si="104"/>
        <v/>
      </c>
      <c r="HX376" s="658" t="str">
        <f t="shared" si="277"/>
        <v/>
      </c>
    </row>
    <row r="377" spans="1:232" s="19" customFormat="1" ht="50.1" hidden="1" customHeight="1" thickBot="1" x14ac:dyDescent="0.2">
      <c r="A377" s="1201"/>
      <c r="B377" s="1201"/>
      <c r="C377" s="1201"/>
      <c r="D377" s="1201"/>
      <c r="E377" s="1202"/>
      <c r="F377" s="652"/>
      <c r="G377" s="652"/>
      <c r="H377" s="652"/>
      <c r="I377" s="1354"/>
      <c r="J377" s="1234"/>
      <c r="K377" s="1261"/>
      <c r="L377" s="1261"/>
      <c r="M377" s="2425" t="s">
        <v>1728</v>
      </c>
      <c r="N377" s="2425"/>
      <c r="O377" s="2425"/>
      <c r="P377" s="2445"/>
      <c r="Q377" s="2445"/>
      <c r="R377" s="2445"/>
      <c r="S377" s="2445"/>
      <c r="T377" s="2445"/>
      <c r="U377" s="2430"/>
      <c r="V377" s="2430"/>
      <c r="W377" s="2430"/>
      <c r="X377" s="2430"/>
      <c r="Y377" s="2430"/>
      <c r="Z377" s="2430"/>
      <c r="AA377" s="2430"/>
      <c r="AB377" s="2430"/>
      <c r="AC377" s="2430"/>
      <c r="AD377" s="2430"/>
      <c r="AE377" s="2430"/>
      <c r="AF377" s="2454"/>
      <c r="AG377" s="2454"/>
      <c r="AH377" s="2454"/>
      <c r="AI377" s="2454"/>
      <c r="AJ377" s="2454"/>
      <c r="AK377" s="2454"/>
      <c r="AL377" s="2454"/>
      <c r="AM377" s="2454"/>
      <c r="AN377" s="2454"/>
      <c r="AO377" s="2454"/>
      <c r="AP377" s="2454"/>
      <c r="AQ377" s="2454"/>
      <c r="AR377" s="2299"/>
      <c r="AS377" s="2299"/>
      <c r="AT377" s="2453"/>
      <c r="AU377" s="2453"/>
      <c r="AV377" s="2453"/>
      <c r="AW377" s="2453"/>
      <c r="AX377" s="2453"/>
      <c r="AY377" s="2453"/>
      <c r="AZ377" s="2453"/>
      <c r="BA377" s="2453"/>
      <c r="BB377" s="2453"/>
      <c r="BC377" s="2453"/>
      <c r="BD377" s="2453"/>
      <c r="BE377" s="2453"/>
      <c r="BF377" s="2453"/>
      <c r="BG377" s="2453"/>
      <c r="BH377" s="2453"/>
      <c r="BI377" s="2453"/>
      <c r="BJ377" s="2453"/>
      <c r="BK377" s="2453"/>
      <c r="BL377" s="2453"/>
      <c r="BM377" s="2453"/>
      <c r="BN377" s="2453"/>
      <c r="BO377" s="2453"/>
      <c r="BP377" s="2453"/>
      <c r="BQ377" s="2453"/>
      <c r="BR377" s="2453"/>
      <c r="BS377" s="2455"/>
      <c r="BT377" s="2455"/>
      <c r="BU377" s="2455"/>
      <c r="BV377" s="2298"/>
      <c r="BW377" s="2298"/>
      <c r="BX377" s="2298"/>
      <c r="BY377" s="2455"/>
      <c r="BZ377" s="2739"/>
      <c r="CA377" s="2739"/>
      <c r="CB377" s="2731"/>
      <c r="CC377" s="2732"/>
      <c r="CD377" s="2732"/>
      <c r="CE377" s="2732"/>
      <c r="CF377" s="2732"/>
      <c r="CG377" s="2732"/>
      <c r="CH377" s="2732"/>
      <c r="CI377" s="2732"/>
      <c r="CJ377" s="2732"/>
      <c r="CK377" s="2732"/>
      <c r="CL377" s="2732"/>
      <c r="CM377" s="2732"/>
      <c r="CN377" s="2732"/>
      <c r="CO377" s="2732"/>
      <c r="CP377" s="2732"/>
      <c r="CQ377" s="2732"/>
      <c r="CR377" s="2732"/>
      <c r="CS377" s="2732"/>
      <c r="CT377" s="2732"/>
      <c r="CU377" s="2733"/>
      <c r="CV377" s="2300" t="str">
        <f t="shared" si="282"/>
        <v/>
      </c>
      <c r="CW377" s="2300"/>
      <c r="CX377" s="2300"/>
      <c r="CY377" s="2300"/>
      <c r="CZ377" s="2300"/>
      <c r="DA377" s="2300"/>
      <c r="DC377" s="329" t="str">
        <f t="shared" si="283"/>
        <v/>
      </c>
      <c r="DD377" s="197"/>
      <c r="DF377" s="14"/>
      <c r="DG377" s="14"/>
      <c r="DH377" s="14"/>
      <c r="DI377" s="1596"/>
      <c r="DJ377" s="1171" t="s">
        <v>2749</v>
      </c>
      <c r="DK377" s="1605" t="str">
        <f t="shared" si="210"/>
        <v/>
      </c>
      <c r="DL377" s="1598" t="str">
        <f t="shared" si="211"/>
        <v/>
      </c>
      <c r="DM377" s="1129">
        <f t="shared" si="212"/>
        <v>0</v>
      </c>
      <c r="DN377" s="266">
        <f t="shared" si="213"/>
        <v>0</v>
      </c>
      <c r="DO377" s="266">
        <f t="shared" si="214"/>
        <v>0</v>
      </c>
      <c r="DP377" s="267">
        <f t="shared" si="215"/>
        <v>0</v>
      </c>
      <c r="DQ377" s="33" t="s">
        <v>1751</v>
      </c>
      <c r="DR377" s="265">
        <f>IF($U377="",R377,U377)</f>
        <v>0</v>
      </c>
      <c r="DS377" s="125">
        <f t="shared" si="216"/>
        <v>0</v>
      </c>
      <c r="DT377" s="270" t="str">
        <f t="shared" si="217"/>
        <v/>
      </c>
      <c r="DU377" s="136" t="str">
        <f t="shared" si="218"/>
        <v/>
      </c>
      <c r="DV377" s="137" t="str">
        <f>IF($DT377="要是正",MAX($DV$360:DV376)+1,"")</f>
        <v/>
      </c>
      <c r="DW377" s="274" t="str">
        <f t="shared" si="219"/>
        <v/>
      </c>
      <c r="DX377" s="257" t="str">
        <f t="shared" si="220"/>
        <v/>
      </c>
      <c r="DY377" s="258" t="str">
        <f t="shared" si="221"/>
        <v/>
      </c>
      <c r="DZ377" s="259" t="str">
        <f t="shared" si="222"/>
        <v/>
      </c>
      <c r="EA377" s="256" t="str">
        <f t="shared" si="223"/>
        <v/>
      </c>
      <c r="EB377" s="255" t="str">
        <f t="shared" si="224"/>
        <v/>
      </c>
      <c r="EC377" s="250" t="str">
        <f t="shared" si="225"/>
        <v>0</v>
      </c>
      <c r="ED377" s="249" t="str">
        <f t="shared" si="226"/>
        <v/>
      </c>
      <c r="EE377" s="250" t="str">
        <f t="shared" si="284"/>
        <v>0</v>
      </c>
      <c r="EF377" s="251" t="str">
        <f t="shared" si="227"/>
        <v/>
      </c>
      <c r="EG377" s="108" t="str">
        <f t="shared" si="228"/>
        <v/>
      </c>
      <c r="EH377" s="41" t="str">
        <f t="shared" si="229"/>
        <v>0</v>
      </c>
      <c r="EI377" s="54" t="str">
        <f t="shared" si="230"/>
        <v/>
      </c>
      <c r="EJ377" s="131" t="str">
        <f t="shared" si="285"/>
        <v>0</v>
      </c>
      <c r="EK377" s="241" t="str">
        <f t="shared" si="231"/>
        <v/>
      </c>
      <c r="EL377" s="242" t="e">
        <f t="shared" si="286"/>
        <v>#N/A</v>
      </c>
      <c r="EM377" s="57" t="e">
        <f t="shared" si="287"/>
        <v>#N/A</v>
      </c>
      <c r="EN377" s="243" t="e">
        <f t="shared" si="288"/>
        <v>#N/A</v>
      </c>
      <c r="FK377" s="326" t="str">
        <f t="shared" si="234"/>
        <v/>
      </c>
      <c r="FL377" s="326" t="str">
        <f t="shared" si="235"/>
        <v/>
      </c>
      <c r="FM377" s="326" t="str">
        <f t="shared" si="236"/>
        <v/>
      </c>
      <c r="FN377" s="326">
        <f t="shared" si="237"/>
        <v>0</v>
      </c>
      <c r="FO377" s="670" t="str">
        <f t="shared" si="238"/>
        <v/>
      </c>
      <c r="FQ377" s="138" t="str">
        <f t="shared" si="239"/>
        <v/>
      </c>
      <c r="FR377" s="131" t="str">
        <f t="shared" si="240"/>
        <v>0</v>
      </c>
      <c r="FS377" s="54" t="str">
        <f t="shared" si="241"/>
        <v/>
      </c>
      <c r="FT377" s="131" t="str">
        <f t="shared" si="289"/>
        <v>0</v>
      </c>
      <c r="FU377" s="217" t="str">
        <f t="shared" si="242"/>
        <v/>
      </c>
      <c r="FW377" s="667">
        <f t="shared" si="196"/>
        <v>0</v>
      </c>
      <c r="FX377" s="32"/>
      <c r="FY377" s="32"/>
      <c r="FZ377" s="668"/>
      <c r="GA377" s="14"/>
      <c r="GB377" s="32">
        <f t="shared" si="243"/>
        <v>0</v>
      </c>
      <c r="GC377" s="32">
        <f t="shared" si="244"/>
        <v>0</v>
      </c>
      <c r="GD377" s="19">
        <f t="shared" si="245"/>
        <v>0</v>
      </c>
      <c r="GE377" s="658" t="str">
        <f t="shared" si="246"/>
        <v/>
      </c>
      <c r="GF377" s="658" t="str">
        <f t="shared" si="247"/>
        <v/>
      </c>
      <c r="GG377" s="658" t="str">
        <f t="shared" si="248"/>
        <v/>
      </c>
      <c r="GH377" s="658" t="str">
        <f t="shared" si="249"/>
        <v/>
      </c>
      <c r="GI377" s="658" t="str">
        <f t="shared" si="250"/>
        <v/>
      </c>
      <c r="GJ377" s="658" t="str">
        <f t="shared" si="251"/>
        <v/>
      </c>
      <c r="GK377" s="658" t="str">
        <f t="shared" si="252"/>
        <v/>
      </c>
      <c r="GL377" s="658" t="str">
        <f t="shared" si="253"/>
        <v/>
      </c>
      <c r="GM377" s="658" t="str">
        <f t="shared" si="254"/>
        <v/>
      </c>
      <c r="GN377" s="658" t="str">
        <f t="shared" si="255"/>
        <v/>
      </c>
      <c r="GO377" s="658" t="str">
        <f t="shared" si="256"/>
        <v/>
      </c>
      <c r="GP377" s="658" t="str">
        <f t="shared" si="257"/>
        <v/>
      </c>
      <c r="GQ377" s="658" t="str">
        <f t="shared" si="258"/>
        <v/>
      </c>
      <c r="GR377" s="658" t="str">
        <f t="shared" si="259"/>
        <v/>
      </c>
      <c r="GS377" s="658" t="str">
        <f t="shared" si="260"/>
        <v/>
      </c>
      <c r="GT377" s="658">
        <f t="shared" si="94"/>
        <v>0</v>
      </c>
      <c r="GU377" s="658">
        <f t="shared" si="95"/>
        <v>0</v>
      </c>
      <c r="GV377" s="658">
        <f t="shared" si="96"/>
        <v>0</v>
      </c>
      <c r="GW377" s="658" t="b">
        <f t="shared" si="97"/>
        <v>0</v>
      </c>
      <c r="GX377" s="658" t="b">
        <f t="shared" si="98"/>
        <v>0</v>
      </c>
      <c r="GY377" s="658" t="b">
        <f t="shared" si="99"/>
        <v>0</v>
      </c>
      <c r="GZ377" s="658" t="str">
        <f t="shared" si="173"/>
        <v/>
      </c>
      <c r="HB377" s="658" t="str">
        <f t="shared" si="101"/>
        <v/>
      </c>
      <c r="HC377" s="658" t="str">
        <f t="shared" si="261"/>
        <v/>
      </c>
      <c r="HD377" s="658" t="str">
        <f t="shared" si="262"/>
        <v/>
      </c>
      <c r="HE377" s="658" t="str">
        <f t="shared" si="263"/>
        <v/>
      </c>
      <c r="HF377" s="658" t="str">
        <f t="shared" si="264"/>
        <v/>
      </c>
      <c r="HG377" s="658" t="str">
        <f t="shared" si="265"/>
        <v/>
      </c>
      <c r="HH377" s="658" t="str">
        <f t="shared" si="266"/>
        <v/>
      </c>
      <c r="HI377" s="658" t="str">
        <f t="shared" si="267"/>
        <v/>
      </c>
      <c r="HJ377" s="658" t="str">
        <f t="shared" si="268"/>
        <v/>
      </c>
      <c r="HK377" s="658" t="str">
        <f t="shared" si="269"/>
        <v/>
      </c>
      <c r="HL377" s="658" t="str">
        <f t="shared" si="270"/>
        <v/>
      </c>
      <c r="HM377" s="658" t="str">
        <f t="shared" si="271"/>
        <v/>
      </c>
      <c r="HN377" s="658" t="str">
        <f t="shared" si="272"/>
        <v/>
      </c>
      <c r="HO377" s="658" t="str">
        <f t="shared" si="273"/>
        <v/>
      </c>
      <c r="HP377" s="658" t="str">
        <f t="shared" si="274"/>
        <v/>
      </c>
      <c r="HQ377" s="658" t="str">
        <f t="shared" si="275"/>
        <v/>
      </c>
      <c r="HR377" s="658" t="str">
        <f t="shared" si="102"/>
        <v/>
      </c>
      <c r="HT377" s="658">
        <f>LEFT(M377,1)*10000+MID(M377,3,LEN(M377)-3)*100+COUNTIF($M$319:M377,M377)</f>
        <v>31401</v>
      </c>
      <c r="HU377" s="658" t="str">
        <f t="shared" si="103"/>
        <v/>
      </c>
      <c r="HV377" s="658" t="str">
        <f t="shared" si="276"/>
        <v/>
      </c>
      <c r="HW377" s="658" t="str">
        <f t="shared" si="104"/>
        <v/>
      </c>
      <c r="HX377" s="658" t="str">
        <f t="shared" si="277"/>
        <v/>
      </c>
    </row>
    <row r="378" spans="1:232" ht="15" customHeight="1" thickBot="1" x14ac:dyDescent="0.2">
      <c r="A378" s="1201"/>
      <c r="B378" s="1201"/>
      <c r="C378" s="1201"/>
      <c r="D378" s="1201"/>
      <c r="E378" s="1202"/>
      <c r="J378" s="1355"/>
      <c r="K378" s="1177"/>
      <c r="L378" s="1177"/>
      <c r="M378" s="1356"/>
      <c r="N378" s="1356"/>
      <c r="O378" s="1356"/>
      <c r="P378" s="1356"/>
      <c r="Q378" s="1356"/>
      <c r="R378" s="1356"/>
      <c r="S378" s="1356"/>
      <c r="T378" s="1356"/>
      <c r="U378" s="1356"/>
      <c r="V378" s="1356"/>
      <c r="W378" s="1356"/>
      <c r="X378" s="1356"/>
      <c r="Y378" s="1356"/>
      <c r="Z378" s="1356"/>
      <c r="AA378" s="1356"/>
      <c r="AB378" s="1356"/>
      <c r="AC378" s="1356"/>
      <c r="AD378" s="1356"/>
      <c r="AE378" s="1251"/>
      <c r="AF378" s="1251"/>
      <c r="AG378" s="1251"/>
      <c r="AH378" s="1251"/>
      <c r="AI378" s="1251"/>
      <c r="AJ378" s="1251"/>
      <c r="AK378" s="1251"/>
      <c r="AL378" s="1251"/>
      <c r="AM378" s="1251"/>
      <c r="AN378" s="1251"/>
      <c r="AO378" s="1251"/>
      <c r="AP378" s="1251"/>
      <c r="AQ378" s="1251"/>
      <c r="AR378" s="1186"/>
      <c r="AS378" s="1186"/>
      <c r="AT378" s="1251"/>
      <c r="AU378" s="1251"/>
      <c r="AV378" s="1251"/>
      <c r="AW378" s="1251"/>
      <c r="AX378" s="1251"/>
      <c r="AY378" s="1251"/>
      <c r="AZ378" s="1251"/>
      <c r="BA378" s="1251"/>
      <c r="BB378" s="1251"/>
      <c r="BC378" s="1251"/>
      <c r="BD378" s="1251"/>
      <c r="BE378" s="1251"/>
      <c r="BF378" s="1251"/>
      <c r="BG378" s="1251"/>
      <c r="BH378" s="1251"/>
      <c r="BI378" s="1251"/>
      <c r="BJ378" s="1251"/>
      <c r="BK378" s="1251"/>
      <c r="BL378" s="1251"/>
      <c r="BM378" s="1251"/>
      <c r="BN378" s="1251"/>
      <c r="BO378" s="1251"/>
      <c r="BP378" s="1251"/>
      <c r="BQ378" s="1251"/>
      <c r="BR378" s="1251"/>
      <c r="BS378" s="1186"/>
      <c r="BT378" s="1186"/>
      <c r="BU378" s="1186"/>
      <c r="BV378" s="1186"/>
      <c r="BW378" s="1186"/>
      <c r="BX378" s="1186"/>
      <c r="BY378" s="1182"/>
      <c r="BZ378" s="1182"/>
      <c r="CA378" s="1182"/>
      <c r="CB378" s="1182"/>
      <c r="CC378" s="1182"/>
      <c r="CD378" s="1182"/>
      <c r="CE378" s="1182"/>
      <c r="CF378" s="1182"/>
      <c r="CG378" s="1182"/>
      <c r="CH378" s="1182"/>
      <c r="CI378" s="1182"/>
      <c r="CJ378" s="1182"/>
      <c r="CK378" s="1182"/>
      <c r="CL378" s="1182"/>
      <c r="CM378" s="1182"/>
      <c r="CN378" s="1182"/>
      <c r="CO378" s="1182"/>
      <c r="CP378" s="1182"/>
      <c r="CQ378" s="1182"/>
      <c r="CR378" s="1182"/>
      <c r="CS378" s="1182"/>
      <c r="CT378" s="1182"/>
      <c r="CU378" s="1183"/>
      <c r="CV378" s="2300"/>
      <c r="CW378" s="2300"/>
      <c r="CX378" s="2300"/>
      <c r="CY378" s="2300"/>
      <c r="CZ378" s="2300"/>
      <c r="DA378" s="2300"/>
      <c r="DD378" s="197"/>
      <c r="DE378" s="16"/>
      <c r="DF378" s="16"/>
      <c r="DG378" s="16"/>
      <c r="DH378" s="16"/>
      <c r="DI378" s="1593"/>
      <c r="DJ378" s="1172"/>
      <c r="DK378" s="1606"/>
      <c r="DL378" s="1991" t="s">
        <v>3406</v>
      </c>
      <c r="DM378" s="99">
        <f>SUM(DM364:DM377)</f>
        <v>0</v>
      </c>
      <c r="DN378" s="99">
        <f>SUM(DN364:DN377)</f>
        <v>0</v>
      </c>
      <c r="DO378" s="99">
        <f>SUM(DO364:DO377)</f>
        <v>0</v>
      </c>
      <c r="DP378" s="99">
        <f>SUM(DP364:DP377)</f>
        <v>0</v>
      </c>
      <c r="DU378" s="277"/>
      <c r="DX378" s="2791" t="s">
        <v>1619</v>
      </c>
      <c r="DY378" s="461" t="s">
        <v>1621</v>
      </c>
      <c r="DZ378" s="72"/>
      <c r="EA378" s="72"/>
      <c r="EB378" s="673"/>
      <c r="EC378" s="133"/>
      <c r="ED378" s="111">
        <f>COUNTIF(ED364:ED377,"1")</f>
        <v>0</v>
      </c>
      <c r="EE378" s="110" t="str">
        <f t="array" ref="EE378">INDEX(EE364:EE377,MATCH(MIN(ABS(EE364:EE377-$DP$4)),ABS(EE364:EE377-$DP$4),0))</f>
        <v>0</v>
      </c>
      <c r="EF378" s="111">
        <f>COUNTIF(EF364:EF377,"未定")</f>
        <v>0</v>
      </c>
      <c r="EG378" s="109"/>
      <c r="EH378" s="133"/>
      <c r="EI378" s="111">
        <f>COUNTIF(EI364:EI377,"1")</f>
        <v>0</v>
      </c>
      <c r="EJ378" s="110" t="str">
        <f t="array" ref="EJ378">INDEX(EJ364:EJ377,MATCH(MIN(ABS(EJ364:EJ377-$DP$4)),ABS(EJ364:EJ377-$DP$4),0))</f>
        <v>0</v>
      </c>
      <c r="EK378" s="288">
        <f>COUNTIF(EK364:EK377,"未定")</f>
        <v>0</v>
      </c>
      <c r="EL378" s="674"/>
      <c r="EM378" s="11"/>
      <c r="EN378" s="675"/>
      <c r="FK378" s="351"/>
      <c r="FL378" s="351"/>
      <c r="FM378" s="351"/>
      <c r="FN378" s="351"/>
      <c r="FO378" s="670"/>
      <c r="FQ378" s="673"/>
      <c r="FR378" s="133"/>
      <c r="FS378" s="111">
        <f>COUNTIF(FS364:FS377,"1")</f>
        <v>0</v>
      </c>
      <c r="FT378" s="110" t="str">
        <f t="array" ref="FT378">INDEX(FT364:FT377,MATCH(MIN(ABS(FT364:FT377-$DP$4)),ABS(FT364:FT377-$DP$4),0))</f>
        <v>0</v>
      </c>
      <c r="FU378" s="218">
        <f>COUNTIF(FU364:FU377,"未定")</f>
        <v>0</v>
      </c>
      <c r="FV378" s="73"/>
      <c r="FW378" s="667">
        <f t="shared" si="196"/>
        <v>0</v>
      </c>
      <c r="FX378" s="11"/>
      <c r="FY378" s="11"/>
      <c r="FZ378" s="671"/>
      <c r="GB378" s="658">
        <f t="shared" ref="GB378" si="290">IF(SUM(GB364:GB377)&gt;0,1,0)</f>
        <v>0</v>
      </c>
      <c r="GC378" s="658">
        <f t="shared" ref="GC378" si="291">IF(SUM(GC364:GC377)&gt;0,1,0)</f>
        <v>0</v>
      </c>
      <c r="GD378" s="658">
        <f>IF(SUM(GD364:GD377)&gt;0,1,0)</f>
        <v>0</v>
      </c>
      <c r="GE378" s="660"/>
      <c r="GF378" s="660"/>
      <c r="GG378" s="660"/>
      <c r="GH378" s="660"/>
      <c r="GI378" s="660"/>
      <c r="GJ378" s="660"/>
      <c r="GK378" s="660"/>
      <c r="GL378" s="660"/>
      <c r="GM378" s="660"/>
      <c r="GN378" s="660"/>
      <c r="GO378" s="660"/>
      <c r="GP378" s="660"/>
      <c r="GQ378" s="660"/>
      <c r="GR378" s="660"/>
      <c r="GS378" s="660"/>
      <c r="GT378" s="658">
        <f t="shared" ref="GT378:GU378" si="292">IF(SUM(GT364:GT377)&gt;0,1,0)</f>
        <v>0</v>
      </c>
      <c r="GU378" s="658">
        <f t="shared" si="292"/>
        <v>0</v>
      </c>
      <c r="GV378" s="658">
        <f>IF(SUM(GV364:GV377)&gt;0,1,0)</f>
        <v>0</v>
      </c>
      <c r="GW378" s="658" t="b">
        <f t="shared" si="97"/>
        <v>0</v>
      </c>
      <c r="GX378" s="658" t="b">
        <f t="shared" si="98"/>
        <v>0</v>
      </c>
      <c r="GY378" s="658" t="b">
        <f t="shared" si="99"/>
        <v>0</v>
      </c>
      <c r="GZ378" s="658" t="str">
        <f t="shared" si="173"/>
        <v/>
      </c>
      <c r="HB378" s="660"/>
      <c r="HC378" s="660"/>
      <c r="HD378" s="660"/>
      <c r="HE378" s="660"/>
      <c r="HF378" s="660"/>
      <c r="HG378" s="660"/>
      <c r="HH378" s="660"/>
      <c r="HI378" s="660"/>
      <c r="HJ378" s="660"/>
      <c r="HK378" s="660"/>
      <c r="HL378" s="660"/>
      <c r="HM378" s="660"/>
      <c r="HN378" s="660"/>
      <c r="HO378" s="660"/>
      <c r="HP378" s="660"/>
      <c r="HQ378" s="660"/>
      <c r="HR378" s="660"/>
      <c r="HT378" s="1133"/>
      <c r="HU378" s="1133"/>
      <c r="HV378" s="1133"/>
      <c r="HW378" s="1133"/>
      <c r="HX378" s="1133"/>
    </row>
    <row r="379" spans="1:232" s="19" customFormat="1" ht="35.1" customHeight="1" thickBot="1" x14ac:dyDescent="0.55000000000000004">
      <c r="A379" s="1201"/>
      <c r="B379" s="1201"/>
      <c r="C379" s="1201"/>
      <c r="D379" s="1201"/>
      <c r="E379" s="1202"/>
      <c r="F379" s="652"/>
      <c r="G379" s="652"/>
      <c r="H379" s="652"/>
      <c r="I379" s="1354"/>
      <c r="J379" s="1234"/>
      <c r="K379" s="1261"/>
      <c r="L379" s="1261"/>
      <c r="M379" s="2450" t="s">
        <v>2825</v>
      </c>
      <c r="N379" s="2450"/>
      <c r="O379" s="2450"/>
      <c r="P379" s="2450"/>
      <c r="Q379" s="2450"/>
      <c r="R379" s="2450"/>
      <c r="S379" s="2450"/>
      <c r="T379" s="2450"/>
      <c r="U379" s="2450"/>
      <c r="V379" s="2450"/>
      <c r="W379" s="2450"/>
      <c r="X379" s="2450"/>
      <c r="Y379" s="2450"/>
      <c r="Z379" s="2450"/>
      <c r="AA379" s="2450"/>
      <c r="AB379" s="2450"/>
      <c r="AC379" s="2450"/>
      <c r="AD379" s="2450"/>
      <c r="AE379" s="2450"/>
      <c r="AF379" s="2450"/>
      <c r="AG379" s="2450"/>
      <c r="AH379" s="2450"/>
      <c r="AI379" s="2450"/>
      <c r="AJ379" s="2450"/>
      <c r="AK379" s="2450"/>
      <c r="AL379" s="2450"/>
      <c r="AM379" s="2450"/>
      <c r="AN379" s="2450"/>
      <c r="AO379" s="2450"/>
      <c r="AP379" s="2450"/>
      <c r="AQ379" s="2450"/>
      <c r="AR379" s="2450"/>
      <c r="AS379" s="2450"/>
      <c r="AT379" s="2450"/>
      <c r="AU379" s="2450"/>
      <c r="AV379" s="2450"/>
      <c r="AW379" s="2450"/>
      <c r="AX379" s="2450"/>
      <c r="AY379" s="2450"/>
      <c r="AZ379" s="2450"/>
      <c r="BA379" s="2450"/>
      <c r="BB379" s="2450"/>
      <c r="BC379" s="2450"/>
      <c r="BD379" s="2450"/>
      <c r="BE379" s="2450"/>
      <c r="BF379" s="2450"/>
      <c r="BG379" s="2450"/>
      <c r="BH379" s="2450"/>
      <c r="BI379" s="2450"/>
      <c r="BJ379" s="2450"/>
      <c r="BK379" s="2450"/>
      <c r="BL379" s="2450"/>
      <c r="BM379" s="2450"/>
      <c r="BN379" s="2450"/>
      <c r="BO379" s="2450"/>
      <c r="BP379" s="2450"/>
      <c r="BQ379" s="2450"/>
      <c r="BR379" s="2450"/>
      <c r="BS379" s="2450"/>
      <c r="BT379" s="2450"/>
      <c r="BU379" s="2450"/>
      <c r="BV379" s="2450"/>
      <c r="BW379" s="2450"/>
      <c r="BX379" s="2450"/>
      <c r="BY379" s="2450"/>
      <c r="BZ379" s="2450"/>
      <c r="CA379" s="2450"/>
      <c r="CB379" s="2450"/>
      <c r="CC379" s="2450"/>
      <c r="CD379" s="2450"/>
      <c r="CE379" s="2450"/>
      <c r="CF379" s="2450"/>
      <c r="CG379" s="2450"/>
      <c r="CH379" s="2450"/>
      <c r="CI379" s="2450"/>
      <c r="CJ379" s="2450"/>
      <c r="CK379" s="2450"/>
      <c r="CL379" s="2450"/>
      <c r="CM379" s="2450"/>
      <c r="CN379" s="2450"/>
      <c r="CO379" s="2450"/>
      <c r="CP379" s="2450"/>
      <c r="CQ379" s="2450"/>
      <c r="CR379" s="2450"/>
      <c r="CS379" s="2450"/>
      <c r="CT379" s="2450"/>
      <c r="CU379" s="2451"/>
      <c r="CV379" s="2300" t="str">
        <f>IF(AND(DT379="要是正",DU379&lt;21),HYPERLINK("#"&amp;EL379&amp;"!"&amp;EM379&amp;":"&amp;EN379&amp;"","関連写真添付"),"")</f>
        <v/>
      </c>
      <c r="CW379" s="2300"/>
      <c r="CX379" s="2300"/>
      <c r="CY379" s="2300"/>
      <c r="CZ379" s="2300"/>
      <c r="DA379" s="2300"/>
      <c r="DC379" s="329" t="str">
        <f>IF(AND(DU379&lt;&gt;"",DU379&gt;10),"「別途様式を作成、提出してください。」","")</f>
        <v/>
      </c>
      <c r="DD379" s="197"/>
      <c r="DF379" s="14"/>
      <c r="DG379" s="14"/>
      <c r="DH379" s="14"/>
      <c r="DI379" s="1596"/>
      <c r="DJ379" s="1157"/>
      <c r="DK379" s="1608"/>
      <c r="DL379" s="2058" t="s">
        <v>3413</v>
      </c>
      <c r="DM379" s="1623" t="str">
        <f>IF(AND(DN379="",DO379="",DP379="",DM432&lt;&gt;0),"レ","")</f>
        <v/>
      </c>
      <c r="DN379" s="1623" t="str">
        <f>IF(AND(DO379="",DP379="",DN432&lt;&gt;0),"レ","")</f>
        <v/>
      </c>
      <c r="DO379" s="1623" t="str">
        <f>IF(DO432&lt;&gt;0,"レ","")</f>
        <v/>
      </c>
      <c r="DP379" s="1623" t="str">
        <f>IF(AND(DO379="",DP432&lt;&gt;0),"レ","")</f>
        <v/>
      </c>
      <c r="DQ379" s="25"/>
      <c r="DR379" s="25"/>
      <c r="DS379" s="25"/>
      <c r="DT379" s="24"/>
      <c r="DU379" s="57"/>
      <c r="DV379" s="24"/>
      <c r="DW379" s="2047" t="s">
        <v>3412</v>
      </c>
      <c r="DX379" s="2792"/>
      <c r="DY379" s="2049" t="str">
        <f>SUBSTITUTE(TRIM(DY382&amp;"　"&amp;DY383&amp;"　"&amp;DY384&amp;"　"&amp;DY385&amp;"　"&amp;DY386&amp;"　"&amp;DY387&amp;"　"&amp;DY388&amp;"　"&amp;DY389&amp;"　"&amp;DY390&amp;"　"&amp;DY391&amp;"　"&amp;DY392&amp;"　"&amp;DY393&amp;"　"&amp;DY394&amp;"　"&amp;DY395&amp;"　"&amp;DY396&amp;"　"&amp;DY397&amp;"　"&amp;DY398&amp;"　"&amp;DY399&amp;"　"&amp;DY400&amp;"　"&amp;DY401&amp;"　"&amp;DY402&amp;"　"&amp;DY403&amp;"　"&amp;DY404&amp;"　"&amp;DY405&amp;"　"&amp;DY406&amp;"　"&amp;DY407&amp;"　"&amp;DY408&amp;"　"&amp;DY409&amp;"　"&amp;DY410&amp;"　"&amp;DY411&amp;"　"&amp;DY412&amp;"　"&amp;DY413&amp;"　"&amp;DY414&amp;"　"&amp;DY415&amp;"　"&amp;DY416&amp;"　"&amp;DY417&amp;"　"&amp;DY418&amp;"　"&amp;DY419&amp;"　"&amp;DY420&amp;"　"&amp;DY421&amp;"　"&amp;DY422&amp;"　"&amp;DY423&amp;"　"&amp;DY424&amp;"　"&amp;DY425&amp;"　"&amp;DY426&amp;"　"&amp;DY427&amp;"　"&amp;DY428&amp;"　"&amp;DY429&amp;"　"&amp;DY430&amp;"　"&amp;DY431),"　",", ")&amp;HO536</f>
        <v/>
      </c>
      <c r="DZ379" s="2370" t="s">
        <v>1625</v>
      </c>
      <c r="EA379" s="2371"/>
      <c r="EB379" s="2060" t="str">
        <f>IF(COUNTIF(ED382:ED431,1)&gt;0,"レ","")</f>
        <v/>
      </c>
      <c r="EC379" s="202"/>
      <c r="ED379" s="2061" t="str">
        <f>IF(EB379="レ",YEAR(EE432)-VLOOKUP(EE432,$DS$6:$DV$9,4,TRUE),"")</f>
        <v/>
      </c>
      <c r="EE379" s="2061" t="str">
        <f>IF(EB379="レ",MONTH(EE432),IF(AND(DO379="レ",EF379="レ",EF432=0),"",IF(AND(DO379="レ",EF379="レ",EF432&gt;0),"","")))</f>
        <v/>
      </c>
      <c r="EF379" s="2062" t="str">
        <f>IF(EB379="",IF(OR(EF432&gt;0,DO379="レ"),"レ",""),"")</f>
        <v/>
      </c>
      <c r="EG379" s="2060" t="str">
        <f>IF(AND(COUNTIF(DT382:DT431,"要是正")=0,COUNTIF(EI382:EI431,1)&gt;0),"レ","")</f>
        <v/>
      </c>
      <c r="EH379" s="202"/>
      <c r="EI379" s="2061" t="str">
        <f>IF(EG379="レ",YEAR(EJ432)-VLOOKUP(EJ432,$DS$6:$DV$9,4,TRUE),"")</f>
        <v/>
      </c>
      <c r="EJ379" s="2061" t="str">
        <f>IF(EG379="レ",MONTH(EJ432),IF(AND(DP379="レ",EK379="レ",EK432=0),"",IF(AND(DP379="レ",EK379="レ",EK432&gt;0),"","")))</f>
        <v/>
      </c>
      <c r="EK379" s="2063" t="str">
        <f>IF(EG379="",IF(OR(EK432&gt;0,DP379="レ"),"レ",""),"")</f>
        <v/>
      </c>
      <c r="EL379" s="136" t="e">
        <f>VLOOKUP($DU379,$EO$318:$ER$346,2,FALSE)</f>
        <v>#N/A</v>
      </c>
      <c r="EM379" s="137" t="e">
        <f>VLOOKUP($DU379,$EO$318:$ER$346,3,FALSE)</f>
        <v>#N/A</v>
      </c>
      <c r="EN379" s="244" t="e">
        <f>VLOOKUP($DU379,$EO$318:$ER$346,4,FALSE)</f>
        <v>#N/A</v>
      </c>
      <c r="EO379" s="15"/>
      <c r="EP379" s="15"/>
      <c r="EQ379" s="15"/>
      <c r="ER379" s="15"/>
      <c r="ES379" s="2098" t="str">
        <f>$GY$539</f>
        <v>要是正なし</v>
      </c>
      <c r="ET379" s="15"/>
      <c r="EU379" s="15"/>
      <c r="EV379" s="15"/>
      <c r="EW379" s="15"/>
      <c r="EX379" s="15"/>
      <c r="EY379" s="15"/>
      <c r="EZ379" s="15"/>
      <c r="FA379" s="15"/>
      <c r="FB379" s="15"/>
      <c r="FC379" s="15"/>
      <c r="FD379" s="15"/>
      <c r="FE379" s="15"/>
      <c r="FF379" s="15"/>
      <c r="FG379" s="15"/>
      <c r="FH379" s="15"/>
      <c r="FI379" s="15"/>
      <c r="FK379" s="351"/>
      <c r="FL379" s="351"/>
      <c r="FM379" s="351"/>
      <c r="FN379" s="351"/>
      <c r="FO379" s="670"/>
      <c r="FQ379" s="134" t="str">
        <f>IF(COUNTIF(FS382:FS431,1)&gt;0,"レ","")</f>
        <v/>
      </c>
      <c r="FR379" s="202"/>
      <c r="FS379" s="135" t="str">
        <f>IF(FQ379="レ",TEXT(FT432,"ee"),"")</f>
        <v/>
      </c>
      <c r="FT379" s="135" t="str">
        <f>IF(FQ379="レ",MONTH(FT432),IF(AND(FH379="レ",FU379="レ",FU432=0),"",IF(AND(FH379="レ",FU379="レ",FU432&gt;0),"未定","")))</f>
        <v/>
      </c>
      <c r="FU379" s="200" t="str">
        <f>IF(FQ379="",IF(OR(FU432&gt;0,FH379="レ"),"レ",""),"")</f>
        <v/>
      </c>
      <c r="FW379" s="667">
        <f t="shared" si="196"/>
        <v>0</v>
      </c>
      <c r="FX379" s="32"/>
      <c r="FY379" s="32"/>
      <c r="FZ379" s="668"/>
      <c r="GA379" s="14"/>
      <c r="GB379" s="32"/>
      <c r="GC379" s="32"/>
      <c r="GE379" s="32"/>
      <c r="GF379" s="32"/>
      <c r="GG379" s="32"/>
      <c r="GH379" s="32"/>
      <c r="GI379" s="32"/>
      <c r="GJ379" s="32"/>
      <c r="GK379" s="32"/>
      <c r="GL379" s="32"/>
      <c r="GM379" s="32"/>
      <c r="GN379" s="32"/>
      <c r="GO379" s="32"/>
      <c r="GP379" s="32"/>
      <c r="GQ379" s="32"/>
      <c r="GR379" s="32"/>
      <c r="GS379" s="32"/>
      <c r="GT379" s="32"/>
      <c r="GU379" s="32"/>
      <c r="GV379" s="32"/>
      <c r="GW379" s="32"/>
      <c r="GX379" s="32"/>
      <c r="GY379" s="32"/>
      <c r="HB379" s="32"/>
      <c r="HC379" s="32"/>
      <c r="HD379" s="32"/>
      <c r="HE379" s="32"/>
      <c r="HF379" s="32"/>
      <c r="HG379" s="32"/>
      <c r="HH379" s="32"/>
      <c r="HI379" s="32"/>
      <c r="HJ379" s="32"/>
      <c r="HK379" s="32"/>
      <c r="HL379" s="32"/>
      <c r="HM379" s="32"/>
      <c r="HN379" s="32"/>
      <c r="HO379" s="32"/>
      <c r="HP379" s="32"/>
      <c r="HQ379" s="32"/>
      <c r="HR379" s="32"/>
      <c r="HT379" s="1134"/>
      <c r="HU379" s="1134"/>
      <c r="HV379" s="1134"/>
      <c r="HW379" s="1134"/>
      <c r="HX379" s="1134"/>
    </row>
    <row r="380" spans="1:232" s="19" customFormat="1" ht="36" customHeight="1" thickBot="1" x14ac:dyDescent="0.2">
      <c r="A380" s="1201"/>
      <c r="B380" s="1201"/>
      <c r="C380" s="1201"/>
      <c r="D380" s="1201"/>
      <c r="E380" s="1202"/>
      <c r="F380" s="652"/>
      <c r="G380" s="652"/>
      <c r="H380" s="652"/>
      <c r="I380" s="1351"/>
      <c r="J380" s="1260"/>
      <c r="K380" s="1261"/>
      <c r="L380" s="1261"/>
      <c r="M380" s="2471" t="s">
        <v>31</v>
      </c>
      <c r="N380" s="2471"/>
      <c r="O380" s="2471"/>
      <c r="P380" s="2387" t="s">
        <v>32</v>
      </c>
      <c r="Q380" s="2387"/>
      <c r="R380" s="2387"/>
      <c r="S380" s="2387"/>
      <c r="T380" s="2387"/>
      <c r="U380" s="2387"/>
      <c r="V380" s="2387"/>
      <c r="W380" s="2387"/>
      <c r="X380" s="2387"/>
      <c r="Y380" s="2387"/>
      <c r="Z380" s="2387"/>
      <c r="AA380" s="2387"/>
      <c r="AB380" s="2387"/>
      <c r="AC380" s="2387"/>
      <c r="AD380" s="2387"/>
      <c r="AE380" s="2387"/>
      <c r="AF380" s="2387" t="s">
        <v>33</v>
      </c>
      <c r="AG380" s="2387"/>
      <c r="AH380" s="2387"/>
      <c r="AI380" s="2387"/>
      <c r="AJ380" s="2387"/>
      <c r="AK380" s="2387"/>
      <c r="AL380" s="2387"/>
      <c r="AM380" s="2387"/>
      <c r="AN380" s="2387"/>
      <c r="AO380" s="2387"/>
      <c r="AP380" s="2387"/>
      <c r="AQ380" s="2387"/>
      <c r="AR380" s="2387" t="s">
        <v>716</v>
      </c>
      <c r="AS380" s="2387"/>
      <c r="AT380" s="2388" t="s">
        <v>149</v>
      </c>
      <c r="AU380" s="2388"/>
      <c r="AV380" s="2388"/>
      <c r="AW380" s="2388"/>
      <c r="AX380" s="2388"/>
      <c r="AY380" s="2388"/>
      <c r="AZ380" s="2388"/>
      <c r="BA380" s="2388"/>
      <c r="BB380" s="2388"/>
      <c r="BC380" s="2388"/>
      <c r="BD380" s="2388" t="s">
        <v>187</v>
      </c>
      <c r="BE380" s="2388"/>
      <c r="BF380" s="2388"/>
      <c r="BG380" s="2388"/>
      <c r="BH380" s="2388"/>
      <c r="BI380" s="2388"/>
      <c r="BJ380" s="2388"/>
      <c r="BK380" s="2388"/>
      <c r="BL380" s="2388"/>
      <c r="BM380" s="2388"/>
      <c r="BN380" s="2388"/>
      <c r="BO380" s="2388"/>
      <c r="BP380" s="2388"/>
      <c r="BQ380" s="2388"/>
      <c r="BR380" s="2388"/>
      <c r="BS380" s="2387" t="s">
        <v>352</v>
      </c>
      <c r="BT380" s="2388"/>
      <c r="BU380" s="2388"/>
      <c r="BV380" s="2388"/>
      <c r="BW380" s="2388"/>
      <c r="BX380" s="2388"/>
      <c r="BY380" s="2388"/>
      <c r="BZ380" s="2388"/>
      <c r="CA380" s="2388"/>
      <c r="CB380" s="2363" t="s">
        <v>1919</v>
      </c>
      <c r="CC380" s="2363"/>
      <c r="CD380" s="2363"/>
      <c r="CE380" s="2363"/>
      <c r="CF380" s="2363"/>
      <c r="CG380" s="2363"/>
      <c r="CH380" s="2363"/>
      <c r="CI380" s="2363"/>
      <c r="CJ380" s="2363"/>
      <c r="CK380" s="2363"/>
      <c r="CL380" s="2363"/>
      <c r="CM380" s="2363"/>
      <c r="CN380" s="2363"/>
      <c r="CO380" s="2363"/>
      <c r="CP380" s="2363"/>
      <c r="CQ380" s="2363"/>
      <c r="CR380" s="2363"/>
      <c r="CS380" s="2363"/>
      <c r="CT380" s="2363"/>
      <c r="CU380" s="2364"/>
      <c r="CV380" s="421"/>
      <c r="CW380" s="421"/>
      <c r="CX380" s="20"/>
      <c r="CY380" s="20"/>
      <c r="CZ380" s="20"/>
      <c r="DA380" s="20"/>
      <c r="DB380" s="20"/>
      <c r="DC380" s="15"/>
      <c r="DD380" s="197"/>
      <c r="DE380" s="14"/>
      <c r="DF380" s="14"/>
      <c r="DG380" s="14"/>
      <c r="DH380" s="14"/>
      <c r="DI380" s="1596"/>
      <c r="DJ380" s="1157"/>
      <c r="DK380" s="1608"/>
      <c r="DL380" s="14"/>
      <c r="DM380" s="72"/>
      <c r="DN380" s="14"/>
      <c r="DO380" s="14"/>
      <c r="DP380" s="14"/>
      <c r="DQ380" s="14"/>
      <c r="DR380" s="14"/>
      <c r="DU380" s="197"/>
      <c r="DX380" s="2792"/>
      <c r="DY380" s="2754" t="s">
        <v>872</v>
      </c>
      <c r="DZ380" s="2290" t="s">
        <v>187</v>
      </c>
      <c r="EA380" s="2372" t="s">
        <v>1605</v>
      </c>
      <c r="EB380" s="2262" t="s">
        <v>24</v>
      </c>
      <c r="EC380" s="2263"/>
      <c r="ED380" s="2263"/>
      <c r="EE380" s="2263"/>
      <c r="EF380" s="2263"/>
      <c r="EG380" s="2367" t="s">
        <v>891</v>
      </c>
      <c r="EH380" s="2368"/>
      <c r="EI380" s="2368"/>
      <c r="EJ380" s="2368"/>
      <c r="EK380" s="2369"/>
      <c r="EL380" s="2304" t="s">
        <v>898</v>
      </c>
      <c r="EM380" s="2305"/>
      <c r="EN380" s="2306"/>
      <c r="EO380" s="2281"/>
      <c r="EP380" s="2281"/>
      <c r="EQ380" s="2281"/>
      <c r="ER380" s="2281"/>
      <c r="ES380" s="15"/>
      <c r="ET380" s="2281"/>
      <c r="EU380" s="2281"/>
      <c r="EV380" s="2281"/>
      <c r="EW380" s="2281"/>
      <c r="EX380" s="2281"/>
      <c r="EY380" s="2265"/>
      <c r="EZ380" s="2265"/>
      <c r="FA380" s="2265"/>
      <c r="FB380" s="2265"/>
      <c r="FC380" s="2265"/>
      <c r="FD380" s="2265"/>
      <c r="FE380" s="2265"/>
      <c r="FF380" s="2265"/>
      <c r="FG380" s="2265"/>
      <c r="FH380" s="2265"/>
      <c r="FI380" s="31"/>
      <c r="FJ380" s="20"/>
      <c r="FK380" s="2283" t="s">
        <v>1108</v>
      </c>
      <c r="FL380" s="2284"/>
      <c r="FM380" s="2284"/>
      <c r="FN380" s="2284"/>
      <c r="FO380" s="2285"/>
      <c r="FQ380" s="2262" t="s">
        <v>24</v>
      </c>
      <c r="FR380" s="2263"/>
      <c r="FS380" s="2263"/>
      <c r="FT380" s="2263"/>
      <c r="FU380" s="2264"/>
      <c r="FW380" s="667" t="str">
        <f t="shared" si="196"/>
        <v>指摘の具体的内容等</v>
      </c>
      <c r="FX380" s="32"/>
      <c r="FY380" s="32"/>
      <c r="FZ380" s="668"/>
      <c r="GA380" s="14"/>
      <c r="GB380" s="32"/>
      <c r="GC380" s="32"/>
      <c r="GE380" s="32"/>
      <c r="GF380" s="32"/>
      <c r="GG380" s="32"/>
      <c r="GH380" s="32"/>
      <c r="GI380" s="32"/>
      <c r="GJ380" s="32"/>
      <c r="GK380" s="32"/>
      <c r="GL380" s="32"/>
      <c r="GM380" s="32"/>
      <c r="GN380" s="32"/>
      <c r="GO380" s="32"/>
      <c r="GP380" s="32"/>
      <c r="GQ380" s="32"/>
      <c r="GR380" s="32"/>
      <c r="GS380" s="32"/>
      <c r="GT380" s="32"/>
      <c r="GU380" s="32"/>
      <c r="GV380" s="73"/>
      <c r="GW380" s="32"/>
      <c r="GX380" s="32"/>
      <c r="GY380" s="32"/>
      <c r="HB380" s="32"/>
      <c r="HC380" s="32"/>
      <c r="HD380" s="32"/>
      <c r="HE380" s="32"/>
      <c r="HF380" s="32"/>
      <c r="HG380" s="32"/>
      <c r="HH380" s="32"/>
      <c r="HI380" s="32"/>
      <c r="HJ380" s="32"/>
      <c r="HK380" s="32"/>
      <c r="HL380" s="32"/>
      <c r="HM380" s="32"/>
      <c r="HN380" s="32"/>
      <c r="HO380" s="32"/>
      <c r="HP380" s="32"/>
      <c r="HQ380" s="32"/>
      <c r="HR380" s="32"/>
      <c r="HS380" s="73"/>
      <c r="HT380" s="1134"/>
      <c r="HU380" s="1134"/>
      <c r="HV380" s="1134"/>
      <c r="HW380" s="1134"/>
      <c r="HX380" s="1134"/>
    </row>
    <row r="381" spans="1:232" s="19" customFormat="1" ht="36" customHeight="1" thickBot="1" x14ac:dyDescent="0.2">
      <c r="A381" s="1201"/>
      <c r="B381" s="1201"/>
      <c r="C381" s="1201"/>
      <c r="D381" s="1201"/>
      <c r="E381" s="1202"/>
      <c r="F381" s="652"/>
      <c r="G381" s="652"/>
      <c r="H381" s="652"/>
      <c r="I381" s="1351"/>
      <c r="J381" s="1260"/>
      <c r="K381" s="1261"/>
      <c r="L381" s="1261"/>
      <c r="M381" s="2289"/>
      <c r="N381" s="2289"/>
      <c r="O381" s="2289"/>
      <c r="P381" s="2289"/>
      <c r="Q381" s="2289"/>
      <c r="R381" s="2289"/>
      <c r="S381" s="2289"/>
      <c r="T381" s="2289"/>
      <c r="U381" s="2289"/>
      <c r="V381" s="2289"/>
      <c r="W381" s="2289"/>
      <c r="X381" s="2289"/>
      <c r="Y381" s="2289"/>
      <c r="Z381" s="2289"/>
      <c r="AA381" s="2289"/>
      <c r="AB381" s="2289"/>
      <c r="AC381" s="2289"/>
      <c r="AD381" s="2289"/>
      <c r="AE381" s="2289"/>
      <c r="AF381" s="2289"/>
      <c r="AG381" s="2289"/>
      <c r="AH381" s="2289"/>
      <c r="AI381" s="2289"/>
      <c r="AJ381" s="2289"/>
      <c r="AK381" s="2289"/>
      <c r="AL381" s="2289"/>
      <c r="AM381" s="2289"/>
      <c r="AN381" s="2289"/>
      <c r="AO381" s="2289"/>
      <c r="AP381" s="2289"/>
      <c r="AQ381" s="2289"/>
      <c r="AR381" s="2289"/>
      <c r="AS381" s="2289"/>
      <c r="AT381" s="2386"/>
      <c r="AU381" s="2386"/>
      <c r="AV381" s="2386"/>
      <c r="AW381" s="2386"/>
      <c r="AX381" s="2386"/>
      <c r="AY381" s="2386"/>
      <c r="AZ381" s="2386"/>
      <c r="BA381" s="2386"/>
      <c r="BB381" s="2386"/>
      <c r="BC381" s="2386"/>
      <c r="BD381" s="2386"/>
      <c r="BE381" s="2386"/>
      <c r="BF381" s="2386"/>
      <c r="BG381" s="2386"/>
      <c r="BH381" s="2386"/>
      <c r="BI381" s="2386"/>
      <c r="BJ381" s="2386"/>
      <c r="BK381" s="2386"/>
      <c r="BL381" s="2386"/>
      <c r="BM381" s="2386"/>
      <c r="BN381" s="2386"/>
      <c r="BO381" s="2386"/>
      <c r="BP381" s="2386"/>
      <c r="BQ381" s="2386"/>
      <c r="BR381" s="2386"/>
      <c r="BS381" s="2289" t="s">
        <v>827</v>
      </c>
      <c r="BT381" s="2289"/>
      <c r="BU381" s="2289"/>
      <c r="BV381" s="2289" t="s">
        <v>348</v>
      </c>
      <c r="BW381" s="2289"/>
      <c r="BX381" s="2289"/>
      <c r="BY381" s="2289" t="s">
        <v>1314</v>
      </c>
      <c r="BZ381" s="2386"/>
      <c r="CA381" s="2386"/>
      <c r="CB381" s="2365"/>
      <c r="CC381" s="2365"/>
      <c r="CD381" s="2365"/>
      <c r="CE381" s="2365"/>
      <c r="CF381" s="2365"/>
      <c r="CG381" s="2365"/>
      <c r="CH381" s="2365"/>
      <c r="CI381" s="2365"/>
      <c r="CJ381" s="2365"/>
      <c r="CK381" s="2365"/>
      <c r="CL381" s="2365"/>
      <c r="CM381" s="2365"/>
      <c r="CN381" s="2365"/>
      <c r="CO381" s="2365"/>
      <c r="CP381" s="2365"/>
      <c r="CQ381" s="2365"/>
      <c r="CR381" s="2365"/>
      <c r="CS381" s="2365"/>
      <c r="CT381" s="2365"/>
      <c r="CU381" s="2366"/>
      <c r="CV381" s="421"/>
      <c r="CW381" s="421"/>
      <c r="CX381" s="20"/>
      <c r="CY381" s="20"/>
      <c r="CZ381" s="20"/>
      <c r="DA381" s="20"/>
      <c r="DB381" s="20"/>
      <c r="DC381" s="15"/>
      <c r="DD381" s="197"/>
      <c r="DE381" s="14"/>
      <c r="DF381" s="14"/>
      <c r="DG381" s="14"/>
      <c r="DH381" s="14"/>
      <c r="DI381" s="1596"/>
      <c r="DJ381" s="1169" t="s">
        <v>2752</v>
      </c>
      <c r="DK381" s="1599" t="s">
        <v>2751</v>
      </c>
      <c r="DL381" s="269" t="s">
        <v>2753</v>
      </c>
      <c r="DM381" s="281" t="s">
        <v>325</v>
      </c>
      <c r="DN381" s="261" t="s">
        <v>326</v>
      </c>
      <c r="DO381" s="261" t="s">
        <v>327</v>
      </c>
      <c r="DP381" s="262" t="s">
        <v>328</v>
      </c>
      <c r="DQ381" s="98" t="s">
        <v>825</v>
      </c>
      <c r="DR381" s="260" t="s">
        <v>718</v>
      </c>
      <c r="DS381" s="283" t="s">
        <v>717</v>
      </c>
      <c r="DT381" s="269" t="s">
        <v>710</v>
      </c>
      <c r="DU381" s="271" t="s">
        <v>881</v>
      </c>
      <c r="DV381" s="291" t="s">
        <v>873</v>
      </c>
      <c r="DW381" s="298" t="s">
        <v>660</v>
      </c>
      <c r="DX381" s="2793"/>
      <c r="DY381" s="2755"/>
      <c r="DZ381" s="2291"/>
      <c r="EA381" s="2373"/>
      <c r="EB381" s="139" t="s">
        <v>910</v>
      </c>
      <c r="EC381" s="132" t="s">
        <v>909</v>
      </c>
      <c r="ED381" s="132" t="s">
        <v>903</v>
      </c>
      <c r="EE381" s="119" t="s">
        <v>904</v>
      </c>
      <c r="EF381" s="120" t="s">
        <v>905</v>
      </c>
      <c r="EG381" s="118" t="s">
        <v>901</v>
      </c>
      <c r="EH381" s="119" t="s">
        <v>902</v>
      </c>
      <c r="EI381" s="132" t="s">
        <v>903</v>
      </c>
      <c r="EJ381" s="119" t="s">
        <v>904</v>
      </c>
      <c r="EK381" s="240" t="s">
        <v>905</v>
      </c>
      <c r="EL381" s="127" t="s">
        <v>336</v>
      </c>
      <c r="EM381" s="23" t="s">
        <v>658</v>
      </c>
      <c r="EN381" s="124" t="s">
        <v>659</v>
      </c>
      <c r="EO381" s="15"/>
      <c r="EP381" s="185"/>
      <c r="EQ381" s="185"/>
      <c r="ER381" s="185"/>
      <c r="ES381" s="181"/>
      <c r="ET381" s="15"/>
      <c r="EU381" s="181"/>
      <c r="EV381" s="181"/>
      <c r="EW381" s="181"/>
      <c r="EX381" s="181"/>
      <c r="EY381" s="182"/>
      <c r="EZ381" s="182"/>
      <c r="FA381" s="182"/>
      <c r="FB381" s="182"/>
      <c r="FC381" s="182"/>
      <c r="FD381" s="182"/>
      <c r="FE381" s="182"/>
      <c r="FF381" s="182"/>
      <c r="FG381" s="182"/>
      <c r="FH381" s="182"/>
      <c r="FI381" s="31"/>
      <c r="FJ381" s="20"/>
      <c r="FK381" s="2286"/>
      <c r="FL381" s="2287"/>
      <c r="FM381" s="2287"/>
      <c r="FN381" s="2287"/>
      <c r="FO381" s="2288"/>
      <c r="FQ381" s="139" t="s">
        <v>910</v>
      </c>
      <c r="FR381" s="132" t="s">
        <v>909</v>
      </c>
      <c r="FS381" s="132" t="s">
        <v>903</v>
      </c>
      <c r="FT381" s="119" t="s">
        <v>904</v>
      </c>
      <c r="FU381" s="216" t="s">
        <v>905</v>
      </c>
      <c r="FW381" s="667">
        <f t="shared" si="196"/>
        <v>0</v>
      </c>
      <c r="FX381" s="32"/>
      <c r="FY381" s="32"/>
      <c r="FZ381" s="668"/>
      <c r="GA381" s="14"/>
      <c r="GB381" s="32"/>
      <c r="GC381" s="32"/>
      <c r="GE381" s="672"/>
      <c r="GF381" s="672"/>
      <c r="GG381" s="672"/>
      <c r="GH381" s="672"/>
      <c r="GI381" s="672"/>
      <c r="GJ381" s="672"/>
      <c r="GK381" s="672"/>
      <c r="GL381" s="672"/>
      <c r="GM381" s="672"/>
      <c r="GN381" s="672"/>
      <c r="GO381" s="672"/>
      <c r="GP381" s="672"/>
      <c r="GQ381" s="672"/>
      <c r="GR381" s="672"/>
      <c r="GS381" s="672"/>
      <c r="GT381" s="672"/>
      <c r="GU381" s="672"/>
      <c r="GV381" s="672"/>
      <c r="GW381" s="32"/>
      <c r="GX381" s="32"/>
      <c r="GY381" s="32"/>
      <c r="HB381" s="672"/>
      <c r="HC381" s="672"/>
      <c r="HD381" s="672"/>
      <c r="HE381" s="672"/>
      <c r="HF381" s="672"/>
      <c r="HG381" s="672"/>
      <c r="HH381" s="672"/>
      <c r="HI381" s="672"/>
      <c r="HJ381" s="672"/>
      <c r="HK381" s="672"/>
      <c r="HL381" s="672"/>
      <c r="HM381" s="672"/>
      <c r="HN381" s="672"/>
      <c r="HO381" s="672"/>
      <c r="HP381" s="672"/>
      <c r="HQ381" s="672"/>
      <c r="HR381" s="672"/>
      <c r="HT381" s="1135"/>
      <c r="HU381" s="1135"/>
      <c r="HV381" s="1135"/>
      <c r="HW381" s="1135"/>
      <c r="HX381" s="1135"/>
    </row>
    <row r="382" spans="1:232" s="19" customFormat="1" ht="50.1" customHeight="1" x14ac:dyDescent="0.15">
      <c r="A382" s="1201"/>
      <c r="B382" s="1201"/>
      <c r="C382" s="1201"/>
      <c r="D382" s="1201"/>
      <c r="E382" s="1202"/>
      <c r="F382" s="652"/>
      <c r="G382" s="652"/>
      <c r="H382" s="652"/>
      <c r="I382" s="1357"/>
      <c r="J382" s="1234"/>
      <c r="K382" s="1261"/>
      <c r="L382" s="1261"/>
      <c r="M382" s="2423" t="s">
        <v>1150</v>
      </c>
      <c r="N382" s="2423"/>
      <c r="O382" s="2424"/>
      <c r="P382" s="2433" t="s">
        <v>82</v>
      </c>
      <c r="Q382" s="2477"/>
      <c r="R382" s="2429" t="s">
        <v>212</v>
      </c>
      <c r="S382" s="2429"/>
      <c r="T382" s="2429"/>
      <c r="U382" s="2429"/>
      <c r="V382" s="2429"/>
      <c r="W382" s="2429"/>
      <c r="X382" s="2429"/>
      <c r="Y382" s="2429"/>
      <c r="Z382" s="2429"/>
      <c r="AA382" s="2429"/>
      <c r="AB382" s="2429"/>
      <c r="AC382" s="2429"/>
      <c r="AD382" s="2429"/>
      <c r="AE382" s="2429"/>
      <c r="AF382" s="2293"/>
      <c r="AG382" s="2293"/>
      <c r="AH382" s="2293"/>
      <c r="AI382" s="2293"/>
      <c r="AJ382" s="2293"/>
      <c r="AK382" s="2293"/>
      <c r="AL382" s="2293"/>
      <c r="AM382" s="2293"/>
      <c r="AN382" s="2293"/>
      <c r="AO382" s="2293"/>
      <c r="AP382" s="2293"/>
      <c r="AQ382" s="2293"/>
      <c r="AR382" s="2359"/>
      <c r="AS382" s="2359"/>
      <c r="AT382" s="2301"/>
      <c r="AU382" s="2301"/>
      <c r="AV382" s="2301"/>
      <c r="AW382" s="2301"/>
      <c r="AX382" s="2301"/>
      <c r="AY382" s="2301"/>
      <c r="AZ382" s="2301"/>
      <c r="BA382" s="2301"/>
      <c r="BB382" s="2301"/>
      <c r="BC382" s="2301"/>
      <c r="BD382" s="2301"/>
      <c r="BE382" s="2301"/>
      <c r="BF382" s="2301"/>
      <c r="BG382" s="2301"/>
      <c r="BH382" s="2301"/>
      <c r="BI382" s="2301"/>
      <c r="BJ382" s="2301"/>
      <c r="BK382" s="2301"/>
      <c r="BL382" s="2301"/>
      <c r="BM382" s="2301"/>
      <c r="BN382" s="2301"/>
      <c r="BO382" s="2301"/>
      <c r="BP382" s="2301"/>
      <c r="BQ382" s="2301"/>
      <c r="BR382" s="2301"/>
      <c r="BS382" s="2358"/>
      <c r="BT382" s="2358"/>
      <c r="BU382" s="2358"/>
      <c r="BV382" s="2358"/>
      <c r="BW382" s="2358"/>
      <c r="BX382" s="2358"/>
      <c r="BY382" s="2358"/>
      <c r="BZ382" s="2359"/>
      <c r="CA382" s="2359"/>
      <c r="CB382" s="2360" t="s">
        <v>1929</v>
      </c>
      <c r="CC382" s="2361"/>
      <c r="CD382" s="2361"/>
      <c r="CE382" s="2361"/>
      <c r="CF382" s="2361"/>
      <c r="CG382" s="2361"/>
      <c r="CH382" s="2361"/>
      <c r="CI382" s="2361"/>
      <c r="CJ382" s="2361"/>
      <c r="CK382" s="2361"/>
      <c r="CL382" s="2361"/>
      <c r="CM382" s="2361"/>
      <c r="CN382" s="2361"/>
      <c r="CO382" s="2361"/>
      <c r="CP382" s="2361"/>
      <c r="CQ382" s="2361"/>
      <c r="CR382" s="2361"/>
      <c r="CS382" s="2361"/>
      <c r="CT382" s="2361"/>
      <c r="CU382" s="2362"/>
      <c r="CV382" s="2300" t="str">
        <f t="shared" ref="CV382:CV426" si="293">IF(AND(DT382="要是正",DU382&lt;21),HYPERLINK("#"&amp;EL382&amp;"!"&amp;EM382&amp;":"&amp;EN382&amp;"","関連写真添付"),"")</f>
        <v/>
      </c>
      <c r="CW382" s="2300"/>
      <c r="CX382" s="2300"/>
      <c r="CY382" s="2300"/>
      <c r="CZ382" s="2300"/>
      <c r="DA382" s="2300"/>
      <c r="DC382" s="329" t="str">
        <f t="shared" ref="DC382:DC414" si="294">IF(AND(DU382&lt;&gt;"",DU382&gt;20),"「別途様式を作成、提出してください。」","")</f>
        <v/>
      </c>
      <c r="DD382" s="197"/>
      <c r="DF382" s="14"/>
      <c r="DG382" s="14"/>
      <c r="DH382" s="14"/>
      <c r="DI382" s="1596"/>
      <c r="DJ382" s="1170" t="s">
        <v>2749</v>
      </c>
      <c r="DK382" s="1604" t="str">
        <f t="shared" ref="DK382:DK413" si="295">IF(DS382=2,DATE(VLOOKUP(DJ382,$DU$6:$DV$9,2,FALSE)+BS382,BV382,1),"")</f>
        <v/>
      </c>
      <c r="DL382" s="437" t="str">
        <f t="shared" ref="DL382:DL413" si="296">IF(DS382=2,DJ382&amp;BS382&amp;"."&amp;BV382,"")</f>
        <v/>
      </c>
      <c r="DM382" s="1128">
        <f t="shared" ref="DM382:DM413" si="297">COUNTIFS(AF382,"―対象外")</f>
        <v>0</v>
      </c>
      <c r="DN382" s="22">
        <f t="shared" ref="DN382:DN413" si="298">COUNTIFS(AF382,"○指摘なし")</f>
        <v>0</v>
      </c>
      <c r="DO382" s="22">
        <f t="shared" ref="DO382:DO413" si="299">COUNTIFS(AF382,"×要是正（既存不適格以外）")</f>
        <v>0</v>
      </c>
      <c r="DP382" s="264">
        <f t="shared" ref="DP382:DP413" si="300">COUNTIFS(AF382,"△既存不適格")</f>
        <v>0</v>
      </c>
      <c r="DQ382" s="32" t="s">
        <v>728</v>
      </c>
      <c r="DR382" s="263" t="str">
        <f>IF($U382="",R382,U382)</f>
        <v>令第112条第11項から第13項までに規定する区画の状況</v>
      </c>
      <c r="DS382" s="23">
        <f t="shared" ref="DS382:DS413" si="301">COUNTA(BS382:BX382)</f>
        <v>0</v>
      </c>
      <c r="DT382" s="29" t="str">
        <f t="shared" ref="DT382:DT413" si="302">IF(AF382="×要是正（既存不適格以外）","要是正","")&amp;IF(AF382="△既存不適格","既存不適格","")</f>
        <v/>
      </c>
      <c r="DU382" s="242" t="str">
        <f t="shared" ref="DU382:DU431" si="303">IF(HV382="","",HV382)</f>
        <v/>
      </c>
      <c r="DV382" s="57" t="str">
        <f>IF($DT382="要是正",MAX($DV$378:DV379)+1,"")</f>
        <v/>
      </c>
      <c r="DW382" s="30" t="str">
        <f t="shared" ref="DW382:DW413" si="304">IF(OR(AF382="×要是正（既存不適格以外）",AF382="△既存不適格"),DQ382,"")</f>
        <v/>
      </c>
      <c r="DX382" s="30" t="str">
        <f t="shared" ref="DX382:DX422" si="305">IF(OR($DT382="要是正",$DT382="既存不適格"),$DR382,"")</f>
        <v/>
      </c>
      <c r="DY382" s="13" t="str">
        <f t="shared" ref="DY382:DY422" si="306">IF($DT382="要是正",IF(AT382="","",DQ382 &amp;" " &amp; AT382),"")</f>
        <v/>
      </c>
      <c r="DZ382" s="121" t="str">
        <f t="shared" ref="DZ382:DZ413" si="307">IF($DT382="要是正",IF(BD382="","",BD382),"")</f>
        <v/>
      </c>
      <c r="EA382" s="256" t="str">
        <f t="shared" ref="EA382:EA413" si="308">IF(BY382="未定","未定",IF(FR382="0","",IF(BY382="予定","("&amp;DL382&amp;")",IF(BY382="改善済",DL382,DL382))))</f>
        <v/>
      </c>
      <c r="EB382" s="138" t="str">
        <f t="shared" ref="EB382:EB413" si="309">IF(OR(DT382="要是正",DT382="既存不適格"),IF(OR(DS382&lt;2,BY382&lt;&gt;"予定"),"",DK382),"")</f>
        <v/>
      </c>
      <c r="EC382" s="131" t="str">
        <f t="shared" ref="EC382:EC431" si="310">IF(EB382="","0",EB382)</f>
        <v>0</v>
      </c>
      <c r="ED382" s="54" t="str">
        <f t="shared" ref="ED382:ED422" si="311">IF(DT382="要是正",IF(AND(BY382="予定",DS382=2),1,IF(BY382="改善済",2,"")),"")</f>
        <v/>
      </c>
      <c r="EE382" s="131" t="str">
        <f>IF(ED382=1,EC382,"0")</f>
        <v>0</v>
      </c>
      <c r="EF382" s="37" t="str">
        <f t="shared" ref="EF382:EF422" si="312">IF(AND(DT382="要是正",AND(DS382=0,BY382="未定")),BY382,"")</f>
        <v/>
      </c>
      <c r="EG382" s="108" t="str">
        <f t="shared" ref="EG382:EG413" si="313">IF(DT382="既存不適格",IF(OR(DS382&lt;2,BY382&lt;&gt;"予定"),"",DK382),"")</f>
        <v/>
      </c>
      <c r="EH382" s="41" t="str">
        <f t="shared" ref="EH382:EH431" si="314">IF(EG382="","0",EG382)</f>
        <v>0</v>
      </c>
      <c r="EI382" s="54" t="str">
        <f t="shared" ref="EI382:EI413" si="315">IF(DT382="既存不適格",IF(AND(BY382="予定",DS382=2),1,IF(BY382="改善済",2,"")),"")</f>
        <v/>
      </c>
      <c r="EJ382" s="131" t="str">
        <f>IF(EI382=1,EH382,"0")</f>
        <v>0</v>
      </c>
      <c r="EK382" s="241" t="str">
        <f t="shared" ref="EK382:EK413" si="316">IF(AND(DT382="既存不適格",AND(DS382=0,BY382="未定")),BY382,"")</f>
        <v/>
      </c>
      <c r="EL382" s="242" t="e">
        <f t="shared" ref="EL382:EL426" si="317">VLOOKUP($DU382,$EO$318:$ER$346,2,FALSE)</f>
        <v>#N/A</v>
      </c>
      <c r="EM382" s="57" t="e">
        <f t="shared" ref="EM382:EM426" si="318">VLOOKUP($DU382,$EO$318:$ER$346,3,FALSE)</f>
        <v>#N/A</v>
      </c>
      <c r="EN382" s="243" t="e">
        <f t="shared" ref="EN382:EN426" si="319">VLOOKUP($DU382,$EO$318:$ER$346,4,FALSE)</f>
        <v>#N/A</v>
      </c>
      <c r="EO382" s="15"/>
      <c r="EP382" s="15"/>
      <c r="EQ382" s="15"/>
      <c r="ER382" s="15"/>
      <c r="ES382" s="15"/>
      <c r="ET382" s="15"/>
      <c r="EU382" s="15"/>
      <c r="EV382" s="15"/>
      <c r="EW382" s="15"/>
      <c r="EX382" s="15"/>
      <c r="EY382" s="15"/>
      <c r="EZ382" s="15"/>
      <c r="FA382" s="15"/>
      <c r="FB382" s="15"/>
      <c r="FC382" s="15"/>
      <c r="FD382" s="15"/>
      <c r="FE382" s="15"/>
      <c r="FF382" s="15"/>
      <c r="FG382" s="15"/>
      <c r="FH382" s="15"/>
      <c r="FI382" s="15"/>
      <c r="FK382" s="326" t="str">
        <f>IF($AF382="○指摘なし","○",IF($AF382="―対象外","―",""))</f>
        <v/>
      </c>
      <c r="FL382" s="326" t="str">
        <f>IF(OR($AF382="×要是正（既存不適格以外）",$AF382="△既存不適格"),"○",IF($AF382="―対象外","―",""))</f>
        <v/>
      </c>
      <c r="FM382" s="326" t="str">
        <f>IF($AF382="△既存不適格","○",IF($AF382="―対象外","―",""))</f>
        <v/>
      </c>
      <c r="FN382" s="326">
        <f t="shared" ref="FN382:FN413" si="320">IF($AF382="―対象外","―",AR382)</f>
        <v>0</v>
      </c>
      <c r="FO382" s="670" t="str">
        <f>IF($AF382="―対象外","○","")</f>
        <v/>
      </c>
      <c r="FQ382" s="138" t="str">
        <f t="shared" ref="FQ382:FQ413" si="321">IF(NOT(OR(BY382="未定",BY382="")),DK382,"")</f>
        <v/>
      </c>
      <c r="FR382" s="131" t="str">
        <f t="shared" ref="FR382:FR431" si="322">IF(FQ382="","0",FQ382)</f>
        <v>0</v>
      </c>
      <c r="FS382" s="54" t="str">
        <f t="shared" ref="FS382:FS422" si="323">IF(OR(BY382="予定",BY382="改善済"),1,"")</f>
        <v/>
      </c>
      <c r="FT382" s="131" t="str">
        <f>IF(FS382=1,FR382,"0")</f>
        <v>0</v>
      </c>
      <c r="FU382" s="217" t="str">
        <f t="shared" ref="FU382:FU422" si="324">IF(AND(FM382="要是正",AND(FL382=0,DR382="未定")),DR382,"")</f>
        <v/>
      </c>
      <c r="FW382" s="667">
        <f t="shared" si="196"/>
        <v>0</v>
      </c>
      <c r="FX382" s="32"/>
      <c r="FY382" s="32"/>
      <c r="FZ382" s="668"/>
      <c r="GA382" s="14"/>
      <c r="GB382" s="658">
        <f t="shared" ref="GB382:GB413" si="325">IF(BY382="予定",1,0)</f>
        <v>0</v>
      </c>
      <c r="GC382" s="658">
        <f t="shared" ref="GC382:GC413" si="326">IF(BY382="改善済",1,0)</f>
        <v>0</v>
      </c>
      <c r="GD382" s="658">
        <f t="shared" ref="GD382:GD413" si="327">IF(BY382="未定",1,0)</f>
        <v>0</v>
      </c>
      <c r="GE382" s="658" t="str">
        <f t="shared" ref="GE382:GE413" si="328">IF(GE$318=$M382,$BY$520,"")</f>
        <v/>
      </c>
      <c r="GF382" s="658" t="str">
        <f t="shared" ref="GF382:GF413" si="329">IF(GF$318=$M382,$BY$521,"")</f>
        <v/>
      </c>
      <c r="GG382" s="658" t="str">
        <f t="shared" ref="GG382:GG413" si="330">IF(GG$318=$M382,$BY$522,"")</f>
        <v/>
      </c>
      <c r="GH382" s="658" t="str">
        <f t="shared" ref="GH382:GH413" si="331">IF(GH$318=$M382,$BY$523,"")</f>
        <v/>
      </c>
      <c r="GI382" s="658" t="str">
        <f t="shared" ref="GI382:GI413" si="332">IF(GI$318=$M382,$BY$524,"")</f>
        <v/>
      </c>
      <c r="GJ382" s="658" t="str">
        <f t="shared" ref="GJ382:GJ413" si="333">IF(GJ$318=$M382,$BY$525,"")</f>
        <v/>
      </c>
      <c r="GK382" s="658" t="str">
        <f t="shared" ref="GK382:GK413" si="334">IF(GK$318=$M382,$BY$526,"")</f>
        <v/>
      </c>
      <c r="GL382" s="658" t="str">
        <f t="shared" ref="GL382:GL413" si="335">IF(GL$318=$M382,$BY$527,"")</f>
        <v/>
      </c>
      <c r="GM382" s="658" t="str">
        <f t="shared" ref="GM382:GM413" si="336">IF(GM$318=$M382,$BY$528,"")</f>
        <v/>
      </c>
      <c r="GN382" s="658" t="str">
        <f t="shared" ref="GN382:GN413" si="337">IF(GN$318=$M382,$BY$529,"")</f>
        <v/>
      </c>
      <c r="GO382" s="658" t="str">
        <f t="shared" ref="GO382:GO413" si="338">IF(GO$318=$M382,$BY$530,"")</f>
        <v/>
      </c>
      <c r="GP382" s="658" t="str">
        <f t="shared" ref="GP382:GP413" si="339">IF(GP$318=$M382,$BY$531,"")</f>
        <v/>
      </c>
      <c r="GQ382" s="658" t="str">
        <f t="shared" ref="GQ382:GQ413" si="340">IF(GQ$318=$M382,$BY$532,"")</f>
        <v/>
      </c>
      <c r="GR382" s="658" t="str">
        <f t="shared" ref="GR382:GR413" si="341">IF(GR$318=$M382,$BY$533,"")</f>
        <v/>
      </c>
      <c r="GS382" s="658" t="str">
        <f t="shared" ref="GS382:GS413" si="342">IF(GS$318=$M382,$BY$534,"")</f>
        <v/>
      </c>
      <c r="GT382" s="658">
        <f t="shared" si="94"/>
        <v>0</v>
      </c>
      <c r="GU382" s="658">
        <f t="shared" si="95"/>
        <v>0</v>
      </c>
      <c r="GV382" s="658">
        <f t="shared" si="96"/>
        <v>0</v>
      </c>
      <c r="GW382" s="658" t="b">
        <f t="shared" si="97"/>
        <v>0</v>
      </c>
      <c r="GX382" s="658" t="b">
        <f t="shared" si="98"/>
        <v>0</v>
      </c>
      <c r="GY382" s="658" t="b">
        <f t="shared" si="99"/>
        <v>0</v>
      </c>
      <c r="GZ382" s="658" t="str">
        <f t="shared" si="173"/>
        <v/>
      </c>
      <c r="HB382" s="658" t="str">
        <f t="shared" si="101"/>
        <v/>
      </c>
      <c r="HC382" s="658" t="str">
        <f t="shared" ref="HC382:HC413" si="343">IF(HC$318=$M382,$FW$520&amp;", ","")</f>
        <v/>
      </c>
      <c r="HD382" s="658" t="str">
        <f t="shared" ref="HD382:HD413" si="344">IF(HD$318=$M382,$FW$521&amp;", ","")</f>
        <v/>
      </c>
      <c r="HE382" s="658" t="str">
        <f t="shared" ref="HE382:HE413" si="345">IF(HE$318=$M382,$FW$522&amp;", ","")</f>
        <v/>
      </c>
      <c r="HF382" s="658" t="str">
        <f t="shared" ref="HF382:HF413" si="346">IF(HF$318=$M382,$FW$523&amp;", ","")</f>
        <v/>
      </c>
      <c r="HG382" s="658" t="str">
        <f t="shared" ref="HG382:HG413" si="347">IF(HG$318=$M382,$FW$524&amp;", ","")</f>
        <v/>
      </c>
      <c r="HH382" s="658" t="str">
        <f t="shared" ref="HH382:HH413" si="348">IF(HH$318=$M382,$FW$525&amp;", ","")</f>
        <v/>
      </c>
      <c r="HI382" s="658" t="str">
        <f t="shared" ref="HI382:HI413" si="349">IF(HI$318=$M382,$FW$526&amp;", ","")</f>
        <v/>
      </c>
      <c r="HJ382" s="658" t="str">
        <f t="shared" ref="HJ382:HJ413" si="350">IF(HJ$318=$M382,$FW$527&amp;", ","")</f>
        <v/>
      </c>
      <c r="HK382" s="658" t="str">
        <f t="shared" ref="HK382:HK413" si="351">IF(HK$318=$M382,$FW$528&amp;", ","")</f>
        <v/>
      </c>
      <c r="HL382" s="658" t="str">
        <f t="shared" ref="HL382:HL413" si="352">IF(HL$318=$M382,$FW$529&amp;", ","")</f>
        <v/>
      </c>
      <c r="HM382" s="658" t="str">
        <f t="shared" ref="HM382:HM413" si="353">IF(HM$318=$M382,$FW$530&amp;", ","")</f>
        <v/>
      </c>
      <c r="HN382" s="658" t="str">
        <f t="shared" ref="HN382:HN413" si="354">IF(HN$318=$M382,$FW$531&amp;", ","")</f>
        <v/>
      </c>
      <c r="HO382" s="658" t="str">
        <f t="shared" ref="HO382:HO413" si="355">IF(HO$318=$M382,$FW$532&amp;", ","")</f>
        <v/>
      </c>
      <c r="HP382" s="658" t="str">
        <f t="shared" ref="HP382:HP413" si="356">IF(HP$318=$M382,$FW$533&amp;", ","")</f>
        <v/>
      </c>
      <c r="HQ382" s="658" t="str">
        <f t="shared" ref="HQ382:HQ413" si="357">IF(HQ$318=$M382,$FW$534&amp;", ","")</f>
        <v/>
      </c>
      <c r="HR382" s="658" t="str">
        <f t="shared" si="102"/>
        <v/>
      </c>
      <c r="HT382" s="658">
        <f>LEFT(M382,1)*10000+MID(M382,3,LEN(M382)-3)*100+COUNTIF($M$319:M382,M382)</f>
        <v>40101</v>
      </c>
      <c r="HU382" s="658" t="str">
        <f t="shared" si="103"/>
        <v/>
      </c>
      <c r="HV382" s="658" t="str">
        <f t="shared" ref="HV382:HV413" si="358">IF(HU382="","",RANK(HU382,HU$319:HU$534,1))</f>
        <v/>
      </c>
      <c r="HW382" s="658" t="str">
        <f t="shared" si="104"/>
        <v/>
      </c>
      <c r="HX382" s="658" t="str">
        <f t="shared" ref="HX382:HX413" si="359">IF(HW382="","",RANK(HW382,HW$319:HW$534,1))</f>
        <v/>
      </c>
    </row>
    <row r="383" spans="1:232" s="19" customFormat="1" ht="50.1" customHeight="1" x14ac:dyDescent="0.15">
      <c r="A383" s="1201"/>
      <c r="B383" s="1201"/>
      <c r="C383" s="1201"/>
      <c r="D383" s="1201"/>
      <c r="E383" s="1202"/>
      <c r="F383" s="652"/>
      <c r="G383" s="652"/>
      <c r="H383" s="652"/>
      <c r="I383" s="1357"/>
      <c r="J383" s="1234"/>
      <c r="K383" s="1261"/>
      <c r="L383" s="1261"/>
      <c r="M383" s="2423" t="s">
        <v>1151</v>
      </c>
      <c r="N383" s="2423"/>
      <c r="O383" s="2424"/>
      <c r="P383" s="2477"/>
      <c r="Q383" s="2477"/>
      <c r="R383" s="2429" t="s">
        <v>213</v>
      </c>
      <c r="S383" s="2429"/>
      <c r="T383" s="2429"/>
      <c r="U383" s="2429"/>
      <c r="V383" s="2429"/>
      <c r="W383" s="2429"/>
      <c r="X383" s="2429"/>
      <c r="Y383" s="2429"/>
      <c r="Z383" s="2429"/>
      <c r="AA383" s="2429"/>
      <c r="AB383" s="2429"/>
      <c r="AC383" s="2429"/>
      <c r="AD383" s="2429"/>
      <c r="AE383" s="2429"/>
      <c r="AF383" s="2440"/>
      <c r="AG383" s="2441"/>
      <c r="AH383" s="2441"/>
      <c r="AI383" s="2441"/>
      <c r="AJ383" s="2441"/>
      <c r="AK383" s="2441"/>
      <c r="AL383" s="2441"/>
      <c r="AM383" s="2441"/>
      <c r="AN383" s="2441"/>
      <c r="AO383" s="2441"/>
      <c r="AP383" s="2441"/>
      <c r="AQ383" s="2442"/>
      <c r="AR383" s="2359"/>
      <c r="AS383" s="2359"/>
      <c r="AT383" s="2301"/>
      <c r="AU383" s="2301"/>
      <c r="AV383" s="2301"/>
      <c r="AW383" s="2301"/>
      <c r="AX383" s="2301"/>
      <c r="AY383" s="2301"/>
      <c r="AZ383" s="2301"/>
      <c r="BA383" s="2301"/>
      <c r="BB383" s="2301"/>
      <c r="BC383" s="2301"/>
      <c r="BD383" s="2301"/>
      <c r="BE383" s="2301"/>
      <c r="BF383" s="2301"/>
      <c r="BG383" s="2301"/>
      <c r="BH383" s="2301"/>
      <c r="BI383" s="2301"/>
      <c r="BJ383" s="2301"/>
      <c r="BK383" s="2301"/>
      <c r="BL383" s="2301"/>
      <c r="BM383" s="2301"/>
      <c r="BN383" s="2301"/>
      <c r="BO383" s="2301"/>
      <c r="BP383" s="2301"/>
      <c r="BQ383" s="2301"/>
      <c r="BR383" s="2301"/>
      <c r="BS383" s="2358"/>
      <c r="BT383" s="2358"/>
      <c r="BU383" s="2358"/>
      <c r="BV383" s="2358"/>
      <c r="BW383" s="2358"/>
      <c r="BX383" s="2358"/>
      <c r="BY383" s="2358"/>
      <c r="BZ383" s="2359"/>
      <c r="CA383" s="2359"/>
      <c r="CB383" s="2728" t="s">
        <v>1920</v>
      </c>
      <c r="CC383" s="2729"/>
      <c r="CD383" s="2729"/>
      <c r="CE383" s="2729"/>
      <c r="CF383" s="2729"/>
      <c r="CG383" s="2729"/>
      <c r="CH383" s="2729"/>
      <c r="CI383" s="2729"/>
      <c r="CJ383" s="2729"/>
      <c r="CK383" s="2729"/>
      <c r="CL383" s="2729"/>
      <c r="CM383" s="2729"/>
      <c r="CN383" s="2729"/>
      <c r="CO383" s="2729"/>
      <c r="CP383" s="2729"/>
      <c r="CQ383" s="2729"/>
      <c r="CR383" s="2729"/>
      <c r="CS383" s="2729"/>
      <c r="CT383" s="2729"/>
      <c r="CU383" s="2730"/>
      <c r="CV383" s="2300" t="str">
        <f t="shared" si="293"/>
        <v/>
      </c>
      <c r="CW383" s="2300"/>
      <c r="CX383" s="2300"/>
      <c r="CY383" s="2300"/>
      <c r="CZ383" s="2300"/>
      <c r="DA383" s="2300"/>
      <c r="DC383" s="329" t="str">
        <f t="shared" si="294"/>
        <v/>
      </c>
      <c r="DD383" s="197"/>
      <c r="DF383" s="14"/>
      <c r="DG383" s="14"/>
      <c r="DH383" s="14"/>
      <c r="DI383" s="1596"/>
      <c r="DJ383" s="1170" t="s">
        <v>2749</v>
      </c>
      <c r="DK383" s="1604" t="str">
        <f t="shared" si="295"/>
        <v/>
      </c>
      <c r="DL383" s="437" t="str">
        <f t="shared" si="296"/>
        <v/>
      </c>
      <c r="DM383" s="1128">
        <f t="shared" si="297"/>
        <v>0</v>
      </c>
      <c r="DN383" s="22">
        <f t="shared" si="298"/>
        <v>0</v>
      </c>
      <c r="DO383" s="22">
        <f t="shared" si="299"/>
        <v>0</v>
      </c>
      <c r="DP383" s="264">
        <f t="shared" si="300"/>
        <v>0</v>
      </c>
      <c r="DQ383" s="32" t="s">
        <v>729</v>
      </c>
      <c r="DR383" s="263" t="str">
        <f>IF($U383="",R383,U383)</f>
        <v>令第112条第1項、第4項、第5項又は第7項から第10項までの各項に規定する区画の状況</v>
      </c>
      <c r="DS383" s="23">
        <f t="shared" si="301"/>
        <v>0</v>
      </c>
      <c r="DT383" s="29" t="str">
        <f t="shared" si="302"/>
        <v/>
      </c>
      <c r="DU383" s="242" t="str">
        <f t="shared" si="303"/>
        <v/>
      </c>
      <c r="DV383" s="57" t="str">
        <f>IF($DT383="要是正",MAX($DV$378:DV382)+1,"")</f>
        <v/>
      </c>
      <c r="DW383" s="30" t="str">
        <f t="shared" si="304"/>
        <v/>
      </c>
      <c r="DX383" s="30" t="str">
        <f t="shared" si="305"/>
        <v/>
      </c>
      <c r="DY383" s="13" t="str">
        <f t="shared" si="306"/>
        <v/>
      </c>
      <c r="DZ383" s="121" t="str">
        <f t="shared" si="307"/>
        <v/>
      </c>
      <c r="EA383" s="256" t="str">
        <f t="shared" si="308"/>
        <v/>
      </c>
      <c r="EB383" s="138" t="str">
        <f t="shared" si="309"/>
        <v/>
      </c>
      <c r="EC383" s="131" t="str">
        <f t="shared" si="310"/>
        <v>0</v>
      </c>
      <c r="ED383" s="54" t="str">
        <f t="shared" si="311"/>
        <v/>
      </c>
      <c r="EE383" s="131" t="str">
        <f t="shared" ref="EE383:EE422" si="360">IF(ED383=1,EC383,"0")</f>
        <v>0</v>
      </c>
      <c r="EF383" s="37" t="str">
        <f t="shared" si="312"/>
        <v/>
      </c>
      <c r="EG383" s="108" t="str">
        <f t="shared" si="313"/>
        <v/>
      </c>
      <c r="EH383" s="41" t="str">
        <f t="shared" si="314"/>
        <v>0</v>
      </c>
      <c r="EI383" s="54" t="str">
        <f t="shared" si="315"/>
        <v/>
      </c>
      <c r="EJ383" s="131" t="str">
        <f t="shared" ref="EJ383:EJ422" si="361">IF(EI383=1,EH383,"0")</f>
        <v>0</v>
      </c>
      <c r="EK383" s="241" t="str">
        <f t="shared" si="316"/>
        <v/>
      </c>
      <c r="EL383" s="242" t="e">
        <f t="shared" si="317"/>
        <v>#N/A</v>
      </c>
      <c r="EM383" s="57" t="e">
        <f t="shared" si="318"/>
        <v>#N/A</v>
      </c>
      <c r="EN383" s="243" t="e">
        <f t="shared" si="319"/>
        <v>#N/A</v>
      </c>
      <c r="FK383" s="326" t="str">
        <f>IF($AF383="○指摘なし","○",IF($AF383="―対象外","―",""))</f>
        <v/>
      </c>
      <c r="FL383" s="326" t="str">
        <f>IF(OR($AF383="×要是正（既存不適格以外）",$AF383="△既存不適格"),"○",IF($AF383="―対象外","―",""))</f>
        <v/>
      </c>
      <c r="FM383" s="326" t="str">
        <f>IF($AF383="△既存不適格","○",IF($AF383="―対象外","―",""))</f>
        <v/>
      </c>
      <c r="FN383" s="326">
        <f t="shared" si="320"/>
        <v>0</v>
      </c>
      <c r="FO383" s="670" t="str">
        <f>IF($AF383="―対象外","○","")</f>
        <v/>
      </c>
      <c r="FQ383" s="138" t="str">
        <f t="shared" si="321"/>
        <v/>
      </c>
      <c r="FR383" s="131" t="str">
        <f t="shared" si="322"/>
        <v>0</v>
      </c>
      <c r="FS383" s="54" t="str">
        <f t="shared" si="323"/>
        <v/>
      </c>
      <c r="FT383" s="131" t="str">
        <f t="shared" ref="FT383:FT426" si="362">IF(FS383=1,FR383,"0")</f>
        <v>0</v>
      </c>
      <c r="FU383" s="217" t="str">
        <f t="shared" si="324"/>
        <v/>
      </c>
      <c r="FW383" s="667">
        <f t="shared" ref="FW383:FW414" si="363">IF(AF383="△既存不適格",AT383&amp;"(既存不適格)",AT383)</f>
        <v>0</v>
      </c>
      <c r="FX383" s="32"/>
      <c r="FY383" s="32"/>
      <c r="FZ383" s="668"/>
      <c r="GA383" s="14"/>
      <c r="GB383" s="658">
        <f t="shared" si="325"/>
        <v>0</v>
      </c>
      <c r="GC383" s="658">
        <f t="shared" si="326"/>
        <v>0</v>
      </c>
      <c r="GD383" s="658">
        <f t="shared" si="327"/>
        <v>0</v>
      </c>
      <c r="GE383" s="658" t="str">
        <f t="shared" si="328"/>
        <v/>
      </c>
      <c r="GF383" s="658" t="str">
        <f t="shared" si="329"/>
        <v/>
      </c>
      <c r="GG383" s="658" t="str">
        <f t="shared" si="330"/>
        <v/>
      </c>
      <c r="GH383" s="658" t="str">
        <f t="shared" si="331"/>
        <v/>
      </c>
      <c r="GI383" s="658" t="str">
        <f t="shared" si="332"/>
        <v/>
      </c>
      <c r="GJ383" s="658" t="str">
        <f t="shared" si="333"/>
        <v/>
      </c>
      <c r="GK383" s="658" t="str">
        <f t="shared" si="334"/>
        <v/>
      </c>
      <c r="GL383" s="658" t="str">
        <f t="shared" si="335"/>
        <v/>
      </c>
      <c r="GM383" s="658" t="str">
        <f t="shared" si="336"/>
        <v/>
      </c>
      <c r="GN383" s="658" t="str">
        <f t="shared" si="337"/>
        <v/>
      </c>
      <c r="GO383" s="658" t="str">
        <f t="shared" si="338"/>
        <v/>
      </c>
      <c r="GP383" s="658" t="str">
        <f t="shared" si="339"/>
        <v/>
      </c>
      <c r="GQ383" s="658" t="str">
        <f t="shared" si="340"/>
        <v/>
      </c>
      <c r="GR383" s="658" t="str">
        <f t="shared" si="341"/>
        <v/>
      </c>
      <c r="GS383" s="658" t="str">
        <f t="shared" si="342"/>
        <v/>
      </c>
      <c r="GT383" s="658">
        <f t="shared" si="94"/>
        <v>0</v>
      </c>
      <c r="GU383" s="658">
        <f t="shared" si="95"/>
        <v>0</v>
      </c>
      <c r="GV383" s="658">
        <f t="shared" si="96"/>
        <v>0</v>
      </c>
      <c r="GW383" s="658" t="b">
        <f t="shared" si="97"/>
        <v>0</v>
      </c>
      <c r="GX383" s="658" t="b">
        <f t="shared" si="98"/>
        <v>0</v>
      </c>
      <c r="GY383" s="658" t="b">
        <f t="shared" si="99"/>
        <v>0</v>
      </c>
      <c r="GZ383" s="658" t="str">
        <f t="shared" si="173"/>
        <v/>
      </c>
      <c r="HB383" s="658" t="str">
        <f t="shared" si="101"/>
        <v/>
      </c>
      <c r="HC383" s="658" t="str">
        <f t="shared" si="343"/>
        <v/>
      </c>
      <c r="HD383" s="658" t="str">
        <f t="shared" si="344"/>
        <v/>
      </c>
      <c r="HE383" s="658" t="str">
        <f t="shared" si="345"/>
        <v/>
      </c>
      <c r="HF383" s="658" t="str">
        <f t="shared" si="346"/>
        <v/>
      </c>
      <c r="HG383" s="658" t="str">
        <f t="shared" si="347"/>
        <v/>
      </c>
      <c r="HH383" s="658" t="str">
        <f t="shared" si="348"/>
        <v/>
      </c>
      <c r="HI383" s="658" t="str">
        <f t="shared" si="349"/>
        <v/>
      </c>
      <c r="HJ383" s="658" t="str">
        <f t="shared" si="350"/>
        <v/>
      </c>
      <c r="HK383" s="658" t="str">
        <f t="shared" si="351"/>
        <v/>
      </c>
      <c r="HL383" s="658" t="str">
        <f t="shared" si="352"/>
        <v/>
      </c>
      <c r="HM383" s="658" t="str">
        <f t="shared" si="353"/>
        <v/>
      </c>
      <c r="HN383" s="658" t="str">
        <f t="shared" si="354"/>
        <v/>
      </c>
      <c r="HO383" s="658" t="str">
        <f t="shared" si="355"/>
        <v/>
      </c>
      <c r="HP383" s="658" t="str">
        <f t="shared" si="356"/>
        <v/>
      </c>
      <c r="HQ383" s="658" t="str">
        <f t="shared" si="357"/>
        <v/>
      </c>
      <c r="HR383" s="658" t="str">
        <f t="shared" si="102"/>
        <v/>
      </c>
      <c r="HT383" s="658">
        <f>LEFT(M383,1)*10000+MID(M383,3,LEN(M383)-3)*100+COUNTIF($M$319:M383,M383)</f>
        <v>40201</v>
      </c>
      <c r="HU383" s="658" t="str">
        <f t="shared" si="103"/>
        <v/>
      </c>
      <c r="HV383" s="658" t="str">
        <f t="shared" si="358"/>
        <v/>
      </c>
      <c r="HW383" s="658" t="str">
        <f t="shared" si="104"/>
        <v/>
      </c>
      <c r="HX383" s="658" t="str">
        <f t="shared" si="359"/>
        <v/>
      </c>
    </row>
    <row r="384" spans="1:232" s="19" customFormat="1" ht="50.1" customHeight="1" x14ac:dyDescent="0.15">
      <c r="A384" s="1201"/>
      <c r="B384" s="1201"/>
      <c r="C384" s="1201"/>
      <c r="D384" s="1201"/>
      <c r="E384" s="1202"/>
      <c r="F384" s="652"/>
      <c r="G384" s="652"/>
      <c r="H384" s="652"/>
      <c r="I384" s="1357"/>
      <c r="J384" s="1234"/>
      <c r="K384" s="1261"/>
      <c r="L384" s="1261"/>
      <c r="M384" s="2423" t="s">
        <v>1152</v>
      </c>
      <c r="N384" s="2423"/>
      <c r="O384" s="2424"/>
      <c r="P384" s="2477"/>
      <c r="Q384" s="2477"/>
      <c r="R384" s="2429" t="s">
        <v>214</v>
      </c>
      <c r="S384" s="2429"/>
      <c r="T384" s="2429"/>
      <c r="U384" s="2429"/>
      <c r="V384" s="2429"/>
      <c r="W384" s="2429"/>
      <c r="X384" s="2429"/>
      <c r="Y384" s="2429"/>
      <c r="Z384" s="2429"/>
      <c r="AA384" s="2429"/>
      <c r="AB384" s="2429"/>
      <c r="AC384" s="2429"/>
      <c r="AD384" s="2429"/>
      <c r="AE384" s="2429"/>
      <c r="AF384" s="2440"/>
      <c r="AG384" s="2441"/>
      <c r="AH384" s="2441"/>
      <c r="AI384" s="2441"/>
      <c r="AJ384" s="2441"/>
      <c r="AK384" s="2441"/>
      <c r="AL384" s="2441"/>
      <c r="AM384" s="2441"/>
      <c r="AN384" s="2441"/>
      <c r="AO384" s="2441"/>
      <c r="AP384" s="2441"/>
      <c r="AQ384" s="2442"/>
      <c r="AR384" s="2359"/>
      <c r="AS384" s="2359"/>
      <c r="AT384" s="2301"/>
      <c r="AU384" s="2301"/>
      <c r="AV384" s="2301"/>
      <c r="AW384" s="2301"/>
      <c r="AX384" s="2301"/>
      <c r="AY384" s="2301"/>
      <c r="AZ384" s="2301"/>
      <c r="BA384" s="2301"/>
      <c r="BB384" s="2301"/>
      <c r="BC384" s="2301"/>
      <c r="BD384" s="2301"/>
      <c r="BE384" s="2301"/>
      <c r="BF384" s="2301"/>
      <c r="BG384" s="2301"/>
      <c r="BH384" s="2301"/>
      <c r="BI384" s="2301"/>
      <c r="BJ384" s="2301"/>
      <c r="BK384" s="2301"/>
      <c r="BL384" s="2301"/>
      <c r="BM384" s="2301"/>
      <c r="BN384" s="2301"/>
      <c r="BO384" s="2301"/>
      <c r="BP384" s="2301"/>
      <c r="BQ384" s="2301"/>
      <c r="BR384" s="2301"/>
      <c r="BS384" s="2358"/>
      <c r="BT384" s="2358"/>
      <c r="BU384" s="2358"/>
      <c r="BV384" s="2358"/>
      <c r="BW384" s="2358"/>
      <c r="BX384" s="2358"/>
      <c r="BY384" s="2358"/>
      <c r="BZ384" s="2359"/>
      <c r="CA384" s="2359"/>
      <c r="CB384" s="2728" t="s">
        <v>1921</v>
      </c>
      <c r="CC384" s="2729"/>
      <c r="CD384" s="2729"/>
      <c r="CE384" s="2729"/>
      <c r="CF384" s="2729"/>
      <c r="CG384" s="2729"/>
      <c r="CH384" s="2729"/>
      <c r="CI384" s="2729"/>
      <c r="CJ384" s="2729"/>
      <c r="CK384" s="2729"/>
      <c r="CL384" s="2729"/>
      <c r="CM384" s="2729"/>
      <c r="CN384" s="2729"/>
      <c r="CO384" s="2729"/>
      <c r="CP384" s="2729"/>
      <c r="CQ384" s="2729"/>
      <c r="CR384" s="2729"/>
      <c r="CS384" s="2729"/>
      <c r="CT384" s="2729"/>
      <c r="CU384" s="2730"/>
      <c r="CV384" s="2300" t="str">
        <f t="shared" si="293"/>
        <v/>
      </c>
      <c r="CW384" s="2300"/>
      <c r="CX384" s="2300"/>
      <c r="CY384" s="2300"/>
      <c r="CZ384" s="2300"/>
      <c r="DA384" s="2300"/>
      <c r="DC384" s="329" t="str">
        <f t="shared" si="294"/>
        <v/>
      </c>
      <c r="DD384" s="197"/>
      <c r="DF384" s="14"/>
      <c r="DG384" s="14"/>
      <c r="DH384" s="14"/>
      <c r="DI384" s="1596"/>
      <c r="DJ384" s="1170" t="s">
        <v>2749</v>
      </c>
      <c r="DK384" s="1604" t="str">
        <f t="shared" si="295"/>
        <v/>
      </c>
      <c r="DL384" s="437" t="str">
        <f t="shared" si="296"/>
        <v/>
      </c>
      <c r="DM384" s="1128">
        <f t="shared" si="297"/>
        <v>0</v>
      </c>
      <c r="DN384" s="22">
        <f t="shared" si="298"/>
        <v>0</v>
      </c>
      <c r="DO384" s="22">
        <f t="shared" si="299"/>
        <v>0</v>
      </c>
      <c r="DP384" s="264">
        <f t="shared" si="300"/>
        <v>0</v>
      </c>
      <c r="DQ384" s="32" t="s">
        <v>730</v>
      </c>
      <c r="DR384" s="263" t="str">
        <f>IF($U384="",R384,U384)</f>
        <v>令第112条第18項に規定する区画の状況</v>
      </c>
      <c r="DS384" s="23">
        <f t="shared" si="301"/>
        <v>0</v>
      </c>
      <c r="DT384" s="29" t="str">
        <f t="shared" si="302"/>
        <v/>
      </c>
      <c r="DU384" s="242" t="str">
        <f t="shared" si="303"/>
        <v/>
      </c>
      <c r="DV384" s="57" t="str">
        <f>IF($DT384="要是正",MAX($DV$378:DV383)+1,"")</f>
        <v/>
      </c>
      <c r="DW384" s="30" t="str">
        <f t="shared" si="304"/>
        <v/>
      </c>
      <c r="DX384" s="30" t="str">
        <f t="shared" si="305"/>
        <v/>
      </c>
      <c r="DY384" s="13" t="str">
        <f t="shared" si="306"/>
        <v/>
      </c>
      <c r="DZ384" s="121" t="str">
        <f t="shared" si="307"/>
        <v/>
      </c>
      <c r="EA384" s="256" t="str">
        <f t="shared" si="308"/>
        <v/>
      </c>
      <c r="EB384" s="138" t="str">
        <f t="shared" si="309"/>
        <v/>
      </c>
      <c r="EC384" s="131" t="str">
        <f t="shared" si="310"/>
        <v>0</v>
      </c>
      <c r="ED384" s="54" t="str">
        <f t="shared" si="311"/>
        <v/>
      </c>
      <c r="EE384" s="131" t="str">
        <f t="shared" si="360"/>
        <v>0</v>
      </c>
      <c r="EF384" s="37" t="str">
        <f t="shared" si="312"/>
        <v/>
      </c>
      <c r="EG384" s="108" t="str">
        <f t="shared" si="313"/>
        <v/>
      </c>
      <c r="EH384" s="41" t="str">
        <f t="shared" si="314"/>
        <v>0</v>
      </c>
      <c r="EI384" s="54" t="str">
        <f t="shared" si="315"/>
        <v/>
      </c>
      <c r="EJ384" s="131" t="str">
        <f t="shared" si="361"/>
        <v>0</v>
      </c>
      <c r="EK384" s="241" t="str">
        <f t="shared" si="316"/>
        <v/>
      </c>
      <c r="EL384" s="242" t="e">
        <f t="shared" si="317"/>
        <v>#N/A</v>
      </c>
      <c r="EM384" s="57" t="e">
        <f t="shared" si="318"/>
        <v>#N/A</v>
      </c>
      <c r="EN384" s="243" t="e">
        <f t="shared" si="319"/>
        <v>#N/A</v>
      </c>
      <c r="FK384" s="326" t="str">
        <f t="shared" ref="FK384:FK431" si="364">IF($AF384="○指摘なし","○",IF($AF384="―対象外","―",""))</f>
        <v/>
      </c>
      <c r="FL384" s="326" t="str">
        <f t="shared" ref="FL384:FL431" si="365">IF(OR($AF384="×要是正（既存不適格以外）",$AF384="△既存不適格"),"○",IF($AF384="―対象外","―",""))</f>
        <v/>
      </c>
      <c r="FM384" s="326" t="str">
        <f t="shared" ref="FM384:FM431" si="366">IF($AF384="△既存不適格","○",IF($AF384="―対象外","―",""))</f>
        <v/>
      </c>
      <c r="FN384" s="326">
        <f t="shared" si="320"/>
        <v>0</v>
      </c>
      <c r="FO384" s="670" t="str">
        <f t="shared" ref="FO384:FO413" si="367">IF($AF384="―対象外","○","")</f>
        <v/>
      </c>
      <c r="FQ384" s="138" t="str">
        <f t="shared" si="321"/>
        <v/>
      </c>
      <c r="FR384" s="131" t="str">
        <f t="shared" si="322"/>
        <v>0</v>
      </c>
      <c r="FS384" s="54" t="str">
        <f t="shared" si="323"/>
        <v/>
      </c>
      <c r="FT384" s="131" t="str">
        <f t="shared" si="362"/>
        <v>0</v>
      </c>
      <c r="FU384" s="217" t="str">
        <f t="shared" si="324"/>
        <v/>
      </c>
      <c r="FW384" s="667">
        <f t="shared" si="363"/>
        <v>0</v>
      </c>
      <c r="FX384" s="32"/>
      <c r="FY384" s="32"/>
      <c r="FZ384" s="668"/>
      <c r="GA384" s="14"/>
      <c r="GB384" s="658">
        <f t="shared" si="325"/>
        <v>0</v>
      </c>
      <c r="GC384" s="658">
        <f t="shared" si="326"/>
        <v>0</v>
      </c>
      <c r="GD384" s="658">
        <f t="shared" si="327"/>
        <v>0</v>
      </c>
      <c r="GE384" s="658" t="str">
        <f t="shared" si="328"/>
        <v/>
      </c>
      <c r="GF384" s="658" t="str">
        <f t="shared" si="329"/>
        <v/>
      </c>
      <c r="GG384" s="658" t="str">
        <f t="shared" si="330"/>
        <v/>
      </c>
      <c r="GH384" s="658" t="str">
        <f t="shared" si="331"/>
        <v/>
      </c>
      <c r="GI384" s="658" t="str">
        <f t="shared" si="332"/>
        <v/>
      </c>
      <c r="GJ384" s="658" t="str">
        <f t="shared" si="333"/>
        <v/>
      </c>
      <c r="GK384" s="658" t="str">
        <f t="shared" si="334"/>
        <v/>
      </c>
      <c r="GL384" s="658" t="str">
        <f t="shared" si="335"/>
        <v/>
      </c>
      <c r="GM384" s="658" t="str">
        <f t="shared" si="336"/>
        <v/>
      </c>
      <c r="GN384" s="658" t="str">
        <f t="shared" si="337"/>
        <v/>
      </c>
      <c r="GO384" s="658" t="str">
        <f t="shared" si="338"/>
        <v/>
      </c>
      <c r="GP384" s="658" t="str">
        <f t="shared" si="339"/>
        <v/>
      </c>
      <c r="GQ384" s="658" t="str">
        <f t="shared" si="340"/>
        <v/>
      </c>
      <c r="GR384" s="658" t="str">
        <f t="shared" si="341"/>
        <v/>
      </c>
      <c r="GS384" s="658" t="str">
        <f t="shared" si="342"/>
        <v/>
      </c>
      <c r="GT384" s="658">
        <f t="shared" ref="GT384:GT445" si="368">IF(COUNTIF(GE384:GS384,"予定")&gt;0,1,0)</f>
        <v>0</v>
      </c>
      <c r="GU384" s="658">
        <f t="shared" ref="GU384:GU445" si="369">IF(COUNTIF(GE384:GS384,"改善済")&gt;0,1,0)</f>
        <v>0</v>
      </c>
      <c r="GV384" s="658">
        <f t="shared" ref="GV384:GV445" si="370">IF(COUNTIF(GE384:GS384,"未定")&gt;0,1,0)</f>
        <v>0</v>
      </c>
      <c r="GW384" s="658" t="b">
        <f t="shared" ref="GW384:GW445" si="371">(GB384+GT384)&gt;0</f>
        <v>0</v>
      </c>
      <c r="GX384" s="658" t="b">
        <f t="shared" ref="GX384:GX445" si="372">(GC384+GU384)&gt;0</f>
        <v>0</v>
      </c>
      <c r="GY384" s="658" t="b">
        <f t="shared" ref="GY384:GY445" si="373">(GD384+GV384)&gt;0</f>
        <v>0</v>
      </c>
      <c r="GZ384" s="658" t="str">
        <f t="shared" si="173"/>
        <v/>
      </c>
      <c r="HB384" s="658" t="str">
        <f t="shared" ref="HB384:HB445" si="374">IF(FW384=0,"",FW384&amp;", ")</f>
        <v/>
      </c>
      <c r="HC384" s="658" t="str">
        <f t="shared" si="343"/>
        <v/>
      </c>
      <c r="HD384" s="658" t="str">
        <f t="shared" si="344"/>
        <v/>
      </c>
      <c r="HE384" s="658" t="str">
        <f t="shared" si="345"/>
        <v/>
      </c>
      <c r="HF384" s="658" t="str">
        <f t="shared" si="346"/>
        <v/>
      </c>
      <c r="HG384" s="658" t="str">
        <f t="shared" si="347"/>
        <v/>
      </c>
      <c r="HH384" s="658" t="str">
        <f t="shared" si="348"/>
        <v/>
      </c>
      <c r="HI384" s="658" t="str">
        <f t="shared" si="349"/>
        <v/>
      </c>
      <c r="HJ384" s="658" t="str">
        <f t="shared" si="350"/>
        <v/>
      </c>
      <c r="HK384" s="658" t="str">
        <f t="shared" si="351"/>
        <v/>
      </c>
      <c r="HL384" s="658" t="str">
        <f t="shared" si="352"/>
        <v/>
      </c>
      <c r="HM384" s="658" t="str">
        <f t="shared" si="353"/>
        <v/>
      </c>
      <c r="HN384" s="658" t="str">
        <f t="shared" si="354"/>
        <v/>
      </c>
      <c r="HO384" s="658" t="str">
        <f t="shared" si="355"/>
        <v/>
      </c>
      <c r="HP384" s="658" t="str">
        <f t="shared" si="356"/>
        <v/>
      </c>
      <c r="HQ384" s="658" t="str">
        <f t="shared" si="357"/>
        <v/>
      </c>
      <c r="HR384" s="658" t="str">
        <f t="shared" ref="HR384:HR445" si="375">CONCATENATE(HB384,HC384,HD384,HE384,HF384,HG384,HH384,HI384,HJ384,HK384,HL384,HM384,HN384,HO384,HP384,HQ384)</f>
        <v/>
      </c>
      <c r="HT384" s="658">
        <f>LEFT(M384,1)*10000+MID(M384,3,LEN(M384)-3)*100+COUNTIF($M$319:M384,M384)</f>
        <v>40301</v>
      </c>
      <c r="HU384" s="658" t="str">
        <f t="shared" ref="HU384:HU445" si="376">IF($DT384="要是正",$HT384,"")</f>
        <v/>
      </c>
      <c r="HV384" s="658" t="str">
        <f t="shared" si="358"/>
        <v/>
      </c>
      <c r="HW384" s="658" t="str">
        <f t="shared" ref="HW384:HW445" si="377">IF(OR($DT384="要是正",$DT384="既存不適格"),$HT384,"")</f>
        <v/>
      </c>
      <c r="HX384" s="658" t="str">
        <f t="shared" si="359"/>
        <v/>
      </c>
    </row>
    <row r="385" spans="1:232" s="19" customFormat="1" ht="69.95" customHeight="1" x14ac:dyDescent="0.15">
      <c r="A385" s="1201"/>
      <c r="B385" s="1201"/>
      <c r="C385" s="1201"/>
      <c r="D385" s="1201"/>
      <c r="E385" s="1202"/>
      <c r="F385" s="652"/>
      <c r="G385" s="652"/>
      <c r="H385" s="652"/>
      <c r="I385" s="1357"/>
      <c r="J385" s="1234"/>
      <c r="K385" s="1261"/>
      <c r="L385" s="1261"/>
      <c r="M385" s="2423" t="s">
        <v>1153</v>
      </c>
      <c r="N385" s="2423"/>
      <c r="O385" s="2424"/>
      <c r="P385" s="2477"/>
      <c r="Q385" s="2477"/>
      <c r="R385" s="2429" t="s">
        <v>83</v>
      </c>
      <c r="S385" s="2477"/>
      <c r="T385" s="2477"/>
      <c r="U385" s="2438" t="s">
        <v>215</v>
      </c>
      <c r="V385" s="2438"/>
      <c r="W385" s="2438"/>
      <c r="X385" s="2438"/>
      <c r="Y385" s="2438"/>
      <c r="Z385" s="2438"/>
      <c r="AA385" s="2438"/>
      <c r="AB385" s="2438"/>
      <c r="AC385" s="2438"/>
      <c r="AD385" s="2438"/>
      <c r="AE385" s="2438"/>
      <c r="AF385" s="2465"/>
      <c r="AG385" s="2466"/>
      <c r="AH385" s="2466"/>
      <c r="AI385" s="2466"/>
      <c r="AJ385" s="2466"/>
      <c r="AK385" s="2466"/>
      <c r="AL385" s="2466"/>
      <c r="AM385" s="2466"/>
      <c r="AN385" s="2466"/>
      <c r="AO385" s="2466"/>
      <c r="AP385" s="2466"/>
      <c r="AQ385" s="2467"/>
      <c r="AR385" s="2272"/>
      <c r="AS385" s="2272"/>
      <c r="AT385" s="2406"/>
      <c r="AU385" s="2406"/>
      <c r="AV385" s="2406"/>
      <c r="AW385" s="2406"/>
      <c r="AX385" s="2406"/>
      <c r="AY385" s="2406"/>
      <c r="AZ385" s="2406"/>
      <c r="BA385" s="2406"/>
      <c r="BB385" s="2406"/>
      <c r="BC385" s="2406"/>
      <c r="BD385" s="2406"/>
      <c r="BE385" s="2406"/>
      <c r="BF385" s="2406"/>
      <c r="BG385" s="2406"/>
      <c r="BH385" s="2406"/>
      <c r="BI385" s="2406"/>
      <c r="BJ385" s="2406"/>
      <c r="BK385" s="2406"/>
      <c r="BL385" s="2406"/>
      <c r="BM385" s="2406"/>
      <c r="BN385" s="2406"/>
      <c r="BO385" s="2406"/>
      <c r="BP385" s="2406"/>
      <c r="BQ385" s="2406"/>
      <c r="BR385" s="2406"/>
      <c r="BS385" s="2271"/>
      <c r="BT385" s="2271"/>
      <c r="BU385" s="2271"/>
      <c r="BV385" s="2271"/>
      <c r="BW385" s="2271"/>
      <c r="BX385" s="2271"/>
      <c r="BY385" s="2271"/>
      <c r="BZ385" s="2272"/>
      <c r="CA385" s="2272"/>
      <c r="CB385" s="2725" t="s">
        <v>1922</v>
      </c>
      <c r="CC385" s="2726"/>
      <c r="CD385" s="2726"/>
      <c r="CE385" s="2726"/>
      <c r="CF385" s="2726"/>
      <c r="CG385" s="2726"/>
      <c r="CH385" s="2726"/>
      <c r="CI385" s="2726"/>
      <c r="CJ385" s="2726"/>
      <c r="CK385" s="2726"/>
      <c r="CL385" s="2726"/>
      <c r="CM385" s="2726"/>
      <c r="CN385" s="2726"/>
      <c r="CO385" s="2726"/>
      <c r="CP385" s="2726"/>
      <c r="CQ385" s="2726"/>
      <c r="CR385" s="2726"/>
      <c r="CS385" s="2726"/>
      <c r="CT385" s="2726"/>
      <c r="CU385" s="2727"/>
      <c r="CV385" s="2300" t="str">
        <f t="shared" si="293"/>
        <v/>
      </c>
      <c r="CW385" s="2300"/>
      <c r="CX385" s="2300"/>
      <c r="CY385" s="2300"/>
      <c r="CZ385" s="2300"/>
      <c r="DA385" s="2300"/>
      <c r="DC385" s="329" t="str">
        <f t="shared" si="294"/>
        <v/>
      </c>
      <c r="DD385" s="197"/>
      <c r="DF385" s="14"/>
      <c r="DG385" s="14"/>
      <c r="DH385" s="14"/>
      <c r="DI385" s="1596"/>
      <c r="DJ385" s="1170" t="s">
        <v>2749</v>
      </c>
      <c r="DK385" s="1604" t="str">
        <f t="shared" si="295"/>
        <v/>
      </c>
      <c r="DL385" s="437" t="str">
        <f t="shared" si="296"/>
        <v/>
      </c>
      <c r="DM385" s="1128">
        <f t="shared" si="297"/>
        <v>0</v>
      </c>
      <c r="DN385" s="22">
        <f t="shared" si="298"/>
        <v>0</v>
      </c>
      <c r="DO385" s="22">
        <f t="shared" si="299"/>
        <v>0</v>
      </c>
      <c r="DP385" s="264">
        <f t="shared" si="300"/>
        <v>0</v>
      </c>
      <c r="DQ385" s="32" t="s">
        <v>731</v>
      </c>
      <c r="DR385" s="263" t="str">
        <f>IF($U385="",R385,U385)</f>
        <v>令第112条第16項に規定する外壁等及び同条第17項に規定する防火設備の処置の状況</v>
      </c>
      <c r="DS385" s="23">
        <f t="shared" si="301"/>
        <v>0</v>
      </c>
      <c r="DT385" s="29" t="str">
        <f t="shared" si="302"/>
        <v/>
      </c>
      <c r="DU385" s="242" t="str">
        <f t="shared" si="303"/>
        <v/>
      </c>
      <c r="DV385" s="57" t="str">
        <f>IF($DT385="要是正",MAX($DV$378:DV384)+1,"")</f>
        <v/>
      </c>
      <c r="DW385" s="30" t="str">
        <f t="shared" si="304"/>
        <v/>
      </c>
      <c r="DX385" s="30" t="str">
        <f t="shared" si="305"/>
        <v/>
      </c>
      <c r="DY385" s="13" t="str">
        <f t="shared" si="306"/>
        <v/>
      </c>
      <c r="DZ385" s="121" t="str">
        <f t="shared" si="307"/>
        <v/>
      </c>
      <c r="EA385" s="256" t="str">
        <f t="shared" si="308"/>
        <v/>
      </c>
      <c r="EB385" s="138" t="str">
        <f t="shared" si="309"/>
        <v/>
      </c>
      <c r="EC385" s="131" t="str">
        <f t="shared" si="310"/>
        <v>0</v>
      </c>
      <c r="ED385" s="54" t="str">
        <f t="shared" si="311"/>
        <v/>
      </c>
      <c r="EE385" s="131" t="str">
        <f t="shared" si="360"/>
        <v>0</v>
      </c>
      <c r="EF385" s="37" t="str">
        <f t="shared" si="312"/>
        <v/>
      </c>
      <c r="EG385" s="108" t="str">
        <f t="shared" si="313"/>
        <v/>
      </c>
      <c r="EH385" s="41" t="str">
        <f t="shared" si="314"/>
        <v>0</v>
      </c>
      <c r="EI385" s="54" t="str">
        <f t="shared" si="315"/>
        <v/>
      </c>
      <c r="EJ385" s="131" t="str">
        <f t="shared" si="361"/>
        <v>0</v>
      </c>
      <c r="EK385" s="241" t="str">
        <f t="shared" si="316"/>
        <v/>
      </c>
      <c r="EL385" s="242" t="e">
        <f t="shared" si="317"/>
        <v>#N/A</v>
      </c>
      <c r="EM385" s="57" t="e">
        <f t="shared" si="318"/>
        <v>#N/A</v>
      </c>
      <c r="EN385" s="243" t="e">
        <f t="shared" si="319"/>
        <v>#N/A</v>
      </c>
      <c r="FK385" s="326" t="str">
        <f t="shared" si="364"/>
        <v/>
      </c>
      <c r="FL385" s="326" t="str">
        <f t="shared" si="365"/>
        <v/>
      </c>
      <c r="FM385" s="326" t="str">
        <f t="shared" si="366"/>
        <v/>
      </c>
      <c r="FN385" s="326">
        <f t="shared" si="320"/>
        <v>0</v>
      </c>
      <c r="FO385" s="670" t="str">
        <f t="shared" si="367"/>
        <v/>
      </c>
      <c r="FQ385" s="138" t="str">
        <f t="shared" si="321"/>
        <v/>
      </c>
      <c r="FR385" s="131" t="str">
        <f t="shared" si="322"/>
        <v>0</v>
      </c>
      <c r="FS385" s="54" t="str">
        <f t="shared" si="323"/>
        <v/>
      </c>
      <c r="FT385" s="131" t="str">
        <f t="shared" si="362"/>
        <v>0</v>
      </c>
      <c r="FU385" s="217" t="str">
        <f t="shared" si="324"/>
        <v/>
      </c>
      <c r="FW385" s="667">
        <f t="shared" si="363"/>
        <v>0</v>
      </c>
      <c r="FX385" s="32"/>
      <c r="FY385" s="32"/>
      <c r="FZ385" s="668"/>
      <c r="GA385" s="14"/>
      <c r="GB385" s="658">
        <f t="shared" si="325"/>
        <v>0</v>
      </c>
      <c r="GC385" s="658">
        <f t="shared" si="326"/>
        <v>0</v>
      </c>
      <c r="GD385" s="658">
        <f t="shared" si="327"/>
        <v>0</v>
      </c>
      <c r="GE385" s="658" t="str">
        <f t="shared" si="328"/>
        <v/>
      </c>
      <c r="GF385" s="658" t="str">
        <f t="shared" si="329"/>
        <v/>
      </c>
      <c r="GG385" s="658" t="str">
        <f t="shared" si="330"/>
        <v/>
      </c>
      <c r="GH385" s="658" t="str">
        <f t="shared" si="331"/>
        <v/>
      </c>
      <c r="GI385" s="658" t="str">
        <f t="shared" si="332"/>
        <v/>
      </c>
      <c r="GJ385" s="658" t="str">
        <f t="shared" si="333"/>
        <v/>
      </c>
      <c r="GK385" s="658" t="str">
        <f t="shared" si="334"/>
        <v/>
      </c>
      <c r="GL385" s="658" t="str">
        <f t="shared" si="335"/>
        <v/>
      </c>
      <c r="GM385" s="658" t="str">
        <f t="shared" si="336"/>
        <v/>
      </c>
      <c r="GN385" s="658" t="str">
        <f t="shared" si="337"/>
        <v/>
      </c>
      <c r="GO385" s="658" t="str">
        <f t="shared" si="338"/>
        <v/>
      </c>
      <c r="GP385" s="658" t="str">
        <f t="shared" si="339"/>
        <v/>
      </c>
      <c r="GQ385" s="658" t="str">
        <f t="shared" si="340"/>
        <v/>
      </c>
      <c r="GR385" s="658" t="str">
        <f t="shared" si="341"/>
        <v/>
      </c>
      <c r="GS385" s="658" t="str">
        <f t="shared" si="342"/>
        <v/>
      </c>
      <c r="GT385" s="658">
        <f t="shared" si="368"/>
        <v>0</v>
      </c>
      <c r="GU385" s="658">
        <f t="shared" si="369"/>
        <v>0</v>
      </c>
      <c r="GV385" s="658">
        <f t="shared" si="370"/>
        <v>0</v>
      </c>
      <c r="GW385" s="658" t="b">
        <f t="shared" si="371"/>
        <v>0</v>
      </c>
      <c r="GX385" s="658" t="b">
        <f t="shared" si="372"/>
        <v>0</v>
      </c>
      <c r="GY385" s="658" t="b">
        <f t="shared" si="373"/>
        <v>0</v>
      </c>
      <c r="GZ385" s="658" t="str">
        <f t="shared" si="173"/>
        <v/>
      </c>
      <c r="HB385" s="658" t="str">
        <f t="shared" si="374"/>
        <v/>
      </c>
      <c r="HC385" s="658" t="str">
        <f t="shared" si="343"/>
        <v/>
      </c>
      <c r="HD385" s="658" t="str">
        <f t="shared" si="344"/>
        <v/>
      </c>
      <c r="HE385" s="658" t="str">
        <f t="shared" si="345"/>
        <v/>
      </c>
      <c r="HF385" s="658" t="str">
        <f t="shared" si="346"/>
        <v/>
      </c>
      <c r="HG385" s="658" t="str">
        <f t="shared" si="347"/>
        <v/>
      </c>
      <c r="HH385" s="658" t="str">
        <f t="shared" si="348"/>
        <v/>
      </c>
      <c r="HI385" s="658" t="str">
        <f t="shared" si="349"/>
        <v/>
      </c>
      <c r="HJ385" s="658" t="str">
        <f t="shared" si="350"/>
        <v/>
      </c>
      <c r="HK385" s="658" t="str">
        <f t="shared" si="351"/>
        <v/>
      </c>
      <c r="HL385" s="658" t="str">
        <f t="shared" si="352"/>
        <v/>
      </c>
      <c r="HM385" s="658" t="str">
        <f t="shared" si="353"/>
        <v/>
      </c>
      <c r="HN385" s="658" t="str">
        <f t="shared" si="354"/>
        <v/>
      </c>
      <c r="HO385" s="658" t="str">
        <f t="shared" si="355"/>
        <v/>
      </c>
      <c r="HP385" s="658" t="str">
        <f t="shared" si="356"/>
        <v/>
      </c>
      <c r="HQ385" s="658" t="str">
        <f t="shared" si="357"/>
        <v/>
      </c>
      <c r="HR385" s="658" t="str">
        <f t="shared" si="375"/>
        <v/>
      </c>
      <c r="HT385" s="658">
        <f>LEFT(M385,1)*10000+MID(M385,3,LEN(M385)-3)*100+COUNTIF($M$319:M385,M385)</f>
        <v>40401</v>
      </c>
      <c r="HU385" s="658" t="str">
        <f t="shared" si="376"/>
        <v/>
      </c>
      <c r="HV385" s="658" t="str">
        <f t="shared" si="358"/>
        <v/>
      </c>
      <c r="HW385" s="658" t="str">
        <f t="shared" si="377"/>
        <v/>
      </c>
      <c r="HX385" s="658" t="str">
        <f t="shared" si="359"/>
        <v/>
      </c>
    </row>
    <row r="386" spans="1:232" s="19" customFormat="1" ht="69.95" customHeight="1" x14ac:dyDescent="0.15">
      <c r="A386" s="1201"/>
      <c r="B386" s="1201"/>
      <c r="C386" s="1201"/>
      <c r="D386" s="1201"/>
      <c r="E386" s="1202"/>
      <c r="F386" s="652"/>
      <c r="G386" s="652"/>
      <c r="H386" s="652"/>
      <c r="I386" s="1357"/>
      <c r="J386" s="1234"/>
      <c r="K386" s="1261"/>
      <c r="L386" s="1261"/>
      <c r="M386" s="2423" t="s">
        <v>1154</v>
      </c>
      <c r="N386" s="2423"/>
      <c r="O386" s="2424"/>
      <c r="P386" s="2477"/>
      <c r="Q386" s="2477"/>
      <c r="R386" s="2477"/>
      <c r="S386" s="2477"/>
      <c r="T386" s="2477"/>
      <c r="U386" s="2445" t="s">
        <v>216</v>
      </c>
      <c r="V386" s="2445"/>
      <c r="W386" s="2445"/>
      <c r="X386" s="2445"/>
      <c r="Y386" s="2445"/>
      <c r="Z386" s="2445"/>
      <c r="AA386" s="2445"/>
      <c r="AB386" s="2445"/>
      <c r="AC386" s="2445"/>
      <c r="AD386" s="2445"/>
      <c r="AE386" s="2445"/>
      <c r="AF386" s="2468"/>
      <c r="AG386" s="2469"/>
      <c r="AH386" s="2469"/>
      <c r="AI386" s="2469"/>
      <c r="AJ386" s="2469"/>
      <c r="AK386" s="2469"/>
      <c r="AL386" s="2469"/>
      <c r="AM386" s="2469"/>
      <c r="AN386" s="2469"/>
      <c r="AO386" s="2469"/>
      <c r="AP386" s="2469"/>
      <c r="AQ386" s="2470"/>
      <c r="AR386" s="2152"/>
      <c r="AS386" s="2152"/>
      <c r="AT386" s="2432"/>
      <c r="AU386" s="2432"/>
      <c r="AV386" s="2432"/>
      <c r="AW386" s="2432"/>
      <c r="AX386" s="2432"/>
      <c r="AY386" s="2432"/>
      <c r="AZ386" s="2432"/>
      <c r="BA386" s="2432"/>
      <c r="BB386" s="2432"/>
      <c r="BC386" s="2432"/>
      <c r="BD386" s="2432"/>
      <c r="BE386" s="2432"/>
      <c r="BF386" s="2432"/>
      <c r="BG386" s="2432"/>
      <c r="BH386" s="2432"/>
      <c r="BI386" s="2432"/>
      <c r="BJ386" s="2432"/>
      <c r="BK386" s="2432"/>
      <c r="BL386" s="2432"/>
      <c r="BM386" s="2432"/>
      <c r="BN386" s="2432"/>
      <c r="BO386" s="2432"/>
      <c r="BP386" s="2432"/>
      <c r="BQ386" s="2432"/>
      <c r="BR386" s="2432"/>
      <c r="BS386" s="2270"/>
      <c r="BT386" s="2270"/>
      <c r="BU386" s="2270"/>
      <c r="BV386" s="2270"/>
      <c r="BW386" s="2270"/>
      <c r="BX386" s="2270"/>
      <c r="BY386" s="2270"/>
      <c r="BZ386" s="2152"/>
      <c r="CA386" s="2152"/>
      <c r="CB386" s="2392"/>
      <c r="CC386" s="2393"/>
      <c r="CD386" s="2393"/>
      <c r="CE386" s="2393"/>
      <c r="CF386" s="2393"/>
      <c r="CG386" s="2393"/>
      <c r="CH386" s="2393"/>
      <c r="CI386" s="2393"/>
      <c r="CJ386" s="2393"/>
      <c r="CK386" s="2393"/>
      <c r="CL386" s="2393"/>
      <c r="CM386" s="2393"/>
      <c r="CN386" s="2393"/>
      <c r="CO386" s="2393"/>
      <c r="CP386" s="2393"/>
      <c r="CQ386" s="2393"/>
      <c r="CR386" s="2393"/>
      <c r="CS386" s="2393"/>
      <c r="CT386" s="2393"/>
      <c r="CU386" s="2394"/>
      <c r="CV386" s="2300" t="str">
        <f t="shared" si="293"/>
        <v/>
      </c>
      <c r="CW386" s="2300"/>
      <c r="CX386" s="2300"/>
      <c r="CY386" s="2300"/>
      <c r="CZ386" s="2300"/>
      <c r="DA386" s="2300"/>
      <c r="DC386" s="329" t="str">
        <f t="shared" si="294"/>
        <v/>
      </c>
      <c r="DD386" s="197"/>
      <c r="DF386" s="14"/>
      <c r="DG386" s="14"/>
      <c r="DH386" s="14"/>
      <c r="DI386" s="1596"/>
      <c r="DJ386" s="1170" t="s">
        <v>2749</v>
      </c>
      <c r="DK386" s="1604" t="str">
        <f t="shared" si="295"/>
        <v/>
      </c>
      <c r="DL386" s="437" t="str">
        <f t="shared" si="296"/>
        <v/>
      </c>
      <c r="DM386" s="1128">
        <f t="shared" si="297"/>
        <v>0</v>
      </c>
      <c r="DN386" s="22">
        <f t="shared" si="298"/>
        <v>0</v>
      </c>
      <c r="DO386" s="22">
        <f t="shared" si="299"/>
        <v>0</v>
      </c>
      <c r="DP386" s="264">
        <f t="shared" si="300"/>
        <v>0</v>
      </c>
      <c r="DQ386" s="32" t="s">
        <v>732</v>
      </c>
      <c r="DR386" s="263" t="str">
        <f>IF($U386="",R385,U386)</f>
        <v>令第112条第16項に規定する外壁等及び同条第17項に規定する防火設備の劣化及び損傷の状況</v>
      </c>
      <c r="DS386" s="23">
        <f t="shared" si="301"/>
        <v>0</v>
      </c>
      <c r="DT386" s="29" t="str">
        <f t="shared" si="302"/>
        <v/>
      </c>
      <c r="DU386" s="242" t="str">
        <f t="shared" si="303"/>
        <v/>
      </c>
      <c r="DV386" s="57" t="str">
        <f>IF($DT386="要是正",MAX($DV$378:DV385)+1,"")</f>
        <v/>
      </c>
      <c r="DW386" s="30" t="str">
        <f t="shared" si="304"/>
        <v/>
      </c>
      <c r="DX386" s="30" t="str">
        <f t="shared" si="305"/>
        <v/>
      </c>
      <c r="DY386" s="13" t="str">
        <f t="shared" si="306"/>
        <v/>
      </c>
      <c r="DZ386" s="121" t="str">
        <f t="shared" si="307"/>
        <v/>
      </c>
      <c r="EA386" s="256" t="str">
        <f t="shared" si="308"/>
        <v/>
      </c>
      <c r="EB386" s="138" t="str">
        <f t="shared" si="309"/>
        <v/>
      </c>
      <c r="EC386" s="131" t="str">
        <f t="shared" si="310"/>
        <v>0</v>
      </c>
      <c r="ED386" s="54" t="str">
        <f t="shared" si="311"/>
        <v/>
      </c>
      <c r="EE386" s="131" t="str">
        <f t="shared" si="360"/>
        <v>0</v>
      </c>
      <c r="EF386" s="37" t="str">
        <f t="shared" si="312"/>
        <v/>
      </c>
      <c r="EG386" s="108" t="str">
        <f t="shared" si="313"/>
        <v/>
      </c>
      <c r="EH386" s="41" t="str">
        <f t="shared" si="314"/>
        <v>0</v>
      </c>
      <c r="EI386" s="54" t="str">
        <f t="shared" si="315"/>
        <v/>
      </c>
      <c r="EJ386" s="131" t="str">
        <f t="shared" si="361"/>
        <v>0</v>
      </c>
      <c r="EK386" s="241" t="str">
        <f t="shared" si="316"/>
        <v/>
      </c>
      <c r="EL386" s="242" t="e">
        <f t="shared" si="317"/>
        <v>#N/A</v>
      </c>
      <c r="EM386" s="57" t="e">
        <f t="shared" si="318"/>
        <v>#N/A</v>
      </c>
      <c r="EN386" s="243" t="e">
        <f t="shared" si="319"/>
        <v>#N/A</v>
      </c>
      <c r="FK386" s="326" t="str">
        <f t="shared" si="364"/>
        <v/>
      </c>
      <c r="FL386" s="326" t="str">
        <f t="shared" si="365"/>
        <v/>
      </c>
      <c r="FM386" s="326" t="str">
        <f t="shared" si="366"/>
        <v/>
      </c>
      <c r="FN386" s="326">
        <f t="shared" si="320"/>
        <v>0</v>
      </c>
      <c r="FO386" s="670" t="str">
        <f t="shared" si="367"/>
        <v/>
      </c>
      <c r="FQ386" s="138" t="str">
        <f t="shared" si="321"/>
        <v/>
      </c>
      <c r="FR386" s="131" t="str">
        <f t="shared" si="322"/>
        <v>0</v>
      </c>
      <c r="FS386" s="54" t="str">
        <f t="shared" si="323"/>
        <v/>
      </c>
      <c r="FT386" s="131" t="str">
        <f t="shared" si="362"/>
        <v>0</v>
      </c>
      <c r="FU386" s="217" t="str">
        <f t="shared" si="324"/>
        <v/>
      </c>
      <c r="FW386" s="667">
        <f t="shared" si="363"/>
        <v>0</v>
      </c>
      <c r="FX386" s="32"/>
      <c r="FY386" s="32"/>
      <c r="FZ386" s="668"/>
      <c r="GA386" s="14"/>
      <c r="GB386" s="658">
        <f t="shared" si="325"/>
        <v>0</v>
      </c>
      <c r="GC386" s="658">
        <f t="shared" si="326"/>
        <v>0</v>
      </c>
      <c r="GD386" s="658">
        <f t="shared" si="327"/>
        <v>0</v>
      </c>
      <c r="GE386" s="658" t="str">
        <f t="shared" si="328"/>
        <v/>
      </c>
      <c r="GF386" s="658" t="str">
        <f t="shared" si="329"/>
        <v/>
      </c>
      <c r="GG386" s="658" t="str">
        <f t="shared" si="330"/>
        <v/>
      </c>
      <c r="GH386" s="658" t="str">
        <f t="shared" si="331"/>
        <v/>
      </c>
      <c r="GI386" s="658" t="str">
        <f t="shared" si="332"/>
        <v/>
      </c>
      <c r="GJ386" s="658" t="str">
        <f t="shared" si="333"/>
        <v/>
      </c>
      <c r="GK386" s="658" t="str">
        <f t="shared" si="334"/>
        <v/>
      </c>
      <c r="GL386" s="658" t="str">
        <f t="shared" si="335"/>
        <v/>
      </c>
      <c r="GM386" s="658" t="str">
        <f t="shared" si="336"/>
        <v/>
      </c>
      <c r="GN386" s="658" t="str">
        <f t="shared" si="337"/>
        <v/>
      </c>
      <c r="GO386" s="658" t="str">
        <f t="shared" si="338"/>
        <v/>
      </c>
      <c r="GP386" s="658" t="str">
        <f t="shared" si="339"/>
        <v/>
      </c>
      <c r="GQ386" s="658" t="str">
        <f t="shared" si="340"/>
        <v/>
      </c>
      <c r="GR386" s="658" t="str">
        <f t="shared" si="341"/>
        <v/>
      </c>
      <c r="GS386" s="658" t="str">
        <f t="shared" si="342"/>
        <v/>
      </c>
      <c r="GT386" s="658">
        <f t="shared" si="368"/>
        <v>0</v>
      </c>
      <c r="GU386" s="658">
        <f t="shared" si="369"/>
        <v>0</v>
      </c>
      <c r="GV386" s="658">
        <f t="shared" si="370"/>
        <v>0</v>
      </c>
      <c r="GW386" s="658" t="b">
        <f t="shared" si="371"/>
        <v>0</v>
      </c>
      <c r="GX386" s="658" t="b">
        <f t="shared" si="372"/>
        <v>0</v>
      </c>
      <c r="GY386" s="658" t="b">
        <f t="shared" si="373"/>
        <v>0</v>
      </c>
      <c r="GZ386" s="658" t="str">
        <f t="shared" si="173"/>
        <v/>
      </c>
      <c r="HB386" s="658" t="str">
        <f t="shared" si="374"/>
        <v/>
      </c>
      <c r="HC386" s="658" t="str">
        <f t="shared" si="343"/>
        <v/>
      </c>
      <c r="HD386" s="658" t="str">
        <f t="shared" si="344"/>
        <v/>
      </c>
      <c r="HE386" s="658" t="str">
        <f t="shared" si="345"/>
        <v/>
      </c>
      <c r="HF386" s="658" t="str">
        <f t="shared" si="346"/>
        <v/>
      </c>
      <c r="HG386" s="658" t="str">
        <f t="shared" si="347"/>
        <v/>
      </c>
      <c r="HH386" s="658" t="str">
        <f t="shared" si="348"/>
        <v/>
      </c>
      <c r="HI386" s="658" t="str">
        <f t="shared" si="349"/>
        <v/>
      </c>
      <c r="HJ386" s="658" t="str">
        <f t="shared" si="350"/>
        <v/>
      </c>
      <c r="HK386" s="658" t="str">
        <f t="shared" si="351"/>
        <v/>
      </c>
      <c r="HL386" s="658" t="str">
        <f t="shared" si="352"/>
        <v/>
      </c>
      <c r="HM386" s="658" t="str">
        <f t="shared" si="353"/>
        <v/>
      </c>
      <c r="HN386" s="658" t="str">
        <f t="shared" si="354"/>
        <v/>
      </c>
      <c r="HO386" s="658" t="str">
        <f t="shared" si="355"/>
        <v/>
      </c>
      <c r="HP386" s="658" t="str">
        <f t="shared" si="356"/>
        <v/>
      </c>
      <c r="HQ386" s="658" t="str">
        <f t="shared" si="357"/>
        <v/>
      </c>
      <c r="HR386" s="658" t="str">
        <f t="shared" si="375"/>
        <v/>
      </c>
      <c r="HT386" s="658">
        <f>LEFT(M386,1)*10000+MID(M386,3,LEN(M386)-3)*100+COUNTIF($M$319:M386,M386)</f>
        <v>40501</v>
      </c>
      <c r="HU386" s="658" t="str">
        <f t="shared" si="376"/>
        <v/>
      </c>
      <c r="HV386" s="658" t="str">
        <f t="shared" si="358"/>
        <v/>
      </c>
      <c r="HW386" s="658" t="str">
        <f t="shared" si="377"/>
        <v/>
      </c>
      <c r="HX386" s="658" t="str">
        <f t="shared" si="359"/>
        <v/>
      </c>
    </row>
    <row r="387" spans="1:232" s="19" customFormat="1" ht="50.1" customHeight="1" x14ac:dyDescent="0.15">
      <c r="A387" s="1201"/>
      <c r="B387" s="1201"/>
      <c r="C387" s="1201"/>
      <c r="D387" s="1201"/>
      <c r="E387" s="1202"/>
      <c r="F387" s="652"/>
      <c r="G387" s="652"/>
      <c r="H387" s="652"/>
      <c r="I387" s="1357"/>
      <c r="J387" s="1234"/>
      <c r="K387" s="1261"/>
      <c r="L387" s="1261"/>
      <c r="M387" s="2423" t="s">
        <v>1155</v>
      </c>
      <c r="N387" s="2423"/>
      <c r="O387" s="2424"/>
      <c r="P387" s="2433" t="s">
        <v>162</v>
      </c>
      <c r="Q387" s="2433"/>
      <c r="R387" s="2429" t="s">
        <v>55</v>
      </c>
      <c r="S387" s="2429"/>
      <c r="T387" s="2429"/>
      <c r="U387" s="2438" t="s">
        <v>84</v>
      </c>
      <c r="V387" s="2438"/>
      <c r="W387" s="2438"/>
      <c r="X387" s="2438"/>
      <c r="Y387" s="2438"/>
      <c r="Z387" s="2438"/>
      <c r="AA387" s="2438"/>
      <c r="AB387" s="2438"/>
      <c r="AC387" s="2438"/>
      <c r="AD387" s="2438"/>
      <c r="AE387" s="2438"/>
      <c r="AF387" s="2465"/>
      <c r="AG387" s="2466"/>
      <c r="AH387" s="2466"/>
      <c r="AI387" s="2466"/>
      <c r="AJ387" s="2466"/>
      <c r="AK387" s="2466"/>
      <c r="AL387" s="2466"/>
      <c r="AM387" s="2466"/>
      <c r="AN387" s="2466"/>
      <c r="AO387" s="2466"/>
      <c r="AP387" s="2466"/>
      <c r="AQ387" s="2467"/>
      <c r="AR387" s="2272"/>
      <c r="AS387" s="2272"/>
      <c r="AT387" s="2406"/>
      <c r="AU387" s="2406"/>
      <c r="AV387" s="2406"/>
      <c r="AW387" s="2406"/>
      <c r="AX387" s="2406"/>
      <c r="AY387" s="2406"/>
      <c r="AZ387" s="2406"/>
      <c r="BA387" s="2406"/>
      <c r="BB387" s="2406"/>
      <c r="BC387" s="2406"/>
      <c r="BD387" s="2406"/>
      <c r="BE387" s="2406"/>
      <c r="BF387" s="2406"/>
      <c r="BG387" s="2406"/>
      <c r="BH387" s="2406"/>
      <c r="BI387" s="2406"/>
      <c r="BJ387" s="2406"/>
      <c r="BK387" s="2406"/>
      <c r="BL387" s="2406"/>
      <c r="BM387" s="2406"/>
      <c r="BN387" s="2406"/>
      <c r="BO387" s="2406"/>
      <c r="BP387" s="2406"/>
      <c r="BQ387" s="2406"/>
      <c r="BR387" s="2406"/>
      <c r="BS387" s="2271"/>
      <c r="BT387" s="2271"/>
      <c r="BU387" s="2271"/>
      <c r="BV387" s="2271"/>
      <c r="BW387" s="2271"/>
      <c r="BX387" s="2271"/>
      <c r="BY387" s="2271"/>
      <c r="BZ387" s="2272"/>
      <c r="CA387" s="2272"/>
      <c r="CB387" s="2377"/>
      <c r="CC387" s="2378"/>
      <c r="CD387" s="2378"/>
      <c r="CE387" s="2378"/>
      <c r="CF387" s="2378"/>
      <c r="CG387" s="2378"/>
      <c r="CH387" s="2378"/>
      <c r="CI387" s="2378"/>
      <c r="CJ387" s="2378"/>
      <c r="CK387" s="2378"/>
      <c r="CL387" s="2378"/>
      <c r="CM387" s="2378"/>
      <c r="CN387" s="2378"/>
      <c r="CO387" s="2378"/>
      <c r="CP387" s="2378"/>
      <c r="CQ387" s="2378"/>
      <c r="CR387" s="2378"/>
      <c r="CS387" s="2378"/>
      <c r="CT387" s="2378"/>
      <c r="CU387" s="2379"/>
      <c r="CV387" s="2300" t="str">
        <f t="shared" si="293"/>
        <v/>
      </c>
      <c r="CW387" s="2300"/>
      <c r="CX387" s="2300"/>
      <c r="CY387" s="2300"/>
      <c r="CZ387" s="2300"/>
      <c r="DA387" s="2300"/>
      <c r="DC387" s="329" t="str">
        <f t="shared" si="294"/>
        <v/>
      </c>
      <c r="DD387" s="197"/>
      <c r="DF387" s="14"/>
      <c r="DG387" s="14"/>
      <c r="DH387" s="14"/>
      <c r="DI387" s="1596"/>
      <c r="DJ387" s="1170" t="s">
        <v>2749</v>
      </c>
      <c r="DK387" s="1604" t="str">
        <f t="shared" si="295"/>
        <v/>
      </c>
      <c r="DL387" s="437" t="str">
        <f t="shared" si="296"/>
        <v/>
      </c>
      <c r="DM387" s="1128">
        <f t="shared" si="297"/>
        <v>0</v>
      </c>
      <c r="DN387" s="22">
        <f t="shared" si="298"/>
        <v>0</v>
      </c>
      <c r="DO387" s="22">
        <f t="shared" si="299"/>
        <v>0</v>
      </c>
      <c r="DP387" s="264">
        <f t="shared" si="300"/>
        <v>0</v>
      </c>
      <c r="DQ387" s="32" t="s">
        <v>733</v>
      </c>
      <c r="DR387" s="263" t="str">
        <f>IF($U387="",R387,U387)</f>
        <v>木造の壁の室内に面する部分の躯体の劣化及び損傷の状況</v>
      </c>
      <c r="DS387" s="23">
        <f t="shared" si="301"/>
        <v>0</v>
      </c>
      <c r="DT387" s="29" t="str">
        <f t="shared" si="302"/>
        <v/>
      </c>
      <c r="DU387" s="242" t="str">
        <f t="shared" si="303"/>
        <v/>
      </c>
      <c r="DV387" s="57" t="str">
        <f>IF($DT387="要是正",MAX($DV$378:DV386)+1,"")</f>
        <v/>
      </c>
      <c r="DW387" s="30" t="str">
        <f t="shared" si="304"/>
        <v/>
      </c>
      <c r="DX387" s="30" t="str">
        <f t="shared" si="305"/>
        <v/>
      </c>
      <c r="DY387" s="13" t="str">
        <f t="shared" si="306"/>
        <v/>
      </c>
      <c r="DZ387" s="121" t="str">
        <f t="shared" si="307"/>
        <v/>
      </c>
      <c r="EA387" s="256" t="str">
        <f t="shared" si="308"/>
        <v/>
      </c>
      <c r="EB387" s="138" t="str">
        <f t="shared" si="309"/>
        <v/>
      </c>
      <c r="EC387" s="131" t="str">
        <f t="shared" si="310"/>
        <v>0</v>
      </c>
      <c r="ED387" s="54" t="str">
        <f t="shared" si="311"/>
        <v/>
      </c>
      <c r="EE387" s="131" t="str">
        <f t="shared" si="360"/>
        <v>0</v>
      </c>
      <c r="EF387" s="37" t="str">
        <f t="shared" si="312"/>
        <v/>
      </c>
      <c r="EG387" s="108" t="str">
        <f t="shared" si="313"/>
        <v/>
      </c>
      <c r="EH387" s="41" t="str">
        <f t="shared" si="314"/>
        <v>0</v>
      </c>
      <c r="EI387" s="54" t="str">
        <f t="shared" si="315"/>
        <v/>
      </c>
      <c r="EJ387" s="131" t="str">
        <f t="shared" si="361"/>
        <v>0</v>
      </c>
      <c r="EK387" s="241" t="str">
        <f t="shared" si="316"/>
        <v/>
      </c>
      <c r="EL387" s="242" t="e">
        <f t="shared" si="317"/>
        <v>#N/A</v>
      </c>
      <c r="EM387" s="57" t="e">
        <f t="shared" si="318"/>
        <v>#N/A</v>
      </c>
      <c r="EN387" s="243" t="e">
        <f t="shared" si="319"/>
        <v>#N/A</v>
      </c>
      <c r="FK387" s="326" t="str">
        <f t="shared" si="364"/>
        <v/>
      </c>
      <c r="FL387" s="326" t="str">
        <f t="shared" si="365"/>
        <v/>
      </c>
      <c r="FM387" s="326" t="str">
        <f t="shared" si="366"/>
        <v/>
      </c>
      <c r="FN387" s="326">
        <f t="shared" si="320"/>
        <v>0</v>
      </c>
      <c r="FO387" s="670" t="str">
        <f t="shared" si="367"/>
        <v/>
      </c>
      <c r="FQ387" s="138" t="str">
        <f t="shared" si="321"/>
        <v/>
      </c>
      <c r="FR387" s="131" t="str">
        <f t="shared" si="322"/>
        <v>0</v>
      </c>
      <c r="FS387" s="54" t="str">
        <f t="shared" si="323"/>
        <v/>
      </c>
      <c r="FT387" s="131" t="str">
        <f t="shared" si="362"/>
        <v>0</v>
      </c>
      <c r="FU387" s="217" t="str">
        <f t="shared" si="324"/>
        <v/>
      </c>
      <c r="FW387" s="667">
        <f t="shared" si="363"/>
        <v>0</v>
      </c>
      <c r="FX387" s="32"/>
      <c r="FY387" s="32"/>
      <c r="FZ387" s="668"/>
      <c r="GA387" s="14"/>
      <c r="GB387" s="658">
        <f t="shared" si="325"/>
        <v>0</v>
      </c>
      <c r="GC387" s="658">
        <f t="shared" si="326"/>
        <v>0</v>
      </c>
      <c r="GD387" s="658">
        <f t="shared" si="327"/>
        <v>0</v>
      </c>
      <c r="GE387" s="658" t="str">
        <f t="shared" si="328"/>
        <v/>
      </c>
      <c r="GF387" s="658" t="str">
        <f t="shared" si="329"/>
        <v/>
      </c>
      <c r="GG387" s="658" t="str">
        <f t="shared" si="330"/>
        <v/>
      </c>
      <c r="GH387" s="658" t="str">
        <f t="shared" si="331"/>
        <v/>
      </c>
      <c r="GI387" s="658" t="str">
        <f t="shared" si="332"/>
        <v/>
      </c>
      <c r="GJ387" s="658" t="str">
        <f t="shared" si="333"/>
        <v/>
      </c>
      <c r="GK387" s="658" t="str">
        <f t="shared" si="334"/>
        <v/>
      </c>
      <c r="GL387" s="658" t="str">
        <f t="shared" si="335"/>
        <v/>
      </c>
      <c r="GM387" s="658" t="str">
        <f t="shared" si="336"/>
        <v/>
      </c>
      <c r="GN387" s="658" t="str">
        <f t="shared" si="337"/>
        <v/>
      </c>
      <c r="GO387" s="658" t="str">
        <f t="shared" si="338"/>
        <v/>
      </c>
      <c r="GP387" s="658" t="str">
        <f t="shared" si="339"/>
        <v/>
      </c>
      <c r="GQ387" s="658" t="str">
        <f t="shared" si="340"/>
        <v/>
      </c>
      <c r="GR387" s="658" t="str">
        <f t="shared" si="341"/>
        <v/>
      </c>
      <c r="GS387" s="658" t="str">
        <f t="shared" si="342"/>
        <v/>
      </c>
      <c r="GT387" s="658">
        <f t="shared" si="368"/>
        <v>0</v>
      </c>
      <c r="GU387" s="658">
        <f t="shared" si="369"/>
        <v>0</v>
      </c>
      <c r="GV387" s="658">
        <f t="shared" si="370"/>
        <v>0</v>
      </c>
      <c r="GW387" s="658" t="b">
        <f t="shared" si="371"/>
        <v>0</v>
      </c>
      <c r="GX387" s="658" t="b">
        <f t="shared" si="372"/>
        <v>0</v>
      </c>
      <c r="GY387" s="658" t="b">
        <f t="shared" si="373"/>
        <v>0</v>
      </c>
      <c r="GZ387" s="658" t="str">
        <f t="shared" si="173"/>
        <v/>
      </c>
      <c r="HB387" s="658" t="str">
        <f t="shared" si="374"/>
        <v/>
      </c>
      <c r="HC387" s="658" t="str">
        <f t="shared" si="343"/>
        <v/>
      </c>
      <c r="HD387" s="658" t="str">
        <f t="shared" si="344"/>
        <v/>
      </c>
      <c r="HE387" s="658" t="str">
        <f t="shared" si="345"/>
        <v/>
      </c>
      <c r="HF387" s="658" t="str">
        <f t="shared" si="346"/>
        <v/>
      </c>
      <c r="HG387" s="658" t="str">
        <f t="shared" si="347"/>
        <v/>
      </c>
      <c r="HH387" s="658" t="str">
        <f t="shared" si="348"/>
        <v/>
      </c>
      <c r="HI387" s="658" t="str">
        <f t="shared" si="349"/>
        <v/>
      </c>
      <c r="HJ387" s="658" t="str">
        <f t="shared" si="350"/>
        <v/>
      </c>
      <c r="HK387" s="658" t="str">
        <f t="shared" si="351"/>
        <v/>
      </c>
      <c r="HL387" s="658" t="str">
        <f t="shared" si="352"/>
        <v/>
      </c>
      <c r="HM387" s="658" t="str">
        <f t="shared" si="353"/>
        <v/>
      </c>
      <c r="HN387" s="658" t="str">
        <f t="shared" si="354"/>
        <v/>
      </c>
      <c r="HO387" s="658" t="str">
        <f t="shared" si="355"/>
        <v/>
      </c>
      <c r="HP387" s="658" t="str">
        <f t="shared" si="356"/>
        <v/>
      </c>
      <c r="HQ387" s="658" t="str">
        <f t="shared" si="357"/>
        <v/>
      </c>
      <c r="HR387" s="658" t="str">
        <f t="shared" si="375"/>
        <v/>
      </c>
      <c r="HT387" s="658">
        <f>LEFT(M387,1)*10000+MID(M387,3,LEN(M387)-3)*100+COUNTIF($M$319:M387,M387)</f>
        <v>40601</v>
      </c>
      <c r="HU387" s="658" t="str">
        <f t="shared" si="376"/>
        <v/>
      </c>
      <c r="HV387" s="658" t="str">
        <f t="shared" si="358"/>
        <v/>
      </c>
      <c r="HW387" s="658" t="str">
        <f t="shared" si="377"/>
        <v/>
      </c>
      <c r="HX387" s="658" t="str">
        <f t="shared" si="359"/>
        <v/>
      </c>
    </row>
    <row r="388" spans="1:232" s="19" customFormat="1" ht="50.1" customHeight="1" x14ac:dyDescent="0.15">
      <c r="A388" s="1201"/>
      <c r="B388" s="1201"/>
      <c r="C388" s="1201"/>
      <c r="D388" s="1201"/>
      <c r="E388" s="1202"/>
      <c r="F388" s="652"/>
      <c r="G388" s="652"/>
      <c r="H388" s="652"/>
      <c r="I388" s="1357"/>
      <c r="J388" s="1234"/>
      <c r="K388" s="1261"/>
      <c r="L388" s="1261"/>
      <c r="M388" s="2423" t="s">
        <v>1156</v>
      </c>
      <c r="N388" s="2423"/>
      <c r="O388" s="2424"/>
      <c r="P388" s="2433"/>
      <c r="Q388" s="2433"/>
      <c r="R388" s="2429"/>
      <c r="S388" s="2429"/>
      <c r="T388" s="2429"/>
      <c r="U388" s="2435" t="s">
        <v>85</v>
      </c>
      <c r="V388" s="2435"/>
      <c r="W388" s="2435"/>
      <c r="X388" s="2435"/>
      <c r="Y388" s="2435"/>
      <c r="Z388" s="2435"/>
      <c r="AA388" s="2435"/>
      <c r="AB388" s="2435"/>
      <c r="AC388" s="2435"/>
      <c r="AD388" s="2435"/>
      <c r="AE388" s="2435"/>
      <c r="AF388" s="2426"/>
      <c r="AG388" s="2427"/>
      <c r="AH388" s="2427"/>
      <c r="AI388" s="2427"/>
      <c r="AJ388" s="2427"/>
      <c r="AK388" s="2427"/>
      <c r="AL388" s="2427"/>
      <c r="AM388" s="2427"/>
      <c r="AN388" s="2427"/>
      <c r="AO388" s="2427"/>
      <c r="AP388" s="2427"/>
      <c r="AQ388" s="2428"/>
      <c r="AR388" s="2151"/>
      <c r="AS388" s="2151"/>
      <c r="AT388" s="2292"/>
      <c r="AU388" s="2292"/>
      <c r="AV388" s="2292"/>
      <c r="AW388" s="2292"/>
      <c r="AX388" s="2292"/>
      <c r="AY388" s="2292"/>
      <c r="AZ388" s="2292"/>
      <c r="BA388" s="2292"/>
      <c r="BB388" s="2292"/>
      <c r="BC388" s="2292"/>
      <c r="BD388" s="2292"/>
      <c r="BE388" s="2292"/>
      <c r="BF388" s="2292"/>
      <c r="BG388" s="2292"/>
      <c r="BH388" s="2292"/>
      <c r="BI388" s="2292"/>
      <c r="BJ388" s="2292"/>
      <c r="BK388" s="2292"/>
      <c r="BL388" s="2292"/>
      <c r="BM388" s="2292"/>
      <c r="BN388" s="2292"/>
      <c r="BO388" s="2292"/>
      <c r="BP388" s="2292"/>
      <c r="BQ388" s="2292"/>
      <c r="BR388" s="2292"/>
      <c r="BS388" s="2269"/>
      <c r="BT388" s="2269"/>
      <c r="BU388" s="2269"/>
      <c r="BV388" s="2269"/>
      <c r="BW388" s="2269"/>
      <c r="BX388" s="2269"/>
      <c r="BY388" s="2269"/>
      <c r="BZ388" s="2151"/>
      <c r="CA388" s="2151"/>
      <c r="CB388" s="2722"/>
      <c r="CC388" s="2723"/>
      <c r="CD388" s="2723"/>
      <c r="CE388" s="2723"/>
      <c r="CF388" s="2723"/>
      <c r="CG388" s="2723"/>
      <c r="CH388" s="2723"/>
      <c r="CI388" s="2723"/>
      <c r="CJ388" s="2723"/>
      <c r="CK388" s="2723"/>
      <c r="CL388" s="2723"/>
      <c r="CM388" s="2723"/>
      <c r="CN388" s="2723"/>
      <c r="CO388" s="2723"/>
      <c r="CP388" s="2723"/>
      <c r="CQ388" s="2723"/>
      <c r="CR388" s="2723"/>
      <c r="CS388" s="2723"/>
      <c r="CT388" s="2723"/>
      <c r="CU388" s="2724"/>
      <c r="CV388" s="2300" t="str">
        <f t="shared" si="293"/>
        <v/>
      </c>
      <c r="CW388" s="2300"/>
      <c r="CX388" s="2300"/>
      <c r="CY388" s="2300"/>
      <c r="CZ388" s="2300"/>
      <c r="DA388" s="2300"/>
      <c r="DC388" s="329" t="str">
        <f t="shared" si="294"/>
        <v/>
      </c>
      <c r="DD388" s="197"/>
      <c r="DF388" s="14"/>
      <c r="DG388" s="14"/>
      <c r="DH388" s="14"/>
      <c r="DI388" s="1596"/>
      <c r="DJ388" s="1170" t="s">
        <v>2749</v>
      </c>
      <c r="DK388" s="1604" t="str">
        <f t="shared" si="295"/>
        <v/>
      </c>
      <c r="DL388" s="437" t="str">
        <f t="shared" si="296"/>
        <v/>
      </c>
      <c r="DM388" s="1128">
        <f t="shared" si="297"/>
        <v>0</v>
      </c>
      <c r="DN388" s="22">
        <f t="shared" si="298"/>
        <v>0</v>
      </c>
      <c r="DO388" s="22">
        <f t="shared" si="299"/>
        <v>0</v>
      </c>
      <c r="DP388" s="264">
        <f t="shared" si="300"/>
        <v>0</v>
      </c>
      <c r="DQ388" s="32" t="s">
        <v>734</v>
      </c>
      <c r="DR388" s="263" t="str">
        <f>IF($U388="",R387,U388)</f>
        <v>組積造の壁の室内に面する部分の躯体の劣化及び損傷の状況</v>
      </c>
      <c r="DS388" s="23">
        <f t="shared" si="301"/>
        <v>0</v>
      </c>
      <c r="DT388" s="29" t="str">
        <f t="shared" si="302"/>
        <v/>
      </c>
      <c r="DU388" s="242" t="str">
        <f t="shared" si="303"/>
        <v/>
      </c>
      <c r="DV388" s="57" t="str">
        <f>IF($DT388="要是正",MAX($DV$378:DV387)+1,"")</f>
        <v/>
      </c>
      <c r="DW388" s="30" t="str">
        <f t="shared" si="304"/>
        <v/>
      </c>
      <c r="DX388" s="30" t="str">
        <f t="shared" si="305"/>
        <v/>
      </c>
      <c r="DY388" s="13" t="str">
        <f t="shared" si="306"/>
        <v/>
      </c>
      <c r="DZ388" s="121" t="str">
        <f t="shared" si="307"/>
        <v/>
      </c>
      <c r="EA388" s="256" t="str">
        <f t="shared" si="308"/>
        <v/>
      </c>
      <c r="EB388" s="138" t="str">
        <f t="shared" si="309"/>
        <v/>
      </c>
      <c r="EC388" s="131" t="str">
        <f t="shared" si="310"/>
        <v>0</v>
      </c>
      <c r="ED388" s="54" t="str">
        <f t="shared" si="311"/>
        <v/>
      </c>
      <c r="EE388" s="131" t="str">
        <f t="shared" si="360"/>
        <v>0</v>
      </c>
      <c r="EF388" s="37" t="str">
        <f t="shared" si="312"/>
        <v/>
      </c>
      <c r="EG388" s="108" t="str">
        <f t="shared" si="313"/>
        <v/>
      </c>
      <c r="EH388" s="41" t="str">
        <f t="shared" si="314"/>
        <v>0</v>
      </c>
      <c r="EI388" s="54" t="str">
        <f t="shared" si="315"/>
        <v/>
      </c>
      <c r="EJ388" s="131" t="str">
        <f t="shared" si="361"/>
        <v>0</v>
      </c>
      <c r="EK388" s="241" t="str">
        <f t="shared" si="316"/>
        <v/>
      </c>
      <c r="EL388" s="242" t="e">
        <f t="shared" si="317"/>
        <v>#N/A</v>
      </c>
      <c r="EM388" s="57" t="e">
        <f t="shared" si="318"/>
        <v>#N/A</v>
      </c>
      <c r="EN388" s="243" t="e">
        <f t="shared" si="319"/>
        <v>#N/A</v>
      </c>
      <c r="FK388" s="326" t="str">
        <f t="shared" si="364"/>
        <v/>
      </c>
      <c r="FL388" s="326" t="str">
        <f t="shared" si="365"/>
        <v/>
      </c>
      <c r="FM388" s="326" t="str">
        <f t="shared" si="366"/>
        <v/>
      </c>
      <c r="FN388" s="326">
        <f t="shared" si="320"/>
        <v>0</v>
      </c>
      <c r="FO388" s="670" t="str">
        <f t="shared" si="367"/>
        <v/>
      </c>
      <c r="FQ388" s="138" t="str">
        <f t="shared" si="321"/>
        <v/>
      </c>
      <c r="FR388" s="131" t="str">
        <f t="shared" si="322"/>
        <v>0</v>
      </c>
      <c r="FS388" s="54" t="str">
        <f t="shared" si="323"/>
        <v/>
      </c>
      <c r="FT388" s="131" t="str">
        <f t="shared" si="362"/>
        <v>0</v>
      </c>
      <c r="FU388" s="217" t="str">
        <f t="shared" si="324"/>
        <v/>
      </c>
      <c r="FW388" s="667">
        <f t="shared" si="363"/>
        <v>0</v>
      </c>
      <c r="FX388" s="32"/>
      <c r="FY388" s="32"/>
      <c r="FZ388" s="668"/>
      <c r="GA388" s="14"/>
      <c r="GB388" s="658">
        <f t="shared" si="325"/>
        <v>0</v>
      </c>
      <c r="GC388" s="658">
        <f t="shared" si="326"/>
        <v>0</v>
      </c>
      <c r="GD388" s="658">
        <f t="shared" si="327"/>
        <v>0</v>
      </c>
      <c r="GE388" s="658" t="str">
        <f t="shared" si="328"/>
        <v/>
      </c>
      <c r="GF388" s="658" t="str">
        <f t="shared" si="329"/>
        <v/>
      </c>
      <c r="GG388" s="658" t="str">
        <f t="shared" si="330"/>
        <v/>
      </c>
      <c r="GH388" s="658" t="str">
        <f t="shared" si="331"/>
        <v/>
      </c>
      <c r="GI388" s="658" t="str">
        <f t="shared" si="332"/>
        <v/>
      </c>
      <c r="GJ388" s="658" t="str">
        <f t="shared" si="333"/>
        <v/>
      </c>
      <c r="GK388" s="658" t="str">
        <f t="shared" si="334"/>
        <v/>
      </c>
      <c r="GL388" s="658" t="str">
        <f t="shared" si="335"/>
        <v/>
      </c>
      <c r="GM388" s="658" t="str">
        <f t="shared" si="336"/>
        <v/>
      </c>
      <c r="GN388" s="658" t="str">
        <f t="shared" si="337"/>
        <v/>
      </c>
      <c r="GO388" s="658" t="str">
        <f t="shared" si="338"/>
        <v/>
      </c>
      <c r="GP388" s="658" t="str">
        <f t="shared" si="339"/>
        <v/>
      </c>
      <c r="GQ388" s="658" t="str">
        <f t="shared" si="340"/>
        <v/>
      </c>
      <c r="GR388" s="658" t="str">
        <f t="shared" si="341"/>
        <v/>
      </c>
      <c r="GS388" s="658" t="str">
        <f t="shared" si="342"/>
        <v/>
      </c>
      <c r="GT388" s="658">
        <f t="shared" si="368"/>
        <v>0</v>
      </c>
      <c r="GU388" s="658">
        <f t="shared" si="369"/>
        <v>0</v>
      </c>
      <c r="GV388" s="658">
        <f t="shared" si="370"/>
        <v>0</v>
      </c>
      <c r="GW388" s="658" t="b">
        <f t="shared" si="371"/>
        <v>0</v>
      </c>
      <c r="GX388" s="658" t="b">
        <f t="shared" si="372"/>
        <v>0</v>
      </c>
      <c r="GY388" s="658" t="b">
        <f t="shared" si="373"/>
        <v>0</v>
      </c>
      <c r="GZ388" s="658" t="str">
        <f t="shared" si="173"/>
        <v/>
      </c>
      <c r="HB388" s="658" t="str">
        <f t="shared" si="374"/>
        <v/>
      </c>
      <c r="HC388" s="658" t="str">
        <f t="shared" si="343"/>
        <v/>
      </c>
      <c r="HD388" s="658" t="str">
        <f t="shared" si="344"/>
        <v/>
      </c>
      <c r="HE388" s="658" t="str">
        <f t="shared" si="345"/>
        <v/>
      </c>
      <c r="HF388" s="658" t="str">
        <f t="shared" si="346"/>
        <v/>
      </c>
      <c r="HG388" s="658" t="str">
        <f t="shared" si="347"/>
        <v/>
      </c>
      <c r="HH388" s="658" t="str">
        <f t="shared" si="348"/>
        <v/>
      </c>
      <c r="HI388" s="658" t="str">
        <f t="shared" si="349"/>
        <v/>
      </c>
      <c r="HJ388" s="658" t="str">
        <f t="shared" si="350"/>
        <v/>
      </c>
      <c r="HK388" s="658" t="str">
        <f t="shared" si="351"/>
        <v/>
      </c>
      <c r="HL388" s="658" t="str">
        <f t="shared" si="352"/>
        <v/>
      </c>
      <c r="HM388" s="658" t="str">
        <f t="shared" si="353"/>
        <v/>
      </c>
      <c r="HN388" s="658" t="str">
        <f t="shared" si="354"/>
        <v/>
      </c>
      <c r="HO388" s="658" t="str">
        <f t="shared" si="355"/>
        <v/>
      </c>
      <c r="HP388" s="658" t="str">
        <f t="shared" si="356"/>
        <v/>
      </c>
      <c r="HQ388" s="658" t="str">
        <f t="shared" si="357"/>
        <v/>
      </c>
      <c r="HR388" s="658" t="str">
        <f t="shared" si="375"/>
        <v/>
      </c>
      <c r="HT388" s="658">
        <f>LEFT(M388,1)*10000+MID(M388,3,LEN(M388)-3)*100+COUNTIF($M$319:M388,M388)</f>
        <v>40701</v>
      </c>
      <c r="HU388" s="658" t="str">
        <f t="shared" si="376"/>
        <v/>
      </c>
      <c r="HV388" s="658" t="str">
        <f t="shared" si="358"/>
        <v/>
      </c>
      <c r="HW388" s="658" t="str">
        <f t="shared" si="377"/>
        <v/>
      </c>
      <c r="HX388" s="658" t="str">
        <f t="shared" si="359"/>
        <v/>
      </c>
    </row>
    <row r="389" spans="1:232" s="19" customFormat="1" ht="50.1" customHeight="1" x14ac:dyDescent="0.15">
      <c r="A389" s="1201"/>
      <c r="B389" s="1201"/>
      <c r="C389" s="1201"/>
      <c r="D389" s="1201"/>
      <c r="E389" s="1202"/>
      <c r="F389" s="652"/>
      <c r="G389" s="652"/>
      <c r="H389" s="652"/>
      <c r="I389" s="1357"/>
      <c r="J389" s="1234"/>
      <c r="K389" s="1261"/>
      <c r="L389" s="1261"/>
      <c r="M389" s="2423" t="s">
        <v>1157</v>
      </c>
      <c r="N389" s="2423"/>
      <c r="O389" s="2424"/>
      <c r="P389" s="2433"/>
      <c r="Q389" s="2433"/>
      <c r="R389" s="2429"/>
      <c r="S389" s="2429"/>
      <c r="T389" s="2429"/>
      <c r="U389" s="2435" t="s">
        <v>86</v>
      </c>
      <c r="V389" s="2435"/>
      <c r="W389" s="2435"/>
      <c r="X389" s="2435"/>
      <c r="Y389" s="2435"/>
      <c r="Z389" s="2435"/>
      <c r="AA389" s="2435"/>
      <c r="AB389" s="2435"/>
      <c r="AC389" s="2435"/>
      <c r="AD389" s="2435"/>
      <c r="AE389" s="2435"/>
      <c r="AF389" s="2426"/>
      <c r="AG389" s="2427"/>
      <c r="AH389" s="2427"/>
      <c r="AI389" s="2427"/>
      <c r="AJ389" s="2427"/>
      <c r="AK389" s="2427"/>
      <c r="AL389" s="2427"/>
      <c r="AM389" s="2427"/>
      <c r="AN389" s="2427"/>
      <c r="AO389" s="2427"/>
      <c r="AP389" s="2427"/>
      <c r="AQ389" s="2428"/>
      <c r="AR389" s="2151"/>
      <c r="AS389" s="2151"/>
      <c r="AT389" s="2292"/>
      <c r="AU389" s="2292"/>
      <c r="AV389" s="2292"/>
      <c r="AW389" s="2292"/>
      <c r="AX389" s="2292"/>
      <c r="AY389" s="2292"/>
      <c r="AZ389" s="2292"/>
      <c r="BA389" s="2292"/>
      <c r="BB389" s="2292"/>
      <c r="BC389" s="2292"/>
      <c r="BD389" s="2292"/>
      <c r="BE389" s="2292"/>
      <c r="BF389" s="2292"/>
      <c r="BG389" s="2292"/>
      <c r="BH389" s="2292"/>
      <c r="BI389" s="2292"/>
      <c r="BJ389" s="2292"/>
      <c r="BK389" s="2292"/>
      <c r="BL389" s="2292"/>
      <c r="BM389" s="2292"/>
      <c r="BN389" s="2292"/>
      <c r="BO389" s="2292"/>
      <c r="BP389" s="2292"/>
      <c r="BQ389" s="2292"/>
      <c r="BR389" s="2292"/>
      <c r="BS389" s="2269"/>
      <c r="BT389" s="2269"/>
      <c r="BU389" s="2269"/>
      <c r="BV389" s="2269"/>
      <c r="BW389" s="2269"/>
      <c r="BX389" s="2269"/>
      <c r="BY389" s="2269"/>
      <c r="BZ389" s="2151"/>
      <c r="CA389" s="2151"/>
      <c r="CB389" s="2722"/>
      <c r="CC389" s="2723"/>
      <c r="CD389" s="2723"/>
      <c r="CE389" s="2723"/>
      <c r="CF389" s="2723"/>
      <c r="CG389" s="2723"/>
      <c r="CH389" s="2723"/>
      <c r="CI389" s="2723"/>
      <c r="CJ389" s="2723"/>
      <c r="CK389" s="2723"/>
      <c r="CL389" s="2723"/>
      <c r="CM389" s="2723"/>
      <c r="CN389" s="2723"/>
      <c r="CO389" s="2723"/>
      <c r="CP389" s="2723"/>
      <c r="CQ389" s="2723"/>
      <c r="CR389" s="2723"/>
      <c r="CS389" s="2723"/>
      <c r="CT389" s="2723"/>
      <c r="CU389" s="2724"/>
      <c r="CV389" s="2300" t="str">
        <f t="shared" si="293"/>
        <v/>
      </c>
      <c r="CW389" s="2300"/>
      <c r="CX389" s="2300"/>
      <c r="CY389" s="2300"/>
      <c r="CZ389" s="2300"/>
      <c r="DA389" s="2300"/>
      <c r="DC389" s="329" t="str">
        <f t="shared" si="294"/>
        <v/>
      </c>
      <c r="DD389" s="197"/>
      <c r="DF389" s="14"/>
      <c r="DG389" s="14"/>
      <c r="DH389" s="14"/>
      <c r="DI389" s="1596"/>
      <c r="DJ389" s="1170" t="s">
        <v>2749</v>
      </c>
      <c r="DK389" s="1604" t="str">
        <f t="shared" si="295"/>
        <v/>
      </c>
      <c r="DL389" s="437" t="str">
        <f t="shared" si="296"/>
        <v/>
      </c>
      <c r="DM389" s="1128">
        <f t="shared" si="297"/>
        <v>0</v>
      </c>
      <c r="DN389" s="22">
        <f t="shared" si="298"/>
        <v>0</v>
      </c>
      <c r="DO389" s="22">
        <f t="shared" si="299"/>
        <v>0</v>
      </c>
      <c r="DP389" s="264">
        <f t="shared" si="300"/>
        <v>0</v>
      </c>
      <c r="DQ389" s="32" t="s">
        <v>735</v>
      </c>
      <c r="DR389" s="263" t="str">
        <f>IF($U389="",R387,U389)</f>
        <v>補強コンクリートブロック造の壁の室内に面する部分の躯体の劣化及び損傷の状況</v>
      </c>
      <c r="DS389" s="23">
        <f t="shared" si="301"/>
        <v>0</v>
      </c>
      <c r="DT389" s="29" t="str">
        <f t="shared" si="302"/>
        <v/>
      </c>
      <c r="DU389" s="242" t="str">
        <f t="shared" si="303"/>
        <v/>
      </c>
      <c r="DV389" s="57" t="str">
        <f>IF($DT389="要是正",MAX($DV$378:DV388)+1,"")</f>
        <v/>
      </c>
      <c r="DW389" s="30" t="str">
        <f t="shared" si="304"/>
        <v/>
      </c>
      <c r="DX389" s="30" t="str">
        <f t="shared" si="305"/>
        <v/>
      </c>
      <c r="DY389" s="13" t="str">
        <f t="shared" si="306"/>
        <v/>
      </c>
      <c r="DZ389" s="121" t="str">
        <f t="shared" si="307"/>
        <v/>
      </c>
      <c r="EA389" s="256" t="str">
        <f t="shared" si="308"/>
        <v/>
      </c>
      <c r="EB389" s="138" t="str">
        <f t="shared" si="309"/>
        <v/>
      </c>
      <c r="EC389" s="131" t="str">
        <f t="shared" si="310"/>
        <v>0</v>
      </c>
      <c r="ED389" s="54" t="str">
        <f t="shared" si="311"/>
        <v/>
      </c>
      <c r="EE389" s="131" t="str">
        <f t="shared" si="360"/>
        <v>0</v>
      </c>
      <c r="EF389" s="37" t="str">
        <f t="shared" si="312"/>
        <v/>
      </c>
      <c r="EG389" s="108" t="str">
        <f t="shared" si="313"/>
        <v/>
      </c>
      <c r="EH389" s="41" t="str">
        <f t="shared" si="314"/>
        <v>0</v>
      </c>
      <c r="EI389" s="54" t="str">
        <f t="shared" si="315"/>
        <v/>
      </c>
      <c r="EJ389" s="131" t="str">
        <f t="shared" si="361"/>
        <v>0</v>
      </c>
      <c r="EK389" s="241" t="str">
        <f t="shared" si="316"/>
        <v/>
      </c>
      <c r="EL389" s="242" t="e">
        <f t="shared" si="317"/>
        <v>#N/A</v>
      </c>
      <c r="EM389" s="57" t="e">
        <f t="shared" si="318"/>
        <v>#N/A</v>
      </c>
      <c r="EN389" s="243" t="e">
        <f t="shared" si="319"/>
        <v>#N/A</v>
      </c>
      <c r="FK389" s="326" t="str">
        <f t="shared" si="364"/>
        <v/>
      </c>
      <c r="FL389" s="326" t="str">
        <f t="shared" si="365"/>
        <v/>
      </c>
      <c r="FM389" s="326" t="str">
        <f t="shared" si="366"/>
        <v/>
      </c>
      <c r="FN389" s="326">
        <f t="shared" si="320"/>
        <v>0</v>
      </c>
      <c r="FO389" s="670" t="str">
        <f t="shared" si="367"/>
        <v/>
      </c>
      <c r="FQ389" s="138" t="str">
        <f t="shared" si="321"/>
        <v/>
      </c>
      <c r="FR389" s="131" t="str">
        <f t="shared" si="322"/>
        <v>0</v>
      </c>
      <c r="FS389" s="54" t="str">
        <f t="shared" si="323"/>
        <v/>
      </c>
      <c r="FT389" s="131" t="str">
        <f t="shared" si="362"/>
        <v>0</v>
      </c>
      <c r="FU389" s="217" t="str">
        <f t="shared" si="324"/>
        <v/>
      </c>
      <c r="FW389" s="667">
        <f t="shared" si="363"/>
        <v>0</v>
      </c>
      <c r="FX389" s="32"/>
      <c r="FY389" s="32"/>
      <c r="FZ389" s="668"/>
      <c r="GA389" s="14"/>
      <c r="GB389" s="658">
        <f t="shared" si="325"/>
        <v>0</v>
      </c>
      <c r="GC389" s="658">
        <f t="shared" si="326"/>
        <v>0</v>
      </c>
      <c r="GD389" s="658">
        <f t="shared" si="327"/>
        <v>0</v>
      </c>
      <c r="GE389" s="658" t="str">
        <f t="shared" si="328"/>
        <v/>
      </c>
      <c r="GF389" s="658" t="str">
        <f t="shared" si="329"/>
        <v/>
      </c>
      <c r="GG389" s="658" t="str">
        <f t="shared" si="330"/>
        <v/>
      </c>
      <c r="GH389" s="658" t="str">
        <f t="shared" si="331"/>
        <v/>
      </c>
      <c r="GI389" s="658" t="str">
        <f t="shared" si="332"/>
        <v/>
      </c>
      <c r="GJ389" s="658" t="str">
        <f t="shared" si="333"/>
        <v/>
      </c>
      <c r="GK389" s="658" t="str">
        <f t="shared" si="334"/>
        <v/>
      </c>
      <c r="GL389" s="658" t="str">
        <f t="shared" si="335"/>
        <v/>
      </c>
      <c r="GM389" s="658" t="str">
        <f t="shared" si="336"/>
        <v/>
      </c>
      <c r="GN389" s="658" t="str">
        <f t="shared" si="337"/>
        <v/>
      </c>
      <c r="GO389" s="658" t="str">
        <f t="shared" si="338"/>
        <v/>
      </c>
      <c r="GP389" s="658" t="str">
        <f t="shared" si="339"/>
        <v/>
      </c>
      <c r="GQ389" s="658" t="str">
        <f t="shared" si="340"/>
        <v/>
      </c>
      <c r="GR389" s="658" t="str">
        <f t="shared" si="341"/>
        <v/>
      </c>
      <c r="GS389" s="658" t="str">
        <f t="shared" si="342"/>
        <v/>
      </c>
      <c r="GT389" s="658">
        <f t="shared" si="368"/>
        <v>0</v>
      </c>
      <c r="GU389" s="658">
        <f t="shared" si="369"/>
        <v>0</v>
      </c>
      <c r="GV389" s="658">
        <f t="shared" si="370"/>
        <v>0</v>
      </c>
      <c r="GW389" s="658" t="b">
        <f t="shared" si="371"/>
        <v>0</v>
      </c>
      <c r="GX389" s="658" t="b">
        <f t="shared" si="372"/>
        <v>0</v>
      </c>
      <c r="GY389" s="658" t="b">
        <f t="shared" si="373"/>
        <v>0</v>
      </c>
      <c r="GZ389" s="658" t="str">
        <f t="shared" si="173"/>
        <v/>
      </c>
      <c r="HB389" s="658" t="str">
        <f t="shared" si="374"/>
        <v/>
      </c>
      <c r="HC389" s="658" t="str">
        <f t="shared" si="343"/>
        <v/>
      </c>
      <c r="HD389" s="658" t="str">
        <f t="shared" si="344"/>
        <v/>
      </c>
      <c r="HE389" s="658" t="str">
        <f t="shared" si="345"/>
        <v/>
      </c>
      <c r="HF389" s="658" t="str">
        <f t="shared" si="346"/>
        <v/>
      </c>
      <c r="HG389" s="658" t="str">
        <f t="shared" si="347"/>
        <v/>
      </c>
      <c r="HH389" s="658" t="str">
        <f t="shared" si="348"/>
        <v/>
      </c>
      <c r="HI389" s="658" t="str">
        <f t="shared" si="349"/>
        <v/>
      </c>
      <c r="HJ389" s="658" t="str">
        <f t="shared" si="350"/>
        <v/>
      </c>
      <c r="HK389" s="658" t="str">
        <f t="shared" si="351"/>
        <v/>
      </c>
      <c r="HL389" s="658" t="str">
        <f t="shared" si="352"/>
        <v/>
      </c>
      <c r="HM389" s="658" t="str">
        <f t="shared" si="353"/>
        <v/>
      </c>
      <c r="HN389" s="658" t="str">
        <f t="shared" si="354"/>
        <v/>
      </c>
      <c r="HO389" s="658" t="str">
        <f t="shared" si="355"/>
        <v/>
      </c>
      <c r="HP389" s="658" t="str">
        <f t="shared" si="356"/>
        <v/>
      </c>
      <c r="HQ389" s="658" t="str">
        <f t="shared" si="357"/>
        <v/>
      </c>
      <c r="HR389" s="658" t="str">
        <f t="shared" si="375"/>
        <v/>
      </c>
      <c r="HT389" s="658">
        <f>LEFT(M389,1)*10000+MID(M389,3,LEN(M389)-3)*100+COUNTIF($M$319:M389,M389)</f>
        <v>40801</v>
      </c>
      <c r="HU389" s="658" t="str">
        <f t="shared" si="376"/>
        <v/>
      </c>
      <c r="HV389" s="658" t="str">
        <f t="shared" si="358"/>
        <v/>
      </c>
      <c r="HW389" s="658" t="str">
        <f t="shared" si="377"/>
        <v/>
      </c>
      <c r="HX389" s="658" t="str">
        <f t="shared" si="359"/>
        <v/>
      </c>
    </row>
    <row r="390" spans="1:232" s="19" customFormat="1" ht="50.1" customHeight="1" x14ac:dyDescent="0.15">
      <c r="A390" s="1201"/>
      <c r="B390" s="1201"/>
      <c r="C390" s="1201"/>
      <c r="D390" s="1201"/>
      <c r="E390" s="1202"/>
      <c r="F390" s="652"/>
      <c r="G390" s="652"/>
      <c r="H390" s="652"/>
      <c r="I390" s="1357"/>
      <c r="J390" s="1234"/>
      <c r="K390" s="1261"/>
      <c r="L390" s="1261"/>
      <c r="M390" s="2423" t="s">
        <v>1158</v>
      </c>
      <c r="N390" s="2423"/>
      <c r="O390" s="2424"/>
      <c r="P390" s="2433"/>
      <c r="Q390" s="2433"/>
      <c r="R390" s="2429"/>
      <c r="S390" s="2429"/>
      <c r="T390" s="2429"/>
      <c r="U390" s="2435" t="s">
        <v>87</v>
      </c>
      <c r="V390" s="2435"/>
      <c r="W390" s="2435"/>
      <c r="X390" s="2435"/>
      <c r="Y390" s="2435"/>
      <c r="Z390" s="2435"/>
      <c r="AA390" s="2435"/>
      <c r="AB390" s="2435"/>
      <c r="AC390" s="2435"/>
      <c r="AD390" s="2435"/>
      <c r="AE390" s="2435"/>
      <c r="AF390" s="2426"/>
      <c r="AG390" s="2427"/>
      <c r="AH390" s="2427"/>
      <c r="AI390" s="2427"/>
      <c r="AJ390" s="2427"/>
      <c r="AK390" s="2427"/>
      <c r="AL390" s="2427"/>
      <c r="AM390" s="2427"/>
      <c r="AN390" s="2427"/>
      <c r="AO390" s="2427"/>
      <c r="AP390" s="2427"/>
      <c r="AQ390" s="2428"/>
      <c r="AR390" s="2151"/>
      <c r="AS390" s="2151"/>
      <c r="AT390" s="2292"/>
      <c r="AU390" s="2292"/>
      <c r="AV390" s="2292"/>
      <c r="AW390" s="2292"/>
      <c r="AX390" s="2292"/>
      <c r="AY390" s="2292"/>
      <c r="AZ390" s="2292"/>
      <c r="BA390" s="2292"/>
      <c r="BB390" s="2292"/>
      <c r="BC390" s="2292"/>
      <c r="BD390" s="2292"/>
      <c r="BE390" s="2292"/>
      <c r="BF390" s="2292"/>
      <c r="BG390" s="2292"/>
      <c r="BH390" s="2292"/>
      <c r="BI390" s="2292"/>
      <c r="BJ390" s="2292"/>
      <c r="BK390" s="2292"/>
      <c r="BL390" s="2292"/>
      <c r="BM390" s="2292"/>
      <c r="BN390" s="2292"/>
      <c r="BO390" s="2292"/>
      <c r="BP390" s="2292"/>
      <c r="BQ390" s="2292"/>
      <c r="BR390" s="2292"/>
      <c r="BS390" s="2269"/>
      <c r="BT390" s="2269"/>
      <c r="BU390" s="2269"/>
      <c r="BV390" s="2269"/>
      <c r="BW390" s="2269"/>
      <c r="BX390" s="2269"/>
      <c r="BY390" s="2269"/>
      <c r="BZ390" s="2151"/>
      <c r="CA390" s="2151"/>
      <c r="CB390" s="2722"/>
      <c r="CC390" s="2723"/>
      <c r="CD390" s="2723"/>
      <c r="CE390" s="2723"/>
      <c r="CF390" s="2723"/>
      <c r="CG390" s="2723"/>
      <c r="CH390" s="2723"/>
      <c r="CI390" s="2723"/>
      <c r="CJ390" s="2723"/>
      <c r="CK390" s="2723"/>
      <c r="CL390" s="2723"/>
      <c r="CM390" s="2723"/>
      <c r="CN390" s="2723"/>
      <c r="CO390" s="2723"/>
      <c r="CP390" s="2723"/>
      <c r="CQ390" s="2723"/>
      <c r="CR390" s="2723"/>
      <c r="CS390" s="2723"/>
      <c r="CT390" s="2723"/>
      <c r="CU390" s="2724"/>
      <c r="CV390" s="2300" t="str">
        <f t="shared" si="293"/>
        <v/>
      </c>
      <c r="CW390" s="2300"/>
      <c r="CX390" s="2300"/>
      <c r="CY390" s="2300"/>
      <c r="CZ390" s="2300"/>
      <c r="DA390" s="2300"/>
      <c r="DC390" s="329" t="str">
        <f t="shared" si="294"/>
        <v/>
      </c>
      <c r="DD390" s="197"/>
      <c r="DF390" s="14"/>
      <c r="DG390" s="14"/>
      <c r="DH390" s="14"/>
      <c r="DI390" s="1596"/>
      <c r="DJ390" s="1170" t="s">
        <v>2749</v>
      </c>
      <c r="DK390" s="1604" t="str">
        <f t="shared" si="295"/>
        <v/>
      </c>
      <c r="DL390" s="437" t="str">
        <f t="shared" si="296"/>
        <v/>
      </c>
      <c r="DM390" s="1128">
        <f t="shared" si="297"/>
        <v>0</v>
      </c>
      <c r="DN390" s="22">
        <f t="shared" si="298"/>
        <v>0</v>
      </c>
      <c r="DO390" s="22">
        <f t="shared" si="299"/>
        <v>0</v>
      </c>
      <c r="DP390" s="264">
        <f t="shared" si="300"/>
        <v>0</v>
      </c>
      <c r="DQ390" s="32" t="s">
        <v>736</v>
      </c>
      <c r="DR390" s="263" t="str">
        <f>IF($U390="",R387,U390)</f>
        <v>鉄骨造の壁の室内に面する部分の躯体の劣化及び損傷の状況</v>
      </c>
      <c r="DS390" s="23">
        <f t="shared" si="301"/>
        <v>0</v>
      </c>
      <c r="DT390" s="29" t="str">
        <f t="shared" si="302"/>
        <v/>
      </c>
      <c r="DU390" s="242" t="str">
        <f t="shared" si="303"/>
        <v/>
      </c>
      <c r="DV390" s="57" t="str">
        <f>IF($DT390="要是正",MAX($DV$378:DV389)+1,"")</f>
        <v/>
      </c>
      <c r="DW390" s="30" t="str">
        <f t="shared" si="304"/>
        <v/>
      </c>
      <c r="DX390" s="30" t="str">
        <f t="shared" si="305"/>
        <v/>
      </c>
      <c r="DY390" s="13" t="str">
        <f t="shared" si="306"/>
        <v/>
      </c>
      <c r="DZ390" s="121" t="str">
        <f t="shared" si="307"/>
        <v/>
      </c>
      <c r="EA390" s="256" t="str">
        <f t="shared" si="308"/>
        <v/>
      </c>
      <c r="EB390" s="138" t="str">
        <f t="shared" si="309"/>
        <v/>
      </c>
      <c r="EC390" s="131" t="str">
        <f t="shared" si="310"/>
        <v>0</v>
      </c>
      <c r="ED390" s="54" t="str">
        <f t="shared" si="311"/>
        <v/>
      </c>
      <c r="EE390" s="131" t="str">
        <f t="shared" si="360"/>
        <v>0</v>
      </c>
      <c r="EF390" s="37" t="str">
        <f t="shared" si="312"/>
        <v/>
      </c>
      <c r="EG390" s="108" t="str">
        <f t="shared" si="313"/>
        <v/>
      </c>
      <c r="EH390" s="41" t="str">
        <f t="shared" si="314"/>
        <v>0</v>
      </c>
      <c r="EI390" s="54" t="str">
        <f t="shared" si="315"/>
        <v/>
      </c>
      <c r="EJ390" s="131" t="str">
        <f t="shared" si="361"/>
        <v>0</v>
      </c>
      <c r="EK390" s="241" t="str">
        <f t="shared" si="316"/>
        <v/>
      </c>
      <c r="EL390" s="242" t="e">
        <f t="shared" si="317"/>
        <v>#N/A</v>
      </c>
      <c r="EM390" s="57" t="e">
        <f t="shared" si="318"/>
        <v>#N/A</v>
      </c>
      <c r="EN390" s="243" t="e">
        <f t="shared" si="319"/>
        <v>#N/A</v>
      </c>
      <c r="FK390" s="326" t="str">
        <f t="shared" si="364"/>
        <v/>
      </c>
      <c r="FL390" s="326" t="str">
        <f t="shared" si="365"/>
        <v/>
      </c>
      <c r="FM390" s="326" t="str">
        <f t="shared" si="366"/>
        <v/>
      </c>
      <c r="FN390" s="326">
        <f t="shared" si="320"/>
        <v>0</v>
      </c>
      <c r="FO390" s="670" t="str">
        <f t="shared" si="367"/>
        <v/>
      </c>
      <c r="FQ390" s="138" t="str">
        <f t="shared" si="321"/>
        <v/>
      </c>
      <c r="FR390" s="131" t="str">
        <f t="shared" si="322"/>
        <v>0</v>
      </c>
      <c r="FS390" s="54" t="str">
        <f t="shared" si="323"/>
        <v/>
      </c>
      <c r="FT390" s="131" t="str">
        <f t="shared" si="362"/>
        <v>0</v>
      </c>
      <c r="FU390" s="217" t="str">
        <f t="shared" si="324"/>
        <v/>
      </c>
      <c r="FW390" s="667">
        <f t="shared" si="363"/>
        <v>0</v>
      </c>
      <c r="FX390" s="32"/>
      <c r="FY390" s="32"/>
      <c r="FZ390" s="668"/>
      <c r="GA390" s="14"/>
      <c r="GB390" s="658">
        <f t="shared" si="325"/>
        <v>0</v>
      </c>
      <c r="GC390" s="658">
        <f t="shared" si="326"/>
        <v>0</v>
      </c>
      <c r="GD390" s="658">
        <f t="shared" si="327"/>
        <v>0</v>
      </c>
      <c r="GE390" s="658" t="str">
        <f t="shared" si="328"/>
        <v/>
      </c>
      <c r="GF390" s="658" t="str">
        <f t="shared" si="329"/>
        <v/>
      </c>
      <c r="GG390" s="658" t="str">
        <f t="shared" si="330"/>
        <v/>
      </c>
      <c r="GH390" s="658" t="str">
        <f t="shared" si="331"/>
        <v/>
      </c>
      <c r="GI390" s="658" t="str">
        <f t="shared" si="332"/>
        <v/>
      </c>
      <c r="GJ390" s="658" t="str">
        <f t="shared" si="333"/>
        <v/>
      </c>
      <c r="GK390" s="658" t="str">
        <f t="shared" si="334"/>
        <v/>
      </c>
      <c r="GL390" s="658" t="str">
        <f t="shared" si="335"/>
        <v/>
      </c>
      <c r="GM390" s="658" t="str">
        <f t="shared" si="336"/>
        <v/>
      </c>
      <c r="GN390" s="658" t="str">
        <f t="shared" si="337"/>
        <v/>
      </c>
      <c r="GO390" s="658" t="str">
        <f t="shared" si="338"/>
        <v/>
      </c>
      <c r="GP390" s="658" t="str">
        <f t="shared" si="339"/>
        <v/>
      </c>
      <c r="GQ390" s="658" t="str">
        <f t="shared" si="340"/>
        <v/>
      </c>
      <c r="GR390" s="658" t="str">
        <f t="shared" si="341"/>
        <v/>
      </c>
      <c r="GS390" s="658" t="str">
        <f t="shared" si="342"/>
        <v/>
      </c>
      <c r="GT390" s="658">
        <f t="shared" si="368"/>
        <v>0</v>
      </c>
      <c r="GU390" s="658">
        <f t="shared" si="369"/>
        <v>0</v>
      </c>
      <c r="GV390" s="658">
        <f t="shared" si="370"/>
        <v>0</v>
      </c>
      <c r="GW390" s="658" t="b">
        <f t="shared" si="371"/>
        <v>0</v>
      </c>
      <c r="GX390" s="658" t="b">
        <f t="shared" si="372"/>
        <v>0</v>
      </c>
      <c r="GY390" s="658" t="b">
        <f t="shared" si="373"/>
        <v>0</v>
      </c>
      <c r="GZ390" s="658" t="str">
        <f t="shared" si="173"/>
        <v/>
      </c>
      <c r="HB390" s="658" t="str">
        <f t="shared" si="374"/>
        <v/>
      </c>
      <c r="HC390" s="658" t="str">
        <f t="shared" si="343"/>
        <v/>
      </c>
      <c r="HD390" s="658" t="str">
        <f t="shared" si="344"/>
        <v/>
      </c>
      <c r="HE390" s="658" t="str">
        <f t="shared" si="345"/>
        <v/>
      </c>
      <c r="HF390" s="658" t="str">
        <f t="shared" si="346"/>
        <v/>
      </c>
      <c r="HG390" s="658" t="str">
        <f t="shared" si="347"/>
        <v/>
      </c>
      <c r="HH390" s="658" t="str">
        <f t="shared" si="348"/>
        <v/>
      </c>
      <c r="HI390" s="658" t="str">
        <f t="shared" si="349"/>
        <v/>
      </c>
      <c r="HJ390" s="658" t="str">
        <f t="shared" si="350"/>
        <v/>
      </c>
      <c r="HK390" s="658" t="str">
        <f t="shared" si="351"/>
        <v/>
      </c>
      <c r="HL390" s="658" t="str">
        <f t="shared" si="352"/>
        <v/>
      </c>
      <c r="HM390" s="658" t="str">
        <f t="shared" si="353"/>
        <v/>
      </c>
      <c r="HN390" s="658" t="str">
        <f t="shared" si="354"/>
        <v/>
      </c>
      <c r="HO390" s="658" t="str">
        <f t="shared" si="355"/>
        <v/>
      </c>
      <c r="HP390" s="658" t="str">
        <f t="shared" si="356"/>
        <v/>
      </c>
      <c r="HQ390" s="658" t="str">
        <f t="shared" si="357"/>
        <v/>
      </c>
      <c r="HR390" s="658" t="str">
        <f t="shared" si="375"/>
        <v/>
      </c>
      <c r="HT390" s="658">
        <f>LEFT(M390,1)*10000+MID(M390,3,LEN(M390)-3)*100+COUNTIF($M$319:M390,M390)</f>
        <v>40901</v>
      </c>
      <c r="HU390" s="658" t="str">
        <f t="shared" si="376"/>
        <v/>
      </c>
      <c r="HV390" s="658" t="str">
        <f t="shared" si="358"/>
        <v/>
      </c>
      <c r="HW390" s="658" t="str">
        <f t="shared" si="377"/>
        <v/>
      </c>
      <c r="HX390" s="658" t="str">
        <f t="shared" si="359"/>
        <v/>
      </c>
    </row>
    <row r="391" spans="1:232" s="19" customFormat="1" ht="50.1" customHeight="1" x14ac:dyDescent="0.15">
      <c r="A391" s="1201"/>
      <c r="B391" s="1201"/>
      <c r="C391" s="1201"/>
      <c r="D391" s="1201"/>
      <c r="E391" s="1202"/>
      <c r="F391" s="652"/>
      <c r="G391" s="652"/>
      <c r="H391" s="652"/>
      <c r="I391" s="1357"/>
      <c r="J391" s="1234"/>
      <c r="K391" s="1261"/>
      <c r="L391" s="1261"/>
      <c r="M391" s="2423" t="s">
        <v>1159</v>
      </c>
      <c r="N391" s="2423"/>
      <c r="O391" s="2424"/>
      <c r="P391" s="2433"/>
      <c r="Q391" s="2433"/>
      <c r="R391" s="2429"/>
      <c r="S391" s="2429"/>
      <c r="T391" s="2429"/>
      <c r="U391" s="2464" t="s">
        <v>88</v>
      </c>
      <c r="V391" s="2464"/>
      <c r="W391" s="2464"/>
      <c r="X391" s="2464"/>
      <c r="Y391" s="2464"/>
      <c r="Z391" s="2464"/>
      <c r="AA391" s="2464"/>
      <c r="AB391" s="2464"/>
      <c r="AC391" s="2464"/>
      <c r="AD391" s="2464"/>
      <c r="AE391" s="2464"/>
      <c r="AF391" s="2468"/>
      <c r="AG391" s="2469"/>
      <c r="AH391" s="2469"/>
      <c r="AI391" s="2469"/>
      <c r="AJ391" s="2469"/>
      <c r="AK391" s="2469"/>
      <c r="AL391" s="2469"/>
      <c r="AM391" s="2469"/>
      <c r="AN391" s="2469"/>
      <c r="AO391" s="2469"/>
      <c r="AP391" s="2469"/>
      <c r="AQ391" s="2470"/>
      <c r="AR391" s="2152"/>
      <c r="AS391" s="2152"/>
      <c r="AT391" s="2432"/>
      <c r="AU391" s="2432"/>
      <c r="AV391" s="2432"/>
      <c r="AW391" s="2432"/>
      <c r="AX391" s="2432"/>
      <c r="AY391" s="2432"/>
      <c r="AZ391" s="2432"/>
      <c r="BA391" s="2432"/>
      <c r="BB391" s="2432"/>
      <c r="BC391" s="2432"/>
      <c r="BD391" s="2432"/>
      <c r="BE391" s="2432"/>
      <c r="BF391" s="2432"/>
      <c r="BG391" s="2432"/>
      <c r="BH391" s="2432"/>
      <c r="BI391" s="2432"/>
      <c r="BJ391" s="2432"/>
      <c r="BK391" s="2432"/>
      <c r="BL391" s="2432"/>
      <c r="BM391" s="2432"/>
      <c r="BN391" s="2432"/>
      <c r="BO391" s="2432"/>
      <c r="BP391" s="2432"/>
      <c r="BQ391" s="2432"/>
      <c r="BR391" s="2432"/>
      <c r="BS391" s="2270"/>
      <c r="BT391" s="2270"/>
      <c r="BU391" s="2270"/>
      <c r="BV391" s="2270"/>
      <c r="BW391" s="2270"/>
      <c r="BX391" s="2270"/>
      <c r="BY391" s="2270"/>
      <c r="BZ391" s="2152"/>
      <c r="CA391" s="2152"/>
      <c r="CB391" s="2319"/>
      <c r="CC391" s="2320"/>
      <c r="CD391" s="2320"/>
      <c r="CE391" s="2320"/>
      <c r="CF391" s="2320"/>
      <c r="CG391" s="2320"/>
      <c r="CH391" s="2320"/>
      <c r="CI391" s="2320"/>
      <c r="CJ391" s="2320"/>
      <c r="CK391" s="2320"/>
      <c r="CL391" s="2320"/>
      <c r="CM391" s="2320"/>
      <c r="CN391" s="2320"/>
      <c r="CO391" s="2320"/>
      <c r="CP391" s="2320"/>
      <c r="CQ391" s="2320"/>
      <c r="CR391" s="2320"/>
      <c r="CS391" s="2320"/>
      <c r="CT391" s="2320"/>
      <c r="CU391" s="2321"/>
      <c r="CV391" s="2300" t="str">
        <f t="shared" si="293"/>
        <v/>
      </c>
      <c r="CW391" s="2300"/>
      <c r="CX391" s="2300"/>
      <c r="CY391" s="2300"/>
      <c r="CZ391" s="2300"/>
      <c r="DA391" s="2300"/>
      <c r="DC391" s="329" t="str">
        <f t="shared" si="294"/>
        <v/>
      </c>
      <c r="DD391" s="197"/>
      <c r="DF391" s="14"/>
      <c r="DG391" s="14"/>
      <c r="DH391" s="14"/>
      <c r="DI391" s="1596"/>
      <c r="DJ391" s="1170" t="s">
        <v>2749</v>
      </c>
      <c r="DK391" s="1604" t="str">
        <f t="shared" si="295"/>
        <v/>
      </c>
      <c r="DL391" s="437" t="str">
        <f t="shared" si="296"/>
        <v/>
      </c>
      <c r="DM391" s="1128">
        <f t="shared" si="297"/>
        <v>0</v>
      </c>
      <c r="DN391" s="22">
        <f t="shared" si="298"/>
        <v>0</v>
      </c>
      <c r="DO391" s="22">
        <f t="shared" si="299"/>
        <v>0</v>
      </c>
      <c r="DP391" s="264">
        <f t="shared" si="300"/>
        <v>0</v>
      </c>
      <c r="DQ391" s="32" t="s">
        <v>737</v>
      </c>
      <c r="DR391" s="263" t="str">
        <f>IF($U391="",R387,U391)</f>
        <v>鉄筋コンクリート造及び鉄骨鉄筋コンクリート造の壁の室内に面する部分の躯体の劣化及び損傷の状況</v>
      </c>
      <c r="DS391" s="23">
        <f t="shared" si="301"/>
        <v>0</v>
      </c>
      <c r="DT391" s="29" t="str">
        <f t="shared" si="302"/>
        <v/>
      </c>
      <c r="DU391" s="242" t="str">
        <f t="shared" si="303"/>
        <v/>
      </c>
      <c r="DV391" s="57" t="str">
        <f>IF($DT391="要是正",MAX($DV$378:DV390)+1,"")</f>
        <v/>
      </c>
      <c r="DW391" s="30" t="str">
        <f t="shared" si="304"/>
        <v/>
      </c>
      <c r="DX391" s="30" t="str">
        <f t="shared" si="305"/>
        <v/>
      </c>
      <c r="DY391" s="13" t="str">
        <f t="shared" si="306"/>
        <v/>
      </c>
      <c r="DZ391" s="121" t="str">
        <f t="shared" si="307"/>
        <v/>
      </c>
      <c r="EA391" s="256" t="str">
        <f t="shared" si="308"/>
        <v/>
      </c>
      <c r="EB391" s="138" t="str">
        <f t="shared" si="309"/>
        <v/>
      </c>
      <c r="EC391" s="131" t="str">
        <f t="shared" si="310"/>
        <v>0</v>
      </c>
      <c r="ED391" s="54" t="str">
        <f t="shared" si="311"/>
        <v/>
      </c>
      <c r="EE391" s="131" t="str">
        <f t="shared" si="360"/>
        <v>0</v>
      </c>
      <c r="EF391" s="37" t="str">
        <f t="shared" si="312"/>
        <v/>
      </c>
      <c r="EG391" s="108" t="str">
        <f t="shared" si="313"/>
        <v/>
      </c>
      <c r="EH391" s="41" t="str">
        <f t="shared" si="314"/>
        <v>0</v>
      </c>
      <c r="EI391" s="54" t="str">
        <f t="shared" si="315"/>
        <v/>
      </c>
      <c r="EJ391" s="131" t="str">
        <f t="shared" si="361"/>
        <v>0</v>
      </c>
      <c r="EK391" s="241" t="str">
        <f t="shared" si="316"/>
        <v/>
      </c>
      <c r="EL391" s="242" t="e">
        <f t="shared" si="317"/>
        <v>#N/A</v>
      </c>
      <c r="EM391" s="57" t="e">
        <f t="shared" si="318"/>
        <v>#N/A</v>
      </c>
      <c r="EN391" s="243" t="e">
        <f t="shared" si="319"/>
        <v>#N/A</v>
      </c>
      <c r="FK391" s="326" t="str">
        <f t="shared" si="364"/>
        <v/>
      </c>
      <c r="FL391" s="326" t="str">
        <f t="shared" si="365"/>
        <v/>
      </c>
      <c r="FM391" s="326" t="str">
        <f t="shared" si="366"/>
        <v/>
      </c>
      <c r="FN391" s="326">
        <f t="shared" si="320"/>
        <v>0</v>
      </c>
      <c r="FO391" s="670" t="str">
        <f t="shared" si="367"/>
        <v/>
      </c>
      <c r="FQ391" s="138" t="str">
        <f t="shared" si="321"/>
        <v/>
      </c>
      <c r="FR391" s="131" t="str">
        <f t="shared" si="322"/>
        <v>0</v>
      </c>
      <c r="FS391" s="54" t="str">
        <f t="shared" si="323"/>
        <v/>
      </c>
      <c r="FT391" s="131" t="str">
        <f t="shared" si="362"/>
        <v>0</v>
      </c>
      <c r="FU391" s="217" t="str">
        <f t="shared" si="324"/>
        <v/>
      </c>
      <c r="FW391" s="667">
        <f t="shared" si="363"/>
        <v>0</v>
      </c>
      <c r="FX391" s="32"/>
      <c r="FY391" s="32"/>
      <c r="FZ391" s="668"/>
      <c r="GA391" s="14"/>
      <c r="GB391" s="658">
        <f t="shared" si="325"/>
        <v>0</v>
      </c>
      <c r="GC391" s="658">
        <f t="shared" si="326"/>
        <v>0</v>
      </c>
      <c r="GD391" s="658">
        <f t="shared" si="327"/>
        <v>0</v>
      </c>
      <c r="GE391" s="658" t="str">
        <f t="shared" si="328"/>
        <v/>
      </c>
      <c r="GF391" s="658" t="str">
        <f t="shared" si="329"/>
        <v/>
      </c>
      <c r="GG391" s="658" t="str">
        <f t="shared" si="330"/>
        <v/>
      </c>
      <c r="GH391" s="658" t="str">
        <f t="shared" si="331"/>
        <v/>
      </c>
      <c r="GI391" s="658" t="str">
        <f t="shared" si="332"/>
        <v/>
      </c>
      <c r="GJ391" s="658" t="str">
        <f t="shared" si="333"/>
        <v/>
      </c>
      <c r="GK391" s="658" t="str">
        <f t="shared" si="334"/>
        <v/>
      </c>
      <c r="GL391" s="658" t="str">
        <f t="shared" si="335"/>
        <v/>
      </c>
      <c r="GM391" s="658" t="str">
        <f t="shared" si="336"/>
        <v/>
      </c>
      <c r="GN391" s="658" t="str">
        <f t="shared" si="337"/>
        <v/>
      </c>
      <c r="GO391" s="658" t="str">
        <f t="shared" si="338"/>
        <v/>
      </c>
      <c r="GP391" s="658" t="str">
        <f t="shared" si="339"/>
        <v/>
      </c>
      <c r="GQ391" s="658" t="str">
        <f t="shared" si="340"/>
        <v/>
      </c>
      <c r="GR391" s="658" t="str">
        <f t="shared" si="341"/>
        <v/>
      </c>
      <c r="GS391" s="658" t="str">
        <f t="shared" si="342"/>
        <v/>
      </c>
      <c r="GT391" s="658">
        <f t="shared" si="368"/>
        <v>0</v>
      </c>
      <c r="GU391" s="658">
        <f t="shared" si="369"/>
        <v>0</v>
      </c>
      <c r="GV391" s="658">
        <f t="shared" si="370"/>
        <v>0</v>
      </c>
      <c r="GW391" s="658" t="b">
        <f t="shared" si="371"/>
        <v>0</v>
      </c>
      <c r="GX391" s="658" t="b">
        <f t="shared" si="372"/>
        <v>0</v>
      </c>
      <c r="GY391" s="658" t="b">
        <f t="shared" si="373"/>
        <v>0</v>
      </c>
      <c r="GZ391" s="658" t="str">
        <f t="shared" si="173"/>
        <v/>
      </c>
      <c r="HB391" s="658" t="str">
        <f t="shared" si="374"/>
        <v/>
      </c>
      <c r="HC391" s="658" t="str">
        <f t="shared" si="343"/>
        <v/>
      </c>
      <c r="HD391" s="658" t="str">
        <f t="shared" si="344"/>
        <v/>
      </c>
      <c r="HE391" s="658" t="str">
        <f t="shared" si="345"/>
        <v/>
      </c>
      <c r="HF391" s="658" t="str">
        <f t="shared" si="346"/>
        <v/>
      </c>
      <c r="HG391" s="658" t="str">
        <f t="shared" si="347"/>
        <v/>
      </c>
      <c r="HH391" s="658" t="str">
        <f t="shared" si="348"/>
        <v/>
      </c>
      <c r="HI391" s="658" t="str">
        <f t="shared" si="349"/>
        <v/>
      </c>
      <c r="HJ391" s="658" t="str">
        <f t="shared" si="350"/>
        <v/>
      </c>
      <c r="HK391" s="658" t="str">
        <f t="shared" si="351"/>
        <v/>
      </c>
      <c r="HL391" s="658" t="str">
        <f t="shared" si="352"/>
        <v/>
      </c>
      <c r="HM391" s="658" t="str">
        <f t="shared" si="353"/>
        <v/>
      </c>
      <c r="HN391" s="658" t="str">
        <f t="shared" si="354"/>
        <v/>
      </c>
      <c r="HO391" s="658" t="str">
        <f t="shared" si="355"/>
        <v/>
      </c>
      <c r="HP391" s="658" t="str">
        <f t="shared" si="356"/>
        <v/>
      </c>
      <c r="HQ391" s="658" t="str">
        <f t="shared" si="357"/>
        <v/>
      </c>
      <c r="HR391" s="658" t="str">
        <f t="shared" si="375"/>
        <v/>
      </c>
      <c r="HT391" s="658">
        <f>LEFT(M391,1)*10000+MID(M391,3,LEN(M391)-3)*100+COUNTIF($M$319:M391,M391)</f>
        <v>41001</v>
      </c>
      <c r="HU391" s="658" t="str">
        <f t="shared" si="376"/>
        <v/>
      </c>
      <c r="HV391" s="658" t="str">
        <f t="shared" si="358"/>
        <v/>
      </c>
      <c r="HW391" s="658" t="str">
        <f t="shared" si="377"/>
        <v/>
      </c>
      <c r="HX391" s="658" t="str">
        <f t="shared" si="359"/>
        <v/>
      </c>
    </row>
    <row r="392" spans="1:232" s="19" customFormat="1" ht="50.1" customHeight="1" x14ac:dyDescent="0.15">
      <c r="A392" s="1201"/>
      <c r="B392" s="1201"/>
      <c r="C392" s="1201"/>
      <c r="D392" s="1201"/>
      <c r="E392" s="1202"/>
      <c r="F392" s="652"/>
      <c r="G392" s="652"/>
      <c r="H392" s="652"/>
      <c r="I392" s="1357"/>
      <c r="J392" s="1234"/>
      <c r="K392" s="1261"/>
      <c r="L392" s="1261"/>
      <c r="M392" s="2423" t="s">
        <v>1160</v>
      </c>
      <c r="N392" s="2423"/>
      <c r="O392" s="2424"/>
      <c r="P392" s="2433"/>
      <c r="Q392" s="2433"/>
      <c r="R392" s="2148" t="s">
        <v>217</v>
      </c>
      <c r="S392" s="2148"/>
      <c r="T392" s="2148"/>
      <c r="U392" s="2438" t="s">
        <v>89</v>
      </c>
      <c r="V392" s="2438"/>
      <c r="W392" s="2438"/>
      <c r="X392" s="2438"/>
      <c r="Y392" s="2438"/>
      <c r="Z392" s="2438"/>
      <c r="AA392" s="2438"/>
      <c r="AB392" s="2438"/>
      <c r="AC392" s="2438"/>
      <c r="AD392" s="2438"/>
      <c r="AE392" s="2438"/>
      <c r="AF392" s="2465"/>
      <c r="AG392" s="2466"/>
      <c r="AH392" s="2466"/>
      <c r="AI392" s="2466"/>
      <c r="AJ392" s="2466"/>
      <c r="AK392" s="2466"/>
      <c r="AL392" s="2466"/>
      <c r="AM392" s="2466"/>
      <c r="AN392" s="2466"/>
      <c r="AO392" s="2466"/>
      <c r="AP392" s="2466"/>
      <c r="AQ392" s="2467"/>
      <c r="AR392" s="2272"/>
      <c r="AS392" s="2272"/>
      <c r="AT392" s="2406"/>
      <c r="AU392" s="2406"/>
      <c r="AV392" s="2406"/>
      <c r="AW392" s="2406"/>
      <c r="AX392" s="2406"/>
      <c r="AY392" s="2406"/>
      <c r="AZ392" s="2406"/>
      <c r="BA392" s="2406"/>
      <c r="BB392" s="2406"/>
      <c r="BC392" s="2406"/>
      <c r="BD392" s="2406"/>
      <c r="BE392" s="2406"/>
      <c r="BF392" s="2406"/>
      <c r="BG392" s="2406"/>
      <c r="BH392" s="2406"/>
      <c r="BI392" s="2406"/>
      <c r="BJ392" s="2406"/>
      <c r="BK392" s="2406"/>
      <c r="BL392" s="2406"/>
      <c r="BM392" s="2406"/>
      <c r="BN392" s="2406"/>
      <c r="BO392" s="2406"/>
      <c r="BP392" s="2406"/>
      <c r="BQ392" s="2406"/>
      <c r="BR392" s="2406"/>
      <c r="BS392" s="2271"/>
      <c r="BT392" s="2271"/>
      <c r="BU392" s="2271"/>
      <c r="BV392" s="2271"/>
      <c r="BW392" s="2271"/>
      <c r="BX392" s="2271"/>
      <c r="BY392" s="2271"/>
      <c r="BZ392" s="2272"/>
      <c r="CA392" s="2272"/>
      <c r="CB392" s="2725" t="s">
        <v>1925</v>
      </c>
      <c r="CC392" s="2726"/>
      <c r="CD392" s="2726"/>
      <c r="CE392" s="2726"/>
      <c r="CF392" s="2726"/>
      <c r="CG392" s="2726"/>
      <c r="CH392" s="2726"/>
      <c r="CI392" s="2726"/>
      <c r="CJ392" s="2726"/>
      <c r="CK392" s="2726"/>
      <c r="CL392" s="2726"/>
      <c r="CM392" s="2726"/>
      <c r="CN392" s="2726"/>
      <c r="CO392" s="2726"/>
      <c r="CP392" s="2726"/>
      <c r="CQ392" s="2726"/>
      <c r="CR392" s="2726"/>
      <c r="CS392" s="2726"/>
      <c r="CT392" s="2726"/>
      <c r="CU392" s="2727"/>
      <c r="CV392" s="2300" t="str">
        <f t="shared" si="293"/>
        <v/>
      </c>
      <c r="CW392" s="2300"/>
      <c r="CX392" s="2300"/>
      <c r="CY392" s="2300"/>
      <c r="CZ392" s="2300"/>
      <c r="DA392" s="2300"/>
      <c r="DC392" s="329" t="str">
        <f t="shared" si="294"/>
        <v/>
      </c>
      <c r="DD392" s="197"/>
      <c r="DF392" s="14"/>
      <c r="DG392" s="14"/>
      <c r="DH392" s="14"/>
      <c r="DI392" s="1596"/>
      <c r="DJ392" s="1170" t="s">
        <v>2749</v>
      </c>
      <c r="DK392" s="1604" t="str">
        <f t="shared" si="295"/>
        <v/>
      </c>
      <c r="DL392" s="437" t="str">
        <f t="shared" si="296"/>
        <v/>
      </c>
      <c r="DM392" s="1128">
        <f t="shared" si="297"/>
        <v>0</v>
      </c>
      <c r="DN392" s="22">
        <f t="shared" si="298"/>
        <v>0</v>
      </c>
      <c r="DO392" s="22">
        <f t="shared" si="299"/>
        <v>0</v>
      </c>
      <c r="DP392" s="264">
        <f t="shared" si="300"/>
        <v>0</v>
      </c>
      <c r="DQ392" s="32" t="s">
        <v>738</v>
      </c>
      <c r="DR392" s="263" t="str">
        <f>IF($U392="",R392,U392)</f>
        <v>準耐火性能等の確保の状況</v>
      </c>
      <c r="DS392" s="23">
        <f t="shared" si="301"/>
        <v>0</v>
      </c>
      <c r="DT392" s="29" t="str">
        <f t="shared" si="302"/>
        <v/>
      </c>
      <c r="DU392" s="242" t="str">
        <f t="shared" si="303"/>
        <v/>
      </c>
      <c r="DV392" s="57" t="str">
        <f>IF($DT392="要是正",MAX($DV$378:DV391)+1,"")</f>
        <v/>
      </c>
      <c r="DW392" s="30" t="str">
        <f t="shared" si="304"/>
        <v/>
      </c>
      <c r="DX392" s="30" t="str">
        <f t="shared" si="305"/>
        <v/>
      </c>
      <c r="DY392" s="13" t="str">
        <f t="shared" si="306"/>
        <v/>
      </c>
      <c r="DZ392" s="121" t="str">
        <f t="shared" si="307"/>
        <v/>
      </c>
      <c r="EA392" s="256" t="str">
        <f t="shared" si="308"/>
        <v/>
      </c>
      <c r="EB392" s="138" t="str">
        <f t="shared" si="309"/>
        <v/>
      </c>
      <c r="EC392" s="131" t="str">
        <f t="shared" si="310"/>
        <v>0</v>
      </c>
      <c r="ED392" s="54" t="str">
        <f t="shared" si="311"/>
        <v/>
      </c>
      <c r="EE392" s="131" t="str">
        <f t="shared" si="360"/>
        <v>0</v>
      </c>
      <c r="EF392" s="37" t="str">
        <f t="shared" si="312"/>
        <v/>
      </c>
      <c r="EG392" s="108" t="str">
        <f t="shared" si="313"/>
        <v/>
      </c>
      <c r="EH392" s="41" t="str">
        <f t="shared" si="314"/>
        <v>0</v>
      </c>
      <c r="EI392" s="54" t="str">
        <f t="shared" si="315"/>
        <v/>
      </c>
      <c r="EJ392" s="131" t="str">
        <f t="shared" si="361"/>
        <v>0</v>
      </c>
      <c r="EK392" s="241" t="str">
        <f t="shared" si="316"/>
        <v/>
      </c>
      <c r="EL392" s="242" t="e">
        <f t="shared" si="317"/>
        <v>#N/A</v>
      </c>
      <c r="EM392" s="57" t="e">
        <f t="shared" si="318"/>
        <v>#N/A</v>
      </c>
      <c r="EN392" s="243" t="e">
        <f t="shared" si="319"/>
        <v>#N/A</v>
      </c>
      <c r="FK392" s="326" t="str">
        <f t="shared" si="364"/>
        <v/>
      </c>
      <c r="FL392" s="326" t="str">
        <f t="shared" si="365"/>
        <v/>
      </c>
      <c r="FM392" s="326" t="str">
        <f t="shared" si="366"/>
        <v/>
      </c>
      <c r="FN392" s="326">
        <f t="shared" si="320"/>
        <v>0</v>
      </c>
      <c r="FO392" s="670" t="str">
        <f t="shared" si="367"/>
        <v/>
      </c>
      <c r="FQ392" s="138" t="str">
        <f t="shared" si="321"/>
        <v/>
      </c>
      <c r="FR392" s="131" t="str">
        <f t="shared" si="322"/>
        <v>0</v>
      </c>
      <c r="FS392" s="54" t="str">
        <f t="shared" si="323"/>
        <v/>
      </c>
      <c r="FT392" s="131" t="str">
        <f t="shared" si="362"/>
        <v>0</v>
      </c>
      <c r="FU392" s="217" t="str">
        <f t="shared" si="324"/>
        <v/>
      </c>
      <c r="FW392" s="667">
        <f t="shared" si="363"/>
        <v>0</v>
      </c>
      <c r="FX392" s="32"/>
      <c r="FY392" s="32"/>
      <c r="FZ392" s="668"/>
      <c r="GA392" s="14"/>
      <c r="GB392" s="658">
        <f t="shared" si="325"/>
        <v>0</v>
      </c>
      <c r="GC392" s="658">
        <f t="shared" si="326"/>
        <v>0</v>
      </c>
      <c r="GD392" s="658">
        <f t="shared" si="327"/>
        <v>0</v>
      </c>
      <c r="GE392" s="658" t="str">
        <f t="shared" si="328"/>
        <v/>
      </c>
      <c r="GF392" s="658" t="str">
        <f t="shared" si="329"/>
        <v/>
      </c>
      <c r="GG392" s="658" t="str">
        <f t="shared" si="330"/>
        <v/>
      </c>
      <c r="GH392" s="658" t="str">
        <f t="shared" si="331"/>
        <v/>
      </c>
      <c r="GI392" s="658" t="str">
        <f t="shared" si="332"/>
        <v/>
      </c>
      <c r="GJ392" s="658" t="str">
        <f t="shared" si="333"/>
        <v/>
      </c>
      <c r="GK392" s="658" t="str">
        <f t="shared" si="334"/>
        <v/>
      </c>
      <c r="GL392" s="658" t="str">
        <f t="shared" si="335"/>
        <v/>
      </c>
      <c r="GM392" s="658" t="str">
        <f t="shared" si="336"/>
        <v/>
      </c>
      <c r="GN392" s="658" t="str">
        <f t="shared" si="337"/>
        <v/>
      </c>
      <c r="GO392" s="658" t="str">
        <f t="shared" si="338"/>
        <v/>
      </c>
      <c r="GP392" s="658" t="str">
        <f t="shared" si="339"/>
        <v/>
      </c>
      <c r="GQ392" s="658" t="str">
        <f t="shared" si="340"/>
        <v/>
      </c>
      <c r="GR392" s="658" t="str">
        <f t="shared" si="341"/>
        <v/>
      </c>
      <c r="GS392" s="658" t="str">
        <f t="shared" si="342"/>
        <v/>
      </c>
      <c r="GT392" s="658">
        <f t="shared" si="368"/>
        <v>0</v>
      </c>
      <c r="GU392" s="658">
        <f t="shared" si="369"/>
        <v>0</v>
      </c>
      <c r="GV392" s="658">
        <f t="shared" si="370"/>
        <v>0</v>
      </c>
      <c r="GW392" s="658" t="b">
        <f t="shared" si="371"/>
        <v>0</v>
      </c>
      <c r="GX392" s="658" t="b">
        <f t="shared" si="372"/>
        <v>0</v>
      </c>
      <c r="GY392" s="658" t="b">
        <f t="shared" si="373"/>
        <v>0</v>
      </c>
      <c r="GZ392" s="658" t="str">
        <f t="shared" si="173"/>
        <v/>
      </c>
      <c r="HB392" s="658" t="str">
        <f t="shared" si="374"/>
        <v/>
      </c>
      <c r="HC392" s="658" t="str">
        <f t="shared" si="343"/>
        <v/>
      </c>
      <c r="HD392" s="658" t="str">
        <f t="shared" si="344"/>
        <v/>
      </c>
      <c r="HE392" s="658" t="str">
        <f t="shared" si="345"/>
        <v/>
      </c>
      <c r="HF392" s="658" t="str">
        <f t="shared" si="346"/>
        <v/>
      </c>
      <c r="HG392" s="658" t="str">
        <f t="shared" si="347"/>
        <v/>
      </c>
      <c r="HH392" s="658" t="str">
        <f t="shared" si="348"/>
        <v/>
      </c>
      <c r="HI392" s="658" t="str">
        <f t="shared" si="349"/>
        <v/>
      </c>
      <c r="HJ392" s="658" t="str">
        <f t="shared" si="350"/>
        <v/>
      </c>
      <c r="HK392" s="658" t="str">
        <f t="shared" si="351"/>
        <v/>
      </c>
      <c r="HL392" s="658" t="str">
        <f t="shared" si="352"/>
        <v/>
      </c>
      <c r="HM392" s="658" t="str">
        <f t="shared" si="353"/>
        <v/>
      </c>
      <c r="HN392" s="658" t="str">
        <f t="shared" si="354"/>
        <v/>
      </c>
      <c r="HO392" s="658" t="str">
        <f t="shared" si="355"/>
        <v/>
      </c>
      <c r="HP392" s="658" t="str">
        <f t="shared" si="356"/>
        <v/>
      </c>
      <c r="HQ392" s="658" t="str">
        <f t="shared" si="357"/>
        <v/>
      </c>
      <c r="HR392" s="658" t="str">
        <f t="shared" si="375"/>
        <v/>
      </c>
      <c r="HT392" s="658">
        <f>LEFT(M392,1)*10000+MID(M392,3,LEN(M392)-3)*100+COUNTIF($M$319:M392,M392)</f>
        <v>41101</v>
      </c>
      <c r="HU392" s="658" t="str">
        <f t="shared" si="376"/>
        <v/>
      </c>
      <c r="HV392" s="658" t="str">
        <f t="shared" si="358"/>
        <v/>
      </c>
      <c r="HW392" s="658" t="str">
        <f t="shared" si="377"/>
        <v/>
      </c>
      <c r="HX392" s="658" t="str">
        <f t="shared" si="359"/>
        <v/>
      </c>
    </row>
    <row r="393" spans="1:232" s="19" customFormat="1" ht="50.1" customHeight="1" x14ac:dyDescent="0.15">
      <c r="A393" s="1201"/>
      <c r="B393" s="1201"/>
      <c r="C393" s="1201"/>
      <c r="D393" s="1201"/>
      <c r="E393" s="1202"/>
      <c r="F393" s="652"/>
      <c r="G393" s="652"/>
      <c r="H393" s="652"/>
      <c r="I393" s="1357"/>
      <c r="J393" s="1234"/>
      <c r="K393" s="1261"/>
      <c r="L393" s="1261"/>
      <c r="M393" s="2423" t="s">
        <v>1161</v>
      </c>
      <c r="N393" s="2423"/>
      <c r="O393" s="2424"/>
      <c r="P393" s="2433"/>
      <c r="Q393" s="2433"/>
      <c r="R393" s="2148"/>
      <c r="S393" s="2148"/>
      <c r="T393" s="2148"/>
      <c r="U393" s="2435" t="s">
        <v>90</v>
      </c>
      <c r="V393" s="2435"/>
      <c r="W393" s="2435"/>
      <c r="X393" s="2435"/>
      <c r="Y393" s="2435"/>
      <c r="Z393" s="2435"/>
      <c r="AA393" s="2435"/>
      <c r="AB393" s="2435"/>
      <c r="AC393" s="2435"/>
      <c r="AD393" s="2435"/>
      <c r="AE393" s="2435"/>
      <c r="AF393" s="2426"/>
      <c r="AG393" s="2427"/>
      <c r="AH393" s="2427"/>
      <c r="AI393" s="2427"/>
      <c r="AJ393" s="2427"/>
      <c r="AK393" s="2427"/>
      <c r="AL393" s="2427"/>
      <c r="AM393" s="2427"/>
      <c r="AN393" s="2427"/>
      <c r="AO393" s="2427"/>
      <c r="AP393" s="2427"/>
      <c r="AQ393" s="2428"/>
      <c r="AR393" s="2151"/>
      <c r="AS393" s="2151"/>
      <c r="AT393" s="2292"/>
      <c r="AU393" s="2292"/>
      <c r="AV393" s="2292"/>
      <c r="AW393" s="2292"/>
      <c r="AX393" s="2292"/>
      <c r="AY393" s="2292"/>
      <c r="AZ393" s="2292"/>
      <c r="BA393" s="2292"/>
      <c r="BB393" s="2292"/>
      <c r="BC393" s="2292"/>
      <c r="BD393" s="2292"/>
      <c r="BE393" s="2292"/>
      <c r="BF393" s="2292"/>
      <c r="BG393" s="2292"/>
      <c r="BH393" s="2292"/>
      <c r="BI393" s="2292"/>
      <c r="BJ393" s="2292"/>
      <c r="BK393" s="2292"/>
      <c r="BL393" s="2292"/>
      <c r="BM393" s="2292"/>
      <c r="BN393" s="2292"/>
      <c r="BO393" s="2292"/>
      <c r="BP393" s="2292"/>
      <c r="BQ393" s="2292"/>
      <c r="BR393" s="2292"/>
      <c r="BS393" s="2269"/>
      <c r="BT393" s="2269"/>
      <c r="BU393" s="2269"/>
      <c r="BV393" s="2269"/>
      <c r="BW393" s="2269"/>
      <c r="BX393" s="2269"/>
      <c r="BY393" s="2269"/>
      <c r="BZ393" s="2151"/>
      <c r="CA393" s="2151"/>
      <c r="CB393" s="2411"/>
      <c r="CC393" s="2412"/>
      <c r="CD393" s="2412"/>
      <c r="CE393" s="2412"/>
      <c r="CF393" s="2412"/>
      <c r="CG393" s="2412"/>
      <c r="CH393" s="2412"/>
      <c r="CI393" s="2412"/>
      <c r="CJ393" s="2412"/>
      <c r="CK393" s="2412"/>
      <c r="CL393" s="2412"/>
      <c r="CM393" s="2412"/>
      <c r="CN393" s="2412"/>
      <c r="CO393" s="2412"/>
      <c r="CP393" s="2412"/>
      <c r="CQ393" s="2412"/>
      <c r="CR393" s="2412"/>
      <c r="CS393" s="2412"/>
      <c r="CT393" s="2412"/>
      <c r="CU393" s="2413"/>
      <c r="CV393" s="2300" t="str">
        <f t="shared" si="293"/>
        <v/>
      </c>
      <c r="CW393" s="2300"/>
      <c r="CX393" s="2300"/>
      <c r="CY393" s="2300"/>
      <c r="CZ393" s="2300"/>
      <c r="DA393" s="2300"/>
      <c r="DC393" s="329" t="str">
        <f t="shared" si="294"/>
        <v/>
      </c>
      <c r="DD393" s="197"/>
      <c r="DF393" s="14"/>
      <c r="DG393" s="14"/>
      <c r="DH393" s="14"/>
      <c r="DI393" s="1596"/>
      <c r="DJ393" s="1170" t="s">
        <v>2749</v>
      </c>
      <c r="DK393" s="1604" t="str">
        <f t="shared" si="295"/>
        <v/>
      </c>
      <c r="DL393" s="437" t="str">
        <f t="shared" si="296"/>
        <v/>
      </c>
      <c r="DM393" s="1128">
        <f t="shared" si="297"/>
        <v>0</v>
      </c>
      <c r="DN393" s="22">
        <f t="shared" si="298"/>
        <v>0</v>
      </c>
      <c r="DO393" s="22">
        <f t="shared" si="299"/>
        <v>0</v>
      </c>
      <c r="DP393" s="264">
        <f t="shared" si="300"/>
        <v>0</v>
      </c>
      <c r="DQ393" s="32" t="s">
        <v>739</v>
      </c>
      <c r="DR393" s="263" t="str">
        <f>IF($U393="",R392,U393)</f>
        <v>部材の劣化及び損傷の状況</v>
      </c>
      <c r="DS393" s="23">
        <f t="shared" si="301"/>
        <v>0</v>
      </c>
      <c r="DT393" s="29" t="str">
        <f t="shared" si="302"/>
        <v/>
      </c>
      <c r="DU393" s="242" t="str">
        <f t="shared" si="303"/>
        <v/>
      </c>
      <c r="DV393" s="57" t="str">
        <f>IF($DT393="要是正",MAX($DV$378:DV392)+1,"")</f>
        <v/>
      </c>
      <c r="DW393" s="30" t="str">
        <f t="shared" si="304"/>
        <v/>
      </c>
      <c r="DX393" s="30" t="str">
        <f t="shared" si="305"/>
        <v/>
      </c>
      <c r="DY393" s="13" t="str">
        <f t="shared" si="306"/>
        <v/>
      </c>
      <c r="DZ393" s="121" t="str">
        <f t="shared" si="307"/>
        <v/>
      </c>
      <c r="EA393" s="256" t="str">
        <f t="shared" si="308"/>
        <v/>
      </c>
      <c r="EB393" s="138" t="str">
        <f t="shared" si="309"/>
        <v/>
      </c>
      <c r="EC393" s="131" t="str">
        <f t="shared" si="310"/>
        <v>0</v>
      </c>
      <c r="ED393" s="54" t="str">
        <f t="shared" si="311"/>
        <v/>
      </c>
      <c r="EE393" s="131" t="str">
        <f t="shared" si="360"/>
        <v>0</v>
      </c>
      <c r="EF393" s="37" t="str">
        <f t="shared" si="312"/>
        <v/>
      </c>
      <c r="EG393" s="108" t="str">
        <f t="shared" si="313"/>
        <v/>
      </c>
      <c r="EH393" s="41" t="str">
        <f t="shared" si="314"/>
        <v>0</v>
      </c>
      <c r="EI393" s="54" t="str">
        <f t="shared" si="315"/>
        <v/>
      </c>
      <c r="EJ393" s="131" t="str">
        <f t="shared" si="361"/>
        <v>0</v>
      </c>
      <c r="EK393" s="241" t="str">
        <f t="shared" si="316"/>
        <v/>
      </c>
      <c r="EL393" s="242" t="e">
        <f t="shared" si="317"/>
        <v>#N/A</v>
      </c>
      <c r="EM393" s="57" t="e">
        <f t="shared" si="318"/>
        <v>#N/A</v>
      </c>
      <c r="EN393" s="243" t="e">
        <f t="shared" si="319"/>
        <v>#N/A</v>
      </c>
      <c r="FK393" s="326" t="str">
        <f t="shared" si="364"/>
        <v/>
      </c>
      <c r="FL393" s="326" t="str">
        <f t="shared" si="365"/>
        <v/>
      </c>
      <c r="FM393" s="326" t="str">
        <f t="shared" si="366"/>
        <v/>
      </c>
      <c r="FN393" s="326">
        <f t="shared" si="320"/>
        <v>0</v>
      </c>
      <c r="FO393" s="670" t="str">
        <f t="shared" si="367"/>
        <v/>
      </c>
      <c r="FQ393" s="138" t="str">
        <f t="shared" si="321"/>
        <v/>
      </c>
      <c r="FR393" s="131" t="str">
        <f t="shared" si="322"/>
        <v>0</v>
      </c>
      <c r="FS393" s="54" t="str">
        <f t="shared" si="323"/>
        <v/>
      </c>
      <c r="FT393" s="131" t="str">
        <f t="shared" si="362"/>
        <v>0</v>
      </c>
      <c r="FU393" s="217" t="str">
        <f t="shared" si="324"/>
        <v/>
      </c>
      <c r="FW393" s="667">
        <f t="shared" si="363"/>
        <v>0</v>
      </c>
      <c r="FX393" s="32"/>
      <c r="FY393" s="32"/>
      <c r="FZ393" s="668"/>
      <c r="GA393" s="14"/>
      <c r="GB393" s="658">
        <f t="shared" si="325"/>
        <v>0</v>
      </c>
      <c r="GC393" s="658">
        <f t="shared" si="326"/>
        <v>0</v>
      </c>
      <c r="GD393" s="658">
        <f t="shared" si="327"/>
        <v>0</v>
      </c>
      <c r="GE393" s="658" t="str">
        <f t="shared" si="328"/>
        <v/>
      </c>
      <c r="GF393" s="658" t="str">
        <f t="shared" si="329"/>
        <v/>
      </c>
      <c r="GG393" s="658" t="str">
        <f t="shared" si="330"/>
        <v/>
      </c>
      <c r="GH393" s="658" t="str">
        <f t="shared" si="331"/>
        <v/>
      </c>
      <c r="GI393" s="658" t="str">
        <f t="shared" si="332"/>
        <v/>
      </c>
      <c r="GJ393" s="658" t="str">
        <f t="shared" si="333"/>
        <v/>
      </c>
      <c r="GK393" s="658" t="str">
        <f t="shared" si="334"/>
        <v/>
      </c>
      <c r="GL393" s="658" t="str">
        <f t="shared" si="335"/>
        <v/>
      </c>
      <c r="GM393" s="658" t="str">
        <f t="shared" si="336"/>
        <v/>
      </c>
      <c r="GN393" s="658" t="str">
        <f t="shared" si="337"/>
        <v/>
      </c>
      <c r="GO393" s="658" t="str">
        <f t="shared" si="338"/>
        <v/>
      </c>
      <c r="GP393" s="658" t="str">
        <f t="shared" si="339"/>
        <v/>
      </c>
      <c r="GQ393" s="658" t="str">
        <f t="shared" si="340"/>
        <v/>
      </c>
      <c r="GR393" s="658" t="str">
        <f t="shared" si="341"/>
        <v/>
      </c>
      <c r="GS393" s="658" t="str">
        <f t="shared" si="342"/>
        <v/>
      </c>
      <c r="GT393" s="658">
        <f t="shared" si="368"/>
        <v>0</v>
      </c>
      <c r="GU393" s="658">
        <f t="shared" si="369"/>
        <v>0</v>
      </c>
      <c r="GV393" s="658">
        <f t="shared" si="370"/>
        <v>0</v>
      </c>
      <c r="GW393" s="658" t="b">
        <f t="shared" si="371"/>
        <v>0</v>
      </c>
      <c r="GX393" s="658" t="b">
        <f t="shared" si="372"/>
        <v>0</v>
      </c>
      <c r="GY393" s="658" t="b">
        <f t="shared" si="373"/>
        <v>0</v>
      </c>
      <c r="GZ393" s="658" t="str">
        <f t="shared" si="173"/>
        <v/>
      </c>
      <c r="HB393" s="658" t="str">
        <f t="shared" si="374"/>
        <v/>
      </c>
      <c r="HC393" s="658" t="str">
        <f t="shared" si="343"/>
        <v/>
      </c>
      <c r="HD393" s="658" t="str">
        <f t="shared" si="344"/>
        <v/>
      </c>
      <c r="HE393" s="658" t="str">
        <f t="shared" si="345"/>
        <v/>
      </c>
      <c r="HF393" s="658" t="str">
        <f t="shared" si="346"/>
        <v/>
      </c>
      <c r="HG393" s="658" t="str">
        <f t="shared" si="347"/>
        <v/>
      </c>
      <c r="HH393" s="658" t="str">
        <f t="shared" si="348"/>
        <v/>
      </c>
      <c r="HI393" s="658" t="str">
        <f t="shared" si="349"/>
        <v/>
      </c>
      <c r="HJ393" s="658" t="str">
        <f t="shared" si="350"/>
        <v/>
      </c>
      <c r="HK393" s="658" t="str">
        <f t="shared" si="351"/>
        <v/>
      </c>
      <c r="HL393" s="658" t="str">
        <f t="shared" si="352"/>
        <v/>
      </c>
      <c r="HM393" s="658" t="str">
        <f t="shared" si="353"/>
        <v/>
      </c>
      <c r="HN393" s="658" t="str">
        <f t="shared" si="354"/>
        <v/>
      </c>
      <c r="HO393" s="658" t="str">
        <f t="shared" si="355"/>
        <v/>
      </c>
      <c r="HP393" s="658" t="str">
        <f t="shared" si="356"/>
        <v/>
      </c>
      <c r="HQ393" s="658" t="str">
        <f t="shared" si="357"/>
        <v/>
      </c>
      <c r="HR393" s="658" t="str">
        <f t="shared" si="375"/>
        <v/>
      </c>
      <c r="HT393" s="658">
        <f>LEFT(M393,1)*10000+MID(M393,3,LEN(M393)-3)*100+COUNTIF($M$319:M393,M393)</f>
        <v>41201</v>
      </c>
      <c r="HU393" s="658" t="str">
        <f t="shared" si="376"/>
        <v/>
      </c>
      <c r="HV393" s="658" t="str">
        <f t="shared" si="358"/>
        <v/>
      </c>
      <c r="HW393" s="658" t="str">
        <f t="shared" si="377"/>
        <v/>
      </c>
      <c r="HX393" s="658" t="str">
        <f t="shared" si="359"/>
        <v/>
      </c>
    </row>
    <row r="394" spans="1:232" s="19" customFormat="1" ht="50.1" customHeight="1" x14ac:dyDescent="0.15">
      <c r="A394" s="1201"/>
      <c r="B394" s="1201"/>
      <c r="C394" s="1201"/>
      <c r="D394" s="1201"/>
      <c r="E394" s="1202"/>
      <c r="F394" s="652"/>
      <c r="G394" s="652"/>
      <c r="H394" s="652"/>
      <c r="I394" s="1357"/>
      <c r="J394" s="1234"/>
      <c r="K394" s="1261"/>
      <c r="L394" s="1261"/>
      <c r="M394" s="2423" t="s">
        <v>1162</v>
      </c>
      <c r="N394" s="2423"/>
      <c r="O394" s="2424"/>
      <c r="P394" s="2433"/>
      <c r="Q394" s="2433"/>
      <c r="R394" s="2148"/>
      <c r="S394" s="2148"/>
      <c r="T394" s="2148"/>
      <c r="U394" s="2435" t="s">
        <v>91</v>
      </c>
      <c r="V394" s="2435"/>
      <c r="W394" s="2435"/>
      <c r="X394" s="2435"/>
      <c r="Y394" s="2435"/>
      <c r="Z394" s="2435"/>
      <c r="AA394" s="2435"/>
      <c r="AB394" s="2435"/>
      <c r="AC394" s="2435"/>
      <c r="AD394" s="2435"/>
      <c r="AE394" s="2435"/>
      <c r="AF394" s="2426"/>
      <c r="AG394" s="2427"/>
      <c r="AH394" s="2427"/>
      <c r="AI394" s="2427"/>
      <c r="AJ394" s="2427"/>
      <c r="AK394" s="2427"/>
      <c r="AL394" s="2427"/>
      <c r="AM394" s="2427"/>
      <c r="AN394" s="2427"/>
      <c r="AO394" s="2427"/>
      <c r="AP394" s="2427"/>
      <c r="AQ394" s="2428"/>
      <c r="AR394" s="2151"/>
      <c r="AS394" s="2151"/>
      <c r="AT394" s="2292"/>
      <c r="AU394" s="2292"/>
      <c r="AV394" s="2292"/>
      <c r="AW394" s="2292"/>
      <c r="AX394" s="2292"/>
      <c r="AY394" s="2292"/>
      <c r="AZ394" s="2292"/>
      <c r="BA394" s="2292"/>
      <c r="BB394" s="2292"/>
      <c r="BC394" s="2292"/>
      <c r="BD394" s="2292"/>
      <c r="BE394" s="2292"/>
      <c r="BF394" s="2292"/>
      <c r="BG394" s="2292"/>
      <c r="BH394" s="2292"/>
      <c r="BI394" s="2292"/>
      <c r="BJ394" s="2292"/>
      <c r="BK394" s="2292"/>
      <c r="BL394" s="2292"/>
      <c r="BM394" s="2292"/>
      <c r="BN394" s="2292"/>
      <c r="BO394" s="2292"/>
      <c r="BP394" s="2292"/>
      <c r="BQ394" s="2292"/>
      <c r="BR394" s="2292"/>
      <c r="BS394" s="2269"/>
      <c r="BT394" s="2269"/>
      <c r="BU394" s="2269"/>
      <c r="BV394" s="2269"/>
      <c r="BW394" s="2269"/>
      <c r="BX394" s="2269"/>
      <c r="BY394" s="2269"/>
      <c r="BZ394" s="2151"/>
      <c r="CA394" s="2151"/>
      <c r="CB394" s="2881"/>
      <c r="CC394" s="2868"/>
      <c r="CD394" s="2868"/>
      <c r="CE394" s="2868"/>
      <c r="CF394" s="2868"/>
      <c r="CG394" s="2868"/>
      <c r="CH394" s="2868"/>
      <c r="CI394" s="2868"/>
      <c r="CJ394" s="2868"/>
      <c r="CK394" s="2868"/>
      <c r="CL394" s="2868"/>
      <c r="CM394" s="2868"/>
      <c r="CN394" s="2868"/>
      <c r="CO394" s="2868"/>
      <c r="CP394" s="2868"/>
      <c r="CQ394" s="2868"/>
      <c r="CR394" s="2868"/>
      <c r="CS394" s="2868"/>
      <c r="CT394" s="2868"/>
      <c r="CU394" s="2882"/>
      <c r="CV394" s="2300" t="str">
        <f t="shared" si="293"/>
        <v/>
      </c>
      <c r="CW394" s="2300"/>
      <c r="CX394" s="2300"/>
      <c r="CY394" s="2300"/>
      <c r="CZ394" s="2300"/>
      <c r="DA394" s="2300"/>
      <c r="DC394" s="329" t="str">
        <f t="shared" si="294"/>
        <v/>
      </c>
      <c r="DD394" s="197"/>
      <c r="DF394" s="14"/>
      <c r="DG394" s="14"/>
      <c r="DH394" s="14"/>
      <c r="DI394" s="1596"/>
      <c r="DJ394" s="1170" t="s">
        <v>2749</v>
      </c>
      <c r="DK394" s="1604" t="str">
        <f t="shared" si="295"/>
        <v/>
      </c>
      <c r="DL394" s="437" t="str">
        <f t="shared" si="296"/>
        <v/>
      </c>
      <c r="DM394" s="1128">
        <f t="shared" si="297"/>
        <v>0</v>
      </c>
      <c r="DN394" s="22">
        <f t="shared" si="298"/>
        <v>0</v>
      </c>
      <c r="DO394" s="22">
        <f t="shared" si="299"/>
        <v>0</v>
      </c>
      <c r="DP394" s="264">
        <f t="shared" si="300"/>
        <v>0</v>
      </c>
      <c r="DQ394" s="32" t="s">
        <v>740</v>
      </c>
      <c r="DR394" s="263" t="str">
        <f>IF($U394="",R392,U394)</f>
        <v>鉄骨の耐火被覆の劣化及び損傷の状況</v>
      </c>
      <c r="DS394" s="23">
        <f t="shared" si="301"/>
        <v>0</v>
      </c>
      <c r="DT394" s="29" t="str">
        <f t="shared" si="302"/>
        <v/>
      </c>
      <c r="DU394" s="242" t="str">
        <f t="shared" si="303"/>
        <v/>
      </c>
      <c r="DV394" s="57" t="str">
        <f>IF($DT394="要是正",MAX($DV$378:DV393)+1,"")</f>
        <v/>
      </c>
      <c r="DW394" s="30" t="str">
        <f t="shared" si="304"/>
        <v/>
      </c>
      <c r="DX394" s="30" t="str">
        <f t="shared" si="305"/>
        <v/>
      </c>
      <c r="DY394" s="13" t="str">
        <f t="shared" si="306"/>
        <v/>
      </c>
      <c r="DZ394" s="121" t="str">
        <f t="shared" si="307"/>
        <v/>
      </c>
      <c r="EA394" s="256" t="str">
        <f t="shared" si="308"/>
        <v/>
      </c>
      <c r="EB394" s="138" t="str">
        <f t="shared" si="309"/>
        <v/>
      </c>
      <c r="EC394" s="131" t="str">
        <f t="shared" si="310"/>
        <v>0</v>
      </c>
      <c r="ED394" s="54" t="str">
        <f t="shared" si="311"/>
        <v/>
      </c>
      <c r="EE394" s="131" t="str">
        <f t="shared" si="360"/>
        <v>0</v>
      </c>
      <c r="EF394" s="37" t="str">
        <f t="shared" si="312"/>
        <v/>
      </c>
      <c r="EG394" s="108" t="str">
        <f t="shared" si="313"/>
        <v/>
      </c>
      <c r="EH394" s="41" t="str">
        <f t="shared" si="314"/>
        <v>0</v>
      </c>
      <c r="EI394" s="54" t="str">
        <f t="shared" si="315"/>
        <v/>
      </c>
      <c r="EJ394" s="131" t="str">
        <f t="shared" si="361"/>
        <v>0</v>
      </c>
      <c r="EK394" s="241" t="str">
        <f t="shared" si="316"/>
        <v/>
      </c>
      <c r="EL394" s="242" t="e">
        <f t="shared" si="317"/>
        <v>#N/A</v>
      </c>
      <c r="EM394" s="57" t="e">
        <f t="shared" si="318"/>
        <v>#N/A</v>
      </c>
      <c r="EN394" s="243" t="e">
        <f t="shared" si="319"/>
        <v>#N/A</v>
      </c>
      <c r="FK394" s="326" t="str">
        <f t="shared" si="364"/>
        <v/>
      </c>
      <c r="FL394" s="326" t="str">
        <f t="shared" si="365"/>
        <v/>
      </c>
      <c r="FM394" s="326" t="str">
        <f t="shared" si="366"/>
        <v/>
      </c>
      <c r="FN394" s="326">
        <f t="shared" si="320"/>
        <v>0</v>
      </c>
      <c r="FO394" s="670" t="str">
        <f t="shared" si="367"/>
        <v/>
      </c>
      <c r="FQ394" s="138" t="str">
        <f t="shared" si="321"/>
        <v/>
      </c>
      <c r="FR394" s="131" t="str">
        <f t="shared" si="322"/>
        <v>0</v>
      </c>
      <c r="FS394" s="54" t="str">
        <f t="shared" si="323"/>
        <v/>
      </c>
      <c r="FT394" s="131" t="str">
        <f t="shared" si="362"/>
        <v>0</v>
      </c>
      <c r="FU394" s="217" t="str">
        <f t="shared" si="324"/>
        <v/>
      </c>
      <c r="FW394" s="667">
        <f t="shared" si="363"/>
        <v>0</v>
      </c>
      <c r="FX394" s="32"/>
      <c r="FY394" s="32"/>
      <c r="FZ394" s="668"/>
      <c r="GA394" s="14"/>
      <c r="GB394" s="658">
        <f t="shared" si="325"/>
        <v>0</v>
      </c>
      <c r="GC394" s="658">
        <f t="shared" si="326"/>
        <v>0</v>
      </c>
      <c r="GD394" s="658">
        <f t="shared" si="327"/>
        <v>0</v>
      </c>
      <c r="GE394" s="658" t="str">
        <f t="shared" si="328"/>
        <v/>
      </c>
      <c r="GF394" s="658" t="str">
        <f t="shared" si="329"/>
        <v/>
      </c>
      <c r="GG394" s="658" t="str">
        <f t="shared" si="330"/>
        <v/>
      </c>
      <c r="GH394" s="658" t="str">
        <f t="shared" si="331"/>
        <v/>
      </c>
      <c r="GI394" s="658" t="str">
        <f t="shared" si="332"/>
        <v/>
      </c>
      <c r="GJ394" s="658" t="str">
        <f t="shared" si="333"/>
        <v/>
      </c>
      <c r="GK394" s="658" t="str">
        <f t="shared" si="334"/>
        <v/>
      </c>
      <c r="GL394" s="658" t="str">
        <f t="shared" si="335"/>
        <v/>
      </c>
      <c r="GM394" s="658" t="str">
        <f t="shared" si="336"/>
        <v/>
      </c>
      <c r="GN394" s="658" t="str">
        <f t="shared" si="337"/>
        <v/>
      </c>
      <c r="GO394" s="658" t="str">
        <f t="shared" si="338"/>
        <v/>
      </c>
      <c r="GP394" s="658" t="str">
        <f t="shared" si="339"/>
        <v/>
      </c>
      <c r="GQ394" s="658" t="str">
        <f t="shared" si="340"/>
        <v/>
      </c>
      <c r="GR394" s="658" t="str">
        <f t="shared" si="341"/>
        <v/>
      </c>
      <c r="GS394" s="658" t="str">
        <f t="shared" si="342"/>
        <v/>
      </c>
      <c r="GT394" s="658">
        <f t="shared" si="368"/>
        <v>0</v>
      </c>
      <c r="GU394" s="658">
        <f t="shared" si="369"/>
        <v>0</v>
      </c>
      <c r="GV394" s="658">
        <f t="shared" si="370"/>
        <v>0</v>
      </c>
      <c r="GW394" s="658" t="b">
        <f t="shared" si="371"/>
        <v>0</v>
      </c>
      <c r="GX394" s="658" t="b">
        <f t="shared" si="372"/>
        <v>0</v>
      </c>
      <c r="GY394" s="658" t="b">
        <f t="shared" si="373"/>
        <v>0</v>
      </c>
      <c r="GZ394" s="658" t="str">
        <f t="shared" si="173"/>
        <v/>
      </c>
      <c r="HB394" s="658" t="str">
        <f t="shared" si="374"/>
        <v/>
      </c>
      <c r="HC394" s="658" t="str">
        <f t="shared" si="343"/>
        <v/>
      </c>
      <c r="HD394" s="658" t="str">
        <f t="shared" si="344"/>
        <v/>
      </c>
      <c r="HE394" s="658" t="str">
        <f t="shared" si="345"/>
        <v/>
      </c>
      <c r="HF394" s="658" t="str">
        <f t="shared" si="346"/>
        <v/>
      </c>
      <c r="HG394" s="658" t="str">
        <f t="shared" si="347"/>
        <v/>
      </c>
      <c r="HH394" s="658" t="str">
        <f t="shared" si="348"/>
        <v/>
      </c>
      <c r="HI394" s="658" t="str">
        <f t="shared" si="349"/>
        <v/>
      </c>
      <c r="HJ394" s="658" t="str">
        <f t="shared" si="350"/>
        <v/>
      </c>
      <c r="HK394" s="658" t="str">
        <f t="shared" si="351"/>
        <v/>
      </c>
      <c r="HL394" s="658" t="str">
        <f t="shared" si="352"/>
        <v/>
      </c>
      <c r="HM394" s="658" t="str">
        <f t="shared" si="353"/>
        <v/>
      </c>
      <c r="HN394" s="658" t="str">
        <f t="shared" si="354"/>
        <v/>
      </c>
      <c r="HO394" s="658" t="str">
        <f t="shared" si="355"/>
        <v/>
      </c>
      <c r="HP394" s="658" t="str">
        <f t="shared" si="356"/>
        <v/>
      </c>
      <c r="HQ394" s="658" t="str">
        <f t="shared" si="357"/>
        <v/>
      </c>
      <c r="HR394" s="658" t="str">
        <f t="shared" si="375"/>
        <v/>
      </c>
      <c r="HT394" s="658">
        <f>LEFT(M394,1)*10000+MID(M394,3,LEN(M394)-3)*100+COUNTIF($M$319:M394,M394)</f>
        <v>41301</v>
      </c>
      <c r="HU394" s="658" t="str">
        <f t="shared" si="376"/>
        <v/>
      </c>
      <c r="HV394" s="658" t="str">
        <f t="shared" si="358"/>
        <v/>
      </c>
      <c r="HW394" s="658" t="str">
        <f t="shared" si="377"/>
        <v/>
      </c>
      <c r="HX394" s="658" t="str">
        <f t="shared" si="359"/>
        <v/>
      </c>
    </row>
    <row r="395" spans="1:232" s="19" customFormat="1" ht="50.1" customHeight="1" x14ac:dyDescent="0.15">
      <c r="A395" s="1201"/>
      <c r="B395" s="1201"/>
      <c r="C395" s="1201"/>
      <c r="D395" s="1201"/>
      <c r="E395" s="1202"/>
      <c r="F395" s="652"/>
      <c r="G395" s="652"/>
      <c r="H395" s="652"/>
      <c r="I395" s="1357"/>
      <c r="J395" s="1234"/>
      <c r="K395" s="1261"/>
      <c r="L395" s="1261"/>
      <c r="M395" s="2423" t="s">
        <v>1163</v>
      </c>
      <c r="N395" s="2423"/>
      <c r="O395" s="2424"/>
      <c r="P395" s="2433"/>
      <c r="Q395" s="2433"/>
      <c r="R395" s="2148"/>
      <c r="S395" s="2148"/>
      <c r="T395" s="2148"/>
      <c r="U395" s="2445" t="s">
        <v>92</v>
      </c>
      <c r="V395" s="2445"/>
      <c r="W395" s="2445"/>
      <c r="X395" s="2445"/>
      <c r="Y395" s="2445"/>
      <c r="Z395" s="2445"/>
      <c r="AA395" s="2445"/>
      <c r="AB395" s="2445"/>
      <c r="AC395" s="2445"/>
      <c r="AD395" s="2445"/>
      <c r="AE395" s="2445"/>
      <c r="AF395" s="2468"/>
      <c r="AG395" s="2469"/>
      <c r="AH395" s="2469"/>
      <c r="AI395" s="2469"/>
      <c r="AJ395" s="2469"/>
      <c r="AK395" s="2469"/>
      <c r="AL395" s="2469"/>
      <c r="AM395" s="2469"/>
      <c r="AN395" s="2469"/>
      <c r="AO395" s="2469"/>
      <c r="AP395" s="2469"/>
      <c r="AQ395" s="2470"/>
      <c r="AR395" s="2297"/>
      <c r="AS395" s="2297"/>
      <c r="AT395" s="2135"/>
      <c r="AU395" s="2135"/>
      <c r="AV395" s="2135"/>
      <c r="AW395" s="2135"/>
      <c r="AX395" s="2135"/>
      <c r="AY395" s="2135"/>
      <c r="AZ395" s="2135"/>
      <c r="BA395" s="2135"/>
      <c r="BB395" s="2135"/>
      <c r="BC395" s="2135"/>
      <c r="BD395" s="2135"/>
      <c r="BE395" s="2135"/>
      <c r="BF395" s="2135"/>
      <c r="BG395" s="2135"/>
      <c r="BH395" s="2135"/>
      <c r="BI395" s="2135"/>
      <c r="BJ395" s="2135"/>
      <c r="BK395" s="2135"/>
      <c r="BL395" s="2135"/>
      <c r="BM395" s="2135"/>
      <c r="BN395" s="2135"/>
      <c r="BO395" s="2135"/>
      <c r="BP395" s="2135"/>
      <c r="BQ395" s="2135"/>
      <c r="BR395" s="2135"/>
      <c r="BS395" s="2354"/>
      <c r="BT395" s="2354"/>
      <c r="BU395" s="2354"/>
      <c r="BV395" s="2354"/>
      <c r="BW395" s="2354"/>
      <c r="BX395" s="2354"/>
      <c r="BY395" s="2354"/>
      <c r="BZ395" s="2297"/>
      <c r="CA395" s="2297"/>
      <c r="CB395" s="2392"/>
      <c r="CC395" s="2393"/>
      <c r="CD395" s="2393"/>
      <c r="CE395" s="2393"/>
      <c r="CF395" s="2393"/>
      <c r="CG395" s="2393"/>
      <c r="CH395" s="2393"/>
      <c r="CI395" s="2393"/>
      <c r="CJ395" s="2393"/>
      <c r="CK395" s="2393"/>
      <c r="CL395" s="2393"/>
      <c r="CM395" s="2393"/>
      <c r="CN395" s="2393"/>
      <c r="CO395" s="2393"/>
      <c r="CP395" s="2393"/>
      <c r="CQ395" s="2393"/>
      <c r="CR395" s="2393"/>
      <c r="CS395" s="2393"/>
      <c r="CT395" s="2393"/>
      <c r="CU395" s="2394"/>
      <c r="CV395" s="2300" t="str">
        <f t="shared" si="293"/>
        <v/>
      </c>
      <c r="CW395" s="2300"/>
      <c r="CX395" s="2300"/>
      <c r="CY395" s="2300"/>
      <c r="CZ395" s="2300"/>
      <c r="DA395" s="2300"/>
      <c r="DC395" s="329" t="str">
        <f t="shared" si="294"/>
        <v/>
      </c>
      <c r="DD395" s="197"/>
      <c r="DF395" s="14"/>
      <c r="DG395" s="14"/>
      <c r="DH395" s="14"/>
      <c r="DI395" s="1596"/>
      <c r="DJ395" s="1170" t="s">
        <v>2749</v>
      </c>
      <c r="DK395" s="1604" t="str">
        <f t="shared" si="295"/>
        <v/>
      </c>
      <c r="DL395" s="437" t="str">
        <f t="shared" si="296"/>
        <v/>
      </c>
      <c r="DM395" s="1128">
        <f t="shared" si="297"/>
        <v>0</v>
      </c>
      <c r="DN395" s="22">
        <f t="shared" si="298"/>
        <v>0</v>
      </c>
      <c r="DO395" s="22">
        <f t="shared" si="299"/>
        <v>0</v>
      </c>
      <c r="DP395" s="264">
        <f t="shared" si="300"/>
        <v>0</v>
      </c>
      <c r="DQ395" s="32" t="s">
        <v>741</v>
      </c>
      <c r="DR395" s="263" t="str">
        <f>IF($U395="",R392,U395)</f>
        <v>給水管、配電管その他の管又は風道の区画貫通部の充填等の処理の状況</v>
      </c>
      <c r="DS395" s="23">
        <f t="shared" si="301"/>
        <v>0</v>
      </c>
      <c r="DT395" s="29" t="str">
        <f t="shared" si="302"/>
        <v/>
      </c>
      <c r="DU395" s="242" t="str">
        <f t="shared" si="303"/>
        <v/>
      </c>
      <c r="DV395" s="57" t="str">
        <f>IF($DT395="要是正",MAX($DV$378:DV394)+1,"")</f>
        <v/>
      </c>
      <c r="DW395" s="30" t="str">
        <f t="shared" si="304"/>
        <v/>
      </c>
      <c r="DX395" s="30" t="str">
        <f t="shared" si="305"/>
        <v/>
      </c>
      <c r="DY395" s="13" t="str">
        <f t="shared" si="306"/>
        <v/>
      </c>
      <c r="DZ395" s="121" t="str">
        <f t="shared" si="307"/>
        <v/>
      </c>
      <c r="EA395" s="256" t="str">
        <f t="shared" si="308"/>
        <v/>
      </c>
      <c r="EB395" s="138" t="str">
        <f t="shared" si="309"/>
        <v/>
      </c>
      <c r="EC395" s="131" t="str">
        <f t="shared" si="310"/>
        <v>0</v>
      </c>
      <c r="ED395" s="54" t="str">
        <f t="shared" si="311"/>
        <v/>
      </c>
      <c r="EE395" s="131" t="str">
        <f t="shared" si="360"/>
        <v>0</v>
      </c>
      <c r="EF395" s="37" t="str">
        <f t="shared" si="312"/>
        <v/>
      </c>
      <c r="EG395" s="108" t="str">
        <f t="shared" si="313"/>
        <v/>
      </c>
      <c r="EH395" s="41" t="str">
        <f t="shared" si="314"/>
        <v>0</v>
      </c>
      <c r="EI395" s="54" t="str">
        <f t="shared" si="315"/>
        <v/>
      </c>
      <c r="EJ395" s="131" t="str">
        <f t="shared" si="361"/>
        <v>0</v>
      </c>
      <c r="EK395" s="241" t="str">
        <f t="shared" si="316"/>
        <v/>
      </c>
      <c r="EL395" s="242" t="e">
        <f t="shared" si="317"/>
        <v>#N/A</v>
      </c>
      <c r="EM395" s="57" t="e">
        <f t="shared" si="318"/>
        <v>#N/A</v>
      </c>
      <c r="EN395" s="243" t="e">
        <f t="shared" si="319"/>
        <v>#N/A</v>
      </c>
      <c r="FK395" s="326" t="str">
        <f t="shared" si="364"/>
        <v/>
      </c>
      <c r="FL395" s="326" t="str">
        <f t="shared" si="365"/>
        <v/>
      </c>
      <c r="FM395" s="326" t="str">
        <f t="shared" si="366"/>
        <v/>
      </c>
      <c r="FN395" s="326">
        <f t="shared" si="320"/>
        <v>0</v>
      </c>
      <c r="FO395" s="670" t="str">
        <f t="shared" si="367"/>
        <v/>
      </c>
      <c r="FQ395" s="138" t="str">
        <f t="shared" si="321"/>
        <v/>
      </c>
      <c r="FR395" s="131" t="str">
        <f t="shared" si="322"/>
        <v>0</v>
      </c>
      <c r="FS395" s="54" t="str">
        <f t="shared" si="323"/>
        <v/>
      </c>
      <c r="FT395" s="131" t="str">
        <f t="shared" si="362"/>
        <v>0</v>
      </c>
      <c r="FU395" s="217" t="str">
        <f t="shared" si="324"/>
        <v/>
      </c>
      <c r="FW395" s="667">
        <f t="shared" si="363"/>
        <v>0</v>
      </c>
      <c r="FX395" s="32"/>
      <c r="FY395" s="32"/>
      <c r="FZ395" s="668"/>
      <c r="GA395" s="14"/>
      <c r="GB395" s="658">
        <f t="shared" si="325"/>
        <v>0</v>
      </c>
      <c r="GC395" s="658">
        <f t="shared" si="326"/>
        <v>0</v>
      </c>
      <c r="GD395" s="658">
        <f t="shared" si="327"/>
        <v>0</v>
      </c>
      <c r="GE395" s="658" t="str">
        <f t="shared" si="328"/>
        <v/>
      </c>
      <c r="GF395" s="658" t="str">
        <f t="shared" si="329"/>
        <v/>
      </c>
      <c r="GG395" s="658" t="str">
        <f t="shared" si="330"/>
        <v/>
      </c>
      <c r="GH395" s="658" t="str">
        <f t="shared" si="331"/>
        <v/>
      </c>
      <c r="GI395" s="658" t="str">
        <f t="shared" si="332"/>
        <v/>
      </c>
      <c r="GJ395" s="658" t="str">
        <f t="shared" si="333"/>
        <v/>
      </c>
      <c r="GK395" s="658" t="str">
        <f t="shared" si="334"/>
        <v/>
      </c>
      <c r="GL395" s="658" t="str">
        <f t="shared" si="335"/>
        <v/>
      </c>
      <c r="GM395" s="658" t="str">
        <f t="shared" si="336"/>
        <v/>
      </c>
      <c r="GN395" s="658" t="str">
        <f t="shared" si="337"/>
        <v/>
      </c>
      <c r="GO395" s="658" t="str">
        <f t="shared" si="338"/>
        <v/>
      </c>
      <c r="GP395" s="658" t="str">
        <f t="shared" si="339"/>
        <v/>
      </c>
      <c r="GQ395" s="658" t="str">
        <f t="shared" si="340"/>
        <v/>
      </c>
      <c r="GR395" s="658" t="str">
        <f t="shared" si="341"/>
        <v/>
      </c>
      <c r="GS395" s="658" t="str">
        <f t="shared" si="342"/>
        <v/>
      </c>
      <c r="GT395" s="658">
        <f t="shared" si="368"/>
        <v>0</v>
      </c>
      <c r="GU395" s="658">
        <f t="shared" si="369"/>
        <v>0</v>
      </c>
      <c r="GV395" s="658">
        <f t="shared" si="370"/>
        <v>0</v>
      </c>
      <c r="GW395" s="658" t="b">
        <f t="shared" si="371"/>
        <v>0</v>
      </c>
      <c r="GX395" s="658" t="b">
        <f t="shared" si="372"/>
        <v>0</v>
      </c>
      <c r="GY395" s="658" t="b">
        <f t="shared" si="373"/>
        <v>0</v>
      </c>
      <c r="GZ395" s="658" t="str">
        <f t="shared" si="173"/>
        <v/>
      </c>
      <c r="HB395" s="658" t="str">
        <f t="shared" si="374"/>
        <v/>
      </c>
      <c r="HC395" s="658" t="str">
        <f t="shared" si="343"/>
        <v/>
      </c>
      <c r="HD395" s="658" t="str">
        <f t="shared" si="344"/>
        <v/>
      </c>
      <c r="HE395" s="658" t="str">
        <f t="shared" si="345"/>
        <v/>
      </c>
      <c r="HF395" s="658" t="str">
        <f t="shared" si="346"/>
        <v/>
      </c>
      <c r="HG395" s="658" t="str">
        <f t="shared" si="347"/>
        <v/>
      </c>
      <c r="HH395" s="658" t="str">
        <f t="shared" si="348"/>
        <v/>
      </c>
      <c r="HI395" s="658" t="str">
        <f t="shared" si="349"/>
        <v/>
      </c>
      <c r="HJ395" s="658" t="str">
        <f t="shared" si="350"/>
        <v/>
      </c>
      <c r="HK395" s="658" t="str">
        <f t="shared" si="351"/>
        <v/>
      </c>
      <c r="HL395" s="658" t="str">
        <f t="shared" si="352"/>
        <v/>
      </c>
      <c r="HM395" s="658" t="str">
        <f t="shared" si="353"/>
        <v/>
      </c>
      <c r="HN395" s="658" t="str">
        <f t="shared" si="354"/>
        <v/>
      </c>
      <c r="HO395" s="658" t="str">
        <f t="shared" si="355"/>
        <v/>
      </c>
      <c r="HP395" s="658" t="str">
        <f t="shared" si="356"/>
        <v/>
      </c>
      <c r="HQ395" s="658" t="str">
        <f t="shared" si="357"/>
        <v/>
      </c>
      <c r="HR395" s="658" t="str">
        <f t="shared" si="375"/>
        <v/>
      </c>
      <c r="HT395" s="658">
        <f>LEFT(M395,1)*10000+MID(M395,3,LEN(M395)-3)*100+COUNTIF($M$319:M395,M395)</f>
        <v>41401</v>
      </c>
      <c r="HU395" s="658" t="str">
        <f t="shared" si="376"/>
        <v/>
      </c>
      <c r="HV395" s="658" t="str">
        <f t="shared" si="358"/>
        <v/>
      </c>
      <c r="HW395" s="658" t="str">
        <f t="shared" si="377"/>
        <v/>
      </c>
      <c r="HX395" s="658" t="str">
        <f t="shared" si="359"/>
        <v/>
      </c>
    </row>
    <row r="396" spans="1:232" s="19" customFormat="1" ht="120" customHeight="1" x14ac:dyDescent="0.15">
      <c r="A396" s="1201"/>
      <c r="B396" s="1201"/>
      <c r="C396" s="1201"/>
      <c r="D396" s="1201"/>
      <c r="E396" s="1202"/>
      <c r="F396" s="652"/>
      <c r="G396" s="652"/>
      <c r="H396" s="652"/>
      <c r="I396" s="1357"/>
      <c r="J396" s="1234"/>
      <c r="K396" s="1261"/>
      <c r="L396" s="1261"/>
      <c r="M396" s="2423" t="s">
        <v>1164</v>
      </c>
      <c r="N396" s="2423"/>
      <c r="O396" s="2424"/>
      <c r="P396" s="2433"/>
      <c r="Q396" s="2433"/>
      <c r="R396" s="2148" t="s">
        <v>93</v>
      </c>
      <c r="S396" s="2148"/>
      <c r="T396" s="2148"/>
      <c r="U396" s="2429" t="s">
        <v>94</v>
      </c>
      <c r="V396" s="2429"/>
      <c r="W396" s="2429"/>
      <c r="X396" s="2429"/>
      <c r="Y396" s="2429"/>
      <c r="Z396" s="2429"/>
      <c r="AA396" s="2429"/>
      <c r="AB396" s="2429"/>
      <c r="AC396" s="2429"/>
      <c r="AD396" s="2429"/>
      <c r="AE396" s="2429"/>
      <c r="AF396" s="2440"/>
      <c r="AG396" s="2441"/>
      <c r="AH396" s="2441"/>
      <c r="AI396" s="2441"/>
      <c r="AJ396" s="2441"/>
      <c r="AK396" s="2441"/>
      <c r="AL396" s="2441"/>
      <c r="AM396" s="2441"/>
      <c r="AN396" s="2441"/>
      <c r="AO396" s="2441"/>
      <c r="AP396" s="2441"/>
      <c r="AQ396" s="2442"/>
      <c r="AR396" s="2359"/>
      <c r="AS396" s="2359"/>
      <c r="AT396" s="2301"/>
      <c r="AU396" s="2301"/>
      <c r="AV396" s="2301"/>
      <c r="AW396" s="2301"/>
      <c r="AX396" s="2301"/>
      <c r="AY396" s="2301"/>
      <c r="AZ396" s="2301"/>
      <c r="BA396" s="2301"/>
      <c r="BB396" s="2301"/>
      <c r="BC396" s="2301"/>
      <c r="BD396" s="2301"/>
      <c r="BE396" s="2301"/>
      <c r="BF396" s="2301"/>
      <c r="BG396" s="2301"/>
      <c r="BH396" s="2301"/>
      <c r="BI396" s="2301"/>
      <c r="BJ396" s="2301"/>
      <c r="BK396" s="2301"/>
      <c r="BL396" s="2301"/>
      <c r="BM396" s="2301"/>
      <c r="BN396" s="2301"/>
      <c r="BO396" s="2301"/>
      <c r="BP396" s="2301"/>
      <c r="BQ396" s="2301"/>
      <c r="BR396" s="2301"/>
      <c r="BS396" s="2358"/>
      <c r="BT396" s="2358"/>
      <c r="BU396" s="2358"/>
      <c r="BV396" s="2358"/>
      <c r="BW396" s="2358"/>
      <c r="BX396" s="2358"/>
      <c r="BY396" s="2358"/>
      <c r="BZ396" s="2359"/>
      <c r="CA396" s="2359"/>
      <c r="CB396" s="2389"/>
      <c r="CC396" s="2390"/>
      <c r="CD396" s="2390"/>
      <c r="CE396" s="2390"/>
      <c r="CF396" s="2390"/>
      <c r="CG396" s="2390"/>
      <c r="CH396" s="2390"/>
      <c r="CI396" s="2390"/>
      <c r="CJ396" s="2390"/>
      <c r="CK396" s="2390"/>
      <c r="CL396" s="2390"/>
      <c r="CM396" s="2390"/>
      <c r="CN396" s="2390"/>
      <c r="CO396" s="2390"/>
      <c r="CP396" s="2390"/>
      <c r="CQ396" s="2390"/>
      <c r="CR396" s="2390"/>
      <c r="CS396" s="2390"/>
      <c r="CT396" s="2390"/>
      <c r="CU396" s="2391"/>
      <c r="CV396" s="2300" t="str">
        <f t="shared" si="293"/>
        <v/>
      </c>
      <c r="CW396" s="2300"/>
      <c r="CX396" s="2300"/>
      <c r="CY396" s="2300"/>
      <c r="CZ396" s="2300"/>
      <c r="DA396" s="2300"/>
      <c r="DC396" s="329" t="str">
        <f t="shared" si="294"/>
        <v/>
      </c>
      <c r="DD396" s="197"/>
      <c r="DF396" s="14"/>
      <c r="DG396" s="14"/>
      <c r="DH396" s="14"/>
      <c r="DI396" s="1596"/>
      <c r="DJ396" s="1170" t="s">
        <v>2749</v>
      </c>
      <c r="DK396" s="1604" t="str">
        <f t="shared" si="295"/>
        <v/>
      </c>
      <c r="DL396" s="437" t="str">
        <f t="shared" si="296"/>
        <v/>
      </c>
      <c r="DM396" s="1128">
        <f t="shared" si="297"/>
        <v>0</v>
      </c>
      <c r="DN396" s="22">
        <f t="shared" si="298"/>
        <v>0</v>
      </c>
      <c r="DO396" s="22">
        <f t="shared" si="299"/>
        <v>0</v>
      </c>
      <c r="DP396" s="264">
        <f t="shared" si="300"/>
        <v>0</v>
      </c>
      <c r="DQ396" s="32" t="s">
        <v>742</v>
      </c>
      <c r="DR396" s="263" t="str">
        <f>IF($U396="",R396,U396)</f>
        <v>令第114条に規定する界壁、間仕切壁及び隔壁の状況</v>
      </c>
      <c r="DS396" s="23">
        <f t="shared" si="301"/>
        <v>0</v>
      </c>
      <c r="DT396" s="29" t="str">
        <f t="shared" si="302"/>
        <v/>
      </c>
      <c r="DU396" s="242" t="str">
        <f t="shared" si="303"/>
        <v/>
      </c>
      <c r="DV396" s="57" t="str">
        <f>IF($DT396="要是正",MAX($DV$378:DV395)+1,"")</f>
        <v/>
      </c>
      <c r="DW396" s="30" t="str">
        <f t="shared" si="304"/>
        <v/>
      </c>
      <c r="DX396" s="30" t="str">
        <f t="shared" si="305"/>
        <v/>
      </c>
      <c r="DY396" s="13" t="str">
        <f t="shared" si="306"/>
        <v/>
      </c>
      <c r="DZ396" s="121" t="str">
        <f t="shared" si="307"/>
        <v/>
      </c>
      <c r="EA396" s="256" t="str">
        <f t="shared" si="308"/>
        <v/>
      </c>
      <c r="EB396" s="138" t="str">
        <f t="shared" si="309"/>
        <v/>
      </c>
      <c r="EC396" s="131" t="str">
        <f t="shared" si="310"/>
        <v>0</v>
      </c>
      <c r="ED396" s="54" t="str">
        <f t="shared" si="311"/>
        <v/>
      </c>
      <c r="EE396" s="131" t="str">
        <f t="shared" si="360"/>
        <v>0</v>
      </c>
      <c r="EF396" s="37" t="str">
        <f t="shared" si="312"/>
        <v/>
      </c>
      <c r="EG396" s="108" t="str">
        <f t="shared" si="313"/>
        <v/>
      </c>
      <c r="EH396" s="41" t="str">
        <f t="shared" si="314"/>
        <v>0</v>
      </c>
      <c r="EI396" s="54" t="str">
        <f t="shared" si="315"/>
        <v/>
      </c>
      <c r="EJ396" s="131" t="str">
        <f t="shared" si="361"/>
        <v>0</v>
      </c>
      <c r="EK396" s="241" t="str">
        <f t="shared" si="316"/>
        <v/>
      </c>
      <c r="EL396" s="242" t="e">
        <f t="shared" si="317"/>
        <v>#N/A</v>
      </c>
      <c r="EM396" s="57" t="e">
        <f t="shared" si="318"/>
        <v>#N/A</v>
      </c>
      <c r="EN396" s="243" t="e">
        <f t="shared" si="319"/>
        <v>#N/A</v>
      </c>
      <c r="FK396" s="326" t="str">
        <f t="shared" si="364"/>
        <v/>
      </c>
      <c r="FL396" s="326" t="str">
        <f t="shared" si="365"/>
        <v/>
      </c>
      <c r="FM396" s="326" t="str">
        <f t="shared" si="366"/>
        <v/>
      </c>
      <c r="FN396" s="326">
        <f t="shared" si="320"/>
        <v>0</v>
      </c>
      <c r="FO396" s="670" t="str">
        <f t="shared" si="367"/>
        <v/>
      </c>
      <c r="FQ396" s="138" t="str">
        <f t="shared" si="321"/>
        <v/>
      </c>
      <c r="FR396" s="131" t="str">
        <f t="shared" si="322"/>
        <v>0</v>
      </c>
      <c r="FS396" s="54" t="str">
        <f t="shared" si="323"/>
        <v/>
      </c>
      <c r="FT396" s="131" t="str">
        <f t="shared" si="362"/>
        <v>0</v>
      </c>
      <c r="FU396" s="217" t="str">
        <f t="shared" si="324"/>
        <v/>
      </c>
      <c r="FW396" s="667">
        <f t="shared" si="363"/>
        <v>0</v>
      </c>
      <c r="FX396" s="32"/>
      <c r="FY396" s="32"/>
      <c r="FZ396" s="668"/>
      <c r="GA396" s="14"/>
      <c r="GB396" s="658">
        <f t="shared" si="325"/>
        <v>0</v>
      </c>
      <c r="GC396" s="658">
        <f t="shared" si="326"/>
        <v>0</v>
      </c>
      <c r="GD396" s="658">
        <f t="shared" si="327"/>
        <v>0</v>
      </c>
      <c r="GE396" s="658" t="str">
        <f t="shared" si="328"/>
        <v/>
      </c>
      <c r="GF396" s="658" t="str">
        <f t="shared" si="329"/>
        <v/>
      </c>
      <c r="GG396" s="658" t="str">
        <f t="shared" si="330"/>
        <v/>
      </c>
      <c r="GH396" s="658" t="str">
        <f t="shared" si="331"/>
        <v/>
      </c>
      <c r="GI396" s="658" t="str">
        <f t="shared" si="332"/>
        <v/>
      </c>
      <c r="GJ396" s="658" t="str">
        <f t="shared" si="333"/>
        <v/>
      </c>
      <c r="GK396" s="658" t="str">
        <f t="shared" si="334"/>
        <v/>
      </c>
      <c r="GL396" s="658" t="str">
        <f t="shared" si="335"/>
        <v/>
      </c>
      <c r="GM396" s="658" t="str">
        <f t="shared" si="336"/>
        <v/>
      </c>
      <c r="GN396" s="658" t="str">
        <f t="shared" si="337"/>
        <v/>
      </c>
      <c r="GO396" s="658" t="str">
        <f t="shared" si="338"/>
        <v/>
      </c>
      <c r="GP396" s="658" t="str">
        <f t="shared" si="339"/>
        <v/>
      </c>
      <c r="GQ396" s="658" t="str">
        <f t="shared" si="340"/>
        <v/>
      </c>
      <c r="GR396" s="658" t="str">
        <f t="shared" si="341"/>
        <v/>
      </c>
      <c r="GS396" s="658" t="str">
        <f t="shared" si="342"/>
        <v/>
      </c>
      <c r="GT396" s="658">
        <f t="shared" si="368"/>
        <v>0</v>
      </c>
      <c r="GU396" s="658">
        <f t="shared" si="369"/>
        <v>0</v>
      </c>
      <c r="GV396" s="658">
        <f t="shared" si="370"/>
        <v>0</v>
      </c>
      <c r="GW396" s="658" t="b">
        <f t="shared" si="371"/>
        <v>0</v>
      </c>
      <c r="GX396" s="658" t="b">
        <f t="shared" si="372"/>
        <v>0</v>
      </c>
      <c r="GY396" s="658" t="b">
        <f t="shared" si="373"/>
        <v>0</v>
      </c>
      <c r="GZ396" s="658" t="str">
        <f t="shared" si="173"/>
        <v/>
      </c>
      <c r="HB396" s="658" t="str">
        <f t="shared" si="374"/>
        <v/>
      </c>
      <c r="HC396" s="658" t="str">
        <f t="shared" si="343"/>
        <v/>
      </c>
      <c r="HD396" s="658" t="str">
        <f t="shared" si="344"/>
        <v/>
      </c>
      <c r="HE396" s="658" t="str">
        <f t="shared" si="345"/>
        <v/>
      </c>
      <c r="HF396" s="658" t="str">
        <f t="shared" si="346"/>
        <v/>
      </c>
      <c r="HG396" s="658" t="str">
        <f t="shared" si="347"/>
        <v/>
      </c>
      <c r="HH396" s="658" t="str">
        <f t="shared" si="348"/>
        <v/>
      </c>
      <c r="HI396" s="658" t="str">
        <f t="shared" si="349"/>
        <v/>
      </c>
      <c r="HJ396" s="658" t="str">
        <f t="shared" si="350"/>
        <v/>
      </c>
      <c r="HK396" s="658" t="str">
        <f t="shared" si="351"/>
        <v/>
      </c>
      <c r="HL396" s="658" t="str">
        <f t="shared" si="352"/>
        <v/>
      </c>
      <c r="HM396" s="658" t="str">
        <f t="shared" si="353"/>
        <v/>
      </c>
      <c r="HN396" s="658" t="str">
        <f t="shared" si="354"/>
        <v/>
      </c>
      <c r="HO396" s="658" t="str">
        <f t="shared" si="355"/>
        <v/>
      </c>
      <c r="HP396" s="658" t="str">
        <f t="shared" si="356"/>
        <v/>
      </c>
      <c r="HQ396" s="658" t="str">
        <f t="shared" si="357"/>
        <v/>
      </c>
      <c r="HR396" s="658" t="str">
        <f t="shared" si="375"/>
        <v/>
      </c>
      <c r="HT396" s="658">
        <f>LEFT(M396,1)*10000+MID(M396,3,LEN(M396)-3)*100+COUNTIF($M$319:M396,M396)</f>
        <v>41501</v>
      </c>
      <c r="HU396" s="658" t="str">
        <f t="shared" si="376"/>
        <v/>
      </c>
      <c r="HV396" s="658" t="str">
        <f t="shared" si="358"/>
        <v/>
      </c>
      <c r="HW396" s="658" t="str">
        <f t="shared" si="377"/>
        <v/>
      </c>
      <c r="HX396" s="658" t="str">
        <f t="shared" si="359"/>
        <v/>
      </c>
    </row>
    <row r="397" spans="1:232" s="19" customFormat="1" ht="120" customHeight="1" x14ac:dyDescent="0.15">
      <c r="A397" s="1201"/>
      <c r="B397" s="1201"/>
      <c r="C397" s="1201"/>
      <c r="D397" s="1201"/>
      <c r="E397" s="1202"/>
      <c r="F397" s="652"/>
      <c r="G397" s="652"/>
      <c r="H397" s="652"/>
      <c r="I397" s="1357"/>
      <c r="J397" s="1234"/>
      <c r="K397" s="1261"/>
      <c r="L397" s="1261"/>
      <c r="M397" s="2423" t="s">
        <v>1165</v>
      </c>
      <c r="N397" s="2423"/>
      <c r="O397" s="2424"/>
      <c r="P397" s="2433"/>
      <c r="Q397" s="2433"/>
      <c r="R397" s="2148" t="s">
        <v>203</v>
      </c>
      <c r="S397" s="2148"/>
      <c r="T397" s="2148"/>
      <c r="U397" s="2429" t="s">
        <v>95</v>
      </c>
      <c r="V397" s="2429"/>
      <c r="W397" s="2429"/>
      <c r="X397" s="2429"/>
      <c r="Y397" s="2429"/>
      <c r="Z397" s="2429"/>
      <c r="AA397" s="2429"/>
      <c r="AB397" s="2429"/>
      <c r="AC397" s="2429"/>
      <c r="AD397" s="2429"/>
      <c r="AE397" s="2429"/>
      <c r="AF397" s="2440"/>
      <c r="AG397" s="2441"/>
      <c r="AH397" s="2441"/>
      <c r="AI397" s="2441"/>
      <c r="AJ397" s="2441"/>
      <c r="AK397" s="2441"/>
      <c r="AL397" s="2441"/>
      <c r="AM397" s="2441"/>
      <c r="AN397" s="2441"/>
      <c r="AO397" s="2441"/>
      <c r="AP397" s="2441"/>
      <c r="AQ397" s="2442"/>
      <c r="AR397" s="2359"/>
      <c r="AS397" s="2359"/>
      <c r="AT397" s="2301"/>
      <c r="AU397" s="2301"/>
      <c r="AV397" s="2301"/>
      <c r="AW397" s="2301"/>
      <c r="AX397" s="2301"/>
      <c r="AY397" s="2301"/>
      <c r="AZ397" s="2301"/>
      <c r="BA397" s="2301"/>
      <c r="BB397" s="2301"/>
      <c r="BC397" s="2301"/>
      <c r="BD397" s="2301"/>
      <c r="BE397" s="2301"/>
      <c r="BF397" s="2301"/>
      <c r="BG397" s="2301"/>
      <c r="BH397" s="2301"/>
      <c r="BI397" s="2301"/>
      <c r="BJ397" s="2301"/>
      <c r="BK397" s="2301"/>
      <c r="BL397" s="2301"/>
      <c r="BM397" s="2301"/>
      <c r="BN397" s="2301"/>
      <c r="BO397" s="2301"/>
      <c r="BP397" s="2301"/>
      <c r="BQ397" s="2301"/>
      <c r="BR397" s="2301"/>
      <c r="BS397" s="2358"/>
      <c r="BT397" s="2358"/>
      <c r="BU397" s="2358"/>
      <c r="BV397" s="2358"/>
      <c r="BW397" s="2358"/>
      <c r="BX397" s="2358"/>
      <c r="BY397" s="2358"/>
      <c r="BZ397" s="2359"/>
      <c r="CA397" s="2359"/>
      <c r="CB397" s="2728" t="s">
        <v>1923</v>
      </c>
      <c r="CC397" s="2729"/>
      <c r="CD397" s="2729"/>
      <c r="CE397" s="2729"/>
      <c r="CF397" s="2729"/>
      <c r="CG397" s="2729"/>
      <c r="CH397" s="2729"/>
      <c r="CI397" s="2729"/>
      <c r="CJ397" s="2729"/>
      <c r="CK397" s="2729"/>
      <c r="CL397" s="2729"/>
      <c r="CM397" s="2729"/>
      <c r="CN397" s="2729"/>
      <c r="CO397" s="2729"/>
      <c r="CP397" s="2729"/>
      <c r="CQ397" s="2729"/>
      <c r="CR397" s="2729"/>
      <c r="CS397" s="2729"/>
      <c r="CT397" s="2729"/>
      <c r="CU397" s="2730"/>
      <c r="CV397" s="2300" t="str">
        <f t="shared" si="293"/>
        <v/>
      </c>
      <c r="CW397" s="2300"/>
      <c r="CX397" s="2300"/>
      <c r="CY397" s="2300"/>
      <c r="CZ397" s="2300"/>
      <c r="DA397" s="2300"/>
      <c r="DC397" s="329" t="str">
        <f t="shared" si="294"/>
        <v/>
      </c>
      <c r="DD397" s="197"/>
      <c r="DF397" s="14"/>
      <c r="DG397" s="14"/>
      <c r="DH397" s="14"/>
      <c r="DI397" s="1596"/>
      <c r="DJ397" s="1170" t="s">
        <v>2749</v>
      </c>
      <c r="DK397" s="1604" t="str">
        <f t="shared" si="295"/>
        <v/>
      </c>
      <c r="DL397" s="437" t="str">
        <f t="shared" si="296"/>
        <v/>
      </c>
      <c r="DM397" s="1128">
        <f t="shared" si="297"/>
        <v>0</v>
      </c>
      <c r="DN397" s="22">
        <f t="shared" si="298"/>
        <v>0</v>
      </c>
      <c r="DO397" s="22">
        <f t="shared" si="299"/>
        <v>0</v>
      </c>
      <c r="DP397" s="264">
        <f t="shared" si="300"/>
        <v>0</v>
      </c>
      <c r="DQ397" s="32" t="s">
        <v>743</v>
      </c>
      <c r="DR397" s="263" t="str">
        <f>IF($U397="",R397,U397)</f>
        <v>室内に面する部分の仕上げの維持保全の状況</v>
      </c>
      <c r="DS397" s="23">
        <f t="shared" si="301"/>
        <v>0</v>
      </c>
      <c r="DT397" s="29" t="str">
        <f t="shared" si="302"/>
        <v/>
      </c>
      <c r="DU397" s="242" t="str">
        <f t="shared" si="303"/>
        <v/>
      </c>
      <c r="DV397" s="57" t="str">
        <f>IF($DT397="要是正",MAX($DV$378:DV396)+1,"")</f>
        <v/>
      </c>
      <c r="DW397" s="30" t="str">
        <f t="shared" si="304"/>
        <v/>
      </c>
      <c r="DX397" s="30" t="str">
        <f t="shared" si="305"/>
        <v/>
      </c>
      <c r="DY397" s="13" t="str">
        <f t="shared" si="306"/>
        <v/>
      </c>
      <c r="DZ397" s="121" t="str">
        <f t="shared" si="307"/>
        <v/>
      </c>
      <c r="EA397" s="256" t="str">
        <f t="shared" si="308"/>
        <v/>
      </c>
      <c r="EB397" s="138" t="str">
        <f t="shared" si="309"/>
        <v/>
      </c>
      <c r="EC397" s="131" t="str">
        <f t="shared" si="310"/>
        <v>0</v>
      </c>
      <c r="ED397" s="54" t="str">
        <f t="shared" si="311"/>
        <v/>
      </c>
      <c r="EE397" s="131" t="str">
        <f t="shared" si="360"/>
        <v>0</v>
      </c>
      <c r="EF397" s="37" t="str">
        <f t="shared" si="312"/>
        <v/>
      </c>
      <c r="EG397" s="108" t="str">
        <f t="shared" si="313"/>
        <v/>
      </c>
      <c r="EH397" s="41" t="str">
        <f t="shared" si="314"/>
        <v>0</v>
      </c>
      <c r="EI397" s="54" t="str">
        <f t="shared" si="315"/>
        <v/>
      </c>
      <c r="EJ397" s="131" t="str">
        <f t="shared" si="361"/>
        <v>0</v>
      </c>
      <c r="EK397" s="241" t="str">
        <f t="shared" si="316"/>
        <v/>
      </c>
      <c r="EL397" s="242" t="e">
        <f t="shared" si="317"/>
        <v>#N/A</v>
      </c>
      <c r="EM397" s="57" t="e">
        <f t="shared" si="318"/>
        <v>#N/A</v>
      </c>
      <c r="EN397" s="243" t="e">
        <f t="shared" si="319"/>
        <v>#N/A</v>
      </c>
      <c r="FK397" s="326" t="str">
        <f t="shared" si="364"/>
        <v/>
      </c>
      <c r="FL397" s="326" t="str">
        <f t="shared" si="365"/>
        <v/>
      </c>
      <c r="FM397" s="326" t="str">
        <f t="shared" si="366"/>
        <v/>
      </c>
      <c r="FN397" s="326">
        <f t="shared" si="320"/>
        <v>0</v>
      </c>
      <c r="FO397" s="670" t="str">
        <f t="shared" si="367"/>
        <v/>
      </c>
      <c r="FQ397" s="138" t="str">
        <f t="shared" si="321"/>
        <v/>
      </c>
      <c r="FR397" s="131" t="str">
        <f t="shared" si="322"/>
        <v>0</v>
      </c>
      <c r="FS397" s="54" t="str">
        <f t="shared" si="323"/>
        <v/>
      </c>
      <c r="FT397" s="131" t="str">
        <f t="shared" si="362"/>
        <v>0</v>
      </c>
      <c r="FU397" s="217" t="str">
        <f t="shared" si="324"/>
        <v/>
      </c>
      <c r="FW397" s="667">
        <f t="shared" si="363"/>
        <v>0</v>
      </c>
      <c r="FX397" s="32"/>
      <c r="FY397" s="32"/>
      <c r="FZ397" s="668"/>
      <c r="GA397" s="14"/>
      <c r="GB397" s="658">
        <f t="shared" si="325"/>
        <v>0</v>
      </c>
      <c r="GC397" s="658">
        <f t="shared" si="326"/>
        <v>0</v>
      </c>
      <c r="GD397" s="658">
        <f t="shared" si="327"/>
        <v>0</v>
      </c>
      <c r="GE397" s="658" t="str">
        <f t="shared" si="328"/>
        <v/>
      </c>
      <c r="GF397" s="658" t="str">
        <f t="shared" si="329"/>
        <v/>
      </c>
      <c r="GG397" s="658" t="str">
        <f t="shared" si="330"/>
        <v/>
      </c>
      <c r="GH397" s="658" t="str">
        <f t="shared" si="331"/>
        <v/>
      </c>
      <c r="GI397" s="658" t="str">
        <f t="shared" si="332"/>
        <v/>
      </c>
      <c r="GJ397" s="658" t="str">
        <f t="shared" si="333"/>
        <v/>
      </c>
      <c r="GK397" s="658" t="str">
        <f t="shared" si="334"/>
        <v/>
      </c>
      <c r="GL397" s="658" t="str">
        <f t="shared" si="335"/>
        <v/>
      </c>
      <c r="GM397" s="658" t="str">
        <f t="shared" si="336"/>
        <v/>
      </c>
      <c r="GN397" s="658" t="str">
        <f t="shared" si="337"/>
        <v/>
      </c>
      <c r="GO397" s="658" t="str">
        <f t="shared" si="338"/>
        <v/>
      </c>
      <c r="GP397" s="658" t="str">
        <f t="shared" si="339"/>
        <v/>
      </c>
      <c r="GQ397" s="658" t="str">
        <f t="shared" si="340"/>
        <v/>
      </c>
      <c r="GR397" s="658" t="str">
        <f t="shared" si="341"/>
        <v/>
      </c>
      <c r="GS397" s="658" t="str">
        <f t="shared" si="342"/>
        <v/>
      </c>
      <c r="GT397" s="658">
        <f t="shared" si="368"/>
        <v>0</v>
      </c>
      <c r="GU397" s="658">
        <f t="shared" si="369"/>
        <v>0</v>
      </c>
      <c r="GV397" s="658">
        <f t="shared" si="370"/>
        <v>0</v>
      </c>
      <c r="GW397" s="658" t="b">
        <f t="shared" si="371"/>
        <v>0</v>
      </c>
      <c r="GX397" s="658" t="b">
        <f t="shared" si="372"/>
        <v>0</v>
      </c>
      <c r="GY397" s="658" t="b">
        <f t="shared" si="373"/>
        <v>0</v>
      </c>
      <c r="GZ397" s="658" t="str">
        <f t="shared" si="173"/>
        <v/>
      </c>
      <c r="HB397" s="658" t="str">
        <f t="shared" si="374"/>
        <v/>
      </c>
      <c r="HC397" s="658" t="str">
        <f t="shared" si="343"/>
        <v/>
      </c>
      <c r="HD397" s="658" t="str">
        <f t="shared" si="344"/>
        <v/>
      </c>
      <c r="HE397" s="658" t="str">
        <f t="shared" si="345"/>
        <v/>
      </c>
      <c r="HF397" s="658" t="str">
        <f t="shared" si="346"/>
        <v/>
      </c>
      <c r="HG397" s="658" t="str">
        <f t="shared" si="347"/>
        <v/>
      </c>
      <c r="HH397" s="658" t="str">
        <f t="shared" si="348"/>
        <v/>
      </c>
      <c r="HI397" s="658" t="str">
        <f t="shared" si="349"/>
        <v/>
      </c>
      <c r="HJ397" s="658" t="str">
        <f t="shared" si="350"/>
        <v/>
      </c>
      <c r="HK397" s="658" t="str">
        <f t="shared" si="351"/>
        <v/>
      </c>
      <c r="HL397" s="658" t="str">
        <f t="shared" si="352"/>
        <v/>
      </c>
      <c r="HM397" s="658" t="str">
        <f t="shared" si="353"/>
        <v/>
      </c>
      <c r="HN397" s="658" t="str">
        <f t="shared" si="354"/>
        <v/>
      </c>
      <c r="HO397" s="658" t="str">
        <f t="shared" si="355"/>
        <v/>
      </c>
      <c r="HP397" s="658" t="str">
        <f t="shared" si="356"/>
        <v/>
      </c>
      <c r="HQ397" s="658" t="str">
        <f t="shared" si="357"/>
        <v/>
      </c>
      <c r="HR397" s="658" t="str">
        <f t="shared" si="375"/>
        <v/>
      </c>
      <c r="HT397" s="658">
        <f>LEFT(M397,1)*10000+MID(M397,3,LEN(M397)-3)*100+COUNTIF($M$319:M397,M397)</f>
        <v>41601</v>
      </c>
      <c r="HU397" s="658" t="str">
        <f t="shared" si="376"/>
        <v/>
      </c>
      <c r="HV397" s="658" t="str">
        <f t="shared" si="358"/>
        <v/>
      </c>
      <c r="HW397" s="658" t="str">
        <f t="shared" si="377"/>
        <v/>
      </c>
      <c r="HX397" s="658" t="str">
        <f t="shared" si="359"/>
        <v/>
      </c>
    </row>
    <row r="398" spans="1:232" s="19" customFormat="1" ht="50.1" customHeight="1" x14ac:dyDescent="0.15">
      <c r="A398" s="1201"/>
      <c r="B398" s="1201"/>
      <c r="C398" s="1201"/>
      <c r="D398" s="1201"/>
      <c r="E398" s="1202"/>
      <c r="F398" s="652"/>
      <c r="G398" s="652"/>
      <c r="H398" s="652"/>
      <c r="I398" s="1357"/>
      <c r="J398" s="1234"/>
      <c r="K398" s="1261"/>
      <c r="L398" s="1261"/>
      <c r="M398" s="2423" t="s">
        <v>1166</v>
      </c>
      <c r="N398" s="2423"/>
      <c r="O398" s="2424"/>
      <c r="P398" s="2433" t="s">
        <v>19</v>
      </c>
      <c r="Q398" s="2433"/>
      <c r="R398" s="2429" t="s">
        <v>55</v>
      </c>
      <c r="S398" s="2429"/>
      <c r="T398" s="2429"/>
      <c r="U398" s="2438" t="s">
        <v>96</v>
      </c>
      <c r="V398" s="2438"/>
      <c r="W398" s="2438"/>
      <c r="X398" s="2438"/>
      <c r="Y398" s="2438"/>
      <c r="Z398" s="2438"/>
      <c r="AA398" s="2438"/>
      <c r="AB398" s="2438"/>
      <c r="AC398" s="2438"/>
      <c r="AD398" s="2438"/>
      <c r="AE398" s="2438"/>
      <c r="AF398" s="2465"/>
      <c r="AG398" s="2466"/>
      <c r="AH398" s="2466"/>
      <c r="AI398" s="2466"/>
      <c r="AJ398" s="2466"/>
      <c r="AK398" s="2466"/>
      <c r="AL398" s="2466"/>
      <c r="AM398" s="2466"/>
      <c r="AN398" s="2466"/>
      <c r="AO398" s="2466"/>
      <c r="AP398" s="2466"/>
      <c r="AQ398" s="2467"/>
      <c r="AR398" s="2272"/>
      <c r="AS398" s="2272"/>
      <c r="AT398" s="2406"/>
      <c r="AU398" s="2406"/>
      <c r="AV398" s="2406"/>
      <c r="AW398" s="2406"/>
      <c r="AX398" s="2406"/>
      <c r="AY398" s="2406"/>
      <c r="AZ398" s="2406"/>
      <c r="BA398" s="2406"/>
      <c r="BB398" s="2406"/>
      <c r="BC398" s="2406"/>
      <c r="BD398" s="2406"/>
      <c r="BE398" s="2406"/>
      <c r="BF398" s="2406"/>
      <c r="BG398" s="2406"/>
      <c r="BH398" s="2406"/>
      <c r="BI398" s="2406"/>
      <c r="BJ398" s="2406"/>
      <c r="BK398" s="2406"/>
      <c r="BL398" s="2406"/>
      <c r="BM398" s="2406"/>
      <c r="BN398" s="2406"/>
      <c r="BO398" s="2406"/>
      <c r="BP398" s="2406"/>
      <c r="BQ398" s="2406"/>
      <c r="BR398" s="2406"/>
      <c r="BS398" s="2271"/>
      <c r="BT398" s="2271"/>
      <c r="BU398" s="2271"/>
      <c r="BV398" s="2271"/>
      <c r="BW398" s="2271"/>
      <c r="BX398" s="2271"/>
      <c r="BY398" s="2271"/>
      <c r="BZ398" s="2272"/>
      <c r="CA398" s="2272"/>
      <c r="CB398" s="2377"/>
      <c r="CC398" s="2378"/>
      <c r="CD398" s="2378"/>
      <c r="CE398" s="2378"/>
      <c r="CF398" s="2378"/>
      <c r="CG398" s="2378"/>
      <c r="CH398" s="2378"/>
      <c r="CI398" s="2378"/>
      <c r="CJ398" s="2378"/>
      <c r="CK398" s="2378"/>
      <c r="CL398" s="2378"/>
      <c r="CM398" s="2378"/>
      <c r="CN398" s="2378"/>
      <c r="CO398" s="2378"/>
      <c r="CP398" s="2378"/>
      <c r="CQ398" s="2378"/>
      <c r="CR398" s="2378"/>
      <c r="CS398" s="2378"/>
      <c r="CT398" s="2378"/>
      <c r="CU398" s="2379"/>
      <c r="CV398" s="2300" t="str">
        <f t="shared" si="293"/>
        <v/>
      </c>
      <c r="CW398" s="2300"/>
      <c r="CX398" s="2300"/>
      <c r="CY398" s="2300"/>
      <c r="CZ398" s="2300"/>
      <c r="DA398" s="2300"/>
      <c r="DC398" s="329" t="str">
        <f t="shared" si="294"/>
        <v/>
      </c>
      <c r="DD398" s="197"/>
      <c r="DF398" s="14"/>
      <c r="DG398" s="14"/>
      <c r="DH398" s="14"/>
      <c r="DI398" s="1596"/>
      <c r="DJ398" s="1170" t="s">
        <v>2749</v>
      </c>
      <c r="DK398" s="1604" t="str">
        <f t="shared" si="295"/>
        <v/>
      </c>
      <c r="DL398" s="437" t="str">
        <f t="shared" si="296"/>
        <v/>
      </c>
      <c r="DM398" s="1128">
        <f t="shared" si="297"/>
        <v>0</v>
      </c>
      <c r="DN398" s="22">
        <f t="shared" si="298"/>
        <v>0</v>
      </c>
      <c r="DO398" s="22">
        <f t="shared" si="299"/>
        <v>0</v>
      </c>
      <c r="DP398" s="264">
        <f t="shared" si="300"/>
        <v>0</v>
      </c>
      <c r="DQ398" s="32" t="s">
        <v>744</v>
      </c>
      <c r="DR398" s="263" t="str">
        <f>IF($U398="",R398,U398)</f>
        <v>木造の床躯体の劣化及び損傷の状況</v>
      </c>
      <c r="DS398" s="23">
        <f t="shared" si="301"/>
        <v>0</v>
      </c>
      <c r="DT398" s="29" t="str">
        <f t="shared" si="302"/>
        <v/>
      </c>
      <c r="DU398" s="242" t="str">
        <f t="shared" si="303"/>
        <v/>
      </c>
      <c r="DV398" s="57" t="str">
        <f>IF($DT398="要是正",MAX($DV$378:DV397)+1,"")</f>
        <v/>
      </c>
      <c r="DW398" s="30" t="str">
        <f t="shared" si="304"/>
        <v/>
      </c>
      <c r="DX398" s="30" t="str">
        <f t="shared" si="305"/>
        <v/>
      </c>
      <c r="DY398" s="13" t="str">
        <f t="shared" si="306"/>
        <v/>
      </c>
      <c r="DZ398" s="121" t="str">
        <f t="shared" si="307"/>
        <v/>
      </c>
      <c r="EA398" s="256" t="str">
        <f t="shared" si="308"/>
        <v/>
      </c>
      <c r="EB398" s="138" t="str">
        <f t="shared" si="309"/>
        <v/>
      </c>
      <c r="EC398" s="131" t="str">
        <f t="shared" si="310"/>
        <v>0</v>
      </c>
      <c r="ED398" s="54" t="str">
        <f t="shared" si="311"/>
        <v/>
      </c>
      <c r="EE398" s="131" t="str">
        <f t="shared" si="360"/>
        <v>0</v>
      </c>
      <c r="EF398" s="37" t="str">
        <f t="shared" si="312"/>
        <v/>
      </c>
      <c r="EG398" s="108" t="str">
        <f t="shared" si="313"/>
        <v/>
      </c>
      <c r="EH398" s="41" t="str">
        <f t="shared" si="314"/>
        <v>0</v>
      </c>
      <c r="EI398" s="54" t="str">
        <f t="shared" si="315"/>
        <v/>
      </c>
      <c r="EJ398" s="131" t="str">
        <f t="shared" si="361"/>
        <v>0</v>
      </c>
      <c r="EK398" s="241" t="str">
        <f t="shared" si="316"/>
        <v/>
      </c>
      <c r="EL398" s="242" t="e">
        <f t="shared" si="317"/>
        <v>#N/A</v>
      </c>
      <c r="EM398" s="57" t="e">
        <f t="shared" si="318"/>
        <v>#N/A</v>
      </c>
      <c r="EN398" s="243" t="e">
        <f t="shared" si="319"/>
        <v>#N/A</v>
      </c>
      <c r="FK398" s="326" t="str">
        <f t="shared" si="364"/>
        <v/>
      </c>
      <c r="FL398" s="326" t="str">
        <f t="shared" si="365"/>
        <v/>
      </c>
      <c r="FM398" s="326" t="str">
        <f t="shared" si="366"/>
        <v/>
      </c>
      <c r="FN398" s="326">
        <f t="shared" si="320"/>
        <v>0</v>
      </c>
      <c r="FO398" s="670" t="str">
        <f t="shared" si="367"/>
        <v/>
      </c>
      <c r="FQ398" s="138" t="str">
        <f t="shared" si="321"/>
        <v/>
      </c>
      <c r="FR398" s="131" t="str">
        <f t="shared" si="322"/>
        <v>0</v>
      </c>
      <c r="FS398" s="54" t="str">
        <f t="shared" si="323"/>
        <v/>
      </c>
      <c r="FT398" s="131" t="str">
        <f t="shared" si="362"/>
        <v>0</v>
      </c>
      <c r="FU398" s="217" t="str">
        <f t="shared" si="324"/>
        <v/>
      </c>
      <c r="FW398" s="667">
        <f t="shared" si="363"/>
        <v>0</v>
      </c>
      <c r="FX398" s="32"/>
      <c r="FY398" s="32"/>
      <c r="FZ398" s="668"/>
      <c r="GA398" s="14"/>
      <c r="GB398" s="658">
        <f t="shared" si="325"/>
        <v>0</v>
      </c>
      <c r="GC398" s="658">
        <f t="shared" si="326"/>
        <v>0</v>
      </c>
      <c r="GD398" s="658">
        <f t="shared" si="327"/>
        <v>0</v>
      </c>
      <c r="GE398" s="658" t="str">
        <f t="shared" si="328"/>
        <v/>
      </c>
      <c r="GF398" s="658" t="str">
        <f t="shared" si="329"/>
        <v/>
      </c>
      <c r="GG398" s="658" t="str">
        <f t="shared" si="330"/>
        <v/>
      </c>
      <c r="GH398" s="658" t="str">
        <f t="shared" si="331"/>
        <v/>
      </c>
      <c r="GI398" s="658" t="str">
        <f t="shared" si="332"/>
        <v/>
      </c>
      <c r="GJ398" s="658" t="str">
        <f t="shared" si="333"/>
        <v/>
      </c>
      <c r="GK398" s="658" t="str">
        <f t="shared" si="334"/>
        <v/>
      </c>
      <c r="GL398" s="658" t="str">
        <f t="shared" si="335"/>
        <v/>
      </c>
      <c r="GM398" s="658" t="str">
        <f t="shared" si="336"/>
        <v/>
      </c>
      <c r="GN398" s="658" t="str">
        <f t="shared" si="337"/>
        <v/>
      </c>
      <c r="GO398" s="658" t="str">
        <f t="shared" si="338"/>
        <v/>
      </c>
      <c r="GP398" s="658" t="str">
        <f t="shared" si="339"/>
        <v/>
      </c>
      <c r="GQ398" s="658" t="str">
        <f t="shared" si="340"/>
        <v/>
      </c>
      <c r="GR398" s="658" t="str">
        <f t="shared" si="341"/>
        <v/>
      </c>
      <c r="GS398" s="658" t="str">
        <f t="shared" si="342"/>
        <v/>
      </c>
      <c r="GT398" s="658">
        <f t="shared" si="368"/>
        <v>0</v>
      </c>
      <c r="GU398" s="658">
        <f t="shared" si="369"/>
        <v>0</v>
      </c>
      <c r="GV398" s="658">
        <f t="shared" si="370"/>
        <v>0</v>
      </c>
      <c r="GW398" s="658" t="b">
        <f t="shared" si="371"/>
        <v>0</v>
      </c>
      <c r="GX398" s="658" t="b">
        <f t="shared" si="372"/>
        <v>0</v>
      </c>
      <c r="GY398" s="658" t="b">
        <f t="shared" si="373"/>
        <v>0</v>
      </c>
      <c r="GZ398" s="658" t="str">
        <f t="shared" si="173"/>
        <v/>
      </c>
      <c r="HB398" s="658" t="str">
        <f t="shared" si="374"/>
        <v/>
      </c>
      <c r="HC398" s="658" t="str">
        <f t="shared" si="343"/>
        <v/>
      </c>
      <c r="HD398" s="658" t="str">
        <f t="shared" si="344"/>
        <v/>
      </c>
      <c r="HE398" s="658" t="str">
        <f t="shared" si="345"/>
        <v/>
      </c>
      <c r="HF398" s="658" t="str">
        <f t="shared" si="346"/>
        <v/>
      </c>
      <c r="HG398" s="658" t="str">
        <f t="shared" si="347"/>
        <v/>
      </c>
      <c r="HH398" s="658" t="str">
        <f t="shared" si="348"/>
        <v/>
      </c>
      <c r="HI398" s="658" t="str">
        <f t="shared" si="349"/>
        <v/>
      </c>
      <c r="HJ398" s="658" t="str">
        <f t="shared" si="350"/>
        <v/>
      </c>
      <c r="HK398" s="658" t="str">
        <f t="shared" si="351"/>
        <v/>
      </c>
      <c r="HL398" s="658" t="str">
        <f t="shared" si="352"/>
        <v/>
      </c>
      <c r="HM398" s="658" t="str">
        <f t="shared" si="353"/>
        <v/>
      </c>
      <c r="HN398" s="658" t="str">
        <f t="shared" si="354"/>
        <v/>
      </c>
      <c r="HO398" s="658" t="str">
        <f t="shared" si="355"/>
        <v/>
      </c>
      <c r="HP398" s="658" t="str">
        <f t="shared" si="356"/>
        <v/>
      </c>
      <c r="HQ398" s="658" t="str">
        <f t="shared" si="357"/>
        <v/>
      </c>
      <c r="HR398" s="658" t="str">
        <f t="shared" si="375"/>
        <v/>
      </c>
      <c r="HT398" s="658">
        <f>LEFT(M398,1)*10000+MID(M398,3,LEN(M398)-3)*100+COUNTIF($M$319:M398,M398)</f>
        <v>41701</v>
      </c>
      <c r="HU398" s="658" t="str">
        <f t="shared" si="376"/>
        <v/>
      </c>
      <c r="HV398" s="658" t="str">
        <f t="shared" si="358"/>
        <v/>
      </c>
      <c r="HW398" s="658" t="str">
        <f t="shared" si="377"/>
        <v/>
      </c>
      <c r="HX398" s="658" t="str">
        <f t="shared" si="359"/>
        <v/>
      </c>
    </row>
    <row r="399" spans="1:232" s="19" customFormat="1" ht="50.1" customHeight="1" x14ac:dyDescent="0.15">
      <c r="A399" s="1201"/>
      <c r="B399" s="1201"/>
      <c r="C399" s="1201"/>
      <c r="D399" s="1201"/>
      <c r="E399" s="1202"/>
      <c r="F399" s="652"/>
      <c r="G399" s="652"/>
      <c r="H399" s="652"/>
      <c r="I399" s="1357"/>
      <c r="J399" s="1234"/>
      <c r="K399" s="1261"/>
      <c r="L399" s="1261"/>
      <c r="M399" s="2423" t="s">
        <v>1167</v>
      </c>
      <c r="N399" s="2423"/>
      <c r="O399" s="2424"/>
      <c r="P399" s="2433"/>
      <c r="Q399" s="2433"/>
      <c r="R399" s="2429"/>
      <c r="S399" s="2429"/>
      <c r="T399" s="2429"/>
      <c r="U399" s="2435" t="s">
        <v>97</v>
      </c>
      <c r="V399" s="2435"/>
      <c r="W399" s="2435"/>
      <c r="X399" s="2435"/>
      <c r="Y399" s="2435"/>
      <c r="Z399" s="2435"/>
      <c r="AA399" s="2435"/>
      <c r="AB399" s="2435"/>
      <c r="AC399" s="2435"/>
      <c r="AD399" s="2435"/>
      <c r="AE399" s="2435"/>
      <c r="AF399" s="2426"/>
      <c r="AG399" s="2427"/>
      <c r="AH399" s="2427"/>
      <c r="AI399" s="2427"/>
      <c r="AJ399" s="2427"/>
      <c r="AK399" s="2427"/>
      <c r="AL399" s="2427"/>
      <c r="AM399" s="2427"/>
      <c r="AN399" s="2427"/>
      <c r="AO399" s="2427"/>
      <c r="AP399" s="2427"/>
      <c r="AQ399" s="2428"/>
      <c r="AR399" s="2151"/>
      <c r="AS399" s="2151"/>
      <c r="AT399" s="2292"/>
      <c r="AU399" s="2292"/>
      <c r="AV399" s="2292"/>
      <c r="AW399" s="2292"/>
      <c r="AX399" s="2292"/>
      <c r="AY399" s="2292"/>
      <c r="AZ399" s="2292"/>
      <c r="BA399" s="2292"/>
      <c r="BB399" s="2292"/>
      <c r="BC399" s="2292"/>
      <c r="BD399" s="2292"/>
      <c r="BE399" s="2292"/>
      <c r="BF399" s="2292"/>
      <c r="BG399" s="2292"/>
      <c r="BH399" s="2292"/>
      <c r="BI399" s="2292"/>
      <c r="BJ399" s="2292"/>
      <c r="BK399" s="2292"/>
      <c r="BL399" s="2292"/>
      <c r="BM399" s="2292"/>
      <c r="BN399" s="2292"/>
      <c r="BO399" s="2292"/>
      <c r="BP399" s="2292"/>
      <c r="BQ399" s="2292"/>
      <c r="BR399" s="2292"/>
      <c r="BS399" s="2269"/>
      <c r="BT399" s="2269"/>
      <c r="BU399" s="2269"/>
      <c r="BV399" s="2269"/>
      <c r="BW399" s="2269"/>
      <c r="BX399" s="2269"/>
      <c r="BY399" s="2269"/>
      <c r="BZ399" s="2151"/>
      <c r="CA399" s="2151"/>
      <c r="CB399" s="2722"/>
      <c r="CC399" s="2723"/>
      <c r="CD399" s="2723"/>
      <c r="CE399" s="2723"/>
      <c r="CF399" s="2723"/>
      <c r="CG399" s="2723"/>
      <c r="CH399" s="2723"/>
      <c r="CI399" s="2723"/>
      <c r="CJ399" s="2723"/>
      <c r="CK399" s="2723"/>
      <c r="CL399" s="2723"/>
      <c r="CM399" s="2723"/>
      <c r="CN399" s="2723"/>
      <c r="CO399" s="2723"/>
      <c r="CP399" s="2723"/>
      <c r="CQ399" s="2723"/>
      <c r="CR399" s="2723"/>
      <c r="CS399" s="2723"/>
      <c r="CT399" s="2723"/>
      <c r="CU399" s="2724"/>
      <c r="CV399" s="2300" t="str">
        <f t="shared" si="293"/>
        <v/>
      </c>
      <c r="CW399" s="2300"/>
      <c r="CX399" s="2300"/>
      <c r="CY399" s="2300"/>
      <c r="CZ399" s="2300"/>
      <c r="DA399" s="2300"/>
      <c r="DC399" s="329" t="str">
        <f t="shared" si="294"/>
        <v/>
      </c>
      <c r="DD399" s="197"/>
      <c r="DF399" s="14"/>
      <c r="DG399" s="14"/>
      <c r="DH399" s="14"/>
      <c r="DI399" s="1596"/>
      <c r="DJ399" s="1170" t="s">
        <v>2749</v>
      </c>
      <c r="DK399" s="1604" t="str">
        <f t="shared" si="295"/>
        <v/>
      </c>
      <c r="DL399" s="437" t="str">
        <f t="shared" si="296"/>
        <v/>
      </c>
      <c r="DM399" s="1128">
        <f t="shared" si="297"/>
        <v>0</v>
      </c>
      <c r="DN399" s="22">
        <f t="shared" si="298"/>
        <v>0</v>
      </c>
      <c r="DO399" s="22">
        <f t="shared" si="299"/>
        <v>0</v>
      </c>
      <c r="DP399" s="264">
        <f t="shared" si="300"/>
        <v>0</v>
      </c>
      <c r="DQ399" s="32" t="s">
        <v>745</v>
      </c>
      <c r="DR399" s="263" t="str">
        <f>IF($U399="",R398,U399)</f>
        <v>鉄骨造の床躯体の劣化及び損傷の状況</v>
      </c>
      <c r="DS399" s="23">
        <f t="shared" si="301"/>
        <v>0</v>
      </c>
      <c r="DT399" s="29" t="str">
        <f t="shared" si="302"/>
        <v/>
      </c>
      <c r="DU399" s="242" t="str">
        <f t="shared" si="303"/>
        <v/>
      </c>
      <c r="DV399" s="57" t="str">
        <f>IF($DT399="要是正",MAX($DV$378:DV398)+1,"")</f>
        <v/>
      </c>
      <c r="DW399" s="30" t="str">
        <f t="shared" si="304"/>
        <v/>
      </c>
      <c r="DX399" s="30" t="str">
        <f t="shared" si="305"/>
        <v/>
      </c>
      <c r="DY399" s="13" t="str">
        <f t="shared" si="306"/>
        <v/>
      </c>
      <c r="DZ399" s="121" t="str">
        <f t="shared" si="307"/>
        <v/>
      </c>
      <c r="EA399" s="256" t="str">
        <f t="shared" si="308"/>
        <v/>
      </c>
      <c r="EB399" s="138" t="str">
        <f t="shared" si="309"/>
        <v/>
      </c>
      <c r="EC399" s="131" t="str">
        <f t="shared" si="310"/>
        <v>0</v>
      </c>
      <c r="ED399" s="54" t="str">
        <f t="shared" si="311"/>
        <v/>
      </c>
      <c r="EE399" s="131" t="str">
        <f t="shared" si="360"/>
        <v>0</v>
      </c>
      <c r="EF399" s="37" t="str">
        <f t="shared" si="312"/>
        <v/>
      </c>
      <c r="EG399" s="108" t="str">
        <f t="shared" si="313"/>
        <v/>
      </c>
      <c r="EH399" s="41" t="str">
        <f t="shared" si="314"/>
        <v>0</v>
      </c>
      <c r="EI399" s="54" t="str">
        <f t="shared" si="315"/>
        <v/>
      </c>
      <c r="EJ399" s="131" t="str">
        <f t="shared" si="361"/>
        <v>0</v>
      </c>
      <c r="EK399" s="241" t="str">
        <f t="shared" si="316"/>
        <v/>
      </c>
      <c r="EL399" s="242" t="e">
        <f t="shared" si="317"/>
        <v>#N/A</v>
      </c>
      <c r="EM399" s="57" t="e">
        <f t="shared" si="318"/>
        <v>#N/A</v>
      </c>
      <c r="EN399" s="243" t="e">
        <f t="shared" si="319"/>
        <v>#N/A</v>
      </c>
      <c r="FK399" s="326" t="str">
        <f t="shared" si="364"/>
        <v/>
      </c>
      <c r="FL399" s="326" t="str">
        <f t="shared" si="365"/>
        <v/>
      </c>
      <c r="FM399" s="326" t="str">
        <f t="shared" si="366"/>
        <v/>
      </c>
      <c r="FN399" s="326">
        <f t="shared" si="320"/>
        <v>0</v>
      </c>
      <c r="FO399" s="670" t="str">
        <f t="shared" si="367"/>
        <v/>
      </c>
      <c r="FQ399" s="138" t="str">
        <f t="shared" si="321"/>
        <v/>
      </c>
      <c r="FR399" s="131" t="str">
        <f t="shared" si="322"/>
        <v>0</v>
      </c>
      <c r="FS399" s="54" t="str">
        <f t="shared" si="323"/>
        <v/>
      </c>
      <c r="FT399" s="131" t="str">
        <f t="shared" si="362"/>
        <v>0</v>
      </c>
      <c r="FU399" s="217" t="str">
        <f t="shared" si="324"/>
        <v/>
      </c>
      <c r="FW399" s="667">
        <f t="shared" si="363"/>
        <v>0</v>
      </c>
      <c r="FX399" s="32"/>
      <c r="FY399" s="32"/>
      <c r="FZ399" s="668"/>
      <c r="GA399" s="14"/>
      <c r="GB399" s="658">
        <f t="shared" si="325"/>
        <v>0</v>
      </c>
      <c r="GC399" s="658">
        <f t="shared" si="326"/>
        <v>0</v>
      </c>
      <c r="GD399" s="658">
        <f t="shared" si="327"/>
        <v>0</v>
      </c>
      <c r="GE399" s="658" t="str">
        <f t="shared" si="328"/>
        <v/>
      </c>
      <c r="GF399" s="658" t="str">
        <f t="shared" si="329"/>
        <v/>
      </c>
      <c r="GG399" s="658" t="str">
        <f t="shared" si="330"/>
        <v/>
      </c>
      <c r="GH399" s="658" t="str">
        <f t="shared" si="331"/>
        <v/>
      </c>
      <c r="GI399" s="658" t="str">
        <f t="shared" si="332"/>
        <v/>
      </c>
      <c r="GJ399" s="658" t="str">
        <f t="shared" si="333"/>
        <v/>
      </c>
      <c r="GK399" s="658" t="str">
        <f t="shared" si="334"/>
        <v/>
      </c>
      <c r="GL399" s="658" t="str">
        <f t="shared" si="335"/>
        <v/>
      </c>
      <c r="GM399" s="658" t="str">
        <f t="shared" si="336"/>
        <v/>
      </c>
      <c r="GN399" s="658" t="str">
        <f t="shared" si="337"/>
        <v/>
      </c>
      <c r="GO399" s="658" t="str">
        <f t="shared" si="338"/>
        <v/>
      </c>
      <c r="GP399" s="658" t="str">
        <f t="shared" si="339"/>
        <v/>
      </c>
      <c r="GQ399" s="658" t="str">
        <f t="shared" si="340"/>
        <v/>
      </c>
      <c r="GR399" s="658" t="str">
        <f t="shared" si="341"/>
        <v/>
      </c>
      <c r="GS399" s="658" t="str">
        <f t="shared" si="342"/>
        <v/>
      </c>
      <c r="GT399" s="658">
        <f t="shared" si="368"/>
        <v>0</v>
      </c>
      <c r="GU399" s="658">
        <f t="shared" si="369"/>
        <v>0</v>
      </c>
      <c r="GV399" s="658">
        <f t="shared" si="370"/>
        <v>0</v>
      </c>
      <c r="GW399" s="658" t="b">
        <f t="shared" si="371"/>
        <v>0</v>
      </c>
      <c r="GX399" s="658" t="b">
        <f t="shared" si="372"/>
        <v>0</v>
      </c>
      <c r="GY399" s="658" t="b">
        <f t="shared" si="373"/>
        <v>0</v>
      </c>
      <c r="GZ399" s="658" t="str">
        <f t="shared" si="173"/>
        <v/>
      </c>
      <c r="HB399" s="658" t="str">
        <f t="shared" si="374"/>
        <v/>
      </c>
      <c r="HC399" s="658" t="str">
        <f t="shared" si="343"/>
        <v/>
      </c>
      <c r="HD399" s="658" t="str">
        <f t="shared" si="344"/>
        <v/>
      </c>
      <c r="HE399" s="658" t="str">
        <f t="shared" si="345"/>
        <v/>
      </c>
      <c r="HF399" s="658" t="str">
        <f t="shared" si="346"/>
        <v/>
      </c>
      <c r="HG399" s="658" t="str">
        <f t="shared" si="347"/>
        <v/>
      </c>
      <c r="HH399" s="658" t="str">
        <f t="shared" si="348"/>
        <v/>
      </c>
      <c r="HI399" s="658" t="str">
        <f t="shared" si="349"/>
        <v/>
      </c>
      <c r="HJ399" s="658" t="str">
        <f t="shared" si="350"/>
        <v/>
      </c>
      <c r="HK399" s="658" t="str">
        <f t="shared" si="351"/>
        <v/>
      </c>
      <c r="HL399" s="658" t="str">
        <f t="shared" si="352"/>
        <v/>
      </c>
      <c r="HM399" s="658" t="str">
        <f t="shared" si="353"/>
        <v/>
      </c>
      <c r="HN399" s="658" t="str">
        <f t="shared" si="354"/>
        <v/>
      </c>
      <c r="HO399" s="658" t="str">
        <f t="shared" si="355"/>
        <v/>
      </c>
      <c r="HP399" s="658" t="str">
        <f t="shared" si="356"/>
        <v/>
      </c>
      <c r="HQ399" s="658" t="str">
        <f t="shared" si="357"/>
        <v/>
      </c>
      <c r="HR399" s="658" t="str">
        <f t="shared" si="375"/>
        <v/>
      </c>
      <c r="HT399" s="658">
        <f>LEFT(M399,1)*10000+MID(M399,3,LEN(M399)-3)*100+COUNTIF($M$319:M399,M399)</f>
        <v>41801</v>
      </c>
      <c r="HU399" s="658" t="str">
        <f t="shared" si="376"/>
        <v/>
      </c>
      <c r="HV399" s="658" t="str">
        <f t="shared" si="358"/>
        <v/>
      </c>
      <c r="HW399" s="658" t="str">
        <f t="shared" si="377"/>
        <v/>
      </c>
      <c r="HX399" s="658" t="str">
        <f t="shared" si="359"/>
        <v/>
      </c>
    </row>
    <row r="400" spans="1:232" s="19" customFormat="1" ht="50.1" customHeight="1" x14ac:dyDescent="0.15">
      <c r="A400" s="1201"/>
      <c r="B400" s="1201"/>
      <c r="C400" s="1201"/>
      <c r="D400" s="1201"/>
      <c r="E400" s="1202"/>
      <c r="F400" s="652"/>
      <c r="G400" s="652"/>
      <c r="H400" s="652"/>
      <c r="I400" s="1357"/>
      <c r="J400" s="1234"/>
      <c r="K400" s="1261"/>
      <c r="L400" s="1261"/>
      <c r="M400" s="2423" t="s">
        <v>1168</v>
      </c>
      <c r="N400" s="2423"/>
      <c r="O400" s="2424"/>
      <c r="P400" s="2433"/>
      <c r="Q400" s="2433"/>
      <c r="R400" s="2429"/>
      <c r="S400" s="2429"/>
      <c r="T400" s="2429"/>
      <c r="U400" s="2431" t="s">
        <v>98</v>
      </c>
      <c r="V400" s="2431"/>
      <c r="W400" s="2431"/>
      <c r="X400" s="2431"/>
      <c r="Y400" s="2431"/>
      <c r="Z400" s="2431"/>
      <c r="AA400" s="2431"/>
      <c r="AB400" s="2431"/>
      <c r="AC400" s="2431"/>
      <c r="AD400" s="2431"/>
      <c r="AE400" s="2431"/>
      <c r="AF400" s="2468"/>
      <c r="AG400" s="2469"/>
      <c r="AH400" s="2469"/>
      <c r="AI400" s="2469"/>
      <c r="AJ400" s="2469"/>
      <c r="AK400" s="2469"/>
      <c r="AL400" s="2469"/>
      <c r="AM400" s="2469"/>
      <c r="AN400" s="2469"/>
      <c r="AO400" s="2469"/>
      <c r="AP400" s="2469"/>
      <c r="AQ400" s="2470"/>
      <c r="AR400" s="2297"/>
      <c r="AS400" s="2297"/>
      <c r="AT400" s="2135"/>
      <c r="AU400" s="2135"/>
      <c r="AV400" s="2135"/>
      <c r="AW400" s="2135"/>
      <c r="AX400" s="2135"/>
      <c r="AY400" s="2135"/>
      <c r="AZ400" s="2135"/>
      <c r="BA400" s="2135"/>
      <c r="BB400" s="2135"/>
      <c r="BC400" s="2135"/>
      <c r="BD400" s="2135"/>
      <c r="BE400" s="2135"/>
      <c r="BF400" s="2135"/>
      <c r="BG400" s="2135"/>
      <c r="BH400" s="2135"/>
      <c r="BI400" s="2135"/>
      <c r="BJ400" s="2135"/>
      <c r="BK400" s="2135"/>
      <c r="BL400" s="2135"/>
      <c r="BM400" s="2135"/>
      <c r="BN400" s="2135"/>
      <c r="BO400" s="2135"/>
      <c r="BP400" s="2135"/>
      <c r="BQ400" s="2135"/>
      <c r="BR400" s="2135"/>
      <c r="BS400" s="2354"/>
      <c r="BT400" s="2354"/>
      <c r="BU400" s="2354"/>
      <c r="BV400" s="2354"/>
      <c r="BW400" s="2354"/>
      <c r="BX400" s="2354"/>
      <c r="BY400" s="2354"/>
      <c r="BZ400" s="2297"/>
      <c r="CA400" s="2297"/>
      <c r="CB400" s="2319"/>
      <c r="CC400" s="2320"/>
      <c r="CD400" s="2320"/>
      <c r="CE400" s="2320"/>
      <c r="CF400" s="2320"/>
      <c r="CG400" s="2320"/>
      <c r="CH400" s="2320"/>
      <c r="CI400" s="2320"/>
      <c r="CJ400" s="2320"/>
      <c r="CK400" s="2320"/>
      <c r="CL400" s="2320"/>
      <c r="CM400" s="2320"/>
      <c r="CN400" s="2320"/>
      <c r="CO400" s="2320"/>
      <c r="CP400" s="2320"/>
      <c r="CQ400" s="2320"/>
      <c r="CR400" s="2320"/>
      <c r="CS400" s="2320"/>
      <c r="CT400" s="2320"/>
      <c r="CU400" s="2321"/>
      <c r="CV400" s="2300" t="str">
        <f t="shared" si="293"/>
        <v/>
      </c>
      <c r="CW400" s="2300"/>
      <c r="CX400" s="2300"/>
      <c r="CY400" s="2300"/>
      <c r="CZ400" s="2300"/>
      <c r="DA400" s="2300"/>
      <c r="DC400" s="329" t="str">
        <f t="shared" si="294"/>
        <v/>
      </c>
      <c r="DD400" s="197"/>
      <c r="DF400" s="14"/>
      <c r="DG400" s="14"/>
      <c r="DH400" s="14"/>
      <c r="DI400" s="1596"/>
      <c r="DJ400" s="1170" t="s">
        <v>2749</v>
      </c>
      <c r="DK400" s="1604" t="str">
        <f t="shared" si="295"/>
        <v/>
      </c>
      <c r="DL400" s="437" t="str">
        <f t="shared" si="296"/>
        <v/>
      </c>
      <c r="DM400" s="1128">
        <f t="shared" si="297"/>
        <v>0</v>
      </c>
      <c r="DN400" s="22">
        <f t="shared" si="298"/>
        <v>0</v>
      </c>
      <c r="DO400" s="22">
        <f t="shared" si="299"/>
        <v>0</v>
      </c>
      <c r="DP400" s="264">
        <f t="shared" si="300"/>
        <v>0</v>
      </c>
      <c r="DQ400" s="32" t="s">
        <v>746</v>
      </c>
      <c r="DR400" s="263" t="str">
        <f>IF($U400="",R398,U400)</f>
        <v>鉄筋コンクリート造及び鉄骨鉄筋コンクリート造の床躯体の劣化及び損傷の状況</v>
      </c>
      <c r="DS400" s="23">
        <f t="shared" si="301"/>
        <v>0</v>
      </c>
      <c r="DT400" s="29" t="str">
        <f t="shared" si="302"/>
        <v/>
      </c>
      <c r="DU400" s="242" t="str">
        <f t="shared" si="303"/>
        <v/>
      </c>
      <c r="DV400" s="57" t="str">
        <f>IF($DT400="要是正",MAX($DV$378:DV399)+1,"")</f>
        <v/>
      </c>
      <c r="DW400" s="30" t="str">
        <f t="shared" si="304"/>
        <v/>
      </c>
      <c r="DX400" s="30" t="str">
        <f t="shared" si="305"/>
        <v/>
      </c>
      <c r="DY400" s="13" t="str">
        <f t="shared" si="306"/>
        <v/>
      </c>
      <c r="DZ400" s="121" t="str">
        <f t="shared" si="307"/>
        <v/>
      </c>
      <c r="EA400" s="256" t="str">
        <f t="shared" si="308"/>
        <v/>
      </c>
      <c r="EB400" s="138" t="str">
        <f t="shared" si="309"/>
        <v/>
      </c>
      <c r="EC400" s="131" t="str">
        <f t="shared" si="310"/>
        <v>0</v>
      </c>
      <c r="ED400" s="54" t="str">
        <f t="shared" si="311"/>
        <v/>
      </c>
      <c r="EE400" s="131" t="str">
        <f t="shared" si="360"/>
        <v>0</v>
      </c>
      <c r="EF400" s="37" t="str">
        <f t="shared" si="312"/>
        <v/>
      </c>
      <c r="EG400" s="108" t="str">
        <f t="shared" si="313"/>
        <v/>
      </c>
      <c r="EH400" s="41" t="str">
        <f t="shared" si="314"/>
        <v>0</v>
      </c>
      <c r="EI400" s="54" t="str">
        <f t="shared" si="315"/>
        <v/>
      </c>
      <c r="EJ400" s="131" t="str">
        <f t="shared" si="361"/>
        <v>0</v>
      </c>
      <c r="EK400" s="241" t="str">
        <f t="shared" si="316"/>
        <v/>
      </c>
      <c r="EL400" s="242" t="e">
        <f t="shared" si="317"/>
        <v>#N/A</v>
      </c>
      <c r="EM400" s="57" t="e">
        <f t="shared" si="318"/>
        <v>#N/A</v>
      </c>
      <c r="EN400" s="243" t="e">
        <f t="shared" si="319"/>
        <v>#N/A</v>
      </c>
      <c r="FK400" s="326" t="str">
        <f t="shared" si="364"/>
        <v/>
      </c>
      <c r="FL400" s="326" t="str">
        <f t="shared" si="365"/>
        <v/>
      </c>
      <c r="FM400" s="326" t="str">
        <f t="shared" si="366"/>
        <v/>
      </c>
      <c r="FN400" s="326">
        <f t="shared" si="320"/>
        <v>0</v>
      </c>
      <c r="FO400" s="670" t="str">
        <f t="shared" si="367"/>
        <v/>
      </c>
      <c r="FQ400" s="138" t="str">
        <f t="shared" si="321"/>
        <v/>
      </c>
      <c r="FR400" s="131" t="str">
        <f t="shared" si="322"/>
        <v>0</v>
      </c>
      <c r="FS400" s="54" t="str">
        <f t="shared" si="323"/>
        <v/>
      </c>
      <c r="FT400" s="131" t="str">
        <f t="shared" si="362"/>
        <v>0</v>
      </c>
      <c r="FU400" s="217" t="str">
        <f t="shared" si="324"/>
        <v/>
      </c>
      <c r="FW400" s="667">
        <f t="shared" si="363"/>
        <v>0</v>
      </c>
      <c r="FX400" s="32"/>
      <c r="FY400" s="32"/>
      <c r="FZ400" s="668"/>
      <c r="GA400" s="14"/>
      <c r="GB400" s="658">
        <f t="shared" si="325"/>
        <v>0</v>
      </c>
      <c r="GC400" s="658">
        <f t="shared" si="326"/>
        <v>0</v>
      </c>
      <c r="GD400" s="658">
        <f t="shared" si="327"/>
        <v>0</v>
      </c>
      <c r="GE400" s="658" t="str">
        <f t="shared" si="328"/>
        <v/>
      </c>
      <c r="GF400" s="658" t="str">
        <f t="shared" si="329"/>
        <v/>
      </c>
      <c r="GG400" s="658" t="str">
        <f t="shared" si="330"/>
        <v/>
      </c>
      <c r="GH400" s="658" t="str">
        <f t="shared" si="331"/>
        <v/>
      </c>
      <c r="GI400" s="658" t="str">
        <f t="shared" si="332"/>
        <v/>
      </c>
      <c r="GJ400" s="658" t="str">
        <f t="shared" si="333"/>
        <v/>
      </c>
      <c r="GK400" s="658" t="str">
        <f t="shared" si="334"/>
        <v/>
      </c>
      <c r="GL400" s="658" t="str">
        <f t="shared" si="335"/>
        <v/>
      </c>
      <c r="GM400" s="658" t="str">
        <f t="shared" si="336"/>
        <v/>
      </c>
      <c r="GN400" s="658" t="str">
        <f t="shared" si="337"/>
        <v/>
      </c>
      <c r="GO400" s="658" t="str">
        <f t="shared" si="338"/>
        <v/>
      </c>
      <c r="GP400" s="658" t="str">
        <f t="shared" si="339"/>
        <v/>
      </c>
      <c r="GQ400" s="658" t="str">
        <f t="shared" si="340"/>
        <v/>
      </c>
      <c r="GR400" s="658" t="str">
        <f t="shared" si="341"/>
        <v/>
      </c>
      <c r="GS400" s="658" t="str">
        <f t="shared" si="342"/>
        <v/>
      </c>
      <c r="GT400" s="658">
        <f t="shared" si="368"/>
        <v>0</v>
      </c>
      <c r="GU400" s="658">
        <f t="shared" si="369"/>
        <v>0</v>
      </c>
      <c r="GV400" s="658">
        <f t="shared" si="370"/>
        <v>0</v>
      </c>
      <c r="GW400" s="658" t="b">
        <f t="shared" si="371"/>
        <v>0</v>
      </c>
      <c r="GX400" s="658" t="b">
        <f t="shared" si="372"/>
        <v>0</v>
      </c>
      <c r="GY400" s="658" t="b">
        <f t="shared" si="373"/>
        <v>0</v>
      </c>
      <c r="GZ400" s="658" t="str">
        <f t="shared" si="173"/>
        <v/>
      </c>
      <c r="HB400" s="658" t="str">
        <f t="shared" si="374"/>
        <v/>
      </c>
      <c r="HC400" s="658" t="str">
        <f t="shared" si="343"/>
        <v/>
      </c>
      <c r="HD400" s="658" t="str">
        <f t="shared" si="344"/>
        <v/>
      </c>
      <c r="HE400" s="658" t="str">
        <f t="shared" si="345"/>
        <v/>
      </c>
      <c r="HF400" s="658" t="str">
        <f t="shared" si="346"/>
        <v/>
      </c>
      <c r="HG400" s="658" t="str">
        <f t="shared" si="347"/>
        <v/>
      </c>
      <c r="HH400" s="658" t="str">
        <f t="shared" si="348"/>
        <v/>
      </c>
      <c r="HI400" s="658" t="str">
        <f t="shared" si="349"/>
        <v/>
      </c>
      <c r="HJ400" s="658" t="str">
        <f t="shared" si="350"/>
        <v/>
      </c>
      <c r="HK400" s="658" t="str">
        <f t="shared" si="351"/>
        <v/>
      </c>
      <c r="HL400" s="658" t="str">
        <f t="shared" si="352"/>
        <v/>
      </c>
      <c r="HM400" s="658" t="str">
        <f t="shared" si="353"/>
        <v/>
      </c>
      <c r="HN400" s="658" t="str">
        <f t="shared" si="354"/>
        <v/>
      </c>
      <c r="HO400" s="658" t="str">
        <f t="shared" si="355"/>
        <v/>
      </c>
      <c r="HP400" s="658" t="str">
        <f t="shared" si="356"/>
        <v/>
      </c>
      <c r="HQ400" s="658" t="str">
        <f t="shared" si="357"/>
        <v/>
      </c>
      <c r="HR400" s="658" t="str">
        <f t="shared" si="375"/>
        <v/>
      </c>
      <c r="HT400" s="658">
        <f>LEFT(M400,1)*10000+MID(M400,3,LEN(M400)-3)*100+COUNTIF($M$319:M400,M400)</f>
        <v>41901</v>
      </c>
      <c r="HU400" s="658" t="str">
        <f t="shared" si="376"/>
        <v/>
      </c>
      <c r="HV400" s="658" t="str">
        <f t="shared" si="358"/>
        <v/>
      </c>
      <c r="HW400" s="658" t="str">
        <f t="shared" si="377"/>
        <v/>
      </c>
      <c r="HX400" s="658" t="str">
        <f t="shared" si="359"/>
        <v/>
      </c>
    </row>
    <row r="401" spans="1:232" s="19" customFormat="1" ht="50.1" customHeight="1" x14ac:dyDescent="0.15">
      <c r="A401" s="1201"/>
      <c r="B401" s="1201"/>
      <c r="C401" s="1201"/>
      <c r="D401" s="1201"/>
      <c r="E401" s="1202"/>
      <c r="F401" s="652"/>
      <c r="G401" s="652"/>
      <c r="H401" s="652"/>
      <c r="I401" s="1357"/>
      <c r="J401" s="1234"/>
      <c r="K401" s="1261"/>
      <c r="L401" s="1261"/>
      <c r="M401" s="2423" t="s">
        <v>1169</v>
      </c>
      <c r="N401" s="2423"/>
      <c r="O401" s="2424"/>
      <c r="P401" s="2433"/>
      <c r="Q401" s="2433"/>
      <c r="R401" s="2148" t="s">
        <v>221</v>
      </c>
      <c r="S401" s="2148"/>
      <c r="T401" s="2148"/>
      <c r="U401" s="2438" t="s">
        <v>99</v>
      </c>
      <c r="V401" s="2438"/>
      <c r="W401" s="2438"/>
      <c r="X401" s="2438"/>
      <c r="Y401" s="2438"/>
      <c r="Z401" s="2438"/>
      <c r="AA401" s="2438"/>
      <c r="AB401" s="2438"/>
      <c r="AC401" s="2438"/>
      <c r="AD401" s="2438"/>
      <c r="AE401" s="2438"/>
      <c r="AF401" s="2465"/>
      <c r="AG401" s="2466"/>
      <c r="AH401" s="2466"/>
      <c r="AI401" s="2466"/>
      <c r="AJ401" s="2466"/>
      <c r="AK401" s="2466"/>
      <c r="AL401" s="2466"/>
      <c r="AM401" s="2466"/>
      <c r="AN401" s="2466"/>
      <c r="AO401" s="2466"/>
      <c r="AP401" s="2466"/>
      <c r="AQ401" s="2467"/>
      <c r="AR401" s="2272"/>
      <c r="AS401" s="2272"/>
      <c r="AT401" s="2406"/>
      <c r="AU401" s="2406"/>
      <c r="AV401" s="2406"/>
      <c r="AW401" s="2406"/>
      <c r="AX401" s="2406"/>
      <c r="AY401" s="2406"/>
      <c r="AZ401" s="2406"/>
      <c r="BA401" s="2406"/>
      <c r="BB401" s="2406"/>
      <c r="BC401" s="2406"/>
      <c r="BD401" s="2406"/>
      <c r="BE401" s="2406"/>
      <c r="BF401" s="2406"/>
      <c r="BG401" s="2406"/>
      <c r="BH401" s="2406"/>
      <c r="BI401" s="2406"/>
      <c r="BJ401" s="2406"/>
      <c r="BK401" s="2406"/>
      <c r="BL401" s="2406"/>
      <c r="BM401" s="2406"/>
      <c r="BN401" s="2406"/>
      <c r="BO401" s="2406"/>
      <c r="BP401" s="2406"/>
      <c r="BQ401" s="2406"/>
      <c r="BR401" s="2406"/>
      <c r="BS401" s="2271"/>
      <c r="BT401" s="2271"/>
      <c r="BU401" s="2271"/>
      <c r="BV401" s="2271"/>
      <c r="BW401" s="2271"/>
      <c r="BX401" s="2271"/>
      <c r="BY401" s="2271"/>
      <c r="BZ401" s="2272"/>
      <c r="CA401" s="2272"/>
      <c r="CB401" s="2725" t="s">
        <v>1924</v>
      </c>
      <c r="CC401" s="2726"/>
      <c r="CD401" s="2726"/>
      <c r="CE401" s="2726"/>
      <c r="CF401" s="2726"/>
      <c r="CG401" s="2726"/>
      <c r="CH401" s="2726"/>
      <c r="CI401" s="2726"/>
      <c r="CJ401" s="2726"/>
      <c r="CK401" s="2726"/>
      <c r="CL401" s="2726"/>
      <c r="CM401" s="2726"/>
      <c r="CN401" s="2726"/>
      <c r="CO401" s="2726"/>
      <c r="CP401" s="2726"/>
      <c r="CQ401" s="2726"/>
      <c r="CR401" s="2726"/>
      <c r="CS401" s="2726"/>
      <c r="CT401" s="2726"/>
      <c r="CU401" s="2727"/>
      <c r="CV401" s="2300" t="str">
        <f t="shared" si="293"/>
        <v/>
      </c>
      <c r="CW401" s="2300"/>
      <c r="CX401" s="2300"/>
      <c r="CY401" s="2300"/>
      <c r="CZ401" s="2300"/>
      <c r="DA401" s="2300"/>
      <c r="DC401" s="329" t="str">
        <f t="shared" si="294"/>
        <v/>
      </c>
      <c r="DD401" s="197"/>
      <c r="DF401" s="14"/>
      <c r="DG401" s="14"/>
      <c r="DH401" s="14"/>
      <c r="DI401" s="1596"/>
      <c r="DJ401" s="1170" t="s">
        <v>2749</v>
      </c>
      <c r="DK401" s="1604" t="str">
        <f t="shared" si="295"/>
        <v/>
      </c>
      <c r="DL401" s="437" t="str">
        <f t="shared" si="296"/>
        <v/>
      </c>
      <c r="DM401" s="1128">
        <f t="shared" si="297"/>
        <v>0</v>
      </c>
      <c r="DN401" s="22">
        <f t="shared" si="298"/>
        <v>0</v>
      </c>
      <c r="DO401" s="22">
        <f t="shared" si="299"/>
        <v>0</v>
      </c>
      <c r="DP401" s="264">
        <f t="shared" si="300"/>
        <v>0</v>
      </c>
      <c r="DQ401" s="32" t="s">
        <v>747</v>
      </c>
      <c r="DR401" s="263" t="str">
        <f>IF($U401="",R401,U401)</f>
        <v>準耐火性能等の確保の状況</v>
      </c>
      <c r="DS401" s="23">
        <f t="shared" si="301"/>
        <v>0</v>
      </c>
      <c r="DT401" s="29" t="str">
        <f t="shared" si="302"/>
        <v/>
      </c>
      <c r="DU401" s="242" t="str">
        <f t="shared" si="303"/>
        <v/>
      </c>
      <c r="DV401" s="57" t="str">
        <f>IF($DT401="要是正",MAX($DV$378:DV400)+1,"")</f>
        <v/>
      </c>
      <c r="DW401" s="30" t="str">
        <f t="shared" si="304"/>
        <v/>
      </c>
      <c r="DX401" s="30" t="str">
        <f t="shared" si="305"/>
        <v/>
      </c>
      <c r="DY401" s="13" t="str">
        <f t="shared" si="306"/>
        <v/>
      </c>
      <c r="DZ401" s="121" t="str">
        <f t="shared" si="307"/>
        <v/>
      </c>
      <c r="EA401" s="256" t="str">
        <f t="shared" si="308"/>
        <v/>
      </c>
      <c r="EB401" s="138" t="str">
        <f t="shared" si="309"/>
        <v/>
      </c>
      <c r="EC401" s="131" t="str">
        <f t="shared" si="310"/>
        <v>0</v>
      </c>
      <c r="ED401" s="54" t="str">
        <f t="shared" si="311"/>
        <v/>
      </c>
      <c r="EE401" s="131" t="str">
        <f t="shared" si="360"/>
        <v>0</v>
      </c>
      <c r="EF401" s="37" t="str">
        <f t="shared" si="312"/>
        <v/>
      </c>
      <c r="EG401" s="108" t="str">
        <f t="shared" si="313"/>
        <v/>
      </c>
      <c r="EH401" s="41" t="str">
        <f t="shared" si="314"/>
        <v>0</v>
      </c>
      <c r="EI401" s="54" t="str">
        <f t="shared" si="315"/>
        <v/>
      </c>
      <c r="EJ401" s="131" t="str">
        <f t="shared" si="361"/>
        <v>0</v>
      </c>
      <c r="EK401" s="241" t="str">
        <f t="shared" si="316"/>
        <v/>
      </c>
      <c r="EL401" s="242" t="e">
        <f t="shared" si="317"/>
        <v>#N/A</v>
      </c>
      <c r="EM401" s="57" t="e">
        <f t="shared" si="318"/>
        <v>#N/A</v>
      </c>
      <c r="EN401" s="243" t="e">
        <f t="shared" si="319"/>
        <v>#N/A</v>
      </c>
      <c r="FK401" s="326" t="str">
        <f t="shared" si="364"/>
        <v/>
      </c>
      <c r="FL401" s="326" t="str">
        <f t="shared" si="365"/>
        <v/>
      </c>
      <c r="FM401" s="326" t="str">
        <f t="shared" si="366"/>
        <v/>
      </c>
      <c r="FN401" s="326">
        <f t="shared" si="320"/>
        <v>0</v>
      </c>
      <c r="FO401" s="670" t="str">
        <f t="shared" si="367"/>
        <v/>
      </c>
      <c r="FQ401" s="138" t="str">
        <f t="shared" si="321"/>
        <v/>
      </c>
      <c r="FR401" s="131" t="str">
        <f t="shared" si="322"/>
        <v>0</v>
      </c>
      <c r="FS401" s="54" t="str">
        <f t="shared" si="323"/>
        <v/>
      </c>
      <c r="FT401" s="131" t="str">
        <f t="shared" si="362"/>
        <v>0</v>
      </c>
      <c r="FU401" s="217" t="str">
        <f t="shared" si="324"/>
        <v/>
      </c>
      <c r="FW401" s="667">
        <f t="shared" si="363"/>
        <v>0</v>
      </c>
      <c r="FX401" s="32"/>
      <c r="FY401" s="32"/>
      <c r="FZ401" s="668"/>
      <c r="GA401" s="14"/>
      <c r="GB401" s="658">
        <f t="shared" si="325"/>
        <v>0</v>
      </c>
      <c r="GC401" s="658">
        <f t="shared" si="326"/>
        <v>0</v>
      </c>
      <c r="GD401" s="658">
        <f t="shared" si="327"/>
        <v>0</v>
      </c>
      <c r="GE401" s="658" t="str">
        <f t="shared" si="328"/>
        <v/>
      </c>
      <c r="GF401" s="658" t="str">
        <f t="shared" si="329"/>
        <v/>
      </c>
      <c r="GG401" s="658" t="str">
        <f t="shared" si="330"/>
        <v/>
      </c>
      <c r="GH401" s="658" t="str">
        <f t="shared" si="331"/>
        <v/>
      </c>
      <c r="GI401" s="658" t="str">
        <f t="shared" si="332"/>
        <v/>
      </c>
      <c r="GJ401" s="658" t="str">
        <f t="shared" si="333"/>
        <v/>
      </c>
      <c r="GK401" s="658" t="str">
        <f t="shared" si="334"/>
        <v/>
      </c>
      <c r="GL401" s="658" t="str">
        <f t="shared" si="335"/>
        <v/>
      </c>
      <c r="GM401" s="658" t="str">
        <f t="shared" si="336"/>
        <v/>
      </c>
      <c r="GN401" s="658" t="str">
        <f t="shared" si="337"/>
        <v/>
      </c>
      <c r="GO401" s="658" t="str">
        <f t="shared" si="338"/>
        <v/>
      </c>
      <c r="GP401" s="658" t="str">
        <f t="shared" si="339"/>
        <v/>
      </c>
      <c r="GQ401" s="658" t="str">
        <f t="shared" si="340"/>
        <v/>
      </c>
      <c r="GR401" s="658" t="str">
        <f t="shared" si="341"/>
        <v/>
      </c>
      <c r="GS401" s="658" t="str">
        <f t="shared" si="342"/>
        <v/>
      </c>
      <c r="GT401" s="658">
        <f t="shared" si="368"/>
        <v>0</v>
      </c>
      <c r="GU401" s="658">
        <f t="shared" si="369"/>
        <v>0</v>
      </c>
      <c r="GV401" s="658">
        <f t="shared" si="370"/>
        <v>0</v>
      </c>
      <c r="GW401" s="658" t="b">
        <f t="shared" si="371"/>
        <v>0</v>
      </c>
      <c r="GX401" s="658" t="b">
        <f t="shared" si="372"/>
        <v>0</v>
      </c>
      <c r="GY401" s="658" t="b">
        <f t="shared" si="373"/>
        <v>0</v>
      </c>
      <c r="GZ401" s="658" t="str">
        <f t="shared" ref="GZ401:GZ460" si="378">IF(GW401,"有",IF(GY401,"無",""))&amp;IF(GX401,IF(OR(GW401,GY401),"（一部改善済）","改善済"),"")</f>
        <v/>
      </c>
      <c r="HB401" s="658" t="str">
        <f t="shared" si="374"/>
        <v/>
      </c>
      <c r="HC401" s="658" t="str">
        <f t="shared" si="343"/>
        <v/>
      </c>
      <c r="HD401" s="658" t="str">
        <f t="shared" si="344"/>
        <v/>
      </c>
      <c r="HE401" s="658" t="str">
        <f t="shared" si="345"/>
        <v/>
      </c>
      <c r="HF401" s="658" t="str">
        <f t="shared" si="346"/>
        <v/>
      </c>
      <c r="HG401" s="658" t="str">
        <f t="shared" si="347"/>
        <v/>
      </c>
      <c r="HH401" s="658" t="str">
        <f t="shared" si="348"/>
        <v/>
      </c>
      <c r="HI401" s="658" t="str">
        <f t="shared" si="349"/>
        <v/>
      </c>
      <c r="HJ401" s="658" t="str">
        <f t="shared" si="350"/>
        <v/>
      </c>
      <c r="HK401" s="658" t="str">
        <f t="shared" si="351"/>
        <v/>
      </c>
      <c r="HL401" s="658" t="str">
        <f t="shared" si="352"/>
        <v/>
      </c>
      <c r="HM401" s="658" t="str">
        <f t="shared" si="353"/>
        <v/>
      </c>
      <c r="HN401" s="658" t="str">
        <f t="shared" si="354"/>
        <v/>
      </c>
      <c r="HO401" s="658" t="str">
        <f t="shared" si="355"/>
        <v/>
      </c>
      <c r="HP401" s="658" t="str">
        <f t="shared" si="356"/>
        <v/>
      </c>
      <c r="HQ401" s="658" t="str">
        <f t="shared" si="357"/>
        <v/>
      </c>
      <c r="HR401" s="658" t="str">
        <f t="shared" si="375"/>
        <v/>
      </c>
      <c r="HT401" s="658">
        <f>LEFT(M401,1)*10000+MID(M401,3,LEN(M401)-3)*100+COUNTIF($M$319:M401,M401)</f>
        <v>42001</v>
      </c>
      <c r="HU401" s="658" t="str">
        <f t="shared" si="376"/>
        <v/>
      </c>
      <c r="HV401" s="658" t="str">
        <f t="shared" si="358"/>
        <v/>
      </c>
      <c r="HW401" s="658" t="str">
        <f t="shared" si="377"/>
        <v/>
      </c>
      <c r="HX401" s="658" t="str">
        <f t="shared" si="359"/>
        <v/>
      </c>
    </row>
    <row r="402" spans="1:232" s="19" customFormat="1" ht="50.1" customHeight="1" x14ac:dyDescent="0.15">
      <c r="A402" s="1201"/>
      <c r="B402" s="1201"/>
      <c r="C402" s="1201"/>
      <c r="D402" s="1201"/>
      <c r="E402" s="1202"/>
      <c r="F402" s="652"/>
      <c r="G402" s="652"/>
      <c r="H402" s="652"/>
      <c r="I402" s="1357"/>
      <c r="J402" s="1234"/>
      <c r="K402" s="1261"/>
      <c r="L402" s="1261"/>
      <c r="M402" s="2423" t="s">
        <v>1170</v>
      </c>
      <c r="N402" s="2423"/>
      <c r="O402" s="2424"/>
      <c r="P402" s="2433"/>
      <c r="Q402" s="2433"/>
      <c r="R402" s="2148"/>
      <c r="S402" s="2148"/>
      <c r="T402" s="2148"/>
      <c r="U402" s="2435" t="s">
        <v>90</v>
      </c>
      <c r="V402" s="2435"/>
      <c r="W402" s="2435"/>
      <c r="X402" s="2435"/>
      <c r="Y402" s="2435"/>
      <c r="Z402" s="2435"/>
      <c r="AA402" s="2435"/>
      <c r="AB402" s="2435"/>
      <c r="AC402" s="2435"/>
      <c r="AD402" s="2435"/>
      <c r="AE402" s="2435"/>
      <c r="AF402" s="2426"/>
      <c r="AG402" s="2427"/>
      <c r="AH402" s="2427"/>
      <c r="AI402" s="2427"/>
      <c r="AJ402" s="2427"/>
      <c r="AK402" s="2427"/>
      <c r="AL402" s="2427"/>
      <c r="AM402" s="2427"/>
      <c r="AN402" s="2427"/>
      <c r="AO402" s="2427"/>
      <c r="AP402" s="2427"/>
      <c r="AQ402" s="2428"/>
      <c r="AR402" s="2151"/>
      <c r="AS402" s="2151"/>
      <c r="AT402" s="2292"/>
      <c r="AU402" s="2292"/>
      <c r="AV402" s="2292"/>
      <c r="AW402" s="2292"/>
      <c r="AX402" s="2292"/>
      <c r="AY402" s="2292"/>
      <c r="AZ402" s="2292"/>
      <c r="BA402" s="2292"/>
      <c r="BB402" s="2292"/>
      <c r="BC402" s="2292"/>
      <c r="BD402" s="2292"/>
      <c r="BE402" s="2292"/>
      <c r="BF402" s="2292"/>
      <c r="BG402" s="2292"/>
      <c r="BH402" s="2292"/>
      <c r="BI402" s="2292"/>
      <c r="BJ402" s="2292"/>
      <c r="BK402" s="2292"/>
      <c r="BL402" s="2292"/>
      <c r="BM402" s="2292"/>
      <c r="BN402" s="2292"/>
      <c r="BO402" s="2292"/>
      <c r="BP402" s="2292"/>
      <c r="BQ402" s="2292"/>
      <c r="BR402" s="2292"/>
      <c r="BS402" s="2269"/>
      <c r="BT402" s="2269"/>
      <c r="BU402" s="2269"/>
      <c r="BV402" s="2269"/>
      <c r="BW402" s="2269"/>
      <c r="BX402" s="2269"/>
      <c r="BY402" s="2269"/>
      <c r="BZ402" s="2151"/>
      <c r="CA402" s="2151"/>
      <c r="CB402" s="2411"/>
      <c r="CC402" s="2412"/>
      <c r="CD402" s="2412"/>
      <c r="CE402" s="2412"/>
      <c r="CF402" s="2412"/>
      <c r="CG402" s="2412"/>
      <c r="CH402" s="2412"/>
      <c r="CI402" s="2412"/>
      <c r="CJ402" s="2412"/>
      <c r="CK402" s="2412"/>
      <c r="CL402" s="2412"/>
      <c r="CM402" s="2412"/>
      <c r="CN402" s="2412"/>
      <c r="CO402" s="2412"/>
      <c r="CP402" s="2412"/>
      <c r="CQ402" s="2412"/>
      <c r="CR402" s="2412"/>
      <c r="CS402" s="2412"/>
      <c r="CT402" s="2412"/>
      <c r="CU402" s="2413"/>
      <c r="CV402" s="2300" t="str">
        <f t="shared" si="293"/>
        <v/>
      </c>
      <c r="CW402" s="2300"/>
      <c r="CX402" s="2300"/>
      <c r="CY402" s="2300"/>
      <c r="CZ402" s="2300"/>
      <c r="DA402" s="2300"/>
      <c r="DC402" s="329" t="str">
        <f t="shared" si="294"/>
        <v/>
      </c>
      <c r="DD402" s="197"/>
      <c r="DF402" s="14"/>
      <c r="DG402" s="14"/>
      <c r="DH402" s="14"/>
      <c r="DI402" s="1596"/>
      <c r="DJ402" s="1170" t="s">
        <v>2749</v>
      </c>
      <c r="DK402" s="1604" t="str">
        <f t="shared" si="295"/>
        <v/>
      </c>
      <c r="DL402" s="437" t="str">
        <f t="shared" si="296"/>
        <v/>
      </c>
      <c r="DM402" s="1128">
        <f t="shared" si="297"/>
        <v>0</v>
      </c>
      <c r="DN402" s="22">
        <f t="shared" si="298"/>
        <v>0</v>
      </c>
      <c r="DO402" s="22">
        <f t="shared" si="299"/>
        <v>0</v>
      </c>
      <c r="DP402" s="264">
        <f t="shared" si="300"/>
        <v>0</v>
      </c>
      <c r="DQ402" s="32" t="s">
        <v>748</v>
      </c>
      <c r="DR402" s="263" t="str">
        <f>IF($U402="",R401,U402)</f>
        <v>部材の劣化及び損傷の状況</v>
      </c>
      <c r="DS402" s="23">
        <f t="shared" si="301"/>
        <v>0</v>
      </c>
      <c r="DT402" s="29" t="str">
        <f t="shared" si="302"/>
        <v/>
      </c>
      <c r="DU402" s="242" t="str">
        <f t="shared" si="303"/>
        <v/>
      </c>
      <c r="DV402" s="57" t="str">
        <f>IF($DT402="要是正",MAX($DV$378:DV401)+1,"")</f>
        <v/>
      </c>
      <c r="DW402" s="30" t="str">
        <f t="shared" si="304"/>
        <v/>
      </c>
      <c r="DX402" s="30" t="str">
        <f t="shared" si="305"/>
        <v/>
      </c>
      <c r="DY402" s="13" t="str">
        <f t="shared" si="306"/>
        <v/>
      </c>
      <c r="DZ402" s="121" t="str">
        <f t="shared" si="307"/>
        <v/>
      </c>
      <c r="EA402" s="256" t="str">
        <f t="shared" si="308"/>
        <v/>
      </c>
      <c r="EB402" s="138" t="str">
        <f t="shared" si="309"/>
        <v/>
      </c>
      <c r="EC402" s="131" t="str">
        <f t="shared" si="310"/>
        <v>0</v>
      </c>
      <c r="ED402" s="54" t="str">
        <f t="shared" si="311"/>
        <v/>
      </c>
      <c r="EE402" s="131" t="str">
        <f t="shared" si="360"/>
        <v>0</v>
      </c>
      <c r="EF402" s="37" t="str">
        <f t="shared" si="312"/>
        <v/>
      </c>
      <c r="EG402" s="108" t="str">
        <f t="shared" si="313"/>
        <v/>
      </c>
      <c r="EH402" s="41" t="str">
        <f t="shared" si="314"/>
        <v>0</v>
      </c>
      <c r="EI402" s="54" t="str">
        <f t="shared" si="315"/>
        <v/>
      </c>
      <c r="EJ402" s="131" t="str">
        <f t="shared" si="361"/>
        <v>0</v>
      </c>
      <c r="EK402" s="241" t="str">
        <f t="shared" si="316"/>
        <v/>
      </c>
      <c r="EL402" s="242" t="e">
        <f t="shared" si="317"/>
        <v>#N/A</v>
      </c>
      <c r="EM402" s="57" t="e">
        <f t="shared" si="318"/>
        <v>#N/A</v>
      </c>
      <c r="EN402" s="243" t="e">
        <f t="shared" si="319"/>
        <v>#N/A</v>
      </c>
      <c r="FK402" s="326" t="str">
        <f t="shared" si="364"/>
        <v/>
      </c>
      <c r="FL402" s="326" t="str">
        <f t="shared" si="365"/>
        <v/>
      </c>
      <c r="FM402" s="326" t="str">
        <f t="shared" si="366"/>
        <v/>
      </c>
      <c r="FN402" s="326">
        <f t="shared" si="320"/>
        <v>0</v>
      </c>
      <c r="FO402" s="670" t="str">
        <f t="shared" si="367"/>
        <v/>
      </c>
      <c r="FQ402" s="138" t="str">
        <f t="shared" si="321"/>
        <v/>
      </c>
      <c r="FR402" s="131" t="str">
        <f t="shared" si="322"/>
        <v>0</v>
      </c>
      <c r="FS402" s="54" t="str">
        <f t="shared" si="323"/>
        <v/>
      </c>
      <c r="FT402" s="131" t="str">
        <f t="shared" si="362"/>
        <v>0</v>
      </c>
      <c r="FU402" s="217" t="str">
        <f t="shared" si="324"/>
        <v/>
      </c>
      <c r="FW402" s="667">
        <f t="shared" si="363"/>
        <v>0</v>
      </c>
      <c r="FX402" s="32"/>
      <c r="FY402" s="32"/>
      <c r="FZ402" s="668"/>
      <c r="GA402" s="14"/>
      <c r="GB402" s="658">
        <f t="shared" si="325"/>
        <v>0</v>
      </c>
      <c r="GC402" s="658">
        <f t="shared" si="326"/>
        <v>0</v>
      </c>
      <c r="GD402" s="658">
        <f t="shared" si="327"/>
        <v>0</v>
      </c>
      <c r="GE402" s="658" t="str">
        <f t="shared" si="328"/>
        <v/>
      </c>
      <c r="GF402" s="658" t="str">
        <f t="shared" si="329"/>
        <v/>
      </c>
      <c r="GG402" s="658" t="str">
        <f t="shared" si="330"/>
        <v/>
      </c>
      <c r="GH402" s="658" t="str">
        <f t="shared" si="331"/>
        <v/>
      </c>
      <c r="GI402" s="658" t="str">
        <f t="shared" si="332"/>
        <v/>
      </c>
      <c r="GJ402" s="658" t="str">
        <f t="shared" si="333"/>
        <v/>
      </c>
      <c r="GK402" s="658" t="str">
        <f t="shared" si="334"/>
        <v/>
      </c>
      <c r="GL402" s="658" t="str">
        <f t="shared" si="335"/>
        <v/>
      </c>
      <c r="GM402" s="658" t="str">
        <f t="shared" si="336"/>
        <v/>
      </c>
      <c r="GN402" s="658" t="str">
        <f t="shared" si="337"/>
        <v/>
      </c>
      <c r="GO402" s="658" t="str">
        <f t="shared" si="338"/>
        <v/>
      </c>
      <c r="GP402" s="658" t="str">
        <f t="shared" si="339"/>
        <v/>
      </c>
      <c r="GQ402" s="658" t="str">
        <f t="shared" si="340"/>
        <v/>
      </c>
      <c r="GR402" s="658" t="str">
        <f t="shared" si="341"/>
        <v/>
      </c>
      <c r="GS402" s="658" t="str">
        <f t="shared" si="342"/>
        <v/>
      </c>
      <c r="GT402" s="658">
        <f t="shared" si="368"/>
        <v>0</v>
      </c>
      <c r="GU402" s="658">
        <f t="shared" si="369"/>
        <v>0</v>
      </c>
      <c r="GV402" s="658">
        <f t="shared" si="370"/>
        <v>0</v>
      </c>
      <c r="GW402" s="658" t="b">
        <f t="shared" si="371"/>
        <v>0</v>
      </c>
      <c r="GX402" s="658" t="b">
        <f t="shared" si="372"/>
        <v>0</v>
      </c>
      <c r="GY402" s="658" t="b">
        <f t="shared" si="373"/>
        <v>0</v>
      </c>
      <c r="GZ402" s="658" t="str">
        <f t="shared" si="378"/>
        <v/>
      </c>
      <c r="HB402" s="658" t="str">
        <f t="shared" si="374"/>
        <v/>
      </c>
      <c r="HC402" s="658" t="str">
        <f t="shared" si="343"/>
        <v/>
      </c>
      <c r="HD402" s="658" t="str">
        <f t="shared" si="344"/>
        <v/>
      </c>
      <c r="HE402" s="658" t="str">
        <f t="shared" si="345"/>
        <v/>
      </c>
      <c r="HF402" s="658" t="str">
        <f t="shared" si="346"/>
        <v/>
      </c>
      <c r="HG402" s="658" t="str">
        <f t="shared" si="347"/>
        <v/>
      </c>
      <c r="HH402" s="658" t="str">
        <f t="shared" si="348"/>
        <v/>
      </c>
      <c r="HI402" s="658" t="str">
        <f t="shared" si="349"/>
        <v/>
      </c>
      <c r="HJ402" s="658" t="str">
        <f t="shared" si="350"/>
        <v/>
      </c>
      <c r="HK402" s="658" t="str">
        <f t="shared" si="351"/>
        <v/>
      </c>
      <c r="HL402" s="658" t="str">
        <f t="shared" si="352"/>
        <v/>
      </c>
      <c r="HM402" s="658" t="str">
        <f t="shared" si="353"/>
        <v/>
      </c>
      <c r="HN402" s="658" t="str">
        <f t="shared" si="354"/>
        <v/>
      </c>
      <c r="HO402" s="658" t="str">
        <f t="shared" si="355"/>
        <v/>
      </c>
      <c r="HP402" s="658" t="str">
        <f t="shared" si="356"/>
        <v/>
      </c>
      <c r="HQ402" s="658" t="str">
        <f t="shared" si="357"/>
        <v/>
      </c>
      <c r="HR402" s="658" t="str">
        <f t="shared" si="375"/>
        <v/>
      </c>
      <c r="HT402" s="658">
        <f>LEFT(M402,1)*10000+MID(M402,3,LEN(M402)-3)*100+COUNTIF($M$319:M402,M402)</f>
        <v>42101</v>
      </c>
      <c r="HU402" s="658" t="str">
        <f t="shared" si="376"/>
        <v/>
      </c>
      <c r="HV402" s="658" t="str">
        <f t="shared" si="358"/>
        <v/>
      </c>
      <c r="HW402" s="658" t="str">
        <f t="shared" si="377"/>
        <v/>
      </c>
      <c r="HX402" s="658" t="str">
        <f t="shared" si="359"/>
        <v/>
      </c>
    </row>
    <row r="403" spans="1:232" s="19" customFormat="1" ht="50.1" customHeight="1" x14ac:dyDescent="0.15">
      <c r="A403" s="1201"/>
      <c r="B403" s="1201"/>
      <c r="C403" s="1201"/>
      <c r="D403" s="1201"/>
      <c r="E403" s="1202"/>
      <c r="F403" s="652"/>
      <c r="G403" s="652"/>
      <c r="H403" s="652"/>
      <c r="I403" s="1357"/>
      <c r="J403" s="1234"/>
      <c r="K403" s="1261"/>
      <c r="L403" s="1261"/>
      <c r="M403" s="2423" t="s">
        <v>1171</v>
      </c>
      <c r="N403" s="2423"/>
      <c r="O403" s="2424"/>
      <c r="P403" s="2433"/>
      <c r="Q403" s="2433"/>
      <c r="R403" s="2148"/>
      <c r="S403" s="2148"/>
      <c r="T403" s="2148"/>
      <c r="U403" s="2431" t="s">
        <v>92</v>
      </c>
      <c r="V403" s="2431"/>
      <c r="W403" s="2431"/>
      <c r="X403" s="2431"/>
      <c r="Y403" s="2431"/>
      <c r="Z403" s="2431"/>
      <c r="AA403" s="2431"/>
      <c r="AB403" s="2431"/>
      <c r="AC403" s="2431"/>
      <c r="AD403" s="2431"/>
      <c r="AE403" s="2431"/>
      <c r="AF403" s="2468"/>
      <c r="AG403" s="2469"/>
      <c r="AH403" s="2469"/>
      <c r="AI403" s="2469"/>
      <c r="AJ403" s="2469"/>
      <c r="AK403" s="2469"/>
      <c r="AL403" s="2469"/>
      <c r="AM403" s="2469"/>
      <c r="AN403" s="2469"/>
      <c r="AO403" s="2469"/>
      <c r="AP403" s="2469"/>
      <c r="AQ403" s="2470"/>
      <c r="AR403" s="2297"/>
      <c r="AS403" s="2297"/>
      <c r="AT403" s="2135"/>
      <c r="AU403" s="2135"/>
      <c r="AV403" s="2135"/>
      <c r="AW403" s="2135"/>
      <c r="AX403" s="2135"/>
      <c r="AY403" s="2135"/>
      <c r="AZ403" s="2135"/>
      <c r="BA403" s="2135"/>
      <c r="BB403" s="2135"/>
      <c r="BC403" s="2135"/>
      <c r="BD403" s="2135"/>
      <c r="BE403" s="2135"/>
      <c r="BF403" s="2135"/>
      <c r="BG403" s="2135"/>
      <c r="BH403" s="2135"/>
      <c r="BI403" s="2135"/>
      <c r="BJ403" s="2135"/>
      <c r="BK403" s="2135"/>
      <c r="BL403" s="2135"/>
      <c r="BM403" s="2135"/>
      <c r="BN403" s="2135"/>
      <c r="BO403" s="2135"/>
      <c r="BP403" s="2135"/>
      <c r="BQ403" s="2135"/>
      <c r="BR403" s="2135"/>
      <c r="BS403" s="2354"/>
      <c r="BT403" s="2354"/>
      <c r="BU403" s="2354"/>
      <c r="BV403" s="2354"/>
      <c r="BW403" s="2354"/>
      <c r="BX403" s="2354"/>
      <c r="BY403" s="2354"/>
      <c r="BZ403" s="2297"/>
      <c r="CA403" s="2297"/>
      <c r="CB403" s="2392"/>
      <c r="CC403" s="2393"/>
      <c r="CD403" s="2393"/>
      <c r="CE403" s="2393"/>
      <c r="CF403" s="2393"/>
      <c r="CG403" s="2393"/>
      <c r="CH403" s="2393"/>
      <c r="CI403" s="2393"/>
      <c r="CJ403" s="2393"/>
      <c r="CK403" s="2393"/>
      <c r="CL403" s="2393"/>
      <c r="CM403" s="2393"/>
      <c r="CN403" s="2393"/>
      <c r="CO403" s="2393"/>
      <c r="CP403" s="2393"/>
      <c r="CQ403" s="2393"/>
      <c r="CR403" s="2393"/>
      <c r="CS403" s="2393"/>
      <c r="CT403" s="2393"/>
      <c r="CU403" s="2394"/>
      <c r="CV403" s="2300" t="str">
        <f t="shared" si="293"/>
        <v/>
      </c>
      <c r="CW403" s="2300"/>
      <c r="CX403" s="2300"/>
      <c r="CY403" s="2300"/>
      <c r="CZ403" s="2300"/>
      <c r="DA403" s="2300"/>
      <c r="DC403" s="329" t="str">
        <f t="shared" si="294"/>
        <v/>
      </c>
      <c r="DD403" s="197"/>
      <c r="DF403" s="14"/>
      <c r="DG403" s="14"/>
      <c r="DH403" s="14"/>
      <c r="DI403" s="1596"/>
      <c r="DJ403" s="1170" t="s">
        <v>2749</v>
      </c>
      <c r="DK403" s="1604" t="str">
        <f t="shared" si="295"/>
        <v/>
      </c>
      <c r="DL403" s="437" t="str">
        <f t="shared" si="296"/>
        <v/>
      </c>
      <c r="DM403" s="1128">
        <f t="shared" si="297"/>
        <v>0</v>
      </c>
      <c r="DN403" s="22">
        <f t="shared" si="298"/>
        <v>0</v>
      </c>
      <c r="DO403" s="22">
        <f t="shared" si="299"/>
        <v>0</v>
      </c>
      <c r="DP403" s="264">
        <f t="shared" si="300"/>
        <v>0</v>
      </c>
      <c r="DQ403" s="32" t="s">
        <v>749</v>
      </c>
      <c r="DR403" s="263" t="str">
        <f>IF($U403="",R401,U403)</f>
        <v>給水管、配電管その他の管又は風道の区画貫通部の充填等の処理の状況</v>
      </c>
      <c r="DS403" s="23">
        <f t="shared" si="301"/>
        <v>0</v>
      </c>
      <c r="DT403" s="29" t="str">
        <f t="shared" si="302"/>
        <v/>
      </c>
      <c r="DU403" s="242" t="str">
        <f t="shared" si="303"/>
        <v/>
      </c>
      <c r="DV403" s="57" t="str">
        <f>IF($DT403="要是正",MAX($DV$378:DV402)+1,"")</f>
        <v/>
      </c>
      <c r="DW403" s="30" t="str">
        <f t="shared" si="304"/>
        <v/>
      </c>
      <c r="DX403" s="30" t="str">
        <f t="shared" si="305"/>
        <v/>
      </c>
      <c r="DY403" s="13" t="str">
        <f t="shared" si="306"/>
        <v/>
      </c>
      <c r="DZ403" s="121" t="str">
        <f t="shared" si="307"/>
        <v/>
      </c>
      <c r="EA403" s="256" t="str">
        <f t="shared" si="308"/>
        <v/>
      </c>
      <c r="EB403" s="138" t="str">
        <f t="shared" si="309"/>
        <v/>
      </c>
      <c r="EC403" s="131" t="str">
        <f t="shared" si="310"/>
        <v>0</v>
      </c>
      <c r="ED403" s="54" t="str">
        <f t="shared" si="311"/>
        <v/>
      </c>
      <c r="EE403" s="131" t="str">
        <f t="shared" si="360"/>
        <v>0</v>
      </c>
      <c r="EF403" s="37" t="str">
        <f t="shared" si="312"/>
        <v/>
      </c>
      <c r="EG403" s="108" t="str">
        <f t="shared" si="313"/>
        <v/>
      </c>
      <c r="EH403" s="41" t="str">
        <f t="shared" si="314"/>
        <v>0</v>
      </c>
      <c r="EI403" s="54" t="str">
        <f t="shared" si="315"/>
        <v/>
      </c>
      <c r="EJ403" s="131" t="str">
        <f t="shared" si="361"/>
        <v>0</v>
      </c>
      <c r="EK403" s="241" t="str">
        <f t="shared" si="316"/>
        <v/>
      </c>
      <c r="EL403" s="242" t="e">
        <f t="shared" si="317"/>
        <v>#N/A</v>
      </c>
      <c r="EM403" s="57" t="e">
        <f t="shared" si="318"/>
        <v>#N/A</v>
      </c>
      <c r="EN403" s="243" t="e">
        <f t="shared" si="319"/>
        <v>#N/A</v>
      </c>
      <c r="FK403" s="326" t="str">
        <f t="shared" si="364"/>
        <v/>
      </c>
      <c r="FL403" s="326" t="str">
        <f t="shared" si="365"/>
        <v/>
      </c>
      <c r="FM403" s="326" t="str">
        <f t="shared" si="366"/>
        <v/>
      </c>
      <c r="FN403" s="326">
        <f t="shared" si="320"/>
        <v>0</v>
      </c>
      <c r="FO403" s="670" t="str">
        <f t="shared" si="367"/>
        <v/>
      </c>
      <c r="FQ403" s="138" t="str">
        <f t="shared" si="321"/>
        <v/>
      </c>
      <c r="FR403" s="131" t="str">
        <f t="shared" si="322"/>
        <v>0</v>
      </c>
      <c r="FS403" s="54" t="str">
        <f t="shared" si="323"/>
        <v/>
      </c>
      <c r="FT403" s="131" t="str">
        <f t="shared" si="362"/>
        <v>0</v>
      </c>
      <c r="FU403" s="217" t="str">
        <f t="shared" si="324"/>
        <v/>
      </c>
      <c r="FW403" s="667">
        <f t="shared" si="363"/>
        <v>0</v>
      </c>
      <c r="FX403" s="32"/>
      <c r="FY403" s="32"/>
      <c r="FZ403" s="668"/>
      <c r="GA403" s="14"/>
      <c r="GB403" s="658">
        <f t="shared" si="325"/>
        <v>0</v>
      </c>
      <c r="GC403" s="658">
        <f t="shared" si="326"/>
        <v>0</v>
      </c>
      <c r="GD403" s="658">
        <f t="shared" si="327"/>
        <v>0</v>
      </c>
      <c r="GE403" s="658" t="str">
        <f t="shared" si="328"/>
        <v/>
      </c>
      <c r="GF403" s="658" t="str">
        <f t="shared" si="329"/>
        <v/>
      </c>
      <c r="GG403" s="658" t="str">
        <f t="shared" si="330"/>
        <v/>
      </c>
      <c r="GH403" s="658" t="str">
        <f t="shared" si="331"/>
        <v/>
      </c>
      <c r="GI403" s="658" t="str">
        <f t="shared" si="332"/>
        <v/>
      </c>
      <c r="GJ403" s="658" t="str">
        <f t="shared" si="333"/>
        <v/>
      </c>
      <c r="GK403" s="658" t="str">
        <f t="shared" si="334"/>
        <v/>
      </c>
      <c r="GL403" s="658" t="str">
        <f t="shared" si="335"/>
        <v/>
      </c>
      <c r="GM403" s="658" t="str">
        <f t="shared" si="336"/>
        <v/>
      </c>
      <c r="GN403" s="658" t="str">
        <f t="shared" si="337"/>
        <v/>
      </c>
      <c r="GO403" s="658" t="str">
        <f t="shared" si="338"/>
        <v/>
      </c>
      <c r="GP403" s="658" t="str">
        <f t="shared" si="339"/>
        <v/>
      </c>
      <c r="GQ403" s="658" t="str">
        <f t="shared" si="340"/>
        <v/>
      </c>
      <c r="GR403" s="658" t="str">
        <f t="shared" si="341"/>
        <v/>
      </c>
      <c r="GS403" s="658" t="str">
        <f t="shared" si="342"/>
        <v/>
      </c>
      <c r="GT403" s="658">
        <f t="shared" si="368"/>
        <v>0</v>
      </c>
      <c r="GU403" s="658">
        <f t="shared" si="369"/>
        <v>0</v>
      </c>
      <c r="GV403" s="658">
        <f t="shared" si="370"/>
        <v>0</v>
      </c>
      <c r="GW403" s="658" t="b">
        <f t="shared" si="371"/>
        <v>0</v>
      </c>
      <c r="GX403" s="658" t="b">
        <f t="shared" si="372"/>
        <v>0</v>
      </c>
      <c r="GY403" s="658" t="b">
        <f t="shared" si="373"/>
        <v>0</v>
      </c>
      <c r="GZ403" s="658" t="str">
        <f t="shared" si="378"/>
        <v/>
      </c>
      <c r="HB403" s="658" t="str">
        <f t="shared" si="374"/>
        <v/>
      </c>
      <c r="HC403" s="658" t="str">
        <f t="shared" si="343"/>
        <v/>
      </c>
      <c r="HD403" s="658" t="str">
        <f t="shared" si="344"/>
        <v/>
      </c>
      <c r="HE403" s="658" t="str">
        <f t="shared" si="345"/>
        <v/>
      </c>
      <c r="HF403" s="658" t="str">
        <f t="shared" si="346"/>
        <v/>
      </c>
      <c r="HG403" s="658" t="str">
        <f t="shared" si="347"/>
        <v/>
      </c>
      <c r="HH403" s="658" t="str">
        <f t="shared" si="348"/>
        <v/>
      </c>
      <c r="HI403" s="658" t="str">
        <f t="shared" si="349"/>
        <v/>
      </c>
      <c r="HJ403" s="658" t="str">
        <f t="shared" si="350"/>
        <v/>
      </c>
      <c r="HK403" s="658" t="str">
        <f t="shared" si="351"/>
        <v/>
      </c>
      <c r="HL403" s="658" t="str">
        <f t="shared" si="352"/>
        <v/>
      </c>
      <c r="HM403" s="658" t="str">
        <f t="shared" si="353"/>
        <v/>
      </c>
      <c r="HN403" s="658" t="str">
        <f t="shared" si="354"/>
        <v/>
      </c>
      <c r="HO403" s="658" t="str">
        <f t="shared" si="355"/>
        <v/>
      </c>
      <c r="HP403" s="658" t="str">
        <f t="shared" si="356"/>
        <v/>
      </c>
      <c r="HQ403" s="658" t="str">
        <f t="shared" si="357"/>
        <v/>
      </c>
      <c r="HR403" s="658" t="str">
        <f t="shared" si="375"/>
        <v/>
      </c>
      <c r="HT403" s="658">
        <f>LEFT(M403,1)*10000+MID(M403,3,LEN(M403)-3)*100+COUNTIF($M$319:M403,M403)</f>
        <v>42201</v>
      </c>
      <c r="HU403" s="658" t="str">
        <f t="shared" si="376"/>
        <v/>
      </c>
      <c r="HV403" s="658" t="str">
        <f t="shared" si="358"/>
        <v/>
      </c>
      <c r="HW403" s="658" t="str">
        <f t="shared" si="377"/>
        <v/>
      </c>
      <c r="HX403" s="658" t="str">
        <f t="shared" si="359"/>
        <v/>
      </c>
    </row>
    <row r="404" spans="1:232" s="19" customFormat="1" ht="69.95" customHeight="1" x14ac:dyDescent="0.15">
      <c r="A404" s="1201"/>
      <c r="B404" s="1201"/>
      <c r="C404" s="1201"/>
      <c r="D404" s="1201"/>
      <c r="E404" s="1202"/>
      <c r="F404" s="652"/>
      <c r="G404" s="652"/>
      <c r="H404" s="652"/>
      <c r="I404" s="1357"/>
      <c r="J404" s="1234"/>
      <c r="K404" s="1261"/>
      <c r="L404" s="1261"/>
      <c r="M404" s="2423" t="s">
        <v>1172</v>
      </c>
      <c r="N404" s="2423"/>
      <c r="O404" s="2424"/>
      <c r="P404" s="2433" t="s">
        <v>100</v>
      </c>
      <c r="Q404" s="2433"/>
      <c r="R404" s="2148" t="s">
        <v>202</v>
      </c>
      <c r="S404" s="2148"/>
      <c r="T404" s="2148"/>
      <c r="U404" s="2438" t="s">
        <v>201</v>
      </c>
      <c r="V404" s="2438"/>
      <c r="W404" s="2438"/>
      <c r="X404" s="2438"/>
      <c r="Y404" s="2438"/>
      <c r="Z404" s="2438"/>
      <c r="AA404" s="2438"/>
      <c r="AB404" s="2438"/>
      <c r="AC404" s="2438"/>
      <c r="AD404" s="2438"/>
      <c r="AE404" s="2438"/>
      <c r="AF404" s="2465"/>
      <c r="AG404" s="2466"/>
      <c r="AH404" s="2466"/>
      <c r="AI404" s="2466"/>
      <c r="AJ404" s="2466"/>
      <c r="AK404" s="2466"/>
      <c r="AL404" s="2466"/>
      <c r="AM404" s="2466"/>
      <c r="AN404" s="2466"/>
      <c r="AO404" s="2466"/>
      <c r="AP404" s="2466"/>
      <c r="AQ404" s="2467"/>
      <c r="AR404" s="2272"/>
      <c r="AS404" s="2272"/>
      <c r="AT404" s="2406"/>
      <c r="AU404" s="2406"/>
      <c r="AV404" s="2406"/>
      <c r="AW404" s="2406"/>
      <c r="AX404" s="2406"/>
      <c r="AY404" s="2406"/>
      <c r="AZ404" s="2406"/>
      <c r="BA404" s="2406"/>
      <c r="BB404" s="2406"/>
      <c r="BC404" s="2406"/>
      <c r="BD404" s="2406"/>
      <c r="BE404" s="2406"/>
      <c r="BF404" s="2406"/>
      <c r="BG404" s="2406"/>
      <c r="BH404" s="2406"/>
      <c r="BI404" s="2406"/>
      <c r="BJ404" s="2406"/>
      <c r="BK404" s="2406"/>
      <c r="BL404" s="2406"/>
      <c r="BM404" s="2406"/>
      <c r="BN404" s="2406"/>
      <c r="BO404" s="2406"/>
      <c r="BP404" s="2406"/>
      <c r="BQ404" s="2406"/>
      <c r="BR404" s="2406"/>
      <c r="BS404" s="2271"/>
      <c r="BT404" s="2271"/>
      <c r="BU404" s="2271"/>
      <c r="BV404" s="2271"/>
      <c r="BW404" s="2271"/>
      <c r="BX404" s="2271"/>
      <c r="BY404" s="2271"/>
      <c r="BZ404" s="2272"/>
      <c r="CA404" s="2272"/>
      <c r="CB404" s="2725" t="s">
        <v>1923</v>
      </c>
      <c r="CC404" s="2726"/>
      <c r="CD404" s="2726"/>
      <c r="CE404" s="2726"/>
      <c r="CF404" s="2726"/>
      <c r="CG404" s="2726"/>
      <c r="CH404" s="2726"/>
      <c r="CI404" s="2726"/>
      <c r="CJ404" s="2726"/>
      <c r="CK404" s="2726"/>
      <c r="CL404" s="2726"/>
      <c r="CM404" s="2726"/>
      <c r="CN404" s="2726"/>
      <c r="CO404" s="2726"/>
      <c r="CP404" s="2726"/>
      <c r="CQ404" s="2726"/>
      <c r="CR404" s="2726"/>
      <c r="CS404" s="2726"/>
      <c r="CT404" s="2726"/>
      <c r="CU404" s="2727"/>
      <c r="CV404" s="2300" t="str">
        <f t="shared" si="293"/>
        <v/>
      </c>
      <c r="CW404" s="2300"/>
      <c r="CX404" s="2300"/>
      <c r="CY404" s="2300"/>
      <c r="CZ404" s="2300"/>
      <c r="DA404" s="2300"/>
      <c r="DC404" s="329" t="str">
        <f t="shared" si="294"/>
        <v/>
      </c>
      <c r="DD404" s="197"/>
      <c r="DF404" s="14"/>
      <c r="DG404" s="14"/>
      <c r="DH404" s="14"/>
      <c r="DI404" s="1596"/>
      <c r="DJ404" s="1170" t="s">
        <v>2749</v>
      </c>
      <c r="DK404" s="1604" t="str">
        <f t="shared" si="295"/>
        <v/>
      </c>
      <c r="DL404" s="437" t="str">
        <f t="shared" si="296"/>
        <v/>
      </c>
      <c r="DM404" s="1128">
        <f t="shared" si="297"/>
        <v>0</v>
      </c>
      <c r="DN404" s="22">
        <f t="shared" si="298"/>
        <v>0</v>
      </c>
      <c r="DO404" s="22">
        <f t="shared" si="299"/>
        <v>0</v>
      </c>
      <c r="DP404" s="264">
        <f t="shared" si="300"/>
        <v>0</v>
      </c>
      <c r="DQ404" s="32" t="s">
        <v>750</v>
      </c>
      <c r="DR404" s="263" t="str">
        <f>IF($U404="",R404,U404)</f>
        <v>室内に面する部分の仕上げの維持保全の状況</v>
      </c>
      <c r="DS404" s="23">
        <f t="shared" si="301"/>
        <v>0</v>
      </c>
      <c r="DT404" s="29" t="str">
        <f t="shared" si="302"/>
        <v/>
      </c>
      <c r="DU404" s="242" t="str">
        <f t="shared" si="303"/>
        <v/>
      </c>
      <c r="DV404" s="57" t="str">
        <f>IF($DT404="要是正",MAX($DV$378:DV403)+1,"")</f>
        <v/>
      </c>
      <c r="DW404" s="30" t="str">
        <f t="shared" si="304"/>
        <v/>
      </c>
      <c r="DX404" s="30" t="str">
        <f t="shared" si="305"/>
        <v/>
      </c>
      <c r="DY404" s="13" t="str">
        <f t="shared" si="306"/>
        <v/>
      </c>
      <c r="DZ404" s="121" t="str">
        <f t="shared" si="307"/>
        <v/>
      </c>
      <c r="EA404" s="256" t="str">
        <f t="shared" si="308"/>
        <v/>
      </c>
      <c r="EB404" s="138" t="str">
        <f t="shared" si="309"/>
        <v/>
      </c>
      <c r="EC404" s="131" t="str">
        <f t="shared" si="310"/>
        <v>0</v>
      </c>
      <c r="ED404" s="54" t="str">
        <f t="shared" si="311"/>
        <v/>
      </c>
      <c r="EE404" s="131" t="str">
        <f t="shared" si="360"/>
        <v>0</v>
      </c>
      <c r="EF404" s="37" t="str">
        <f t="shared" si="312"/>
        <v/>
      </c>
      <c r="EG404" s="108" t="str">
        <f t="shared" si="313"/>
        <v/>
      </c>
      <c r="EH404" s="41" t="str">
        <f t="shared" si="314"/>
        <v>0</v>
      </c>
      <c r="EI404" s="54" t="str">
        <f t="shared" si="315"/>
        <v/>
      </c>
      <c r="EJ404" s="131" t="str">
        <f t="shared" si="361"/>
        <v>0</v>
      </c>
      <c r="EK404" s="241" t="str">
        <f t="shared" si="316"/>
        <v/>
      </c>
      <c r="EL404" s="242" t="e">
        <f t="shared" si="317"/>
        <v>#N/A</v>
      </c>
      <c r="EM404" s="57" t="e">
        <f t="shared" si="318"/>
        <v>#N/A</v>
      </c>
      <c r="EN404" s="243" t="e">
        <f t="shared" si="319"/>
        <v>#N/A</v>
      </c>
      <c r="FK404" s="326" t="str">
        <f t="shared" si="364"/>
        <v/>
      </c>
      <c r="FL404" s="326" t="str">
        <f t="shared" si="365"/>
        <v/>
      </c>
      <c r="FM404" s="326" t="str">
        <f t="shared" si="366"/>
        <v/>
      </c>
      <c r="FN404" s="326">
        <f t="shared" si="320"/>
        <v>0</v>
      </c>
      <c r="FO404" s="670" t="str">
        <f t="shared" si="367"/>
        <v/>
      </c>
      <c r="FQ404" s="138" t="str">
        <f t="shared" si="321"/>
        <v/>
      </c>
      <c r="FR404" s="131" t="str">
        <f t="shared" si="322"/>
        <v>0</v>
      </c>
      <c r="FS404" s="54" t="str">
        <f t="shared" si="323"/>
        <v/>
      </c>
      <c r="FT404" s="131" t="str">
        <f t="shared" si="362"/>
        <v>0</v>
      </c>
      <c r="FU404" s="217" t="str">
        <f t="shared" si="324"/>
        <v/>
      </c>
      <c r="FW404" s="667">
        <f t="shared" si="363"/>
        <v>0</v>
      </c>
      <c r="FX404" s="32"/>
      <c r="FY404" s="32"/>
      <c r="FZ404" s="668"/>
      <c r="GA404" s="14"/>
      <c r="GB404" s="658">
        <f t="shared" si="325"/>
        <v>0</v>
      </c>
      <c r="GC404" s="658">
        <f t="shared" si="326"/>
        <v>0</v>
      </c>
      <c r="GD404" s="658">
        <f t="shared" si="327"/>
        <v>0</v>
      </c>
      <c r="GE404" s="658" t="str">
        <f t="shared" si="328"/>
        <v/>
      </c>
      <c r="GF404" s="658" t="str">
        <f t="shared" si="329"/>
        <v/>
      </c>
      <c r="GG404" s="658" t="str">
        <f t="shared" si="330"/>
        <v/>
      </c>
      <c r="GH404" s="658" t="str">
        <f t="shared" si="331"/>
        <v/>
      </c>
      <c r="GI404" s="658" t="str">
        <f t="shared" si="332"/>
        <v/>
      </c>
      <c r="GJ404" s="658" t="str">
        <f t="shared" si="333"/>
        <v/>
      </c>
      <c r="GK404" s="658" t="str">
        <f t="shared" si="334"/>
        <v/>
      </c>
      <c r="GL404" s="658" t="str">
        <f t="shared" si="335"/>
        <v/>
      </c>
      <c r="GM404" s="658" t="str">
        <f t="shared" si="336"/>
        <v/>
      </c>
      <c r="GN404" s="658" t="str">
        <f t="shared" si="337"/>
        <v/>
      </c>
      <c r="GO404" s="658" t="str">
        <f t="shared" si="338"/>
        <v/>
      </c>
      <c r="GP404" s="658" t="str">
        <f t="shared" si="339"/>
        <v/>
      </c>
      <c r="GQ404" s="658" t="str">
        <f t="shared" si="340"/>
        <v/>
      </c>
      <c r="GR404" s="658" t="str">
        <f t="shared" si="341"/>
        <v/>
      </c>
      <c r="GS404" s="658" t="str">
        <f t="shared" si="342"/>
        <v/>
      </c>
      <c r="GT404" s="658">
        <f t="shared" si="368"/>
        <v>0</v>
      </c>
      <c r="GU404" s="658">
        <f t="shared" si="369"/>
        <v>0</v>
      </c>
      <c r="GV404" s="658">
        <f t="shared" si="370"/>
        <v>0</v>
      </c>
      <c r="GW404" s="658" t="b">
        <f t="shared" si="371"/>
        <v>0</v>
      </c>
      <c r="GX404" s="658" t="b">
        <f t="shared" si="372"/>
        <v>0</v>
      </c>
      <c r="GY404" s="658" t="b">
        <f t="shared" si="373"/>
        <v>0</v>
      </c>
      <c r="GZ404" s="658" t="str">
        <f t="shared" si="378"/>
        <v/>
      </c>
      <c r="HB404" s="658" t="str">
        <f t="shared" si="374"/>
        <v/>
      </c>
      <c r="HC404" s="658" t="str">
        <f t="shared" si="343"/>
        <v/>
      </c>
      <c r="HD404" s="658" t="str">
        <f t="shared" si="344"/>
        <v/>
      </c>
      <c r="HE404" s="658" t="str">
        <f t="shared" si="345"/>
        <v/>
      </c>
      <c r="HF404" s="658" t="str">
        <f t="shared" si="346"/>
        <v/>
      </c>
      <c r="HG404" s="658" t="str">
        <f t="shared" si="347"/>
        <v/>
      </c>
      <c r="HH404" s="658" t="str">
        <f t="shared" si="348"/>
        <v/>
      </c>
      <c r="HI404" s="658" t="str">
        <f t="shared" si="349"/>
        <v/>
      </c>
      <c r="HJ404" s="658" t="str">
        <f t="shared" si="350"/>
        <v/>
      </c>
      <c r="HK404" s="658" t="str">
        <f t="shared" si="351"/>
        <v/>
      </c>
      <c r="HL404" s="658" t="str">
        <f t="shared" si="352"/>
        <v/>
      </c>
      <c r="HM404" s="658" t="str">
        <f t="shared" si="353"/>
        <v/>
      </c>
      <c r="HN404" s="658" t="str">
        <f t="shared" si="354"/>
        <v/>
      </c>
      <c r="HO404" s="658" t="str">
        <f t="shared" si="355"/>
        <v/>
      </c>
      <c r="HP404" s="658" t="str">
        <f t="shared" si="356"/>
        <v/>
      </c>
      <c r="HQ404" s="658" t="str">
        <f t="shared" si="357"/>
        <v/>
      </c>
      <c r="HR404" s="658" t="str">
        <f t="shared" si="375"/>
        <v/>
      </c>
      <c r="HT404" s="658">
        <f>LEFT(M404,1)*10000+MID(M404,3,LEN(M404)-3)*100+COUNTIF($M$319:M404,M404)</f>
        <v>42301</v>
      </c>
      <c r="HU404" s="658" t="str">
        <f t="shared" si="376"/>
        <v/>
      </c>
      <c r="HV404" s="658" t="str">
        <f t="shared" si="358"/>
        <v/>
      </c>
      <c r="HW404" s="658" t="str">
        <f t="shared" si="377"/>
        <v/>
      </c>
      <c r="HX404" s="658" t="str">
        <f t="shared" si="359"/>
        <v/>
      </c>
    </row>
    <row r="405" spans="1:232" s="19" customFormat="1" ht="69.95" customHeight="1" x14ac:dyDescent="0.15">
      <c r="A405" s="1201"/>
      <c r="B405" s="1201"/>
      <c r="C405" s="1201"/>
      <c r="D405" s="1201"/>
      <c r="E405" s="1202"/>
      <c r="F405" s="652"/>
      <c r="G405" s="652"/>
      <c r="H405" s="652"/>
      <c r="I405" s="1357"/>
      <c r="J405" s="1234"/>
      <c r="K405" s="1261"/>
      <c r="L405" s="1261"/>
      <c r="M405" s="2423" t="s">
        <v>1173</v>
      </c>
      <c r="N405" s="2423"/>
      <c r="O405" s="2424"/>
      <c r="P405" s="2433"/>
      <c r="Q405" s="2433"/>
      <c r="R405" s="2148"/>
      <c r="S405" s="2148"/>
      <c r="T405" s="2148"/>
      <c r="U405" s="2431" t="s">
        <v>101</v>
      </c>
      <c r="V405" s="2431"/>
      <c r="W405" s="2431"/>
      <c r="X405" s="2431"/>
      <c r="Y405" s="2431"/>
      <c r="Z405" s="2431"/>
      <c r="AA405" s="2431"/>
      <c r="AB405" s="2431"/>
      <c r="AC405" s="2431"/>
      <c r="AD405" s="2431"/>
      <c r="AE405" s="2431"/>
      <c r="AF405" s="2468"/>
      <c r="AG405" s="2469"/>
      <c r="AH405" s="2469"/>
      <c r="AI405" s="2469"/>
      <c r="AJ405" s="2469"/>
      <c r="AK405" s="2469"/>
      <c r="AL405" s="2469"/>
      <c r="AM405" s="2469"/>
      <c r="AN405" s="2469"/>
      <c r="AO405" s="2469"/>
      <c r="AP405" s="2469"/>
      <c r="AQ405" s="2470"/>
      <c r="AR405" s="2297"/>
      <c r="AS405" s="2297"/>
      <c r="AT405" s="2135"/>
      <c r="AU405" s="2135"/>
      <c r="AV405" s="2135"/>
      <c r="AW405" s="2135"/>
      <c r="AX405" s="2135"/>
      <c r="AY405" s="2135"/>
      <c r="AZ405" s="2135"/>
      <c r="BA405" s="2135"/>
      <c r="BB405" s="2135"/>
      <c r="BC405" s="2135"/>
      <c r="BD405" s="2135"/>
      <c r="BE405" s="2135"/>
      <c r="BF405" s="2135"/>
      <c r="BG405" s="2135"/>
      <c r="BH405" s="2135"/>
      <c r="BI405" s="2135"/>
      <c r="BJ405" s="2135"/>
      <c r="BK405" s="2135"/>
      <c r="BL405" s="2135"/>
      <c r="BM405" s="2135"/>
      <c r="BN405" s="2135"/>
      <c r="BO405" s="2135"/>
      <c r="BP405" s="2135"/>
      <c r="BQ405" s="2135"/>
      <c r="BR405" s="2135"/>
      <c r="BS405" s="2354"/>
      <c r="BT405" s="2354"/>
      <c r="BU405" s="2354"/>
      <c r="BV405" s="2354"/>
      <c r="BW405" s="2354"/>
      <c r="BX405" s="2354"/>
      <c r="BY405" s="2354"/>
      <c r="BZ405" s="2297"/>
      <c r="CA405" s="2297"/>
      <c r="CB405" s="2693"/>
      <c r="CC405" s="2694"/>
      <c r="CD405" s="2694"/>
      <c r="CE405" s="2694"/>
      <c r="CF405" s="2694"/>
      <c r="CG405" s="2694"/>
      <c r="CH405" s="2694"/>
      <c r="CI405" s="2694"/>
      <c r="CJ405" s="2694"/>
      <c r="CK405" s="2694"/>
      <c r="CL405" s="2694"/>
      <c r="CM405" s="2694"/>
      <c r="CN405" s="2694"/>
      <c r="CO405" s="2694"/>
      <c r="CP405" s="2694"/>
      <c r="CQ405" s="2694"/>
      <c r="CR405" s="2694"/>
      <c r="CS405" s="2694"/>
      <c r="CT405" s="2694"/>
      <c r="CU405" s="2695"/>
      <c r="CV405" s="2300" t="str">
        <f t="shared" si="293"/>
        <v/>
      </c>
      <c r="CW405" s="2300"/>
      <c r="CX405" s="2300"/>
      <c r="CY405" s="2300"/>
      <c r="CZ405" s="2300"/>
      <c r="DA405" s="2300"/>
      <c r="DC405" s="329" t="str">
        <f t="shared" si="294"/>
        <v/>
      </c>
      <c r="DD405" s="197"/>
      <c r="DF405" s="14"/>
      <c r="DG405" s="14"/>
      <c r="DH405" s="14"/>
      <c r="DI405" s="1596"/>
      <c r="DJ405" s="1170" t="s">
        <v>2749</v>
      </c>
      <c r="DK405" s="1604" t="str">
        <f t="shared" si="295"/>
        <v/>
      </c>
      <c r="DL405" s="437" t="str">
        <f t="shared" si="296"/>
        <v/>
      </c>
      <c r="DM405" s="1128">
        <f t="shared" si="297"/>
        <v>0</v>
      </c>
      <c r="DN405" s="22">
        <f t="shared" si="298"/>
        <v>0</v>
      </c>
      <c r="DO405" s="22">
        <f t="shared" si="299"/>
        <v>0</v>
      </c>
      <c r="DP405" s="264">
        <f t="shared" si="300"/>
        <v>0</v>
      </c>
      <c r="DQ405" s="32" t="s">
        <v>751</v>
      </c>
      <c r="DR405" s="263" t="str">
        <f>IF($U405="",R404,U405)</f>
        <v>室内に面する部分の仕上げの劣化及び損傷の状況</v>
      </c>
      <c r="DS405" s="23">
        <f t="shared" si="301"/>
        <v>0</v>
      </c>
      <c r="DT405" s="29" t="str">
        <f t="shared" si="302"/>
        <v/>
      </c>
      <c r="DU405" s="242" t="str">
        <f t="shared" si="303"/>
        <v/>
      </c>
      <c r="DV405" s="57" t="str">
        <f>IF($DT405="要是正",MAX($DV$378:DV404)+1,"")</f>
        <v/>
      </c>
      <c r="DW405" s="30" t="str">
        <f t="shared" si="304"/>
        <v/>
      </c>
      <c r="DX405" s="30" t="str">
        <f t="shared" si="305"/>
        <v/>
      </c>
      <c r="DY405" s="13" t="str">
        <f t="shared" si="306"/>
        <v/>
      </c>
      <c r="DZ405" s="121" t="str">
        <f t="shared" si="307"/>
        <v/>
      </c>
      <c r="EA405" s="256" t="str">
        <f t="shared" si="308"/>
        <v/>
      </c>
      <c r="EB405" s="138" t="str">
        <f t="shared" si="309"/>
        <v/>
      </c>
      <c r="EC405" s="131" t="str">
        <f t="shared" si="310"/>
        <v>0</v>
      </c>
      <c r="ED405" s="54" t="str">
        <f t="shared" si="311"/>
        <v/>
      </c>
      <c r="EE405" s="131" t="str">
        <f t="shared" si="360"/>
        <v>0</v>
      </c>
      <c r="EF405" s="37" t="str">
        <f t="shared" si="312"/>
        <v/>
      </c>
      <c r="EG405" s="108" t="str">
        <f t="shared" si="313"/>
        <v/>
      </c>
      <c r="EH405" s="41" t="str">
        <f t="shared" si="314"/>
        <v>0</v>
      </c>
      <c r="EI405" s="54" t="str">
        <f t="shared" si="315"/>
        <v/>
      </c>
      <c r="EJ405" s="131" t="str">
        <f t="shared" si="361"/>
        <v>0</v>
      </c>
      <c r="EK405" s="241" t="str">
        <f t="shared" si="316"/>
        <v/>
      </c>
      <c r="EL405" s="242" t="e">
        <f t="shared" si="317"/>
        <v>#N/A</v>
      </c>
      <c r="EM405" s="57" t="e">
        <f t="shared" si="318"/>
        <v>#N/A</v>
      </c>
      <c r="EN405" s="243" t="e">
        <f t="shared" si="319"/>
        <v>#N/A</v>
      </c>
      <c r="FK405" s="326" t="str">
        <f t="shared" si="364"/>
        <v/>
      </c>
      <c r="FL405" s="326" t="str">
        <f t="shared" si="365"/>
        <v/>
      </c>
      <c r="FM405" s="326" t="str">
        <f t="shared" si="366"/>
        <v/>
      </c>
      <c r="FN405" s="326">
        <f t="shared" si="320"/>
        <v>0</v>
      </c>
      <c r="FO405" s="670" t="str">
        <f t="shared" si="367"/>
        <v/>
      </c>
      <c r="FQ405" s="138" t="str">
        <f t="shared" si="321"/>
        <v/>
      </c>
      <c r="FR405" s="131" t="str">
        <f t="shared" si="322"/>
        <v>0</v>
      </c>
      <c r="FS405" s="54" t="str">
        <f t="shared" si="323"/>
        <v/>
      </c>
      <c r="FT405" s="131" t="str">
        <f t="shared" si="362"/>
        <v>0</v>
      </c>
      <c r="FU405" s="217" t="str">
        <f t="shared" si="324"/>
        <v/>
      </c>
      <c r="FW405" s="667">
        <f t="shared" si="363"/>
        <v>0</v>
      </c>
      <c r="FX405" s="32"/>
      <c r="FY405" s="32"/>
      <c r="FZ405" s="668"/>
      <c r="GA405" s="14"/>
      <c r="GB405" s="658">
        <f t="shared" si="325"/>
        <v>0</v>
      </c>
      <c r="GC405" s="658">
        <f t="shared" si="326"/>
        <v>0</v>
      </c>
      <c r="GD405" s="658">
        <f t="shared" si="327"/>
        <v>0</v>
      </c>
      <c r="GE405" s="658" t="str">
        <f t="shared" si="328"/>
        <v/>
      </c>
      <c r="GF405" s="658" t="str">
        <f t="shared" si="329"/>
        <v/>
      </c>
      <c r="GG405" s="658" t="str">
        <f t="shared" si="330"/>
        <v/>
      </c>
      <c r="GH405" s="658" t="str">
        <f t="shared" si="331"/>
        <v/>
      </c>
      <c r="GI405" s="658" t="str">
        <f t="shared" si="332"/>
        <v/>
      </c>
      <c r="GJ405" s="658" t="str">
        <f t="shared" si="333"/>
        <v/>
      </c>
      <c r="GK405" s="658" t="str">
        <f t="shared" si="334"/>
        <v/>
      </c>
      <c r="GL405" s="658" t="str">
        <f t="shared" si="335"/>
        <v/>
      </c>
      <c r="GM405" s="658" t="str">
        <f t="shared" si="336"/>
        <v/>
      </c>
      <c r="GN405" s="658" t="str">
        <f t="shared" si="337"/>
        <v/>
      </c>
      <c r="GO405" s="658" t="str">
        <f t="shared" si="338"/>
        <v/>
      </c>
      <c r="GP405" s="658" t="str">
        <f t="shared" si="339"/>
        <v/>
      </c>
      <c r="GQ405" s="658" t="str">
        <f t="shared" si="340"/>
        <v/>
      </c>
      <c r="GR405" s="658" t="str">
        <f t="shared" si="341"/>
        <v/>
      </c>
      <c r="GS405" s="658" t="str">
        <f t="shared" si="342"/>
        <v/>
      </c>
      <c r="GT405" s="658">
        <f t="shared" si="368"/>
        <v>0</v>
      </c>
      <c r="GU405" s="658">
        <f t="shared" si="369"/>
        <v>0</v>
      </c>
      <c r="GV405" s="658">
        <f t="shared" si="370"/>
        <v>0</v>
      </c>
      <c r="GW405" s="658" t="b">
        <f t="shared" si="371"/>
        <v>0</v>
      </c>
      <c r="GX405" s="658" t="b">
        <f t="shared" si="372"/>
        <v>0</v>
      </c>
      <c r="GY405" s="658" t="b">
        <f t="shared" si="373"/>
        <v>0</v>
      </c>
      <c r="GZ405" s="658" t="str">
        <f t="shared" si="378"/>
        <v/>
      </c>
      <c r="HB405" s="658" t="str">
        <f t="shared" si="374"/>
        <v/>
      </c>
      <c r="HC405" s="658" t="str">
        <f t="shared" si="343"/>
        <v/>
      </c>
      <c r="HD405" s="658" t="str">
        <f t="shared" si="344"/>
        <v/>
      </c>
      <c r="HE405" s="658" t="str">
        <f t="shared" si="345"/>
        <v/>
      </c>
      <c r="HF405" s="658" t="str">
        <f t="shared" si="346"/>
        <v/>
      </c>
      <c r="HG405" s="658" t="str">
        <f t="shared" si="347"/>
        <v/>
      </c>
      <c r="HH405" s="658" t="str">
        <f t="shared" si="348"/>
        <v/>
      </c>
      <c r="HI405" s="658" t="str">
        <f t="shared" si="349"/>
        <v/>
      </c>
      <c r="HJ405" s="658" t="str">
        <f t="shared" si="350"/>
        <v/>
      </c>
      <c r="HK405" s="658" t="str">
        <f t="shared" si="351"/>
        <v/>
      </c>
      <c r="HL405" s="658" t="str">
        <f t="shared" si="352"/>
        <v/>
      </c>
      <c r="HM405" s="658" t="str">
        <f t="shared" si="353"/>
        <v/>
      </c>
      <c r="HN405" s="658" t="str">
        <f t="shared" si="354"/>
        <v/>
      </c>
      <c r="HO405" s="658" t="str">
        <f t="shared" si="355"/>
        <v/>
      </c>
      <c r="HP405" s="658" t="str">
        <f t="shared" si="356"/>
        <v/>
      </c>
      <c r="HQ405" s="658" t="str">
        <f t="shared" si="357"/>
        <v/>
      </c>
      <c r="HR405" s="658" t="str">
        <f t="shared" si="375"/>
        <v/>
      </c>
      <c r="HT405" s="658">
        <f>LEFT(M405,1)*10000+MID(M405,3,LEN(M405)-3)*100+COUNTIF($M$319:M405,M405)</f>
        <v>42401</v>
      </c>
      <c r="HU405" s="658" t="str">
        <f t="shared" si="376"/>
        <v/>
      </c>
      <c r="HV405" s="658" t="str">
        <f t="shared" si="358"/>
        <v/>
      </c>
      <c r="HW405" s="658" t="str">
        <f t="shared" si="377"/>
        <v/>
      </c>
      <c r="HX405" s="658" t="str">
        <f t="shared" si="359"/>
        <v/>
      </c>
    </row>
    <row r="406" spans="1:232" s="19" customFormat="1" ht="50.1" customHeight="1" x14ac:dyDescent="0.15">
      <c r="A406" s="1201"/>
      <c r="B406" s="1201"/>
      <c r="C406" s="1201"/>
      <c r="D406" s="1201"/>
      <c r="E406" s="1202"/>
      <c r="F406" s="652"/>
      <c r="G406" s="652"/>
      <c r="H406" s="652"/>
      <c r="I406" s="1357"/>
      <c r="J406" s="1234"/>
      <c r="K406" s="1261"/>
      <c r="L406" s="1261"/>
      <c r="M406" s="2423" t="s">
        <v>1174</v>
      </c>
      <c r="N406" s="2423"/>
      <c r="O406" s="2424"/>
      <c r="P406" s="2433"/>
      <c r="Q406" s="2433"/>
      <c r="R406" s="2148" t="s">
        <v>177</v>
      </c>
      <c r="S406" s="2148"/>
      <c r="T406" s="2148"/>
      <c r="U406" s="2429" t="s">
        <v>178</v>
      </c>
      <c r="V406" s="2429"/>
      <c r="W406" s="2429"/>
      <c r="X406" s="2429"/>
      <c r="Y406" s="2429"/>
      <c r="Z406" s="2429"/>
      <c r="AA406" s="2429"/>
      <c r="AB406" s="2429"/>
      <c r="AC406" s="2429"/>
      <c r="AD406" s="2429"/>
      <c r="AE406" s="2429"/>
      <c r="AF406" s="2293"/>
      <c r="AG406" s="2293"/>
      <c r="AH406" s="2293"/>
      <c r="AI406" s="2293"/>
      <c r="AJ406" s="2293"/>
      <c r="AK406" s="2293"/>
      <c r="AL406" s="2293"/>
      <c r="AM406" s="2293"/>
      <c r="AN406" s="2293"/>
      <c r="AO406" s="2293"/>
      <c r="AP406" s="2293"/>
      <c r="AQ406" s="2293"/>
      <c r="AR406" s="2359"/>
      <c r="AS406" s="2359"/>
      <c r="AT406" s="2301"/>
      <c r="AU406" s="2301"/>
      <c r="AV406" s="2301"/>
      <c r="AW406" s="2301"/>
      <c r="AX406" s="2301"/>
      <c r="AY406" s="2301"/>
      <c r="AZ406" s="2301"/>
      <c r="BA406" s="2301"/>
      <c r="BB406" s="2301"/>
      <c r="BC406" s="2301"/>
      <c r="BD406" s="2301"/>
      <c r="BE406" s="2301"/>
      <c r="BF406" s="2301"/>
      <c r="BG406" s="2301"/>
      <c r="BH406" s="2301"/>
      <c r="BI406" s="2301"/>
      <c r="BJ406" s="2301"/>
      <c r="BK406" s="2301"/>
      <c r="BL406" s="2301"/>
      <c r="BM406" s="2301"/>
      <c r="BN406" s="2301"/>
      <c r="BO406" s="2301"/>
      <c r="BP406" s="2301"/>
      <c r="BQ406" s="2301"/>
      <c r="BR406" s="2301"/>
      <c r="BS406" s="2358"/>
      <c r="BT406" s="2358"/>
      <c r="BU406" s="2358"/>
      <c r="BV406" s="2358"/>
      <c r="BW406" s="2358"/>
      <c r="BX406" s="2358"/>
      <c r="BY406" s="2358"/>
      <c r="BZ406" s="2359"/>
      <c r="CA406" s="2359"/>
      <c r="CB406" s="2389"/>
      <c r="CC406" s="2390"/>
      <c r="CD406" s="2390"/>
      <c r="CE406" s="2390"/>
      <c r="CF406" s="2390"/>
      <c r="CG406" s="2390"/>
      <c r="CH406" s="2390"/>
      <c r="CI406" s="2390"/>
      <c r="CJ406" s="2390"/>
      <c r="CK406" s="2390"/>
      <c r="CL406" s="2390"/>
      <c r="CM406" s="2390"/>
      <c r="CN406" s="2390"/>
      <c r="CO406" s="2390"/>
      <c r="CP406" s="2390"/>
      <c r="CQ406" s="2390"/>
      <c r="CR406" s="2390"/>
      <c r="CS406" s="2390"/>
      <c r="CT406" s="2390"/>
      <c r="CU406" s="2391"/>
      <c r="CV406" s="2300" t="str">
        <f t="shared" si="293"/>
        <v/>
      </c>
      <c r="CW406" s="2300"/>
      <c r="CX406" s="2300"/>
      <c r="CY406" s="2300"/>
      <c r="CZ406" s="2300"/>
      <c r="DA406" s="2300"/>
      <c r="DC406" s="329" t="str">
        <f t="shared" si="294"/>
        <v/>
      </c>
      <c r="DD406" s="197"/>
      <c r="DF406" s="14"/>
      <c r="DG406" s="14"/>
      <c r="DH406" s="14"/>
      <c r="DI406" s="1596"/>
      <c r="DJ406" s="1170" t="s">
        <v>2749</v>
      </c>
      <c r="DK406" s="1604" t="str">
        <f t="shared" si="295"/>
        <v/>
      </c>
      <c r="DL406" s="437" t="str">
        <f t="shared" si="296"/>
        <v/>
      </c>
      <c r="DM406" s="1128">
        <f t="shared" si="297"/>
        <v>0</v>
      </c>
      <c r="DN406" s="22">
        <f t="shared" si="298"/>
        <v>0</v>
      </c>
      <c r="DO406" s="22">
        <f t="shared" si="299"/>
        <v>0</v>
      </c>
      <c r="DP406" s="264">
        <f t="shared" si="300"/>
        <v>0</v>
      </c>
      <c r="DQ406" s="32" t="s">
        <v>752</v>
      </c>
      <c r="DR406" s="263" t="str">
        <f t="shared" ref="DR406:DR431" si="379">IF($U406="",R406,U406)</f>
        <v>特定天井の天井材の劣化及び損傷の状況</v>
      </c>
      <c r="DS406" s="23">
        <f t="shared" si="301"/>
        <v>0</v>
      </c>
      <c r="DT406" s="29" t="str">
        <f t="shared" si="302"/>
        <v/>
      </c>
      <c r="DU406" s="242" t="str">
        <f t="shared" si="303"/>
        <v/>
      </c>
      <c r="DV406" s="57" t="str">
        <f>IF($DT406="要是正",MAX($DV$378:DV405)+1,"")</f>
        <v/>
      </c>
      <c r="DW406" s="30" t="str">
        <f t="shared" si="304"/>
        <v/>
      </c>
      <c r="DX406" s="30" t="str">
        <f t="shared" si="305"/>
        <v/>
      </c>
      <c r="DY406" s="13" t="str">
        <f t="shared" si="306"/>
        <v/>
      </c>
      <c r="DZ406" s="121" t="str">
        <f t="shared" si="307"/>
        <v/>
      </c>
      <c r="EA406" s="256" t="str">
        <f t="shared" si="308"/>
        <v/>
      </c>
      <c r="EB406" s="138" t="str">
        <f t="shared" si="309"/>
        <v/>
      </c>
      <c r="EC406" s="131" t="str">
        <f t="shared" si="310"/>
        <v>0</v>
      </c>
      <c r="ED406" s="54" t="str">
        <f t="shared" si="311"/>
        <v/>
      </c>
      <c r="EE406" s="131" t="str">
        <f t="shared" si="360"/>
        <v>0</v>
      </c>
      <c r="EF406" s="37" t="str">
        <f t="shared" si="312"/>
        <v/>
      </c>
      <c r="EG406" s="108" t="str">
        <f t="shared" si="313"/>
        <v/>
      </c>
      <c r="EH406" s="41" t="str">
        <f t="shared" si="314"/>
        <v>0</v>
      </c>
      <c r="EI406" s="54" t="str">
        <f t="shared" si="315"/>
        <v/>
      </c>
      <c r="EJ406" s="131" t="str">
        <f t="shared" si="361"/>
        <v>0</v>
      </c>
      <c r="EK406" s="241" t="str">
        <f t="shared" si="316"/>
        <v/>
      </c>
      <c r="EL406" s="242" t="e">
        <f t="shared" si="317"/>
        <v>#N/A</v>
      </c>
      <c r="EM406" s="57" t="e">
        <f t="shared" si="318"/>
        <v>#N/A</v>
      </c>
      <c r="EN406" s="243" t="e">
        <f t="shared" si="319"/>
        <v>#N/A</v>
      </c>
      <c r="FK406" s="326" t="str">
        <f t="shared" si="364"/>
        <v/>
      </c>
      <c r="FL406" s="326" t="str">
        <f t="shared" si="365"/>
        <v/>
      </c>
      <c r="FM406" s="326" t="str">
        <f t="shared" si="366"/>
        <v/>
      </c>
      <c r="FN406" s="326">
        <f t="shared" si="320"/>
        <v>0</v>
      </c>
      <c r="FO406" s="670" t="str">
        <f t="shared" si="367"/>
        <v/>
      </c>
      <c r="FQ406" s="138" t="str">
        <f t="shared" si="321"/>
        <v/>
      </c>
      <c r="FR406" s="131" t="str">
        <f t="shared" si="322"/>
        <v>0</v>
      </c>
      <c r="FS406" s="54" t="str">
        <f t="shared" si="323"/>
        <v/>
      </c>
      <c r="FT406" s="131" t="str">
        <f t="shared" si="362"/>
        <v>0</v>
      </c>
      <c r="FU406" s="217" t="str">
        <f t="shared" si="324"/>
        <v/>
      </c>
      <c r="FW406" s="667">
        <f t="shared" si="363"/>
        <v>0</v>
      </c>
      <c r="FX406" s="32"/>
      <c r="FY406" s="32"/>
      <c r="FZ406" s="668"/>
      <c r="GA406" s="14"/>
      <c r="GB406" s="658">
        <f t="shared" si="325"/>
        <v>0</v>
      </c>
      <c r="GC406" s="658">
        <f t="shared" si="326"/>
        <v>0</v>
      </c>
      <c r="GD406" s="658">
        <f t="shared" si="327"/>
        <v>0</v>
      </c>
      <c r="GE406" s="658" t="str">
        <f t="shared" si="328"/>
        <v/>
      </c>
      <c r="GF406" s="658" t="str">
        <f t="shared" si="329"/>
        <v/>
      </c>
      <c r="GG406" s="658" t="str">
        <f t="shared" si="330"/>
        <v/>
      </c>
      <c r="GH406" s="658" t="str">
        <f t="shared" si="331"/>
        <v/>
      </c>
      <c r="GI406" s="658" t="str">
        <f t="shared" si="332"/>
        <v/>
      </c>
      <c r="GJ406" s="658" t="str">
        <f t="shared" si="333"/>
        <v/>
      </c>
      <c r="GK406" s="658" t="str">
        <f t="shared" si="334"/>
        <v/>
      </c>
      <c r="GL406" s="658" t="str">
        <f t="shared" si="335"/>
        <v/>
      </c>
      <c r="GM406" s="658" t="str">
        <f t="shared" si="336"/>
        <v/>
      </c>
      <c r="GN406" s="658" t="str">
        <f t="shared" si="337"/>
        <v/>
      </c>
      <c r="GO406" s="658" t="str">
        <f t="shared" si="338"/>
        <v/>
      </c>
      <c r="GP406" s="658" t="str">
        <f t="shared" si="339"/>
        <v/>
      </c>
      <c r="GQ406" s="658" t="str">
        <f t="shared" si="340"/>
        <v/>
      </c>
      <c r="GR406" s="658" t="str">
        <f t="shared" si="341"/>
        <v/>
      </c>
      <c r="GS406" s="658" t="str">
        <f t="shared" si="342"/>
        <v/>
      </c>
      <c r="GT406" s="658">
        <f t="shared" si="368"/>
        <v>0</v>
      </c>
      <c r="GU406" s="658">
        <f t="shared" si="369"/>
        <v>0</v>
      </c>
      <c r="GV406" s="658">
        <f t="shared" si="370"/>
        <v>0</v>
      </c>
      <c r="GW406" s="658" t="b">
        <f t="shared" si="371"/>
        <v>0</v>
      </c>
      <c r="GX406" s="658" t="b">
        <f t="shared" si="372"/>
        <v>0</v>
      </c>
      <c r="GY406" s="658" t="b">
        <f t="shared" si="373"/>
        <v>0</v>
      </c>
      <c r="GZ406" s="658" t="str">
        <f t="shared" si="378"/>
        <v/>
      </c>
      <c r="HB406" s="658" t="str">
        <f t="shared" si="374"/>
        <v/>
      </c>
      <c r="HC406" s="658" t="str">
        <f t="shared" si="343"/>
        <v/>
      </c>
      <c r="HD406" s="658" t="str">
        <f t="shared" si="344"/>
        <v/>
      </c>
      <c r="HE406" s="658" t="str">
        <f t="shared" si="345"/>
        <v/>
      </c>
      <c r="HF406" s="658" t="str">
        <f t="shared" si="346"/>
        <v/>
      </c>
      <c r="HG406" s="658" t="str">
        <f t="shared" si="347"/>
        <v/>
      </c>
      <c r="HH406" s="658" t="str">
        <f t="shared" si="348"/>
        <v/>
      </c>
      <c r="HI406" s="658" t="str">
        <f t="shared" si="349"/>
        <v/>
      </c>
      <c r="HJ406" s="658" t="str">
        <f t="shared" si="350"/>
        <v/>
      </c>
      <c r="HK406" s="658" t="str">
        <f t="shared" si="351"/>
        <v/>
      </c>
      <c r="HL406" s="658" t="str">
        <f t="shared" si="352"/>
        <v/>
      </c>
      <c r="HM406" s="658" t="str">
        <f t="shared" si="353"/>
        <v/>
      </c>
      <c r="HN406" s="658" t="str">
        <f t="shared" si="354"/>
        <v/>
      </c>
      <c r="HO406" s="658" t="str">
        <f t="shared" si="355"/>
        <v/>
      </c>
      <c r="HP406" s="658" t="str">
        <f t="shared" si="356"/>
        <v/>
      </c>
      <c r="HQ406" s="658" t="str">
        <f t="shared" si="357"/>
        <v/>
      </c>
      <c r="HR406" s="658" t="str">
        <f t="shared" si="375"/>
        <v/>
      </c>
      <c r="HT406" s="658">
        <f>LEFT(M406,1)*10000+MID(M406,3,LEN(M406)-3)*100+COUNTIF($M$319:M406,M406)</f>
        <v>42501</v>
      </c>
      <c r="HU406" s="658" t="str">
        <f t="shared" si="376"/>
        <v/>
      </c>
      <c r="HV406" s="658" t="str">
        <f t="shared" si="358"/>
        <v/>
      </c>
      <c r="HW406" s="658" t="str">
        <f t="shared" si="377"/>
        <v/>
      </c>
      <c r="HX406" s="658" t="str">
        <f t="shared" si="359"/>
        <v/>
      </c>
    </row>
    <row r="407" spans="1:232" s="19" customFormat="1" ht="50.1" customHeight="1" x14ac:dyDescent="0.15">
      <c r="A407" s="1201"/>
      <c r="B407" s="1201"/>
      <c r="C407" s="1201"/>
      <c r="D407" s="1201"/>
      <c r="E407" s="1202"/>
      <c r="F407" s="652"/>
      <c r="G407" s="652"/>
      <c r="H407" s="652"/>
      <c r="I407" s="1357"/>
      <c r="J407" s="1234"/>
      <c r="K407" s="1261"/>
      <c r="L407" s="1261"/>
      <c r="M407" s="2423" t="s">
        <v>1175</v>
      </c>
      <c r="N407" s="2423"/>
      <c r="O407" s="2424"/>
      <c r="P407" s="2686" t="s">
        <v>3072</v>
      </c>
      <c r="Q407" s="2686"/>
      <c r="R407" s="2686"/>
      <c r="S407" s="2686"/>
      <c r="T407" s="2686"/>
      <c r="U407" s="2438" t="s">
        <v>218</v>
      </c>
      <c r="V407" s="2438"/>
      <c r="W407" s="2438"/>
      <c r="X407" s="2438"/>
      <c r="Y407" s="2438"/>
      <c r="Z407" s="2438"/>
      <c r="AA407" s="2438"/>
      <c r="AB407" s="2438"/>
      <c r="AC407" s="2438"/>
      <c r="AD407" s="2438"/>
      <c r="AE407" s="2438"/>
      <c r="AF407" s="2302"/>
      <c r="AG407" s="2302"/>
      <c r="AH407" s="2302"/>
      <c r="AI407" s="2302"/>
      <c r="AJ407" s="2302"/>
      <c r="AK407" s="2302"/>
      <c r="AL407" s="2302"/>
      <c r="AM407" s="2302"/>
      <c r="AN407" s="2302"/>
      <c r="AO407" s="2302"/>
      <c r="AP407" s="2302"/>
      <c r="AQ407" s="2302"/>
      <c r="AR407" s="2272"/>
      <c r="AS407" s="2272"/>
      <c r="AT407" s="2406"/>
      <c r="AU407" s="2406"/>
      <c r="AV407" s="2406"/>
      <c r="AW407" s="2406"/>
      <c r="AX407" s="2406"/>
      <c r="AY407" s="2406"/>
      <c r="AZ407" s="2406"/>
      <c r="BA407" s="2406"/>
      <c r="BB407" s="2406"/>
      <c r="BC407" s="2406"/>
      <c r="BD407" s="2406"/>
      <c r="BE407" s="2406"/>
      <c r="BF407" s="2406"/>
      <c r="BG407" s="2406"/>
      <c r="BH407" s="2406"/>
      <c r="BI407" s="2406"/>
      <c r="BJ407" s="2406"/>
      <c r="BK407" s="2406"/>
      <c r="BL407" s="2406"/>
      <c r="BM407" s="2406"/>
      <c r="BN407" s="2406"/>
      <c r="BO407" s="2406"/>
      <c r="BP407" s="2406"/>
      <c r="BQ407" s="2406"/>
      <c r="BR407" s="2406"/>
      <c r="BS407" s="2271"/>
      <c r="BT407" s="2271"/>
      <c r="BU407" s="2271"/>
      <c r="BV407" s="2271"/>
      <c r="BW407" s="2271"/>
      <c r="BX407" s="2271"/>
      <c r="BY407" s="2271"/>
      <c r="BZ407" s="2272"/>
      <c r="CA407" s="2272"/>
      <c r="CB407" s="2696" t="s">
        <v>3328</v>
      </c>
      <c r="CC407" s="2697"/>
      <c r="CD407" s="2697"/>
      <c r="CE407" s="2697"/>
      <c r="CF407" s="2697"/>
      <c r="CG407" s="2697"/>
      <c r="CH407" s="2697"/>
      <c r="CI407" s="2697"/>
      <c r="CJ407" s="2697"/>
      <c r="CK407" s="2697"/>
      <c r="CL407" s="2697"/>
      <c r="CM407" s="2697"/>
      <c r="CN407" s="2697"/>
      <c r="CO407" s="2697"/>
      <c r="CP407" s="2697"/>
      <c r="CQ407" s="2697"/>
      <c r="CR407" s="2697"/>
      <c r="CS407" s="2697"/>
      <c r="CT407" s="2697"/>
      <c r="CU407" s="2698"/>
      <c r="CV407" s="2300" t="str">
        <f t="shared" si="293"/>
        <v/>
      </c>
      <c r="CW407" s="2300"/>
      <c r="CX407" s="2300"/>
      <c r="CY407" s="2300"/>
      <c r="CZ407" s="2300"/>
      <c r="DA407" s="2300"/>
      <c r="DC407" s="329" t="str">
        <f t="shared" si="294"/>
        <v/>
      </c>
      <c r="DD407" s="197"/>
      <c r="DF407" s="14"/>
      <c r="DG407" s="14"/>
      <c r="DH407" s="14"/>
      <c r="DI407" s="1596"/>
      <c r="DJ407" s="1170" t="s">
        <v>2749</v>
      </c>
      <c r="DK407" s="1604" t="str">
        <f t="shared" si="295"/>
        <v/>
      </c>
      <c r="DL407" s="437" t="str">
        <f t="shared" si="296"/>
        <v/>
      </c>
      <c r="DM407" s="1128">
        <f t="shared" si="297"/>
        <v>0</v>
      </c>
      <c r="DN407" s="22">
        <f t="shared" si="298"/>
        <v>0</v>
      </c>
      <c r="DO407" s="22">
        <f t="shared" si="299"/>
        <v>0</v>
      </c>
      <c r="DP407" s="264">
        <f t="shared" si="300"/>
        <v>0</v>
      </c>
      <c r="DQ407" s="32" t="s">
        <v>753</v>
      </c>
      <c r="DR407" s="263" t="str">
        <f t="shared" si="379"/>
        <v>区画に対応した防火設備又は戸の設置の状況</v>
      </c>
      <c r="DS407" s="23">
        <f t="shared" si="301"/>
        <v>0</v>
      </c>
      <c r="DT407" s="29" t="str">
        <f t="shared" si="302"/>
        <v/>
      </c>
      <c r="DU407" s="242" t="str">
        <f t="shared" si="303"/>
        <v/>
      </c>
      <c r="DV407" s="57" t="str">
        <f>IF($DT407="要是正",MAX($DV$378:DV406)+1,"")</f>
        <v/>
      </c>
      <c r="DW407" s="30" t="str">
        <f t="shared" si="304"/>
        <v/>
      </c>
      <c r="DX407" s="30" t="str">
        <f t="shared" si="305"/>
        <v/>
      </c>
      <c r="DY407" s="13" t="str">
        <f t="shared" si="306"/>
        <v/>
      </c>
      <c r="DZ407" s="121" t="str">
        <f t="shared" si="307"/>
        <v/>
      </c>
      <c r="EA407" s="256" t="str">
        <f t="shared" si="308"/>
        <v/>
      </c>
      <c r="EB407" s="138" t="str">
        <f t="shared" si="309"/>
        <v/>
      </c>
      <c r="EC407" s="131" t="str">
        <f t="shared" si="310"/>
        <v>0</v>
      </c>
      <c r="ED407" s="54" t="str">
        <f t="shared" si="311"/>
        <v/>
      </c>
      <c r="EE407" s="131" t="str">
        <f t="shared" si="360"/>
        <v>0</v>
      </c>
      <c r="EF407" s="37" t="str">
        <f t="shared" si="312"/>
        <v/>
      </c>
      <c r="EG407" s="108" t="str">
        <f t="shared" si="313"/>
        <v/>
      </c>
      <c r="EH407" s="41" t="str">
        <f t="shared" si="314"/>
        <v>0</v>
      </c>
      <c r="EI407" s="54" t="str">
        <f t="shared" si="315"/>
        <v/>
      </c>
      <c r="EJ407" s="131" t="str">
        <f t="shared" si="361"/>
        <v>0</v>
      </c>
      <c r="EK407" s="241" t="str">
        <f t="shared" si="316"/>
        <v/>
      </c>
      <c r="EL407" s="242" t="e">
        <f t="shared" si="317"/>
        <v>#N/A</v>
      </c>
      <c r="EM407" s="57" t="e">
        <f t="shared" si="318"/>
        <v>#N/A</v>
      </c>
      <c r="EN407" s="243" t="e">
        <f t="shared" si="319"/>
        <v>#N/A</v>
      </c>
      <c r="FK407" s="326" t="str">
        <f t="shared" si="364"/>
        <v/>
      </c>
      <c r="FL407" s="326" t="str">
        <f t="shared" si="365"/>
        <v/>
      </c>
      <c r="FM407" s="326" t="str">
        <f t="shared" si="366"/>
        <v/>
      </c>
      <c r="FN407" s="326">
        <f t="shared" si="320"/>
        <v>0</v>
      </c>
      <c r="FO407" s="670" t="str">
        <f t="shared" si="367"/>
        <v/>
      </c>
      <c r="FQ407" s="138" t="str">
        <f t="shared" si="321"/>
        <v/>
      </c>
      <c r="FR407" s="131" t="str">
        <f t="shared" si="322"/>
        <v>0</v>
      </c>
      <c r="FS407" s="54" t="str">
        <f t="shared" si="323"/>
        <v/>
      </c>
      <c r="FT407" s="131" t="str">
        <f t="shared" si="362"/>
        <v>0</v>
      </c>
      <c r="FU407" s="217" t="str">
        <f t="shared" si="324"/>
        <v/>
      </c>
      <c r="FW407" s="667">
        <f t="shared" si="363"/>
        <v>0</v>
      </c>
      <c r="FX407" s="32"/>
      <c r="FY407" s="32"/>
      <c r="FZ407" s="668"/>
      <c r="GA407" s="14"/>
      <c r="GB407" s="658">
        <f t="shared" si="325"/>
        <v>0</v>
      </c>
      <c r="GC407" s="658">
        <f t="shared" si="326"/>
        <v>0</v>
      </c>
      <c r="GD407" s="658">
        <f t="shared" si="327"/>
        <v>0</v>
      </c>
      <c r="GE407" s="658" t="str">
        <f t="shared" si="328"/>
        <v/>
      </c>
      <c r="GF407" s="658" t="str">
        <f t="shared" si="329"/>
        <v/>
      </c>
      <c r="GG407" s="658" t="str">
        <f t="shared" si="330"/>
        <v/>
      </c>
      <c r="GH407" s="658" t="str">
        <f t="shared" si="331"/>
        <v/>
      </c>
      <c r="GI407" s="658" t="str">
        <f t="shared" si="332"/>
        <v/>
      </c>
      <c r="GJ407" s="658" t="str">
        <f t="shared" si="333"/>
        <v/>
      </c>
      <c r="GK407" s="658" t="str">
        <f t="shared" si="334"/>
        <v/>
      </c>
      <c r="GL407" s="658" t="str">
        <f t="shared" si="335"/>
        <v/>
      </c>
      <c r="GM407" s="658" t="str">
        <f t="shared" si="336"/>
        <v/>
      </c>
      <c r="GN407" s="658" t="str">
        <f t="shared" si="337"/>
        <v/>
      </c>
      <c r="GO407" s="658" t="str">
        <f t="shared" si="338"/>
        <v/>
      </c>
      <c r="GP407" s="658" t="str">
        <f t="shared" si="339"/>
        <v/>
      </c>
      <c r="GQ407" s="658" t="str">
        <f t="shared" si="340"/>
        <v/>
      </c>
      <c r="GR407" s="658" t="str">
        <f t="shared" si="341"/>
        <v/>
      </c>
      <c r="GS407" s="658" t="str">
        <f t="shared" si="342"/>
        <v/>
      </c>
      <c r="GT407" s="658">
        <f t="shared" si="368"/>
        <v>0</v>
      </c>
      <c r="GU407" s="658">
        <f t="shared" si="369"/>
        <v>0</v>
      </c>
      <c r="GV407" s="658">
        <f t="shared" si="370"/>
        <v>0</v>
      </c>
      <c r="GW407" s="658" t="b">
        <f t="shared" si="371"/>
        <v>0</v>
      </c>
      <c r="GX407" s="658" t="b">
        <f t="shared" si="372"/>
        <v>0</v>
      </c>
      <c r="GY407" s="658" t="b">
        <f t="shared" si="373"/>
        <v>0</v>
      </c>
      <c r="GZ407" s="658" t="str">
        <f t="shared" si="378"/>
        <v/>
      </c>
      <c r="HB407" s="658" t="str">
        <f t="shared" si="374"/>
        <v/>
      </c>
      <c r="HC407" s="658" t="str">
        <f t="shared" si="343"/>
        <v/>
      </c>
      <c r="HD407" s="658" t="str">
        <f t="shared" si="344"/>
        <v/>
      </c>
      <c r="HE407" s="658" t="str">
        <f t="shared" si="345"/>
        <v/>
      </c>
      <c r="HF407" s="658" t="str">
        <f t="shared" si="346"/>
        <v/>
      </c>
      <c r="HG407" s="658" t="str">
        <f t="shared" si="347"/>
        <v/>
      </c>
      <c r="HH407" s="658" t="str">
        <f t="shared" si="348"/>
        <v/>
      </c>
      <c r="HI407" s="658" t="str">
        <f t="shared" si="349"/>
        <v/>
      </c>
      <c r="HJ407" s="658" t="str">
        <f t="shared" si="350"/>
        <v/>
      </c>
      <c r="HK407" s="658" t="str">
        <f t="shared" si="351"/>
        <v/>
      </c>
      <c r="HL407" s="658" t="str">
        <f t="shared" si="352"/>
        <v/>
      </c>
      <c r="HM407" s="658" t="str">
        <f t="shared" si="353"/>
        <v/>
      </c>
      <c r="HN407" s="658" t="str">
        <f t="shared" si="354"/>
        <v/>
      </c>
      <c r="HO407" s="658" t="str">
        <f t="shared" si="355"/>
        <v/>
      </c>
      <c r="HP407" s="658" t="str">
        <f t="shared" si="356"/>
        <v/>
      </c>
      <c r="HQ407" s="658" t="str">
        <f t="shared" si="357"/>
        <v/>
      </c>
      <c r="HR407" s="658" t="str">
        <f t="shared" si="375"/>
        <v/>
      </c>
      <c r="HT407" s="658">
        <f>LEFT(M407,1)*10000+MID(M407,3,LEN(M407)-3)*100+COUNTIF($M$319:M407,M407)</f>
        <v>42601</v>
      </c>
      <c r="HU407" s="658" t="str">
        <f t="shared" si="376"/>
        <v/>
      </c>
      <c r="HV407" s="658" t="str">
        <f t="shared" si="358"/>
        <v/>
      </c>
      <c r="HW407" s="658" t="str">
        <f t="shared" si="377"/>
        <v/>
      </c>
      <c r="HX407" s="658" t="str">
        <f t="shared" si="359"/>
        <v/>
      </c>
    </row>
    <row r="408" spans="1:232" s="19" customFormat="1" ht="80.099999999999994" customHeight="1" x14ac:dyDescent="0.15">
      <c r="A408" s="1201"/>
      <c r="B408" s="1201"/>
      <c r="C408" s="1201"/>
      <c r="D408" s="1201"/>
      <c r="E408" s="1202"/>
      <c r="F408" s="652"/>
      <c r="G408" s="652"/>
      <c r="H408" s="652"/>
      <c r="I408" s="1357"/>
      <c r="J408" s="1234"/>
      <c r="K408" s="1261"/>
      <c r="L408" s="1261"/>
      <c r="M408" s="2423" t="s">
        <v>1176</v>
      </c>
      <c r="N408" s="2423"/>
      <c r="O408" s="2424"/>
      <c r="P408" s="2687"/>
      <c r="Q408" s="2687"/>
      <c r="R408" s="2687"/>
      <c r="S408" s="2687"/>
      <c r="T408" s="2687"/>
      <c r="U408" s="2435" t="s">
        <v>219</v>
      </c>
      <c r="V408" s="2435"/>
      <c r="W408" s="2435"/>
      <c r="X408" s="2435"/>
      <c r="Y408" s="2435"/>
      <c r="Z408" s="2435"/>
      <c r="AA408" s="2435"/>
      <c r="AB408" s="2435"/>
      <c r="AC408" s="2435"/>
      <c r="AD408" s="2435"/>
      <c r="AE408" s="2435"/>
      <c r="AF408" s="2282"/>
      <c r="AG408" s="2282"/>
      <c r="AH408" s="2282"/>
      <c r="AI408" s="2282"/>
      <c r="AJ408" s="2282"/>
      <c r="AK408" s="2282"/>
      <c r="AL408" s="2282"/>
      <c r="AM408" s="2282"/>
      <c r="AN408" s="2282"/>
      <c r="AO408" s="2282"/>
      <c r="AP408" s="2282"/>
      <c r="AQ408" s="2282"/>
      <c r="AR408" s="2151"/>
      <c r="AS408" s="2151"/>
      <c r="AT408" s="2292"/>
      <c r="AU408" s="2292"/>
      <c r="AV408" s="2292"/>
      <c r="AW408" s="2292"/>
      <c r="AX408" s="2292"/>
      <c r="AY408" s="2292"/>
      <c r="AZ408" s="2292"/>
      <c r="BA408" s="2292"/>
      <c r="BB408" s="2292"/>
      <c r="BC408" s="2292"/>
      <c r="BD408" s="2292"/>
      <c r="BE408" s="2292"/>
      <c r="BF408" s="2292"/>
      <c r="BG408" s="2292"/>
      <c r="BH408" s="2292"/>
      <c r="BI408" s="2292"/>
      <c r="BJ408" s="2292"/>
      <c r="BK408" s="2292"/>
      <c r="BL408" s="2292"/>
      <c r="BM408" s="2292"/>
      <c r="BN408" s="2292"/>
      <c r="BO408" s="2292"/>
      <c r="BP408" s="2292"/>
      <c r="BQ408" s="2292"/>
      <c r="BR408" s="2292"/>
      <c r="BS408" s="2269"/>
      <c r="BT408" s="2269"/>
      <c r="BU408" s="2269"/>
      <c r="BV408" s="2269"/>
      <c r="BW408" s="2269"/>
      <c r="BX408" s="2269"/>
      <c r="BY408" s="2269"/>
      <c r="BZ408" s="2151"/>
      <c r="CA408" s="2151"/>
      <c r="CB408" s="2670"/>
      <c r="CC408" s="2144"/>
      <c r="CD408" s="2144"/>
      <c r="CE408" s="2144"/>
      <c r="CF408" s="2144"/>
      <c r="CG408" s="2144"/>
      <c r="CH408" s="2144"/>
      <c r="CI408" s="2144"/>
      <c r="CJ408" s="2144"/>
      <c r="CK408" s="2144"/>
      <c r="CL408" s="2144"/>
      <c r="CM408" s="2144"/>
      <c r="CN408" s="2144"/>
      <c r="CO408" s="2144"/>
      <c r="CP408" s="2144"/>
      <c r="CQ408" s="2144"/>
      <c r="CR408" s="2144"/>
      <c r="CS408" s="2144"/>
      <c r="CT408" s="2144"/>
      <c r="CU408" s="2671"/>
      <c r="CV408" s="2300" t="str">
        <f t="shared" si="293"/>
        <v/>
      </c>
      <c r="CW408" s="2300"/>
      <c r="CX408" s="2300"/>
      <c r="CY408" s="2300"/>
      <c r="CZ408" s="2300"/>
      <c r="DA408" s="2300"/>
      <c r="DC408" s="329" t="str">
        <f t="shared" si="294"/>
        <v/>
      </c>
      <c r="DD408" s="197"/>
      <c r="DF408" s="14"/>
      <c r="DG408" s="14"/>
      <c r="DH408" s="14"/>
      <c r="DI408" s="1596"/>
      <c r="DJ408" s="1170" t="s">
        <v>2749</v>
      </c>
      <c r="DK408" s="1604" t="str">
        <f t="shared" si="295"/>
        <v/>
      </c>
      <c r="DL408" s="437" t="str">
        <f t="shared" si="296"/>
        <v/>
      </c>
      <c r="DM408" s="1128">
        <f t="shared" si="297"/>
        <v>0</v>
      </c>
      <c r="DN408" s="22">
        <f t="shared" si="298"/>
        <v>0</v>
      </c>
      <c r="DO408" s="22">
        <f t="shared" si="299"/>
        <v>0</v>
      </c>
      <c r="DP408" s="264">
        <f t="shared" si="300"/>
        <v>0</v>
      </c>
      <c r="DQ408" s="32" t="s">
        <v>754</v>
      </c>
      <c r="DR408" s="263" t="str">
        <f t="shared" si="379"/>
        <v>居室から地上へ通じる主たる廊下、階段その他の通路に設置された防火設備又は戸におけるくぐり戸の設置の状況</v>
      </c>
      <c r="DS408" s="23">
        <f t="shared" si="301"/>
        <v>0</v>
      </c>
      <c r="DT408" s="29" t="str">
        <f t="shared" si="302"/>
        <v/>
      </c>
      <c r="DU408" s="242" t="str">
        <f t="shared" si="303"/>
        <v/>
      </c>
      <c r="DV408" s="57" t="str">
        <f>IF($DT408="要是正",MAX($DV$378:DV407)+1,"")</f>
        <v/>
      </c>
      <c r="DW408" s="30" t="str">
        <f t="shared" si="304"/>
        <v/>
      </c>
      <c r="DX408" s="30" t="str">
        <f t="shared" si="305"/>
        <v/>
      </c>
      <c r="DY408" s="13" t="str">
        <f t="shared" si="306"/>
        <v/>
      </c>
      <c r="DZ408" s="121" t="str">
        <f t="shared" si="307"/>
        <v/>
      </c>
      <c r="EA408" s="256" t="str">
        <f t="shared" si="308"/>
        <v/>
      </c>
      <c r="EB408" s="138" t="str">
        <f t="shared" si="309"/>
        <v/>
      </c>
      <c r="EC408" s="131" t="str">
        <f t="shared" si="310"/>
        <v>0</v>
      </c>
      <c r="ED408" s="54" t="str">
        <f t="shared" si="311"/>
        <v/>
      </c>
      <c r="EE408" s="131" t="str">
        <f t="shared" si="360"/>
        <v>0</v>
      </c>
      <c r="EF408" s="37" t="str">
        <f t="shared" si="312"/>
        <v/>
      </c>
      <c r="EG408" s="108" t="str">
        <f t="shared" si="313"/>
        <v/>
      </c>
      <c r="EH408" s="41" t="str">
        <f t="shared" si="314"/>
        <v>0</v>
      </c>
      <c r="EI408" s="54" t="str">
        <f t="shared" si="315"/>
        <v/>
      </c>
      <c r="EJ408" s="131" t="str">
        <f t="shared" si="361"/>
        <v>0</v>
      </c>
      <c r="EK408" s="241" t="str">
        <f t="shared" si="316"/>
        <v/>
      </c>
      <c r="EL408" s="242" t="e">
        <f t="shared" si="317"/>
        <v>#N/A</v>
      </c>
      <c r="EM408" s="57" t="e">
        <f t="shared" si="318"/>
        <v>#N/A</v>
      </c>
      <c r="EN408" s="243" t="e">
        <f t="shared" si="319"/>
        <v>#N/A</v>
      </c>
      <c r="FK408" s="326" t="str">
        <f t="shared" si="364"/>
        <v/>
      </c>
      <c r="FL408" s="326" t="str">
        <f t="shared" si="365"/>
        <v/>
      </c>
      <c r="FM408" s="326" t="str">
        <f t="shared" si="366"/>
        <v/>
      </c>
      <c r="FN408" s="326">
        <f t="shared" si="320"/>
        <v>0</v>
      </c>
      <c r="FO408" s="670" t="str">
        <f t="shared" si="367"/>
        <v/>
      </c>
      <c r="FQ408" s="138" t="str">
        <f t="shared" si="321"/>
        <v/>
      </c>
      <c r="FR408" s="131" t="str">
        <f t="shared" si="322"/>
        <v>0</v>
      </c>
      <c r="FS408" s="54" t="str">
        <f t="shared" si="323"/>
        <v/>
      </c>
      <c r="FT408" s="131" t="str">
        <f t="shared" si="362"/>
        <v>0</v>
      </c>
      <c r="FU408" s="217" t="str">
        <f t="shared" si="324"/>
        <v/>
      </c>
      <c r="FW408" s="667">
        <f t="shared" si="363"/>
        <v>0</v>
      </c>
      <c r="FX408" s="32"/>
      <c r="FY408" s="32"/>
      <c r="FZ408" s="668"/>
      <c r="GA408" s="14"/>
      <c r="GB408" s="658">
        <f t="shared" si="325"/>
        <v>0</v>
      </c>
      <c r="GC408" s="658">
        <f t="shared" si="326"/>
        <v>0</v>
      </c>
      <c r="GD408" s="658">
        <f t="shared" si="327"/>
        <v>0</v>
      </c>
      <c r="GE408" s="658" t="str">
        <f t="shared" si="328"/>
        <v/>
      </c>
      <c r="GF408" s="658" t="str">
        <f t="shared" si="329"/>
        <v/>
      </c>
      <c r="GG408" s="658" t="str">
        <f t="shared" si="330"/>
        <v/>
      </c>
      <c r="GH408" s="658" t="str">
        <f t="shared" si="331"/>
        <v/>
      </c>
      <c r="GI408" s="658" t="str">
        <f t="shared" si="332"/>
        <v/>
      </c>
      <c r="GJ408" s="658" t="str">
        <f t="shared" si="333"/>
        <v/>
      </c>
      <c r="GK408" s="658" t="str">
        <f t="shared" si="334"/>
        <v/>
      </c>
      <c r="GL408" s="658" t="str">
        <f t="shared" si="335"/>
        <v/>
      </c>
      <c r="GM408" s="658" t="str">
        <f t="shared" si="336"/>
        <v/>
      </c>
      <c r="GN408" s="658" t="str">
        <f t="shared" si="337"/>
        <v/>
      </c>
      <c r="GO408" s="658" t="str">
        <f t="shared" si="338"/>
        <v/>
      </c>
      <c r="GP408" s="658" t="str">
        <f t="shared" si="339"/>
        <v/>
      </c>
      <c r="GQ408" s="658" t="str">
        <f t="shared" si="340"/>
        <v/>
      </c>
      <c r="GR408" s="658" t="str">
        <f t="shared" si="341"/>
        <v/>
      </c>
      <c r="GS408" s="658" t="str">
        <f t="shared" si="342"/>
        <v/>
      </c>
      <c r="GT408" s="658">
        <f t="shared" si="368"/>
        <v>0</v>
      </c>
      <c r="GU408" s="658">
        <f t="shared" si="369"/>
        <v>0</v>
      </c>
      <c r="GV408" s="658">
        <f t="shared" si="370"/>
        <v>0</v>
      </c>
      <c r="GW408" s="658" t="b">
        <f t="shared" si="371"/>
        <v>0</v>
      </c>
      <c r="GX408" s="658" t="b">
        <f t="shared" si="372"/>
        <v>0</v>
      </c>
      <c r="GY408" s="658" t="b">
        <f t="shared" si="373"/>
        <v>0</v>
      </c>
      <c r="GZ408" s="658" t="str">
        <f t="shared" si="378"/>
        <v/>
      </c>
      <c r="HB408" s="658" t="str">
        <f t="shared" si="374"/>
        <v/>
      </c>
      <c r="HC408" s="658" t="str">
        <f t="shared" si="343"/>
        <v/>
      </c>
      <c r="HD408" s="658" t="str">
        <f t="shared" si="344"/>
        <v/>
      </c>
      <c r="HE408" s="658" t="str">
        <f t="shared" si="345"/>
        <v/>
      </c>
      <c r="HF408" s="658" t="str">
        <f t="shared" si="346"/>
        <v/>
      </c>
      <c r="HG408" s="658" t="str">
        <f t="shared" si="347"/>
        <v/>
      </c>
      <c r="HH408" s="658" t="str">
        <f t="shared" si="348"/>
        <v/>
      </c>
      <c r="HI408" s="658" t="str">
        <f t="shared" si="349"/>
        <v/>
      </c>
      <c r="HJ408" s="658" t="str">
        <f t="shared" si="350"/>
        <v/>
      </c>
      <c r="HK408" s="658" t="str">
        <f t="shared" si="351"/>
        <v/>
      </c>
      <c r="HL408" s="658" t="str">
        <f t="shared" si="352"/>
        <v/>
      </c>
      <c r="HM408" s="658" t="str">
        <f t="shared" si="353"/>
        <v/>
      </c>
      <c r="HN408" s="658" t="str">
        <f t="shared" si="354"/>
        <v/>
      </c>
      <c r="HO408" s="658" t="str">
        <f t="shared" si="355"/>
        <v/>
      </c>
      <c r="HP408" s="658" t="str">
        <f t="shared" si="356"/>
        <v/>
      </c>
      <c r="HQ408" s="658" t="str">
        <f t="shared" si="357"/>
        <v/>
      </c>
      <c r="HR408" s="658" t="str">
        <f t="shared" si="375"/>
        <v/>
      </c>
      <c r="HT408" s="658">
        <f>LEFT(M408,1)*10000+MID(M408,3,LEN(M408)-3)*100+COUNTIF($M$319:M408,M408)</f>
        <v>42701</v>
      </c>
      <c r="HU408" s="658" t="str">
        <f t="shared" si="376"/>
        <v/>
      </c>
      <c r="HV408" s="658" t="str">
        <f t="shared" si="358"/>
        <v/>
      </c>
      <c r="HW408" s="658" t="str">
        <f t="shared" si="377"/>
        <v/>
      </c>
      <c r="HX408" s="658" t="str">
        <f t="shared" si="359"/>
        <v/>
      </c>
    </row>
    <row r="409" spans="1:232" s="19" customFormat="1" ht="50.1" customHeight="1" x14ac:dyDescent="0.15">
      <c r="A409" s="1201"/>
      <c r="B409" s="1201"/>
      <c r="C409" s="1201"/>
      <c r="D409" s="1201"/>
      <c r="E409" s="1202"/>
      <c r="F409" s="652"/>
      <c r="G409" s="652"/>
      <c r="H409" s="652"/>
      <c r="I409" s="1357"/>
      <c r="J409" s="1234"/>
      <c r="K409" s="1261"/>
      <c r="L409" s="1261"/>
      <c r="M409" s="2423" t="s">
        <v>1177</v>
      </c>
      <c r="N409" s="2423"/>
      <c r="O409" s="2424"/>
      <c r="P409" s="2687"/>
      <c r="Q409" s="2687"/>
      <c r="R409" s="2687"/>
      <c r="S409" s="2687"/>
      <c r="T409" s="2687"/>
      <c r="U409" s="2435" t="s">
        <v>220</v>
      </c>
      <c r="V409" s="2435"/>
      <c r="W409" s="2435"/>
      <c r="X409" s="2435"/>
      <c r="Y409" s="2435"/>
      <c r="Z409" s="2435"/>
      <c r="AA409" s="2435"/>
      <c r="AB409" s="2435"/>
      <c r="AC409" s="2435"/>
      <c r="AD409" s="2435"/>
      <c r="AE409" s="2435"/>
      <c r="AF409" s="2282"/>
      <c r="AG409" s="2282"/>
      <c r="AH409" s="2282"/>
      <c r="AI409" s="2282"/>
      <c r="AJ409" s="2282"/>
      <c r="AK409" s="2282"/>
      <c r="AL409" s="2282"/>
      <c r="AM409" s="2282"/>
      <c r="AN409" s="2282"/>
      <c r="AO409" s="2282"/>
      <c r="AP409" s="2282"/>
      <c r="AQ409" s="2282"/>
      <c r="AR409" s="2151"/>
      <c r="AS409" s="2151"/>
      <c r="AT409" s="2292"/>
      <c r="AU409" s="2292"/>
      <c r="AV409" s="2292"/>
      <c r="AW409" s="2292"/>
      <c r="AX409" s="2292"/>
      <c r="AY409" s="2292"/>
      <c r="AZ409" s="2292"/>
      <c r="BA409" s="2292"/>
      <c r="BB409" s="2292"/>
      <c r="BC409" s="2292"/>
      <c r="BD409" s="2292"/>
      <c r="BE409" s="2292"/>
      <c r="BF409" s="2292"/>
      <c r="BG409" s="2292"/>
      <c r="BH409" s="2292"/>
      <c r="BI409" s="2292"/>
      <c r="BJ409" s="2292"/>
      <c r="BK409" s="2292"/>
      <c r="BL409" s="2292"/>
      <c r="BM409" s="2292"/>
      <c r="BN409" s="2292"/>
      <c r="BO409" s="2292"/>
      <c r="BP409" s="2292"/>
      <c r="BQ409" s="2292"/>
      <c r="BR409" s="2292"/>
      <c r="BS409" s="2269"/>
      <c r="BT409" s="2269"/>
      <c r="BU409" s="2269"/>
      <c r="BV409" s="2269"/>
      <c r="BW409" s="2269"/>
      <c r="BX409" s="2269"/>
      <c r="BY409" s="2269"/>
      <c r="BZ409" s="2151"/>
      <c r="CA409" s="2151"/>
      <c r="CB409" s="2699"/>
      <c r="CC409" s="2700"/>
      <c r="CD409" s="2700"/>
      <c r="CE409" s="2700"/>
      <c r="CF409" s="2700"/>
      <c r="CG409" s="2700"/>
      <c r="CH409" s="2700"/>
      <c r="CI409" s="2700"/>
      <c r="CJ409" s="2700"/>
      <c r="CK409" s="2700"/>
      <c r="CL409" s="2700"/>
      <c r="CM409" s="2700"/>
      <c r="CN409" s="2700"/>
      <c r="CO409" s="2700"/>
      <c r="CP409" s="2700"/>
      <c r="CQ409" s="2700"/>
      <c r="CR409" s="2700"/>
      <c r="CS409" s="2700"/>
      <c r="CT409" s="2700"/>
      <c r="CU409" s="2701"/>
      <c r="CV409" s="2300" t="str">
        <f t="shared" si="293"/>
        <v/>
      </c>
      <c r="CW409" s="2300"/>
      <c r="CX409" s="2300"/>
      <c r="CY409" s="2300"/>
      <c r="CZ409" s="2300"/>
      <c r="DA409" s="2300"/>
      <c r="DC409" s="329" t="str">
        <f t="shared" si="294"/>
        <v/>
      </c>
      <c r="DD409" s="197"/>
      <c r="DF409" s="14"/>
      <c r="DG409" s="14"/>
      <c r="DH409" s="14"/>
      <c r="DI409" s="1596"/>
      <c r="DJ409" s="1170" t="s">
        <v>2749</v>
      </c>
      <c r="DK409" s="1604" t="str">
        <f t="shared" si="295"/>
        <v/>
      </c>
      <c r="DL409" s="437" t="str">
        <f t="shared" si="296"/>
        <v/>
      </c>
      <c r="DM409" s="1128">
        <f t="shared" si="297"/>
        <v>0</v>
      </c>
      <c r="DN409" s="22">
        <f t="shared" si="298"/>
        <v>0</v>
      </c>
      <c r="DO409" s="22">
        <f t="shared" si="299"/>
        <v>0</v>
      </c>
      <c r="DP409" s="264">
        <f t="shared" si="300"/>
        <v>0</v>
      </c>
      <c r="DQ409" s="32" t="s">
        <v>755</v>
      </c>
      <c r="DR409" s="263" t="str">
        <f t="shared" si="379"/>
        <v>防火扉又は戸の開放方向</v>
      </c>
      <c r="DS409" s="23">
        <f t="shared" si="301"/>
        <v>0</v>
      </c>
      <c r="DT409" s="29" t="str">
        <f t="shared" si="302"/>
        <v/>
      </c>
      <c r="DU409" s="242" t="str">
        <f t="shared" si="303"/>
        <v/>
      </c>
      <c r="DV409" s="57" t="str">
        <f>IF($DT409="要是正",MAX($DV$378:DV408)+1,"")</f>
        <v/>
      </c>
      <c r="DW409" s="30" t="str">
        <f t="shared" si="304"/>
        <v/>
      </c>
      <c r="DX409" s="30" t="str">
        <f t="shared" si="305"/>
        <v/>
      </c>
      <c r="DY409" s="13" t="str">
        <f t="shared" si="306"/>
        <v/>
      </c>
      <c r="DZ409" s="121" t="str">
        <f t="shared" si="307"/>
        <v/>
      </c>
      <c r="EA409" s="256" t="str">
        <f t="shared" si="308"/>
        <v/>
      </c>
      <c r="EB409" s="138" t="str">
        <f t="shared" si="309"/>
        <v/>
      </c>
      <c r="EC409" s="131" t="str">
        <f t="shared" si="310"/>
        <v>0</v>
      </c>
      <c r="ED409" s="54" t="str">
        <f t="shared" si="311"/>
        <v/>
      </c>
      <c r="EE409" s="131" t="str">
        <f t="shared" si="360"/>
        <v>0</v>
      </c>
      <c r="EF409" s="37" t="str">
        <f t="shared" si="312"/>
        <v/>
      </c>
      <c r="EG409" s="108" t="str">
        <f t="shared" si="313"/>
        <v/>
      </c>
      <c r="EH409" s="41" t="str">
        <f t="shared" si="314"/>
        <v>0</v>
      </c>
      <c r="EI409" s="54" t="str">
        <f t="shared" si="315"/>
        <v/>
      </c>
      <c r="EJ409" s="131" t="str">
        <f t="shared" si="361"/>
        <v>0</v>
      </c>
      <c r="EK409" s="241" t="str">
        <f t="shared" si="316"/>
        <v/>
      </c>
      <c r="EL409" s="242" t="e">
        <f t="shared" si="317"/>
        <v>#N/A</v>
      </c>
      <c r="EM409" s="57" t="e">
        <f t="shared" si="318"/>
        <v>#N/A</v>
      </c>
      <c r="EN409" s="243" t="e">
        <f t="shared" si="319"/>
        <v>#N/A</v>
      </c>
      <c r="FK409" s="326" t="str">
        <f t="shared" si="364"/>
        <v/>
      </c>
      <c r="FL409" s="326" t="str">
        <f t="shared" si="365"/>
        <v/>
      </c>
      <c r="FM409" s="326" t="str">
        <f t="shared" si="366"/>
        <v/>
      </c>
      <c r="FN409" s="326">
        <f t="shared" si="320"/>
        <v>0</v>
      </c>
      <c r="FO409" s="670" t="str">
        <f t="shared" si="367"/>
        <v/>
      </c>
      <c r="FQ409" s="138" t="str">
        <f t="shared" si="321"/>
        <v/>
      </c>
      <c r="FR409" s="131" t="str">
        <f t="shared" si="322"/>
        <v>0</v>
      </c>
      <c r="FS409" s="54" t="str">
        <f t="shared" si="323"/>
        <v/>
      </c>
      <c r="FT409" s="131" t="str">
        <f t="shared" si="362"/>
        <v>0</v>
      </c>
      <c r="FU409" s="217" t="str">
        <f t="shared" si="324"/>
        <v/>
      </c>
      <c r="FW409" s="667">
        <f t="shared" si="363"/>
        <v>0</v>
      </c>
      <c r="FX409" s="32"/>
      <c r="FY409" s="32"/>
      <c r="FZ409" s="668"/>
      <c r="GA409" s="14"/>
      <c r="GB409" s="658">
        <f t="shared" si="325"/>
        <v>0</v>
      </c>
      <c r="GC409" s="658">
        <f t="shared" si="326"/>
        <v>0</v>
      </c>
      <c r="GD409" s="658">
        <f t="shared" si="327"/>
        <v>0</v>
      </c>
      <c r="GE409" s="658" t="str">
        <f t="shared" si="328"/>
        <v/>
      </c>
      <c r="GF409" s="658" t="str">
        <f t="shared" si="329"/>
        <v/>
      </c>
      <c r="GG409" s="658" t="str">
        <f t="shared" si="330"/>
        <v/>
      </c>
      <c r="GH409" s="658" t="str">
        <f t="shared" si="331"/>
        <v/>
      </c>
      <c r="GI409" s="658" t="str">
        <f t="shared" si="332"/>
        <v/>
      </c>
      <c r="GJ409" s="658" t="str">
        <f t="shared" si="333"/>
        <v/>
      </c>
      <c r="GK409" s="658" t="str">
        <f t="shared" si="334"/>
        <v/>
      </c>
      <c r="GL409" s="658" t="str">
        <f t="shared" si="335"/>
        <v/>
      </c>
      <c r="GM409" s="658" t="str">
        <f t="shared" si="336"/>
        <v/>
      </c>
      <c r="GN409" s="658" t="str">
        <f t="shared" si="337"/>
        <v/>
      </c>
      <c r="GO409" s="658" t="str">
        <f t="shared" si="338"/>
        <v/>
      </c>
      <c r="GP409" s="658" t="str">
        <f t="shared" si="339"/>
        <v/>
      </c>
      <c r="GQ409" s="658" t="str">
        <f t="shared" si="340"/>
        <v/>
      </c>
      <c r="GR409" s="658" t="str">
        <f t="shared" si="341"/>
        <v/>
      </c>
      <c r="GS409" s="658" t="str">
        <f t="shared" si="342"/>
        <v/>
      </c>
      <c r="GT409" s="658">
        <f t="shared" si="368"/>
        <v>0</v>
      </c>
      <c r="GU409" s="658">
        <f t="shared" si="369"/>
        <v>0</v>
      </c>
      <c r="GV409" s="658">
        <f t="shared" si="370"/>
        <v>0</v>
      </c>
      <c r="GW409" s="658" t="b">
        <f t="shared" si="371"/>
        <v>0</v>
      </c>
      <c r="GX409" s="658" t="b">
        <f t="shared" si="372"/>
        <v>0</v>
      </c>
      <c r="GY409" s="658" t="b">
        <f t="shared" si="373"/>
        <v>0</v>
      </c>
      <c r="GZ409" s="658" t="str">
        <f t="shared" si="378"/>
        <v/>
      </c>
      <c r="HB409" s="658" t="str">
        <f t="shared" si="374"/>
        <v/>
      </c>
      <c r="HC409" s="658" t="str">
        <f t="shared" si="343"/>
        <v/>
      </c>
      <c r="HD409" s="658" t="str">
        <f t="shared" si="344"/>
        <v/>
      </c>
      <c r="HE409" s="658" t="str">
        <f t="shared" si="345"/>
        <v/>
      </c>
      <c r="HF409" s="658" t="str">
        <f t="shared" si="346"/>
        <v/>
      </c>
      <c r="HG409" s="658" t="str">
        <f t="shared" si="347"/>
        <v/>
      </c>
      <c r="HH409" s="658" t="str">
        <f t="shared" si="348"/>
        <v/>
      </c>
      <c r="HI409" s="658" t="str">
        <f t="shared" si="349"/>
        <v/>
      </c>
      <c r="HJ409" s="658" t="str">
        <f t="shared" si="350"/>
        <v/>
      </c>
      <c r="HK409" s="658" t="str">
        <f t="shared" si="351"/>
        <v/>
      </c>
      <c r="HL409" s="658" t="str">
        <f t="shared" si="352"/>
        <v/>
      </c>
      <c r="HM409" s="658" t="str">
        <f t="shared" si="353"/>
        <v/>
      </c>
      <c r="HN409" s="658" t="str">
        <f t="shared" si="354"/>
        <v/>
      </c>
      <c r="HO409" s="658" t="str">
        <f t="shared" si="355"/>
        <v/>
      </c>
      <c r="HP409" s="658" t="str">
        <f t="shared" si="356"/>
        <v/>
      </c>
      <c r="HQ409" s="658" t="str">
        <f t="shared" si="357"/>
        <v/>
      </c>
      <c r="HR409" s="658" t="str">
        <f t="shared" si="375"/>
        <v/>
      </c>
      <c r="HT409" s="658">
        <f>LEFT(M409,1)*10000+MID(M409,3,LEN(M409)-3)*100+COUNTIF($M$319:M409,M409)</f>
        <v>42801</v>
      </c>
      <c r="HU409" s="658" t="str">
        <f t="shared" si="376"/>
        <v/>
      </c>
      <c r="HV409" s="658" t="str">
        <f t="shared" si="358"/>
        <v/>
      </c>
      <c r="HW409" s="658" t="str">
        <f t="shared" si="377"/>
        <v/>
      </c>
      <c r="HX409" s="658" t="str">
        <f t="shared" si="359"/>
        <v/>
      </c>
    </row>
    <row r="410" spans="1:232" s="19" customFormat="1" ht="50.1" customHeight="1" x14ac:dyDescent="0.15">
      <c r="A410" s="1201"/>
      <c r="B410" s="1201"/>
      <c r="C410" s="1201"/>
      <c r="D410" s="1201"/>
      <c r="E410" s="1202"/>
      <c r="F410" s="652"/>
      <c r="G410" s="652"/>
      <c r="H410" s="652"/>
      <c r="I410" s="1357"/>
      <c r="J410" s="1234"/>
      <c r="K410" s="1261"/>
      <c r="L410" s="1261"/>
      <c r="M410" s="2423" t="s">
        <v>1178</v>
      </c>
      <c r="N410" s="2423"/>
      <c r="O410" s="2424"/>
      <c r="P410" s="2687"/>
      <c r="Q410" s="2687"/>
      <c r="R410" s="2687"/>
      <c r="S410" s="2687"/>
      <c r="T410" s="2687"/>
      <c r="U410" s="2435" t="s">
        <v>3356</v>
      </c>
      <c r="V410" s="2435"/>
      <c r="W410" s="2435"/>
      <c r="X410" s="2435"/>
      <c r="Y410" s="2435"/>
      <c r="Z410" s="2435"/>
      <c r="AA410" s="2435"/>
      <c r="AB410" s="2435"/>
      <c r="AC410" s="2435"/>
      <c r="AD410" s="2435"/>
      <c r="AE410" s="2435"/>
      <c r="AF410" s="2282"/>
      <c r="AG410" s="2282"/>
      <c r="AH410" s="2282"/>
      <c r="AI410" s="2282"/>
      <c r="AJ410" s="2282"/>
      <c r="AK410" s="2282"/>
      <c r="AL410" s="2282"/>
      <c r="AM410" s="2282"/>
      <c r="AN410" s="2282"/>
      <c r="AO410" s="2282"/>
      <c r="AP410" s="2282"/>
      <c r="AQ410" s="2282"/>
      <c r="AR410" s="2151"/>
      <c r="AS410" s="2151"/>
      <c r="AT410" s="2292"/>
      <c r="AU410" s="2292"/>
      <c r="AV410" s="2292"/>
      <c r="AW410" s="2292"/>
      <c r="AX410" s="2292"/>
      <c r="AY410" s="2292"/>
      <c r="AZ410" s="2292"/>
      <c r="BA410" s="2292"/>
      <c r="BB410" s="2292"/>
      <c r="BC410" s="2292"/>
      <c r="BD410" s="2292"/>
      <c r="BE410" s="2292"/>
      <c r="BF410" s="2292"/>
      <c r="BG410" s="2292"/>
      <c r="BH410" s="2292"/>
      <c r="BI410" s="2292"/>
      <c r="BJ410" s="2292"/>
      <c r="BK410" s="2292"/>
      <c r="BL410" s="2292"/>
      <c r="BM410" s="2292"/>
      <c r="BN410" s="2292"/>
      <c r="BO410" s="2292"/>
      <c r="BP410" s="2292"/>
      <c r="BQ410" s="2292"/>
      <c r="BR410" s="2292"/>
      <c r="BS410" s="2269"/>
      <c r="BT410" s="2269"/>
      <c r="BU410" s="2269"/>
      <c r="BV410" s="2269"/>
      <c r="BW410" s="2269"/>
      <c r="BX410" s="2269"/>
      <c r="BY410" s="2269"/>
      <c r="BZ410" s="2151"/>
      <c r="CA410" s="2151"/>
      <c r="CB410" s="2447" t="s">
        <v>3321</v>
      </c>
      <c r="CC410" s="2448"/>
      <c r="CD410" s="2448"/>
      <c r="CE410" s="2448"/>
      <c r="CF410" s="2448"/>
      <c r="CG410" s="2448"/>
      <c r="CH410" s="2448"/>
      <c r="CI410" s="2448"/>
      <c r="CJ410" s="2448"/>
      <c r="CK410" s="2448"/>
      <c r="CL410" s="2448"/>
      <c r="CM410" s="2448"/>
      <c r="CN410" s="2448"/>
      <c r="CO410" s="2448"/>
      <c r="CP410" s="2448"/>
      <c r="CQ410" s="2448"/>
      <c r="CR410" s="2448"/>
      <c r="CS410" s="2448"/>
      <c r="CT410" s="2448"/>
      <c r="CU410" s="2449"/>
      <c r="CV410" s="2300" t="str">
        <f t="shared" si="293"/>
        <v/>
      </c>
      <c r="CW410" s="2300"/>
      <c r="CX410" s="2300"/>
      <c r="CY410" s="2300"/>
      <c r="CZ410" s="2300"/>
      <c r="DA410" s="2300"/>
      <c r="DC410" s="329" t="str">
        <f t="shared" si="294"/>
        <v/>
      </c>
      <c r="DD410" s="197"/>
      <c r="DF410" s="14"/>
      <c r="DG410" s="14"/>
      <c r="DH410" s="14"/>
      <c r="DI410" s="1596"/>
      <c r="DJ410" s="1170" t="s">
        <v>2749</v>
      </c>
      <c r="DK410" s="1604" t="str">
        <f t="shared" si="295"/>
        <v/>
      </c>
      <c r="DL410" s="437" t="str">
        <f t="shared" si="296"/>
        <v/>
      </c>
      <c r="DM410" s="1128">
        <f t="shared" si="297"/>
        <v>0</v>
      </c>
      <c r="DN410" s="22">
        <f t="shared" si="298"/>
        <v>0</v>
      </c>
      <c r="DO410" s="22">
        <f t="shared" si="299"/>
        <v>0</v>
      </c>
      <c r="DP410" s="264">
        <f t="shared" si="300"/>
        <v>0</v>
      </c>
      <c r="DQ410" s="32" t="s">
        <v>756</v>
      </c>
      <c r="DR410" s="263" t="str">
        <f t="shared" si="379"/>
        <v>常閉防火設備等の本体及び枠の劣化及び損傷の状況</v>
      </c>
      <c r="DS410" s="23">
        <f t="shared" si="301"/>
        <v>0</v>
      </c>
      <c r="DT410" s="29" t="str">
        <f t="shared" si="302"/>
        <v/>
      </c>
      <c r="DU410" s="242" t="str">
        <f t="shared" si="303"/>
        <v/>
      </c>
      <c r="DV410" s="57" t="str">
        <f>IF($DT410="要是正",MAX($DV$378:DV409)+1,"")</f>
        <v/>
      </c>
      <c r="DW410" s="30" t="str">
        <f t="shared" si="304"/>
        <v/>
      </c>
      <c r="DX410" s="30" t="str">
        <f t="shared" si="305"/>
        <v/>
      </c>
      <c r="DY410" s="13" t="str">
        <f t="shared" si="306"/>
        <v/>
      </c>
      <c r="DZ410" s="121" t="str">
        <f t="shared" si="307"/>
        <v/>
      </c>
      <c r="EA410" s="256" t="str">
        <f t="shared" si="308"/>
        <v/>
      </c>
      <c r="EB410" s="138" t="str">
        <f t="shared" si="309"/>
        <v/>
      </c>
      <c r="EC410" s="131" t="str">
        <f t="shared" si="310"/>
        <v>0</v>
      </c>
      <c r="ED410" s="54" t="str">
        <f t="shared" si="311"/>
        <v/>
      </c>
      <c r="EE410" s="131" t="str">
        <f t="shared" si="360"/>
        <v>0</v>
      </c>
      <c r="EF410" s="37" t="str">
        <f t="shared" si="312"/>
        <v/>
      </c>
      <c r="EG410" s="108" t="str">
        <f t="shared" si="313"/>
        <v/>
      </c>
      <c r="EH410" s="41" t="str">
        <f t="shared" si="314"/>
        <v>0</v>
      </c>
      <c r="EI410" s="54" t="str">
        <f t="shared" si="315"/>
        <v/>
      </c>
      <c r="EJ410" s="131" t="str">
        <f t="shared" si="361"/>
        <v>0</v>
      </c>
      <c r="EK410" s="241" t="str">
        <f t="shared" si="316"/>
        <v/>
      </c>
      <c r="EL410" s="242" t="e">
        <f t="shared" si="317"/>
        <v>#N/A</v>
      </c>
      <c r="EM410" s="57" t="e">
        <f t="shared" si="318"/>
        <v>#N/A</v>
      </c>
      <c r="EN410" s="243" t="e">
        <f t="shared" si="319"/>
        <v>#N/A</v>
      </c>
      <c r="FK410" s="326" t="str">
        <f t="shared" si="364"/>
        <v/>
      </c>
      <c r="FL410" s="326" t="str">
        <f t="shared" si="365"/>
        <v/>
      </c>
      <c r="FM410" s="326" t="str">
        <f t="shared" si="366"/>
        <v/>
      </c>
      <c r="FN410" s="326">
        <f t="shared" si="320"/>
        <v>0</v>
      </c>
      <c r="FO410" s="670" t="str">
        <f t="shared" si="367"/>
        <v/>
      </c>
      <c r="FQ410" s="138" t="str">
        <f t="shared" si="321"/>
        <v/>
      </c>
      <c r="FR410" s="131" t="str">
        <f t="shared" si="322"/>
        <v>0</v>
      </c>
      <c r="FS410" s="54" t="str">
        <f t="shared" si="323"/>
        <v/>
      </c>
      <c r="FT410" s="131" t="str">
        <f t="shared" si="362"/>
        <v>0</v>
      </c>
      <c r="FU410" s="217" t="str">
        <f t="shared" si="324"/>
        <v/>
      </c>
      <c r="FW410" s="667">
        <f t="shared" si="363"/>
        <v>0</v>
      </c>
      <c r="FX410" s="32"/>
      <c r="FY410" s="32"/>
      <c r="FZ410" s="668"/>
      <c r="GA410" s="14"/>
      <c r="GB410" s="658">
        <f t="shared" si="325"/>
        <v>0</v>
      </c>
      <c r="GC410" s="658">
        <f t="shared" si="326"/>
        <v>0</v>
      </c>
      <c r="GD410" s="658">
        <f t="shared" si="327"/>
        <v>0</v>
      </c>
      <c r="GE410" s="658" t="str">
        <f t="shared" si="328"/>
        <v/>
      </c>
      <c r="GF410" s="658" t="str">
        <f t="shared" si="329"/>
        <v/>
      </c>
      <c r="GG410" s="658" t="str">
        <f t="shared" si="330"/>
        <v/>
      </c>
      <c r="GH410" s="658" t="str">
        <f t="shared" si="331"/>
        <v/>
      </c>
      <c r="GI410" s="658" t="str">
        <f t="shared" si="332"/>
        <v/>
      </c>
      <c r="GJ410" s="658" t="str">
        <f t="shared" si="333"/>
        <v/>
      </c>
      <c r="GK410" s="658" t="str">
        <f t="shared" si="334"/>
        <v/>
      </c>
      <c r="GL410" s="658" t="str">
        <f t="shared" si="335"/>
        <v/>
      </c>
      <c r="GM410" s="658" t="str">
        <f t="shared" si="336"/>
        <v/>
      </c>
      <c r="GN410" s="658" t="str">
        <f t="shared" si="337"/>
        <v/>
      </c>
      <c r="GO410" s="658" t="str">
        <f t="shared" si="338"/>
        <v/>
      </c>
      <c r="GP410" s="658" t="str">
        <f t="shared" si="339"/>
        <v/>
      </c>
      <c r="GQ410" s="658" t="str">
        <f t="shared" si="340"/>
        <v/>
      </c>
      <c r="GR410" s="658" t="str">
        <f t="shared" si="341"/>
        <v/>
      </c>
      <c r="GS410" s="658" t="str">
        <f t="shared" si="342"/>
        <v/>
      </c>
      <c r="GT410" s="658">
        <f t="shared" si="368"/>
        <v>0</v>
      </c>
      <c r="GU410" s="658">
        <f t="shared" si="369"/>
        <v>0</v>
      </c>
      <c r="GV410" s="658">
        <f t="shared" si="370"/>
        <v>0</v>
      </c>
      <c r="GW410" s="658" t="b">
        <f t="shared" si="371"/>
        <v>0</v>
      </c>
      <c r="GX410" s="658" t="b">
        <f t="shared" si="372"/>
        <v>0</v>
      </c>
      <c r="GY410" s="658" t="b">
        <f t="shared" si="373"/>
        <v>0</v>
      </c>
      <c r="GZ410" s="658" t="str">
        <f t="shared" si="378"/>
        <v/>
      </c>
      <c r="HB410" s="658" t="str">
        <f t="shared" si="374"/>
        <v/>
      </c>
      <c r="HC410" s="658" t="str">
        <f t="shared" si="343"/>
        <v/>
      </c>
      <c r="HD410" s="658" t="str">
        <f t="shared" si="344"/>
        <v/>
      </c>
      <c r="HE410" s="658" t="str">
        <f t="shared" si="345"/>
        <v/>
      </c>
      <c r="HF410" s="658" t="str">
        <f t="shared" si="346"/>
        <v/>
      </c>
      <c r="HG410" s="658" t="str">
        <f t="shared" si="347"/>
        <v/>
      </c>
      <c r="HH410" s="658" t="str">
        <f t="shared" si="348"/>
        <v/>
      </c>
      <c r="HI410" s="658" t="str">
        <f t="shared" si="349"/>
        <v/>
      </c>
      <c r="HJ410" s="658" t="str">
        <f t="shared" si="350"/>
        <v/>
      </c>
      <c r="HK410" s="658" t="str">
        <f t="shared" si="351"/>
        <v/>
      </c>
      <c r="HL410" s="658" t="str">
        <f t="shared" si="352"/>
        <v/>
      </c>
      <c r="HM410" s="658" t="str">
        <f t="shared" si="353"/>
        <v/>
      </c>
      <c r="HN410" s="658" t="str">
        <f t="shared" si="354"/>
        <v/>
      </c>
      <c r="HO410" s="658" t="str">
        <f t="shared" si="355"/>
        <v/>
      </c>
      <c r="HP410" s="658" t="str">
        <f t="shared" si="356"/>
        <v/>
      </c>
      <c r="HQ410" s="658" t="str">
        <f t="shared" si="357"/>
        <v/>
      </c>
      <c r="HR410" s="658" t="str">
        <f t="shared" si="375"/>
        <v/>
      </c>
      <c r="HT410" s="658">
        <f>LEFT(M410,1)*10000+MID(M410,3,LEN(M410)-3)*100+COUNTIF($M$319:M410,M410)</f>
        <v>42901</v>
      </c>
      <c r="HU410" s="658" t="str">
        <f t="shared" si="376"/>
        <v/>
      </c>
      <c r="HV410" s="658" t="str">
        <f t="shared" si="358"/>
        <v/>
      </c>
      <c r="HW410" s="658" t="str">
        <f t="shared" si="377"/>
        <v/>
      </c>
      <c r="HX410" s="658" t="str">
        <f t="shared" si="359"/>
        <v/>
      </c>
    </row>
    <row r="411" spans="1:232" s="19" customFormat="1" ht="50.1" customHeight="1" x14ac:dyDescent="0.15">
      <c r="A411" s="1201"/>
      <c r="B411" s="1201"/>
      <c r="C411" s="1201"/>
      <c r="D411" s="1201"/>
      <c r="E411" s="1202"/>
      <c r="F411" s="652"/>
      <c r="G411" s="652"/>
      <c r="H411" s="652"/>
      <c r="I411" s="1357"/>
      <c r="J411" s="1234"/>
      <c r="K411" s="1261"/>
      <c r="L411" s="1261"/>
      <c r="M411" s="2423" t="s">
        <v>1179</v>
      </c>
      <c r="N411" s="2423"/>
      <c r="O411" s="2424"/>
      <c r="P411" s="2687"/>
      <c r="Q411" s="2687"/>
      <c r="R411" s="2687"/>
      <c r="S411" s="2687"/>
      <c r="T411" s="2687"/>
      <c r="U411" s="2435" t="s">
        <v>3073</v>
      </c>
      <c r="V411" s="2435"/>
      <c r="W411" s="2435"/>
      <c r="X411" s="2435"/>
      <c r="Y411" s="2435"/>
      <c r="Z411" s="2435"/>
      <c r="AA411" s="2435"/>
      <c r="AB411" s="2435"/>
      <c r="AC411" s="2435"/>
      <c r="AD411" s="2435"/>
      <c r="AE411" s="2435"/>
      <c r="AF411" s="2282"/>
      <c r="AG411" s="2282"/>
      <c r="AH411" s="2282"/>
      <c r="AI411" s="2282"/>
      <c r="AJ411" s="2282"/>
      <c r="AK411" s="2282"/>
      <c r="AL411" s="2282"/>
      <c r="AM411" s="2282"/>
      <c r="AN411" s="2282"/>
      <c r="AO411" s="2282"/>
      <c r="AP411" s="2282"/>
      <c r="AQ411" s="2282"/>
      <c r="AR411" s="2151"/>
      <c r="AS411" s="2151"/>
      <c r="AT411" s="2292"/>
      <c r="AU411" s="2292"/>
      <c r="AV411" s="2292"/>
      <c r="AW411" s="2292"/>
      <c r="AX411" s="2292"/>
      <c r="AY411" s="2292"/>
      <c r="AZ411" s="2292"/>
      <c r="BA411" s="2292"/>
      <c r="BB411" s="2292"/>
      <c r="BC411" s="2292"/>
      <c r="BD411" s="2292"/>
      <c r="BE411" s="2292"/>
      <c r="BF411" s="2292"/>
      <c r="BG411" s="2292"/>
      <c r="BH411" s="2292"/>
      <c r="BI411" s="2292"/>
      <c r="BJ411" s="2292"/>
      <c r="BK411" s="2292"/>
      <c r="BL411" s="2292"/>
      <c r="BM411" s="2292"/>
      <c r="BN411" s="2292"/>
      <c r="BO411" s="2292"/>
      <c r="BP411" s="2292"/>
      <c r="BQ411" s="2292"/>
      <c r="BR411" s="2292"/>
      <c r="BS411" s="2269"/>
      <c r="BT411" s="2269"/>
      <c r="BU411" s="2269"/>
      <c r="BV411" s="2269"/>
      <c r="BW411" s="2269"/>
      <c r="BX411" s="2269"/>
      <c r="BY411" s="2269"/>
      <c r="BZ411" s="2151"/>
      <c r="CA411" s="2151"/>
      <c r="CB411" s="2702" t="s">
        <v>3329</v>
      </c>
      <c r="CC411" s="2703"/>
      <c r="CD411" s="2703"/>
      <c r="CE411" s="2703"/>
      <c r="CF411" s="2703"/>
      <c r="CG411" s="2703"/>
      <c r="CH411" s="2703"/>
      <c r="CI411" s="2703"/>
      <c r="CJ411" s="2703"/>
      <c r="CK411" s="2703"/>
      <c r="CL411" s="2703"/>
      <c r="CM411" s="2703"/>
      <c r="CN411" s="2703"/>
      <c r="CO411" s="2703"/>
      <c r="CP411" s="2703"/>
      <c r="CQ411" s="2703"/>
      <c r="CR411" s="2703"/>
      <c r="CS411" s="2703"/>
      <c r="CT411" s="2703"/>
      <c r="CU411" s="2704"/>
      <c r="CV411" s="2300" t="str">
        <f t="shared" si="293"/>
        <v/>
      </c>
      <c r="CW411" s="2300"/>
      <c r="CX411" s="2300"/>
      <c r="CY411" s="2300"/>
      <c r="CZ411" s="2300"/>
      <c r="DA411" s="2300"/>
      <c r="DC411" s="329" t="str">
        <f t="shared" si="294"/>
        <v/>
      </c>
      <c r="DD411" s="197"/>
      <c r="DF411" s="14"/>
      <c r="DG411" s="14"/>
      <c r="DH411" s="14"/>
      <c r="DI411" s="1596"/>
      <c r="DJ411" s="1170" t="s">
        <v>2749</v>
      </c>
      <c r="DK411" s="1604" t="str">
        <f t="shared" si="295"/>
        <v/>
      </c>
      <c r="DL411" s="437" t="str">
        <f t="shared" si="296"/>
        <v/>
      </c>
      <c r="DM411" s="1128">
        <f t="shared" si="297"/>
        <v>0</v>
      </c>
      <c r="DN411" s="22">
        <f t="shared" si="298"/>
        <v>0</v>
      </c>
      <c r="DO411" s="22">
        <f t="shared" si="299"/>
        <v>0</v>
      </c>
      <c r="DP411" s="264">
        <f t="shared" si="300"/>
        <v>0</v>
      </c>
      <c r="DQ411" s="32" t="s">
        <v>757</v>
      </c>
      <c r="DR411" s="263" t="str">
        <f t="shared" si="379"/>
        <v>各階の主要な常閉防火設備等の閉鎖又は作動の状況</v>
      </c>
      <c r="DS411" s="23">
        <f t="shared" si="301"/>
        <v>0</v>
      </c>
      <c r="DT411" s="29" t="str">
        <f t="shared" si="302"/>
        <v/>
      </c>
      <c r="DU411" s="242" t="str">
        <f t="shared" si="303"/>
        <v/>
      </c>
      <c r="DV411" s="57" t="str">
        <f>IF($DT411="要是正",MAX($DV$378:DV410)+1,"")</f>
        <v/>
      </c>
      <c r="DW411" s="30" t="str">
        <f t="shared" si="304"/>
        <v/>
      </c>
      <c r="DX411" s="30" t="str">
        <f t="shared" si="305"/>
        <v/>
      </c>
      <c r="DY411" s="13" t="str">
        <f t="shared" si="306"/>
        <v/>
      </c>
      <c r="DZ411" s="121" t="str">
        <f t="shared" si="307"/>
        <v/>
      </c>
      <c r="EA411" s="256" t="str">
        <f t="shared" si="308"/>
        <v/>
      </c>
      <c r="EB411" s="138" t="str">
        <f t="shared" si="309"/>
        <v/>
      </c>
      <c r="EC411" s="131" t="str">
        <f t="shared" si="310"/>
        <v>0</v>
      </c>
      <c r="ED411" s="54" t="str">
        <f t="shared" si="311"/>
        <v/>
      </c>
      <c r="EE411" s="131" t="str">
        <f t="shared" si="360"/>
        <v>0</v>
      </c>
      <c r="EF411" s="37" t="str">
        <f t="shared" si="312"/>
        <v/>
      </c>
      <c r="EG411" s="108" t="str">
        <f t="shared" si="313"/>
        <v/>
      </c>
      <c r="EH411" s="41" t="str">
        <f t="shared" si="314"/>
        <v>0</v>
      </c>
      <c r="EI411" s="54" t="str">
        <f t="shared" si="315"/>
        <v/>
      </c>
      <c r="EJ411" s="131" t="str">
        <f t="shared" si="361"/>
        <v>0</v>
      </c>
      <c r="EK411" s="241" t="str">
        <f t="shared" si="316"/>
        <v/>
      </c>
      <c r="EL411" s="242" t="e">
        <f t="shared" si="317"/>
        <v>#N/A</v>
      </c>
      <c r="EM411" s="57" t="e">
        <f t="shared" si="318"/>
        <v>#N/A</v>
      </c>
      <c r="EN411" s="243" t="e">
        <f t="shared" si="319"/>
        <v>#N/A</v>
      </c>
      <c r="FK411" s="326" t="str">
        <f t="shared" si="364"/>
        <v/>
      </c>
      <c r="FL411" s="326" t="str">
        <f t="shared" si="365"/>
        <v/>
      </c>
      <c r="FM411" s="326" t="str">
        <f t="shared" si="366"/>
        <v/>
      </c>
      <c r="FN411" s="326">
        <f t="shared" si="320"/>
        <v>0</v>
      </c>
      <c r="FO411" s="670" t="str">
        <f t="shared" si="367"/>
        <v/>
      </c>
      <c r="FQ411" s="138" t="str">
        <f t="shared" si="321"/>
        <v/>
      </c>
      <c r="FR411" s="131" t="str">
        <f t="shared" si="322"/>
        <v>0</v>
      </c>
      <c r="FS411" s="54" t="str">
        <f t="shared" si="323"/>
        <v/>
      </c>
      <c r="FT411" s="131" t="str">
        <f t="shared" si="362"/>
        <v>0</v>
      </c>
      <c r="FU411" s="217" t="str">
        <f t="shared" si="324"/>
        <v/>
      </c>
      <c r="FW411" s="667">
        <f t="shared" si="363"/>
        <v>0</v>
      </c>
      <c r="FX411" s="32"/>
      <c r="FY411" s="32"/>
      <c r="FZ411" s="668"/>
      <c r="GA411" s="14"/>
      <c r="GB411" s="658">
        <f t="shared" si="325"/>
        <v>0</v>
      </c>
      <c r="GC411" s="658">
        <f t="shared" si="326"/>
        <v>0</v>
      </c>
      <c r="GD411" s="658">
        <f t="shared" si="327"/>
        <v>0</v>
      </c>
      <c r="GE411" s="658" t="str">
        <f t="shared" si="328"/>
        <v/>
      </c>
      <c r="GF411" s="658" t="str">
        <f t="shared" si="329"/>
        <v/>
      </c>
      <c r="GG411" s="658" t="str">
        <f t="shared" si="330"/>
        <v/>
      </c>
      <c r="GH411" s="658" t="str">
        <f t="shared" si="331"/>
        <v/>
      </c>
      <c r="GI411" s="658" t="str">
        <f t="shared" si="332"/>
        <v/>
      </c>
      <c r="GJ411" s="658" t="str">
        <f t="shared" si="333"/>
        <v/>
      </c>
      <c r="GK411" s="658" t="str">
        <f t="shared" si="334"/>
        <v/>
      </c>
      <c r="GL411" s="658" t="str">
        <f t="shared" si="335"/>
        <v/>
      </c>
      <c r="GM411" s="658" t="str">
        <f t="shared" si="336"/>
        <v/>
      </c>
      <c r="GN411" s="658" t="str">
        <f t="shared" si="337"/>
        <v/>
      </c>
      <c r="GO411" s="658" t="str">
        <f t="shared" si="338"/>
        <v/>
      </c>
      <c r="GP411" s="658" t="str">
        <f t="shared" si="339"/>
        <v/>
      </c>
      <c r="GQ411" s="658" t="str">
        <f t="shared" si="340"/>
        <v/>
      </c>
      <c r="GR411" s="658" t="str">
        <f t="shared" si="341"/>
        <v/>
      </c>
      <c r="GS411" s="658" t="str">
        <f t="shared" si="342"/>
        <v/>
      </c>
      <c r="GT411" s="658">
        <f t="shared" si="368"/>
        <v>0</v>
      </c>
      <c r="GU411" s="658">
        <f t="shared" si="369"/>
        <v>0</v>
      </c>
      <c r="GV411" s="658">
        <f t="shared" si="370"/>
        <v>0</v>
      </c>
      <c r="GW411" s="658" t="b">
        <f t="shared" si="371"/>
        <v>0</v>
      </c>
      <c r="GX411" s="658" t="b">
        <f t="shared" si="372"/>
        <v>0</v>
      </c>
      <c r="GY411" s="658" t="b">
        <f t="shared" si="373"/>
        <v>0</v>
      </c>
      <c r="GZ411" s="658" t="str">
        <f t="shared" si="378"/>
        <v/>
      </c>
      <c r="HB411" s="658" t="str">
        <f t="shared" si="374"/>
        <v/>
      </c>
      <c r="HC411" s="658" t="str">
        <f t="shared" si="343"/>
        <v/>
      </c>
      <c r="HD411" s="658" t="str">
        <f t="shared" si="344"/>
        <v/>
      </c>
      <c r="HE411" s="658" t="str">
        <f t="shared" si="345"/>
        <v/>
      </c>
      <c r="HF411" s="658" t="str">
        <f t="shared" si="346"/>
        <v/>
      </c>
      <c r="HG411" s="658" t="str">
        <f t="shared" si="347"/>
        <v/>
      </c>
      <c r="HH411" s="658" t="str">
        <f t="shared" si="348"/>
        <v/>
      </c>
      <c r="HI411" s="658" t="str">
        <f t="shared" si="349"/>
        <v/>
      </c>
      <c r="HJ411" s="658" t="str">
        <f t="shared" si="350"/>
        <v/>
      </c>
      <c r="HK411" s="658" t="str">
        <f t="shared" si="351"/>
        <v/>
      </c>
      <c r="HL411" s="658" t="str">
        <f t="shared" si="352"/>
        <v/>
      </c>
      <c r="HM411" s="658" t="str">
        <f t="shared" si="353"/>
        <v/>
      </c>
      <c r="HN411" s="658" t="str">
        <f t="shared" si="354"/>
        <v/>
      </c>
      <c r="HO411" s="658" t="str">
        <f t="shared" si="355"/>
        <v/>
      </c>
      <c r="HP411" s="658" t="str">
        <f t="shared" si="356"/>
        <v/>
      </c>
      <c r="HQ411" s="658" t="str">
        <f t="shared" si="357"/>
        <v/>
      </c>
      <c r="HR411" s="658" t="str">
        <f t="shared" si="375"/>
        <v/>
      </c>
      <c r="HT411" s="658">
        <f>LEFT(M411,1)*10000+MID(M411,3,LEN(M411)-3)*100+COUNTIF($M$319:M411,M411)</f>
        <v>43001</v>
      </c>
      <c r="HU411" s="658" t="str">
        <f t="shared" si="376"/>
        <v/>
      </c>
      <c r="HV411" s="658" t="str">
        <f t="shared" si="358"/>
        <v/>
      </c>
      <c r="HW411" s="658" t="str">
        <f t="shared" si="377"/>
        <v/>
      </c>
      <c r="HX411" s="658" t="str">
        <f t="shared" si="359"/>
        <v/>
      </c>
    </row>
    <row r="412" spans="1:232" s="19" customFormat="1" ht="63" customHeight="1" x14ac:dyDescent="0.15">
      <c r="A412" s="1201"/>
      <c r="B412" s="1201"/>
      <c r="C412" s="1201"/>
      <c r="D412" s="1201"/>
      <c r="E412" s="1202"/>
      <c r="F412" s="652"/>
      <c r="G412" s="652"/>
      <c r="H412" s="652"/>
      <c r="I412" s="1357"/>
      <c r="J412" s="1234"/>
      <c r="K412" s="1261"/>
      <c r="L412" s="1261"/>
      <c r="M412" s="2423" t="s">
        <v>1180</v>
      </c>
      <c r="N412" s="2423"/>
      <c r="O412" s="2424"/>
      <c r="P412" s="2687"/>
      <c r="Q412" s="2687"/>
      <c r="R412" s="2687"/>
      <c r="S412" s="2687"/>
      <c r="T412" s="2687"/>
      <c r="U412" s="2435" t="s">
        <v>3074</v>
      </c>
      <c r="V412" s="2435"/>
      <c r="W412" s="2435"/>
      <c r="X412" s="2435"/>
      <c r="Y412" s="2435"/>
      <c r="Z412" s="2435"/>
      <c r="AA412" s="2435"/>
      <c r="AB412" s="2435"/>
      <c r="AC412" s="2435"/>
      <c r="AD412" s="2435"/>
      <c r="AE412" s="2435"/>
      <c r="AF412" s="2282"/>
      <c r="AG412" s="2282"/>
      <c r="AH412" s="2282"/>
      <c r="AI412" s="2282"/>
      <c r="AJ412" s="2282"/>
      <c r="AK412" s="2282"/>
      <c r="AL412" s="2282"/>
      <c r="AM412" s="2282"/>
      <c r="AN412" s="2282"/>
      <c r="AO412" s="2282"/>
      <c r="AP412" s="2282"/>
      <c r="AQ412" s="2282"/>
      <c r="AR412" s="2151"/>
      <c r="AS412" s="2151"/>
      <c r="AT412" s="2292"/>
      <c r="AU412" s="2292"/>
      <c r="AV412" s="2292"/>
      <c r="AW412" s="2292"/>
      <c r="AX412" s="2292"/>
      <c r="AY412" s="2292"/>
      <c r="AZ412" s="2292"/>
      <c r="BA412" s="2292"/>
      <c r="BB412" s="2292"/>
      <c r="BC412" s="2292"/>
      <c r="BD412" s="2292"/>
      <c r="BE412" s="2292"/>
      <c r="BF412" s="2292"/>
      <c r="BG412" s="2292"/>
      <c r="BH412" s="2292"/>
      <c r="BI412" s="2292"/>
      <c r="BJ412" s="2292"/>
      <c r="BK412" s="2292"/>
      <c r="BL412" s="2292"/>
      <c r="BM412" s="2292"/>
      <c r="BN412" s="2292"/>
      <c r="BO412" s="2292"/>
      <c r="BP412" s="2292"/>
      <c r="BQ412" s="2292"/>
      <c r="BR412" s="2292"/>
      <c r="BS412" s="2269"/>
      <c r="BT412" s="2269"/>
      <c r="BU412" s="2269"/>
      <c r="BV412" s="2269"/>
      <c r="BW412" s="2269"/>
      <c r="BX412" s="2269"/>
      <c r="BY412" s="2269"/>
      <c r="BZ412" s="2151"/>
      <c r="CA412" s="2151"/>
      <c r="CB412" s="2702" t="s">
        <v>3322</v>
      </c>
      <c r="CC412" s="2705"/>
      <c r="CD412" s="2705"/>
      <c r="CE412" s="2705"/>
      <c r="CF412" s="2705"/>
      <c r="CG412" s="2705"/>
      <c r="CH412" s="2705"/>
      <c r="CI412" s="2705"/>
      <c r="CJ412" s="2705"/>
      <c r="CK412" s="2705"/>
      <c r="CL412" s="2705"/>
      <c r="CM412" s="2705"/>
      <c r="CN412" s="2705"/>
      <c r="CO412" s="2705"/>
      <c r="CP412" s="2705"/>
      <c r="CQ412" s="2705"/>
      <c r="CR412" s="2705"/>
      <c r="CS412" s="2705"/>
      <c r="CT412" s="2705"/>
      <c r="CU412" s="2706"/>
      <c r="CV412" s="2300" t="str">
        <f t="shared" si="293"/>
        <v/>
      </c>
      <c r="CW412" s="2300"/>
      <c r="CX412" s="2300"/>
      <c r="CY412" s="2300"/>
      <c r="CZ412" s="2300"/>
      <c r="DA412" s="2300"/>
      <c r="DC412" s="329" t="str">
        <f t="shared" si="294"/>
        <v/>
      </c>
      <c r="DD412" s="197"/>
      <c r="DF412" s="14"/>
      <c r="DG412" s="14"/>
      <c r="DH412" s="14"/>
      <c r="DI412" s="1596"/>
      <c r="DJ412" s="1170" t="s">
        <v>2749</v>
      </c>
      <c r="DK412" s="1604" t="str">
        <f t="shared" si="295"/>
        <v/>
      </c>
      <c r="DL412" s="437" t="str">
        <f t="shared" si="296"/>
        <v/>
      </c>
      <c r="DM412" s="1128">
        <f t="shared" si="297"/>
        <v>0</v>
      </c>
      <c r="DN412" s="22">
        <f t="shared" si="298"/>
        <v>0</v>
      </c>
      <c r="DO412" s="22">
        <f t="shared" si="299"/>
        <v>0</v>
      </c>
      <c r="DP412" s="264">
        <f t="shared" si="300"/>
        <v>0</v>
      </c>
      <c r="DQ412" s="32" t="s">
        <v>758</v>
      </c>
      <c r="DR412" s="263" t="str">
        <f t="shared" si="379"/>
        <v>常閉防火設備等の閉鎖又は作動の障害となる物品の放置並びに照明器具及び懸垂物等の状況</v>
      </c>
      <c r="DS412" s="23">
        <f t="shared" si="301"/>
        <v>0</v>
      </c>
      <c r="DT412" s="29" t="str">
        <f t="shared" si="302"/>
        <v/>
      </c>
      <c r="DU412" s="242" t="str">
        <f t="shared" si="303"/>
        <v/>
      </c>
      <c r="DV412" s="57" t="str">
        <f>IF($DT412="要是正",MAX($DV$378:DV411)+1,"")</f>
        <v/>
      </c>
      <c r="DW412" s="30" t="str">
        <f t="shared" si="304"/>
        <v/>
      </c>
      <c r="DX412" s="30" t="str">
        <f t="shared" si="305"/>
        <v/>
      </c>
      <c r="DY412" s="13" t="str">
        <f t="shared" si="306"/>
        <v/>
      </c>
      <c r="DZ412" s="121" t="str">
        <f t="shared" si="307"/>
        <v/>
      </c>
      <c r="EA412" s="256" t="str">
        <f t="shared" si="308"/>
        <v/>
      </c>
      <c r="EB412" s="138" t="str">
        <f t="shared" si="309"/>
        <v/>
      </c>
      <c r="EC412" s="131" t="str">
        <f t="shared" si="310"/>
        <v>0</v>
      </c>
      <c r="ED412" s="54" t="str">
        <f t="shared" si="311"/>
        <v/>
      </c>
      <c r="EE412" s="131" t="str">
        <f t="shared" si="360"/>
        <v>0</v>
      </c>
      <c r="EF412" s="37" t="str">
        <f t="shared" si="312"/>
        <v/>
      </c>
      <c r="EG412" s="108" t="str">
        <f t="shared" si="313"/>
        <v/>
      </c>
      <c r="EH412" s="41" t="str">
        <f t="shared" si="314"/>
        <v>0</v>
      </c>
      <c r="EI412" s="54" t="str">
        <f t="shared" si="315"/>
        <v/>
      </c>
      <c r="EJ412" s="131" t="str">
        <f t="shared" si="361"/>
        <v>0</v>
      </c>
      <c r="EK412" s="241" t="str">
        <f t="shared" si="316"/>
        <v/>
      </c>
      <c r="EL412" s="242" t="e">
        <f t="shared" si="317"/>
        <v>#N/A</v>
      </c>
      <c r="EM412" s="57" t="e">
        <f t="shared" si="318"/>
        <v>#N/A</v>
      </c>
      <c r="EN412" s="243" t="e">
        <f t="shared" si="319"/>
        <v>#N/A</v>
      </c>
      <c r="FK412" s="326" t="str">
        <f t="shared" si="364"/>
        <v/>
      </c>
      <c r="FL412" s="326" t="str">
        <f t="shared" si="365"/>
        <v/>
      </c>
      <c r="FM412" s="326" t="str">
        <f t="shared" si="366"/>
        <v/>
      </c>
      <c r="FN412" s="326">
        <f t="shared" si="320"/>
        <v>0</v>
      </c>
      <c r="FO412" s="670" t="str">
        <f t="shared" si="367"/>
        <v/>
      </c>
      <c r="FQ412" s="138" t="str">
        <f t="shared" si="321"/>
        <v/>
      </c>
      <c r="FR412" s="131" t="str">
        <f t="shared" si="322"/>
        <v>0</v>
      </c>
      <c r="FS412" s="54" t="str">
        <f t="shared" si="323"/>
        <v/>
      </c>
      <c r="FT412" s="131" t="str">
        <f t="shared" si="362"/>
        <v>0</v>
      </c>
      <c r="FU412" s="217" t="str">
        <f t="shared" si="324"/>
        <v/>
      </c>
      <c r="FW412" s="667">
        <f t="shared" si="363"/>
        <v>0</v>
      </c>
      <c r="FX412" s="32"/>
      <c r="FY412" s="32"/>
      <c r="FZ412" s="668"/>
      <c r="GA412" s="14"/>
      <c r="GB412" s="658">
        <f t="shared" si="325"/>
        <v>0</v>
      </c>
      <c r="GC412" s="658">
        <f t="shared" si="326"/>
        <v>0</v>
      </c>
      <c r="GD412" s="658">
        <f t="shared" si="327"/>
        <v>0</v>
      </c>
      <c r="GE412" s="658" t="str">
        <f t="shared" si="328"/>
        <v/>
      </c>
      <c r="GF412" s="658" t="str">
        <f t="shared" si="329"/>
        <v/>
      </c>
      <c r="GG412" s="658" t="str">
        <f t="shared" si="330"/>
        <v/>
      </c>
      <c r="GH412" s="658" t="str">
        <f t="shared" si="331"/>
        <v/>
      </c>
      <c r="GI412" s="658" t="str">
        <f t="shared" si="332"/>
        <v/>
      </c>
      <c r="GJ412" s="658" t="str">
        <f t="shared" si="333"/>
        <v/>
      </c>
      <c r="GK412" s="658" t="str">
        <f t="shared" si="334"/>
        <v/>
      </c>
      <c r="GL412" s="658" t="str">
        <f t="shared" si="335"/>
        <v/>
      </c>
      <c r="GM412" s="658" t="str">
        <f t="shared" si="336"/>
        <v/>
      </c>
      <c r="GN412" s="658" t="str">
        <f t="shared" si="337"/>
        <v/>
      </c>
      <c r="GO412" s="658" t="str">
        <f t="shared" si="338"/>
        <v/>
      </c>
      <c r="GP412" s="658" t="str">
        <f t="shared" si="339"/>
        <v/>
      </c>
      <c r="GQ412" s="658" t="str">
        <f t="shared" si="340"/>
        <v/>
      </c>
      <c r="GR412" s="658" t="str">
        <f t="shared" si="341"/>
        <v/>
      </c>
      <c r="GS412" s="658" t="str">
        <f t="shared" si="342"/>
        <v/>
      </c>
      <c r="GT412" s="658">
        <f t="shared" si="368"/>
        <v>0</v>
      </c>
      <c r="GU412" s="658">
        <f t="shared" si="369"/>
        <v>0</v>
      </c>
      <c r="GV412" s="658">
        <f t="shared" si="370"/>
        <v>0</v>
      </c>
      <c r="GW412" s="658" t="b">
        <f t="shared" si="371"/>
        <v>0</v>
      </c>
      <c r="GX412" s="658" t="b">
        <f t="shared" si="372"/>
        <v>0</v>
      </c>
      <c r="GY412" s="658" t="b">
        <f t="shared" si="373"/>
        <v>0</v>
      </c>
      <c r="GZ412" s="658" t="str">
        <f t="shared" si="378"/>
        <v/>
      </c>
      <c r="HB412" s="658" t="str">
        <f t="shared" si="374"/>
        <v/>
      </c>
      <c r="HC412" s="658" t="str">
        <f t="shared" si="343"/>
        <v/>
      </c>
      <c r="HD412" s="658" t="str">
        <f t="shared" si="344"/>
        <v/>
      </c>
      <c r="HE412" s="658" t="str">
        <f t="shared" si="345"/>
        <v/>
      </c>
      <c r="HF412" s="658" t="str">
        <f t="shared" si="346"/>
        <v/>
      </c>
      <c r="HG412" s="658" t="str">
        <f t="shared" si="347"/>
        <v/>
      </c>
      <c r="HH412" s="658" t="str">
        <f t="shared" si="348"/>
        <v/>
      </c>
      <c r="HI412" s="658" t="str">
        <f t="shared" si="349"/>
        <v/>
      </c>
      <c r="HJ412" s="658" t="str">
        <f t="shared" si="350"/>
        <v/>
      </c>
      <c r="HK412" s="658" t="str">
        <f t="shared" si="351"/>
        <v/>
      </c>
      <c r="HL412" s="658" t="str">
        <f t="shared" si="352"/>
        <v/>
      </c>
      <c r="HM412" s="658" t="str">
        <f t="shared" si="353"/>
        <v/>
      </c>
      <c r="HN412" s="658" t="str">
        <f t="shared" si="354"/>
        <v/>
      </c>
      <c r="HO412" s="658" t="str">
        <f t="shared" si="355"/>
        <v/>
      </c>
      <c r="HP412" s="658" t="str">
        <f t="shared" si="356"/>
        <v/>
      </c>
      <c r="HQ412" s="658" t="str">
        <f t="shared" si="357"/>
        <v/>
      </c>
      <c r="HR412" s="658" t="str">
        <f t="shared" si="375"/>
        <v/>
      </c>
      <c r="HT412" s="658">
        <f>LEFT(M412,1)*10000+MID(M412,3,LEN(M412)-3)*100+COUNTIF($M$319:M412,M412)</f>
        <v>43101</v>
      </c>
      <c r="HU412" s="658" t="str">
        <f t="shared" si="376"/>
        <v/>
      </c>
      <c r="HV412" s="658" t="str">
        <f t="shared" si="358"/>
        <v/>
      </c>
      <c r="HW412" s="658" t="str">
        <f t="shared" si="377"/>
        <v/>
      </c>
      <c r="HX412" s="658" t="str">
        <f t="shared" si="359"/>
        <v/>
      </c>
    </row>
    <row r="413" spans="1:232" s="19" customFormat="1" ht="50.1" customHeight="1" x14ac:dyDescent="0.15">
      <c r="A413" s="1201"/>
      <c r="B413" s="1201"/>
      <c r="C413" s="1201"/>
      <c r="D413" s="1201"/>
      <c r="E413" s="1202"/>
      <c r="F413" s="652"/>
      <c r="G413" s="652"/>
      <c r="H413" s="652"/>
      <c r="I413" s="1357"/>
      <c r="J413" s="1234"/>
      <c r="K413" s="1261"/>
      <c r="L413" s="1261"/>
      <c r="M413" s="2423" t="s">
        <v>1181</v>
      </c>
      <c r="N413" s="2423"/>
      <c r="O413" s="2424"/>
      <c r="P413" s="2688"/>
      <c r="Q413" s="2688"/>
      <c r="R413" s="2688"/>
      <c r="S413" s="2688"/>
      <c r="T413" s="2688"/>
      <c r="U413" s="2651" t="s">
        <v>3075</v>
      </c>
      <c r="V413" s="2651"/>
      <c r="W413" s="2651"/>
      <c r="X413" s="2651"/>
      <c r="Y413" s="2651"/>
      <c r="Z413" s="2651"/>
      <c r="AA413" s="2651"/>
      <c r="AB413" s="2651"/>
      <c r="AC413" s="2651"/>
      <c r="AD413" s="2651"/>
      <c r="AE413" s="2651"/>
      <c r="AF413" s="2490"/>
      <c r="AG413" s="2490"/>
      <c r="AH413" s="2490"/>
      <c r="AI413" s="2490"/>
      <c r="AJ413" s="2490"/>
      <c r="AK413" s="2490"/>
      <c r="AL413" s="2490"/>
      <c r="AM413" s="2490"/>
      <c r="AN413" s="2490"/>
      <c r="AO413" s="2490"/>
      <c r="AP413" s="2490"/>
      <c r="AQ413" s="2490"/>
      <c r="AR413" s="2456"/>
      <c r="AS413" s="2456"/>
      <c r="AT413" s="2481"/>
      <c r="AU413" s="2481"/>
      <c r="AV413" s="2481"/>
      <c r="AW413" s="2481"/>
      <c r="AX413" s="2481"/>
      <c r="AY413" s="2481"/>
      <c r="AZ413" s="2481"/>
      <c r="BA413" s="2481"/>
      <c r="BB413" s="2481"/>
      <c r="BC413" s="2481"/>
      <c r="BD413" s="2481"/>
      <c r="BE413" s="2481"/>
      <c r="BF413" s="2481"/>
      <c r="BG413" s="2481"/>
      <c r="BH413" s="2481"/>
      <c r="BI413" s="2481"/>
      <c r="BJ413" s="2481"/>
      <c r="BK413" s="2481"/>
      <c r="BL413" s="2481"/>
      <c r="BM413" s="2481"/>
      <c r="BN413" s="2481"/>
      <c r="BO413" s="2481"/>
      <c r="BP413" s="2481"/>
      <c r="BQ413" s="2481"/>
      <c r="BR413" s="2481"/>
      <c r="BS413" s="2482"/>
      <c r="BT413" s="2482"/>
      <c r="BU413" s="2482"/>
      <c r="BV413" s="2482"/>
      <c r="BW413" s="2482"/>
      <c r="BX413" s="2482"/>
      <c r="BY413" s="2482"/>
      <c r="BZ413" s="2456"/>
      <c r="CA413" s="2456"/>
      <c r="CB413" s="1844"/>
      <c r="CC413" s="1845"/>
      <c r="CD413" s="1845"/>
      <c r="CE413" s="1845"/>
      <c r="CF413" s="1845"/>
      <c r="CG413" s="1845"/>
      <c r="CH413" s="1845"/>
      <c r="CI413" s="1845"/>
      <c r="CJ413" s="1845"/>
      <c r="CK413" s="1845"/>
      <c r="CL413" s="1845"/>
      <c r="CM413" s="1845"/>
      <c r="CN413" s="1845"/>
      <c r="CO413" s="1845"/>
      <c r="CP413" s="1845"/>
      <c r="CQ413" s="1845"/>
      <c r="CR413" s="1845"/>
      <c r="CS413" s="1845"/>
      <c r="CT413" s="1845"/>
      <c r="CU413" s="1846"/>
      <c r="CV413" s="2300" t="str">
        <f t="shared" si="293"/>
        <v/>
      </c>
      <c r="CW413" s="2300"/>
      <c r="CX413" s="2300"/>
      <c r="CY413" s="2300"/>
      <c r="CZ413" s="2300"/>
      <c r="DA413" s="2300"/>
      <c r="DC413" s="329" t="str">
        <f t="shared" si="294"/>
        <v/>
      </c>
      <c r="DD413" s="197"/>
      <c r="DF413" s="14"/>
      <c r="DG413" s="14"/>
      <c r="DH413" s="14"/>
      <c r="DI413" s="1596"/>
      <c r="DJ413" s="1170" t="s">
        <v>2749</v>
      </c>
      <c r="DK413" s="1604" t="str">
        <f t="shared" si="295"/>
        <v/>
      </c>
      <c r="DL413" s="437" t="str">
        <f t="shared" si="296"/>
        <v/>
      </c>
      <c r="DM413" s="1128">
        <f t="shared" si="297"/>
        <v>0</v>
      </c>
      <c r="DN413" s="22">
        <f t="shared" si="298"/>
        <v>0</v>
      </c>
      <c r="DO413" s="22">
        <f t="shared" si="299"/>
        <v>0</v>
      </c>
      <c r="DP413" s="264">
        <f t="shared" si="300"/>
        <v>0</v>
      </c>
      <c r="DQ413" s="32" t="s">
        <v>759</v>
      </c>
      <c r="DR413" s="263" t="str">
        <f t="shared" si="379"/>
        <v>常時閉鎖した状態にある戸の固定の状況</v>
      </c>
      <c r="DS413" s="23">
        <f t="shared" si="301"/>
        <v>0</v>
      </c>
      <c r="DT413" s="29" t="str">
        <f t="shared" si="302"/>
        <v/>
      </c>
      <c r="DU413" s="242" t="str">
        <f t="shared" si="303"/>
        <v/>
      </c>
      <c r="DV413" s="57" t="str">
        <f>IF($DT413="要是正",MAX($DV$378:DV412)+1,"")</f>
        <v/>
      </c>
      <c r="DW413" s="30" t="str">
        <f t="shared" si="304"/>
        <v/>
      </c>
      <c r="DX413" s="30" t="str">
        <f t="shared" si="305"/>
        <v/>
      </c>
      <c r="DY413" s="13" t="str">
        <f t="shared" si="306"/>
        <v/>
      </c>
      <c r="DZ413" s="121" t="str">
        <f t="shared" si="307"/>
        <v/>
      </c>
      <c r="EA413" s="256" t="str">
        <f t="shared" si="308"/>
        <v/>
      </c>
      <c r="EB413" s="138" t="str">
        <f t="shared" si="309"/>
        <v/>
      </c>
      <c r="EC413" s="131" t="str">
        <f t="shared" si="310"/>
        <v>0</v>
      </c>
      <c r="ED413" s="54" t="str">
        <f t="shared" si="311"/>
        <v/>
      </c>
      <c r="EE413" s="131" t="str">
        <f t="shared" si="360"/>
        <v>0</v>
      </c>
      <c r="EF413" s="37" t="str">
        <f t="shared" si="312"/>
        <v/>
      </c>
      <c r="EG413" s="108" t="str">
        <f t="shared" si="313"/>
        <v/>
      </c>
      <c r="EH413" s="41" t="str">
        <f t="shared" si="314"/>
        <v>0</v>
      </c>
      <c r="EI413" s="54" t="str">
        <f t="shared" si="315"/>
        <v/>
      </c>
      <c r="EJ413" s="131" t="str">
        <f t="shared" si="361"/>
        <v>0</v>
      </c>
      <c r="EK413" s="241" t="str">
        <f t="shared" si="316"/>
        <v/>
      </c>
      <c r="EL413" s="242" t="e">
        <f t="shared" si="317"/>
        <v>#N/A</v>
      </c>
      <c r="EM413" s="57" t="e">
        <f t="shared" si="318"/>
        <v>#N/A</v>
      </c>
      <c r="EN413" s="243" t="e">
        <f t="shared" si="319"/>
        <v>#N/A</v>
      </c>
      <c r="FK413" s="326" t="str">
        <f t="shared" si="364"/>
        <v/>
      </c>
      <c r="FL413" s="326" t="str">
        <f t="shared" si="365"/>
        <v/>
      </c>
      <c r="FM413" s="326" t="str">
        <f t="shared" si="366"/>
        <v/>
      </c>
      <c r="FN413" s="326">
        <f t="shared" si="320"/>
        <v>0</v>
      </c>
      <c r="FO413" s="670" t="str">
        <f t="shared" si="367"/>
        <v/>
      </c>
      <c r="FQ413" s="138" t="str">
        <f t="shared" si="321"/>
        <v/>
      </c>
      <c r="FR413" s="131" t="str">
        <f t="shared" si="322"/>
        <v>0</v>
      </c>
      <c r="FS413" s="54" t="str">
        <f t="shared" si="323"/>
        <v/>
      </c>
      <c r="FT413" s="131" t="str">
        <f t="shared" si="362"/>
        <v>0</v>
      </c>
      <c r="FU413" s="217" t="str">
        <f t="shared" si="324"/>
        <v/>
      </c>
      <c r="FW413" s="667">
        <f t="shared" si="363"/>
        <v>0</v>
      </c>
      <c r="FX413" s="32"/>
      <c r="FY413" s="32"/>
      <c r="FZ413" s="668"/>
      <c r="GA413" s="14"/>
      <c r="GB413" s="658">
        <f t="shared" si="325"/>
        <v>0</v>
      </c>
      <c r="GC413" s="658">
        <f t="shared" si="326"/>
        <v>0</v>
      </c>
      <c r="GD413" s="658">
        <f t="shared" si="327"/>
        <v>0</v>
      </c>
      <c r="GE413" s="658" t="str">
        <f t="shared" si="328"/>
        <v/>
      </c>
      <c r="GF413" s="658" t="str">
        <f t="shared" si="329"/>
        <v/>
      </c>
      <c r="GG413" s="658" t="str">
        <f t="shared" si="330"/>
        <v/>
      </c>
      <c r="GH413" s="658" t="str">
        <f t="shared" si="331"/>
        <v/>
      </c>
      <c r="GI413" s="658" t="str">
        <f t="shared" si="332"/>
        <v/>
      </c>
      <c r="GJ413" s="658" t="str">
        <f t="shared" si="333"/>
        <v/>
      </c>
      <c r="GK413" s="658" t="str">
        <f t="shared" si="334"/>
        <v/>
      </c>
      <c r="GL413" s="658" t="str">
        <f t="shared" si="335"/>
        <v/>
      </c>
      <c r="GM413" s="658" t="str">
        <f t="shared" si="336"/>
        <v/>
      </c>
      <c r="GN413" s="658" t="str">
        <f t="shared" si="337"/>
        <v/>
      </c>
      <c r="GO413" s="658" t="str">
        <f t="shared" si="338"/>
        <v/>
      </c>
      <c r="GP413" s="658" t="str">
        <f t="shared" si="339"/>
        <v/>
      </c>
      <c r="GQ413" s="658" t="str">
        <f t="shared" si="340"/>
        <v/>
      </c>
      <c r="GR413" s="658" t="str">
        <f t="shared" si="341"/>
        <v/>
      </c>
      <c r="GS413" s="658" t="str">
        <f t="shared" si="342"/>
        <v/>
      </c>
      <c r="GT413" s="658">
        <f t="shared" si="368"/>
        <v>0</v>
      </c>
      <c r="GU413" s="658">
        <f t="shared" si="369"/>
        <v>0</v>
      </c>
      <c r="GV413" s="658">
        <f t="shared" si="370"/>
        <v>0</v>
      </c>
      <c r="GW413" s="658" t="b">
        <f t="shared" si="371"/>
        <v>0</v>
      </c>
      <c r="GX413" s="658" t="b">
        <f t="shared" si="372"/>
        <v>0</v>
      </c>
      <c r="GY413" s="658" t="b">
        <f t="shared" si="373"/>
        <v>0</v>
      </c>
      <c r="GZ413" s="658" t="str">
        <f t="shared" si="378"/>
        <v/>
      </c>
      <c r="HB413" s="658" t="str">
        <f t="shared" si="374"/>
        <v/>
      </c>
      <c r="HC413" s="658" t="str">
        <f t="shared" si="343"/>
        <v/>
      </c>
      <c r="HD413" s="658" t="str">
        <f t="shared" si="344"/>
        <v/>
      </c>
      <c r="HE413" s="658" t="str">
        <f t="shared" si="345"/>
        <v/>
      </c>
      <c r="HF413" s="658" t="str">
        <f t="shared" si="346"/>
        <v/>
      </c>
      <c r="HG413" s="658" t="str">
        <f t="shared" si="347"/>
        <v/>
      </c>
      <c r="HH413" s="658" t="str">
        <f t="shared" si="348"/>
        <v/>
      </c>
      <c r="HI413" s="658" t="str">
        <f t="shared" si="349"/>
        <v/>
      </c>
      <c r="HJ413" s="658" t="str">
        <f t="shared" si="350"/>
        <v/>
      </c>
      <c r="HK413" s="658" t="str">
        <f t="shared" si="351"/>
        <v/>
      </c>
      <c r="HL413" s="658" t="str">
        <f t="shared" si="352"/>
        <v/>
      </c>
      <c r="HM413" s="658" t="str">
        <f t="shared" si="353"/>
        <v/>
      </c>
      <c r="HN413" s="658" t="str">
        <f t="shared" si="354"/>
        <v/>
      </c>
      <c r="HO413" s="658" t="str">
        <f t="shared" si="355"/>
        <v/>
      </c>
      <c r="HP413" s="658" t="str">
        <f t="shared" si="356"/>
        <v/>
      </c>
      <c r="HQ413" s="658" t="str">
        <f t="shared" si="357"/>
        <v/>
      </c>
      <c r="HR413" s="658" t="str">
        <f t="shared" si="375"/>
        <v/>
      </c>
      <c r="HT413" s="658">
        <f>LEFT(M413,1)*10000+MID(M413,3,LEN(M413)-3)*100+COUNTIF($M$319:M413,M413)</f>
        <v>43201</v>
      </c>
      <c r="HU413" s="658" t="str">
        <f t="shared" si="376"/>
        <v/>
      </c>
      <c r="HV413" s="658" t="str">
        <f t="shared" si="358"/>
        <v/>
      </c>
      <c r="HW413" s="658" t="str">
        <f t="shared" si="377"/>
        <v/>
      </c>
      <c r="HX413" s="658" t="str">
        <f t="shared" si="359"/>
        <v/>
      </c>
    </row>
    <row r="414" spans="1:232" s="19" customFormat="1" ht="50.1" customHeight="1" x14ac:dyDescent="0.15">
      <c r="A414" s="1201"/>
      <c r="B414" s="1201"/>
      <c r="C414" s="1201"/>
      <c r="D414" s="1201"/>
      <c r="E414" s="1202"/>
      <c r="F414" s="652"/>
      <c r="G414" s="652"/>
      <c r="H414" s="652"/>
      <c r="I414" s="1357"/>
      <c r="J414" s="1234"/>
      <c r="K414" s="1261"/>
      <c r="L414" s="1261"/>
      <c r="M414" s="2423" t="s">
        <v>1182</v>
      </c>
      <c r="N414" s="2423"/>
      <c r="O414" s="2424"/>
      <c r="P414" s="2480" t="s">
        <v>200</v>
      </c>
      <c r="Q414" s="2480"/>
      <c r="R414" s="2480"/>
      <c r="S414" s="2480"/>
      <c r="T414" s="2480"/>
      <c r="U414" s="2429" t="s">
        <v>102</v>
      </c>
      <c r="V414" s="2429"/>
      <c r="W414" s="2429"/>
      <c r="X414" s="2429"/>
      <c r="Y414" s="2429"/>
      <c r="Z414" s="2429"/>
      <c r="AA414" s="2429"/>
      <c r="AB414" s="2429"/>
      <c r="AC414" s="2429"/>
      <c r="AD414" s="2429"/>
      <c r="AE414" s="2429"/>
      <c r="AF414" s="2293"/>
      <c r="AG414" s="2293"/>
      <c r="AH414" s="2293"/>
      <c r="AI414" s="2293"/>
      <c r="AJ414" s="2293"/>
      <c r="AK414" s="2293"/>
      <c r="AL414" s="2293"/>
      <c r="AM414" s="2293"/>
      <c r="AN414" s="2293"/>
      <c r="AO414" s="2293"/>
      <c r="AP414" s="2293"/>
      <c r="AQ414" s="2293"/>
      <c r="AR414" s="2359"/>
      <c r="AS414" s="2359"/>
      <c r="AT414" s="2301"/>
      <c r="AU414" s="2301"/>
      <c r="AV414" s="2301"/>
      <c r="AW414" s="2301"/>
      <c r="AX414" s="2301"/>
      <c r="AY414" s="2301"/>
      <c r="AZ414" s="2301"/>
      <c r="BA414" s="2301"/>
      <c r="BB414" s="2301"/>
      <c r="BC414" s="2301"/>
      <c r="BD414" s="2301"/>
      <c r="BE414" s="2301"/>
      <c r="BF414" s="2301"/>
      <c r="BG414" s="2301"/>
      <c r="BH414" s="2301"/>
      <c r="BI414" s="2301"/>
      <c r="BJ414" s="2301"/>
      <c r="BK414" s="2301"/>
      <c r="BL414" s="2301"/>
      <c r="BM414" s="2301"/>
      <c r="BN414" s="2301"/>
      <c r="BO414" s="2301"/>
      <c r="BP414" s="2301"/>
      <c r="BQ414" s="2301"/>
      <c r="BR414" s="2301"/>
      <c r="BS414" s="2358"/>
      <c r="BT414" s="2358"/>
      <c r="BU414" s="2358"/>
      <c r="BV414" s="2358"/>
      <c r="BW414" s="2358"/>
      <c r="BX414" s="2358"/>
      <c r="BY414" s="2358"/>
      <c r="BZ414" s="2359"/>
      <c r="CA414" s="2359"/>
      <c r="CB414" s="2728"/>
      <c r="CC414" s="2729"/>
      <c r="CD414" s="2729"/>
      <c r="CE414" s="2729"/>
      <c r="CF414" s="2729"/>
      <c r="CG414" s="2729"/>
      <c r="CH414" s="2729"/>
      <c r="CI414" s="2729"/>
      <c r="CJ414" s="2729"/>
      <c r="CK414" s="2729"/>
      <c r="CL414" s="2729"/>
      <c r="CM414" s="2729"/>
      <c r="CN414" s="2729"/>
      <c r="CO414" s="2729"/>
      <c r="CP414" s="2729"/>
      <c r="CQ414" s="2729"/>
      <c r="CR414" s="2729"/>
      <c r="CS414" s="2729"/>
      <c r="CT414" s="2729"/>
      <c r="CU414" s="2730"/>
      <c r="CV414" s="2300" t="str">
        <f t="shared" si="293"/>
        <v/>
      </c>
      <c r="CW414" s="2300"/>
      <c r="CX414" s="2300"/>
      <c r="CY414" s="2300"/>
      <c r="CZ414" s="2300"/>
      <c r="DA414" s="2300"/>
      <c r="DC414" s="329" t="str">
        <f t="shared" si="294"/>
        <v/>
      </c>
      <c r="DD414" s="197"/>
      <c r="DF414" s="14"/>
      <c r="DG414" s="14"/>
      <c r="DH414" s="14"/>
      <c r="DI414" s="1596"/>
      <c r="DJ414" s="1170" t="s">
        <v>2749</v>
      </c>
      <c r="DK414" s="1604" t="str">
        <f t="shared" ref="DK414:DK445" si="380">IF(DS414=2,DATE(VLOOKUP(DJ414,$DU$6:$DV$9,2,FALSE)+BS414,BV414,1),"")</f>
        <v/>
      </c>
      <c r="DL414" s="437" t="str">
        <f t="shared" ref="DL414:DL431" si="381">IF(DS414=2,DJ414&amp;BS414&amp;"."&amp;BV414,"")</f>
        <v/>
      </c>
      <c r="DM414" s="1128">
        <f t="shared" ref="DM414:DM431" si="382">COUNTIFS(AF414,"―対象外")</f>
        <v>0</v>
      </c>
      <c r="DN414" s="22">
        <f t="shared" ref="DN414:DN431" si="383">COUNTIFS(AF414,"○指摘なし")</f>
        <v>0</v>
      </c>
      <c r="DO414" s="22">
        <f t="shared" ref="DO414:DO431" si="384">COUNTIFS(AF414,"×要是正（既存不適格以外）")</f>
        <v>0</v>
      </c>
      <c r="DP414" s="264">
        <f t="shared" ref="DP414:DP431" si="385">COUNTIFS(AF414,"△既存不適格")</f>
        <v>0</v>
      </c>
      <c r="DQ414" s="32" t="s">
        <v>760</v>
      </c>
      <c r="DR414" s="263" t="str">
        <f t="shared" si="379"/>
        <v>照明器具、懸垂物等の落下防止対策の状況　</v>
      </c>
      <c r="DS414" s="23">
        <f t="shared" ref="DS414:DS431" si="386">COUNTA(BS414:BX414)</f>
        <v>0</v>
      </c>
      <c r="DT414" s="29" t="str">
        <f t="shared" ref="DT414:DT431" si="387">IF(AF414="×要是正（既存不適格以外）","要是正","")&amp;IF(AF414="△既存不適格","既存不適格","")</f>
        <v/>
      </c>
      <c r="DU414" s="242" t="str">
        <f t="shared" si="303"/>
        <v/>
      </c>
      <c r="DV414" s="57" t="str">
        <f>IF($DT414="要是正",MAX($DV$378:DV413)+1,"")</f>
        <v/>
      </c>
      <c r="DW414" s="30" t="str">
        <f t="shared" ref="DW414:DW431" si="388">IF(OR(AF414="×要是正（既存不適格以外）",AF414="△既存不適格"),DQ414,"")</f>
        <v/>
      </c>
      <c r="DX414" s="30" t="str">
        <f t="shared" si="305"/>
        <v/>
      </c>
      <c r="DY414" s="13" t="str">
        <f t="shared" si="306"/>
        <v/>
      </c>
      <c r="DZ414" s="121" t="str">
        <f t="shared" ref="DZ414:DZ431" si="389">IF($DT414="要是正",IF(BD414="","",BD414),"")</f>
        <v/>
      </c>
      <c r="EA414" s="256" t="str">
        <f t="shared" ref="EA414:EA431" si="390">IF(BY414="未定","未定",IF(FR414="0","",IF(BY414="予定","("&amp;DL414&amp;")",IF(BY414="改善済",DL414,DL414))))</f>
        <v/>
      </c>
      <c r="EB414" s="138" t="str">
        <f t="shared" ref="EB414:EB431" si="391">IF(OR(DT414="要是正",DT414="既存不適格"),IF(OR(DS414&lt;2,BY414&lt;&gt;"予定"),"",DK414),"")</f>
        <v/>
      </c>
      <c r="EC414" s="131" t="str">
        <f t="shared" si="310"/>
        <v>0</v>
      </c>
      <c r="ED414" s="54" t="str">
        <f t="shared" si="311"/>
        <v/>
      </c>
      <c r="EE414" s="131" t="str">
        <f t="shared" si="360"/>
        <v>0</v>
      </c>
      <c r="EF414" s="37" t="str">
        <f t="shared" si="312"/>
        <v/>
      </c>
      <c r="EG414" s="108" t="str">
        <f t="shared" ref="EG414:EG431" si="392">IF(DT414="既存不適格",IF(OR(DS414&lt;2,BY414&lt;&gt;"予定"),"",DK414),"")</f>
        <v/>
      </c>
      <c r="EH414" s="41" t="str">
        <f t="shared" si="314"/>
        <v>0</v>
      </c>
      <c r="EI414" s="54" t="str">
        <f t="shared" ref="EI414:EI431" si="393">IF(DT414="既存不適格",IF(AND(BY414="予定",DS414=2),1,IF(BY414="改善済",2,"")),"")</f>
        <v/>
      </c>
      <c r="EJ414" s="131" t="str">
        <f t="shared" si="361"/>
        <v>0</v>
      </c>
      <c r="EK414" s="241" t="str">
        <f t="shared" ref="EK414:EK431" si="394">IF(AND(DT414="既存不適格",AND(DS414=0,BY414="未定")),BY414,"")</f>
        <v/>
      </c>
      <c r="EL414" s="242" t="e">
        <f t="shared" si="317"/>
        <v>#N/A</v>
      </c>
      <c r="EM414" s="57" t="e">
        <f t="shared" si="318"/>
        <v>#N/A</v>
      </c>
      <c r="EN414" s="243" t="e">
        <f t="shared" si="319"/>
        <v>#N/A</v>
      </c>
      <c r="FK414" s="326" t="str">
        <f t="shared" si="364"/>
        <v/>
      </c>
      <c r="FL414" s="326" t="str">
        <f t="shared" si="365"/>
        <v/>
      </c>
      <c r="FM414" s="326" t="str">
        <f t="shared" si="366"/>
        <v/>
      </c>
      <c r="FN414" s="326">
        <f t="shared" ref="FN414:FN431" si="395">IF($AF414="―対象外","―",AR414)</f>
        <v>0</v>
      </c>
      <c r="FO414" s="670" t="str">
        <f t="shared" ref="FO414:FO431" si="396">IF($AF414="―対象外","○","")</f>
        <v/>
      </c>
      <c r="FQ414" s="138" t="str">
        <f t="shared" ref="FQ414:FQ431" si="397">IF(NOT(OR(BY414="未定",BY414="")),DK414,"")</f>
        <v/>
      </c>
      <c r="FR414" s="131" t="str">
        <f t="shared" si="322"/>
        <v>0</v>
      </c>
      <c r="FS414" s="54" t="str">
        <f t="shared" si="323"/>
        <v/>
      </c>
      <c r="FT414" s="131" t="str">
        <f t="shared" si="362"/>
        <v>0</v>
      </c>
      <c r="FU414" s="217" t="str">
        <f t="shared" si="324"/>
        <v/>
      </c>
      <c r="FW414" s="667">
        <f t="shared" si="363"/>
        <v>0</v>
      </c>
      <c r="FX414" s="32"/>
      <c r="FY414" s="32"/>
      <c r="FZ414" s="668"/>
      <c r="GA414" s="14"/>
      <c r="GB414" s="658">
        <f t="shared" ref="GB414:GB431" si="398">IF(BY414="予定",1,0)</f>
        <v>0</v>
      </c>
      <c r="GC414" s="658">
        <f t="shared" ref="GC414:GC431" si="399">IF(BY414="改善済",1,0)</f>
        <v>0</v>
      </c>
      <c r="GD414" s="658">
        <f t="shared" ref="GD414:GD431" si="400">IF(BY414="未定",1,0)</f>
        <v>0</v>
      </c>
      <c r="GE414" s="658" t="str">
        <f t="shared" ref="GE414:GE431" si="401">IF(GE$318=$M414,$BY$520,"")</f>
        <v/>
      </c>
      <c r="GF414" s="658" t="str">
        <f t="shared" ref="GF414:GF431" si="402">IF(GF$318=$M414,$BY$521,"")</f>
        <v/>
      </c>
      <c r="GG414" s="658" t="str">
        <f t="shared" ref="GG414:GG431" si="403">IF(GG$318=$M414,$BY$522,"")</f>
        <v/>
      </c>
      <c r="GH414" s="658" t="str">
        <f t="shared" ref="GH414:GH431" si="404">IF(GH$318=$M414,$BY$523,"")</f>
        <v/>
      </c>
      <c r="GI414" s="658" t="str">
        <f t="shared" ref="GI414:GI431" si="405">IF(GI$318=$M414,$BY$524,"")</f>
        <v/>
      </c>
      <c r="GJ414" s="658" t="str">
        <f t="shared" ref="GJ414:GJ431" si="406">IF(GJ$318=$M414,$BY$525,"")</f>
        <v/>
      </c>
      <c r="GK414" s="658" t="str">
        <f t="shared" ref="GK414:GK431" si="407">IF(GK$318=$M414,$BY$526,"")</f>
        <v/>
      </c>
      <c r="GL414" s="658" t="str">
        <f t="shared" ref="GL414:GL431" si="408">IF(GL$318=$M414,$BY$527,"")</f>
        <v/>
      </c>
      <c r="GM414" s="658" t="str">
        <f t="shared" ref="GM414:GM431" si="409">IF(GM$318=$M414,$BY$528,"")</f>
        <v/>
      </c>
      <c r="GN414" s="658" t="str">
        <f t="shared" ref="GN414:GN431" si="410">IF(GN$318=$M414,$BY$529,"")</f>
        <v/>
      </c>
      <c r="GO414" s="658" t="str">
        <f t="shared" ref="GO414:GO431" si="411">IF(GO$318=$M414,$BY$530,"")</f>
        <v/>
      </c>
      <c r="GP414" s="658" t="str">
        <f t="shared" ref="GP414:GP431" si="412">IF(GP$318=$M414,$BY$531,"")</f>
        <v/>
      </c>
      <c r="GQ414" s="658" t="str">
        <f t="shared" ref="GQ414:GQ431" si="413">IF(GQ$318=$M414,$BY$532,"")</f>
        <v/>
      </c>
      <c r="GR414" s="658" t="str">
        <f t="shared" ref="GR414:GR431" si="414">IF(GR$318=$M414,$BY$533,"")</f>
        <v/>
      </c>
      <c r="GS414" s="658" t="str">
        <f t="shared" ref="GS414:GS431" si="415">IF(GS$318=$M414,$BY$534,"")</f>
        <v/>
      </c>
      <c r="GT414" s="658">
        <f t="shared" si="368"/>
        <v>0</v>
      </c>
      <c r="GU414" s="658">
        <f t="shared" si="369"/>
        <v>0</v>
      </c>
      <c r="GV414" s="658">
        <f t="shared" si="370"/>
        <v>0</v>
      </c>
      <c r="GW414" s="658" t="b">
        <f t="shared" si="371"/>
        <v>0</v>
      </c>
      <c r="GX414" s="658" t="b">
        <f t="shared" si="372"/>
        <v>0</v>
      </c>
      <c r="GY414" s="658" t="b">
        <f t="shared" si="373"/>
        <v>0</v>
      </c>
      <c r="GZ414" s="658" t="str">
        <f t="shared" si="378"/>
        <v/>
      </c>
      <c r="HB414" s="658" t="str">
        <f t="shared" si="374"/>
        <v/>
      </c>
      <c r="HC414" s="658" t="str">
        <f t="shared" ref="HC414:HC431" si="416">IF(HC$318=$M414,$FW$520&amp;", ","")</f>
        <v/>
      </c>
      <c r="HD414" s="658" t="str">
        <f t="shared" ref="HD414:HD431" si="417">IF(HD$318=$M414,$FW$521&amp;", ","")</f>
        <v/>
      </c>
      <c r="HE414" s="658" t="str">
        <f t="shared" ref="HE414:HE431" si="418">IF(HE$318=$M414,$FW$522&amp;", ","")</f>
        <v/>
      </c>
      <c r="HF414" s="658" t="str">
        <f t="shared" ref="HF414:HF431" si="419">IF(HF$318=$M414,$FW$523&amp;", ","")</f>
        <v/>
      </c>
      <c r="HG414" s="658" t="str">
        <f t="shared" ref="HG414:HG431" si="420">IF(HG$318=$M414,$FW$524&amp;", ","")</f>
        <v/>
      </c>
      <c r="HH414" s="658" t="str">
        <f t="shared" ref="HH414:HH431" si="421">IF(HH$318=$M414,$FW$525&amp;", ","")</f>
        <v/>
      </c>
      <c r="HI414" s="658" t="str">
        <f t="shared" ref="HI414:HI431" si="422">IF(HI$318=$M414,$FW$526&amp;", ","")</f>
        <v/>
      </c>
      <c r="HJ414" s="658" t="str">
        <f t="shared" ref="HJ414:HJ431" si="423">IF(HJ$318=$M414,$FW$527&amp;", ","")</f>
        <v/>
      </c>
      <c r="HK414" s="658" t="str">
        <f t="shared" ref="HK414:HK431" si="424">IF(HK$318=$M414,$FW$528&amp;", ","")</f>
        <v/>
      </c>
      <c r="HL414" s="658" t="str">
        <f t="shared" ref="HL414:HL431" si="425">IF(HL$318=$M414,$FW$529&amp;", ","")</f>
        <v/>
      </c>
      <c r="HM414" s="658" t="str">
        <f t="shared" ref="HM414:HM431" si="426">IF(HM$318=$M414,$FW$530&amp;", ","")</f>
        <v/>
      </c>
      <c r="HN414" s="658" t="str">
        <f t="shared" ref="HN414:HN431" si="427">IF(HN$318=$M414,$FW$531&amp;", ","")</f>
        <v/>
      </c>
      <c r="HO414" s="658" t="str">
        <f t="shared" ref="HO414:HO431" si="428">IF(HO$318=$M414,$FW$532&amp;", ","")</f>
        <v/>
      </c>
      <c r="HP414" s="658" t="str">
        <f t="shared" ref="HP414:HP431" si="429">IF(HP$318=$M414,$FW$533&amp;", ","")</f>
        <v/>
      </c>
      <c r="HQ414" s="658" t="str">
        <f t="shared" ref="HQ414:HQ431" si="430">IF(HQ$318=$M414,$FW$534&amp;", ","")</f>
        <v/>
      </c>
      <c r="HR414" s="658" t="str">
        <f t="shared" si="375"/>
        <v/>
      </c>
      <c r="HT414" s="658">
        <f>LEFT(M414,1)*10000+MID(M414,3,LEN(M414)-3)*100+COUNTIF($M$319:M414,M414)</f>
        <v>43301</v>
      </c>
      <c r="HU414" s="658" t="str">
        <f t="shared" si="376"/>
        <v/>
      </c>
      <c r="HV414" s="658" t="str">
        <f t="shared" ref="HV414:HV431" si="431">IF(HU414="","",RANK(HU414,HU$319:HU$534,1))</f>
        <v/>
      </c>
      <c r="HW414" s="658" t="str">
        <f t="shared" si="377"/>
        <v/>
      </c>
      <c r="HX414" s="658" t="str">
        <f t="shared" ref="HX414:HX431" si="432">IF(HW414="","",RANK(HW414,HW$319:HW$534,1))</f>
        <v/>
      </c>
    </row>
    <row r="415" spans="1:232" s="19" customFormat="1" ht="50.1" customHeight="1" x14ac:dyDescent="0.15">
      <c r="A415" s="1201"/>
      <c r="B415" s="1201"/>
      <c r="C415" s="1201"/>
      <c r="D415" s="1201"/>
      <c r="E415" s="1202"/>
      <c r="F415" s="652"/>
      <c r="G415" s="652"/>
      <c r="H415" s="652"/>
      <c r="I415" s="1357"/>
      <c r="J415" s="1234"/>
      <c r="K415" s="1261"/>
      <c r="L415" s="1261"/>
      <c r="M415" s="2423" t="s">
        <v>1183</v>
      </c>
      <c r="N415" s="2423"/>
      <c r="O415" s="2424"/>
      <c r="P415" s="2444" t="s">
        <v>1063</v>
      </c>
      <c r="Q415" s="2444"/>
      <c r="R415" s="2444"/>
      <c r="S415" s="2444"/>
      <c r="T415" s="2444"/>
      <c r="U415" s="2438" t="s">
        <v>1064</v>
      </c>
      <c r="V415" s="2438"/>
      <c r="W415" s="2438"/>
      <c r="X415" s="2438"/>
      <c r="Y415" s="2438"/>
      <c r="Z415" s="2438"/>
      <c r="AA415" s="2438"/>
      <c r="AB415" s="2438"/>
      <c r="AC415" s="2438"/>
      <c r="AD415" s="2438"/>
      <c r="AE415" s="2438"/>
      <c r="AF415" s="2302"/>
      <c r="AG415" s="2302"/>
      <c r="AH415" s="2302"/>
      <c r="AI415" s="2302"/>
      <c r="AJ415" s="2302"/>
      <c r="AK415" s="2302"/>
      <c r="AL415" s="2302"/>
      <c r="AM415" s="2302"/>
      <c r="AN415" s="2302"/>
      <c r="AO415" s="2302"/>
      <c r="AP415" s="2302"/>
      <c r="AQ415" s="2302"/>
      <c r="AR415" s="2272"/>
      <c r="AS415" s="2272"/>
      <c r="AT415" s="2406"/>
      <c r="AU415" s="2406"/>
      <c r="AV415" s="2406"/>
      <c r="AW415" s="2406"/>
      <c r="AX415" s="2406"/>
      <c r="AY415" s="2406"/>
      <c r="AZ415" s="2406"/>
      <c r="BA415" s="2406"/>
      <c r="BB415" s="2406"/>
      <c r="BC415" s="2406"/>
      <c r="BD415" s="2406"/>
      <c r="BE415" s="2406"/>
      <c r="BF415" s="2406"/>
      <c r="BG415" s="2406"/>
      <c r="BH415" s="2406"/>
      <c r="BI415" s="2406"/>
      <c r="BJ415" s="2406"/>
      <c r="BK415" s="2406"/>
      <c r="BL415" s="2406"/>
      <c r="BM415" s="2406"/>
      <c r="BN415" s="2406"/>
      <c r="BO415" s="2406"/>
      <c r="BP415" s="2406"/>
      <c r="BQ415" s="2406"/>
      <c r="BR415" s="2406"/>
      <c r="BS415" s="2271"/>
      <c r="BT415" s="2271"/>
      <c r="BU415" s="2271"/>
      <c r="BV415" s="2271"/>
      <c r="BW415" s="2271"/>
      <c r="BX415" s="2271"/>
      <c r="BY415" s="2271"/>
      <c r="BZ415" s="2272"/>
      <c r="CA415" s="2272"/>
      <c r="CB415" s="2696" t="s">
        <v>3363</v>
      </c>
      <c r="CC415" s="2697"/>
      <c r="CD415" s="2697"/>
      <c r="CE415" s="2697"/>
      <c r="CF415" s="2697"/>
      <c r="CG415" s="2697"/>
      <c r="CH415" s="2697"/>
      <c r="CI415" s="2697"/>
      <c r="CJ415" s="2697"/>
      <c r="CK415" s="2697"/>
      <c r="CL415" s="2697"/>
      <c r="CM415" s="2697"/>
      <c r="CN415" s="2697"/>
      <c r="CO415" s="2697"/>
      <c r="CP415" s="2697"/>
      <c r="CQ415" s="2697"/>
      <c r="CR415" s="2697"/>
      <c r="CS415" s="2697"/>
      <c r="CT415" s="2697"/>
      <c r="CU415" s="2698"/>
      <c r="CV415" s="2300" t="str">
        <f t="shared" si="293"/>
        <v/>
      </c>
      <c r="CW415" s="2300"/>
      <c r="CX415" s="2300"/>
      <c r="CY415" s="2300"/>
      <c r="CZ415" s="2300"/>
      <c r="DA415" s="2300"/>
      <c r="DC415" s="329"/>
      <c r="DD415" s="197"/>
      <c r="DF415" s="14"/>
      <c r="DG415" s="14"/>
      <c r="DH415" s="14"/>
      <c r="DI415" s="1596"/>
      <c r="DJ415" s="1170" t="s">
        <v>2749</v>
      </c>
      <c r="DK415" s="1604" t="str">
        <f t="shared" si="380"/>
        <v/>
      </c>
      <c r="DL415" s="437" t="str">
        <f t="shared" si="381"/>
        <v/>
      </c>
      <c r="DM415" s="1128">
        <f t="shared" si="382"/>
        <v>0</v>
      </c>
      <c r="DN415" s="22">
        <f t="shared" si="383"/>
        <v>0</v>
      </c>
      <c r="DO415" s="22">
        <f t="shared" si="384"/>
        <v>0</v>
      </c>
      <c r="DP415" s="264">
        <f t="shared" si="385"/>
        <v>0</v>
      </c>
      <c r="DQ415" s="1134" t="s">
        <v>761</v>
      </c>
      <c r="DR415" s="263" t="str">
        <f t="shared" si="379"/>
        <v>警報設備の設置の状況</v>
      </c>
      <c r="DS415" s="23">
        <f t="shared" si="386"/>
        <v>0</v>
      </c>
      <c r="DT415" s="29" t="str">
        <f t="shared" si="387"/>
        <v/>
      </c>
      <c r="DU415" s="242" t="str">
        <f t="shared" si="303"/>
        <v/>
      </c>
      <c r="DV415" s="57" t="str">
        <f>IF($DT415="要是正",MAX($DV$378:DV414)+1,"")</f>
        <v/>
      </c>
      <c r="DW415" s="30" t="str">
        <f t="shared" si="388"/>
        <v/>
      </c>
      <c r="DX415" s="30" t="str">
        <f t="shared" si="305"/>
        <v/>
      </c>
      <c r="DY415" s="13" t="str">
        <f t="shared" si="306"/>
        <v/>
      </c>
      <c r="DZ415" s="121" t="str">
        <f t="shared" si="389"/>
        <v/>
      </c>
      <c r="EA415" s="256" t="str">
        <f t="shared" si="390"/>
        <v/>
      </c>
      <c r="EB415" s="138" t="str">
        <f t="shared" si="391"/>
        <v/>
      </c>
      <c r="EC415" s="131" t="str">
        <f t="shared" si="310"/>
        <v>0</v>
      </c>
      <c r="ED415" s="54" t="str">
        <f t="shared" si="311"/>
        <v/>
      </c>
      <c r="EE415" s="131" t="str">
        <f t="shared" si="360"/>
        <v>0</v>
      </c>
      <c r="EF415" s="37" t="str">
        <f t="shared" si="312"/>
        <v/>
      </c>
      <c r="EG415" s="108" t="str">
        <f t="shared" si="392"/>
        <v/>
      </c>
      <c r="EH415" s="41" t="str">
        <f t="shared" si="314"/>
        <v>0</v>
      </c>
      <c r="EI415" s="54" t="str">
        <f t="shared" si="393"/>
        <v/>
      </c>
      <c r="EJ415" s="131" t="str">
        <f t="shared" si="361"/>
        <v>0</v>
      </c>
      <c r="EK415" s="241" t="str">
        <f t="shared" si="394"/>
        <v/>
      </c>
      <c r="EL415" s="242" t="e">
        <f>VLOOKUP($DU415,$EO$318:$ER$346,2,FALSE)</f>
        <v>#N/A</v>
      </c>
      <c r="EM415" s="57" t="e">
        <f t="shared" si="318"/>
        <v>#N/A</v>
      </c>
      <c r="EN415" s="243" t="e">
        <f t="shared" si="319"/>
        <v>#N/A</v>
      </c>
      <c r="FK415" s="326" t="str">
        <f t="shared" si="364"/>
        <v/>
      </c>
      <c r="FL415" s="326" t="str">
        <f t="shared" si="365"/>
        <v/>
      </c>
      <c r="FM415" s="326" t="str">
        <f t="shared" si="366"/>
        <v/>
      </c>
      <c r="FN415" s="326">
        <f t="shared" si="395"/>
        <v>0</v>
      </c>
      <c r="FO415" s="670" t="str">
        <f t="shared" si="396"/>
        <v/>
      </c>
      <c r="FQ415" s="138" t="str">
        <f t="shared" si="397"/>
        <v/>
      </c>
      <c r="FR415" s="131" t="str">
        <f t="shared" si="322"/>
        <v>0</v>
      </c>
      <c r="FS415" s="54" t="str">
        <f t="shared" si="323"/>
        <v/>
      </c>
      <c r="FT415" s="131" t="str">
        <f t="shared" si="362"/>
        <v>0</v>
      </c>
      <c r="FU415" s="217" t="str">
        <f t="shared" si="324"/>
        <v/>
      </c>
      <c r="FW415" s="667">
        <f t="shared" ref="FW415:FW446" si="433">IF(AF415="△既存不適格",AT415&amp;"(既存不適格)",AT415)</f>
        <v>0</v>
      </c>
      <c r="FX415" s="32"/>
      <c r="FY415" s="32"/>
      <c r="FZ415" s="668"/>
      <c r="GA415" s="14"/>
      <c r="GB415" s="658">
        <f t="shared" si="398"/>
        <v>0</v>
      </c>
      <c r="GC415" s="658">
        <f t="shared" si="399"/>
        <v>0</v>
      </c>
      <c r="GD415" s="658">
        <f t="shared" si="400"/>
        <v>0</v>
      </c>
      <c r="GE415" s="658" t="str">
        <f t="shared" si="401"/>
        <v/>
      </c>
      <c r="GF415" s="658" t="str">
        <f t="shared" si="402"/>
        <v/>
      </c>
      <c r="GG415" s="658" t="str">
        <f t="shared" si="403"/>
        <v/>
      </c>
      <c r="GH415" s="658" t="str">
        <f t="shared" si="404"/>
        <v/>
      </c>
      <c r="GI415" s="658" t="str">
        <f t="shared" si="405"/>
        <v/>
      </c>
      <c r="GJ415" s="658" t="str">
        <f t="shared" si="406"/>
        <v/>
      </c>
      <c r="GK415" s="658" t="str">
        <f t="shared" si="407"/>
        <v/>
      </c>
      <c r="GL415" s="658" t="str">
        <f t="shared" si="408"/>
        <v/>
      </c>
      <c r="GM415" s="658" t="str">
        <f t="shared" si="409"/>
        <v/>
      </c>
      <c r="GN415" s="658" t="str">
        <f t="shared" si="410"/>
        <v/>
      </c>
      <c r="GO415" s="658" t="str">
        <f t="shared" si="411"/>
        <v/>
      </c>
      <c r="GP415" s="658" t="str">
        <f t="shared" si="412"/>
        <v/>
      </c>
      <c r="GQ415" s="658" t="str">
        <f t="shared" si="413"/>
        <v/>
      </c>
      <c r="GR415" s="658" t="str">
        <f t="shared" si="414"/>
        <v/>
      </c>
      <c r="GS415" s="658" t="str">
        <f t="shared" si="415"/>
        <v/>
      </c>
      <c r="GT415" s="658">
        <f t="shared" si="368"/>
        <v>0</v>
      </c>
      <c r="GU415" s="658">
        <f t="shared" si="369"/>
        <v>0</v>
      </c>
      <c r="GV415" s="658">
        <f t="shared" si="370"/>
        <v>0</v>
      </c>
      <c r="GW415" s="658" t="b">
        <f t="shared" si="371"/>
        <v>0</v>
      </c>
      <c r="GX415" s="658" t="b">
        <f t="shared" si="372"/>
        <v>0</v>
      </c>
      <c r="GY415" s="658" t="b">
        <f t="shared" si="373"/>
        <v>0</v>
      </c>
      <c r="GZ415" s="658" t="str">
        <f t="shared" si="378"/>
        <v/>
      </c>
      <c r="HB415" s="658" t="str">
        <f t="shared" si="374"/>
        <v/>
      </c>
      <c r="HC415" s="658" t="str">
        <f t="shared" si="416"/>
        <v/>
      </c>
      <c r="HD415" s="658" t="str">
        <f t="shared" si="417"/>
        <v/>
      </c>
      <c r="HE415" s="658" t="str">
        <f t="shared" si="418"/>
        <v/>
      </c>
      <c r="HF415" s="658" t="str">
        <f t="shared" si="419"/>
        <v/>
      </c>
      <c r="HG415" s="658" t="str">
        <f t="shared" si="420"/>
        <v/>
      </c>
      <c r="HH415" s="658" t="str">
        <f t="shared" si="421"/>
        <v/>
      </c>
      <c r="HI415" s="658" t="str">
        <f t="shared" si="422"/>
        <v/>
      </c>
      <c r="HJ415" s="658" t="str">
        <f t="shared" si="423"/>
        <v/>
      </c>
      <c r="HK415" s="658" t="str">
        <f t="shared" si="424"/>
        <v/>
      </c>
      <c r="HL415" s="658" t="str">
        <f t="shared" si="425"/>
        <v/>
      </c>
      <c r="HM415" s="658" t="str">
        <f t="shared" si="426"/>
        <v/>
      </c>
      <c r="HN415" s="658" t="str">
        <f t="shared" si="427"/>
        <v/>
      </c>
      <c r="HO415" s="658" t="str">
        <f t="shared" si="428"/>
        <v/>
      </c>
      <c r="HP415" s="658" t="str">
        <f t="shared" si="429"/>
        <v/>
      </c>
      <c r="HQ415" s="658" t="str">
        <f t="shared" si="430"/>
        <v/>
      </c>
      <c r="HR415" s="658" t="str">
        <f t="shared" si="375"/>
        <v/>
      </c>
      <c r="HT415" s="658">
        <f>LEFT(M415,1)*10000+MID(M415,3,LEN(M415)-3)*100+COUNTIF($M$319:M415,M415)</f>
        <v>43401</v>
      </c>
      <c r="HU415" s="658" t="str">
        <f t="shared" si="376"/>
        <v/>
      </c>
      <c r="HV415" s="658" t="str">
        <f t="shared" si="431"/>
        <v/>
      </c>
      <c r="HW415" s="658" t="str">
        <f t="shared" si="377"/>
        <v/>
      </c>
      <c r="HX415" s="658" t="str">
        <f t="shared" si="432"/>
        <v/>
      </c>
    </row>
    <row r="416" spans="1:232" s="19" customFormat="1" ht="50.1" customHeight="1" x14ac:dyDescent="0.15">
      <c r="A416" s="1201"/>
      <c r="B416" s="1201"/>
      <c r="C416" s="1201"/>
      <c r="D416" s="1201"/>
      <c r="E416" s="1202"/>
      <c r="F416" s="652"/>
      <c r="G416" s="652"/>
      <c r="H416" s="652"/>
      <c r="I416" s="1357"/>
      <c r="J416" s="1234"/>
      <c r="K416" s="1261"/>
      <c r="L416" s="1261"/>
      <c r="M416" s="2423" t="s">
        <v>1184</v>
      </c>
      <c r="N416" s="2423"/>
      <c r="O416" s="2424"/>
      <c r="P416" s="2445"/>
      <c r="Q416" s="2445"/>
      <c r="R416" s="2445"/>
      <c r="S416" s="2445"/>
      <c r="T416" s="2445"/>
      <c r="U416" s="2431" t="s">
        <v>1065</v>
      </c>
      <c r="V416" s="2431"/>
      <c r="W416" s="2431"/>
      <c r="X416" s="2431"/>
      <c r="Y416" s="2431"/>
      <c r="Z416" s="2431"/>
      <c r="AA416" s="2431"/>
      <c r="AB416" s="2431"/>
      <c r="AC416" s="2431"/>
      <c r="AD416" s="2431"/>
      <c r="AE416" s="2431"/>
      <c r="AF416" s="2303"/>
      <c r="AG416" s="2303"/>
      <c r="AH416" s="2303"/>
      <c r="AI416" s="2303"/>
      <c r="AJ416" s="2303"/>
      <c r="AK416" s="2303"/>
      <c r="AL416" s="2303"/>
      <c r="AM416" s="2303"/>
      <c r="AN416" s="2303"/>
      <c r="AO416" s="2303"/>
      <c r="AP416" s="2303"/>
      <c r="AQ416" s="2303"/>
      <c r="AR416" s="2297"/>
      <c r="AS416" s="2297"/>
      <c r="AT416" s="2135"/>
      <c r="AU416" s="2135"/>
      <c r="AV416" s="2135"/>
      <c r="AW416" s="2135"/>
      <c r="AX416" s="2135"/>
      <c r="AY416" s="2135"/>
      <c r="AZ416" s="2135"/>
      <c r="BA416" s="2135"/>
      <c r="BB416" s="2135"/>
      <c r="BC416" s="2135"/>
      <c r="BD416" s="2135"/>
      <c r="BE416" s="2135"/>
      <c r="BF416" s="2135"/>
      <c r="BG416" s="2135"/>
      <c r="BH416" s="2135"/>
      <c r="BI416" s="2135"/>
      <c r="BJ416" s="2135"/>
      <c r="BK416" s="2135"/>
      <c r="BL416" s="2135"/>
      <c r="BM416" s="2135"/>
      <c r="BN416" s="2135"/>
      <c r="BO416" s="2135"/>
      <c r="BP416" s="2135"/>
      <c r="BQ416" s="2135"/>
      <c r="BR416" s="2135"/>
      <c r="BS416" s="2354"/>
      <c r="BT416" s="2354"/>
      <c r="BU416" s="2354"/>
      <c r="BV416" s="2354"/>
      <c r="BW416" s="2354"/>
      <c r="BX416" s="2354"/>
      <c r="BY416" s="2354"/>
      <c r="BZ416" s="2297"/>
      <c r="CA416" s="2297"/>
      <c r="CB416" s="2707"/>
      <c r="CC416" s="2708"/>
      <c r="CD416" s="2708"/>
      <c r="CE416" s="2708"/>
      <c r="CF416" s="2708"/>
      <c r="CG416" s="2708"/>
      <c r="CH416" s="2708"/>
      <c r="CI416" s="2708"/>
      <c r="CJ416" s="2708"/>
      <c r="CK416" s="2708"/>
      <c r="CL416" s="2708"/>
      <c r="CM416" s="2708"/>
      <c r="CN416" s="2708"/>
      <c r="CO416" s="2708"/>
      <c r="CP416" s="2708"/>
      <c r="CQ416" s="2708"/>
      <c r="CR416" s="2708"/>
      <c r="CS416" s="2708"/>
      <c r="CT416" s="2708"/>
      <c r="CU416" s="2709"/>
      <c r="CV416" s="2300" t="str">
        <f t="shared" si="293"/>
        <v/>
      </c>
      <c r="CW416" s="2300"/>
      <c r="CX416" s="2300"/>
      <c r="CY416" s="2300"/>
      <c r="CZ416" s="2300"/>
      <c r="DA416" s="2300"/>
      <c r="DC416" s="329"/>
      <c r="DD416" s="197"/>
      <c r="DF416" s="14"/>
      <c r="DG416" s="14"/>
      <c r="DH416" s="14"/>
      <c r="DI416" s="1596"/>
      <c r="DJ416" s="1170" t="s">
        <v>2749</v>
      </c>
      <c r="DK416" s="1604" t="str">
        <f t="shared" si="380"/>
        <v/>
      </c>
      <c r="DL416" s="437" t="str">
        <f t="shared" si="381"/>
        <v/>
      </c>
      <c r="DM416" s="1128">
        <f t="shared" si="382"/>
        <v>0</v>
      </c>
      <c r="DN416" s="22">
        <f t="shared" si="383"/>
        <v>0</v>
      </c>
      <c r="DO416" s="22">
        <f t="shared" si="384"/>
        <v>0</v>
      </c>
      <c r="DP416" s="264">
        <f t="shared" si="385"/>
        <v>0</v>
      </c>
      <c r="DQ416" s="1134" t="s">
        <v>762</v>
      </c>
      <c r="DR416" s="263" t="str">
        <f t="shared" si="379"/>
        <v>警報設備の劣化及び損傷の状況</v>
      </c>
      <c r="DS416" s="23">
        <f t="shared" si="386"/>
        <v>0</v>
      </c>
      <c r="DT416" s="29" t="str">
        <f t="shared" si="387"/>
        <v/>
      </c>
      <c r="DU416" s="242" t="str">
        <f t="shared" si="303"/>
        <v/>
      </c>
      <c r="DV416" s="57" t="str">
        <f>IF($DT416="要是正",MAX($DV$378:DV415)+1,"")</f>
        <v/>
      </c>
      <c r="DW416" s="30" t="str">
        <f t="shared" si="388"/>
        <v/>
      </c>
      <c r="DX416" s="30" t="str">
        <f t="shared" si="305"/>
        <v/>
      </c>
      <c r="DY416" s="13" t="str">
        <f t="shared" si="306"/>
        <v/>
      </c>
      <c r="DZ416" s="121" t="str">
        <f t="shared" si="389"/>
        <v/>
      </c>
      <c r="EA416" s="256" t="str">
        <f t="shared" si="390"/>
        <v/>
      </c>
      <c r="EB416" s="138" t="str">
        <f t="shared" si="391"/>
        <v/>
      </c>
      <c r="EC416" s="131" t="str">
        <f t="shared" si="310"/>
        <v>0</v>
      </c>
      <c r="ED416" s="54" t="str">
        <f t="shared" si="311"/>
        <v/>
      </c>
      <c r="EE416" s="131" t="str">
        <f t="shared" si="360"/>
        <v>0</v>
      </c>
      <c r="EF416" s="37" t="str">
        <f t="shared" si="312"/>
        <v/>
      </c>
      <c r="EG416" s="108" t="str">
        <f t="shared" si="392"/>
        <v/>
      </c>
      <c r="EH416" s="41" t="str">
        <f t="shared" si="314"/>
        <v>0</v>
      </c>
      <c r="EI416" s="54" t="str">
        <f t="shared" si="393"/>
        <v/>
      </c>
      <c r="EJ416" s="131" t="str">
        <f t="shared" si="361"/>
        <v>0</v>
      </c>
      <c r="EK416" s="241" t="str">
        <f t="shared" si="394"/>
        <v/>
      </c>
      <c r="EL416" s="242" t="e">
        <f t="shared" si="317"/>
        <v>#N/A</v>
      </c>
      <c r="EM416" s="57" t="e">
        <f t="shared" si="318"/>
        <v>#N/A</v>
      </c>
      <c r="EN416" s="243" t="e">
        <f t="shared" si="319"/>
        <v>#N/A</v>
      </c>
      <c r="FK416" s="326" t="str">
        <f t="shared" si="364"/>
        <v/>
      </c>
      <c r="FL416" s="326" t="str">
        <f t="shared" si="365"/>
        <v/>
      </c>
      <c r="FM416" s="326" t="str">
        <f t="shared" si="366"/>
        <v/>
      </c>
      <c r="FN416" s="326">
        <f t="shared" si="395"/>
        <v>0</v>
      </c>
      <c r="FO416" s="670" t="str">
        <f t="shared" si="396"/>
        <v/>
      </c>
      <c r="FQ416" s="138" t="str">
        <f t="shared" si="397"/>
        <v/>
      </c>
      <c r="FR416" s="131" t="str">
        <f t="shared" si="322"/>
        <v>0</v>
      </c>
      <c r="FS416" s="54" t="str">
        <f t="shared" si="323"/>
        <v/>
      </c>
      <c r="FT416" s="131" t="str">
        <f t="shared" si="362"/>
        <v>0</v>
      </c>
      <c r="FU416" s="217" t="str">
        <f t="shared" si="324"/>
        <v/>
      </c>
      <c r="FW416" s="667">
        <f t="shared" si="433"/>
        <v>0</v>
      </c>
      <c r="FX416" s="32"/>
      <c r="FY416" s="32"/>
      <c r="FZ416" s="668"/>
      <c r="GA416" s="14"/>
      <c r="GB416" s="658">
        <f t="shared" si="398"/>
        <v>0</v>
      </c>
      <c r="GC416" s="658">
        <f t="shared" si="399"/>
        <v>0</v>
      </c>
      <c r="GD416" s="658">
        <f t="shared" si="400"/>
        <v>0</v>
      </c>
      <c r="GE416" s="658" t="str">
        <f t="shared" si="401"/>
        <v/>
      </c>
      <c r="GF416" s="658" t="str">
        <f t="shared" si="402"/>
        <v/>
      </c>
      <c r="GG416" s="658" t="str">
        <f t="shared" si="403"/>
        <v/>
      </c>
      <c r="GH416" s="658" t="str">
        <f t="shared" si="404"/>
        <v/>
      </c>
      <c r="GI416" s="658" t="str">
        <f t="shared" si="405"/>
        <v/>
      </c>
      <c r="GJ416" s="658" t="str">
        <f t="shared" si="406"/>
        <v/>
      </c>
      <c r="GK416" s="658" t="str">
        <f t="shared" si="407"/>
        <v/>
      </c>
      <c r="GL416" s="658" t="str">
        <f t="shared" si="408"/>
        <v/>
      </c>
      <c r="GM416" s="658" t="str">
        <f t="shared" si="409"/>
        <v/>
      </c>
      <c r="GN416" s="658" t="str">
        <f t="shared" si="410"/>
        <v/>
      </c>
      <c r="GO416" s="658" t="str">
        <f t="shared" si="411"/>
        <v/>
      </c>
      <c r="GP416" s="658" t="str">
        <f t="shared" si="412"/>
        <v/>
      </c>
      <c r="GQ416" s="658" t="str">
        <f t="shared" si="413"/>
        <v/>
      </c>
      <c r="GR416" s="658" t="str">
        <f t="shared" si="414"/>
        <v/>
      </c>
      <c r="GS416" s="658" t="str">
        <f t="shared" si="415"/>
        <v/>
      </c>
      <c r="GT416" s="658">
        <f t="shared" si="368"/>
        <v>0</v>
      </c>
      <c r="GU416" s="658">
        <f t="shared" si="369"/>
        <v>0</v>
      </c>
      <c r="GV416" s="658">
        <f t="shared" si="370"/>
        <v>0</v>
      </c>
      <c r="GW416" s="658" t="b">
        <f t="shared" si="371"/>
        <v>0</v>
      </c>
      <c r="GX416" s="658" t="b">
        <f t="shared" si="372"/>
        <v>0</v>
      </c>
      <c r="GY416" s="658" t="b">
        <f t="shared" si="373"/>
        <v>0</v>
      </c>
      <c r="GZ416" s="658" t="str">
        <f t="shared" si="378"/>
        <v/>
      </c>
      <c r="HB416" s="658" t="str">
        <f t="shared" si="374"/>
        <v/>
      </c>
      <c r="HC416" s="658" t="str">
        <f t="shared" si="416"/>
        <v/>
      </c>
      <c r="HD416" s="658" t="str">
        <f t="shared" si="417"/>
        <v/>
      </c>
      <c r="HE416" s="658" t="str">
        <f t="shared" si="418"/>
        <v/>
      </c>
      <c r="HF416" s="658" t="str">
        <f t="shared" si="419"/>
        <v/>
      </c>
      <c r="HG416" s="658" t="str">
        <f t="shared" si="420"/>
        <v/>
      </c>
      <c r="HH416" s="658" t="str">
        <f t="shared" si="421"/>
        <v/>
      </c>
      <c r="HI416" s="658" t="str">
        <f t="shared" si="422"/>
        <v/>
      </c>
      <c r="HJ416" s="658" t="str">
        <f t="shared" si="423"/>
        <v/>
      </c>
      <c r="HK416" s="658" t="str">
        <f t="shared" si="424"/>
        <v/>
      </c>
      <c r="HL416" s="658" t="str">
        <f t="shared" si="425"/>
        <v/>
      </c>
      <c r="HM416" s="658" t="str">
        <f t="shared" si="426"/>
        <v/>
      </c>
      <c r="HN416" s="658" t="str">
        <f t="shared" si="427"/>
        <v/>
      </c>
      <c r="HO416" s="658" t="str">
        <f t="shared" si="428"/>
        <v/>
      </c>
      <c r="HP416" s="658" t="str">
        <f t="shared" si="429"/>
        <v/>
      </c>
      <c r="HQ416" s="658" t="str">
        <f t="shared" si="430"/>
        <v/>
      </c>
      <c r="HR416" s="658" t="str">
        <f t="shared" si="375"/>
        <v/>
      </c>
      <c r="HT416" s="658">
        <f>LEFT(M416,1)*10000+MID(M416,3,LEN(M416)-3)*100+COUNTIF($M$319:M416,M416)</f>
        <v>43501</v>
      </c>
      <c r="HU416" s="658" t="str">
        <f t="shared" si="376"/>
        <v/>
      </c>
      <c r="HV416" s="658" t="str">
        <f t="shared" si="431"/>
        <v/>
      </c>
      <c r="HW416" s="658" t="str">
        <f t="shared" si="377"/>
        <v/>
      </c>
      <c r="HX416" s="658" t="str">
        <f t="shared" si="432"/>
        <v/>
      </c>
    </row>
    <row r="417" spans="1:232" s="19" customFormat="1" ht="93" customHeight="1" x14ac:dyDescent="0.15">
      <c r="A417" s="1201"/>
      <c r="B417" s="1201"/>
      <c r="C417" s="1201"/>
      <c r="D417" s="1201"/>
      <c r="E417" s="1202"/>
      <c r="F417" s="652"/>
      <c r="G417" s="652"/>
      <c r="H417" s="652"/>
      <c r="I417" s="1357"/>
      <c r="J417" s="1234"/>
      <c r="K417" s="1294"/>
      <c r="L417" s="1294"/>
      <c r="M417" s="2423" t="s">
        <v>1185</v>
      </c>
      <c r="N417" s="2423"/>
      <c r="O417" s="2424"/>
      <c r="P417" s="2460" t="s">
        <v>2826</v>
      </c>
      <c r="Q417" s="2460"/>
      <c r="R417" s="2444" t="s">
        <v>2827</v>
      </c>
      <c r="S417" s="2444"/>
      <c r="T417" s="2444"/>
      <c r="U417" s="2444" t="s">
        <v>2828</v>
      </c>
      <c r="V417" s="2444"/>
      <c r="W417" s="2444"/>
      <c r="X417" s="2444"/>
      <c r="Y417" s="2444"/>
      <c r="Z417" s="2444"/>
      <c r="AA417" s="2444"/>
      <c r="AB417" s="2444"/>
      <c r="AC417" s="2444"/>
      <c r="AD417" s="2444"/>
      <c r="AE417" s="2444"/>
      <c r="AF417" s="2490"/>
      <c r="AG417" s="2490"/>
      <c r="AH417" s="2490"/>
      <c r="AI417" s="2490"/>
      <c r="AJ417" s="2490"/>
      <c r="AK417" s="2490"/>
      <c r="AL417" s="2490"/>
      <c r="AM417" s="2490"/>
      <c r="AN417" s="2490"/>
      <c r="AO417" s="2490"/>
      <c r="AP417" s="2490"/>
      <c r="AQ417" s="2490"/>
      <c r="AR417" s="2456"/>
      <c r="AS417" s="2456"/>
      <c r="AT417" s="2481"/>
      <c r="AU417" s="2481"/>
      <c r="AV417" s="2481"/>
      <c r="AW417" s="2481"/>
      <c r="AX417" s="2481"/>
      <c r="AY417" s="2481"/>
      <c r="AZ417" s="2481"/>
      <c r="BA417" s="2481"/>
      <c r="BB417" s="2481"/>
      <c r="BC417" s="2481"/>
      <c r="BD417" s="2481"/>
      <c r="BE417" s="2481"/>
      <c r="BF417" s="2481"/>
      <c r="BG417" s="2481"/>
      <c r="BH417" s="2481"/>
      <c r="BI417" s="2481"/>
      <c r="BJ417" s="2481"/>
      <c r="BK417" s="2481"/>
      <c r="BL417" s="2481"/>
      <c r="BM417" s="2481"/>
      <c r="BN417" s="2481"/>
      <c r="BO417" s="2481"/>
      <c r="BP417" s="2481"/>
      <c r="BQ417" s="2481"/>
      <c r="BR417" s="2481"/>
      <c r="BS417" s="2482"/>
      <c r="BT417" s="2482"/>
      <c r="BU417" s="2482"/>
      <c r="BV417" s="2482"/>
      <c r="BW417" s="2482"/>
      <c r="BX417" s="2482"/>
      <c r="BY417" s="2482"/>
      <c r="BZ417" s="2456"/>
      <c r="CA417" s="2456"/>
      <c r="CB417" s="2710" t="s">
        <v>3076</v>
      </c>
      <c r="CC417" s="2711"/>
      <c r="CD417" s="2711"/>
      <c r="CE417" s="2711"/>
      <c r="CF417" s="2711"/>
      <c r="CG417" s="2711"/>
      <c r="CH417" s="2711"/>
      <c r="CI417" s="2711"/>
      <c r="CJ417" s="2711"/>
      <c r="CK417" s="2711"/>
      <c r="CL417" s="2711"/>
      <c r="CM417" s="2711"/>
      <c r="CN417" s="2711"/>
      <c r="CO417" s="2711"/>
      <c r="CP417" s="2711"/>
      <c r="CQ417" s="2711"/>
      <c r="CR417" s="2711"/>
      <c r="CS417" s="2711"/>
      <c r="CT417" s="2711"/>
      <c r="CU417" s="2712"/>
      <c r="CV417" s="2300" t="str">
        <f t="shared" ref="CV417:CV418" si="434">IF(AND(DT417="要是正",DU417&lt;21),HYPERLINK("#"&amp;EL417&amp;"!"&amp;EM417&amp;":"&amp;EN417&amp;"","関連写真添付"),"")</f>
        <v/>
      </c>
      <c r="CW417" s="2300"/>
      <c r="CX417" s="2300"/>
      <c r="CY417" s="2300"/>
      <c r="CZ417" s="2300"/>
      <c r="DA417" s="2300"/>
      <c r="DC417" s="329" t="str">
        <f t="shared" ref="DC417:DC418" si="435">IF(AND(DU417&lt;&gt;"",DU417&gt;20),"「別途様式を作成、提出してください。」","")</f>
        <v/>
      </c>
      <c r="DD417" s="197"/>
      <c r="DF417" s="14"/>
      <c r="DG417" s="14"/>
      <c r="DH417" s="14"/>
      <c r="DI417" s="1596"/>
      <c r="DJ417" s="1170" t="s">
        <v>2749</v>
      </c>
      <c r="DK417" s="1604" t="str">
        <f t="shared" si="380"/>
        <v/>
      </c>
      <c r="DL417" s="437" t="str">
        <f t="shared" si="381"/>
        <v/>
      </c>
      <c r="DM417" s="1128">
        <f t="shared" si="382"/>
        <v>0</v>
      </c>
      <c r="DN417" s="22">
        <f t="shared" si="383"/>
        <v>0</v>
      </c>
      <c r="DO417" s="22">
        <f t="shared" si="384"/>
        <v>0</v>
      </c>
      <c r="DP417" s="264">
        <f t="shared" si="385"/>
        <v>0</v>
      </c>
      <c r="DQ417" s="1134" t="s">
        <v>763</v>
      </c>
      <c r="DR417" s="263" t="str">
        <f t="shared" si="379"/>
        <v>スプリンクラー設備の設置の状況</v>
      </c>
      <c r="DS417" s="23">
        <f t="shared" si="386"/>
        <v>0</v>
      </c>
      <c r="DT417" s="29" t="str">
        <f t="shared" si="387"/>
        <v/>
      </c>
      <c r="DU417" s="242" t="str">
        <f t="shared" ref="DU417:DU418" si="436">IF(HV417="","",HV417)</f>
        <v/>
      </c>
      <c r="DV417" s="57" t="str">
        <f>IF($DT417="要是正",MAX($DV$378:DV416)+1,"")</f>
        <v/>
      </c>
      <c r="DW417" s="30" t="str">
        <f t="shared" si="388"/>
        <v/>
      </c>
      <c r="DX417" s="30" t="str">
        <f t="shared" si="305"/>
        <v/>
      </c>
      <c r="DY417" s="13" t="str">
        <f t="shared" si="306"/>
        <v/>
      </c>
      <c r="DZ417" s="121" t="str">
        <f t="shared" si="389"/>
        <v/>
      </c>
      <c r="EA417" s="256" t="str">
        <f t="shared" si="390"/>
        <v/>
      </c>
      <c r="EB417" s="138" t="str">
        <f t="shared" si="391"/>
        <v/>
      </c>
      <c r="EC417" s="131" t="str">
        <f t="shared" ref="EC417:EC418" si="437">IF(EB417="","0",EB417)</f>
        <v>0</v>
      </c>
      <c r="ED417" s="54" t="str">
        <f t="shared" si="311"/>
        <v/>
      </c>
      <c r="EE417" s="131" t="str">
        <f t="shared" ref="EE417:EE418" si="438">IF(ED417=1,EC417,"0")</f>
        <v>0</v>
      </c>
      <c r="EF417" s="37" t="str">
        <f t="shared" si="312"/>
        <v/>
      </c>
      <c r="EG417" s="108" t="str">
        <f t="shared" si="392"/>
        <v/>
      </c>
      <c r="EH417" s="41" t="str">
        <f t="shared" ref="EH417:EH418" si="439">IF(EG417="","0",EG417)</f>
        <v>0</v>
      </c>
      <c r="EI417" s="54" t="str">
        <f t="shared" si="393"/>
        <v/>
      </c>
      <c r="EJ417" s="131" t="str">
        <f t="shared" ref="EJ417:EJ418" si="440">IF(EI417=1,EH417,"0")</f>
        <v>0</v>
      </c>
      <c r="EK417" s="241" t="str">
        <f t="shared" si="394"/>
        <v/>
      </c>
      <c r="EL417" s="242" t="e">
        <f t="shared" si="317"/>
        <v>#N/A</v>
      </c>
      <c r="EM417" s="57" t="e">
        <f t="shared" si="318"/>
        <v>#N/A</v>
      </c>
      <c r="EN417" s="243" t="e">
        <f t="shared" si="319"/>
        <v>#N/A</v>
      </c>
      <c r="FK417" s="326" t="str">
        <f t="shared" si="364"/>
        <v/>
      </c>
      <c r="FL417" s="326" t="str">
        <f t="shared" si="365"/>
        <v/>
      </c>
      <c r="FM417" s="326" t="str">
        <f t="shared" si="366"/>
        <v/>
      </c>
      <c r="FN417" s="326">
        <f t="shared" si="395"/>
        <v>0</v>
      </c>
      <c r="FO417" s="670" t="str">
        <f t="shared" si="396"/>
        <v/>
      </c>
      <c r="FQ417" s="138" t="str">
        <f t="shared" si="397"/>
        <v/>
      </c>
      <c r="FR417" s="131" t="str">
        <f t="shared" ref="FR417:FR418" si="441">IF(FQ417="","0",FQ417)</f>
        <v>0</v>
      </c>
      <c r="FS417" s="54" t="str">
        <f t="shared" si="323"/>
        <v/>
      </c>
      <c r="FT417" s="131" t="str">
        <f t="shared" ref="FT417:FT418" si="442">IF(FS417=1,FR417,"0")</f>
        <v>0</v>
      </c>
      <c r="FU417" s="217" t="str">
        <f t="shared" ref="FU417:FU418" si="443">IF(AND(FM417="要是正",AND(FL417=0,DR417="未定")),DR417,"")</f>
        <v/>
      </c>
      <c r="FW417" s="667">
        <f t="shared" si="433"/>
        <v>0</v>
      </c>
      <c r="FX417" s="1134"/>
      <c r="FY417" s="1134"/>
      <c r="FZ417" s="668"/>
      <c r="GA417" s="14"/>
      <c r="GB417" s="658">
        <f t="shared" si="398"/>
        <v>0</v>
      </c>
      <c r="GC417" s="658">
        <f t="shared" si="399"/>
        <v>0</v>
      </c>
      <c r="GD417" s="658">
        <f t="shared" si="400"/>
        <v>0</v>
      </c>
      <c r="GE417" s="658" t="str">
        <f t="shared" si="401"/>
        <v/>
      </c>
      <c r="GF417" s="658" t="str">
        <f t="shared" si="402"/>
        <v/>
      </c>
      <c r="GG417" s="658" t="str">
        <f t="shared" si="403"/>
        <v/>
      </c>
      <c r="GH417" s="658" t="str">
        <f t="shared" si="404"/>
        <v/>
      </c>
      <c r="GI417" s="658" t="str">
        <f t="shared" si="405"/>
        <v/>
      </c>
      <c r="GJ417" s="658" t="str">
        <f t="shared" si="406"/>
        <v/>
      </c>
      <c r="GK417" s="658" t="str">
        <f t="shared" si="407"/>
        <v/>
      </c>
      <c r="GL417" s="658" t="str">
        <f t="shared" si="408"/>
        <v/>
      </c>
      <c r="GM417" s="658" t="str">
        <f t="shared" si="409"/>
        <v/>
      </c>
      <c r="GN417" s="658" t="str">
        <f t="shared" si="410"/>
        <v/>
      </c>
      <c r="GO417" s="658" t="str">
        <f t="shared" si="411"/>
        <v/>
      </c>
      <c r="GP417" s="658" t="str">
        <f t="shared" si="412"/>
        <v/>
      </c>
      <c r="GQ417" s="658" t="str">
        <f t="shared" si="413"/>
        <v/>
      </c>
      <c r="GR417" s="658" t="str">
        <f t="shared" si="414"/>
        <v/>
      </c>
      <c r="GS417" s="658" t="str">
        <f t="shared" si="415"/>
        <v/>
      </c>
      <c r="GT417" s="658">
        <f t="shared" ref="GT417:GT418" si="444">IF(COUNTIF(GE417:GS417,"予定")&gt;0,1,0)</f>
        <v>0</v>
      </c>
      <c r="GU417" s="658">
        <f t="shared" ref="GU417:GU418" si="445">IF(COUNTIF(GE417:GS417,"改善済")&gt;0,1,0)</f>
        <v>0</v>
      </c>
      <c r="GV417" s="658">
        <f t="shared" ref="GV417:GV418" si="446">IF(COUNTIF(GE417:GS417,"未定")&gt;0,1,0)</f>
        <v>0</v>
      </c>
      <c r="GW417" s="658" t="b">
        <f t="shared" ref="GW417:GW418" si="447">(GB417+GT417)&gt;0</f>
        <v>0</v>
      </c>
      <c r="GX417" s="658" t="b">
        <f t="shared" ref="GX417:GX418" si="448">(GC417+GU417)&gt;0</f>
        <v>0</v>
      </c>
      <c r="GY417" s="658" t="b">
        <f t="shared" ref="GY417:GY418" si="449">(GD417+GV417)&gt;0</f>
        <v>0</v>
      </c>
      <c r="GZ417" s="658" t="str">
        <f t="shared" ref="GZ417:GZ418" si="450">IF(GW417,"有",IF(GY417,"無",""))&amp;IF(GX417,IF(OR(GW417,GY417),"（一部改善済）","改善済"),"")</f>
        <v/>
      </c>
      <c r="HB417" s="658" t="str">
        <f t="shared" ref="HB417:HB418" si="451">IF(FW417=0,"",FW417&amp;", ")</f>
        <v/>
      </c>
      <c r="HC417" s="658" t="str">
        <f t="shared" si="416"/>
        <v/>
      </c>
      <c r="HD417" s="658" t="str">
        <f t="shared" si="417"/>
        <v/>
      </c>
      <c r="HE417" s="658" t="str">
        <f t="shared" si="418"/>
        <v/>
      </c>
      <c r="HF417" s="658" t="str">
        <f t="shared" si="419"/>
        <v/>
      </c>
      <c r="HG417" s="658" t="str">
        <f t="shared" si="420"/>
        <v/>
      </c>
      <c r="HH417" s="658" t="str">
        <f t="shared" si="421"/>
        <v/>
      </c>
      <c r="HI417" s="658" t="str">
        <f t="shared" si="422"/>
        <v/>
      </c>
      <c r="HJ417" s="658" t="str">
        <f t="shared" si="423"/>
        <v/>
      </c>
      <c r="HK417" s="658" t="str">
        <f t="shared" si="424"/>
        <v/>
      </c>
      <c r="HL417" s="658" t="str">
        <f t="shared" si="425"/>
        <v/>
      </c>
      <c r="HM417" s="658" t="str">
        <f t="shared" si="426"/>
        <v/>
      </c>
      <c r="HN417" s="658" t="str">
        <f t="shared" si="427"/>
        <v/>
      </c>
      <c r="HO417" s="658" t="str">
        <f t="shared" si="428"/>
        <v/>
      </c>
      <c r="HP417" s="658" t="str">
        <f t="shared" si="429"/>
        <v/>
      </c>
      <c r="HQ417" s="658" t="str">
        <f t="shared" si="430"/>
        <v/>
      </c>
      <c r="HR417" s="658" t="str">
        <f t="shared" ref="HR417:HR418" si="452">CONCATENATE(HB417,HC417,HD417,HE417,HF417,HG417,HH417,HI417,HJ417,HK417,HL417,HM417,HN417,HO417,HP417,HQ417)</f>
        <v/>
      </c>
      <c r="HT417" s="658">
        <f>LEFT(M417,1)*10000+MID(M417,3,LEN(M417)-3)*100+COUNTIF($M$319:M417,M417)</f>
        <v>43601</v>
      </c>
      <c r="HU417" s="658" t="str">
        <f t="shared" si="376"/>
        <v/>
      </c>
      <c r="HV417" s="658" t="str">
        <f t="shared" si="431"/>
        <v/>
      </c>
      <c r="HW417" s="658" t="str">
        <f t="shared" si="377"/>
        <v/>
      </c>
      <c r="HX417" s="658" t="str">
        <f t="shared" si="432"/>
        <v/>
      </c>
    </row>
    <row r="418" spans="1:232" s="19" customFormat="1" ht="93" customHeight="1" x14ac:dyDescent="0.15">
      <c r="A418" s="1201"/>
      <c r="B418" s="1201"/>
      <c r="C418" s="1201"/>
      <c r="D418" s="1201"/>
      <c r="E418" s="1202"/>
      <c r="F418" s="652"/>
      <c r="G418" s="652"/>
      <c r="H418" s="652"/>
      <c r="I418" s="1357"/>
      <c r="J418" s="1234"/>
      <c r="K418" s="1294"/>
      <c r="L418" s="1294"/>
      <c r="M418" s="2423" t="s">
        <v>1186</v>
      </c>
      <c r="N418" s="2423"/>
      <c r="O418" s="2424"/>
      <c r="P418" s="2462"/>
      <c r="Q418" s="2462"/>
      <c r="R418" s="2445"/>
      <c r="S418" s="2445"/>
      <c r="T418" s="2445"/>
      <c r="U418" s="2431" t="s">
        <v>2829</v>
      </c>
      <c r="V418" s="2431"/>
      <c r="W418" s="2431"/>
      <c r="X418" s="2431"/>
      <c r="Y418" s="2431"/>
      <c r="Z418" s="2431"/>
      <c r="AA418" s="2431"/>
      <c r="AB418" s="2431"/>
      <c r="AC418" s="2431"/>
      <c r="AD418" s="2431"/>
      <c r="AE418" s="2431"/>
      <c r="AF418" s="2303"/>
      <c r="AG418" s="2303"/>
      <c r="AH418" s="2303"/>
      <c r="AI418" s="2303"/>
      <c r="AJ418" s="2303"/>
      <c r="AK418" s="2303"/>
      <c r="AL418" s="2303"/>
      <c r="AM418" s="2303"/>
      <c r="AN418" s="2303"/>
      <c r="AO418" s="2303"/>
      <c r="AP418" s="2303"/>
      <c r="AQ418" s="2303"/>
      <c r="AR418" s="2297"/>
      <c r="AS418" s="2297"/>
      <c r="AT418" s="2135"/>
      <c r="AU418" s="2135"/>
      <c r="AV418" s="2135"/>
      <c r="AW418" s="2135"/>
      <c r="AX418" s="2135"/>
      <c r="AY418" s="2135"/>
      <c r="AZ418" s="2135"/>
      <c r="BA418" s="2135"/>
      <c r="BB418" s="2135"/>
      <c r="BC418" s="2135"/>
      <c r="BD418" s="2135"/>
      <c r="BE418" s="2135"/>
      <c r="BF418" s="2135"/>
      <c r="BG418" s="2135"/>
      <c r="BH418" s="2135"/>
      <c r="BI418" s="2135"/>
      <c r="BJ418" s="2135"/>
      <c r="BK418" s="2135"/>
      <c r="BL418" s="2135"/>
      <c r="BM418" s="2135"/>
      <c r="BN418" s="2135"/>
      <c r="BO418" s="2135"/>
      <c r="BP418" s="2135"/>
      <c r="BQ418" s="2135"/>
      <c r="BR418" s="2135"/>
      <c r="BS418" s="2354"/>
      <c r="BT418" s="2354"/>
      <c r="BU418" s="2354"/>
      <c r="BV418" s="2354"/>
      <c r="BW418" s="2354"/>
      <c r="BX418" s="2354"/>
      <c r="BY418" s="2354"/>
      <c r="BZ418" s="2297"/>
      <c r="CA418" s="2297"/>
      <c r="CB418" s="2713"/>
      <c r="CC418" s="2714"/>
      <c r="CD418" s="2714"/>
      <c r="CE418" s="2714"/>
      <c r="CF418" s="2714"/>
      <c r="CG418" s="2714"/>
      <c r="CH418" s="2714"/>
      <c r="CI418" s="2714"/>
      <c r="CJ418" s="2714"/>
      <c r="CK418" s="2714"/>
      <c r="CL418" s="2714"/>
      <c r="CM418" s="2714"/>
      <c r="CN418" s="2714"/>
      <c r="CO418" s="2714"/>
      <c r="CP418" s="2714"/>
      <c r="CQ418" s="2714"/>
      <c r="CR418" s="2714"/>
      <c r="CS418" s="2714"/>
      <c r="CT418" s="2714"/>
      <c r="CU418" s="2715"/>
      <c r="CV418" s="2300" t="str">
        <f t="shared" si="434"/>
        <v/>
      </c>
      <c r="CW418" s="2300"/>
      <c r="CX418" s="2300"/>
      <c r="CY418" s="2300"/>
      <c r="CZ418" s="2300"/>
      <c r="DA418" s="2300"/>
      <c r="DC418" s="329" t="str">
        <f t="shared" si="435"/>
        <v/>
      </c>
      <c r="DD418" s="197"/>
      <c r="DF418" s="14"/>
      <c r="DG418" s="14"/>
      <c r="DH418" s="14"/>
      <c r="DI418" s="1596"/>
      <c r="DJ418" s="1170" t="s">
        <v>2749</v>
      </c>
      <c r="DK418" s="1604" t="str">
        <f t="shared" si="380"/>
        <v/>
      </c>
      <c r="DL418" s="437" t="str">
        <f t="shared" si="381"/>
        <v/>
      </c>
      <c r="DM418" s="1128">
        <f t="shared" si="382"/>
        <v>0</v>
      </c>
      <c r="DN418" s="22">
        <f t="shared" si="383"/>
        <v>0</v>
      </c>
      <c r="DO418" s="22">
        <f t="shared" si="384"/>
        <v>0</v>
      </c>
      <c r="DP418" s="264">
        <f t="shared" si="385"/>
        <v>0</v>
      </c>
      <c r="DQ418" s="1134" t="s">
        <v>764</v>
      </c>
      <c r="DR418" s="263" t="str">
        <f t="shared" si="379"/>
        <v>スプリンクラー設備の劣化及び損傷の状況</v>
      </c>
      <c r="DS418" s="23">
        <f t="shared" si="386"/>
        <v>0</v>
      </c>
      <c r="DT418" s="29" t="str">
        <f t="shared" si="387"/>
        <v/>
      </c>
      <c r="DU418" s="242" t="str">
        <f t="shared" si="436"/>
        <v/>
      </c>
      <c r="DV418" s="57" t="str">
        <f>IF($DT418="要是正",MAX($DV$378:DV417)+1,"")</f>
        <v/>
      </c>
      <c r="DW418" s="30" t="str">
        <f t="shared" si="388"/>
        <v/>
      </c>
      <c r="DX418" s="30" t="str">
        <f t="shared" si="305"/>
        <v/>
      </c>
      <c r="DY418" s="13" t="str">
        <f t="shared" si="306"/>
        <v/>
      </c>
      <c r="DZ418" s="121" t="str">
        <f t="shared" si="389"/>
        <v/>
      </c>
      <c r="EA418" s="256" t="str">
        <f t="shared" si="390"/>
        <v/>
      </c>
      <c r="EB418" s="138" t="str">
        <f t="shared" si="391"/>
        <v/>
      </c>
      <c r="EC418" s="131" t="str">
        <f t="shared" si="437"/>
        <v>0</v>
      </c>
      <c r="ED418" s="54" t="str">
        <f t="shared" si="311"/>
        <v/>
      </c>
      <c r="EE418" s="131" t="str">
        <f t="shared" si="438"/>
        <v>0</v>
      </c>
      <c r="EF418" s="37" t="str">
        <f t="shared" si="312"/>
        <v/>
      </c>
      <c r="EG418" s="108" t="str">
        <f t="shared" si="392"/>
        <v/>
      </c>
      <c r="EH418" s="41" t="str">
        <f t="shared" si="439"/>
        <v>0</v>
      </c>
      <c r="EI418" s="54" t="str">
        <f t="shared" si="393"/>
        <v/>
      </c>
      <c r="EJ418" s="131" t="str">
        <f t="shared" si="440"/>
        <v>0</v>
      </c>
      <c r="EK418" s="241" t="str">
        <f t="shared" si="394"/>
        <v/>
      </c>
      <c r="EL418" s="242" t="e">
        <f t="shared" si="317"/>
        <v>#N/A</v>
      </c>
      <c r="EM418" s="57" t="e">
        <f t="shared" si="318"/>
        <v>#N/A</v>
      </c>
      <c r="EN418" s="243" t="e">
        <f t="shared" si="319"/>
        <v>#N/A</v>
      </c>
      <c r="FK418" s="326" t="str">
        <f t="shared" si="364"/>
        <v/>
      </c>
      <c r="FL418" s="326" t="str">
        <f t="shared" si="365"/>
        <v/>
      </c>
      <c r="FM418" s="326" t="str">
        <f t="shared" si="366"/>
        <v/>
      </c>
      <c r="FN418" s="326">
        <f t="shared" si="395"/>
        <v>0</v>
      </c>
      <c r="FO418" s="670" t="str">
        <f t="shared" si="396"/>
        <v/>
      </c>
      <c r="FQ418" s="138" t="str">
        <f t="shared" si="397"/>
        <v/>
      </c>
      <c r="FR418" s="131" t="str">
        <f t="shared" si="441"/>
        <v>0</v>
      </c>
      <c r="FS418" s="54" t="str">
        <f t="shared" si="323"/>
        <v/>
      </c>
      <c r="FT418" s="131" t="str">
        <f t="shared" si="442"/>
        <v>0</v>
      </c>
      <c r="FU418" s="217" t="str">
        <f t="shared" si="443"/>
        <v/>
      </c>
      <c r="FW418" s="667">
        <f t="shared" si="433"/>
        <v>0</v>
      </c>
      <c r="FX418" s="1134"/>
      <c r="FY418" s="1134"/>
      <c r="FZ418" s="668"/>
      <c r="GA418" s="14"/>
      <c r="GB418" s="658">
        <f t="shared" si="398"/>
        <v>0</v>
      </c>
      <c r="GC418" s="658">
        <f t="shared" si="399"/>
        <v>0</v>
      </c>
      <c r="GD418" s="658">
        <f t="shared" si="400"/>
        <v>0</v>
      </c>
      <c r="GE418" s="658" t="str">
        <f t="shared" si="401"/>
        <v/>
      </c>
      <c r="GF418" s="658" t="str">
        <f t="shared" si="402"/>
        <v/>
      </c>
      <c r="GG418" s="658" t="str">
        <f t="shared" si="403"/>
        <v/>
      </c>
      <c r="GH418" s="658" t="str">
        <f t="shared" si="404"/>
        <v/>
      </c>
      <c r="GI418" s="658" t="str">
        <f t="shared" si="405"/>
        <v/>
      </c>
      <c r="GJ418" s="658" t="str">
        <f t="shared" si="406"/>
        <v/>
      </c>
      <c r="GK418" s="658" t="str">
        <f t="shared" si="407"/>
        <v/>
      </c>
      <c r="GL418" s="658" t="str">
        <f t="shared" si="408"/>
        <v/>
      </c>
      <c r="GM418" s="658" t="str">
        <f t="shared" si="409"/>
        <v/>
      </c>
      <c r="GN418" s="658" t="str">
        <f t="shared" si="410"/>
        <v/>
      </c>
      <c r="GO418" s="658" t="str">
        <f t="shared" si="411"/>
        <v/>
      </c>
      <c r="GP418" s="658" t="str">
        <f t="shared" si="412"/>
        <v/>
      </c>
      <c r="GQ418" s="658" t="str">
        <f t="shared" si="413"/>
        <v/>
      </c>
      <c r="GR418" s="658" t="str">
        <f t="shared" si="414"/>
        <v/>
      </c>
      <c r="GS418" s="658" t="str">
        <f t="shared" si="415"/>
        <v/>
      </c>
      <c r="GT418" s="658">
        <f t="shared" si="444"/>
        <v>0</v>
      </c>
      <c r="GU418" s="658">
        <f t="shared" si="445"/>
        <v>0</v>
      </c>
      <c r="GV418" s="658">
        <f t="shared" si="446"/>
        <v>0</v>
      </c>
      <c r="GW418" s="658" t="b">
        <f t="shared" si="447"/>
        <v>0</v>
      </c>
      <c r="GX418" s="658" t="b">
        <f t="shared" si="448"/>
        <v>0</v>
      </c>
      <c r="GY418" s="658" t="b">
        <f t="shared" si="449"/>
        <v>0</v>
      </c>
      <c r="GZ418" s="658" t="str">
        <f t="shared" si="450"/>
        <v/>
      </c>
      <c r="HB418" s="658" t="str">
        <f t="shared" si="451"/>
        <v/>
      </c>
      <c r="HC418" s="658" t="str">
        <f t="shared" si="416"/>
        <v/>
      </c>
      <c r="HD418" s="658" t="str">
        <f t="shared" si="417"/>
        <v/>
      </c>
      <c r="HE418" s="658" t="str">
        <f t="shared" si="418"/>
        <v/>
      </c>
      <c r="HF418" s="658" t="str">
        <f t="shared" si="419"/>
        <v/>
      </c>
      <c r="HG418" s="658" t="str">
        <f t="shared" si="420"/>
        <v/>
      </c>
      <c r="HH418" s="658" t="str">
        <f t="shared" si="421"/>
        <v/>
      </c>
      <c r="HI418" s="658" t="str">
        <f t="shared" si="422"/>
        <v/>
      </c>
      <c r="HJ418" s="658" t="str">
        <f t="shared" si="423"/>
        <v/>
      </c>
      <c r="HK418" s="658" t="str">
        <f t="shared" si="424"/>
        <v/>
      </c>
      <c r="HL418" s="658" t="str">
        <f t="shared" si="425"/>
        <v/>
      </c>
      <c r="HM418" s="658" t="str">
        <f t="shared" si="426"/>
        <v/>
      </c>
      <c r="HN418" s="658" t="str">
        <f t="shared" si="427"/>
        <v/>
      </c>
      <c r="HO418" s="658" t="str">
        <f t="shared" si="428"/>
        <v/>
      </c>
      <c r="HP418" s="658" t="str">
        <f t="shared" si="429"/>
        <v/>
      </c>
      <c r="HQ418" s="658" t="str">
        <f t="shared" si="430"/>
        <v/>
      </c>
      <c r="HR418" s="658" t="str">
        <f t="shared" si="452"/>
        <v/>
      </c>
      <c r="HT418" s="658">
        <f>LEFT(M418,1)*10000+MID(M418,3,LEN(M418)-3)*100+COUNTIF($M$319:M418,M418)</f>
        <v>43701</v>
      </c>
      <c r="HU418" s="658" t="str">
        <f t="shared" si="376"/>
        <v/>
      </c>
      <c r="HV418" s="658" t="str">
        <f t="shared" si="431"/>
        <v/>
      </c>
      <c r="HW418" s="658" t="str">
        <f t="shared" si="377"/>
        <v/>
      </c>
      <c r="HX418" s="658" t="str">
        <f t="shared" si="432"/>
        <v/>
      </c>
    </row>
    <row r="419" spans="1:232" s="19" customFormat="1" ht="50.1" customHeight="1" x14ac:dyDescent="0.15">
      <c r="A419" s="1201"/>
      <c r="B419" s="1201"/>
      <c r="C419" s="1201"/>
      <c r="D419" s="1201"/>
      <c r="E419" s="1202"/>
      <c r="F419" s="652"/>
      <c r="G419" s="652"/>
      <c r="H419" s="652"/>
      <c r="I419" s="1357"/>
      <c r="J419" s="1234"/>
      <c r="K419" s="1261"/>
      <c r="L419" s="1261"/>
      <c r="M419" s="2423" t="s">
        <v>1187</v>
      </c>
      <c r="N419" s="2423"/>
      <c r="O419" s="2424"/>
      <c r="P419" s="2429" t="s">
        <v>103</v>
      </c>
      <c r="Q419" s="2429"/>
      <c r="R419" s="2429"/>
      <c r="S419" s="2429"/>
      <c r="T419" s="2429"/>
      <c r="U419" s="2438" t="s">
        <v>104</v>
      </c>
      <c r="V419" s="2438"/>
      <c r="W419" s="2438"/>
      <c r="X419" s="2438"/>
      <c r="Y419" s="2438"/>
      <c r="Z419" s="2438"/>
      <c r="AA419" s="2438"/>
      <c r="AB419" s="2438"/>
      <c r="AC419" s="2438"/>
      <c r="AD419" s="2438"/>
      <c r="AE419" s="2438"/>
      <c r="AF419" s="2302"/>
      <c r="AG419" s="2302"/>
      <c r="AH419" s="2302"/>
      <c r="AI419" s="2302"/>
      <c r="AJ419" s="2302"/>
      <c r="AK419" s="2302"/>
      <c r="AL419" s="2302"/>
      <c r="AM419" s="2302"/>
      <c r="AN419" s="2302"/>
      <c r="AO419" s="2302"/>
      <c r="AP419" s="2302"/>
      <c r="AQ419" s="2302"/>
      <c r="AR419" s="2272"/>
      <c r="AS419" s="2272"/>
      <c r="AT419" s="2406"/>
      <c r="AU419" s="2406"/>
      <c r="AV419" s="2406"/>
      <c r="AW419" s="2406"/>
      <c r="AX419" s="2406"/>
      <c r="AY419" s="2406"/>
      <c r="AZ419" s="2406"/>
      <c r="BA419" s="2406"/>
      <c r="BB419" s="2406"/>
      <c r="BC419" s="2406"/>
      <c r="BD419" s="2406"/>
      <c r="BE419" s="2406"/>
      <c r="BF419" s="2406"/>
      <c r="BG419" s="2406"/>
      <c r="BH419" s="2406"/>
      <c r="BI419" s="2406"/>
      <c r="BJ419" s="2406"/>
      <c r="BK419" s="2406"/>
      <c r="BL419" s="2406"/>
      <c r="BM419" s="2406"/>
      <c r="BN419" s="2406"/>
      <c r="BO419" s="2406"/>
      <c r="BP419" s="2406"/>
      <c r="BQ419" s="2406"/>
      <c r="BR419" s="2406"/>
      <c r="BS419" s="2271"/>
      <c r="BT419" s="2271"/>
      <c r="BU419" s="2271"/>
      <c r="BV419" s="2271"/>
      <c r="BW419" s="2271"/>
      <c r="BX419" s="2271"/>
      <c r="BY419" s="2271"/>
      <c r="BZ419" s="2272"/>
      <c r="CA419" s="2272"/>
      <c r="CB419" s="2377"/>
      <c r="CC419" s="2378"/>
      <c r="CD419" s="2378"/>
      <c r="CE419" s="2378"/>
      <c r="CF419" s="2378"/>
      <c r="CG419" s="2378"/>
      <c r="CH419" s="2378"/>
      <c r="CI419" s="2378"/>
      <c r="CJ419" s="2378"/>
      <c r="CK419" s="2378"/>
      <c r="CL419" s="2378"/>
      <c r="CM419" s="2378"/>
      <c r="CN419" s="2378"/>
      <c r="CO419" s="2378"/>
      <c r="CP419" s="2378"/>
      <c r="CQ419" s="2378"/>
      <c r="CR419" s="2378"/>
      <c r="CS419" s="2378"/>
      <c r="CT419" s="2378"/>
      <c r="CU419" s="2379"/>
      <c r="CV419" s="2300" t="str">
        <f t="shared" si="293"/>
        <v/>
      </c>
      <c r="CW419" s="2300"/>
      <c r="CX419" s="2300"/>
      <c r="CY419" s="2300"/>
      <c r="CZ419" s="2300"/>
      <c r="DA419" s="2300"/>
      <c r="DC419" s="329" t="str">
        <f t="shared" ref="DC419:DC426" si="453">IF(AND(DU419&lt;&gt;"",DU419&gt;20),"「別途様式を作成、提出してください。」","")</f>
        <v/>
      </c>
      <c r="DD419" s="197"/>
      <c r="DF419" s="14"/>
      <c r="DG419" s="14"/>
      <c r="DH419" s="14"/>
      <c r="DI419" s="1596"/>
      <c r="DJ419" s="1170" t="s">
        <v>2749</v>
      </c>
      <c r="DK419" s="1604" t="str">
        <f t="shared" si="380"/>
        <v/>
      </c>
      <c r="DL419" s="437" t="str">
        <f t="shared" si="381"/>
        <v/>
      </c>
      <c r="DM419" s="1128">
        <f t="shared" si="382"/>
        <v>0</v>
      </c>
      <c r="DN419" s="22">
        <f t="shared" si="383"/>
        <v>0</v>
      </c>
      <c r="DO419" s="22">
        <f t="shared" si="384"/>
        <v>0</v>
      </c>
      <c r="DP419" s="264">
        <f t="shared" si="385"/>
        <v>0</v>
      </c>
      <c r="DQ419" s="1134" t="s">
        <v>765</v>
      </c>
      <c r="DR419" s="263" t="str">
        <f t="shared" si="379"/>
        <v>採光のための開口部の面積の確保の状況</v>
      </c>
      <c r="DS419" s="23">
        <f t="shared" si="386"/>
        <v>0</v>
      </c>
      <c r="DT419" s="29" t="str">
        <f t="shared" si="387"/>
        <v/>
      </c>
      <c r="DU419" s="242" t="str">
        <f t="shared" si="303"/>
        <v/>
      </c>
      <c r="DV419" s="57" t="str">
        <f>IF($DT419="要是正",MAX($DV$378:DV416)+1,"")</f>
        <v/>
      </c>
      <c r="DW419" s="30" t="str">
        <f t="shared" si="388"/>
        <v/>
      </c>
      <c r="DX419" s="30" t="str">
        <f t="shared" si="305"/>
        <v/>
      </c>
      <c r="DY419" s="13" t="str">
        <f t="shared" si="306"/>
        <v/>
      </c>
      <c r="DZ419" s="121" t="str">
        <f t="shared" si="389"/>
        <v/>
      </c>
      <c r="EA419" s="256" t="str">
        <f t="shared" si="390"/>
        <v/>
      </c>
      <c r="EB419" s="138" t="str">
        <f t="shared" si="391"/>
        <v/>
      </c>
      <c r="EC419" s="131" t="str">
        <f t="shared" si="310"/>
        <v>0</v>
      </c>
      <c r="ED419" s="54" t="str">
        <f t="shared" si="311"/>
        <v/>
      </c>
      <c r="EE419" s="131" t="str">
        <f t="shared" si="360"/>
        <v>0</v>
      </c>
      <c r="EF419" s="37" t="str">
        <f t="shared" si="312"/>
        <v/>
      </c>
      <c r="EG419" s="108" t="str">
        <f t="shared" si="392"/>
        <v/>
      </c>
      <c r="EH419" s="41" t="str">
        <f t="shared" si="314"/>
        <v>0</v>
      </c>
      <c r="EI419" s="54" t="str">
        <f t="shared" si="393"/>
        <v/>
      </c>
      <c r="EJ419" s="131" t="str">
        <f t="shared" si="361"/>
        <v>0</v>
      </c>
      <c r="EK419" s="241" t="str">
        <f t="shared" si="394"/>
        <v/>
      </c>
      <c r="EL419" s="242" t="e">
        <f t="shared" si="317"/>
        <v>#N/A</v>
      </c>
      <c r="EM419" s="57" t="e">
        <f t="shared" si="318"/>
        <v>#N/A</v>
      </c>
      <c r="EN419" s="243" t="e">
        <f t="shared" si="319"/>
        <v>#N/A</v>
      </c>
      <c r="FK419" s="326" t="str">
        <f t="shared" si="364"/>
        <v/>
      </c>
      <c r="FL419" s="326" t="str">
        <f t="shared" si="365"/>
        <v/>
      </c>
      <c r="FM419" s="326" t="str">
        <f t="shared" si="366"/>
        <v/>
      </c>
      <c r="FN419" s="326">
        <f t="shared" si="395"/>
        <v>0</v>
      </c>
      <c r="FO419" s="670" t="str">
        <f t="shared" si="396"/>
        <v/>
      </c>
      <c r="FQ419" s="138" t="str">
        <f t="shared" si="397"/>
        <v/>
      </c>
      <c r="FR419" s="131" t="str">
        <f t="shared" si="322"/>
        <v>0</v>
      </c>
      <c r="FS419" s="54" t="str">
        <f t="shared" si="323"/>
        <v/>
      </c>
      <c r="FT419" s="131" t="str">
        <f t="shared" si="362"/>
        <v>0</v>
      </c>
      <c r="FU419" s="217" t="str">
        <f t="shared" si="324"/>
        <v/>
      </c>
      <c r="FW419" s="667">
        <f t="shared" si="433"/>
        <v>0</v>
      </c>
      <c r="FX419" s="32"/>
      <c r="FY419" s="32"/>
      <c r="FZ419" s="668"/>
      <c r="GA419" s="14"/>
      <c r="GB419" s="658">
        <f t="shared" si="398"/>
        <v>0</v>
      </c>
      <c r="GC419" s="658">
        <f t="shared" si="399"/>
        <v>0</v>
      </c>
      <c r="GD419" s="658">
        <f t="shared" si="400"/>
        <v>0</v>
      </c>
      <c r="GE419" s="658" t="str">
        <f t="shared" si="401"/>
        <v/>
      </c>
      <c r="GF419" s="658" t="str">
        <f t="shared" si="402"/>
        <v/>
      </c>
      <c r="GG419" s="658" t="str">
        <f t="shared" si="403"/>
        <v/>
      </c>
      <c r="GH419" s="658" t="str">
        <f t="shared" si="404"/>
        <v/>
      </c>
      <c r="GI419" s="658" t="str">
        <f t="shared" si="405"/>
        <v/>
      </c>
      <c r="GJ419" s="658" t="str">
        <f t="shared" si="406"/>
        <v/>
      </c>
      <c r="GK419" s="658" t="str">
        <f t="shared" si="407"/>
        <v/>
      </c>
      <c r="GL419" s="658" t="str">
        <f t="shared" si="408"/>
        <v/>
      </c>
      <c r="GM419" s="658" t="str">
        <f t="shared" si="409"/>
        <v/>
      </c>
      <c r="GN419" s="658" t="str">
        <f t="shared" si="410"/>
        <v/>
      </c>
      <c r="GO419" s="658" t="str">
        <f t="shared" si="411"/>
        <v/>
      </c>
      <c r="GP419" s="658" t="str">
        <f t="shared" si="412"/>
        <v/>
      </c>
      <c r="GQ419" s="658" t="str">
        <f t="shared" si="413"/>
        <v/>
      </c>
      <c r="GR419" s="658" t="str">
        <f t="shared" si="414"/>
        <v/>
      </c>
      <c r="GS419" s="658" t="str">
        <f t="shared" si="415"/>
        <v/>
      </c>
      <c r="GT419" s="658">
        <f t="shared" si="368"/>
        <v>0</v>
      </c>
      <c r="GU419" s="658">
        <f t="shared" si="369"/>
        <v>0</v>
      </c>
      <c r="GV419" s="658">
        <f t="shared" si="370"/>
        <v>0</v>
      </c>
      <c r="GW419" s="658" t="b">
        <f t="shared" si="371"/>
        <v>0</v>
      </c>
      <c r="GX419" s="658" t="b">
        <f t="shared" si="372"/>
        <v>0</v>
      </c>
      <c r="GY419" s="658" t="b">
        <f t="shared" si="373"/>
        <v>0</v>
      </c>
      <c r="GZ419" s="658" t="str">
        <f t="shared" si="378"/>
        <v/>
      </c>
      <c r="HB419" s="658" t="str">
        <f t="shared" si="374"/>
        <v/>
      </c>
      <c r="HC419" s="658" t="str">
        <f t="shared" si="416"/>
        <v/>
      </c>
      <c r="HD419" s="658" t="str">
        <f t="shared" si="417"/>
        <v/>
      </c>
      <c r="HE419" s="658" t="str">
        <f t="shared" si="418"/>
        <v/>
      </c>
      <c r="HF419" s="658" t="str">
        <f t="shared" si="419"/>
        <v/>
      </c>
      <c r="HG419" s="658" t="str">
        <f t="shared" si="420"/>
        <v/>
      </c>
      <c r="HH419" s="658" t="str">
        <f t="shared" si="421"/>
        <v/>
      </c>
      <c r="HI419" s="658" t="str">
        <f t="shared" si="422"/>
        <v/>
      </c>
      <c r="HJ419" s="658" t="str">
        <f t="shared" si="423"/>
        <v/>
      </c>
      <c r="HK419" s="658" t="str">
        <f t="shared" si="424"/>
        <v/>
      </c>
      <c r="HL419" s="658" t="str">
        <f t="shared" si="425"/>
        <v/>
      </c>
      <c r="HM419" s="658" t="str">
        <f t="shared" si="426"/>
        <v/>
      </c>
      <c r="HN419" s="658" t="str">
        <f t="shared" si="427"/>
        <v/>
      </c>
      <c r="HO419" s="658" t="str">
        <f t="shared" si="428"/>
        <v/>
      </c>
      <c r="HP419" s="658" t="str">
        <f t="shared" si="429"/>
        <v/>
      </c>
      <c r="HQ419" s="658" t="str">
        <f t="shared" si="430"/>
        <v/>
      </c>
      <c r="HR419" s="658" t="str">
        <f t="shared" si="375"/>
        <v/>
      </c>
      <c r="HT419" s="658">
        <f>LEFT(M419,1)*10000+MID(M419,3,LEN(M419)-3)*100+COUNTIF($M$319:M419,M419)</f>
        <v>43801</v>
      </c>
      <c r="HU419" s="658" t="str">
        <f t="shared" si="376"/>
        <v/>
      </c>
      <c r="HV419" s="658" t="str">
        <f t="shared" si="431"/>
        <v/>
      </c>
      <c r="HW419" s="658" t="str">
        <f t="shared" si="377"/>
        <v/>
      </c>
      <c r="HX419" s="658" t="str">
        <f t="shared" si="432"/>
        <v/>
      </c>
    </row>
    <row r="420" spans="1:232" s="19" customFormat="1" ht="50.1" customHeight="1" x14ac:dyDescent="0.15">
      <c r="A420" s="1201"/>
      <c r="B420" s="1201"/>
      <c r="C420" s="1201"/>
      <c r="D420" s="1201"/>
      <c r="E420" s="1202"/>
      <c r="F420" s="652"/>
      <c r="G420" s="652"/>
      <c r="H420" s="652"/>
      <c r="I420" s="1357"/>
      <c r="J420" s="1234"/>
      <c r="K420" s="1261"/>
      <c r="L420" s="1261"/>
      <c r="M420" s="2423" t="s">
        <v>1188</v>
      </c>
      <c r="N420" s="2423"/>
      <c r="O420" s="2424"/>
      <c r="P420" s="2429"/>
      <c r="Q420" s="2429"/>
      <c r="R420" s="2429"/>
      <c r="S420" s="2429"/>
      <c r="T420" s="2429"/>
      <c r="U420" s="2435" t="s">
        <v>105</v>
      </c>
      <c r="V420" s="2435"/>
      <c r="W420" s="2435"/>
      <c r="X420" s="2435"/>
      <c r="Y420" s="2435"/>
      <c r="Z420" s="2435"/>
      <c r="AA420" s="2435"/>
      <c r="AB420" s="2435"/>
      <c r="AC420" s="2435"/>
      <c r="AD420" s="2435"/>
      <c r="AE420" s="2435"/>
      <c r="AF420" s="2282"/>
      <c r="AG420" s="2282"/>
      <c r="AH420" s="2282"/>
      <c r="AI420" s="2282"/>
      <c r="AJ420" s="2282"/>
      <c r="AK420" s="2282"/>
      <c r="AL420" s="2282"/>
      <c r="AM420" s="2282"/>
      <c r="AN420" s="2282"/>
      <c r="AO420" s="2282"/>
      <c r="AP420" s="2282"/>
      <c r="AQ420" s="2282"/>
      <c r="AR420" s="2151"/>
      <c r="AS420" s="2151"/>
      <c r="AT420" s="2292"/>
      <c r="AU420" s="2292"/>
      <c r="AV420" s="2292"/>
      <c r="AW420" s="2292"/>
      <c r="AX420" s="2292"/>
      <c r="AY420" s="2292"/>
      <c r="AZ420" s="2292"/>
      <c r="BA420" s="2292"/>
      <c r="BB420" s="2292"/>
      <c r="BC420" s="2292"/>
      <c r="BD420" s="2292"/>
      <c r="BE420" s="2292"/>
      <c r="BF420" s="2292"/>
      <c r="BG420" s="2292"/>
      <c r="BH420" s="2292"/>
      <c r="BI420" s="2292"/>
      <c r="BJ420" s="2292"/>
      <c r="BK420" s="2292"/>
      <c r="BL420" s="2292"/>
      <c r="BM420" s="2292"/>
      <c r="BN420" s="2292"/>
      <c r="BO420" s="2292"/>
      <c r="BP420" s="2292"/>
      <c r="BQ420" s="2292"/>
      <c r="BR420" s="2292"/>
      <c r="BS420" s="2269"/>
      <c r="BT420" s="2269"/>
      <c r="BU420" s="2269"/>
      <c r="BV420" s="2269"/>
      <c r="BW420" s="2269"/>
      <c r="BX420" s="2269"/>
      <c r="BY420" s="2269"/>
      <c r="BZ420" s="2151"/>
      <c r="CA420" s="2151"/>
      <c r="CB420" s="2722"/>
      <c r="CC420" s="2723"/>
      <c r="CD420" s="2723"/>
      <c r="CE420" s="2723"/>
      <c r="CF420" s="2723"/>
      <c r="CG420" s="2723"/>
      <c r="CH420" s="2723"/>
      <c r="CI420" s="2723"/>
      <c r="CJ420" s="2723"/>
      <c r="CK420" s="2723"/>
      <c r="CL420" s="2723"/>
      <c r="CM420" s="2723"/>
      <c r="CN420" s="2723"/>
      <c r="CO420" s="2723"/>
      <c r="CP420" s="2723"/>
      <c r="CQ420" s="2723"/>
      <c r="CR420" s="2723"/>
      <c r="CS420" s="2723"/>
      <c r="CT420" s="2723"/>
      <c r="CU420" s="2724"/>
      <c r="CV420" s="2300" t="str">
        <f t="shared" si="293"/>
        <v/>
      </c>
      <c r="CW420" s="2300"/>
      <c r="CX420" s="2300"/>
      <c r="CY420" s="2300"/>
      <c r="CZ420" s="2300"/>
      <c r="DA420" s="2300"/>
      <c r="DC420" s="329" t="str">
        <f t="shared" si="453"/>
        <v/>
      </c>
      <c r="DD420" s="197"/>
      <c r="DF420" s="14"/>
      <c r="DG420" s="14"/>
      <c r="DH420" s="14"/>
      <c r="DI420" s="1596"/>
      <c r="DJ420" s="1170" t="s">
        <v>2749</v>
      </c>
      <c r="DK420" s="1604" t="str">
        <f t="shared" si="380"/>
        <v/>
      </c>
      <c r="DL420" s="437" t="str">
        <f t="shared" si="381"/>
        <v/>
      </c>
      <c r="DM420" s="1128">
        <f t="shared" si="382"/>
        <v>0</v>
      </c>
      <c r="DN420" s="22">
        <f t="shared" si="383"/>
        <v>0</v>
      </c>
      <c r="DO420" s="22">
        <f t="shared" si="384"/>
        <v>0</v>
      </c>
      <c r="DP420" s="264">
        <f t="shared" si="385"/>
        <v>0</v>
      </c>
      <c r="DQ420" s="1134" t="s">
        <v>766</v>
      </c>
      <c r="DR420" s="263" t="str">
        <f t="shared" si="379"/>
        <v>採光の妨げとなる物品の放置の状況</v>
      </c>
      <c r="DS420" s="23">
        <f t="shared" si="386"/>
        <v>0</v>
      </c>
      <c r="DT420" s="29" t="str">
        <f t="shared" si="387"/>
        <v/>
      </c>
      <c r="DU420" s="242" t="str">
        <f t="shared" si="303"/>
        <v/>
      </c>
      <c r="DV420" s="57" t="str">
        <f>IF($DT420="要是正",MAX($DV$378:DV419)+1,"")</f>
        <v/>
      </c>
      <c r="DW420" s="30" t="str">
        <f t="shared" si="388"/>
        <v/>
      </c>
      <c r="DX420" s="30" t="str">
        <f t="shared" si="305"/>
        <v/>
      </c>
      <c r="DY420" s="13" t="str">
        <f t="shared" si="306"/>
        <v/>
      </c>
      <c r="DZ420" s="121" t="str">
        <f t="shared" si="389"/>
        <v/>
      </c>
      <c r="EA420" s="256" t="str">
        <f t="shared" si="390"/>
        <v/>
      </c>
      <c r="EB420" s="138" t="str">
        <f t="shared" si="391"/>
        <v/>
      </c>
      <c r="EC420" s="131" t="str">
        <f t="shared" si="310"/>
        <v>0</v>
      </c>
      <c r="ED420" s="54" t="str">
        <f t="shared" si="311"/>
        <v/>
      </c>
      <c r="EE420" s="131" t="str">
        <f t="shared" si="360"/>
        <v>0</v>
      </c>
      <c r="EF420" s="37" t="str">
        <f t="shared" si="312"/>
        <v/>
      </c>
      <c r="EG420" s="108" t="str">
        <f t="shared" si="392"/>
        <v/>
      </c>
      <c r="EH420" s="41" t="str">
        <f t="shared" si="314"/>
        <v>0</v>
      </c>
      <c r="EI420" s="54" t="str">
        <f t="shared" si="393"/>
        <v/>
      </c>
      <c r="EJ420" s="131" t="str">
        <f t="shared" si="361"/>
        <v>0</v>
      </c>
      <c r="EK420" s="241" t="str">
        <f t="shared" si="394"/>
        <v/>
      </c>
      <c r="EL420" s="242" t="e">
        <f t="shared" si="317"/>
        <v>#N/A</v>
      </c>
      <c r="EM420" s="57" t="e">
        <f t="shared" si="318"/>
        <v>#N/A</v>
      </c>
      <c r="EN420" s="243" t="e">
        <f t="shared" si="319"/>
        <v>#N/A</v>
      </c>
      <c r="FK420" s="326" t="str">
        <f t="shared" si="364"/>
        <v/>
      </c>
      <c r="FL420" s="326" t="str">
        <f t="shared" si="365"/>
        <v/>
      </c>
      <c r="FM420" s="326" t="str">
        <f t="shared" si="366"/>
        <v/>
      </c>
      <c r="FN420" s="326">
        <f t="shared" si="395"/>
        <v>0</v>
      </c>
      <c r="FO420" s="670" t="str">
        <f t="shared" si="396"/>
        <v/>
      </c>
      <c r="FQ420" s="138" t="str">
        <f t="shared" si="397"/>
        <v/>
      </c>
      <c r="FR420" s="131" t="str">
        <f t="shared" si="322"/>
        <v>0</v>
      </c>
      <c r="FS420" s="54" t="str">
        <f t="shared" si="323"/>
        <v/>
      </c>
      <c r="FT420" s="131" t="str">
        <f t="shared" si="362"/>
        <v>0</v>
      </c>
      <c r="FU420" s="217" t="str">
        <f t="shared" si="324"/>
        <v/>
      </c>
      <c r="FW420" s="667">
        <f t="shared" si="433"/>
        <v>0</v>
      </c>
      <c r="FX420" s="32"/>
      <c r="FY420" s="32"/>
      <c r="FZ420" s="668"/>
      <c r="GA420" s="14"/>
      <c r="GB420" s="658">
        <f t="shared" si="398"/>
        <v>0</v>
      </c>
      <c r="GC420" s="658">
        <f t="shared" si="399"/>
        <v>0</v>
      </c>
      <c r="GD420" s="658">
        <f t="shared" si="400"/>
        <v>0</v>
      </c>
      <c r="GE420" s="658" t="str">
        <f t="shared" si="401"/>
        <v/>
      </c>
      <c r="GF420" s="658" t="str">
        <f t="shared" si="402"/>
        <v/>
      </c>
      <c r="GG420" s="658" t="str">
        <f t="shared" si="403"/>
        <v/>
      </c>
      <c r="GH420" s="658" t="str">
        <f t="shared" si="404"/>
        <v/>
      </c>
      <c r="GI420" s="658" t="str">
        <f t="shared" si="405"/>
        <v/>
      </c>
      <c r="GJ420" s="658" t="str">
        <f t="shared" si="406"/>
        <v/>
      </c>
      <c r="GK420" s="658" t="str">
        <f t="shared" si="407"/>
        <v/>
      </c>
      <c r="GL420" s="658" t="str">
        <f t="shared" si="408"/>
        <v/>
      </c>
      <c r="GM420" s="658" t="str">
        <f t="shared" si="409"/>
        <v/>
      </c>
      <c r="GN420" s="658" t="str">
        <f t="shared" si="410"/>
        <v/>
      </c>
      <c r="GO420" s="658" t="str">
        <f t="shared" si="411"/>
        <v/>
      </c>
      <c r="GP420" s="658" t="str">
        <f t="shared" si="412"/>
        <v/>
      </c>
      <c r="GQ420" s="658" t="str">
        <f t="shared" si="413"/>
        <v/>
      </c>
      <c r="GR420" s="658" t="str">
        <f t="shared" si="414"/>
        <v/>
      </c>
      <c r="GS420" s="658" t="str">
        <f t="shared" si="415"/>
        <v/>
      </c>
      <c r="GT420" s="658">
        <f t="shared" si="368"/>
        <v>0</v>
      </c>
      <c r="GU420" s="658">
        <f t="shared" si="369"/>
        <v>0</v>
      </c>
      <c r="GV420" s="658">
        <f t="shared" si="370"/>
        <v>0</v>
      </c>
      <c r="GW420" s="658" t="b">
        <f t="shared" si="371"/>
        <v>0</v>
      </c>
      <c r="GX420" s="658" t="b">
        <f t="shared" si="372"/>
        <v>0</v>
      </c>
      <c r="GY420" s="658" t="b">
        <f t="shared" si="373"/>
        <v>0</v>
      </c>
      <c r="GZ420" s="658" t="str">
        <f t="shared" si="378"/>
        <v/>
      </c>
      <c r="HB420" s="658" t="str">
        <f t="shared" si="374"/>
        <v/>
      </c>
      <c r="HC420" s="658" t="str">
        <f t="shared" si="416"/>
        <v/>
      </c>
      <c r="HD420" s="658" t="str">
        <f t="shared" si="417"/>
        <v/>
      </c>
      <c r="HE420" s="658" t="str">
        <f t="shared" si="418"/>
        <v/>
      </c>
      <c r="HF420" s="658" t="str">
        <f t="shared" si="419"/>
        <v/>
      </c>
      <c r="HG420" s="658" t="str">
        <f t="shared" si="420"/>
        <v/>
      </c>
      <c r="HH420" s="658" t="str">
        <f t="shared" si="421"/>
        <v/>
      </c>
      <c r="HI420" s="658" t="str">
        <f t="shared" si="422"/>
        <v/>
      </c>
      <c r="HJ420" s="658" t="str">
        <f t="shared" si="423"/>
        <v/>
      </c>
      <c r="HK420" s="658" t="str">
        <f t="shared" si="424"/>
        <v/>
      </c>
      <c r="HL420" s="658" t="str">
        <f t="shared" si="425"/>
        <v/>
      </c>
      <c r="HM420" s="658" t="str">
        <f t="shared" si="426"/>
        <v/>
      </c>
      <c r="HN420" s="658" t="str">
        <f t="shared" si="427"/>
        <v/>
      </c>
      <c r="HO420" s="658" t="str">
        <f t="shared" si="428"/>
        <v/>
      </c>
      <c r="HP420" s="658" t="str">
        <f t="shared" si="429"/>
        <v/>
      </c>
      <c r="HQ420" s="658" t="str">
        <f t="shared" si="430"/>
        <v/>
      </c>
      <c r="HR420" s="658" t="str">
        <f t="shared" si="375"/>
        <v/>
      </c>
      <c r="HT420" s="658">
        <f>LEFT(M420,1)*10000+MID(M420,3,LEN(M420)-3)*100+COUNTIF($M$319:M420,M420)</f>
        <v>43901</v>
      </c>
      <c r="HU420" s="658" t="str">
        <f t="shared" si="376"/>
        <v/>
      </c>
      <c r="HV420" s="658" t="str">
        <f t="shared" si="431"/>
        <v/>
      </c>
      <c r="HW420" s="658" t="str">
        <f t="shared" si="377"/>
        <v/>
      </c>
      <c r="HX420" s="658" t="str">
        <f t="shared" si="432"/>
        <v/>
      </c>
    </row>
    <row r="421" spans="1:232" s="19" customFormat="1" ht="50.1" customHeight="1" x14ac:dyDescent="0.15">
      <c r="A421" s="1201"/>
      <c r="B421" s="1201"/>
      <c r="C421" s="1201"/>
      <c r="D421" s="1201"/>
      <c r="E421" s="1202"/>
      <c r="F421" s="652"/>
      <c r="G421" s="652"/>
      <c r="H421" s="652"/>
      <c r="I421" s="1357"/>
      <c r="J421" s="1234"/>
      <c r="K421" s="1261"/>
      <c r="L421" s="1261"/>
      <c r="M421" s="2423" t="s">
        <v>1189</v>
      </c>
      <c r="N421" s="2423"/>
      <c r="O421" s="2424"/>
      <c r="P421" s="2429"/>
      <c r="Q421" s="2429"/>
      <c r="R421" s="2429"/>
      <c r="S421" s="2429"/>
      <c r="T421" s="2429"/>
      <c r="U421" s="2435" t="s">
        <v>106</v>
      </c>
      <c r="V421" s="2435"/>
      <c r="W421" s="2435"/>
      <c r="X421" s="2435"/>
      <c r="Y421" s="2435"/>
      <c r="Z421" s="2435"/>
      <c r="AA421" s="2435"/>
      <c r="AB421" s="2435"/>
      <c r="AC421" s="2435"/>
      <c r="AD421" s="2435"/>
      <c r="AE421" s="2435"/>
      <c r="AF421" s="2282"/>
      <c r="AG421" s="2282"/>
      <c r="AH421" s="2282"/>
      <c r="AI421" s="2282"/>
      <c r="AJ421" s="2282"/>
      <c r="AK421" s="2282"/>
      <c r="AL421" s="2282"/>
      <c r="AM421" s="2282"/>
      <c r="AN421" s="2282"/>
      <c r="AO421" s="2282"/>
      <c r="AP421" s="2282"/>
      <c r="AQ421" s="2282"/>
      <c r="AR421" s="2151"/>
      <c r="AS421" s="2151"/>
      <c r="AT421" s="2292"/>
      <c r="AU421" s="2292"/>
      <c r="AV421" s="2292"/>
      <c r="AW421" s="2292"/>
      <c r="AX421" s="2292"/>
      <c r="AY421" s="2292"/>
      <c r="AZ421" s="2292"/>
      <c r="BA421" s="2292"/>
      <c r="BB421" s="2292"/>
      <c r="BC421" s="2292"/>
      <c r="BD421" s="2292"/>
      <c r="BE421" s="2292"/>
      <c r="BF421" s="2292"/>
      <c r="BG421" s="2292"/>
      <c r="BH421" s="2292"/>
      <c r="BI421" s="2292"/>
      <c r="BJ421" s="2292"/>
      <c r="BK421" s="2292"/>
      <c r="BL421" s="2292"/>
      <c r="BM421" s="2292"/>
      <c r="BN421" s="2292"/>
      <c r="BO421" s="2292"/>
      <c r="BP421" s="2292"/>
      <c r="BQ421" s="2292"/>
      <c r="BR421" s="2292"/>
      <c r="BS421" s="2269"/>
      <c r="BT421" s="2269"/>
      <c r="BU421" s="2269"/>
      <c r="BV421" s="2269"/>
      <c r="BW421" s="2269"/>
      <c r="BX421" s="2269"/>
      <c r="BY421" s="2269"/>
      <c r="BZ421" s="2151"/>
      <c r="CA421" s="2151"/>
      <c r="CB421" s="2722"/>
      <c r="CC421" s="2723"/>
      <c r="CD421" s="2723"/>
      <c r="CE421" s="2723"/>
      <c r="CF421" s="2723"/>
      <c r="CG421" s="2723"/>
      <c r="CH421" s="2723"/>
      <c r="CI421" s="2723"/>
      <c r="CJ421" s="2723"/>
      <c r="CK421" s="2723"/>
      <c r="CL421" s="2723"/>
      <c r="CM421" s="2723"/>
      <c r="CN421" s="2723"/>
      <c r="CO421" s="2723"/>
      <c r="CP421" s="2723"/>
      <c r="CQ421" s="2723"/>
      <c r="CR421" s="2723"/>
      <c r="CS421" s="2723"/>
      <c r="CT421" s="2723"/>
      <c r="CU421" s="2724"/>
      <c r="CV421" s="2300" t="str">
        <f t="shared" si="293"/>
        <v/>
      </c>
      <c r="CW421" s="2300"/>
      <c r="CX421" s="2300"/>
      <c r="CY421" s="2300"/>
      <c r="CZ421" s="2300"/>
      <c r="DA421" s="2300"/>
      <c r="DC421" s="329" t="str">
        <f t="shared" si="453"/>
        <v/>
      </c>
      <c r="DD421" s="197"/>
      <c r="DF421" s="14"/>
      <c r="DG421" s="14"/>
      <c r="DH421" s="14"/>
      <c r="DI421" s="1596"/>
      <c r="DJ421" s="1170" t="s">
        <v>2749</v>
      </c>
      <c r="DK421" s="1604" t="str">
        <f t="shared" si="380"/>
        <v/>
      </c>
      <c r="DL421" s="437" t="str">
        <f t="shared" si="381"/>
        <v/>
      </c>
      <c r="DM421" s="1128">
        <f t="shared" si="382"/>
        <v>0</v>
      </c>
      <c r="DN421" s="22">
        <f t="shared" si="383"/>
        <v>0</v>
      </c>
      <c r="DO421" s="22">
        <f t="shared" si="384"/>
        <v>0</v>
      </c>
      <c r="DP421" s="264">
        <f t="shared" si="385"/>
        <v>0</v>
      </c>
      <c r="DQ421" s="1134" t="s">
        <v>767</v>
      </c>
      <c r="DR421" s="263" t="str">
        <f t="shared" si="379"/>
        <v>換気のための開口部の面積の確保の状況</v>
      </c>
      <c r="DS421" s="23">
        <f t="shared" si="386"/>
        <v>0</v>
      </c>
      <c r="DT421" s="29" t="str">
        <f t="shared" si="387"/>
        <v/>
      </c>
      <c r="DU421" s="242" t="str">
        <f t="shared" si="303"/>
        <v/>
      </c>
      <c r="DV421" s="57" t="str">
        <f>IF($DT421="要是正",MAX($DV$378:DV420)+1,"")</f>
        <v/>
      </c>
      <c r="DW421" s="30" t="str">
        <f t="shared" si="388"/>
        <v/>
      </c>
      <c r="DX421" s="30" t="str">
        <f t="shared" si="305"/>
        <v/>
      </c>
      <c r="DY421" s="13" t="str">
        <f t="shared" si="306"/>
        <v/>
      </c>
      <c r="DZ421" s="121" t="str">
        <f t="shared" si="389"/>
        <v/>
      </c>
      <c r="EA421" s="256" t="str">
        <f t="shared" si="390"/>
        <v/>
      </c>
      <c r="EB421" s="138" t="str">
        <f t="shared" si="391"/>
        <v/>
      </c>
      <c r="EC421" s="131" t="str">
        <f t="shared" si="310"/>
        <v>0</v>
      </c>
      <c r="ED421" s="54" t="str">
        <f t="shared" si="311"/>
        <v/>
      </c>
      <c r="EE421" s="131" t="str">
        <f t="shared" si="360"/>
        <v>0</v>
      </c>
      <c r="EF421" s="37" t="str">
        <f t="shared" si="312"/>
        <v/>
      </c>
      <c r="EG421" s="108" t="str">
        <f t="shared" si="392"/>
        <v/>
      </c>
      <c r="EH421" s="41" t="str">
        <f t="shared" si="314"/>
        <v>0</v>
      </c>
      <c r="EI421" s="54" t="str">
        <f t="shared" si="393"/>
        <v/>
      </c>
      <c r="EJ421" s="131" t="str">
        <f t="shared" si="361"/>
        <v>0</v>
      </c>
      <c r="EK421" s="241" t="str">
        <f t="shared" si="394"/>
        <v/>
      </c>
      <c r="EL421" s="242" t="e">
        <f t="shared" si="317"/>
        <v>#N/A</v>
      </c>
      <c r="EM421" s="57" t="e">
        <f t="shared" si="318"/>
        <v>#N/A</v>
      </c>
      <c r="EN421" s="243" t="e">
        <f t="shared" si="319"/>
        <v>#N/A</v>
      </c>
      <c r="FK421" s="326" t="str">
        <f t="shared" si="364"/>
        <v/>
      </c>
      <c r="FL421" s="326" t="str">
        <f t="shared" si="365"/>
        <v/>
      </c>
      <c r="FM421" s="326" t="str">
        <f t="shared" si="366"/>
        <v/>
      </c>
      <c r="FN421" s="326">
        <f t="shared" si="395"/>
        <v>0</v>
      </c>
      <c r="FO421" s="670" t="str">
        <f t="shared" si="396"/>
        <v/>
      </c>
      <c r="FQ421" s="138" t="str">
        <f t="shared" si="397"/>
        <v/>
      </c>
      <c r="FR421" s="131" t="str">
        <f t="shared" si="322"/>
        <v>0</v>
      </c>
      <c r="FS421" s="54" t="str">
        <f t="shared" si="323"/>
        <v/>
      </c>
      <c r="FT421" s="131" t="str">
        <f t="shared" si="362"/>
        <v>0</v>
      </c>
      <c r="FU421" s="217" t="str">
        <f t="shared" si="324"/>
        <v/>
      </c>
      <c r="FW421" s="667">
        <f t="shared" si="433"/>
        <v>0</v>
      </c>
      <c r="FX421" s="32"/>
      <c r="FY421" s="32"/>
      <c r="FZ421" s="668"/>
      <c r="GA421" s="14"/>
      <c r="GB421" s="658">
        <f t="shared" si="398"/>
        <v>0</v>
      </c>
      <c r="GC421" s="658">
        <f t="shared" si="399"/>
        <v>0</v>
      </c>
      <c r="GD421" s="658">
        <f t="shared" si="400"/>
        <v>0</v>
      </c>
      <c r="GE421" s="658" t="str">
        <f t="shared" si="401"/>
        <v/>
      </c>
      <c r="GF421" s="658" t="str">
        <f t="shared" si="402"/>
        <v/>
      </c>
      <c r="GG421" s="658" t="str">
        <f t="shared" si="403"/>
        <v/>
      </c>
      <c r="GH421" s="658" t="str">
        <f t="shared" si="404"/>
        <v/>
      </c>
      <c r="GI421" s="658" t="str">
        <f t="shared" si="405"/>
        <v/>
      </c>
      <c r="GJ421" s="658" t="str">
        <f t="shared" si="406"/>
        <v/>
      </c>
      <c r="GK421" s="658" t="str">
        <f t="shared" si="407"/>
        <v/>
      </c>
      <c r="GL421" s="658" t="str">
        <f t="shared" si="408"/>
        <v/>
      </c>
      <c r="GM421" s="658" t="str">
        <f t="shared" si="409"/>
        <v/>
      </c>
      <c r="GN421" s="658" t="str">
        <f t="shared" si="410"/>
        <v/>
      </c>
      <c r="GO421" s="658" t="str">
        <f t="shared" si="411"/>
        <v/>
      </c>
      <c r="GP421" s="658" t="str">
        <f t="shared" si="412"/>
        <v/>
      </c>
      <c r="GQ421" s="658" t="str">
        <f t="shared" si="413"/>
        <v/>
      </c>
      <c r="GR421" s="658" t="str">
        <f t="shared" si="414"/>
        <v/>
      </c>
      <c r="GS421" s="658" t="str">
        <f t="shared" si="415"/>
        <v/>
      </c>
      <c r="GT421" s="658">
        <f t="shared" si="368"/>
        <v>0</v>
      </c>
      <c r="GU421" s="658">
        <f t="shared" si="369"/>
        <v>0</v>
      </c>
      <c r="GV421" s="658">
        <f t="shared" si="370"/>
        <v>0</v>
      </c>
      <c r="GW421" s="658" t="b">
        <f t="shared" si="371"/>
        <v>0</v>
      </c>
      <c r="GX421" s="658" t="b">
        <f t="shared" si="372"/>
        <v>0</v>
      </c>
      <c r="GY421" s="658" t="b">
        <f t="shared" si="373"/>
        <v>0</v>
      </c>
      <c r="GZ421" s="658" t="str">
        <f t="shared" si="378"/>
        <v/>
      </c>
      <c r="HB421" s="658" t="str">
        <f t="shared" si="374"/>
        <v/>
      </c>
      <c r="HC421" s="658" t="str">
        <f t="shared" si="416"/>
        <v/>
      </c>
      <c r="HD421" s="658" t="str">
        <f t="shared" si="417"/>
        <v/>
      </c>
      <c r="HE421" s="658" t="str">
        <f t="shared" si="418"/>
        <v/>
      </c>
      <c r="HF421" s="658" t="str">
        <f t="shared" si="419"/>
        <v/>
      </c>
      <c r="HG421" s="658" t="str">
        <f t="shared" si="420"/>
        <v/>
      </c>
      <c r="HH421" s="658" t="str">
        <f t="shared" si="421"/>
        <v/>
      </c>
      <c r="HI421" s="658" t="str">
        <f t="shared" si="422"/>
        <v/>
      </c>
      <c r="HJ421" s="658" t="str">
        <f t="shared" si="423"/>
        <v/>
      </c>
      <c r="HK421" s="658" t="str">
        <f t="shared" si="424"/>
        <v/>
      </c>
      <c r="HL421" s="658" t="str">
        <f t="shared" si="425"/>
        <v/>
      </c>
      <c r="HM421" s="658" t="str">
        <f t="shared" si="426"/>
        <v/>
      </c>
      <c r="HN421" s="658" t="str">
        <f t="shared" si="427"/>
        <v/>
      </c>
      <c r="HO421" s="658" t="str">
        <f t="shared" si="428"/>
        <v/>
      </c>
      <c r="HP421" s="658" t="str">
        <f t="shared" si="429"/>
        <v/>
      </c>
      <c r="HQ421" s="658" t="str">
        <f t="shared" si="430"/>
        <v/>
      </c>
      <c r="HR421" s="658" t="str">
        <f t="shared" si="375"/>
        <v/>
      </c>
      <c r="HT421" s="658">
        <f>LEFT(M421,1)*10000+MID(M421,3,LEN(M421)-3)*100+COUNTIF($M$319:M421,M421)</f>
        <v>44001</v>
      </c>
      <c r="HU421" s="658" t="str">
        <f t="shared" si="376"/>
        <v/>
      </c>
      <c r="HV421" s="658" t="str">
        <f t="shared" si="431"/>
        <v/>
      </c>
      <c r="HW421" s="658" t="str">
        <f t="shared" si="377"/>
        <v/>
      </c>
      <c r="HX421" s="658" t="str">
        <f t="shared" si="432"/>
        <v/>
      </c>
    </row>
    <row r="422" spans="1:232" s="19" customFormat="1" ht="62.25" customHeight="1" x14ac:dyDescent="0.15">
      <c r="A422" s="1201"/>
      <c r="B422" s="1201"/>
      <c r="C422" s="1201"/>
      <c r="D422" s="1201"/>
      <c r="E422" s="1202"/>
      <c r="F422" s="652"/>
      <c r="G422" s="652"/>
      <c r="H422" s="652"/>
      <c r="I422" s="1357"/>
      <c r="J422" s="1234"/>
      <c r="K422" s="1261"/>
      <c r="L422" s="1261"/>
      <c r="M422" s="2423" t="s">
        <v>1190</v>
      </c>
      <c r="N422" s="2423"/>
      <c r="O422" s="2424"/>
      <c r="P422" s="2429"/>
      <c r="Q422" s="2429"/>
      <c r="R422" s="2429"/>
      <c r="S422" s="2429"/>
      <c r="T422" s="2429"/>
      <c r="U422" s="2435" t="s">
        <v>107</v>
      </c>
      <c r="V422" s="2435"/>
      <c r="W422" s="2435"/>
      <c r="X422" s="2435"/>
      <c r="Y422" s="2435"/>
      <c r="Z422" s="2435"/>
      <c r="AA422" s="2435"/>
      <c r="AB422" s="2435"/>
      <c r="AC422" s="2435"/>
      <c r="AD422" s="2435"/>
      <c r="AE422" s="2435"/>
      <c r="AF422" s="2282"/>
      <c r="AG422" s="2282"/>
      <c r="AH422" s="2282"/>
      <c r="AI422" s="2282"/>
      <c r="AJ422" s="2282"/>
      <c r="AK422" s="2282"/>
      <c r="AL422" s="2282"/>
      <c r="AM422" s="2282"/>
      <c r="AN422" s="2282"/>
      <c r="AO422" s="2282"/>
      <c r="AP422" s="2282"/>
      <c r="AQ422" s="2282"/>
      <c r="AR422" s="2151"/>
      <c r="AS422" s="2151"/>
      <c r="AT422" s="2292"/>
      <c r="AU422" s="2292"/>
      <c r="AV422" s="2292"/>
      <c r="AW422" s="2292"/>
      <c r="AX422" s="2292"/>
      <c r="AY422" s="2292"/>
      <c r="AZ422" s="2292"/>
      <c r="BA422" s="2292"/>
      <c r="BB422" s="2292"/>
      <c r="BC422" s="2292"/>
      <c r="BD422" s="2292"/>
      <c r="BE422" s="2292"/>
      <c r="BF422" s="2292"/>
      <c r="BG422" s="2292"/>
      <c r="BH422" s="2292"/>
      <c r="BI422" s="2292"/>
      <c r="BJ422" s="2292"/>
      <c r="BK422" s="2292"/>
      <c r="BL422" s="2292"/>
      <c r="BM422" s="2292"/>
      <c r="BN422" s="2292"/>
      <c r="BO422" s="2292"/>
      <c r="BP422" s="2292"/>
      <c r="BQ422" s="2292"/>
      <c r="BR422" s="2292"/>
      <c r="BS422" s="2269"/>
      <c r="BT422" s="2269"/>
      <c r="BU422" s="2269"/>
      <c r="BV422" s="2269"/>
      <c r="BW422" s="2269"/>
      <c r="BX422" s="2269"/>
      <c r="BY422" s="2269"/>
      <c r="BZ422" s="2151"/>
      <c r="CA422" s="2151"/>
      <c r="CB422" s="2355" t="s">
        <v>3394</v>
      </c>
      <c r="CC422" s="2356"/>
      <c r="CD422" s="2356"/>
      <c r="CE422" s="2356"/>
      <c r="CF422" s="2356"/>
      <c r="CG422" s="2356"/>
      <c r="CH422" s="2356"/>
      <c r="CI422" s="2356"/>
      <c r="CJ422" s="2356"/>
      <c r="CK422" s="2356"/>
      <c r="CL422" s="2356"/>
      <c r="CM422" s="2356"/>
      <c r="CN422" s="2356"/>
      <c r="CO422" s="2356"/>
      <c r="CP422" s="2356"/>
      <c r="CQ422" s="2356"/>
      <c r="CR422" s="2356"/>
      <c r="CS422" s="2356"/>
      <c r="CT422" s="2356"/>
      <c r="CU422" s="2357"/>
      <c r="CV422" s="2300" t="str">
        <f t="shared" si="293"/>
        <v/>
      </c>
      <c r="CW422" s="2300"/>
      <c r="CX422" s="2300"/>
      <c r="CY422" s="2300"/>
      <c r="CZ422" s="2300"/>
      <c r="DA422" s="2300"/>
      <c r="DC422" s="329" t="str">
        <f t="shared" si="453"/>
        <v/>
      </c>
      <c r="DD422" s="197"/>
      <c r="DF422" s="14"/>
      <c r="DG422" s="14"/>
      <c r="DH422" s="14"/>
      <c r="DI422" s="1596"/>
      <c r="DJ422" s="1170" t="s">
        <v>2749</v>
      </c>
      <c r="DK422" s="1604" t="str">
        <f t="shared" si="380"/>
        <v/>
      </c>
      <c r="DL422" s="437" t="str">
        <f t="shared" si="381"/>
        <v/>
      </c>
      <c r="DM422" s="1128">
        <f t="shared" si="382"/>
        <v>0</v>
      </c>
      <c r="DN422" s="22">
        <f t="shared" si="383"/>
        <v>0</v>
      </c>
      <c r="DO422" s="22">
        <f t="shared" si="384"/>
        <v>0</v>
      </c>
      <c r="DP422" s="264">
        <f t="shared" si="385"/>
        <v>0</v>
      </c>
      <c r="DQ422" s="1134" t="s">
        <v>768</v>
      </c>
      <c r="DR422" s="263" t="str">
        <f t="shared" si="379"/>
        <v>換気設備の設置の状況</v>
      </c>
      <c r="DS422" s="23">
        <f t="shared" si="386"/>
        <v>0</v>
      </c>
      <c r="DT422" s="29" t="str">
        <f t="shared" si="387"/>
        <v/>
      </c>
      <c r="DU422" s="242" t="str">
        <f t="shared" si="303"/>
        <v/>
      </c>
      <c r="DV422" s="57" t="str">
        <f>IF($DT422="要是正",MAX($DV$378:DV421)+1,"")</f>
        <v/>
      </c>
      <c r="DW422" s="30" t="str">
        <f t="shared" si="388"/>
        <v/>
      </c>
      <c r="DX422" s="30" t="str">
        <f t="shared" si="305"/>
        <v/>
      </c>
      <c r="DY422" s="13" t="str">
        <f t="shared" si="306"/>
        <v/>
      </c>
      <c r="DZ422" s="121" t="str">
        <f t="shared" si="389"/>
        <v/>
      </c>
      <c r="EA422" s="256" t="str">
        <f t="shared" si="390"/>
        <v/>
      </c>
      <c r="EB422" s="138" t="str">
        <f t="shared" si="391"/>
        <v/>
      </c>
      <c r="EC422" s="131" t="str">
        <f t="shared" si="310"/>
        <v>0</v>
      </c>
      <c r="ED422" s="54" t="str">
        <f t="shared" si="311"/>
        <v/>
      </c>
      <c r="EE422" s="131" t="str">
        <f t="shared" si="360"/>
        <v>0</v>
      </c>
      <c r="EF422" s="37" t="str">
        <f t="shared" si="312"/>
        <v/>
      </c>
      <c r="EG422" s="108" t="str">
        <f t="shared" si="392"/>
        <v/>
      </c>
      <c r="EH422" s="41" t="str">
        <f t="shared" si="314"/>
        <v>0</v>
      </c>
      <c r="EI422" s="54" t="str">
        <f t="shared" si="393"/>
        <v/>
      </c>
      <c r="EJ422" s="131" t="str">
        <f t="shared" si="361"/>
        <v>0</v>
      </c>
      <c r="EK422" s="241" t="str">
        <f t="shared" si="394"/>
        <v/>
      </c>
      <c r="EL422" s="242" t="e">
        <f t="shared" si="317"/>
        <v>#N/A</v>
      </c>
      <c r="EM422" s="57" t="e">
        <f t="shared" si="318"/>
        <v>#N/A</v>
      </c>
      <c r="EN422" s="243" t="e">
        <f t="shared" si="319"/>
        <v>#N/A</v>
      </c>
      <c r="FK422" s="326" t="str">
        <f t="shared" si="364"/>
        <v/>
      </c>
      <c r="FL422" s="326" t="str">
        <f t="shared" si="365"/>
        <v/>
      </c>
      <c r="FM422" s="326" t="str">
        <f t="shared" si="366"/>
        <v/>
      </c>
      <c r="FN422" s="326">
        <f t="shared" si="395"/>
        <v>0</v>
      </c>
      <c r="FO422" s="670" t="str">
        <f t="shared" si="396"/>
        <v/>
      </c>
      <c r="FQ422" s="138" t="str">
        <f t="shared" si="397"/>
        <v/>
      </c>
      <c r="FR422" s="131" t="str">
        <f t="shared" si="322"/>
        <v>0</v>
      </c>
      <c r="FS422" s="54" t="str">
        <f t="shared" si="323"/>
        <v/>
      </c>
      <c r="FT422" s="131" t="str">
        <f t="shared" si="362"/>
        <v>0</v>
      </c>
      <c r="FU422" s="217" t="str">
        <f t="shared" si="324"/>
        <v/>
      </c>
      <c r="FW422" s="667">
        <f t="shared" si="433"/>
        <v>0</v>
      </c>
      <c r="FX422" s="32"/>
      <c r="FY422" s="32"/>
      <c r="FZ422" s="668"/>
      <c r="GA422" s="14"/>
      <c r="GB422" s="658">
        <f t="shared" si="398"/>
        <v>0</v>
      </c>
      <c r="GC422" s="658">
        <f t="shared" si="399"/>
        <v>0</v>
      </c>
      <c r="GD422" s="658">
        <f t="shared" si="400"/>
        <v>0</v>
      </c>
      <c r="GE422" s="658" t="str">
        <f t="shared" si="401"/>
        <v/>
      </c>
      <c r="GF422" s="658" t="str">
        <f t="shared" si="402"/>
        <v/>
      </c>
      <c r="GG422" s="658" t="str">
        <f t="shared" si="403"/>
        <v/>
      </c>
      <c r="GH422" s="658" t="str">
        <f t="shared" si="404"/>
        <v/>
      </c>
      <c r="GI422" s="658" t="str">
        <f t="shared" si="405"/>
        <v/>
      </c>
      <c r="GJ422" s="658" t="str">
        <f t="shared" si="406"/>
        <v/>
      </c>
      <c r="GK422" s="658" t="str">
        <f t="shared" si="407"/>
        <v/>
      </c>
      <c r="GL422" s="658" t="str">
        <f t="shared" si="408"/>
        <v/>
      </c>
      <c r="GM422" s="658" t="str">
        <f t="shared" si="409"/>
        <v/>
      </c>
      <c r="GN422" s="658" t="str">
        <f t="shared" si="410"/>
        <v/>
      </c>
      <c r="GO422" s="658" t="str">
        <f t="shared" si="411"/>
        <v/>
      </c>
      <c r="GP422" s="658" t="str">
        <f t="shared" si="412"/>
        <v/>
      </c>
      <c r="GQ422" s="658" t="str">
        <f t="shared" si="413"/>
        <v/>
      </c>
      <c r="GR422" s="658" t="str">
        <f t="shared" si="414"/>
        <v/>
      </c>
      <c r="GS422" s="658" t="str">
        <f t="shared" si="415"/>
        <v/>
      </c>
      <c r="GT422" s="658">
        <f t="shared" si="368"/>
        <v>0</v>
      </c>
      <c r="GU422" s="658">
        <f t="shared" si="369"/>
        <v>0</v>
      </c>
      <c r="GV422" s="658">
        <f t="shared" si="370"/>
        <v>0</v>
      </c>
      <c r="GW422" s="658" t="b">
        <f t="shared" si="371"/>
        <v>0</v>
      </c>
      <c r="GX422" s="658" t="b">
        <f t="shared" si="372"/>
        <v>0</v>
      </c>
      <c r="GY422" s="658" t="b">
        <f t="shared" si="373"/>
        <v>0</v>
      </c>
      <c r="GZ422" s="658" t="str">
        <f t="shared" si="378"/>
        <v/>
      </c>
      <c r="HB422" s="658" t="str">
        <f t="shared" si="374"/>
        <v/>
      </c>
      <c r="HC422" s="658" t="str">
        <f t="shared" si="416"/>
        <v/>
      </c>
      <c r="HD422" s="658" t="str">
        <f t="shared" si="417"/>
        <v/>
      </c>
      <c r="HE422" s="658" t="str">
        <f t="shared" si="418"/>
        <v/>
      </c>
      <c r="HF422" s="658" t="str">
        <f t="shared" si="419"/>
        <v/>
      </c>
      <c r="HG422" s="658" t="str">
        <f t="shared" si="420"/>
        <v/>
      </c>
      <c r="HH422" s="658" t="str">
        <f t="shared" si="421"/>
        <v/>
      </c>
      <c r="HI422" s="658" t="str">
        <f t="shared" si="422"/>
        <v/>
      </c>
      <c r="HJ422" s="658" t="str">
        <f t="shared" si="423"/>
        <v/>
      </c>
      <c r="HK422" s="658" t="str">
        <f t="shared" si="424"/>
        <v/>
      </c>
      <c r="HL422" s="658" t="str">
        <f t="shared" si="425"/>
        <v/>
      </c>
      <c r="HM422" s="658" t="str">
        <f t="shared" si="426"/>
        <v/>
      </c>
      <c r="HN422" s="658" t="str">
        <f t="shared" si="427"/>
        <v/>
      </c>
      <c r="HO422" s="658" t="str">
        <f t="shared" si="428"/>
        <v/>
      </c>
      <c r="HP422" s="658" t="str">
        <f t="shared" si="429"/>
        <v/>
      </c>
      <c r="HQ422" s="658" t="str">
        <f t="shared" si="430"/>
        <v/>
      </c>
      <c r="HR422" s="658" t="str">
        <f t="shared" si="375"/>
        <v/>
      </c>
      <c r="HT422" s="658">
        <f>LEFT(M422,1)*10000+MID(M422,3,LEN(M422)-3)*100+COUNTIF($M$319:M422,M422)</f>
        <v>44101</v>
      </c>
      <c r="HU422" s="658" t="str">
        <f t="shared" si="376"/>
        <v/>
      </c>
      <c r="HV422" s="658" t="str">
        <f t="shared" si="431"/>
        <v/>
      </c>
      <c r="HW422" s="658" t="str">
        <f t="shared" si="377"/>
        <v/>
      </c>
      <c r="HX422" s="658" t="str">
        <f t="shared" si="432"/>
        <v/>
      </c>
    </row>
    <row r="423" spans="1:232" s="19" customFormat="1" ht="90" customHeight="1" x14ac:dyDescent="0.15">
      <c r="A423" s="1201"/>
      <c r="B423" s="1201"/>
      <c r="C423" s="1201"/>
      <c r="D423" s="1201"/>
      <c r="E423" s="1202"/>
      <c r="F423" s="652"/>
      <c r="G423" s="652"/>
      <c r="H423" s="652"/>
      <c r="I423" s="1357"/>
      <c r="J423" s="1234"/>
      <c r="K423" s="1261"/>
      <c r="L423" s="1261"/>
      <c r="M423" s="2423" t="s">
        <v>1191</v>
      </c>
      <c r="N423" s="2423"/>
      <c r="O423" s="2424"/>
      <c r="P423" s="2444" t="s">
        <v>109</v>
      </c>
      <c r="Q423" s="2444"/>
      <c r="R423" s="2444"/>
      <c r="S423" s="2444"/>
      <c r="T423" s="2444"/>
      <c r="U423" s="2438" t="s">
        <v>199</v>
      </c>
      <c r="V423" s="2438"/>
      <c r="W423" s="2438"/>
      <c r="X423" s="2438"/>
      <c r="Y423" s="2438"/>
      <c r="Z423" s="2438"/>
      <c r="AA423" s="2438"/>
      <c r="AB423" s="2438"/>
      <c r="AC423" s="2438"/>
      <c r="AD423" s="2438"/>
      <c r="AE423" s="2438"/>
      <c r="AF423" s="2302"/>
      <c r="AG423" s="2302"/>
      <c r="AH423" s="2302"/>
      <c r="AI423" s="2302"/>
      <c r="AJ423" s="2302"/>
      <c r="AK423" s="2302"/>
      <c r="AL423" s="2302"/>
      <c r="AM423" s="2302"/>
      <c r="AN423" s="2302"/>
      <c r="AO423" s="2302"/>
      <c r="AP423" s="2302"/>
      <c r="AQ423" s="2302"/>
      <c r="AR423" s="2272"/>
      <c r="AS423" s="2272"/>
      <c r="AT423" s="2406"/>
      <c r="AU423" s="2406"/>
      <c r="AV423" s="2406"/>
      <c r="AW423" s="2406"/>
      <c r="AX423" s="2406"/>
      <c r="AY423" s="2406"/>
      <c r="AZ423" s="2406"/>
      <c r="BA423" s="2406"/>
      <c r="BB423" s="2406"/>
      <c r="BC423" s="2406"/>
      <c r="BD423" s="2406"/>
      <c r="BE423" s="2406"/>
      <c r="BF423" s="2406"/>
      <c r="BG423" s="2406"/>
      <c r="BH423" s="2406"/>
      <c r="BI423" s="2406"/>
      <c r="BJ423" s="2406"/>
      <c r="BK423" s="2406"/>
      <c r="BL423" s="2406"/>
      <c r="BM423" s="2406"/>
      <c r="BN423" s="2406"/>
      <c r="BO423" s="2406"/>
      <c r="BP423" s="2406"/>
      <c r="BQ423" s="2406"/>
      <c r="BR423" s="2406"/>
      <c r="BS423" s="2271"/>
      <c r="BT423" s="2271"/>
      <c r="BU423" s="2271"/>
      <c r="BV423" s="2271"/>
      <c r="BW423" s="2271"/>
      <c r="BX423" s="2271"/>
      <c r="BY423" s="2271"/>
      <c r="BZ423" s="2272"/>
      <c r="CA423" s="2272"/>
      <c r="CB423" s="2719" t="s">
        <v>3319</v>
      </c>
      <c r="CC423" s="2720"/>
      <c r="CD423" s="2720"/>
      <c r="CE423" s="2720"/>
      <c r="CF423" s="2720"/>
      <c r="CG423" s="2720"/>
      <c r="CH423" s="2720"/>
      <c r="CI423" s="2720"/>
      <c r="CJ423" s="2720"/>
      <c r="CK423" s="2720"/>
      <c r="CL423" s="2720"/>
      <c r="CM423" s="2720"/>
      <c r="CN423" s="2720"/>
      <c r="CO423" s="2720"/>
      <c r="CP423" s="2720"/>
      <c r="CQ423" s="2720"/>
      <c r="CR423" s="2720"/>
      <c r="CS423" s="2720"/>
      <c r="CT423" s="2720"/>
      <c r="CU423" s="2721"/>
      <c r="CV423" s="2300" t="str">
        <f t="shared" si="293"/>
        <v/>
      </c>
      <c r="CW423" s="2300"/>
      <c r="CX423" s="2300"/>
      <c r="CY423" s="2300"/>
      <c r="CZ423" s="2300"/>
      <c r="DA423" s="2300"/>
      <c r="DC423" s="329" t="str">
        <f t="shared" si="453"/>
        <v/>
      </c>
      <c r="DD423" s="197"/>
      <c r="DE423" s="14"/>
      <c r="DF423" s="14"/>
      <c r="DG423" s="14"/>
      <c r="DH423" s="14"/>
      <c r="DI423" s="1596"/>
      <c r="DJ423" s="1170" t="s">
        <v>2749</v>
      </c>
      <c r="DK423" s="1604" t="str">
        <f t="shared" si="380"/>
        <v/>
      </c>
      <c r="DL423" s="437" t="str">
        <f t="shared" si="381"/>
        <v/>
      </c>
      <c r="DM423" s="1130">
        <f t="shared" si="382"/>
        <v>0</v>
      </c>
      <c r="DN423" s="36">
        <f t="shared" si="383"/>
        <v>0</v>
      </c>
      <c r="DO423" s="36">
        <f t="shared" si="384"/>
        <v>0</v>
      </c>
      <c r="DP423" s="295">
        <f t="shared" si="385"/>
        <v>0</v>
      </c>
      <c r="DQ423" s="1134" t="s">
        <v>769</v>
      </c>
      <c r="DR423" s="263" t="str">
        <f t="shared" si="379"/>
        <v>吹付け石綿及び吹付けロックウールでその含有する石綿の重量が当該建築材料の重量の0.1パーセントを超えるもの（以下「吹付け石綿等」という。）の使用の状況</v>
      </c>
      <c r="DS423" s="23">
        <f t="shared" si="386"/>
        <v>0</v>
      </c>
      <c r="DT423" s="29" t="str">
        <f t="shared" si="387"/>
        <v/>
      </c>
      <c r="DU423" s="242" t="str">
        <f t="shared" si="303"/>
        <v/>
      </c>
      <c r="DV423" s="44" t="str">
        <f>IF(OR($DT423="要是正",$DT423="既存不適格"),MAX($DV$378:DV422)+1,"")</f>
        <v/>
      </c>
      <c r="DW423" s="30" t="str">
        <f t="shared" si="388"/>
        <v/>
      </c>
      <c r="DX423" s="38" t="str">
        <f>IF($DT423="要是正",$DR423,IF(DT423="既存不適格",DR423&amp;"（既存不適格）",""))</f>
        <v/>
      </c>
      <c r="DY423" s="13" t="str">
        <f t="shared" ref="DY423:DY431" si="454">IF($DT423="要是正",$DQ423 &amp;" " &amp; AT423,IF($DT423="既存不適格",$DQ423&amp;" "&amp;AT423&amp;"（"&amp;DT423&amp;"）",""))</f>
        <v/>
      </c>
      <c r="DZ423" s="121" t="str">
        <f t="shared" si="389"/>
        <v/>
      </c>
      <c r="EA423" s="256" t="str">
        <f t="shared" si="390"/>
        <v/>
      </c>
      <c r="EB423" s="123" t="str">
        <f t="shared" si="391"/>
        <v/>
      </c>
      <c r="EC423" s="55" t="str">
        <f t="shared" si="310"/>
        <v>0</v>
      </c>
      <c r="ED423" s="39" t="str">
        <f t="shared" ref="ED423:ED431" si="455">IF(OR(DT423="要是正",DT423="既存不適格"),IF(AND(BY423="予定",DS423=2),1,IF(BY423="改善済",2,"")),"")</f>
        <v/>
      </c>
      <c r="EE423" s="131" t="str">
        <f t="shared" ref="EE423:EE426" si="456">IF(ED423=1,EC423,"0")</f>
        <v>0</v>
      </c>
      <c r="EF423" s="39" t="str">
        <f t="shared" ref="EF423:EF431" si="457">IF(AND(OR(DT423="要是正",DT423="既存不適格"),AND(DS423=0,BY423="未定")),BY423,"")</f>
        <v/>
      </c>
      <c r="EG423" s="108" t="str">
        <f t="shared" si="392"/>
        <v/>
      </c>
      <c r="EH423" s="41" t="str">
        <f t="shared" si="314"/>
        <v>0</v>
      </c>
      <c r="EI423" s="54" t="str">
        <f t="shared" si="393"/>
        <v/>
      </c>
      <c r="EJ423" s="131" t="str">
        <f t="shared" ref="EJ423:EJ426" si="458">IF(EI423=1,EH423,"0")</f>
        <v>0</v>
      </c>
      <c r="EK423" s="241" t="str">
        <f t="shared" si="394"/>
        <v/>
      </c>
      <c r="EL423" s="242" t="e">
        <f t="shared" si="317"/>
        <v>#N/A</v>
      </c>
      <c r="EM423" s="57" t="e">
        <f t="shared" si="318"/>
        <v>#N/A</v>
      </c>
      <c r="EN423" s="243" t="e">
        <f t="shared" si="319"/>
        <v>#N/A</v>
      </c>
      <c r="FK423" s="326" t="str">
        <f t="shared" si="364"/>
        <v/>
      </c>
      <c r="FL423" s="326" t="str">
        <f t="shared" si="365"/>
        <v/>
      </c>
      <c r="FM423" s="326" t="str">
        <f t="shared" si="366"/>
        <v/>
      </c>
      <c r="FN423" s="326">
        <f t="shared" si="395"/>
        <v>0</v>
      </c>
      <c r="FO423" s="670" t="str">
        <f t="shared" si="396"/>
        <v/>
      </c>
      <c r="FQ423" s="123" t="str">
        <f t="shared" si="397"/>
        <v/>
      </c>
      <c r="FR423" s="55" t="str">
        <f t="shared" si="322"/>
        <v>0</v>
      </c>
      <c r="FS423" s="39" t="str">
        <f t="shared" ref="FS423:FS431" si="459">IF(OR(DT423="要是正",DT423="既存不適格"),IF(AND(BY423="予定",DS423=2),1,IF(BY423="改善済",2,"")),"")</f>
        <v/>
      </c>
      <c r="FT423" s="131" t="str">
        <f t="shared" si="362"/>
        <v>0</v>
      </c>
      <c r="FU423" s="219" t="str">
        <f t="shared" ref="FU423:FU431" si="460">IF(AND(OR(DT423="要是正",DT423="既存不適格"),AND(DS423=0,BY423="未定")),BY423,"")</f>
        <v/>
      </c>
      <c r="FW423" s="667">
        <f t="shared" si="433"/>
        <v>0</v>
      </c>
      <c r="FX423" s="32"/>
      <c r="FY423" s="32"/>
      <c r="FZ423" s="668"/>
      <c r="GA423" s="14"/>
      <c r="GB423" s="658">
        <f t="shared" si="398"/>
        <v>0</v>
      </c>
      <c r="GC423" s="658">
        <f t="shared" si="399"/>
        <v>0</v>
      </c>
      <c r="GD423" s="658">
        <f t="shared" si="400"/>
        <v>0</v>
      </c>
      <c r="GE423" s="658" t="str">
        <f t="shared" si="401"/>
        <v/>
      </c>
      <c r="GF423" s="658" t="str">
        <f t="shared" si="402"/>
        <v/>
      </c>
      <c r="GG423" s="658" t="str">
        <f t="shared" si="403"/>
        <v/>
      </c>
      <c r="GH423" s="658" t="str">
        <f t="shared" si="404"/>
        <v/>
      </c>
      <c r="GI423" s="658" t="str">
        <f t="shared" si="405"/>
        <v/>
      </c>
      <c r="GJ423" s="658" t="str">
        <f t="shared" si="406"/>
        <v/>
      </c>
      <c r="GK423" s="658" t="str">
        <f t="shared" si="407"/>
        <v/>
      </c>
      <c r="GL423" s="658" t="str">
        <f t="shared" si="408"/>
        <v/>
      </c>
      <c r="GM423" s="658" t="str">
        <f t="shared" si="409"/>
        <v/>
      </c>
      <c r="GN423" s="658" t="str">
        <f t="shared" si="410"/>
        <v/>
      </c>
      <c r="GO423" s="658" t="str">
        <f t="shared" si="411"/>
        <v/>
      </c>
      <c r="GP423" s="658" t="str">
        <f t="shared" si="412"/>
        <v/>
      </c>
      <c r="GQ423" s="658" t="str">
        <f t="shared" si="413"/>
        <v/>
      </c>
      <c r="GR423" s="658" t="str">
        <f t="shared" si="414"/>
        <v/>
      </c>
      <c r="GS423" s="658" t="str">
        <f t="shared" si="415"/>
        <v/>
      </c>
      <c r="GT423" s="658">
        <f t="shared" si="368"/>
        <v>0</v>
      </c>
      <c r="GU423" s="658">
        <f t="shared" si="369"/>
        <v>0</v>
      </c>
      <c r="GV423" s="658">
        <f t="shared" si="370"/>
        <v>0</v>
      </c>
      <c r="GW423" s="658" t="b">
        <f t="shared" si="371"/>
        <v>0</v>
      </c>
      <c r="GX423" s="658" t="b">
        <f t="shared" si="372"/>
        <v>0</v>
      </c>
      <c r="GY423" s="658" t="b">
        <f t="shared" si="373"/>
        <v>0</v>
      </c>
      <c r="GZ423" s="658" t="str">
        <f t="shared" si="378"/>
        <v/>
      </c>
      <c r="HB423" s="658" t="str">
        <f t="shared" si="374"/>
        <v/>
      </c>
      <c r="HC423" s="658" t="str">
        <f t="shared" si="416"/>
        <v/>
      </c>
      <c r="HD423" s="658" t="str">
        <f t="shared" si="417"/>
        <v/>
      </c>
      <c r="HE423" s="658" t="str">
        <f t="shared" si="418"/>
        <v/>
      </c>
      <c r="HF423" s="658" t="str">
        <f t="shared" si="419"/>
        <v/>
      </c>
      <c r="HG423" s="658" t="str">
        <f t="shared" si="420"/>
        <v/>
      </c>
      <c r="HH423" s="658" t="str">
        <f t="shared" si="421"/>
        <v/>
      </c>
      <c r="HI423" s="658" t="str">
        <f t="shared" si="422"/>
        <v/>
      </c>
      <c r="HJ423" s="658" t="str">
        <f t="shared" si="423"/>
        <v/>
      </c>
      <c r="HK423" s="658" t="str">
        <f t="shared" si="424"/>
        <v/>
      </c>
      <c r="HL423" s="658" t="str">
        <f t="shared" si="425"/>
        <v/>
      </c>
      <c r="HM423" s="658" t="str">
        <f t="shared" si="426"/>
        <v/>
      </c>
      <c r="HN423" s="658" t="str">
        <f t="shared" si="427"/>
        <v/>
      </c>
      <c r="HO423" s="658" t="str">
        <f t="shared" si="428"/>
        <v/>
      </c>
      <c r="HP423" s="658" t="str">
        <f t="shared" si="429"/>
        <v/>
      </c>
      <c r="HQ423" s="658" t="str">
        <f t="shared" si="430"/>
        <v/>
      </c>
      <c r="HR423" s="658" t="str">
        <f t="shared" si="375"/>
        <v/>
      </c>
      <c r="HT423" s="658">
        <f>LEFT(M423,1)*10000+MID(M423,3,LEN(M423)-3)*100+COUNTIF($M$319:M423,M423)</f>
        <v>44201</v>
      </c>
      <c r="HU423" s="658" t="str">
        <f t="shared" si="376"/>
        <v/>
      </c>
      <c r="HV423" s="658" t="str">
        <f t="shared" si="431"/>
        <v/>
      </c>
      <c r="HW423" s="658" t="str">
        <f t="shared" si="377"/>
        <v/>
      </c>
      <c r="HX423" s="658" t="str">
        <f t="shared" si="432"/>
        <v/>
      </c>
    </row>
    <row r="424" spans="1:232" s="19" customFormat="1" ht="50.1" customHeight="1" x14ac:dyDescent="0.15">
      <c r="A424" s="1201"/>
      <c r="B424" s="1201"/>
      <c r="C424" s="1201"/>
      <c r="D424" s="1201"/>
      <c r="E424" s="1202"/>
      <c r="F424" s="652"/>
      <c r="G424" s="652"/>
      <c r="H424" s="652"/>
      <c r="I424" s="1357"/>
      <c r="J424" s="1234"/>
      <c r="K424" s="1261"/>
      <c r="L424" s="1261"/>
      <c r="M424" s="2423" t="s">
        <v>1192</v>
      </c>
      <c r="N424" s="2423"/>
      <c r="O424" s="2424"/>
      <c r="P424" s="2430"/>
      <c r="Q424" s="2430"/>
      <c r="R424" s="2430"/>
      <c r="S424" s="2430"/>
      <c r="T424" s="2430"/>
      <c r="U424" s="2435" t="s">
        <v>2159</v>
      </c>
      <c r="V424" s="2435"/>
      <c r="W424" s="2435"/>
      <c r="X424" s="2435"/>
      <c r="Y424" s="2435"/>
      <c r="Z424" s="2435"/>
      <c r="AA424" s="2435"/>
      <c r="AB424" s="2435"/>
      <c r="AC424" s="2435"/>
      <c r="AD424" s="2435"/>
      <c r="AE424" s="2435"/>
      <c r="AF424" s="2282"/>
      <c r="AG424" s="2282"/>
      <c r="AH424" s="2282"/>
      <c r="AI424" s="2282"/>
      <c r="AJ424" s="2282"/>
      <c r="AK424" s="2282"/>
      <c r="AL424" s="2282"/>
      <c r="AM424" s="2282"/>
      <c r="AN424" s="2282"/>
      <c r="AO424" s="2282"/>
      <c r="AP424" s="2282"/>
      <c r="AQ424" s="2282"/>
      <c r="AR424" s="2151"/>
      <c r="AS424" s="2151"/>
      <c r="AT424" s="2292"/>
      <c r="AU424" s="2292"/>
      <c r="AV424" s="2292"/>
      <c r="AW424" s="2292"/>
      <c r="AX424" s="2292"/>
      <c r="AY424" s="2292"/>
      <c r="AZ424" s="2292"/>
      <c r="BA424" s="2292"/>
      <c r="BB424" s="2292"/>
      <c r="BC424" s="2292"/>
      <c r="BD424" s="2292"/>
      <c r="BE424" s="2292"/>
      <c r="BF424" s="2292"/>
      <c r="BG424" s="2292"/>
      <c r="BH424" s="2292"/>
      <c r="BI424" s="2292"/>
      <c r="BJ424" s="2292"/>
      <c r="BK424" s="2292"/>
      <c r="BL424" s="2292"/>
      <c r="BM424" s="2292"/>
      <c r="BN424" s="2292"/>
      <c r="BO424" s="2292"/>
      <c r="BP424" s="2292"/>
      <c r="BQ424" s="2292"/>
      <c r="BR424" s="2292"/>
      <c r="BS424" s="2269"/>
      <c r="BT424" s="2269"/>
      <c r="BU424" s="2269"/>
      <c r="BV424" s="2269"/>
      <c r="BW424" s="2269"/>
      <c r="BX424" s="2269"/>
      <c r="BY424" s="2269"/>
      <c r="BZ424" s="2151"/>
      <c r="CA424" s="2151"/>
      <c r="CB424" s="2933" t="str">
        <f>IF(DX236=1,"１５石綿を添加した建築材料の調査状況に該当なしと記載あり","")</f>
        <v/>
      </c>
      <c r="CC424" s="2934"/>
      <c r="CD424" s="2934"/>
      <c r="CE424" s="2934"/>
      <c r="CF424" s="2934"/>
      <c r="CG424" s="2934"/>
      <c r="CH424" s="2934"/>
      <c r="CI424" s="2934"/>
      <c r="CJ424" s="2934"/>
      <c r="CK424" s="2934"/>
      <c r="CL424" s="2934"/>
      <c r="CM424" s="2934"/>
      <c r="CN424" s="2934"/>
      <c r="CO424" s="2934"/>
      <c r="CP424" s="2934"/>
      <c r="CQ424" s="2934"/>
      <c r="CR424" s="2934"/>
      <c r="CS424" s="2934"/>
      <c r="CT424" s="2934"/>
      <c r="CU424" s="2935"/>
      <c r="CV424" s="2300" t="str">
        <f t="shared" si="293"/>
        <v/>
      </c>
      <c r="CW424" s="2300"/>
      <c r="CX424" s="2300"/>
      <c r="CY424" s="2300"/>
      <c r="CZ424" s="2300"/>
      <c r="DA424" s="2300"/>
      <c r="DC424" s="329" t="str">
        <f t="shared" si="453"/>
        <v/>
      </c>
      <c r="DD424" s="197"/>
      <c r="DE424" s="14"/>
      <c r="DF424" s="14"/>
      <c r="DG424" s="14"/>
      <c r="DH424" s="14"/>
      <c r="DI424" s="1596"/>
      <c r="DJ424" s="1170" t="s">
        <v>2749</v>
      </c>
      <c r="DK424" s="1604" t="str">
        <f t="shared" si="380"/>
        <v/>
      </c>
      <c r="DL424" s="437" t="str">
        <f t="shared" si="381"/>
        <v/>
      </c>
      <c r="DM424" s="1130">
        <f t="shared" si="382"/>
        <v>0</v>
      </c>
      <c r="DN424" s="36">
        <f t="shared" si="383"/>
        <v>0</v>
      </c>
      <c r="DO424" s="36">
        <f t="shared" si="384"/>
        <v>0</v>
      </c>
      <c r="DP424" s="295">
        <f t="shared" si="385"/>
        <v>0</v>
      </c>
      <c r="DQ424" s="1134" t="s">
        <v>770</v>
      </c>
      <c r="DR424" s="263" t="str">
        <f t="shared" si="379"/>
        <v>吹付け石綿等の劣化の状況</v>
      </c>
      <c r="DS424" s="23">
        <f t="shared" si="386"/>
        <v>0</v>
      </c>
      <c r="DT424" s="29" t="str">
        <f t="shared" si="387"/>
        <v/>
      </c>
      <c r="DU424" s="242" t="str">
        <f t="shared" si="303"/>
        <v/>
      </c>
      <c r="DV424" s="44" t="str">
        <f>IF(OR($DT424="要是正",$DT424="既存不適格"),MAX($DV$378:DV423)+1,"")</f>
        <v/>
      </c>
      <c r="DW424" s="30" t="str">
        <f t="shared" si="388"/>
        <v/>
      </c>
      <c r="DX424" s="38" t="str">
        <f t="shared" ref="DX424:DX426" si="461">IF($DT424="要是正",$DR424,IF(DT424="既存不適格",DR424&amp;"（既存不適格）",""))</f>
        <v/>
      </c>
      <c r="DY424" s="13" t="str">
        <f t="shared" si="454"/>
        <v/>
      </c>
      <c r="DZ424" s="121" t="str">
        <f t="shared" si="389"/>
        <v/>
      </c>
      <c r="EA424" s="256" t="str">
        <f t="shared" si="390"/>
        <v/>
      </c>
      <c r="EB424" s="123" t="str">
        <f t="shared" si="391"/>
        <v/>
      </c>
      <c r="EC424" s="55" t="str">
        <f t="shared" si="310"/>
        <v>0</v>
      </c>
      <c r="ED424" s="39" t="str">
        <f t="shared" si="455"/>
        <v/>
      </c>
      <c r="EE424" s="131" t="str">
        <f t="shared" si="456"/>
        <v>0</v>
      </c>
      <c r="EF424" s="39" t="str">
        <f t="shared" si="457"/>
        <v/>
      </c>
      <c r="EG424" s="108" t="str">
        <f t="shared" si="392"/>
        <v/>
      </c>
      <c r="EH424" s="41" t="str">
        <f t="shared" si="314"/>
        <v>0</v>
      </c>
      <c r="EI424" s="54" t="str">
        <f t="shared" si="393"/>
        <v/>
      </c>
      <c r="EJ424" s="131" t="str">
        <f t="shared" si="458"/>
        <v>0</v>
      </c>
      <c r="EK424" s="241" t="str">
        <f t="shared" si="394"/>
        <v/>
      </c>
      <c r="EL424" s="242" t="e">
        <f t="shared" si="317"/>
        <v>#N/A</v>
      </c>
      <c r="EM424" s="57" t="e">
        <f t="shared" si="318"/>
        <v>#N/A</v>
      </c>
      <c r="EN424" s="243" t="e">
        <f t="shared" si="319"/>
        <v>#N/A</v>
      </c>
      <c r="FK424" s="326" t="str">
        <f t="shared" si="364"/>
        <v/>
      </c>
      <c r="FL424" s="326" t="str">
        <f t="shared" si="365"/>
        <v/>
      </c>
      <c r="FM424" s="326" t="str">
        <f t="shared" si="366"/>
        <v/>
      </c>
      <c r="FN424" s="326">
        <f t="shared" si="395"/>
        <v>0</v>
      </c>
      <c r="FO424" s="670" t="str">
        <f t="shared" si="396"/>
        <v/>
      </c>
      <c r="FQ424" s="123" t="str">
        <f t="shared" si="397"/>
        <v/>
      </c>
      <c r="FR424" s="55" t="str">
        <f t="shared" si="322"/>
        <v>0</v>
      </c>
      <c r="FS424" s="39" t="str">
        <f t="shared" si="459"/>
        <v/>
      </c>
      <c r="FT424" s="131" t="str">
        <f t="shared" si="362"/>
        <v>0</v>
      </c>
      <c r="FU424" s="219" t="str">
        <f t="shared" si="460"/>
        <v/>
      </c>
      <c r="FW424" s="667">
        <f t="shared" si="433"/>
        <v>0</v>
      </c>
      <c r="FX424" s="32"/>
      <c r="FY424" s="32"/>
      <c r="FZ424" s="668"/>
      <c r="GA424" s="14"/>
      <c r="GB424" s="658">
        <f t="shared" si="398"/>
        <v>0</v>
      </c>
      <c r="GC424" s="658">
        <f t="shared" si="399"/>
        <v>0</v>
      </c>
      <c r="GD424" s="658">
        <f t="shared" si="400"/>
        <v>0</v>
      </c>
      <c r="GE424" s="658" t="str">
        <f t="shared" si="401"/>
        <v/>
      </c>
      <c r="GF424" s="658" t="str">
        <f t="shared" si="402"/>
        <v/>
      </c>
      <c r="GG424" s="658" t="str">
        <f t="shared" si="403"/>
        <v/>
      </c>
      <c r="GH424" s="658" t="str">
        <f t="shared" si="404"/>
        <v/>
      </c>
      <c r="GI424" s="658" t="str">
        <f t="shared" si="405"/>
        <v/>
      </c>
      <c r="GJ424" s="658" t="str">
        <f t="shared" si="406"/>
        <v/>
      </c>
      <c r="GK424" s="658" t="str">
        <f t="shared" si="407"/>
        <v/>
      </c>
      <c r="GL424" s="658" t="str">
        <f t="shared" si="408"/>
        <v/>
      </c>
      <c r="GM424" s="658" t="str">
        <f t="shared" si="409"/>
        <v/>
      </c>
      <c r="GN424" s="658" t="str">
        <f t="shared" si="410"/>
        <v/>
      </c>
      <c r="GO424" s="658" t="str">
        <f t="shared" si="411"/>
        <v/>
      </c>
      <c r="GP424" s="658" t="str">
        <f t="shared" si="412"/>
        <v/>
      </c>
      <c r="GQ424" s="658" t="str">
        <f t="shared" si="413"/>
        <v/>
      </c>
      <c r="GR424" s="658" t="str">
        <f t="shared" si="414"/>
        <v/>
      </c>
      <c r="GS424" s="658" t="str">
        <f t="shared" si="415"/>
        <v/>
      </c>
      <c r="GT424" s="658">
        <f t="shared" si="368"/>
        <v>0</v>
      </c>
      <c r="GU424" s="658">
        <f t="shared" si="369"/>
        <v>0</v>
      </c>
      <c r="GV424" s="658">
        <f t="shared" si="370"/>
        <v>0</v>
      </c>
      <c r="GW424" s="658" t="b">
        <f t="shared" si="371"/>
        <v>0</v>
      </c>
      <c r="GX424" s="658" t="b">
        <f t="shared" si="372"/>
        <v>0</v>
      </c>
      <c r="GY424" s="658" t="b">
        <f t="shared" si="373"/>
        <v>0</v>
      </c>
      <c r="GZ424" s="658" t="str">
        <f t="shared" si="378"/>
        <v/>
      </c>
      <c r="HB424" s="658" t="str">
        <f t="shared" si="374"/>
        <v/>
      </c>
      <c r="HC424" s="658" t="str">
        <f t="shared" si="416"/>
        <v/>
      </c>
      <c r="HD424" s="658" t="str">
        <f t="shared" si="417"/>
        <v/>
      </c>
      <c r="HE424" s="658" t="str">
        <f t="shared" si="418"/>
        <v/>
      </c>
      <c r="HF424" s="658" t="str">
        <f t="shared" si="419"/>
        <v/>
      </c>
      <c r="HG424" s="658" t="str">
        <f t="shared" si="420"/>
        <v/>
      </c>
      <c r="HH424" s="658" t="str">
        <f t="shared" si="421"/>
        <v/>
      </c>
      <c r="HI424" s="658" t="str">
        <f t="shared" si="422"/>
        <v/>
      </c>
      <c r="HJ424" s="658" t="str">
        <f t="shared" si="423"/>
        <v/>
      </c>
      <c r="HK424" s="658" t="str">
        <f t="shared" si="424"/>
        <v/>
      </c>
      <c r="HL424" s="658" t="str">
        <f t="shared" si="425"/>
        <v/>
      </c>
      <c r="HM424" s="658" t="str">
        <f t="shared" si="426"/>
        <v/>
      </c>
      <c r="HN424" s="658" t="str">
        <f t="shared" si="427"/>
        <v/>
      </c>
      <c r="HO424" s="658" t="str">
        <f t="shared" si="428"/>
        <v/>
      </c>
      <c r="HP424" s="658" t="str">
        <f t="shared" si="429"/>
        <v/>
      </c>
      <c r="HQ424" s="658" t="str">
        <f t="shared" si="430"/>
        <v/>
      </c>
      <c r="HR424" s="658" t="str">
        <f t="shared" si="375"/>
        <v/>
      </c>
      <c r="HT424" s="658">
        <f>LEFT(M424,1)*10000+MID(M424,3,LEN(M424)-3)*100+COUNTIF($M$319:M424,M424)</f>
        <v>44301</v>
      </c>
      <c r="HU424" s="658" t="str">
        <f t="shared" si="376"/>
        <v/>
      </c>
      <c r="HV424" s="658" t="str">
        <f t="shared" si="431"/>
        <v/>
      </c>
      <c r="HW424" s="658" t="str">
        <f t="shared" si="377"/>
        <v/>
      </c>
      <c r="HX424" s="658" t="str">
        <f t="shared" si="432"/>
        <v/>
      </c>
    </row>
    <row r="425" spans="1:232" s="19" customFormat="1" ht="50.1" customHeight="1" x14ac:dyDescent="0.15">
      <c r="A425" s="1201"/>
      <c r="B425" s="1201"/>
      <c r="C425" s="1201"/>
      <c r="D425" s="1201"/>
      <c r="E425" s="1202"/>
      <c r="F425" s="652"/>
      <c r="G425" s="652"/>
      <c r="H425" s="652"/>
      <c r="I425" s="1357"/>
      <c r="J425" s="1234"/>
      <c r="K425" s="1261"/>
      <c r="L425" s="1261"/>
      <c r="M425" s="2423" t="s">
        <v>1193</v>
      </c>
      <c r="N425" s="2423"/>
      <c r="O425" s="2424"/>
      <c r="P425" s="2430"/>
      <c r="Q425" s="2430"/>
      <c r="R425" s="2430"/>
      <c r="S425" s="2430"/>
      <c r="T425" s="2430"/>
      <c r="U425" s="2435" t="s">
        <v>2160</v>
      </c>
      <c r="V425" s="2435"/>
      <c r="W425" s="2435"/>
      <c r="X425" s="2435"/>
      <c r="Y425" s="2435"/>
      <c r="Z425" s="2435"/>
      <c r="AA425" s="2435"/>
      <c r="AB425" s="2435"/>
      <c r="AC425" s="2435"/>
      <c r="AD425" s="2435"/>
      <c r="AE425" s="2435"/>
      <c r="AF425" s="2282"/>
      <c r="AG425" s="2282"/>
      <c r="AH425" s="2282"/>
      <c r="AI425" s="2282"/>
      <c r="AJ425" s="2282"/>
      <c r="AK425" s="2282"/>
      <c r="AL425" s="2282"/>
      <c r="AM425" s="2282"/>
      <c r="AN425" s="2282"/>
      <c r="AO425" s="2282"/>
      <c r="AP425" s="2282"/>
      <c r="AQ425" s="2282"/>
      <c r="AR425" s="2151"/>
      <c r="AS425" s="2151"/>
      <c r="AT425" s="2292"/>
      <c r="AU425" s="2292"/>
      <c r="AV425" s="2292"/>
      <c r="AW425" s="2292"/>
      <c r="AX425" s="2292"/>
      <c r="AY425" s="2292"/>
      <c r="AZ425" s="2292"/>
      <c r="BA425" s="2292"/>
      <c r="BB425" s="2292"/>
      <c r="BC425" s="2292"/>
      <c r="BD425" s="2292"/>
      <c r="BE425" s="2292"/>
      <c r="BF425" s="2292"/>
      <c r="BG425" s="2292"/>
      <c r="BH425" s="2292"/>
      <c r="BI425" s="2292"/>
      <c r="BJ425" s="2292"/>
      <c r="BK425" s="2292"/>
      <c r="BL425" s="2292"/>
      <c r="BM425" s="2292"/>
      <c r="BN425" s="2292"/>
      <c r="BO425" s="2292"/>
      <c r="BP425" s="2292"/>
      <c r="BQ425" s="2292"/>
      <c r="BR425" s="2292"/>
      <c r="BS425" s="2269"/>
      <c r="BT425" s="2269"/>
      <c r="BU425" s="2269"/>
      <c r="BV425" s="2269"/>
      <c r="BW425" s="2269"/>
      <c r="BX425" s="2269"/>
      <c r="BY425" s="2269"/>
      <c r="BZ425" s="2151"/>
      <c r="CA425" s="2151"/>
      <c r="CB425" s="2920"/>
      <c r="CC425" s="2921"/>
      <c r="CD425" s="2921"/>
      <c r="CE425" s="2921"/>
      <c r="CF425" s="2921"/>
      <c r="CG425" s="2921"/>
      <c r="CH425" s="2921"/>
      <c r="CI425" s="2921"/>
      <c r="CJ425" s="2921"/>
      <c r="CK425" s="2921"/>
      <c r="CL425" s="2921"/>
      <c r="CM425" s="2921"/>
      <c r="CN425" s="2921"/>
      <c r="CO425" s="2921"/>
      <c r="CP425" s="2921"/>
      <c r="CQ425" s="2921"/>
      <c r="CR425" s="2921"/>
      <c r="CS425" s="2921"/>
      <c r="CT425" s="2921"/>
      <c r="CU425" s="2922"/>
      <c r="CV425" s="2300" t="str">
        <f t="shared" si="293"/>
        <v/>
      </c>
      <c r="CW425" s="2300"/>
      <c r="CX425" s="2300"/>
      <c r="CY425" s="2300"/>
      <c r="CZ425" s="2300"/>
      <c r="DA425" s="2300"/>
      <c r="DC425" s="329" t="str">
        <f t="shared" si="453"/>
        <v/>
      </c>
      <c r="DD425" s="197"/>
      <c r="DE425" s="14"/>
      <c r="DF425" s="14"/>
      <c r="DG425" s="14"/>
      <c r="DH425" s="14"/>
      <c r="DI425" s="1596"/>
      <c r="DJ425" s="1170" t="s">
        <v>2749</v>
      </c>
      <c r="DK425" s="1604" t="str">
        <f t="shared" si="380"/>
        <v/>
      </c>
      <c r="DL425" s="437" t="str">
        <f t="shared" si="381"/>
        <v/>
      </c>
      <c r="DM425" s="1130">
        <f t="shared" si="382"/>
        <v>0</v>
      </c>
      <c r="DN425" s="36">
        <f t="shared" si="383"/>
        <v>0</v>
      </c>
      <c r="DO425" s="36">
        <f t="shared" si="384"/>
        <v>0</v>
      </c>
      <c r="DP425" s="295">
        <f t="shared" si="385"/>
        <v>0</v>
      </c>
      <c r="DQ425" s="1134" t="s">
        <v>771</v>
      </c>
      <c r="DR425" s="263" t="str">
        <f t="shared" si="379"/>
        <v>除去又は囲い込み若しくは封じ込めによる飛散防止措置の実施の状況</v>
      </c>
      <c r="DS425" s="23">
        <f t="shared" si="386"/>
        <v>0</v>
      </c>
      <c r="DT425" s="29" t="str">
        <f t="shared" si="387"/>
        <v/>
      </c>
      <c r="DU425" s="242" t="str">
        <f t="shared" si="303"/>
        <v/>
      </c>
      <c r="DV425" s="44" t="str">
        <f>IF(OR($DT425="要是正",$DT425="既存不適格"),MAX($DV$378:DV424)+1,"")</f>
        <v/>
      </c>
      <c r="DW425" s="30" t="str">
        <f t="shared" si="388"/>
        <v/>
      </c>
      <c r="DX425" s="38" t="str">
        <f t="shared" si="461"/>
        <v/>
      </c>
      <c r="DY425" s="13" t="str">
        <f t="shared" si="454"/>
        <v/>
      </c>
      <c r="DZ425" s="121" t="str">
        <f t="shared" si="389"/>
        <v/>
      </c>
      <c r="EA425" s="256" t="str">
        <f t="shared" si="390"/>
        <v/>
      </c>
      <c r="EB425" s="123" t="str">
        <f t="shared" si="391"/>
        <v/>
      </c>
      <c r="EC425" s="55" t="str">
        <f t="shared" si="310"/>
        <v>0</v>
      </c>
      <c r="ED425" s="39" t="str">
        <f t="shared" si="455"/>
        <v/>
      </c>
      <c r="EE425" s="131" t="str">
        <f t="shared" si="456"/>
        <v>0</v>
      </c>
      <c r="EF425" s="39" t="str">
        <f t="shared" si="457"/>
        <v/>
      </c>
      <c r="EG425" s="108" t="str">
        <f t="shared" si="392"/>
        <v/>
      </c>
      <c r="EH425" s="41" t="str">
        <f t="shared" si="314"/>
        <v>0</v>
      </c>
      <c r="EI425" s="54" t="str">
        <f t="shared" si="393"/>
        <v/>
      </c>
      <c r="EJ425" s="131" t="str">
        <f t="shared" si="458"/>
        <v>0</v>
      </c>
      <c r="EK425" s="241" t="str">
        <f t="shared" si="394"/>
        <v/>
      </c>
      <c r="EL425" s="242" t="e">
        <f t="shared" si="317"/>
        <v>#N/A</v>
      </c>
      <c r="EM425" s="57" t="e">
        <f t="shared" si="318"/>
        <v>#N/A</v>
      </c>
      <c r="EN425" s="243" t="e">
        <f t="shared" si="319"/>
        <v>#N/A</v>
      </c>
      <c r="FK425" s="326" t="str">
        <f t="shared" si="364"/>
        <v/>
      </c>
      <c r="FL425" s="326" t="str">
        <f t="shared" si="365"/>
        <v/>
      </c>
      <c r="FM425" s="326" t="str">
        <f t="shared" si="366"/>
        <v/>
      </c>
      <c r="FN425" s="326">
        <f t="shared" si="395"/>
        <v>0</v>
      </c>
      <c r="FO425" s="670" t="str">
        <f t="shared" si="396"/>
        <v/>
      </c>
      <c r="FQ425" s="123" t="str">
        <f t="shared" si="397"/>
        <v/>
      </c>
      <c r="FR425" s="55" t="str">
        <f t="shared" si="322"/>
        <v>0</v>
      </c>
      <c r="FS425" s="39" t="str">
        <f t="shared" si="459"/>
        <v/>
      </c>
      <c r="FT425" s="131" t="str">
        <f t="shared" si="362"/>
        <v>0</v>
      </c>
      <c r="FU425" s="219" t="str">
        <f t="shared" si="460"/>
        <v/>
      </c>
      <c r="FW425" s="667">
        <f t="shared" si="433"/>
        <v>0</v>
      </c>
      <c r="FX425" s="32"/>
      <c r="FY425" s="32"/>
      <c r="FZ425" s="668"/>
      <c r="GA425" s="14"/>
      <c r="GB425" s="658">
        <f t="shared" si="398"/>
        <v>0</v>
      </c>
      <c r="GC425" s="658">
        <f t="shared" si="399"/>
        <v>0</v>
      </c>
      <c r="GD425" s="658">
        <f t="shared" si="400"/>
        <v>0</v>
      </c>
      <c r="GE425" s="658" t="str">
        <f t="shared" si="401"/>
        <v/>
      </c>
      <c r="GF425" s="658" t="str">
        <f t="shared" si="402"/>
        <v/>
      </c>
      <c r="GG425" s="658" t="str">
        <f t="shared" si="403"/>
        <v/>
      </c>
      <c r="GH425" s="658" t="str">
        <f t="shared" si="404"/>
        <v/>
      </c>
      <c r="GI425" s="658" t="str">
        <f t="shared" si="405"/>
        <v/>
      </c>
      <c r="GJ425" s="658" t="str">
        <f t="shared" si="406"/>
        <v/>
      </c>
      <c r="GK425" s="658" t="str">
        <f t="shared" si="407"/>
        <v/>
      </c>
      <c r="GL425" s="658" t="str">
        <f t="shared" si="408"/>
        <v/>
      </c>
      <c r="GM425" s="658" t="str">
        <f t="shared" si="409"/>
        <v/>
      </c>
      <c r="GN425" s="658" t="str">
        <f t="shared" si="410"/>
        <v/>
      </c>
      <c r="GO425" s="658" t="str">
        <f t="shared" si="411"/>
        <v/>
      </c>
      <c r="GP425" s="658" t="str">
        <f t="shared" si="412"/>
        <v/>
      </c>
      <c r="GQ425" s="658" t="str">
        <f t="shared" si="413"/>
        <v/>
      </c>
      <c r="GR425" s="658" t="str">
        <f t="shared" si="414"/>
        <v/>
      </c>
      <c r="GS425" s="658" t="str">
        <f t="shared" si="415"/>
        <v/>
      </c>
      <c r="GT425" s="658">
        <f t="shared" si="368"/>
        <v>0</v>
      </c>
      <c r="GU425" s="658">
        <f t="shared" si="369"/>
        <v>0</v>
      </c>
      <c r="GV425" s="658">
        <f t="shared" si="370"/>
        <v>0</v>
      </c>
      <c r="GW425" s="658" t="b">
        <f t="shared" si="371"/>
        <v>0</v>
      </c>
      <c r="GX425" s="658" t="b">
        <f t="shared" si="372"/>
        <v>0</v>
      </c>
      <c r="GY425" s="658" t="b">
        <f t="shared" si="373"/>
        <v>0</v>
      </c>
      <c r="GZ425" s="658" t="str">
        <f t="shared" si="378"/>
        <v/>
      </c>
      <c r="HB425" s="658" t="str">
        <f t="shared" si="374"/>
        <v/>
      </c>
      <c r="HC425" s="658" t="str">
        <f t="shared" si="416"/>
        <v/>
      </c>
      <c r="HD425" s="658" t="str">
        <f t="shared" si="417"/>
        <v/>
      </c>
      <c r="HE425" s="658" t="str">
        <f t="shared" si="418"/>
        <v/>
      </c>
      <c r="HF425" s="658" t="str">
        <f t="shared" si="419"/>
        <v/>
      </c>
      <c r="HG425" s="658" t="str">
        <f t="shared" si="420"/>
        <v/>
      </c>
      <c r="HH425" s="658" t="str">
        <f t="shared" si="421"/>
        <v/>
      </c>
      <c r="HI425" s="658" t="str">
        <f t="shared" si="422"/>
        <v/>
      </c>
      <c r="HJ425" s="658" t="str">
        <f t="shared" si="423"/>
        <v/>
      </c>
      <c r="HK425" s="658" t="str">
        <f t="shared" si="424"/>
        <v/>
      </c>
      <c r="HL425" s="658" t="str">
        <f t="shared" si="425"/>
        <v/>
      </c>
      <c r="HM425" s="658" t="str">
        <f t="shared" si="426"/>
        <v/>
      </c>
      <c r="HN425" s="658" t="str">
        <f t="shared" si="427"/>
        <v/>
      </c>
      <c r="HO425" s="658" t="str">
        <f t="shared" si="428"/>
        <v/>
      </c>
      <c r="HP425" s="658" t="str">
        <f t="shared" si="429"/>
        <v/>
      </c>
      <c r="HQ425" s="658" t="str">
        <f t="shared" si="430"/>
        <v/>
      </c>
      <c r="HR425" s="658" t="str">
        <f t="shared" si="375"/>
        <v/>
      </c>
      <c r="HT425" s="658">
        <f>LEFT(M425,1)*10000+MID(M425,3,LEN(M425)-3)*100+COUNTIF($M$319:M425,M425)</f>
        <v>44401</v>
      </c>
      <c r="HU425" s="658" t="str">
        <f t="shared" si="376"/>
        <v/>
      </c>
      <c r="HV425" s="658" t="str">
        <f t="shared" si="431"/>
        <v/>
      </c>
      <c r="HW425" s="658" t="str">
        <f t="shared" si="377"/>
        <v/>
      </c>
      <c r="HX425" s="658" t="str">
        <f t="shared" si="432"/>
        <v/>
      </c>
    </row>
    <row r="426" spans="1:232" s="19" customFormat="1" ht="50.1" customHeight="1" thickBot="1" x14ac:dyDescent="0.2">
      <c r="A426" s="1201"/>
      <c r="B426" s="1201"/>
      <c r="C426" s="1201"/>
      <c r="D426" s="1201"/>
      <c r="E426" s="1202"/>
      <c r="F426" s="652"/>
      <c r="G426" s="652"/>
      <c r="H426" s="652"/>
      <c r="I426" s="1357"/>
      <c r="J426" s="1234"/>
      <c r="K426" s="1261"/>
      <c r="L426" s="1261"/>
      <c r="M426" s="2150" t="s">
        <v>1194</v>
      </c>
      <c r="N426" s="2150"/>
      <c r="O426" s="2150"/>
      <c r="P426" s="2430"/>
      <c r="Q426" s="2430"/>
      <c r="R426" s="2430"/>
      <c r="S426" s="2430"/>
      <c r="T426" s="2430"/>
      <c r="U426" s="2435" t="s">
        <v>2161</v>
      </c>
      <c r="V426" s="2435"/>
      <c r="W426" s="2435"/>
      <c r="X426" s="2435"/>
      <c r="Y426" s="2435"/>
      <c r="Z426" s="2435"/>
      <c r="AA426" s="2435"/>
      <c r="AB426" s="2435"/>
      <c r="AC426" s="2435"/>
      <c r="AD426" s="2435"/>
      <c r="AE426" s="2435"/>
      <c r="AF426" s="2282"/>
      <c r="AG426" s="2282"/>
      <c r="AH426" s="2282"/>
      <c r="AI426" s="2282"/>
      <c r="AJ426" s="2282"/>
      <c r="AK426" s="2282"/>
      <c r="AL426" s="2282"/>
      <c r="AM426" s="2282"/>
      <c r="AN426" s="2282"/>
      <c r="AO426" s="2282"/>
      <c r="AP426" s="2282"/>
      <c r="AQ426" s="2282"/>
      <c r="AR426" s="2151"/>
      <c r="AS426" s="2151"/>
      <c r="AT426" s="2292"/>
      <c r="AU426" s="2292"/>
      <c r="AV426" s="2292"/>
      <c r="AW426" s="2292"/>
      <c r="AX426" s="2292"/>
      <c r="AY426" s="2292"/>
      <c r="AZ426" s="2292"/>
      <c r="BA426" s="2292"/>
      <c r="BB426" s="2292"/>
      <c r="BC426" s="2292"/>
      <c r="BD426" s="2292"/>
      <c r="BE426" s="2292"/>
      <c r="BF426" s="2292"/>
      <c r="BG426" s="2292"/>
      <c r="BH426" s="2292"/>
      <c r="BI426" s="2292"/>
      <c r="BJ426" s="2292"/>
      <c r="BK426" s="2292"/>
      <c r="BL426" s="2292"/>
      <c r="BM426" s="2292"/>
      <c r="BN426" s="2292"/>
      <c r="BO426" s="2292"/>
      <c r="BP426" s="2292"/>
      <c r="BQ426" s="2292"/>
      <c r="BR426" s="2292"/>
      <c r="BS426" s="2269"/>
      <c r="BT426" s="2269"/>
      <c r="BU426" s="2269"/>
      <c r="BV426" s="2269"/>
      <c r="BW426" s="2269"/>
      <c r="BX426" s="2269"/>
      <c r="BY426" s="2269"/>
      <c r="BZ426" s="2151"/>
      <c r="CA426" s="2151"/>
      <c r="CB426" s="2920"/>
      <c r="CC426" s="2921"/>
      <c r="CD426" s="2921"/>
      <c r="CE426" s="2921"/>
      <c r="CF426" s="2921"/>
      <c r="CG426" s="2921"/>
      <c r="CH426" s="2921"/>
      <c r="CI426" s="2921"/>
      <c r="CJ426" s="2921"/>
      <c r="CK426" s="2921"/>
      <c r="CL426" s="2921"/>
      <c r="CM426" s="2921"/>
      <c r="CN426" s="2921"/>
      <c r="CO426" s="2921"/>
      <c r="CP426" s="2921"/>
      <c r="CQ426" s="2921"/>
      <c r="CR426" s="2921"/>
      <c r="CS426" s="2921"/>
      <c r="CT426" s="2921"/>
      <c r="CU426" s="2922"/>
      <c r="CV426" s="2300" t="str">
        <f t="shared" si="293"/>
        <v/>
      </c>
      <c r="CW426" s="2300"/>
      <c r="CX426" s="2300"/>
      <c r="CY426" s="2300"/>
      <c r="CZ426" s="2300"/>
      <c r="DA426" s="2300"/>
      <c r="DC426" s="329" t="str">
        <f t="shared" si="453"/>
        <v/>
      </c>
      <c r="DD426" s="197"/>
      <c r="DE426" s="14"/>
      <c r="DF426" s="14"/>
      <c r="DG426" s="14"/>
      <c r="DH426" s="14"/>
      <c r="DI426" s="1596"/>
      <c r="DJ426" s="1170" t="s">
        <v>2749</v>
      </c>
      <c r="DK426" s="1604" t="str">
        <f t="shared" si="380"/>
        <v/>
      </c>
      <c r="DL426" s="437" t="str">
        <f t="shared" si="381"/>
        <v/>
      </c>
      <c r="DM426" s="1131">
        <f t="shared" si="382"/>
        <v>0</v>
      </c>
      <c r="DN426" s="296">
        <f t="shared" si="383"/>
        <v>0</v>
      </c>
      <c r="DO426" s="296">
        <f t="shared" si="384"/>
        <v>0</v>
      </c>
      <c r="DP426" s="297">
        <f t="shared" si="385"/>
        <v>0</v>
      </c>
      <c r="DQ426" s="1134" t="s">
        <v>772</v>
      </c>
      <c r="DR426" s="265" t="str">
        <f t="shared" si="379"/>
        <v>囲い込み又は封じ込めによる飛散防止措置の劣化及び損傷の状況</v>
      </c>
      <c r="DS426" s="125">
        <f t="shared" si="386"/>
        <v>0</v>
      </c>
      <c r="DT426" s="270" t="str">
        <f t="shared" si="387"/>
        <v/>
      </c>
      <c r="DU426" s="136" t="str">
        <f t="shared" si="303"/>
        <v/>
      </c>
      <c r="DV426" s="132" t="str">
        <f>IF(OR($DT426="要是正",$DT426="既存不適格"),MAX($DV$378:DV425)+1,"")</f>
        <v/>
      </c>
      <c r="DW426" s="257" t="str">
        <f t="shared" si="388"/>
        <v/>
      </c>
      <c r="DX426" s="299" t="str">
        <f t="shared" si="461"/>
        <v/>
      </c>
      <c r="DY426" s="258" t="str">
        <f t="shared" si="454"/>
        <v/>
      </c>
      <c r="DZ426" s="259" t="str">
        <f t="shared" si="389"/>
        <v/>
      </c>
      <c r="EA426" s="256" t="str">
        <f t="shared" si="390"/>
        <v/>
      </c>
      <c r="EB426" s="123" t="str">
        <f t="shared" si="391"/>
        <v/>
      </c>
      <c r="EC426" s="55" t="str">
        <f t="shared" si="310"/>
        <v>0</v>
      </c>
      <c r="ED426" s="39" t="str">
        <f t="shared" si="455"/>
        <v/>
      </c>
      <c r="EE426" s="131" t="str">
        <f t="shared" si="456"/>
        <v>0</v>
      </c>
      <c r="EF426" s="39" t="str">
        <f t="shared" si="457"/>
        <v/>
      </c>
      <c r="EG426" s="108" t="str">
        <f t="shared" si="392"/>
        <v/>
      </c>
      <c r="EH426" s="41" t="str">
        <f t="shared" si="314"/>
        <v>0</v>
      </c>
      <c r="EI426" s="54" t="str">
        <f t="shared" si="393"/>
        <v/>
      </c>
      <c r="EJ426" s="131" t="str">
        <f t="shared" si="458"/>
        <v>0</v>
      </c>
      <c r="EK426" s="241" t="str">
        <f t="shared" si="394"/>
        <v/>
      </c>
      <c r="EL426" s="136" t="e">
        <f t="shared" si="317"/>
        <v>#N/A</v>
      </c>
      <c r="EM426" s="137" t="e">
        <f t="shared" si="318"/>
        <v>#N/A</v>
      </c>
      <c r="EN426" s="244" t="e">
        <f t="shared" si="319"/>
        <v>#N/A</v>
      </c>
      <c r="FK426" s="326" t="str">
        <f t="shared" si="364"/>
        <v/>
      </c>
      <c r="FL426" s="326" t="str">
        <f t="shared" si="365"/>
        <v/>
      </c>
      <c r="FM426" s="326" t="str">
        <f t="shared" si="366"/>
        <v/>
      </c>
      <c r="FN426" s="326">
        <f t="shared" si="395"/>
        <v>0</v>
      </c>
      <c r="FO426" s="670" t="str">
        <f t="shared" si="396"/>
        <v/>
      </c>
      <c r="FQ426" s="123" t="str">
        <f t="shared" si="397"/>
        <v/>
      </c>
      <c r="FR426" s="55" t="str">
        <f t="shared" si="322"/>
        <v>0</v>
      </c>
      <c r="FS426" s="39" t="str">
        <f t="shared" si="459"/>
        <v/>
      </c>
      <c r="FT426" s="131" t="str">
        <f t="shared" si="362"/>
        <v>0</v>
      </c>
      <c r="FU426" s="219" t="str">
        <f t="shared" si="460"/>
        <v/>
      </c>
      <c r="FW426" s="667">
        <f t="shared" si="433"/>
        <v>0</v>
      </c>
      <c r="FX426" s="32"/>
      <c r="FY426" s="32"/>
      <c r="FZ426" s="668"/>
      <c r="GA426" s="14"/>
      <c r="GB426" s="658">
        <f t="shared" si="398"/>
        <v>0</v>
      </c>
      <c r="GC426" s="658">
        <f t="shared" si="399"/>
        <v>0</v>
      </c>
      <c r="GD426" s="658">
        <f t="shared" si="400"/>
        <v>0</v>
      </c>
      <c r="GE426" s="658" t="str">
        <f t="shared" si="401"/>
        <v/>
      </c>
      <c r="GF426" s="658" t="str">
        <f t="shared" si="402"/>
        <v/>
      </c>
      <c r="GG426" s="658" t="str">
        <f t="shared" si="403"/>
        <v/>
      </c>
      <c r="GH426" s="658" t="str">
        <f t="shared" si="404"/>
        <v/>
      </c>
      <c r="GI426" s="658" t="str">
        <f t="shared" si="405"/>
        <v/>
      </c>
      <c r="GJ426" s="658" t="str">
        <f t="shared" si="406"/>
        <v/>
      </c>
      <c r="GK426" s="658" t="str">
        <f t="shared" si="407"/>
        <v/>
      </c>
      <c r="GL426" s="658" t="str">
        <f t="shared" si="408"/>
        <v/>
      </c>
      <c r="GM426" s="658" t="str">
        <f t="shared" si="409"/>
        <v/>
      </c>
      <c r="GN426" s="658" t="str">
        <f t="shared" si="410"/>
        <v/>
      </c>
      <c r="GO426" s="658" t="str">
        <f t="shared" si="411"/>
        <v/>
      </c>
      <c r="GP426" s="658" t="str">
        <f t="shared" si="412"/>
        <v/>
      </c>
      <c r="GQ426" s="658" t="str">
        <f t="shared" si="413"/>
        <v/>
      </c>
      <c r="GR426" s="658" t="str">
        <f t="shared" si="414"/>
        <v/>
      </c>
      <c r="GS426" s="658" t="str">
        <f t="shared" si="415"/>
        <v/>
      </c>
      <c r="GT426" s="658">
        <f t="shared" si="368"/>
        <v>0</v>
      </c>
      <c r="GU426" s="658">
        <f t="shared" si="369"/>
        <v>0</v>
      </c>
      <c r="GV426" s="658">
        <f t="shared" si="370"/>
        <v>0</v>
      </c>
      <c r="GW426" s="658" t="b">
        <f t="shared" si="371"/>
        <v>0</v>
      </c>
      <c r="GX426" s="658" t="b">
        <f t="shared" si="372"/>
        <v>0</v>
      </c>
      <c r="GY426" s="658" t="b">
        <f t="shared" si="373"/>
        <v>0</v>
      </c>
      <c r="GZ426" s="658" t="str">
        <f t="shared" si="378"/>
        <v/>
      </c>
      <c r="HB426" s="658" t="str">
        <f t="shared" si="374"/>
        <v/>
      </c>
      <c r="HC426" s="658" t="str">
        <f t="shared" si="416"/>
        <v/>
      </c>
      <c r="HD426" s="658" t="str">
        <f t="shared" si="417"/>
        <v/>
      </c>
      <c r="HE426" s="658" t="str">
        <f t="shared" si="418"/>
        <v/>
      </c>
      <c r="HF426" s="658" t="str">
        <f t="shared" si="419"/>
        <v/>
      </c>
      <c r="HG426" s="658" t="str">
        <f t="shared" si="420"/>
        <v/>
      </c>
      <c r="HH426" s="658" t="str">
        <f t="shared" si="421"/>
        <v/>
      </c>
      <c r="HI426" s="658" t="str">
        <f t="shared" si="422"/>
        <v/>
      </c>
      <c r="HJ426" s="658" t="str">
        <f t="shared" si="423"/>
        <v/>
      </c>
      <c r="HK426" s="658" t="str">
        <f t="shared" si="424"/>
        <v/>
      </c>
      <c r="HL426" s="658" t="str">
        <f t="shared" si="425"/>
        <v/>
      </c>
      <c r="HM426" s="658" t="str">
        <f t="shared" si="426"/>
        <v/>
      </c>
      <c r="HN426" s="658" t="str">
        <f t="shared" si="427"/>
        <v/>
      </c>
      <c r="HO426" s="658" t="str">
        <f t="shared" si="428"/>
        <v/>
      </c>
      <c r="HP426" s="658" t="str">
        <f t="shared" si="429"/>
        <v/>
      </c>
      <c r="HQ426" s="658" t="str">
        <f t="shared" si="430"/>
        <v/>
      </c>
      <c r="HR426" s="658" t="str">
        <f t="shared" si="375"/>
        <v/>
      </c>
      <c r="HT426" s="658">
        <f>LEFT(M426,1)*10000+MID(M426,3,LEN(M426)-3)*100+COUNTIF($M$319:M426,M426)</f>
        <v>44501</v>
      </c>
      <c r="HU426" s="658" t="str">
        <f t="shared" si="376"/>
        <v/>
      </c>
      <c r="HV426" s="658" t="str">
        <f t="shared" si="431"/>
        <v/>
      </c>
      <c r="HW426" s="658" t="str">
        <f t="shared" si="377"/>
        <v/>
      </c>
      <c r="HX426" s="658" t="str">
        <f t="shared" si="432"/>
        <v/>
      </c>
    </row>
    <row r="427" spans="1:232" s="19" customFormat="1" ht="50.1" hidden="1" customHeight="1" thickBot="1" x14ac:dyDescent="0.2">
      <c r="A427" s="1201"/>
      <c r="B427" s="1201"/>
      <c r="C427" s="1201"/>
      <c r="D427" s="1201"/>
      <c r="E427" s="1202"/>
      <c r="F427" s="652"/>
      <c r="G427" s="652"/>
      <c r="H427" s="652"/>
      <c r="I427" s="1357"/>
      <c r="J427" s="1234"/>
      <c r="K427" s="1261"/>
      <c r="L427" s="1261"/>
      <c r="M427" s="2496" t="s">
        <v>1066</v>
      </c>
      <c r="N427" s="2496"/>
      <c r="O427" s="2496"/>
      <c r="P427" s="2430"/>
      <c r="Q427" s="2430"/>
      <c r="R427" s="2430"/>
      <c r="S427" s="2430"/>
      <c r="T427" s="2430"/>
      <c r="U427" s="2435"/>
      <c r="V427" s="2435"/>
      <c r="W427" s="2435"/>
      <c r="X427" s="2435"/>
      <c r="Y427" s="2435"/>
      <c r="Z427" s="2435"/>
      <c r="AA427" s="2435"/>
      <c r="AB427" s="2435"/>
      <c r="AC427" s="2435"/>
      <c r="AD427" s="2435"/>
      <c r="AE427" s="2435"/>
      <c r="AF427" s="2434"/>
      <c r="AG427" s="2434"/>
      <c r="AH427" s="2434"/>
      <c r="AI427" s="2434"/>
      <c r="AJ427" s="2434"/>
      <c r="AK427" s="2434"/>
      <c r="AL427" s="2434"/>
      <c r="AM427" s="2434"/>
      <c r="AN427" s="2434"/>
      <c r="AO427" s="2434"/>
      <c r="AP427" s="2434"/>
      <c r="AQ427" s="2434"/>
      <c r="AR427" s="2307"/>
      <c r="AS427" s="2307"/>
      <c r="AT427" s="2410"/>
      <c r="AU427" s="2410"/>
      <c r="AV427" s="2410"/>
      <c r="AW427" s="2410"/>
      <c r="AX427" s="2410"/>
      <c r="AY427" s="2410"/>
      <c r="AZ427" s="2410"/>
      <c r="BA427" s="2410"/>
      <c r="BB427" s="2410"/>
      <c r="BC427" s="2410"/>
      <c r="BD427" s="2410"/>
      <c r="BE427" s="2410"/>
      <c r="BF427" s="2410"/>
      <c r="BG427" s="2410"/>
      <c r="BH427" s="2410"/>
      <c r="BI427" s="2410"/>
      <c r="BJ427" s="2410"/>
      <c r="BK427" s="2410"/>
      <c r="BL427" s="2410"/>
      <c r="BM427" s="2410"/>
      <c r="BN427" s="2410"/>
      <c r="BO427" s="2410"/>
      <c r="BP427" s="2410"/>
      <c r="BQ427" s="2410"/>
      <c r="BR427" s="2410"/>
      <c r="BS427" s="2296"/>
      <c r="BT427" s="2296"/>
      <c r="BU427" s="2296"/>
      <c r="BV427" s="2296"/>
      <c r="BW427" s="2296"/>
      <c r="BX427" s="2296"/>
      <c r="BY427" s="2296"/>
      <c r="BZ427" s="2307"/>
      <c r="CA427" s="2307"/>
      <c r="CB427" s="2716" t="str">
        <f>IF(DX237=1,"１５石綿を添加した建築材料の調査状況に該当なしと記載あり","")</f>
        <v/>
      </c>
      <c r="CC427" s="2717"/>
      <c r="CD427" s="2717"/>
      <c r="CE427" s="2717"/>
      <c r="CF427" s="2717"/>
      <c r="CG427" s="2717"/>
      <c r="CH427" s="2717"/>
      <c r="CI427" s="2717"/>
      <c r="CJ427" s="2717"/>
      <c r="CK427" s="2717"/>
      <c r="CL427" s="2717"/>
      <c r="CM427" s="2717"/>
      <c r="CN427" s="2717"/>
      <c r="CO427" s="2717"/>
      <c r="CP427" s="2717"/>
      <c r="CQ427" s="2717"/>
      <c r="CR427" s="2717"/>
      <c r="CS427" s="2717"/>
      <c r="CT427" s="2717"/>
      <c r="CU427" s="2718"/>
      <c r="CV427" s="2300" t="str">
        <f t="shared" ref="CV427:CV431" si="462">IF(AND(DT427="要是正",DU427&lt;21),HYPERLINK("#"&amp;EL427&amp;"!"&amp;EM427&amp;":"&amp;EN427&amp;"","関連写真添付"),"")</f>
        <v/>
      </c>
      <c r="CW427" s="2300"/>
      <c r="CX427" s="2300"/>
      <c r="CY427" s="2300"/>
      <c r="CZ427" s="2300"/>
      <c r="DA427" s="2300"/>
      <c r="DC427" s="329" t="str">
        <f t="shared" ref="DC427:DC431" si="463">IF(AND(DU427&lt;&gt;"",DU427&gt;20),"「別途様式を作成、提出してください。」","")</f>
        <v/>
      </c>
      <c r="DD427" s="197"/>
      <c r="DE427" s="14"/>
      <c r="DF427" s="14"/>
      <c r="DG427" s="14"/>
      <c r="DH427" s="14"/>
      <c r="DI427" s="1596"/>
      <c r="DJ427" s="1170" t="s">
        <v>2749</v>
      </c>
      <c r="DK427" s="1604" t="str">
        <f t="shared" si="380"/>
        <v/>
      </c>
      <c r="DL427" s="437" t="str">
        <f t="shared" si="381"/>
        <v/>
      </c>
      <c r="DM427" s="1131">
        <f t="shared" si="382"/>
        <v>0</v>
      </c>
      <c r="DN427" s="296">
        <f t="shared" si="383"/>
        <v>0</v>
      </c>
      <c r="DO427" s="296">
        <f t="shared" si="384"/>
        <v>0</v>
      </c>
      <c r="DP427" s="297">
        <f t="shared" si="385"/>
        <v>0</v>
      </c>
      <c r="DQ427" s="1806" t="s">
        <v>1066</v>
      </c>
      <c r="DR427" s="265">
        <f t="shared" si="379"/>
        <v>0</v>
      </c>
      <c r="DS427" s="125">
        <f t="shared" si="386"/>
        <v>0</v>
      </c>
      <c r="DT427" s="270" t="str">
        <f t="shared" si="387"/>
        <v/>
      </c>
      <c r="DU427" s="136" t="str">
        <f t="shared" si="303"/>
        <v/>
      </c>
      <c r="DV427" s="132" t="str">
        <f>IF(OR($DT427="要是正",$DT427="既存不適格"),MAX($DV$378:DV426)+1,"")</f>
        <v/>
      </c>
      <c r="DW427" s="257" t="str">
        <f t="shared" si="388"/>
        <v/>
      </c>
      <c r="DX427" s="299" t="str">
        <f t="shared" ref="DX427:DX431" si="464">IF($DT427="要是正",$DR427,IF(DT427="既存不適格",DR427&amp;"（既存不適格）",""))</f>
        <v/>
      </c>
      <c r="DY427" s="258" t="str">
        <f t="shared" si="454"/>
        <v/>
      </c>
      <c r="DZ427" s="259" t="str">
        <f t="shared" si="389"/>
        <v/>
      </c>
      <c r="EA427" s="256" t="str">
        <f t="shared" si="390"/>
        <v/>
      </c>
      <c r="EB427" s="123" t="str">
        <f t="shared" si="391"/>
        <v/>
      </c>
      <c r="EC427" s="55" t="str">
        <f t="shared" si="310"/>
        <v>0</v>
      </c>
      <c r="ED427" s="39" t="str">
        <f t="shared" si="455"/>
        <v/>
      </c>
      <c r="EE427" s="131" t="str">
        <f t="shared" ref="EE427:EE431" si="465">IF(ED427=1,EC427,"0")</f>
        <v>0</v>
      </c>
      <c r="EF427" s="39" t="str">
        <f t="shared" si="457"/>
        <v/>
      </c>
      <c r="EG427" s="108" t="str">
        <f t="shared" si="392"/>
        <v/>
      </c>
      <c r="EH427" s="41" t="str">
        <f t="shared" si="314"/>
        <v>0</v>
      </c>
      <c r="EI427" s="54" t="str">
        <f t="shared" si="393"/>
        <v/>
      </c>
      <c r="EJ427" s="131" t="str">
        <f t="shared" ref="EJ427:EJ431" si="466">IF(EI427=1,EH427,"0")</f>
        <v>0</v>
      </c>
      <c r="EK427" s="241" t="str">
        <f t="shared" si="394"/>
        <v/>
      </c>
      <c r="EL427" s="136" t="e">
        <f t="shared" ref="EL427:EL431" si="467">VLOOKUP($DU427,$EO$318:$ER$346,2,FALSE)</f>
        <v>#N/A</v>
      </c>
      <c r="EM427" s="137" t="e">
        <f t="shared" ref="EM427:EM431" si="468">VLOOKUP($DU427,$EO$318:$ER$346,3,FALSE)</f>
        <v>#N/A</v>
      </c>
      <c r="EN427" s="244" t="e">
        <f t="shared" ref="EN427:EN431" si="469">VLOOKUP($DU427,$EO$318:$ER$346,4,FALSE)</f>
        <v>#N/A</v>
      </c>
      <c r="FK427" s="326" t="str">
        <f t="shared" si="364"/>
        <v/>
      </c>
      <c r="FL427" s="326" t="str">
        <f t="shared" si="365"/>
        <v/>
      </c>
      <c r="FM427" s="326" t="str">
        <f t="shared" si="366"/>
        <v/>
      </c>
      <c r="FN427" s="326">
        <f t="shared" si="395"/>
        <v>0</v>
      </c>
      <c r="FO427" s="670" t="str">
        <f t="shared" si="396"/>
        <v/>
      </c>
      <c r="FQ427" s="123" t="str">
        <f t="shared" si="397"/>
        <v/>
      </c>
      <c r="FR427" s="55" t="str">
        <f t="shared" si="322"/>
        <v>0</v>
      </c>
      <c r="FS427" s="39" t="str">
        <f t="shared" si="459"/>
        <v/>
      </c>
      <c r="FT427" s="131" t="str">
        <f t="shared" ref="FT427:FT431" si="470">IF(FS427=1,FR427,"0")</f>
        <v>0</v>
      </c>
      <c r="FU427" s="219" t="str">
        <f t="shared" si="460"/>
        <v/>
      </c>
      <c r="FW427" s="667">
        <f t="shared" si="433"/>
        <v>0</v>
      </c>
      <c r="FX427" s="32"/>
      <c r="FY427" s="32"/>
      <c r="FZ427" s="668"/>
      <c r="GA427" s="14"/>
      <c r="GB427" s="32">
        <f t="shared" si="398"/>
        <v>0</v>
      </c>
      <c r="GC427" s="32">
        <f t="shared" si="399"/>
        <v>0</v>
      </c>
      <c r="GD427" s="19">
        <f t="shared" si="400"/>
        <v>0</v>
      </c>
      <c r="GE427" s="658" t="str">
        <f t="shared" si="401"/>
        <v/>
      </c>
      <c r="GF427" s="658" t="str">
        <f t="shared" si="402"/>
        <v/>
      </c>
      <c r="GG427" s="658" t="str">
        <f t="shared" si="403"/>
        <v/>
      </c>
      <c r="GH427" s="658" t="str">
        <f t="shared" si="404"/>
        <v/>
      </c>
      <c r="GI427" s="658" t="str">
        <f t="shared" si="405"/>
        <v/>
      </c>
      <c r="GJ427" s="658" t="str">
        <f t="shared" si="406"/>
        <v/>
      </c>
      <c r="GK427" s="658" t="str">
        <f t="shared" si="407"/>
        <v/>
      </c>
      <c r="GL427" s="658" t="str">
        <f t="shared" si="408"/>
        <v/>
      </c>
      <c r="GM427" s="658" t="str">
        <f t="shared" si="409"/>
        <v/>
      </c>
      <c r="GN427" s="658" t="str">
        <f t="shared" si="410"/>
        <v/>
      </c>
      <c r="GO427" s="658" t="str">
        <f t="shared" si="411"/>
        <v/>
      </c>
      <c r="GP427" s="658" t="str">
        <f t="shared" si="412"/>
        <v/>
      </c>
      <c r="GQ427" s="658" t="str">
        <f t="shared" si="413"/>
        <v/>
      </c>
      <c r="GR427" s="658" t="str">
        <f t="shared" si="414"/>
        <v/>
      </c>
      <c r="GS427" s="658" t="str">
        <f t="shared" si="415"/>
        <v/>
      </c>
      <c r="GT427" s="658">
        <f t="shared" si="368"/>
        <v>0</v>
      </c>
      <c r="GU427" s="658">
        <f t="shared" si="369"/>
        <v>0</v>
      </c>
      <c r="GV427" s="658">
        <f t="shared" si="370"/>
        <v>0</v>
      </c>
      <c r="GW427" s="658" t="b">
        <f t="shared" si="371"/>
        <v>0</v>
      </c>
      <c r="GX427" s="658" t="b">
        <f t="shared" si="372"/>
        <v>0</v>
      </c>
      <c r="GY427" s="658" t="b">
        <f t="shared" si="373"/>
        <v>0</v>
      </c>
      <c r="GZ427" s="658" t="str">
        <f t="shared" si="378"/>
        <v/>
      </c>
      <c r="HB427" s="658" t="str">
        <f t="shared" si="374"/>
        <v/>
      </c>
      <c r="HC427" s="658" t="str">
        <f t="shared" si="416"/>
        <v/>
      </c>
      <c r="HD427" s="658" t="str">
        <f t="shared" si="417"/>
        <v/>
      </c>
      <c r="HE427" s="658" t="str">
        <f t="shared" si="418"/>
        <v/>
      </c>
      <c r="HF427" s="658" t="str">
        <f t="shared" si="419"/>
        <v/>
      </c>
      <c r="HG427" s="658" t="str">
        <f t="shared" si="420"/>
        <v/>
      </c>
      <c r="HH427" s="658" t="str">
        <f t="shared" si="421"/>
        <v/>
      </c>
      <c r="HI427" s="658" t="str">
        <f t="shared" si="422"/>
        <v/>
      </c>
      <c r="HJ427" s="658" t="str">
        <f t="shared" si="423"/>
        <v/>
      </c>
      <c r="HK427" s="658" t="str">
        <f t="shared" si="424"/>
        <v/>
      </c>
      <c r="HL427" s="658" t="str">
        <f t="shared" si="425"/>
        <v/>
      </c>
      <c r="HM427" s="658" t="str">
        <f t="shared" si="426"/>
        <v/>
      </c>
      <c r="HN427" s="658" t="str">
        <f t="shared" si="427"/>
        <v/>
      </c>
      <c r="HO427" s="658" t="str">
        <f t="shared" si="428"/>
        <v/>
      </c>
      <c r="HP427" s="658" t="str">
        <f t="shared" si="429"/>
        <v/>
      </c>
      <c r="HQ427" s="658" t="str">
        <f t="shared" si="430"/>
        <v/>
      </c>
      <c r="HR427" s="658" t="str">
        <f t="shared" si="375"/>
        <v/>
      </c>
      <c r="HT427" s="658">
        <f>LEFT(M427,1)*10000+MID(M427,3,LEN(M427)-3)*100+COUNTIF($M$319:M427,M427)</f>
        <v>44601</v>
      </c>
      <c r="HU427" s="658" t="str">
        <f t="shared" si="376"/>
        <v/>
      </c>
      <c r="HV427" s="658" t="str">
        <f t="shared" si="431"/>
        <v/>
      </c>
      <c r="HW427" s="658" t="str">
        <f t="shared" si="377"/>
        <v/>
      </c>
      <c r="HX427" s="658" t="str">
        <f t="shared" si="432"/>
        <v/>
      </c>
    </row>
    <row r="428" spans="1:232" s="19" customFormat="1" ht="50.1" hidden="1" customHeight="1" thickBot="1" x14ac:dyDescent="0.2">
      <c r="A428" s="1201"/>
      <c r="B428" s="1201"/>
      <c r="C428" s="1201"/>
      <c r="D428" s="1201"/>
      <c r="E428" s="1202"/>
      <c r="F428" s="652"/>
      <c r="G428" s="652"/>
      <c r="H428" s="652"/>
      <c r="I428" s="1357"/>
      <c r="J428" s="1234"/>
      <c r="K428" s="1261"/>
      <c r="L428" s="1261"/>
      <c r="M428" s="2496" t="s">
        <v>1067</v>
      </c>
      <c r="N428" s="2496"/>
      <c r="O428" s="2496"/>
      <c r="P428" s="2430"/>
      <c r="Q428" s="2430"/>
      <c r="R428" s="2430"/>
      <c r="S428" s="2430"/>
      <c r="T428" s="2430"/>
      <c r="U428" s="2435"/>
      <c r="V428" s="2435"/>
      <c r="W428" s="2435"/>
      <c r="X428" s="2435"/>
      <c r="Y428" s="2435"/>
      <c r="Z428" s="2435"/>
      <c r="AA428" s="2435"/>
      <c r="AB428" s="2435"/>
      <c r="AC428" s="2435"/>
      <c r="AD428" s="2435"/>
      <c r="AE428" s="2435"/>
      <c r="AF428" s="2434"/>
      <c r="AG428" s="2434"/>
      <c r="AH428" s="2434"/>
      <c r="AI428" s="2434"/>
      <c r="AJ428" s="2434"/>
      <c r="AK428" s="2434"/>
      <c r="AL428" s="2434"/>
      <c r="AM428" s="2434"/>
      <c r="AN428" s="2434"/>
      <c r="AO428" s="2434"/>
      <c r="AP428" s="2434"/>
      <c r="AQ428" s="2434"/>
      <c r="AR428" s="2307"/>
      <c r="AS428" s="2307"/>
      <c r="AT428" s="2410"/>
      <c r="AU428" s="2410"/>
      <c r="AV428" s="2410"/>
      <c r="AW428" s="2410"/>
      <c r="AX428" s="2410"/>
      <c r="AY428" s="2410"/>
      <c r="AZ428" s="2410"/>
      <c r="BA428" s="2410"/>
      <c r="BB428" s="2410"/>
      <c r="BC428" s="2410"/>
      <c r="BD428" s="2410"/>
      <c r="BE428" s="2410"/>
      <c r="BF428" s="2410"/>
      <c r="BG428" s="2410"/>
      <c r="BH428" s="2410"/>
      <c r="BI428" s="2410"/>
      <c r="BJ428" s="2410"/>
      <c r="BK428" s="2410"/>
      <c r="BL428" s="2410"/>
      <c r="BM428" s="2410"/>
      <c r="BN428" s="2410"/>
      <c r="BO428" s="2410"/>
      <c r="BP428" s="2410"/>
      <c r="BQ428" s="2410"/>
      <c r="BR428" s="2410"/>
      <c r="BS428" s="2296"/>
      <c r="BT428" s="2296"/>
      <c r="BU428" s="2296"/>
      <c r="BV428" s="2296"/>
      <c r="BW428" s="2296"/>
      <c r="BX428" s="2296"/>
      <c r="BY428" s="2296"/>
      <c r="BZ428" s="2307"/>
      <c r="CA428" s="2307"/>
      <c r="CB428" s="2716" t="str">
        <f>IF(DX238=1,"１５石綿を添加した建築材料の調査状況に該当なしと記載あり","")</f>
        <v/>
      </c>
      <c r="CC428" s="2717"/>
      <c r="CD428" s="2717"/>
      <c r="CE428" s="2717"/>
      <c r="CF428" s="2717"/>
      <c r="CG428" s="2717"/>
      <c r="CH428" s="2717"/>
      <c r="CI428" s="2717"/>
      <c r="CJ428" s="2717"/>
      <c r="CK428" s="2717"/>
      <c r="CL428" s="2717"/>
      <c r="CM428" s="2717"/>
      <c r="CN428" s="2717"/>
      <c r="CO428" s="2717"/>
      <c r="CP428" s="2717"/>
      <c r="CQ428" s="2717"/>
      <c r="CR428" s="2717"/>
      <c r="CS428" s="2717"/>
      <c r="CT428" s="2717"/>
      <c r="CU428" s="2718"/>
      <c r="CV428" s="2300" t="str">
        <f t="shared" si="462"/>
        <v/>
      </c>
      <c r="CW428" s="2300"/>
      <c r="CX428" s="2300"/>
      <c r="CY428" s="2300"/>
      <c r="CZ428" s="2300"/>
      <c r="DA428" s="2300"/>
      <c r="DC428" s="329" t="str">
        <f t="shared" si="463"/>
        <v/>
      </c>
      <c r="DD428" s="197"/>
      <c r="DE428" s="14"/>
      <c r="DF428" s="14"/>
      <c r="DG428" s="14"/>
      <c r="DH428" s="14"/>
      <c r="DI428" s="1596"/>
      <c r="DJ428" s="1170" t="s">
        <v>2749</v>
      </c>
      <c r="DK428" s="1604" t="str">
        <f t="shared" si="380"/>
        <v/>
      </c>
      <c r="DL428" s="437" t="str">
        <f t="shared" si="381"/>
        <v/>
      </c>
      <c r="DM428" s="1131">
        <f t="shared" si="382"/>
        <v>0</v>
      </c>
      <c r="DN428" s="296">
        <f t="shared" si="383"/>
        <v>0</v>
      </c>
      <c r="DO428" s="296">
        <f t="shared" si="384"/>
        <v>0</v>
      </c>
      <c r="DP428" s="297">
        <f t="shared" si="385"/>
        <v>0</v>
      </c>
      <c r="DQ428" s="1806" t="s">
        <v>1067</v>
      </c>
      <c r="DR428" s="265">
        <f t="shared" si="379"/>
        <v>0</v>
      </c>
      <c r="DS428" s="125">
        <f t="shared" si="386"/>
        <v>0</v>
      </c>
      <c r="DT428" s="270" t="str">
        <f t="shared" si="387"/>
        <v/>
      </c>
      <c r="DU428" s="136" t="str">
        <f t="shared" si="303"/>
        <v/>
      </c>
      <c r="DV428" s="132" t="str">
        <f>IF(OR($DT428="要是正",$DT428="既存不適格"),MAX($DV$378:DV427)+1,"")</f>
        <v/>
      </c>
      <c r="DW428" s="257" t="str">
        <f t="shared" si="388"/>
        <v/>
      </c>
      <c r="DX428" s="299" t="str">
        <f t="shared" si="464"/>
        <v/>
      </c>
      <c r="DY428" s="258" t="str">
        <f t="shared" si="454"/>
        <v/>
      </c>
      <c r="DZ428" s="259" t="str">
        <f t="shared" si="389"/>
        <v/>
      </c>
      <c r="EA428" s="256" t="str">
        <f t="shared" si="390"/>
        <v/>
      </c>
      <c r="EB428" s="123" t="str">
        <f t="shared" si="391"/>
        <v/>
      </c>
      <c r="EC428" s="55" t="str">
        <f t="shared" si="310"/>
        <v>0</v>
      </c>
      <c r="ED428" s="39" t="str">
        <f t="shared" si="455"/>
        <v/>
      </c>
      <c r="EE428" s="131" t="str">
        <f t="shared" si="465"/>
        <v>0</v>
      </c>
      <c r="EF428" s="39" t="str">
        <f t="shared" si="457"/>
        <v/>
      </c>
      <c r="EG428" s="108" t="str">
        <f t="shared" si="392"/>
        <v/>
      </c>
      <c r="EH428" s="41" t="str">
        <f t="shared" si="314"/>
        <v>0</v>
      </c>
      <c r="EI428" s="54" t="str">
        <f t="shared" si="393"/>
        <v/>
      </c>
      <c r="EJ428" s="131" t="str">
        <f t="shared" si="466"/>
        <v>0</v>
      </c>
      <c r="EK428" s="241" t="str">
        <f t="shared" si="394"/>
        <v/>
      </c>
      <c r="EL428" s="136" t="e">
        <f t="shared" si="467"/>
        <v>#N/A</v>
      </c>
      <c r="EM428" s="137" t="e">
        <f t="shared" si="468"/>
        <v>#N/A</v>
      </c>
      <c r="EN428" s="244" t="e">
        <f t="shared" si="469"/>
        <v>#N/A</v>
      </c>
      <c r="FK428" s="326" t="str">
        <f t="shared" si="364"/>
        <v/>
      </c>
      <c r="FL428" s="326" t="str">
        <f t="shared" si="365"/>
        <v/>
      </c>
      <c r="FM428" s="326" t="str">
        <f t="shared" si="366"/>
        <v/>
      </c>
      <c r="FN428" s="326">
        <f t="shared" si="395"/>
        <v>0</v>
      </c>
      <c r="FO428" s="670" t="str">
        <f t="shared" si="396"/>
        <v/>
      </c>
      <c r="FQ428" s="123" t="str">
        <f t="shared" si="397"/>
        <v/>
      </c>
      <c r="FR428" s="55" t="str">
        <f t="shared" si="322"/>
        <v>0</v>
      </c>
      <c r="FS428" s="39" t="str">
        <f t="shared" si="459"/>
        <v/>
      </c>
      <c r="FT428" s="131" t="str">
        <f t="shared" si="470"/>
        <v>0</v>
      </c>
      <c r="FU428" s="219" t="str">
        <f t="shared" si="460"/>
        <v/>
      </c>
      <c r="FW428" s="667">
        <f t="shared" si="433"/>
        <v>0</v>
      </c>
      <c r="FX428" s="32"/>
      <c r="FY428" s="32"/>
      <c r="FZ428" s="668"/>
      <c r="GA428" s="14"/>
      <c r="GB428" s="32">
        <f t="shared" si="398"/>
        <v>0</v>
      </c>
      <c r="GC428" s="32">
        <f t="shared" si="399"/>
        <v>0</v>
      </c>
      <c r="GD428" s="19">
        <f t="shared" si="400"/>
        <v>0</v>
      </c>
      <c r="GE428" s="658" t="str">
        <f t="shared" si="401"/>
        <v/>
      </c>
      <c r="GF428" s="658" t="str">
        <f t="shared" si="402"/>
        <v/>
      </c>
      <c r="GG428" s="658" t="str">
        <f t="shared" si="403"/>
        <v/>
      </c>
      <c r="GH428" s="658" t="str">
        <f t="shared" si="404"/>
        <v/>
      </c>
      <c r="GI428" s="658" t="str">
        <f t="shared" si="405"/>
        <v/>
      </c>
      <c r="GJ428" s="658" t="str">
        <f t="shared" si="406"/>
        <v/>
      </c>
      <c r="GK428" s="658" t="str">
        <f t="shared" si="407"/>
        <v/>
      </c>
      <c r="GL428" s="658" t="str">
        <f t="shared" si="408"/>
        <v/>
      </c>
      <c r="GM428" s="658" t="str">
        <f t="shared" si="409"/>
        <v/>
      </c>
      <c r="GN428" s="658" t="str">
        <f t="shared" si="410"/>
        <v/>
      </c>
      <c r="GO428" s="658" t="str">
        <f t="shared" si="411"/>
        <v/>
      </c>
      <c r="GP428" s="658" t="str">
        <f t="shared" si="412"/>
        <v/>
      </c>
      <c r="GQ428" s="658" t="str">
        <f t="shared" si="413"/>
        <v/>
      </c>
      <c r="GR428" s="658" t="str">
        <f t="shared" si="414"/>
        <v/>
      </c>
      <c r="GS428" s="658" t="str">
        <f t="shared" si="415"/>
        <v/>
      </c>
      <c r="GT428" s="658">
        <f t="shared" si="368"/>
        <v>0</v>
      </c>
      <c r="GU428" s="658">
        <f t="shared" si="369"/>
        <v>0</v>
      </c>
      <c r="GV428" s="658">
        <f t="shared" si="370"/>
        <v>0</v>
      </c>
      <c r="GW428" s="658" t="b">
        <f t="shared" si="371"/>
        <v>0</v>
      </c>
      <c r="GX428" s="658" t="b">
        <f t="shared" si="372"/>
        <v>0</v>
      </c>
      <c r="GY428" s="658" t="b">
        <f t="shared" si="373"/>
        <v>0</v>
      </c>
      <c r="GZ428" s="658" t="str">
        <f t="shared" si="378"/>
        <v/>
      </c>
      <c r="HB428" s="658" t="str">
        <f t="shared" si="374"/>
        <v/>
      </c>
      <c r="HC428" s="658" t="str">
        <f t="shared" si="416"/>
        <v/>
      </c>
      <c r="HD428" s="658" t="str">
        <f t="shared" si="417"/>
        <v/>
      </c>
      <c r="HE428" s="658" t="str">
        <f t="shared" si="418"/>
        <v/>
      </c>
      <c r="HF428" s="658" t="str">
        <f t="shared" si="419"/>
        <v/>
      </c>
      <c r="HG428" s="658" t="str">
        <f t="shared" si="420"/>
        <v/>
      </c>
      <c r="HH428" s="658" t="str">
        <f t="shared" si="421"/>
        <v/>
      </c>
      <c r="HI428" s="658" t="str">
        <f t="shared" si="422"/>
        <v/>
      </c>
      <c r="HJ428" s="658" t="str">
        <f t="shared" si="423"/>
        <v/>
      </c>
      <c r="HK428" s="658" t="str">
        <f t="shared" si="424"/>
        <v/>
      </c>
      <c r="HL428" s="658" t="str">
        <f t="shared" si="425"/>
        <v/>
      </c>
      <c r="HM428" s="658" t="str">
        <f t="shared" si="426"/>
        <v/>
      </c>
      <c r="HN428" s="658" t="str">
        <f t="shared" si="427"/>
        <v/>
      </c>
      <c r="HO428" s="658" t="str">
        <f t="shared" si="428"/>
        <v/>
      </c>
      <c r="HP428" s="658" t="str">
        <f t="shared" si="429"/>
        <v/>
      </c>
      <c r="HQ428" s="658" t="str">
        <f t="shared" si="430"/>
        <v/>
      </c>
      <c r="HR428" s="658" t="str">
        <f t="shared" si="375"/>
        <v/>
      </c>
      <c r="HT428" s="658">
        <f>LEFT(M428,1)*10000+MID(M428,3,LEN(M428)-3)*100+COUNTIF($M$319:M428,M428)</f>
        <v>44701</v>
      </c>
      <c r="HU428" s="658" t="str">
        <f t="shared" si="376"/>
        <v/>
      </c>
      <c r="HV428" s="658" t="str">
        <f t="shared" si="431"/>
        <v/>
      </c>
      <c r="HW428" s="658" t="str">
        <f t="shared" si="377"/>
        <v/>
      </c>
      <c r="HX428" s="658" t="str">
        <f t="shared" si="432"/>
        <v/>
      </c>
    </row>
    <row r="429" spans="1:232" s="19" customFormat="1" ht="50.1" hidden="1" customHeight="1" thickBot="1" x14ac:dyDescent="0.2">
      <c r="A429" s="1201"/>
      <c r="B429" s="1201"/>
      <c r="C429" s="1201"/>
      <c r="D429" s="1201"/>
      <c r="E429" s="1202"/>
      <c r="F429" s="652"/>
      <c r="G429" s="652"/>
      <c r="H429" s="652"/>
      <c r="I429" s="1357"/>
      <c r="J429" s="1234"/>
      <c r="K429" s="1261"/>
      <c r="L429" s="1261"/>
      <c r="M429" s="2496" t="s">
        <v>3238</v>
      </c>
      <c r="N429" s="2496"/>
      <c r="O429" s="2496"/>
      <c r="P429" s="2430"/>
      <c r="Q429" s="2430"/>
      <c r="R429" s="2430"/>
      <c r="S429" s="2430"/>
      <c r="T429" s="2430"/>
      <c r="U429" s="2435"/>
      <c r="V429" s="2435"/>
      <c r="W429" s="2435"/>
      <c r="X429" s="2435"/>
      <c r="Y429" s="2435"/>
      <c r="Z429" s="2435"/>
      <c r="AA429" s="2435"/>
      <c r="AB429" s="2435"/>
      <c r="AC429" s="2435"/>
      <c r="AD429" s="2435"/>
      <c r="AE429" s="2435"/>
      <c r="AF429" s="2434"/>
      <c r="AG429" s="2434"/>
      <c r="AH429" s="2434"/>
      <c r="AI429" s="2434"/>
      <c r="AJ429" s="2434"/>
      <c r="AK429" s="2434"/>
      <c r="AL429" s="2434"/>
      <c r="AM429" s="2434"/>
      <c r="AN429" s="2434"/>
      <c r="AO429" s="2434"/>
      <c r="AP429" s="2434"/>
      <c r="AQ429" s="2434"/>
      <c r="AR429" s="2307"/>
      <c r="AS429" s="2307"/>
      <c r="AT429" s="2410"/>
      <c r="AU429" s="2410"/>
      <c r="AV429" s="2410"/>
      <c r="AW429" s="2410"/>
      <c r="AX429" s="2410"/>
      <c r="AY429" s="2410"/>
      <c r="AZ429" s="2410"/>
      <c r="BA429" s="2410"/>
      <c r="BB429" s="2410"/>
      <c r="BC429" s="2410"/>
      <c r="BD429" s="2410"/>
      <c r="BE429" s="2410"/>
      <c r="BF429" s="2410"/>
      <c r="BG429" s="2410"/>
      <c r="BH429" s="2410"/>
      <c r="BI429" s="2410"/>
      <c r="BJ429" s="2410"/>
      <c r="BK429" s="2410"/>
      <c r="BL429" s="2410"/>
      <c r="BM429" s="2410"/>
      <c r="BN429" s="2410"/>
      <c r="BO429" s="2410"/>
      <c r="BP429" s="2410"/>
      <c r="BQ429" s="2410"/>
      <c r="BR429" s="2410"/>
      <c r="BS429" s="2296"/>
      <c r="BT429" s="2296"/>
      <c r="BU429" s="2296"/>
      <c r="BV429" s="2296"/>
      <c r="BW429" s="2296"/>
      <c r="BX429" s="2296"/>
      <c r="BY429" s="2296"/>
      <c r="BZ429" s="2307"/>
      <c r="CA429" s="2307"/>
      <c r="CB429" s="2716" t="str">
        <f>IF(DX239=1,"１５石綿を添加した建築材料の調査状況に該当なしと記載あり","")</f>
        <v/>
      </c>
      <c r="CC429" s="2717"/>
      <c r="CD429" s="2717"/>
      <c r="CE429" s="2717"/>
      <c r="CF429" s="2717"/>
      <c r="CG429" s="2717"/>
      <c r="CH429" s="2717"/>
      <c r="CI429" s="2717"/>
      <c r="CJ429" s="2717"/>
      <c r="CK429" s="2717"/>
      <c r="CL429" s="2717"/>
      <c r="CM429" s="2717"/>
      <c r="CN429" s="2717"/>
      <c r="CO429" s="2717"/>
      <c r="CP429" s="2717"/>
      <c r="CQ429" s="2717"/>
      <c r="CR429" s="2717"/>
      <c r="CS429" s="2717"/>
      <c r="CT429" s="2717"/>
      <c r="CU429" s="2718"/>
      <c r="CV429" s="2300" t="str">
        <f t="shared" si="462"/>
        <v/>
      </c>
      <c r="CW429" s="2300"/>
      <c r="CX429" s="2300"/>
      <c r="CY429" s="2300"/>
      <c r="CZ429" s="2300"/>
      <c r="DA429" s="2300"/>
      <c r="DC429" s="329" t="str">
        <f t="shared" si="463"/>
        <v/>
      </c>
      <c r="DD429" s="197"/>
      <c r="DE429" s="14"/>
      <c r="DF429" s="14"/>
      <c r="DG429" s="14"/>
      <c r="DH429" s="14"/>
      <c r="DI429" s="1596"/>
      <c r="DJ429" s="1170" t="s">
        <v>2749</v>
      </c>
      <c r="DK429" s="1604" t="str">
        <f t="shared" si="380"/>
        <v/>
      </c>
      <c r="DL429" s="437" t="str">
        <f t="shared" si="381"/>
        <v/>
      </c>
      <c r="DM429" s="1131">
        <f t="shared" si="382"/>
        <v>0</v>
      </c>
      <c r="DN429" s="296">
        <f t="shared" si="383"/>
        <v>0</v>
      </c>
      <c r="DO429" s="296">
        <f t="shared" si="384"/>
        <v>0</v>
      </c>
      <c r="DP429" s="297">
        <f t="shared" si="385"/>
        <v>0</v>
      </c>
      <c r="DQ429" s="1806" t="s">
        <v>3238</v>
      </c>
      <c r="DR429" s="265">
        <f t="shared" si="379"/>
        <v>0</v>
      </c>
      <c r="DS429" s="125">
        <f t="shared" si="386"/>
        <v>0</v>
      </c>
      <c r="DT429" s="270" t="str">
        <f t="shared" si="387"/>
        <v/>
      </c>
      <c r="DU429" s="136" t="str">
        <f t="shared" si="303"/>
        <v/>
      </c>
      <c r="DV429" s="132" t="str">
        <f>IF(OR($DT429="要是正",$DT429="既存不適格"),MAX($DV$378:DV428)+1,"")</f>
        <v/>
      </c>
      <c r="DW429" s="257" t="str">
        <f t="shared" si="388"/>
        <v/>
      </c>
      <c r="DX429" s="299" t="str">
        <f t="shared" si="464"/>
        <v/>
      </c>
      <c r="DY429" s="258" t="str">
        <f t="shared" si="454"/>
        <v/>
      </c>
      <c r="DZ429" s="259" t="str">
        <f t="shared" si="389"/>
        <v/>
      </c>
      <c r="EA429" s="256" t="str">
        <f t="shared" si="390"/>
        <v/>
      </c>
      <c r="EB429" s="123" t="str">
        <f t="shared" si="391"/>
        <v/>
      </c>
      <c r="EC429" s="55" t="str">
        <f t="shared" si="310"/>
        <v>0</v>
      </c>
      <c r="ED429" s="39" t="str">
        <f t="shared" si="455"/>
        <v/>
      </c>
      <c r="EE429" s="131" t="str">
        <f t="shared" si="465"/>
        <v>0</v>
      </c>
      <c r="EF429" s="39" t="str">
        <f t="shared" si="457"/>
        <v/>
      </c>
      <c r="EG429" s="108" t="str">
        <f t="shared" si="392"/>
        <v/>
      </c>
      <c r="EH429" s="41" t="str">
        <f t="shared" si="314"/>
        <v>0</v>
      </c>
      <c r="EI429" s="54" t="str">
        <f t="shared" si="393"/>
        <v/>
      </c>
      <c r="EJ429" s="131" t="str">
        <f t="shared" si="466"/>
        <v>0</v>
      </c>
      <c r="EK429" s="241" t="str">
        <f t="shared" si="394"/>
        <v/>
      </c>
      <c r="EL429" s="136" t="e">
        <f t="shared" si="467"/>
        <v>#N/A</v>
      </c>
      <c r="EM429" s="137" t="e">
        <f t="shared" si="468"/>
        <v>#N/A</v>
      </c>
      <c r="EN429" s="244" t="e">
        <f t="shared" si="469"/>
        <v>#N/A</v>
      </c>
      <c r="FK429" s="326" t="str">
        <f t="shared" si="364"/>
        <v/>
      </c>
      <c r="FL429" s="326" t="str">
        <f t="shared" si="365"/>
        <v/>
      </c>
      <c r="FM429" s="326" t="str">
        <f t="shared" si="366"/>
        <v/>
      </c>
      <c r="FN429" s="326">
        <f t="shared" si="395"/>
        <v>0</v>
      </c>
      <c r="FO429" s="670" t="str">
        <f t="shared" si="396"/>
        <v/>
      </c>
      <c r="FQ429" s="123" t="str">
        <f t="shared" si="397"/>
        <v/>
      </c>
      <c r="FR429" s="55" t="str">
        <f t="shared" si="322"/>
        <v>0</v>
      </c>
      <c r="FS429" s="39" t="str">
        <f t="shared" si="459"/>
        <v/>
      </c>
      <c r="FT429" s="131" t="str">
        <f t="shared" si="470"/>
        <v>0</v>
      </c>
      <c r="FU429" s="219" t="str">
        <f t="shared" si="460"/>
        <v/>
      </c>
      <c r="FW429" s="667">
        <f t="shared" si="433"/>
        <v>0</v>
      </c>
      <c r="FX429" s="32"/>
      <c r="FY429" s="32"/>
      <c r="FZ429" s="668"/>
      <c r="GA429" s="14"/>
      <c r="GB429" s="32">
        <f t="shared" si="398"/>
        <v>0</v>
      </c>
      <c r="GC429" s="32">
        <f t="shared" si="399"/>
        <v>0</v>
      </c>
      <c r="GD429" s="19">
        <f t="shared" si="400"/>
        <v>0</v>
      </c>
      <c r="GE429" s="658" t="str">
        <f t="shared" si="401"/>
        <v/>
      </c>
      <c r="GF429" s="658" t="str">
        <f t="shared" si="402"/>
        <v/>
      </c>
      <c r="GG429" s="658" t="str">
        <f t="shared" si="403"/>
        <v/>
      </c>
      <c r="GH429" s="658" t="str">
        <f t="shared" si="404"/>
        <v/>
      </c>
      <c r="GI429" s="658" t="str">
        <f t="shared" si="405"/>
        <v/>
      </c>
      <c r="GJ429" s="658" t="str">
        <f t="shared" si="406"/>
        <v/>
      </c>
      <c r="GK429" s="658" t="str">
        <f t="shared" si="407"/>
        <v/>
      </c>
      <c r="GL429" s="658" t="str">
        <f t="shared" si="408"/>
        <v/>
      </c>
      <c r="GM429" s="658" t="str">
        <f t="shared" si="409"/>
        <v/>
      </c>
      <c r="GN429" s="658" t="str">
        <f t="shared" si="410"/>
        <v/>
      </c>
      <c r="GO429" s="658" t="str">
        <f t="shared" si="411"/>
        <v/>
      </c>
      <c r="GP429" s="658" t="str">
        <f t="shared" si="412"/>
        <v/>
      </c>
      <c r="GQ429" s="658" t="str">
        <f t="shared" si="413"/>
        <v/>
      </c>
      <c r="GR429" s="658" t="str">
        <f t="shared" si="414"/>
        <v/>
      </c>
      <c r="GS429" s="658" t="str">
        <f t="shared" si="415"/>
        <v/>
      </c>
      <c r="GT429" s="658">
        <f t="shared" si="368"/>
        <v>0</v>
      </c>
      <c r="GU429" s="658">
        <f t="shared" si="369"/>
        <v>0</v>
      </c>
      <c r="GV429" s="658">
        <f t="shared" si="370"/>
        <v>0</v>
      </c>
      <c r="GW429" s="658" t="b">
        <f t="shared" si="371"/>
        <v>0</v>
      </c>
      <c r="GX429" s="658" t="b">
        <f t="shared" si="372"/>
        <v>0</v>
      </c>
      <c r="GY429" s="658" t="b">
        <f t="shared" si="373"/>
        <v>0</v>
      </c>
      <c r="GZ429" s="658" t="str">
        <f t="shared" si="378"/>
        <v/>
      </c>
      <c r="HB429" s="658" t="str">
        <f t="shared" si="374"/>
        <v/>
      </c>
      <c r="HC429" s="658" t="str">
        <f t="shared" si="416"/>
        <v/>
      </c>
      <c r="HD429" s="658" t="str">
        <f t="shared" si="417"/>
        <v/>
      </c>
      <c r="HE429" s="658" t="str">
        <f t="shared" si="418"/>
        <v/>
      </c>
      <c r="HF429" s="658" t="str">
        <f t="shared" si="419"/>
        <v/>
      </c>
      <c r="HG429" s="658" t="str">
        <f t="shared" si="420"/>
        <v/>
      </c>
      <c r="HH429" s="658" t="str">
        <f t="shared" si="421"/>
        <v/>
      </c>
      <c r="HI429" s="658" t="str">
        <f t="shared" si="422"/>
        <v/>
      </c>
      <c r="HJ429" s="658" t="str">
        <f t="shared" si="423"/>
        <v/>
      </c>
      <c r="HK429" s="658" t="str">
        <f t="shared" si="424"/>
        <v/>
      </c>
      <c r="HL429" s="658" t="str">
        <f t="shared" si="425"/>
        <v/>
      </c>
      <c r="HM429" s="658" t="str">
        <f t="shared" si="426"/>
        <v/>
      </c>
      <c r="HN429" s="658" t="str">
        <f t="shared" si="427"/>
        <v/>
      </c>
      <c r="HO429" s="658" t="str">
        <f t="shared" si="428"/>
        <v/>
      </c>
      <c r="HP429" s="658" t="str">
        <f t="shared" si="429"/>
        <v/>
      </c>
      <c r="HQ429" s="658" t="str">
        <f t="shared" si="430"/>
        <v/>
      </c>
      <c r="HR429" s="658" t="str">
        <f t="shared" si="375"/>
        <v/>
      </c>
      <c r="HT429" s="658">
        <f>LEFT(M429,1)*10000+MID(M429,3,LEN(M429)-3)*100+COUNTIF($M$319:M429,M429)</f>
        <v>44801</v>
      </c>
      <c r="HU429" s="658" t="str">
        <f t="shared" si="376"/>
        <v/>
      </c>
      <c r="HV429" s="658" t="str">
        <f t="shared" si="431"/>
        <v/>
      </c>
      <c r="HW429" s="658" t="str">
        <f t="shared" si="377"/>
        <v/>
      </c>
      <c r="HX429" s="658" t="str">
        <f t="shared" si="432"/>
        <v/>
      </c>
    </row>
    <row r="430" spans="1:232" s="19" customFormat="1" ht="50.1" hidden="1" customHeight="1" thickBot="1" x14ac:dyDescent="0.2">
      <c r="A430" s="1201"/>
      <c r="B430" s="1201"/>
      <c r="C430" s="1201"/>
      <c r="D430" s="1201"/>
      <c r="E430" s="1202"/>
      <c r="F430" s="652"/>
      <c r="G430" s="652"/>
      <c r="H430" s="652"/>
      <c r="I430" s="1357"/>
      <c r="J430" s="1234"/>
      <c r="K430" s="1261"/>
      <c r="L430" s="1261"/>
      <c r="M430" s="2496" t="s">
        <v>3239</v>
      </c>
      <c r="N430" s="2496"/>
      <c r="O430" s="2496"/>
      <c r="P430" s="2430"/>
      <c r="Q430" s="2430"/>
      <c r="R430" s="2430"/>
      <c r="S430" s="2430"/>
      <c r="T430" s="2430"/>
      <c r="U430" s="2435"/>
      <c r="V430" s="2435"/>
      <c r="W430" s="2435"/>
      <c r="X430" s="2435"/>
      <c r="Y430" s="2435"/>
      <c r="Z430" s="2435"/>
      <c r="AA430" s="2435"/>
      <c r="AB430" s="2435"/>
      <c r="AC430" s="2435"/>
      <c r="AD430" s="2435"/>
      <c r="AE430" s="2435"/>
      <c r="AF430" s="2434"/>
      <c r="AG430" s="2434"/>
      <c r="AH430" s="2434"/>
      <c r="AI430" s="2434"/>
      <c r="AJ430" s="2434"/>
      <c r="AK430" s="2434"/>
      <c r="AL430" s="2434"/>
      <c r="AM430" s="2434"/>
      <c r="AN430" s="2434"/>
      <c r="AO430" s="2434"/>
      <c r="AP430" s="2434"/>
      <c r="AQ430" s="2434"/>
      <c r="AR430" s="2307"/>
      <c r="AS430" s="2307"/>
      <c r="AT430" s="2410"/>
      <c r="AU430" s="2410"/>
      <c r="AV430" s="2410"/>
      <c r="AW430" s="2410"/>
      <c r="AX430" s="2410"/>
      <c r="AY430" s="2410"/>
      <c r="AZ430" s="2410"/>
      <c r="BA430" s="2410"/>
      <c r="BB430" s="2410"/>
      <c r="BC430" s="2410"/>
      <c r="BD430" s="2410"/>
      <c r="BE430" s="2410"/>
      <c r="BF430" s="2410"/>
      <c r="BG430" s="2410"/>
      <c r="BH430" s="2410"/>
      <c r="BI430" s="2410"/>
      <c r="BJ430" s="2410"/>
      <c r="BK430" s="2410"/>
      <c r="BL430" s="2410"/>
      <c r="BM430" s="2410"/>
      <c r="BN430" s="2410"/>
      <c r="BO430" s="2410"/>
      <c r="BP430" s="2410"/>
      <c r="BQ430" s="2410"/>
      <c r="BR430" s="2410"/>
      <c r="BS430" s="2296"/>
      <c r="BT430" s="2296"/>
      <c r="BU430" s="2296"/>
      <c r="BV430" s="2296"/>
      <c r="BW430" s="2296"/>
      <c r="BX430" s="2296"/>
      <c r="BY430" s="2296"/>
      <c r="BZ430" s="2307"/>
      <c r="CA430" s="2307"/>
      <c r="CB430" s="2716" t="str">
        <f>IF(DX240=1,"１５石綿を添加した建築材料の調査状況に該当なしと記載あり","")</f>
        <v/>
      </c>
      <c r="CC430" s="2717"/>
      <c r="CD430" s="2717"/>
      <c r="CE430" s="2717"/>
      <c r="CF430" s="2717"/>
      <c r="CG430" s="2717"/>
      <c r="CH430" s="2717"/>
      <c r="CI430" s="2717"/>
      <c r="CJ430" s="2717"/>
      <c r="CK430" s="2717"/>
      <c r="CL430" s="2717"/>
      <c r="CM430" s="2717"/>
      <c r="CN430" s="2717"/>
      <c r="CO430" s="2717"/>
      <c r="CP430" s="2717"/>
      <c r="CQ430" s="2717"/>
      <c r="CR430" s="2717"/>
      <c r="CS430" s="2717"/>
      <c r="CT430" s="2717"/>
      <c r="CU430" s="2718"/>
      <c r="CV430" s="2300" t="str">
        <f t="shared" si="462"/>
        <v/>
      </c>
      <c r="CW430" s="2300"/>
      <c r="CX430" s="2300"/>
      <c r="CY430" s="2300"/>
      <c r="CZ430" s="2300"/>
      <c r="DA430" s="2300"/>
      <c r="DC430" s="329" t="str">
        <f t="shared" si="463"/>
        <v/>
      </c>
      <c r="DD430" s="197"/>
      <c r="DE430" s="14"/>
      <c r="DF430" s="14"/>
      <c r="DG430" s="14"/>
      <c r="DH430" s="14"/>
      <c r="DI430" s="1596"/>
      <c r="DJ430" s="1170" t="s">
        <v>2749</v>
      </c>
      <c r="DK430" s="1604" t="str">
        <f t="shared" si="380"/>
        <v/>
      </c>
      <c r="DL430" s="437" t="str">
        <f t="shared" si="381"/>
        <v/>
      </c>
      <c r="DM430" s="1131">
        <f t="shared" si="382"/>
        <v>0</v>
      </c>
      <c r="DN430" s="296">
        <f t="shared" si="383"/>
        <v>0</v>
      </c>
      <c r="DO430" s="296">
        <f t="shared" si="384"/>
        <v>0</v>
      </c>
      <c r="DP430" s="297">
        <f t="shared" si="385"/>
        <v>0</v>
      </c>
      <c r="DQ430" s="1806" t="s">
        <v>3239</v>
      </c>
      <c r="DR430" s="265">
        <f t="shared" si="379"/>
        <v>0</v>
      </c>
      <c r="DS430" s="125">
        <f t="shared" si="386"/>
        <v>0</v>
      </c>
      <c r="DT430" s="270" t="str">
        <f t="shared" si="387"/>
        <v/>
      </c>
      <c r="DU430" s="136" t="str">
        <f t="shared" si="303"/>
        <v/>
      </c>
      <c r="DV430" s="132" t="str">
        <f>IF(OR($DT430="要是正",$DT430="既存不適格"),MAX($DV$378:DV429)+1,"")</f>
        <v/>
      </c>
      <c r="DW430" s="257" t="str">
        <f t="shared" si="388"/>
        <v/>
      </c>
      <c r="DX430" s="299" t="str">
        <f t="shared" si="464"/>
        <v/>
      </c>
      <c r="DY430" s="258" t="str">
        <f t="shared" si="454"/>
        <v/>
      </c>
      <c r="DZ430" s="259" t="str">
        <f t="shared" si="389"/>
        <v/>
      </c>
      <c r="EA430" s="256" t="str">
        <f t="shared" si="390"/>
        <v/>
      </c>
      <c r="EB430" s="123" t="str">
        <f t="shared" si="391"/>
        <v/>
      </c>
      <c r="EC430" s="55" t="str">
        <f t="shared" si="310"/>
        <v>0</v>
      </c>
      <c r="ED430" s="39" t="str">
        <f t="shared" si="455"/>
        <v/>
      </c>
      <c r="EE430" s="131" t="str">
        <f t="shared" si="465"/>
        <v>0</v>
      </c>
      <c r="EF430" s="39" t="str">
        <f t="shared" si="457"/>
        <v/>
      </c>
      <c r="EG430" s="108" t="str">
        <f t="shared" si="392"/>
        <v/>
      </c>
      <c r="EH430" s="41" t="str">
        <f t="shared" si="314"/>
        <v>0</v>
      </c>
      <c r="EI430" s="54" t="str">
        <f t="shared" si="393"/>
        <v/>
      </c>
      <c r="EJ430" s="131" t="str">
        <f t="shared" si="466"/>
        <v>0</v>
      </c>
      <c r="EK430" s="241" t="str">
        <f t="shared" si="394"/>
        <v/>
      </c>
      <c r="EL430" s="136" t="e">
        <f t="shared" si="467"/>
        <v>#N/A</v>
      </c>
      <c r="EM430" s="137" t="e">
        <f t="shared" si="468"/>
        <v>#N/A</v>
      </c>
      <c r="EN430" s="244" t="e">
        <f t="shared" si="469"/>
        <v>#N/A</v>
      </c>
      <c r="FK430" s="326" t="str">
        <f t="shared" si="364"/>
        <v/>
      </c>
      <c r="FL430" s="326" t="str">
        <f t="shared" si="365"/>
        <v/>
      </c>
      <c r="FM430" s="326" t="str">
        <f t="shared" si="366"/>
        <v/>
      </c>
      <c r="FN430" s="326">
        <f t="shared" si="395"/>
        <v>0</v>
      </c>
      <c r="FO430" s="670" t="str">
        <f t="shared" si="396"/>
        <v/>
      </c>
      <c r="FQ430" s="123" t="str">
        <f t="shared" si="397"/>
        <v/>
      </c>
      <c r="FR430" s="55" t="str">
        <f t="shared" si="322"/>
        <v>0</v>
      </c>
      <c r="FS430" s="39" t="str">
        <f t="shared" si="459"/>
        <v/>
      </c>
      <c r="FT430" s="131" t="str">
        <f t="shared" si="470"/>
        <v>0</v>
      </c>
      <c r="FU430" s="219" t="str">
        <f t="shared" si="460"/>
        <v/>
      </c>
      <c r="FW430" s="667">
        <f t="shared" si="433"/>
        <v>0</v>
      </c>
      <c r="FX430" s="32"/>
      <c r="FY430" s="32"/>
      <c r="FZ430" s="668"/>
      <c r="GA430" s="14"/>
      <c r="GB430" s="32">
        <f t="shared" si="398"/>
        <v>0</v>
      </c>
      <c r="GC430" s="32">
        <f t="shared" si="399"/>
        <v>0</v>
      </c>
      <c r="GD430" s="19">
        <f t="shared" si="400"/>
        <v>0</v>
      </c>
      <c r="GE430" s="658" t="str">
        <f t="shared" si="401"/>
        <v/>
      </c>
      <c r="GF430" s="658" t="str">
        <f t="shared" si="402"/>
        <v/>
      </c>
      <c r="GG430" s="658" t="str">
        <f t="shared" si="403"/>
        <v/>
      </c>
      <c r="GH430" s="658" t="str">
        <f t="shared" si="404"/>
        <v/>
      </c>
      <c r="GI430" s="658" t="str">
        <f t="shared" si="405"/>
        <v/>
      </c>
      <c r="GJ430" s="658" t="str">
        <f t="shared" si="406"/>
        <v/>
      </c>
      <c r="GK430" s="658" t="str">
        <f t="shared" si="407"/>
        <v/>
      </c>
      <c r="GL430" s="658" t="str">
        <f t="shared" si="408"/>
        <v/>
      </c>
      <c r="GM430" s="658" t="str">
        <f t="shared" si="409"/>
        <v/>
      </c>
      <c r="GN430" s="658" t="str">
        <f t="shared" si="410"/>
        <v/>
      </c>
      <c r="GO430" s="658" t="str">
        <f t="shared" si="411"/>
        <v/>
      </c>
      <c r="GP430" s="658" t="str">
        <f t="shared" si="412"/>
        <v/>
      </c>
      <c r="GQ430" s="658" t="str">
        <f t="shared" si="413"/>
        <v/>
      </c>
      <c r="GR430" s="658" t="str">
        <f t="shared" si="414"/>
        <v/>
      </c>
      <c r="GS430" s="658" t="str">
        <f t="shared" si="415"/>
        <v/>
      </c>
      <c r="GT430" s="658">
        <f t="shared" si="368"/>
        <v>0</v>
      </c>
      <c r="GU430" s="658">
        <f t="shared" si="369"/>
        <v>0</v>
      </c>
      <c r="GV430" s="658">
        <f t="shared" si="370"/>
        <v>0</v>
      </c>
      <c r="GW430" s="658" t="b">
        <f t="shared" si="371"/>
        <v>0</v>
      </c>
      <c r="GX430" s="658" t="b">
        <f t="shared" si="372"/>
        <v>0</v>
      </c>
      <c r="GY430" s="658" t="b">
        <f t="shared" si="373"/>
        <v>0</v>
      </c>
      <c r="GZ430" s="658" t="str">
        <f t="shared" si="378"/>
        <v/>
      </c>
      <c r="HB430" s="658" t="str">
        <f t="shared" si="374"/>
        <v/>
      </c>
      <c r="HC430" s="658" t="str">
        <f t="shared" si="416"/>
        <v/>
      </c>
      <c r="HD430" s="658" t="str">
        <f t="shared" si="417"/>
        <v/>
      </c>
      <c r="HE430" s="658" t="str">
        <f t="shared" si="418"/>
        <v/>
      </c>
      <c r="HF430" s="658" t="str">
        <f t="shared" si="419"/>
        <v/>
      </c>
      <c r="HG430" s="658" t="str">
        <f t="shared" si="420"/>
        <v/>
      </c>
      <c r="HH430" s="658" t="str">
        <f t="shared" si="421"/>
        <v/>
      </c>
      <c r="HI430" s="658" t="str">
        <f t="shared" si="422"/>
        <v/>
      </c>
      <c r="HJ430" s="658" t="str">
        <f t="shared" si="423"/>
        <v/>
      </c>
      <c r="HK430" s="658" t="str">
        <f t="shared" si="424"/>
        <v/>
      </c>
      <c r="HL430" s="658" t="str">
        <f t="shared" si="425"/>
        <v/>
      </c>
      <c r="HM430" s="658" t="str">
        <f t="shared" si="426"/>
        <v/>
      </c>
      <c r="HN430" s="658" t="str">
        <f t="shared" si="427"/>
        <v/>
      </c>
      <c r="HO430" s="658" t="str">
        <f t="shared" si="428"/>
        <v/>
      </c>
      <c r="HP430" s="658" t="str">
        <f t="shared" si="429"/>
        <v/>
      </c>
      <c r="HQ430" s="658" t="str">
        <f t="shared" si="430"/>
        <v/>
      </c>
      <c r="HR430" s="658" t="str">
        <f t="shared" si="375"/>
        <v/>
      </c>
      <c r="HT430" s="658">
        <f>LEFT(M430,1)*10000+MID(M430,3,LEN(M430)-3)*100+COUNTIF($M$319:M430,M430)</f>
        <v>44901</v>
      </c>
      <c r="HU430" s="658" t="str">
        <f t="shared" si="376"/>
        <v/>
      </c>
      <c r="HV430" s="658" t="str">
        <f t="shared" si="431"/>
        <v/>
      </c>
      <c r="HW430" s="658" t="str">
        <f t="shared" si="377"/>
        <v/>
      </c>
      <c r="HX430" s="658" t="str">
        <f t="shared" si="432"/>
        <v/>
      </c>
    </row>
    <row r="431" spans="1:232" s="19" customFormat="1" ht="50.1" hidden="1" customHeight="1" thickBot="1" x14ac:dyDescent="0.2">
      <c r="A431" s="1201"/>
      <c r="B431" s="1201"/>
      <c r="C431" s="1201"/>
      <c r="D431" s="1201"/>
      <c r="E431" s="1202"/>
      <c r="F431" s="652"/>
      <c r="G431" s="652"/>
      <c r="H431" s="652"/>
      <c r="I431" s="1357"/>
      <c r="J431" s="1234"/>
      <c r="K431" s="1261"/>
      <c r="L431" s="1261"/>
      <c r="M431" s="2496" t="s">
        <v>3240</v>
      </c>
      <c r="N431" s="2496"/>
      <c r="O431" s="2496"/>
      <c r="P431" s="2445"/>
      <c r="Q431" s="2445"/>
      <c r="R431" s="2445"/>
      <c r="S431" s="2445"/>
      <c r="T431" s="2445"/>
      <c r="U431" s="2430"/>
      <c r="V431" s="2430"/>
      <c r="W431" s="2430"/>
      <c r="X431" s="2430"/>
      <c r="Y431" s="2430"/>
      <c r="Z431" s="2430"/>
      <c r="AA431" s="2430"/>
      <c r="AB431" s="2430"/>
      <c r="AC431" s="2430"/>
      <c r="AD431" s="2430"/>
      <c r="AE431" s="2430"/>
      <c r="AF431" s="2479"/>
      <c r="AG431" s="2479"/>
      <c r="AH431" s="2479"/>
      <c r="AI431" s="2479"/>
      <c r="AJ431" s="2479"/>
      <c r="AK431" s="2479"/>
      <c r="AL431" s="2479"/>
      <c r="AM431" s="2479"/>
      <c r="AN431" s="2479"/>
      <c r="AO431" s="2479"/>
      <c r="AP431" s="2479"/>
      <c r="AQ431" s="2479"/>
      <c r="AR431" s="2299"/>
      <c r="AS431" s="2299"/>
      <c r="AT431" s="2473"/>
      <c r="AU431" s="2473"/>
      <c r="AV431" s="2473"/>
      <c r="AW431" s="2473"/>
      <c r="AX431" s="2473"/>
      <c r="AY431" s="2473"/>
      <c r="AZ431" s="2473"/>
      <c r="BA431" s="2473"/>
      <c r="BB431" s="2473"/>
      <c r="BC431" s="2473"/>
      <c r="BD431" s="2473"/>
      <c r="BE431" s="2473"/>
      <c r="BF431" s="2473"/>
      <c r="BG431" s="2473"/>
      <c r="BH431" s="2473"/>
      <c r="BI431" s="2473"/>
      <c r="BJ431" s="2473"/>
      <c r="BK431" s="2473"/>
      <c r="BL431" s="2473"/>
      <c r="BM431" s="2473"/>
      <c r="BN431" s="2473"/>
      <c r="BO431" s="2473"/>
      <c r="BP431" s="2473"/>
      <c r="BQ431" s="2473"/>
      <c r="BR431" s="2473"/>
      <c r="BS431" s="2298"/>
      <c r="BT431" s="2298"/>
      <c r="BU431" s="2298"/>
      <c r="BV431" s="2298"/>
      <c r="BW431" s="2298"/>
      <c r="BX431" s="2298"/>
      <c r="BY431" s="2298"/>
      <c r="BZ431" s="2299"/>
      <c r="CA431" s="2299"/>
      <c r="CB431" s="2716" t="str">
        <f>IF(DX241=1,"１５石綿を添加した建築材料の調査状況に該当なしと記載あり","")</f>
        <v/>
      </c>
      <c r="CC431" s="2717"/>
      <c r="CD431" s="2717"/>
      <c r="CE431" s="2717"/>
      <c r="CF431" s="2717"/>
      <c r="CG431" s="2717"/>
      <c r="CH431" s="2717"/>
      <c r="CI431" s="2717"/>
      <c r="CJ431" s="2717"/>
      <c r="CK431" s="2717"/>
      <c r="CL431" s="2717"/>
      <c r="CM431" s="2717"/>
      <c r="CN431" s="2717"/>
      <c r="CO431" s="2717"/>
      <c r="CP431" s="2717"/>
      <c r="CQ431" s="2717"/>
      <c r="CR431" s="2717"/>
      <c r="CS431" s="2717"/>
      <c r="CT431" s="2717"/>
      <c r="CU431" s="2718"/>
      <c r="CV431" s="2300" t="str">
        <f t="shared" si="462"/>
        <v/>
      </c>
      <c r="CW431" s="2300"/>
      <c r="CX431" s="2300"/>
      <c r="CY431" s="2300"/>
      <c r="CZ431" s="2300"/>
      <c r="DA431" s="2300"/>
      <c r="DC431" s="329" t="str">
        <f t="shared" si="463"/>
        <v/>
      </c>
      <c r="DD431" s="197"/>
      <c r="DE431" s="14"/>
      <c r="DF431" s="14"/>
      <c r="DG431" s="14"/>
      <c r="DH431" s="14"/>
      <c r="DI431" s="1596"/>
      <c r="DJ431" s="1171" t="s">
        <v>2749</v>
      </c>
      <c r="DK431" s="1605" t="str">
        <f t="shared" si="380"/>
        <v/>
      </c>
      <c r="DL431" s="1598" t="str">
        <f t="shared" si="381"/>
        <v/>
      </c>
      <c r="DM431" s="1131">
        <f t="shared" si="382"/>
        <v>0</v>
      </c>
      <c r="DN431" s="296">
        <f t="shared" si="383"/>
        <v>0</v>
      </c>
      <c r="DO431" s="296">
        <f t="shared" si="384"/>
        <v>0</v>
      </c>
      <c r="DP431" s="297">
        <f t="shared" si="385"/>
        <v>0</v>
      </c>
      <c r="DQ431" s="1806" t="s">
        <v>3240</v>
      </c>
      <c r="DR431" s="265">
        <f t="shared" si="379"/>
        <v>0</v>
      </c>
      <c r="DS431" s="125">
        <f t="shared" si="386"/>
        <v>0</v>
      </c>
      <c r="DT431" s="270" t="str">
        <f t="shared" si="387"/>
        <v/>
      </c>
      <c r="DU431" s="136" t="str">
        <f t="shared" si="303"/>
        <v/>
      </c>
      <c r="DV431" s="132" t="str">
        <f>IF(OR($DT431="要是正",$DT431="既存不適格"),MAX($DV$378:DV430)+1,"")</f>
        <v/>
      </c>
      <c r="DW431" s="257" t="str">
        <f t="shared" si="388"/>
        <v/>
      </c>
      <c r="DX431" s="299" t="str">
        <f t="shared" si="464"/>
        <v/>
      </c>
      <c r="DY431" s="258" t="str">
        <f t="shared" si="454"/>
        <v/>
      </c>
      <c r="DZ431" s="259" t="str">
        <f t="shared" si="389"/>
        <v/>
      </c>
      <c r="EA431" s="256" t="str">
        <f t="shared" si="390"/>
        <v/>
      </c>
      <c r="EB431" s="123" t="str">
        <f t="shared" si="391"/>
        <v/>
      </c>
      <c r="EC431" s="55" t="str">
        <f t="shared" si="310"/>
        <v>0</v>
      </c>
      <c r="ED431" s="39" t="str">
        <f t="shared" si="455"/>
        <v/>
      </c>
      <c r="EE431" s="131" t="str">
        <f t="shared" si="465"/>
        <v>0</v>
      </c>
      <c r="EF431" s="39" t="str">
        <f t="shared" si="457"/>
        <v/>
      </c>
      <c r="EG431" s="108" t="str">
        <f t="shared" si="392"/>
        <v/>
      </c>
      <c r="EH431" s="41" t="str">
        <f t="shared" si="314"/>
        <v>0</v>
      </c>
      <c r="EI431" s="54" t="str">
        <f t="shared" si="393"/>
        <v/>
      </c>
      <c r="EJ431" s="131" t="str">
        <f t="shared" si="466"/>
        <v>0</v>
      </c>
      <c r="EK431" s="241" t="str">
        <f t="shared" si="394"/>
        <v/>
      </c>
      <c r="EL431" s="136" t="e">
        <f t="shared" si="467"/>
        <v>#N/A</v>
      </c>
      <c r="EM431" s="137" t="e">
        <f t="shared" si="468"/>
        <v>#N/A</v>
      </c>
      <c r="EN431" s="244" t="e">
        <f t="shared" si="469"/>
        <v>#N/A</v>
      </c>
      <c r="FK431" s="326" t="str">
        <f t="shared" si="364"/>
        <v/>
      </c>
      <c r="FL431" s="326" t="str">
        <f t="shared" si="365"/>
        <v/>
      </c>
      <c r="FM431" s="326" t="str">
        <f t="shared" si="366"/>
        <v/>
      </c>
      <c r="FN431" s="326">
        <f t="shared" si="395"/>
        <v>0</v>
      </c>
      <c r="FO431" s="670" t="str">
        <f t="shared" si="396"/>
        <v/>
      </c>
      <c r="FQ431" s="123" t="str">
        <f t="shared" si="397"/>
        <v/>
      </c>
      <c r="FR431" s="55" t="str">
        <f t="shared" si="322"/>
        <v>0</v>
      </c>
      <c r="FS431" s="39" t="str">
        <f t="shared" si="459"/>
        <v/>
      </c>
      <c r="FT431" s="131" t="str">
        <f t="shared" si="470"/>
        <v>0</v>
      </c>
      <c r="FU431" s="219" t="str">
        <f t="shared" si="460"/>
        <v/>
      </c>
      <c r="FW431" s="667">
        <f t="shared" si="433"/>
        <v>0</v>
      </c>
      <c r="FX431" s="32"/>
      <c r="FY431" s="32"/>
      <c r="FZ431" s="668"/>
      <c r="GA431" s="14"/>
      <c r="GB431" s="32">
        <f t="shared" si="398"/>
        <v>0</v>
      </c>
      <c r="GC431" s="32">
        <f t="shared" si="399"/>
        <v>0</v>
      </c>
      <c r="GD431" s="19">
        <f t="shared" si="400"/>
        <v>0</v>
      </c>
      <c r="GE431" s="658" t="str">
        <f t="shared" si="401"/>
        <v/>
      </c>
      <c r="GF431" s="658" t="str">
        <f t="shared" si="402"/>
        <v/>
      </c>
      <c r="GG431" s="658" t="str">
        <f t="shared" si="403"/>
        <v/>
      </c>
      <c r="GH431" s="658" t="str">
        <f t="shared" si="404"/>
        <v/>
      </c>
      <c r="GI431" s="658" t="str">
        <f t="shared" si="405"/>
        <v/>
      </c>
      <c r="GJ431" s="658" t="str">
        <f t="shared" si="406"/>
        <v/>
      </c>
      <c r="GK431" s="658" t="str">
        <f t="shared" si="407"/>
        <v/>
      </c>
      <c r="GL431" s="658" t="str">
        <f t="shared" si="408"/>
        <v/>
      </c>
      <c r="GM431" s="658" t="str">
        <f t="shared" si="409"/>
        <v/>
      </c>
      <c r="GN431" s="658" t="str">
        <f t="shared" si="410"/>
        <v/>
      </c>
      <c r="GO431" s="658" t="str">
        <f t="shared" si="411"/>
        <v/>
      </c>
      <c r="GP431" s="658" t="str">
        <f t="shared" si="412"/>
        <v/>
      </c>
      <c r="GQ431" s="658" t="str">
        <f t="shared" si="413"/>
        <v/>
      </c>
      <c r="GR431" s="658" t="str">
        <f t="shared" si="414"/>
        <v/>
      </c>
      <c r="GS431" s="658" t="str">
        <f t="shared" si="415"/>
        <v/>
      </c>
      <c r="GT431" s="658">
        <f t="shared" si="368"/>
        <v>0</v>
      </c>
      <c r="GU431" s="658">
        <f t="shared" si="369"/>
        <v>0</v>
      </c>
      <c r="GV431" s="658">
        <f t="shared" si="370"/>
        <v>0</v>
      </c>
      <c r="GW431" s="658" t="b">
        <f t="shared" si="371"/>
        <v>0</v>
      </c>
      <c r="GX431" s="658" t="b">
        <f t="shared" si="372"/>
        <v>0</v>
      </c>
      <c r="GY431" s="658" t="b">
        <f t="shared" si="373"/>
        <v>0</v>
      </c>
      <c r="GZ431" s="658" t="str">
        <f t="shared" si="378"/>
        <v/>
      </c>
      <c r="HB431" s="658" t="str">
        <f t="shared" si="374"/>
        <v/>
      </c>
      <c r="HC431" s="658" t="str">
        <f t="shared" si="416"/>
        <v/>
      </c>
      <c r="HD431" s="658" t="str">
        <f t="shared" si="417"/>
        <v/>
      </c>
      <c r="HE431" s="658" t="str">
        <f t="shared" si="418"/>
        <v/>
      </c>
      <c r="HF431" s="658" t="str">
        <f t="shared" si="419"/>
        <v/>
      </c>
      <c r="HG431" s="658" t="str">
        <f t="shared" si="420"/>
        <v/>
      </c>
      <c r="HH431" s="658" t="str">
        <f t="shared" si="421"/>
        <v/>
      </c>
      <c r="HI431" s="658" t="str">
        <f t="shared" si="422"/>
        <v/>
      </c>
      <c r="HJ431" s="658" t="str">
        <f t="shared" si="423"/>
        <v/>
      </c>
      <c r="HK431" s="658" t="str">
        <f t="shared" si="424"/>
        <v/>
      </c>
      <c r="HL431" s="658" t="str">
        <f t="shared" si="425"/>
        <v/>
      </c>
      <c r="HM431" s="658" t="str">
        <f t="shared" si="426"/>
        <v/>
      </c>
      <c r="HN431" s="658" t="str">
        <f t="shared" si="427"/>
        <v/>
      </c>
      <c r="HO431" s="658" t="str">
        <f t="shared" si="428"/>
        <v/>
      </c>
      <c r="HP431" s="658" t="str">
        <f t="shared" si="429"/>
        <v/>
      </c>
      <c r="HQ431" s="658" t="str">
        <f t="shared" si="430"/>
        <v/>
      </c>
      <c r="HR431" s="658" t="str">
        <f t="shared" si="375"/>
        <v/>
      </c>
      <c r="HT431" s="658">
        <f>LEFT(M431,1)*10000+MID(M431,3,LEN(M431)-3)*100+COUNTIF($M$319:M431,M431)</f>
        <v>45001</v>
      </c>
      <c r="HU431" s="658" t="str">
        <f t="shared" si="376"/>
        <v/>
      </c>
      <c r="HV431" s="658" t="str">
        <f t="shared" si="431"/>
        <v/>
      </c>
      <c r="HW431" s="658" t="str">
        <f t="shared" si="377"/>
        <v/>
      </c>
      <c r="HX431" s="658" t="str">
        <f t="shared" si="432"/>
        <v/>
      </c>
    </row>
    <row r="432" spans="1:232" ht="15" customHeight="1" thickBot="1" x14ac:dyDescent="0.2">
      <c r="A432" s="1201"/>
      <c r="B432" s="1201"/>
      <c r="C432" s="1201"/>
      <c r="D432" s="1201"/>
      <c r="E432" s="1202"/>
      <c r="J432" s="1355"/>
      <c r="K432" s="1177"/>
      <c r="L432" s="1177"/>
      <c r="M432" s="1356"/>
      <c r="N432" s="1356"/>
      <c r="O432" s="1356"/>
      <c r="P432" s="1356"/>
      <c r="Q432" s="1356"/>
      <c r="R432" s="1356"/>
      <c r="S432" s="1356"/>
      <c r="T432" s="1356"/>
      <c r="U432" s="1356"/>
      <c r="V432" s="1356"/>
      <c r="W432" s="1356"/>
      <c r="X432" s="1356"/>
      <c r="Y432" s="1356"/>
      <c r="Z432" s="1356"/>
      <c r="AA432" s="1356"/>
      <c r="AB432" s="1356"/>
      <c r="AC432" s="1356"/>
      <c r="AD432" s="1356"/>
      <c r="AE432" s="1251"/>
      <c r="AF432" s="1251"/>
      <c r="AG432" s="1251"/>
      <c r="AH432" s="1251"/>
      <c r="AI432" s="1251"/>
      <c r="AJ432" s="1251"/>
      <c r="AK432" s="1251"/>
      <c r="AL432" s="1251"/>
      <c r="AM432" s="1251"/>
      <c r="AN432" s="1251"/>
      <c r="AO432" s="1251"/>
      <c r="AP432" s="1251"/>
      <c r="AQ432" s="1251"/>
      <c r="AR432" s="1251"/>
      <c r="AS432" s="1251"/>
      <c r="AT432" s="1251"/>
      <c r="AU432" s="1251"/>
      <c r="AV432" s="1251"/>
      <c r="AW432" s="1251"/>
      <c r="AX432" s="1251"/>
      <c r="AY432" s="1251"/>
      <c r="AZ432" s="1251"/>
      <c r="BA432" s="1251"/>
      <c r="BB432" s="1251"/>
      <c r="BC432" s="1251"/>
      <c r="BD432" s="1251"/>
      <c r="BE432" s="1251"/>
      <c r="BF432" s="1251"/>
      <c r="BG432" s="1251"/>
      <c r="BH432" s="1251"/>
      <c r="BI432" s="1251"/>
      <c r="BJ432" s="1251"/>
      <c r="BK432" s="1251"/>
      <c r="BL432" s="1251"/>
      <c r="BM432" s="1251"/>
      <c r="BN432" s="1251"/>
      <c r="BO432" s="1251"/>
      <c r="BP432" s="1251"/>
      <c r="BQ432" s="1251"/>
      <c r="BR432" s="1251"/>
      <c r="BS432" s="1186"/>
      <c r="BT432" s="1186"/>
      <c r="BU432" s="1186"/>
      <c r="BV432" s="1186"/>
      <c r="BW432" s="1186"/>
      <c r="BX432" s="1186"/>
      <c r="BY432" s="419"/>
      <c r="BZ432" s="419"/>
      <c r="CA432" s="419"/>
      <c r="CB432" s="1182"/>
      <c r="CC432" s="1182"/>
      <c r="CD432" s="1182"/>
      <c r="CE432" s="1182"/>
      <c r="CF432" s="1182"/>
      <c r="CG432" s="1182"/>
      <c r="CH432" s="1182"/>
      <c r="CI432" s="1182"/>
      <c r="CJ432" s="1182"/>
      <c r="CK432" s="1182"/>
      <c r="CL432" s="1182"/>
      <c r="CM432" s="1182"/>
      <c r="CN432" s="1182"/>
      <c r="CO432" s="1182"/>
      <c r="CP432" s="1182"/>
      <c r="CQ432" s="1182"/>
      <c r="CR432" s="1182"/>
      <c r="CS432" s="1182"/>
      <c r="CT432" s="1182"/>
      <c r="CU432" s="1183"/>
      <c r="CV432" s="2300"/>
      <c r="CW432" s="2300"/>
      <c r="CX432" s="2300"/>
      <c r="CY432" s="2300"/>
      <c r="CZ432" s="2300"/>
      <c r="DA432" s="2300"/>
      <c r="DD432" s="197"/>
      <c r="DE432" s="16"/>
      <c r="DF432" s="16"/>
      <c r="DG432" s="16"/>
      <c r="DH432" s="16"/>
      <c r="DI432" s="1593"/>
      <c r="DJ432" s="1172"/>
      <c r="DK432" s="1606"/>
      <c r="DL432" s="1991" t="s">
        <v>3407</v>
      </c>
      <c r="DM432" s="99">
        <f>SUM(DM382:DM431)</f>
        <v>0</v>
      </c>
      <c r="DN432" s="99">
        <f>SUM(DN382:DN431)</f>
        <v>0</v>
      </c>
      <c r="DO432" s="99">
        <f>SUM(DO382:DO431)</f>
        <v>0</v>
      </c>
      <c r="DP432" s="99">
        <f>SUM(DP382:DP431)</f>
        <v>0</v>
      </c>
      <c r="DU432" s="277"/>
      <c r="DX432" s="2754" t="s">
        <v>1619</v>
      </c>
      <c r="DY432" s="466" t="s">
        <v>1621</v>
      </c>
      <c r="DZ432" s="222"/>
      <c r="EA432" s="303"/>
      <c r="EB432" s="673"/>
      <c r="EC432" s="133"/>
      <c r="ED432" s="111">
        <f>COUNTIF(ED382:ED431,"1")</f>
        <v>0</v>
      </c>
      <c r="EE432" s="110" t="str">
        <f t="array" ref="EE432">INDEX(EE382:EE431,MATCH(MIN(ABS(EE382:EE431-$DP$4)),ABS(EE382:EE431-$DP$4),0))</f>
        <v>0</v>
      </c>
      <c r="EF432" s="111">
        <f>COUNTIF(EF382:EF431,"未定")</f>
        <v>0</v>
      </c>
      <c r="EG432" s="109"/>
      <c r="EH432" s="133"/>
      <c r="EI432" s="111">
        <f>COUNTIF(EI382:EI431,"1")</f>
        <v>0</v>
      </c>
      <c r="EJ432" s="110" t="str">
        <f t="array" ref="EJ432">INDEX(EJ382:EJ431,MATCH(MIN(ABS(EJ382:EJ431-$DP$4)),ABS(EJ382:EJ431-$DP$4),0))</f>
        <v>0</v>
      </c>
      <c r="EK432" s="111">
        <f>COUNTIF(EK382:EK431,"未定")</f>
        <v>0</v>
      </c>
      <c r="FK432" s="351"/>
      <c r="FL432" s="351"/>
      <c r="FM432" s="351"/>
      <c r="FN432" s="351"/>
      <c r="FO432" s="670"/>
      <c r="FQ432" s="673"/>
      <c r="FR432" s="133"/>
      <c r="FS432" s="111">
        <f>COUNTIF(FS382:FS431,"1")</f>
        <v>0</v>
      </c>
      <c r="FT432" s="110" t="str">
        <f t="array" ref="FT432">INDEX(FT382:FT431,MATCH(MIN(ABS(FT382:FT431-$DP$4)),ABS(FT382:FT431-$DP$4),0))</f>
        <v>0</v>
      </c>
      <c r="FU432" s="218">
        <f>COUNTIF(FU382:FU431,"未定")</f>
        <v>0</v>
      </c>
      <c r="FV432" s="73"/>
      <c r="FW432" s="667">
        <f t="shared" si="433"/>
        <v>0</v>
      </c>
      <c r="FX432" s="11"/>
      <c r="FY432" s="11"/>
      <c r="FZ432" s="671"/>
      <c r="GB432" s="658">
        <f>IF(SUM(GB382:GB431)&gt;0,1,0)</f>
        <v>0</v>
      </c>
      <c r="GC432" s="658">
        <f>IF(SUM(GC382:GC431)&gt;0,1,0)</f>
        <v>0</v>
      </c>
      <c r="GD432" s="658">
        <f>IF(SUM(GD382:GD431)&gt;0,1,0)</f>
        <v>0</v>
      </c>
      <c r="GE432" s="660"/>
      <c r="GF432" s="660"/>
      <c r="GG432" s="660"/>
      <c r="GH432" s="660"/>
      <c r="GI432" s="660"/>
      <c r="GJ432" s="660"/>
      <c r="GK432" s="660"/>
      <c r="GL432" s="660"/>
      <c r="GM432" s="660"/>
      <c r="GN432" s="660"/>
      <c r="GO432" s="660"/>
      <c r="GP432" s="660"/>
      <c r="GQ432" s="660"/>
      <c r="GR432" s="660"/>
      <c r="GS432" s="660"/>
      <c r="GT432" s="658">
        <f>IF(SUM(GT382:GT431)&gt;0,1,0)</f>
        <v>0</v>
      </c>
      <c r="GU432" s="658">
        <f>IF(SUM(GU382:GU431)&gt;0,1,0)</f>
        <v>0</v>
      </c>
      <c r="GV432" s="658">
        <f>IF(SUM(GV382:GV431)&gt;0,1,0)</f>
        <v>0</v>
      </c>
      <c r="GW432" s="658" t="b">
        <f t="shared" si="371"/>
        <v>0</v>
      </c>
      <c r="GX432" s="658" t="b">
        <f t="shared" si="372"/>
        <v>0</v>
      </c>
      <c r="GY432" s="658" t="b">
        <f t="shared" si="373"/>
        <v>0</v>
      </c>
      <c r="GZ432" s="658" t="str">
        <f t="shared" si="378"/>
        <v/>
      </c>
      <c r="HB432" s="660"/>
      <c r="HC432" s="660"/>
      <c r="HD432" s="660"/>
      <c r="HE432" s="660"/>
      <c r="HF432" s="660"/>
      <c r="HG432" s="660"/>
      <c r="HH432" s="660"/>
      <c r="HI432" s="660"/>
      <c r="HJ432" s="660"/>
      <c r="HK432" s="660"/>
      <c r="HL432" s="660"/>
      <c r="HM432" s="660"/>
      <c r="HN432" s="660"/>
      <c r="HO432" s="660"/>
      <c r="HP432" s="660"/>
      <c r="HQ432" s="660"/>
      <c r="HR432" s="660"/>
      <c r="HT432" s="1133"/>
      <c r="HU432" s="1133"/>
      <c r="HV432" s="1133"/>
      <c r="HW432" s="1133"/>
      <c r="HX432" s="1133"/>
    </row>
    <row r="433" spans="1:232" s="19" customFormat="1" ht="35.1" customHeight="1" thickBot="1" x14ac:dyDescent="0.55000000000000004">
      <c r="A433" s="1201"/>
      <c r="B433" s="1201"/>
      <c r="C433" s="1201"/>
      <c r="D433" s="1201"/>
      <c r="E433" s="1202"/>
      <c r="F433" s="652"/>
      <c r="G433" s="652"/>
      <c r="H433" s="652"/>
      <c r="I433" s="1354"/>
      <c r="J433" s="1234"/>
      <c r="K433" s="1261"/>
      <c r="L433" s="1261"/>
      <c r="M433" s="2474" t="s">
        <v>2830</v>
      </c>
      <c r="N433" s="2474"/>
      <c r="O433" s="2474"/>
      <c r="P433" s="2474"/>
      <c r="Q433" s="2474"/>
      <c r="R433" s="2474"/>
      <c r="S433" s="2474"/>
      <c r="T433" s="2474"/>
      <c r="U433" s="2474"/>
      <c r="V433" s="2474"/>
      <c r="W433" s="2474"/>
      <c r="X433" s="2474"/>
      <c r="Y433" s="2474"/>
      <c r="Z433" s="2474"/>
      <c r="AA433" s="2474"/>
      <c r="AB433" s="2474"/>
      <c r="AC433" s="2474"/>
      <c r="AD433" s="2474"/>
      <c r="AE433" s="2474"/>
      <c r="AF433" s="2474"/>
      <c r="AG433" s="2474"/>
      <c r="AH433" s="2474"/>
      <c r="AI433" s="2474"/>
      <c r="AJ433" s="2474"/>
      <c r="AK433" s="2474"/>
      <c r="AL433" s="2474"/>
      <c r="AM433" s="2474"/>
      <c r="AN433" s="2474"/>
      <c r="AO433" s="2474"/>
      <c r="AP433" s="2474"/>
      <c r="AQ433" s="2474"/>
      <c r="AR433" s="2474"/>
      <c r="AS433" s="2474"/>
      <c r="AT433" s="2474"/>
      <c r="AU433" s="2474"/>
      <c r="AV433" s="2474"/>
      <c r="AW433" s="2474"/>
      <c r="AX433" s="2474"/>
      <c r="AY433" s="2474"/>
      <c r="AZ433" s="2474"/>
      <c r="BA433" s="2474"/>
      <c r="BB433" s="2474"/>
      <c r="BC433" s="2474"/>
      <c r="BD433" s="2474"/>
      <c r="BE433" s="2474"/>
      <c r="BF433" s="2474"/>
      <c r="BG433" s="2474"/>
      <c r="BH433" s="2474"/>
      <c r="BI433" s="2474"/>
      <c r="BJ433" s="2474"/>
      <c r="BK433" s="2474"/>
      <c r="BL433" s="2474"/>
      <c r="BM433" s="2474"/>
      <c r="BN433" s="2474"/>
      <c r="BO433" s="2474"/>
      <c r="BP433" s="2474"/>
      <c r="BQ433" s="2474"/>
      <c r="BR433" s="2474"/>
      <c r="BS433" s="2474"/>
      <c r="BT433" s="2474"/>
      <c r="BU433" s="2474"/>
      <c r="BV433" s="2474"/>
      <c r="BW433" s="2474"/>
      <c r="BX433" s="2474"/>
      <c r="BY433" s="2474"/>
      <c r="BZ433" s="2474"/>
      <c r="CA433" s="2474"/>
      <c r="CB433" s="2474"/>
      <c r="CC433" s="2474"/>
      <c r="CD433" s="2474"/>
      <c r="CE433" s="2474"/>
      <c r="CF433" s="2474"/>
      <c r="CG433" s="2474"/>
      <c r="CH433" s="2474"/>
      <c r="CI433" s="2474"/>
      <c r="CJ433" s="2474"/>
      <c r="CK433" s="2474"/>
      <c r="CL433" s="2474"/>
      <c r="CM433" s="2474"/>
      <c r="CN433" s="2474"/>
      <c r="CO433" s="2474"/>
      <c r="CP433" s="2474"/>
      <c r="CQ433" s="2474"/>
      <c r="CR433" s="2474"/>
      <c r="CS433" s="2474"/>
      <c r="CT433" s="2474"/>
      <c r="CU433" s="2475"/>
      <c r="CV433" s="2300" t="str">
        <f>IF(AND(DT433="要是正",DU433&lt;21),HYPERLINK("#"&amp;EL433&amp;"!"&amp;EM433&amp;":"&amp;EN433&amp;"","関連写真添付"),"")</f>
        <v/>
      </c>
      <c r="CW433" s="2300"/>
      <c r="CX433" s="2300"/>
      <c r="CY433" s="2300"/>
      <c r="CZ433" s="2300"/>
      <c r="DA433" s="2300"/>
      <c r="DC433" s="329" t="str">
        <f>IF(AND(DU433&lt;&gt;"",DU433&gt;10),"「別途様式を作成、提出してください。」","")</f>
        <v/>
      </c>
      <c r="DD433" s="197"/>
      <c r="DE433" s="14"/>
      <c r="DF433" s="14"/>
      <c r="DG433" s="14"/>
      <c r="DH433" s="14"/>
      <c r="DI433" s="1596"/>
      <c r="DJ433" s="1157"/>
      <c r="DK433" s="1608"/>
      <c r="DL433" s="2058" t="s">
        <v>3414</v>
      </c>
      <c r="DM433" s="1623" t="str">
        <f>IF(AND(DN433="",DO433="",DP433="",DM474&lt;&gt;0),"レ","")</f>
        <v/>
      </c>
      <c r="DN433" s="1623" t="str">
        <f>IF(AND(DO433="",DP433="",DN474&lt;&gt;0),"レ","")</f>
        <v/>
      </c>
      <c r="DO433" s="1623" t="str">
        <f>IF(DO474&lt;&gt;0,"レ","")</f>
        <v/>
      </c>
      <c r="DP433" s="1623" t="str">
        <f>IF(AND(DO433="",DP474&lt;&gt;0),"レ","")</f>
        <v/>
      </c>
      <c r="DQ433" s="25"/>
      <c r="DR433" s="25"/>
      <c r="DS433" s="25"/>
      <c r="DT433" s="24"/>
      <c r="DU433" s="57"/>
      <c r="DV433" s="305"/>
      <c r="DW433" s="2047" t="s">
        <v>3422</v>
      </c>
      <c r="DX433" s="2885"/>
      <c r="DY433" s="2048" t="str">
        <f>SUBSTITUTE(TRIM(DY436&amp;"　"&amp;DY437&amp;"　"&amp;DY438&amp;"　"&amp;DY439&amp;"　"&amp;DY440&amp;"　"&amp;DY441&amp;"　"&amp;DY442&amp;"　"&amp;DY443&amp;"　"&amp;DY444&amp;"　"&amp;DY445&amp;"　"&amp;DY446&amp;"　"&amp;DY447&amp;"　"&amp;DY448&amp;"　"&amp;DY449&amp;"　"&amp;DY450&amp;"　"&amp;DY451&amp;"　"&amp;DY452&amp;"　"&amp;DY453&amp;"　"&amp;DY454&amp;"　"&amp;DY455&amp;"　"&amp;DY456&amp;"　"&amp;DY457&amp;"　"&amp;DY458&amp;"　"&amp;DY459&amp;"　"&amp;DY460&amp;"　"&amp;DY461&amp;"　"&amp;DY462&amp;"　"&amp;DY463&amp;"　"&amp;DY464&amp;"　"&amp;DY465&amp;"　"&amp;DY466&amp;"　"&amp;DY467&amp;"　"&amp;DY468&amp;"　"&amp;DY469&amp;"　"&amp;DY470&amp;"　"&amp;DY471&amp;"　"&amp;DY472&amp;"　"&amp;DY473),"　",", ")&amp;HP536</f>
        <v/>
      </c>
      <c r="DZ433" s="2370" t="s">
        <v>1625</v>
      </c>
      <c r="EA433" s="2371"/>
      <c r="EB433" s="2060" t="str">
        <f>IF(COUNTIF(ED436:ED473,1)&gt;0,"レ","")</f>
        <v/>
      </c>
      <c r="EC433" s="202"/>
      <c r="ED433" s="2061" t="str">
        <f>IF(EB433="レ",YEAR(EE474)-VLOOKUP(EE474,$DS$6:$DV$9,4,TRUE),"")</f>
        <v/>
      </c>
      <c r="EE433" s="2061" t="str">
        <f>IF(EB433="レ",MONTH(EE474),IF(AND(DO433="レ",EF433="レ",EF474=0),"",IF(AND(DO433="レ",EF433="レ",EF474&gt;0),"","")))</f>
        <v/>
      </c>
      <c r="EF433" s="2062" t="str">
        <f>IF(EB433="",IF(OR(EF474&gt;0,DO433="レ"),"レ",""),"")</f>
        <v/>
      </c>
      <c r="EG433" s="2060" t="str">
        <f>IF(AND(COUNTIF(DT436:DT473,"要是正")=0,COUNTIF(EI436:EI473,1)&gt;0),"レ","")</f>
        <v/>
      </c>
      <c r="EH433" s="202"/>
      <c r="EI433" s="2061" t="str">
        <f>IF(EG433="レ",YEAR(EJ474)-VLOOKUP(EJ474,$DS$6:$DV$9,4,TRUE),"")</f>
        <v/>
      </c>
      <c r="EJ433" s="2061" t="str">
        <f>IF(EG433="レ",MONTH(EJ474),IF(AND(DP433="レ",EK433="レ",EK474=0),"",IF(AND(DP433="レ",EK433="レ",EK474&gt;0),"","")))</f>
        <v/>
      </c>
      <c r="EK433" s="2062" t="str">
        <f>IF(EG433="",IF(OR(EK474&gt;0,DP433="レ"),"レ",""),"")</f>
        <v/>
      </c>
      <c r="EL433" s="57"/>
      <c r="EM433" s="57"/>
      <c r="EN433" s="57"/>
      <c r="EO433" s="15"/>
      <c r="EP433" s="15"/>
      <c r="EQ433" s="15"/>
      <c r="ER433" s="15"/>
      <c r="ES433" s="2098" t="str">
        <f>$GZ$539</f>
        <v>要是正なし</v>
      </c>
      <c r="ET433" s="15"/>
      <c r="EU433" s="15"/>
      <c r="EV433" s="15"/>
      <c r="EW433" s="15"/>
      <c r="EX433" s="15"/>
      <c r="EY433" s="15"/>
      <c r="EZ433" s="15"/>
      <c r="FA433" s="15"/>
      <c r="FB433" s="15"/>
      <c r="FC433" s="15"/>
      <c r="FD433" s="15"/>
      <c r="FE433" s="15"/>
      <c r="FF433" s="15"/>
      <c r="FG433" s="15"/>
      <c r="FH433" s="15"/>
      <c r="FI433" s="15"/>
      <c r="FK433" s="351"/>
      <c r="FL433" s="351"/>
      <c r="FM433" s="351"/>
      <c r="FN433" s="351"/>
      <c r="FO433" s="670"/>
      <c r="FQ433" s="134" t="str">
        <f>IF(COUNTIF(FS436:FS473,1)&gt;0,"レ","")</f>
        <v/>
      </c>
      <c r="FR433" s="202"/>
      <c r="FS433" s="135" t="str">
        <f>IF(FQ433="レ",TEXT(FT474,"ee"),"")</f>
        <v/>
      </c>
      <c r="FT433" s="135" t="str">
        <f>IF(FQ433="レ",MONTH(FT474),IF(AND(FH433="レ",FU433="レ",FU474=0),"",IF(AND(FH433="レ",FU433="レ",FU474&gt;0),"未定","")))</f>
        <v/>
      </c>
      <c r="FU433" s="200" t="str">
        <f>IF(FQ433="",IF(OR(FU474&gt;0,FH433="レ"),"レ",""),"")</f>
        <v/>
      </c>
      <c r="FW433" s="667">
        <f t="shared" si="433"/>
        <v>0</v>
      </c>
      <c r="FX433" s="32"/>
      <c r="FY433" s="32"/>
      <c r="FZ433" s="668"/>
      <c r="GA433" s="14"/>
      <c r="GB433" s="32"/>
      <c r="GC433" s="32"/>
      <c r="GE433" s="32"/>
      <c r="GF433" s="32"/>
      <c r="GG433" s="32"/>
      <c r="GH433" s="32"/>
      <c r="GI433" s="32"/>
      <c r="GJ433" s="32"/>
      <c r="GK433" s="32"/>
      <c r="GL433" s="32"/>
      <c r="GM433" s="32"/>
      <c r="GN433" s="32"/>
      <c r="GO433" s="32"/>
      <c r="GP433" s="32"/>
      <c r="GQ433" s="32"/>
      <c r="GR433" s="32"/>
      <c r="GS433" s="32"/>
      <c r="GT433" s="32"/>
      <c r="GU433" s="32"/>
      <c r="GV433" s="32"/>
      <c r="GW433" s="32"/>
      <c r="GX433" s="32"/>
      <c r="GY433" s="32"/>
      <c r="HB433" s="32"/>
      <c r="HC433" s="32"/>
      <c r="HD433" s="32"/>
      <c r="HE433" s="32"/>
      <c r="HF433" s="32"/>
      <c r="HG433" s="32"/>
      <c r="HH433" s="32"/>
      <c r="HI433" s="32"/>
      <c r="HJ433" s="32"/>
      <c r="HK433" s="32"/>
      <c r="HL433" s="32"/>
      <c r="HM433" s="32"/>
      <c r="HN433" s="32"/>
      <c r="HO433" s="32"/>
      <c r="HP433" s="32"/>
      <c r="HQ433" s="32"/>
      <c r="HR433" s="32"/>
      <c r="HT433" s="1134"/>
      <c r="HU433" s="1134"/>
      <c r="HV433" s="1134"/>
      <c r="HW433" s="1134"/>
      <c r="HX433" s="1134"/>
    </row>
    <row r="434" spans="1:232" s="19" customFormat="1" ht="36" customHeight="1" thickBot="1" x14ac:dyDescent="0.2">
      <c r="A434" s="1201"/>
      <c r="B434" s="1201"/>
      <c r="C434" s="1201"/>
      <c r="D434" s="1201"/>
      <c r="E434" s="1202"/>
      <c r="F434" s="652"/>
      <c r="G434" s="652"/>
      <c r="H434" s="652"/>
      <c r="I434" s="1351"/>
      <c r="J434" s="1260"/>
      <c r="K434" s="1261"/>
      <c r="L434" s="1261"/>
      <c r="M434" s="2471" t="s">
        <v>31</v>
      </c>
      <c r="N434" s="2471"/>
      <c r="O434" s="2471"/>
      <c r="P434" s="2387" t="s">
        <v>32</v>
      </c>
      <c r="Q434" s="2387"/>
      <c r="R434" s="2387"/>
      <c r="S434" s="2387"/>
      <c r="T434" s="2387"/>
      <c r="U434" s="2387"/>
      <c r="V434" s="2387"/>
      <c r="W434" s="2387"/>
      <c r="X434" s="2387"/>
      <c r="Y434" s="2387"/>
      <c r="Z434" s="2387"/>
      <c r="AA434" s="2387"/>
      <c r="AB434" s="2387"/>
      <c r="AC434" s="2387"/>
      <c r="AD434" s="2387"/>
      <c r="AE434" s="2387"/>
      <c r="AF434" s="2387" t="s">
        <v>33</v>
      </c>
      <c r="AG434" s="2387"/>
      <c r="AH434" s="2387"/>
      <c r="AI434" s="2387"/>
      <c r="AJ434" s="2387"/>
      <c r="AK434" s="2387"/>
      <c r="AL434" s="2387"/>
      <c r="AM434" s="2387"/>
      <c r="AN434" s="2387"/>
      <c r="AO434" s="2387"/>
      <c r="AP434" s="2387"/>
      <c r="AQ434" s="2387"/>
      <c r="AR434" s="2387" t="s">
        <v>716</v>
      </c>
      <c r="AS434" s="2387"/>
      <c r="AT434" s="2388" t="s">
        <v>149</v>
      </c>
      <c r="AU434" s="2388"/>
      <c r="AV434" s="2388"/>
      <c r="AW434" s="2388"/>
      <c r="AX434" s="2388"/>
      <c r="AY434" s="2388"/>
      <c r="AZ434" s="2388"/>
      <c r="BA434" s="2388"/>
      <c r="BB434" s="2388"/>
      <c r="BC434" s="2388"/>
      <c r="BD434" s="2388" t="s">
        <v>187</v>
      </c>
      <c r="BE434" s="2388"/>
      <c r="BF434" s="2388"/>
      <c r="BG434" s="2388"/>
      <c r="BH434" s="2388"/>
      <c r="BI434" s="2388"/>
      <c r="BJ434" s="2388"/>
      <c r="BK434" s="2388"/>
      <c r="BL434" s="2388"/>
      <c r="BM434" s="2388"/>
      <c r="BN434" s="2388"/>
      <c r="BO434" s="2388"/>
      <c r="BP434" s="2388"/>
      <c r="BQ434" s="2388"/>
      <c r="BR434" s="2388"/>
      <c r="BS434" s="2387" t="s">
        <v>352</v>
      </c>
      <c r="BT434" s="2388"/>
      <c r="BU434" s="2388"/>
      <c r="BV434" s="2388"/>
      <c r="BW434" s="2388"/>
      <c r="BX434" s="2388"/>
      <c r="BY434" s="2388"/>
      <c r="BZ434" s="2388"/>
      <c r="CA434" s="2388"/>
      <c r="CB434" s="2363" t="s">
        <v>1919</v>
      </c>
      <c r="CC434" s="2363"/>
      <c r="CD434" s="2363"/>
      <c r="CE434" s="2363"/>
      <c r="CF434" s="2363"/>
      <c r="CG434" s="2363"/>
      <c r="CH434" s="2363"/>
      <c r="CI434" s="2363"/>
      <c r="CJ434" s="2363"/>
      <c r="CK434" s="2363"/>
      <c r="CL434" s="2363"/>
      <c r="CM434" s="2363"/>
      <c r="CN434" s="2363"/>
      <c r="CO434" s="2363"/>
      <c r="CP434" s="2363"/>
      <c r="CQ434" s="2363"/>
      <c r="CR434" s="2363"/>
      <c r="CS434" s="2363"/>
      <c r="CT434" s="2363"/>
      <c r="CU434" s="2364"/>
      <c r="CV434" s="421"/>
      <c r="CW434" s="421"/>
      <c r="CX434" s="20"/>
      <c r="CY434" s="20"/>
      <c r="CZ434" s="20"/>
      <c r="DA434" s="20"/>
      <c r="DB434" s="20"/>
      <c r="DC434" s="15"/>
      <c r="DD434" s="197"/>
      <c r="DE434" s="14"/>
      <c r="DF434" s="14"/>
      <c r="DG434" s="14"/>
      <c r="DH434" s="14"/>
      <c r="DI434" s="1596"/>
      <c r="DJ434" s="1157"/>
      <c r="DK434" s="1608"/>
      <c r="DL434" s="14"/>
      <c r="DM434" s="72"/>
      <c r="DN434" s="14"/>
      <c r="DO434" s="14"/>
      <c r="DP434" s="14"/>
      <c r="DQ434" s="14"/>
      <c r="DR434" s="14"/>
      <c r="DU434" s="304"/>
      <c r="DV434" s="182"/>
      <c r="DW434" s="310"/>
      <c r="DX434" s="2885"/>
      <c r="DY434" s="2883" t="s">
        <v>872</v>
      </c>
      <c r="DZ434" s="2290" t="s">
        <v>187</v>
      </c>
      <c r="EA434" s="2372" t="s">
        <v>1605</v>
      </c>
      <c r="EB434" s="2262" t="s">
        <v>24</v>
      </c>
      <c r="EC434" s="2263"/>
      <c r="ED434" s="2263"/>
      <c r="EE434" s="2263"/>
      <c r="EF434" s="2263"/>
      <c r="EG434" s="2367" t="s">
        <v>891</v>
      </c>
      <c r="EH434" s="2368"/>
      <c r="EI434" s="2368"/>
      <c r="EJ434" s="2368"/>
      <c r="EK434" s="2369"/>
      <c r="EL434" s="2304" t="s">
        <v>898</v>
      </c>
      <c r="EM434" s="2305"/>
      <c r="EN434" s="2306"/>
      <c r="EO434" s="2281"/>
      <c r="EP434" s="2281"/>
      <c r="EQ434" s="2281"/>
      <c r="ER434" s="2281"/>
      <c r="ES434" s="15"/>
      <c r="ET434" s="2281"/>
      <c r="EU434" s="2281"/>
      <c r="EV434" s="2281"/>
      <c r="EW434" s="2281"/>
      <c r="EX434" s="2281"/>
      <c r="EY434" s="2265"/>
      <c r="EZ434" s="2265"/>
      <c r="FA434" s="2265"/>
      <c r="FB434" s="2265"/>
      <c r="FC434" s="2265"/>
      <c r="FD434" s="2265"/>
      <c r="FE434" s="2265"/>
      <c r="FF434" s="2265"/>
      <c r="FG434" s="2265"/>
      <c r="FH434" s="2265"/>
      <c r="FI434" s="31"/>
      <c r="FJ434" s="20"/>
      <c r="FK434" s="2283" t="s">
        <v>1108</v>
      </c>
      <c r="FL434" s="2284"/>
      <c r="FM434" s="2284"/>
      <c r="FN434" s="2284"/>
      <c r="FO434" s="2285"/>
      <c r="FQ434" s="2262" t="s">
        <v>24</v>
      </c>
      <c r="FR434" s="2263"/>
      <c r="FS434" s="2263"/>
      <c r="FT434" s="2263"/>
      <c r="FU434" s="2264"/>
      <c r="FW434" s="667" t="str">
        <f t="shared" si="433"/>
        <v>指摘の具体的内容等</v>
      </c>
      <c r="FX434" s="32"/>
      <c r="FY434" s="32"/>
      <c r="FZ434" s="668"/>
      <c r="GA434" s="14"/>
      <c r="GB434" s="32"/>
      <c r="GC434" s="32"/>
      <c r="GE434" s="32"/>
      <c r="GF434" s="32"/>
      <c r="GG434" s="32"/>
      <c r="GH434" s="32"/>
      <c r="GI434" s="32"/>
      <c r="GJ434" s="32"/>
      <c r="GK434" s="32"/>
      <c r="GL434" s="32"/>
      <c r="GM434" s="32"/>
      <c r="GN434" s="32"/>
      <c r="GO434" s="32"/>
      <c r="GP434" s="32"/>
      <c r="GQ434" s="32"/>
      <c r="GR434" s="32"/>
      <c r="GS434" s="32"/>
      <c r="GT434" s="32"/>
      <c r="GU434" s="32"/>
      <c r="GV434" s="73"/>
      <c r="GW434" s="32"/>
      <c r="GX434" s="32"/>
      <c r="GY434" s="32"/>
      <c r="HB434" s="32"/>
      <c r="HC434" s="32"/>
      <c r="HD434" s="32"/>
      <c r="HE434" s="32"/>
      <c r="HF434" s="32"/>
      <c r="HG434" s="32"/>
      <c r="HH434" s="32"/>
      <c r="HI434" s="32"/>
      <c r="HJ434" s="32"/>
      <c r="HK434" s="32"/>
      <c r="HL434" s="32"/>
      <c r="HM434" s="32"/>
      <c r="HN434" s="32"/>
      <c r="HO434" s="32"/>
      <c r="HP434" s="32"/>
      <c r="HQ434" s="32"/>
      <c r="HR434" s="32"/>
      <c r="HS434" s="73"/>
      <c r="HT434" s="1134"/>
      <c r="HU434" s="1134"/>
      <c r="HV434" s="1134"/>
      <c r="HW434" s="1134"/>
      <c r="HX434" s="1134"/>
    </row>
    <row r="435" spans="1:232" s="19" customFormat="1" ht="36" customHeight="1" thickBot="1" x14ac:dyDescent="0.2">
      <c r="A435" s="1201"/>
      <c r="B435" s="1201"/>
      <c r="C435" s="1201"/>
      <c r="D435" s="1201"/>
      <c r="E435" s="1202"/>
      <c r="F435" s="652"/>
      <c r="G435" s="652"/>
      <c r="H435" s="652"/>
      <c r="I435" s="1351"/>
      <c r="J435" s="1260"/>
      <c r="K435" s="1261"/>
      <c r="L435" s="1261"/>
      <c r="M435" s="2289"/>
      <c r="N435" s="2289"/>
      <c r="O435" s="2289"/>
      <c r="P435" s="2289"/>
      <c r="Q435" s="2289"/>
      <c r="R435" s="2289"/>
      <c r="S435" s="2289"/>
      <c r="T435" s="2289"/>
      <c r="U435" s="2289"/>
      <c r="V435" s="2289"/>
      <c r="W435" s="2289"/>
      <c r="X435" s="2289"/>
      <c r="Y435" s="2289"/>
      <c r="Z435" s="2289"/>
      <c r="AA435" s="2289"/>
      <c r="AB435" s="2289"/>
      <c r="AC435" s="2289"/>
      <c r="AD435" s="2289"/>
      <c r="AE435" s="2289"/>
      <c r="AF435" s="2289"/>
      <c r="AG435" s="2289"/>
      <c r="AH435" s="2289"/>
      <c r="AI435" s="2289"/>
      <c r="AJ435" s="2289"/>
      <c r="AK435" s="2289"/>
      <c r="AL435" s="2289"/>
      <c r="AM435" s="2289"/>
      <c r="AN435" s="2289"/>
      <c r="AO435" s="2289"/>
      <c r="AP435" s="2289"/>
      <c r="AQ435" s="2289"/>
      <c r="AR435" s="2289"/>
      <c r="AS435" s="2289"/>
      <c r="AT435" s="2386"/>
      <c r="AU435" s="2386"/>
      <c r="AV435" s="2386"/>
      <c r="AW435" s="2386"/>
      <c r="AX435" s="2386"/>
      <c r="AY435" s="2386"/>
      <c r="AZ435" s="2386"/>
      <c r="BA435" s="2386"/>
      <c r="BB435" s="2386"/>
      <c r="BC435" s="2386"/>
      <c r="BD435" s="2386"/>
      <c r="BE435" s="2386"/>
      <c r="BF435" s="2386"/>
      <c r="BG435" s="2386"/>
      <c r="BH435" s="2386"/>
      <c r="BI435" s="2386"/>
      <c r="BJ435" s="2386"/>
      <c r="BK435" s="2386"/>
      <c r="BL435" s="2386"/>
      <c r="BM435" s="2386"/>
      <c r="BN435" s="2386"/>
      <c r="BO435" s="2386"/>
      <c r="BP435" s="2386"/>
      <c r="BQ435" s="2386"/>
      <c r="BR435" s="2386"/>
      <c r="BS435" s="2289" t="s">
        <v>827</v>
      </c>
      <c r="BT435" s="2289"/>
      <c r="BU435" s="2289"/>
      <c r="BV435" s="2289" t="s">
        <v>348</v>
      </c>
      <c r="BW435" s="2289"/>
      <c r="BX435" s="2289"/>
      <c r="BY435" s="2289" t="s">
        <v>1314</v>
      </c>
      <c r="BZ435" s="2386"/>
      <c r="CA435" s="2386"/>
      <c r="CB435" s="2365"/>
      <c r="CC435" s="2365"/>
      <c r="CD435" s="2365"/>
      <c r="CE435" s="2365"/>
      <c r="CF435" s="2365"/>
      <c r="CG435" s="2365"/>
      <c r="CH435" s="2365"/>
      <c r="CI435" s="2365"/>
      <c r="CJ435" s="2365"/>
      <c r="CK435" s="2365"/>
      <c r="CL435" s="2365"/>
      <c r="CM435" s="2365"/>
      <c r="CN435" s="2365"/>
      <c r="CO435" s="2365"/>
      <c r="CP435" s="2365"/>
      <c r="CQ435" s="2365"/>
      <c r="CR435" s="2365"/>
      <c r="CS435" s="2365"/>
      <c r="CT435" s="2365"/>
      <c r="CU435" s="2366"/>
      <c r="CV435" s="421"/>
      <c r="CW435" s="421"/>
      <c r="CX435" s="20"/>
      <c r="CY435" s="20"/>
      <c r="CZ435" s="20"/>
      <c r="DA435" s="20"/>
      <c r="DB435" s="20"/>
      <c r="DC435" s="15"/>
      <c r="DD435" s="197"/>
      <c r="DE435" s="14"/>
      <c r="DF435" s="14"/>
      <c r="DG435" s="14"/>
      <c r="DH435" s="14"/>
      <c r="DI435" s="1596"/>
      <c r="DJ435" s="1169" t="s">
        <v>2752</v>
      </c>
      <c r="DK435" s="1599" t="s">
        <v>2751</v>
      </c>
      <c r="DL435" s="269" t="s">
        <v>2753</v>
      </c>
      <c r="DM435" s="281" t="s">
        <v>325</v>
      </c>
      <c r="DN435" s="261" t="s">
        <v>326</v>
      </c>
      <c r="DO435" s="261" t="s">
        <v>327</v>
      </c>
      <c r="DP435" s="262" t="s">
        <v>328</v>
      </c>
      <c r="DQ435" s="98" t="s">
        <v>825</v>
      </c>
      <c r="DR435" s="260" t="s">
        <v>718</v>
      </c>
      <c r="DS435" s="283" t="s">
        <v>717</v>
      </c>
      <c r="DT435" s="269" t="s">
        <v>710</v>
      </c>
      <c r="DU435" s="271" t="s">
        <v>881</v>
      </c>
      <c r="DV435" s="291" t="s">
        <v>873</v>
      </c>
      <c r="DW435" s="21" t="s">
        <v>660</v>
      </c>
      <c r="DX435" s="2886"/>
      <c r="DY435" s="2884"/>
      <c r="DZ435" s="2291"/>
      <c r="EA435" s="2373"/>
      <c r="EB435" s="139" t="s">
        <v>910</v>
      </c>
      <c r="EC435" s="132" t="s">
        <v>909</v>
      </c>
      <c r="ED435" s="132" t="s">
        <v>903</v>
      </c>
      <c r="EE435" s="119" t="s">
        <v>904</v>
      </c>
      <c r="EF435" s="120" t="s">
        <v>905</v>
      </c>
      <c r="EG435" s="118" t="s">
        <v>901</v>
      </c>
      <c r="EH435" s="119" t="s">
        <v>902</v>
      </c>
      <c r="EI435" s="132" t="s">
        <v>903</v>
      </c>
      <c r="EJ435" s="119" t="s">
        <v>904</v>
      </c>
      <c r="EK435" s="240" t="s">
        <v>905</v>
      </c>
      <c r="EL435" s="127" t="s">
        <v>336</v>
      </c>
      <c r="EM435" s="23" t="s">
        <v>658</v>
      </c>
      <c r="EN435" s="124" t="s">
        <v>659</v>
      </c>
      <c r="EO435" s="15"/>
      <c r="EP435" s="185"/>
      <c r="EQ435" s="185"/>
      <c r="ER435" s="185"/>
      <c r="ES435" s="181"/>
      <c r="ET435" s="15"/>
      <c r="EU435" s="181"/>
      <c r="EV435" s="181"/>
      <c r="EW435" s="181"/>
      <c r="EX435" s="181"/>
      <c r="EY435" s="182"/>
      <c r="EZ435" s="182"/>
      <c r="FA435" s="182"/>
      <c r="FB435" s="182"/>
      <c r="FC435" s="182"/>
      <c r="FD435" s="182"/>
      <c r="FE435" s="182"/>
      <c r="FF435" s="182"/>
      <c r="FG435" s="182"/>
      <c r="FH435" s="182"/>
      <c r="FI435" s="31"/>
      <c r="FJ435" s="20"/>
      <c r="FK435" s="2286"/>
      <c r="FL435" s="2287"/>
      <c r="FM435" s="2287"/>
      <c r="FN435" s="2287"/>
      <c r="FO435" s="2288"/>
      <c r="FQ435" s="139" t="s">
        <v>910</v>
      </c>
      <c r="FR435" s="132" t="s">
        <v>909</v>
      </c>
      <c r="FS435" s="132" t="s">
        <v>903</v>
      </c>
      <c r="FT435" s="119" t="s">
        <v>904</v>
      </c>
      <c r="FU435" s="216" t="s">
        <v>905</v>
      </c>
      <c r="FW435" s="667">
        <f t="shared" si="433"/>
        <v>0</v>
      </c>
      <c r="FX435" s="32"/>
      <c r="FY435" s="32"/>
      <c r="FZ435" s="668"/>
      <c r="GA435" s="14"/>
      <c r="GB435" s="32"/>
      <c r="GC435" s="32"/>
      <c r="GE435" s="672"/>
      <c r="GF435" s="672"/>
      <c r="GG435" s="672"/>
      <c r="GH435" s="672"/>
      <c r="GI435" s="672"/>
      <c r="GJ435" s="672"/>
      <c r="GK435" s="672"/>
      <c r="GL435" s="672"/>
      <c r="GM435" s="672"/>
      <c r="GN435" s="672"/>
      <c r="GO435" s="672"/>
      <c r="GP435" s="672"/>
      <c r="GQ435" s="672"/>
      <c r="GR435" s="672"/>
      <c r="GS435" s="672"/>
      <c r="GT435" s="672"/>
      <c r="GU435" s="672"/>
      <c r="GV435" s="672"/>
      <c r="GW435" s="32"/>
      <c r="GX435" s="32"/>
      <c r="GY435" s="32"/>
      <c r="HB435" s="672"/>
      <c r="HC435" s="672"/>
      <c r="HD435" s="672"/>
      <c r="HE435" s="672"/>
      <c r="HF435" s="672"/>
      <c r="HG435" s="672"/>
      <c r="HH435" s="672"/>
      <c r="HI435" s="672"/>
      <c r="HJ435" s="672"/>
      <c r="HK435" s="672"/>
      <c r="HL435" s="672"/>
      <c r="HM435" s="672"/>
      <c r="HN435" s="672"/>
      <c r="HO435" s="672"/>
      <c r="HP435" s="672"/>
      <c r="HQ435" s="672"/>
      <c r="HR435" s="672"/>
      <c r="HT435" s="1135"/>
      <c r="HU435" s="1135"/>
      <c r="HV435" s="1135"/>
      <c r="HW435" s="1135"/>
      <c r="HX435" s="1135"/>
    </row>
    <row r="436" spans="1:232" s="19" customFormat="1" ht="50.1" customHeight="1" x14ac:dyDescent="0.15">
      <c r="A436" s="1201"/>
      <c r="B436" s="1201"/>
      <c r="C436" s="1201"/>
      <c r="D436" s="1201"/>
      <c r="E436" s="1202"/>
      <c r="F436" s="652"/>
      <c r="G436" s="652"/>
      <c r="H436" s="652"/>
      <c r="I436" s="1354"/>
      <c r="J436" s="1234"/>
      <c r="K436" s="1261"/>
      <c r="L436" s="1261"/>
      <c r="M436" s="2478" t="s">
        <v>1195</v>
      </c>
      <c r="N436" s="2478"/>
      <c r="O436" s="2478"/>
      <c r="P436" s="2429" t="s">
        <v>2831</v>
      </c>
      <c r="Q436" s="2429"/>
      <c r="R436" s="2429"/>
      <c r="S436" s="2429"/>
      <c r="T436" s="2429"/>
      <c r="U436" s="2429" t="s">
        <v>197</v>
      </c>
      <c r="V436" s="2429"/>
      <c r="W436" s="2429"/>
      <c r="X436" s="2429"/>
      <c r="Y436" s="2429"/>
      <c r="Z436" s="2429"/>
      <c r="AA436" s="2429"/>
      <c r="AB436" s="2429"/>
      <c r="AC436" s="2429"/>
      <c r="AD436" s="2429"/>
      <c r="AE436" s="2429"/>
      <c r="AF436" s="2293"/>
      <c r="AG436" s="2293"/>
      <c r="AH436" s="2293"/>
      <c r="AI436" s="2293"/>
      <c r="AJ436" s="2293"/>
      <c r="AK436" s="2293"/>
      <c r="AL436" s="2293"/>
      <c r="AM436" s="2293"/>
      <c r="AN436" s="2293"/>
      <c r="AO436" s="2293"/>
      <c r="AP436" s="2293"/>
      <c r="AQ436" s="2293"/>
      <c r="AR436" s="2359"/>
      <c r="AS436" s="2359"/>
      <c r="AT436" s="2301"/>
      <c r="AU436" s="2301"/>
      <c r="AV436" s="2301"/>
      <c r="AW436" s="2301"/>
      <c r="AX436" s="2301"/>
      <c r="AY436" s="2301"/>
      <c r="AZ436" s="2301"/>
      <c r="BA436" s="2301"/>
      <c r="BB436" s="2301"/>
      <c r="BC436" s="2301"/>
      <c r="BD436" s="2301"/>
      <c r="BE436" s="2301"/>
      <c r="BF436" s="2301"/>
      <c r="BG436" s="2301"/>
      <c r="BH436" s="2301"/>
      <c r="BI436" s="2301"/>
      <c r="BJ436" s="2301"/>
      <c r="BK436" s="2301"/>
      <c r="BL436" s="2301"/>
      <c r="BM436" s="2301"/>
      <c r="BN436" s="2301"/>
      <c r="BO436" s="2301"/>
      <c r="BP436" s="2301"/>
      <c r="BQ436" s="2301"/>
      <c r="BR436" s="2301"/>
      <c r="BS436" s="2358"/>
      <c r="BT436" s="2358"/>
      <c r="BU436" s="2358"/>
      <c r="BV436" s="2358"/>
      <c r="BW436" s="2358"/>
      <c r="BX436" s="2358"/>
      <c r="BY436" s="2358"/>
      <c r="BZ436" s="2359"/>
      <c r="CA436" s="2359"/>
      <c r="CB436" s="2360"/>
      <c r="CC436" s="2361"/>
      <c r="CD436" s="2361"/>
      <c r="CE436" s="2361"/>
      <c r="CF436" s="2361"/>
      <c r="CG436" s="2361"/>
      <c r="CH436" s="2361"/>
      <c r="CI436" s="2361"/>
      <c r="CJ436" s="2361"/>
      <c r="CK436" s="2361"/>
      <c r="CL436" s="2361"/>
      <c r="CM436" s="2361"/>
      <c r="CN436" s="2361"/>
      <c r="CO436" s="2361"/>
      <c r="CP436" s="2361"/>
      <c r="CQ436" s="2361"/>
      <c r="CR436" s="2361"/>
      <c r="CS436" s="2361"/>
      <c r="CT436" s="2361"/>
      <c r="CU436" s="2362"/>
      <c r="CV436" s="2300" t="str">
        <f t="shared" ref="CV436:CV468" si="471">IF(AND(DT436="要是正",DU436&lt;21),HYPERLINK("#"&amp;EL436&amp;"!"&amp;EM436&amp;":"&amp;EN436&amp;"","関連写真添付"),"")</f>
        <v/>
      </c>
      <c r="CW436" s="2300"/>
      <c r="CX436" s="2300"/>
      <c r="CY436" s="2300"/>
      <c r="CZ436" s="2300"/>
      <c r="DA436" s="2300"/>
      <c r="DC436" s="329" t="str">
        <f t="shared" ref="DC436:DC468" si="472">IF(AND(DU436&lt;&gt;"",DU436&gt;20),"「別途様式を作成、提出してください。」","")</f>
        <v/>
      </c>
      <c r="DD436" s="197"/>
      <c r="DF436" s="14"/>
      <c r="DG436" s="14"/>
      <c r="DH436" s="14"/>
      <c r="DI436" s="1596"/>
      <c r="DJ436" s="1170" t="s">
        <v>2749</v>
      </c>
      <c r="DK436" s="1604" t="str">
        <f t="shared" ref="DK436:DK473" si="473">IF(DS436=2,DATE(VLOOKUP(DJ436,$DU$6:$DV$9,2,FALSE)+BS436,BV436,1),"")</f>
        <v/>
      </c>
      <c r="DL436" s="437" t="str">
        <f t="shared" ref="DL436:DL473" si="474">IF(DS436=2,DJ436&amp;BS436&amp;"."&amp;BV436,"")</f>
        <v/>
      </c>
      <c r="DM436" s="1128">
        <f t="shared" ref="DM436:DM473" si="475">COUNTIFS(AF436,"―対象外")</f>
        <v>0</v>
      </c>
      <c r="DN436" s="22">
        <f t="shared" ref="DN436:DN473" si="476">COUNTIFS(AF436,"○指摘なし")</f>
        <v>0</v>
      </c>
      <c r="DO436" s="22">
        <f t="shared" ref="DO436:DO473" si="477">COUNTIFS(AF436,"×要是正（既存不適格以外）")</f>
        <v>0</v>
      </c>
      <c r="DP436" s="264">
        <f t="shared" ref="DP436:DP473" si="478">COUNTIFS(AF436,"△既存不適格")</f>
        <v>0</v>
      </c>
      <c r="DQ436" s="32" t="s">
        <v>773</v>
      </c>
      <c r="DR436" s="263" t="str">
        <f t="shared" ref="DR436:DR446" si="479">IF($U436="",R436,U436)</f>
        <v>令第120条第２項に規定する通路の確保の状況</v>
      </c>
      <c r="DS436" s="23">
        <f t="shared" ref="DS436:DS473" si="480">COUNTA(BS436:BX436)</f>
        <v>0</v>
      </c>
      <c r="DT436" s="29" t="str">
        <f t="shared" ref="DT436:DT473" si="481">IF(AF436="×要是正（既存不適格以外）","要是正","")&amp;IF(AF436="△既存不適格","既存不適格","")</f>
        <v/>
      </c>
      <c r="DU436" s="242" t="str">
        <f t="shared" ref="DU436:DU473" si="482">IF(HV436="","",HV436)</f>
        <v/>
      </c>
      <c r="DV436" s="243" t="str">
        <f>IF($DT436="要是正",MAX($DV$432:DV433)+1,"")</f>
        <v/>
      </c>
      <c r="DW436" s="12" t="str">
        <f t="shared" ref="DW436:DW473" si="483">IF(OR(AF436="×要是正（既存不適格以外）",AF436="△既存不適格"),DQ436,"")</f>
        <v/>
      </c>
      <c r="DX436" s="30" t="str">
        <f t="shared" ref="DX436:DX473" si="484">IF(OR($DT436="要是正",$DT436="既存不適格"),$DR436,"")</f>
        <v/>
      </c>
      <c r="DY436" s="13" t="str">
        <f t="shared" ref="DY436:DY473" si="485">IF($DT436="要是正",IF(AT436="","",DQ436 &amp;" " &amp; AT436),"")</f>
        <v/>
      </c>
      <c r="DZ436" s="121" t="str">
        <f t="shared" ref="DZ436:DZ473" si="486">IF($DT436="要是正",IF(BD436="","",BD436),"")</f>
        <v/>
      </c>
      <c r="EA436" s="256" t="str">
        <f t="shared" ref="EA436:EA473" si="487">IF(BY436="未定","未定",IF(FR436="0","",IF(BY436="予定","("&amp;DL436&amp;")",IF(BY436="改善済",DL436,DL436))))</f>
        <v/>
      </c>
      <c r="EB436" s="138" t="str">
        <f t="shared" ref="EB436:EB473" si="488">IF(OR(DT436="要是正",DT436="既存不適格"),IF(OR(DS436&lt;2,BY436&lt;&gt;"予定"),"",DK436),"")</f>
        <v/>
      </c>
      <c r="EC436" s="131" t="str">
        <f t="shared" ref="EC436:EC473" si="489">IF(EB436="","0",EB436)</f>
        <v>0</v>
      </c>
      <c r="ED436" s="54" t="str">
        <f t="shared" ref="ED436:ED473" si="490">IF(DT436="要是正",IF(AND(BY436="予定",DS436=2),1,IF(BY436="改善済",2,"")),"")</f>
        <v/>
      </c>
      <c r="EE436" s="131" t="str">
        <f>IF(ED436=1,EC436,"0")</f>
        <v>0</v>
      </c>
      <c r="EF436" s="37" t="str">
        <f t="shared" ref="EF436:EF473" si="491">IF(AND(DT436="要是正",AND(DS436=0,BY436="未定")),BY436,"")</f>
        <v/>
      </c>
      <c r="EG436" s="108" t="str">
        <f t="shared" ref="EG436:EG473" si="492">IF(DT436="既存不適格",IF(OR(DS436&lt;2,BY436&lt;&gt;"予定"),"",DK436),"")</f>
        <v/>
      </c>
      <c r="EH436" s="41" t="str">
        <f t="shared" ref="EH436:EH473" si="493">IF(EG436="","0",EG436)</f>
        <v>0</v>
      </c>
      <c r="EI436" s="54" t="str">
        <f t="shared" ref="EI436:EI473" si="494">IF(DT436="既存不適格",IF(AND(BY436="予定",DS436=2),1,IF(BY436="改善済",2,"")),"")</f>
        <v/>
      </c>
      <c r="EJ436" s="131" t="str">
        <f>IF(EI436=1,EH436,"0")</f>
        <v>0</v>
      </c>
      <c r="EK436" s="241" t="str">
        <f t="shared" ref="EK436:EK473" si="495">IF(AND(DT436="既存不適格",AND(DS436=0,BY436="未定")),BY436,"")</f>
        <v/>
      </c>
      <c r="EL436" s="242" t="e">
        <f t="shared" ref="EL436:EL468" si="496">VLOOKUP($DU436,$EO$318:$ER$346,2,FALSE)</f>
        <v>#N/A</v>
      </c>
      <c r="EM436" s="57" t="e">
        <f t="shared" ref="EM436:EM468" si="497">VLOOKUP($DU436,$EO$318:$ER$346,3,FALSE)</f>
        <v>#N/A</v>
      </c>
      <c r="EN436" s="243" t="e">
        <f t="shared" ref="EN436:EN468" si="498">VLOOKUP($DU436,$EO$318:$ER$346,4,FALSE)</f>
        <v>#N/A</v>
      </c>
      <c r="EO436" s="15"/>
      <c r="EP436" s="15"/>
      <c r="EQ436" s="15"/>
      <c r="ER436" s="15"/>
      <c r="ES436" s="15"/>
      <c r="ET436" s="15"/>
      <c r="EU436" s="15"/>
      <c r="EV436" s="15"/>
      <c r="EW436" s="15"/>
      <c r="EX436" s="15"/>
      <c r="EY436" s="15"/>
      <c r="EZ436" s="15"/>
      <c r="FA436" s="15"/>
      <c r="FB436" s="15"/>
      <c r="FC436" s="15"/>
      <c r="FD436" s="15"/>
      <c r="FE436" s="15"/>
      <c r="FF436" s="15"/>
      <c r="FG436" s="15"/>
      <c r="FH436" s="15"/>
      <c r="FI436" s="15"/>
      <c r="FK436" s="326" t="str">
        <f t="shared" ref="FK436:FK473" si="499">IF($AF436="○指摘なし","○",IF($AF436="―対象外","―",""))</f>
        <v/>
      </c>
      <c r="FL436" s="326" t="str">
        <f t="shared" ref="FL436:FL473" si="500">IF(OR($AF436="×要是正（既存不適格以外）",$AF436="△既存不適格"),"○",IF($AF436="―対象外","―",""))</f>
        <v/>
      </c>
      <c r="FM436" s="326" t="str">
        <f t="shared" ref="FM436:FM473" si="501">IF($AF436="△既存不適格","○",IF($AF436="―対象外","―",""))</f>
        <v/>
      </c>
      <c r="FN436" s="326">
        <f t="shared" ref="FN436:FN473" si="502">IF($AF436="―対象外","―",AR436)</f>
        <v>0</v>
      </c>
      <c r="FO436" s="670" t="str">
        <f t="shared" ref="FO436:FO473" si="503">IF($AF436="―対象外","○","")</f>
        <v/>
      </c>
      <c r="FQ436" s="138" t="str">
        <f t="shared" ref="FQ436:FQ473" si="504">IF(NOT(OR(BY436="未定",BY436="")),DK436,"")</f>
        <v/>
      </c>
      <c r="FR436" s="131" t="str">
        <f t="shared" ref="FR436:FR473" si="505">IF(FQ436="","0",FQ436)</f>
        <v>0</v>
      </c>
      <c r="FS436" s="54" t="str">
        <f t="shared" ref="FS436:FS473" si="506">IF(OR(BY436="予定",BY436="改善済"),1,"")</f>
        <v/>
      </c>
      <c r="FT436" s="131" t="str">
        <f t="shared" ref="FT436:FT468" si="507">IF(FS436=1,FR436,"0")</f>
        <v>0</v>
      </c>
      <c r="FU436" s="217" t="str">
        <f>IF(AND(FM436="要是正",AND(FL436=0,DR436="未定")),DR436,"")</f>
        <v/>
      </c>
      <c r="FW436" s="667">
        <f t="shared" si="433"/>
        <v>0</v>
      </c>
      <c r="FX436" s="32"/>
      <c r="FY436" s="32"/>
      <c r="FZ436" s="668"/>
      <c r="GA436" s="14"/>
      <c r="GB436" s="658">
        <f t="shared" ref="GB436:GB473" si="508">IF(BY436="予定",1,0)</f>
        <v>0</v>
      </c>
      <c r="GC436" s="658">
        <f t="shared" ref="GC436:GC473" si="509">IF(BY436="改善済",1,0)</f>
        <v>0</v>
      </c>
      <c r="GD436" s="658">
        <f t="shared" ref="GD436:GD473" si="510">IF(BY436="未定",1,0)</f>
        <v>0</v>
      </c>
      <c r="GE436" s="658" t="str">
        <f t="shared" ref="GE436:GE473" si="511">IF(GE$318=$M436,$BY$520,"")</f>
        <v/>
      </c>
      <c r="GF436" s="658" t="str">
        <f t="shared" ref="GF436:GF473" si="512">IF(GF$318=$M436,$BY$521,"")</f>
        <v/>
      </c>
      <c r="GG436" s="658" t="str">
        <f t="shared" ref="GG436:GG473" si="513">IF(GG$318=$M436,$BY$522,"")</f>
        <v/>
      </c>
      <c r="GH436" s="658" t="str">
        <f t="shared" ref="GH436:GH473" si="514">IF(GH$318=$M436,$BY$523,"")</f>
        <v/>
      </c>
      <c r="GI436" s="658" t="str">
        <f t="shared" ref="GI436:GI473" si="515">IF(GI$318=$M436,$BY$524,"")</f>
        <v/>
      </c>
      <c r="GJ436" s="658" t="str">
        <f t="shared" ref="GJ436:GJ473" si="516">IF(GJ$318=$M436,$BY$525,"")</f>
        <v/>
      </c>
      <c r="GK436" s="658" t="str">
        <f t="shared" ref="GK436:GK473" si="517">IF(GK$318=$M436,$BY$526,"")</f>
        <v/>
      </c>
      <c r="GL436" s="658" t="str">
        <f t="shared" ref="GL436:GL473" si="518">IF(GL$318=$M436,$BY$527,"")</f>
        <v/>
      </c>
      <c r="GM436" s="658" t="str">
        <f t="shared" ref="GM436:GM473" si="519">IF(GM$318=$M436,$BY$528,"")</f>
        <v/>
      </c>
      <c r="GN436" s="658" t="str">
        <f t="shared" ref="GN436:GN473" si="520">IF(GN$318=$M436,$BY$529,"")</f>
        <v/>
      </c>
      <c r="GO436" s="658" t="str">
        <f t="shared" ref="GO436:GO473" si="521">IF(GO$318=$M436,$BY$530,"")</f>
        <v/>
      </c>
      <c r="GP436" s="658" t="str">
        <f t="shared" ref="GP436:GP473" si="522">IF(GP$318=$M436,$BY$531,"")</f>
        <v/>
      </c>
      <c r="GQ436" s="658" t="str">
        <f t="shared" ref="GQ436:GQ473" si="523">IF(GQ$318=$M436,$BY$532,"")</f>
        <v/>
      </c>
      <c r="GR436" s="658" t="str">
        <f t="shared" ref="GR436:GR473" si="524">IF(GR$318=$M436,$BY$533,"")</f>
        <v/>
      </c>
      <c r="GS436" s="658" t="str">
        <f t="shared" ref="GS436:GS473" si="525">IF(GS$318=$M436,$BY$534,"")</f>
        <v/>
      </c>
      <c r="GT436" s="658">
        <f t="shared" si="368"/>
        <v>0</v>
      </c>
      <c r="GU436" s="658">
        <f t="shared" si="369"/>
        <v>0</v>
      </c>
      <c r="GV436" s="658">
        <f t="shared" si="370"/>
        <v>0</v>
      </c>
      <c r="GW436" s="658" t="b">
        <f t="shared" si="371"/>
        <v>0</v>
      </c>
      <c r="GX436" s="658" t="b">
        <f t="shared" si="372"/>
        <v>0</v>
      </c>
      <c r="GY436" s="658" t="b">
        <f t="shared" si="373"/>
        <v>0</v>
      </c>
      <c r="GZ436" s="658" t="str">
        <f t="shared" si="378"/>
        <v/>
      </c>
      <c r="HB436" s="658" t="str">
        <f t="shared" si="374"/>
        <v/>
      </c>
      <c r="HC436" s="658" t="str">
        <f t="shared" ref="HC436:HC473" si="526">IF(HC$318=$M436,$FW$520&amp;", ","")</f>
        <v/>
      </c>
      <c r="HD436" s="658" t="str">
        <f t="shared" ref="HD436:HD473" si="527">IF(HD$318=$M436,$FW$521&amp;", ","")</f>
        <v/>
      </c>
      <c r="HE436" s="658" t="str">
        <f t="shared" ref="HE436:HE473" si="528">IF(HE$318=$M436,$FW$522&amp;", ","")</f>
        <v/>
      </c>
      <c r="HF436" s="658" t="str">
        <f t="shared" ref="HF436:HF473" si="529">IF(HF$318=$M436,$FW$523&amp;", ","")</f>
        <v/>
      </c>
      <c r="HG436" s="658" t="str">
        <f t="shared" ref="HG436:HG473" si="530">IF(HG$318=$M436,$FW$524&amp;", ","")</f>
        <v/>
      </c>
      <c r="HH436" s="658" t="str">
        <f t="shared" ref="HH436:HH473" si="531">IF(HH$318=$M436,$FW$525&amp;", ","")</f>
        <v/>
      </c>
      <c r="HI436" s="658" t="str">
        <f t="shared" ref="HI436:HI473" si="532">IF(HI$318=$M436,$FW$526&amp;", ","")</f>
        <v/>
      </c>
      <c r="HJ436" s="658" t="str">
        <f t="shared" ref="HJ436:HJ473" si="533">IF(HJ$318=$M436,$FW$527&amp;", ","")</f>
        <v/>
      </c>
      <c r="HK436" s="658" t="str">
        <f t="shared" ref="HK436:HK473" si="534">IF(HK$318=$M436,$FW$528&amp;", ","")</f>
        <v/>
      </c>
      <c r="HL436" s="658" t="str">
        <f t="shared" ref="HL436:HL473" si="535">IF(HL$318=$M436,$FW$529&amp;", ","")</f>
        <v/>
      </c>
      <c r="HM436" s="658" t="str">
        <f t="shared" ref="HM436:HM473" si="536">IF(HM$318=$M436,$FW$530&amp;", ","")</f>
        <v/>
      </c>
      <c r="HN436" s="658" t="str">
        <f t="shared" ref="HN436:HN473" si="537">IF(HN$318=$M436,$FW$531&amp;", ","")</f>
        <v/>
      </c>
      <c r="HO436" s="658" t="str">
        <f t="shared" ref="HO436:HO473" si="538">IF(HO$318=$M436,$FW$532&amp;", ","")</f>
        <v/>
      </c>
      <c r="HP436" s="658" t="str">
        <f t="shared" ref="HP436:HP473" si="539">IF(HP$318=$M436,$FW$533&amp;", ","")</f>
        <v/>
      </c>
      <c r="HQ436" s="658" t="str">
        <f t="shared" ref="HQ436:HQ473" si="540">IF(HQ$318=$M436,$FW$534&amp;", ","")</f>
        <v/>
      </c>
      <c r="HR436" s="658" t="str">
        <f t="shared" si="375"/>
        <v/>
      </c>
      <c r="HT436" s="658">
        <f>LEFT(M436,1)*10000+MID(M436,3,LEN(M436)-3)*100+COUNTIF($M$319:M436,M436)</f>
        <v>50101</v>
      </c>
      <c r="HU436" s="658" t="str">
        <f t="shared" si="376"/>
        <v/>
      </c>
      <c r="HV436" s="658" t="str">
        <f t="shared" ref="HV436:HV473" si="541">IF(HU436="","",RANK(HU436,HU$319:HU$534,1))</f>
        <v/>
      </c>
      <c r="HW436" s="658" t="str">
        <f t="shared" si="377"/>
        <v/>
      </c>
      <c r="HX436" s="658" t="str">
        <f t="shared" ref="HX436:HX473" si="542">IF(HW436="","",RANK(HW436,HW$319:HW$534,1))</f>
        <v/>
      </c>
    </row>
    <row r="437" spans="1:232" s="19" customFormat="1" ht="50.1" customHeight="1" x14ac:dyDescent="0.15">
      <c r="A437" s="1201"/>
      <c r="B437" s="1201"/>
      <c r="C437" s="1201"/>
      <c r="D437" s="1201"/>
      <c r="E437" s="1202"/>
      <c r="F437" s="652"/>
      <c r="G437" s="652"/>
      <c r="H437" s="652"/>
      <c r="I437" s="1354"/>
      <c r="J437" s="1234"/>
      <c r="K437" s="1261"/>
      <c r="L437" s="1261"/>
      <c r="M437" s="2478" t="s">
        <v>1196</v>
      </c>
      <c r="N437" s="2478"/>
      <c r="O437" s="2478"/>
      <c r="P437" s="2429" t="s">
        <v>111</v>
      </c>
      <c r="Q437" s="2429"/>
      <c r="R437" s="2429"/>
      <c r="S437" s="2429"/>
      <c r="T437" s="2429"/>
      <c r="U437" s="2438" t="s">
        <v>196</v>
      </c>
      <c r="V437" s="2438"/>
      <c r="W437" s="2438"/>
      <c r="X437" s="2438"/>
      <c r="Y437" s="2438"/>
      <c r="Z437" s="2438"/>
      <c r="AA437" s="2438"/>
      <c r="AB437" s="2438"/>
      <c r="AC437" s="2438"/>
      <c r="AD437" s="2438"/>
      <c r="AE437" s="2438"/>
      <c r="AF437" s="2302"/>
      <c r="AG437" s="2302"/>
      <c r="AH437" s="2302"/>
      <c r="AI437" s="2302"/>
      <c r="AJ437" s="2302"/>
      <c r="AK437" s="2302"/>
      <c r="AL437" s="2302"/>
      <c r="AM437" s="2302"/>
      <c r="AN437" s="2302"/>
      <c r="AO437" s="2302"/>
      <c r="AP437" s="2302"/>
      <c r="AQ437" s="2302"/>
      <c r="AR437" s="2272"/>
      <c r="AS437" s="2272"/>
      <c r="AT437" s="2406"/>
      <c r="AU437" s="2406"/>
      <c r="AV437" s="2406"/>
      <c r="AW437" s="2406"/>
      <c r="AX437" s="2406"/>
      <c r="AY437" s="2406"/>
      <c r="AZ437" s="2406"/>
      <c r="BA437" s="2406"/>
      <c r="BB437" s="2406"/>
      <c r="BC437" s="2406"/>
      <c r="BD437" s="2406"/>
      <c r="BE437" s="2406"/>
      <c r="BF437" s="2406"/>
      <c r="BG437" s="2406"/>
      <c r="BH437" s="2406"/>
      <c r="BI437" s="2406"/>
      <c r="BJ437" s="2406"/>
      <c r="BK437" s="2406"/>
      <c r="BL437" s="2406"/>
      <c r="BM437" s="2406"/>
      <c r="BN437" s="2406"/>
      <c r="BO437" s="2406"/>
      <c r="BP437" s="2406"/>
      <c r="BQ437" s="2406"/>
      <c r="BR437" s="2406"/>
      <c r="BS437" s="2271"/>
      <c r="BT437" s="2271"/>
      <c r="BU437" s="2271"/>
      <c r="BV437" s="2271"/>
      <c r="BW437" s="2271"/>
      <c r="BX437" s="2271"/>
      <c r="BY437" s="2271"/>
      <c r="BZ437" s="2272"/>
      <c r="CA437" s="2272"/>
      <c r="CB437" s="2266"/>
      <c r="CC437" s="2267"/>
      <c r="CD437" s="2267"/>
      <c r="CE437" s="2267"/>
      <c r="CF437" s="2267"/>
      <c r="CG437" s="2267"/>
      <c r="CH437" s="2267"/>
      <c r="CI437" s="2267"/>
      <c r="CJ437" s="2267"/>
      <c r="CK437" s="2267"/>
      <c r="CL437" s="2267"/>
      <c r="CM437" s="2267"/>
      <c r="CN437" s="2267"/>
      <c r="CO437" s="2267"/>
      <c r="CP437" s="2267"/>
      <c r="CQ437" s="2267"/>
      <c r="CR437" s="2267"/>
      <c r="CS437" s="2267"/>
      <c r="CT437" s="2267"/>
      <c r="CU437" s="2268"/>
      <c r="CV437" s="2300" t="str">
        <f t="shared" si="471"/>
        <v/>
      </c>
      <c r="CW437" s="2300"/>
      <c r="CX437" s="2300"/>
      <c r="CY437" s="2300"/>
      <c r="CZ437" s="2300"/>
      <c r="DA437" s="2300"/>
      <c r="DC437" s="329" t="str">
        <f t="shared" si="472"/>
        <v/>
      </c>
      <c r="DD437" s="197"/>
      <c r="DF437" s="14"/>
      <c r="DG437" s="14"/>
      <c r="DH437" s="14"/>
      <c r="DI437" s="1596"/>
      <c r="DJ437" s="1170" t="s">
        <v>2749</v>
      </c>
      <c r="DK437" s="1604" t="str">
        <f t="shared" si="473"/>
        <v/>
      </c>
      <c r="DL437" s="437" t="str">
        <f t="shared" si="474"/>
        <v/>
      </c>
      <c r="DM437" s="1128">
        <f t="shared" si="475"/>
        <v>0</v>
      </c>
      <c r="DN437" s="22">
        <f t="shared" si="476"/>
        <v>0</v>
      </c>
      <c r="DO437" s="22">
        <f t="shared" si="477"/>
        <v>0</v>
      </c>
      <c r="DP437" s="264">
        <f t="shared" si="478"/>
        <v>0</v>
      </c>
      <c r="DQ437" s="32" t="s">
        <v>774</v>
      </c>
      <c r="DR437" s="263" t="str">
        <f t="shared" si="479"/>
        <v xml:space="preserve">幅員の確保の状況
</v>
      </c>
      <c r="DS437" s="23">
        <f t="shared" si="480"/>
        <v>0</v>
      </c>
      <c r="DT437" s="29" t="str">
        <f t="shared" si="481"/>
        <v/>
      </c>
      <c r="DU437" s="242" t="str">
        <f t="shared" si="482"/>
        <v/>
      </c>
      <c r="DV437" s="243" t="str">
        <f>IF($DT437="要是正",MAX($DV$432:DV436)+1,"")</f>
        <v/>
      </c>
      <c r="DW437" s="12" t="str">
        <f t="shared" si="483"/>
        <v/>
      </c>
      <c r="DX437" s="30" t="str">
        <f t="shared" si="484"/>
        <v/>
      </c>
      <c r="DY437" s="13" t="str">
        <f t="shared" si="485"/>
        <v/>
      </c>
      <c r="DZ437" s="121" t="str">
        <f t="shared" si="486"/>
        <v/>
      </c>
      <c r="EA437" s="256" t="str">
        <f t="shared" si="487"/>
        <v/>
      </c>
      <c r="EB437" s="138" t="str">
        <f t="shared" si="488"/>
        <v/>
      </c>
      <c r="EC437" s="131" t="str">
        <f t="shared" si="489"/>
        <v>0</v>
      </c>
      <c r="ED437" s="54" t="str">
        <f t="shared" si="490"/>
        <v/>
      </c>
      <c r="EE437" s="131" t="str">
        <f t="shared" ref="EE437:EE468" si="543">IF(ED437=1,EC437,"0")</f>
        <v>0</v>
      </c>
      <c r="EF437" s="37" t="str">
        <f t="shared" si="491"/>
        <v/>
      </c>
      <c r="EG437" s="108" t="str">
        <f t="shared" si="492"/>
        <v/>
      </c>
      <c r="EH437" s="41" t="str">
        <f t="shared" si="493"/>
        <v>0</v>
      </c>
      <c r="EI437" s="54" t="str">
        <f t="shared" si="494"/>
        <v/>
      </c>
      <c r="EJ437" s="131" t="str">
        <f t="shared" ref="EJ437:EJ468" si="544">IF(EI437=1,EH437,"0")</f>
        <v>0</v>
      </c>
      <c r="EK437" s="241" t="str">
        <f t="shared" si="495"/>
        <v/>
      </c>
      <c r="EL437" s="242" t="e">
        <f t="shared" si="496"/>
        <v>#N/A</v>
      </c>
      <c r="EM437" s="57" t="e">
        <f t="shared" si="497"/>
        <v>#N/A</v>
      </c>
      <c r="EN437" s="243" t="e">
        <f t="shared" si="498"/>
        <v>#N/A</v>
      </c>
      <c r="FK437" s="326" t="str">
        <f t="shared" si="499"/>
        <v/>
      </c>
      <c r="FL437" s="326" t="str">
        <f t="shared" si="500"/>
        <v/>
      </c>
      <c r="FM437" s="326" t="str">
        <f t="shared" si="501"/>
        <v/>
      </c>
      <c r="FN437" s="326">
        <f t="shared" si="502"/>
        <v>0</v>
      </c>
      <c r="FO437" s="670" t="str">
        <f t="shared" si="503"/>
        <v/>
      </c>
      <c r="FQ437" s="138" t="str">
        <f t="shared" si="504"/>
        <v/>
      </c>
      <c r="FR437" s="131" t="str">
        <f t="shared" si="505"/>
        <v>0</v>
      </c>
      <c r="FS437" s="54" t="str">
        <f t="shared" si="506"/>
        <v/>
      </c>
      <c r="FT437" s="131" t="str">
        <f t="shared" si="507"/>
        <v>0</v>
      </c>
      <c r="FU437" s="217" t="str">
        <f t="shared" ref="FU437:FU468" si="545">IF(AND(FM437="要是正",AND(FL437=0,DR437="未定")),DR437,"")</f>
        <v/>
      </c>
      <c r="FW437" s="667">
        <f t="shared" si="433"/>
        <v>0</v>
      </c>
      <c r="FX437" s="32"/>
      <c r="FY437" s="32"/>
      <c r="FZ437" s="668"/>
      <c r="GA437" s="14"/>
      <c r="GB437" s="658">
        <f t="shared" si="508"/>
        <v>0</v>
      </c>
      <c r="GC437" s="658">
        <f t="shared" si="509"/>
        <v>0</v>
      </c>
      <c r="GD437" s="658">
        <f t="shared" si="510"/>
        <v>0</v>
      </c>
      <c r="GE437" s="658" t="str">
        <f t="shared" si="511"/>
        <v/>
      </c>
      <c r="GF437" s="658" t="str">
        <f t="shared" si="512"/>
        <v/>
      </c>
      <c r="GG437" s="658" t="str">
        <f t="shared" si="513"/>
        <v/>
      </c>
      <c r="GH437" s="658" t="str">
        <f t="shared" si="514"/>
        <v/>
      </c>
      <c r="GI437" s="658" t="str">
        <f t="shared" si="515"/>
        <v/>
      </c>
      <c r="GJ437" s="658" t="str">
        <f t="shared" si="516"/>
        <v/>
      </c>
      <c r="GK437" s="658" t="str">
        <f t="shared" si="517"/>
        <v/>
      </c>
      <c r="GL437" s="658" t="str">
        <f t="shared" si="518"/>
        <v/>
      </c>
      <c r="GM437" s="658" t="str">
        <f t="shared" si="519"/>
        <v/>
      </c>
      <c r="GN437" s="658" t="str">
        <f t="shared" si="520"/>
        <v/>
      </c>
      <c r="GO437" s="658" t="str">
        <f t="shared" si="521"/>
        <v/>
      </c>
      <c r="GP437" s="658" t="str">
        <f t="shared" si="522"/>
        <v/>
      </c>
      <c r="GQ437" s="658" t="str">
        <f t="shared" si="523"/>
        <v/>
      </c>
      <c r="GR437" s="658" t="str">
        <f t="shared" si="524"/>
        <v/>
      </c>
      <c r="GS437" s="658" t="str">
        <f t="shared" si="525"/>
        <v/>
      </c>
      <c r="GT437" s="658">
        <f t="shared" si="368"/>
        <v>0</v>
      </c>
      <c r="GU437" s="658">
        <f t="shared" si="369"/>
        <v>0</v>
      </c>
      <c r="GV437" s="658">
        <f t="shared" si="370"/>
        <v>0</v>
      </c>
      <c r="GW437" s="658" t="b">
        <f t="shared" si="371"/>
        <v>0</v>
      </c>
      <c r="GX437" s="658" t="b">
        <f t="shared" si="372"/>
        <v>0</v>
      </c>
      <c r="GY437" s="658" t="b">
        <f t="shared" si="373"/>
        <v>0</v>
      </c>
      <c r="GZ437" s="658" t="str">
        <f t="shared" si="378"/>
        <v/>
      </c>
      <c r="HB437" s="658" t="str">
        <f t="shared" si="374"/>
        <v/>
      </c>
      <c r="HC437" s="658" t="str">
        <f t="shared" si="526"/>
        <v/>
      </c>
      <c r="HD437" s="658" t="str">
        <f t="shared" si="527"/>
        <v/>
      </c>
      <c r="HE437" s="658" t="str">
        <f t="shared" si="528"/>
        <v/>
      </c>
      <c r="HF437" s="658" t="str">
        <f t="shared" si="529"/>
        <v/>
      </c>
      <c r="HG437" s="658" t="str">
        <f t="shared" si="530"/>
        <v/>
      </c>
      <c r="HH437" s="658" t="str">
        <f t="shared" si="531"/>
        <v/>
      </c>
      <c r="HI437" s="658" t="str">
        <f t="shared" si="532"/>
        <v/>
      </c>
      <c r="HJ437" s="658" t="str">
        <f t="shared" si="533"/>
        <v/>
      </c>
      <c r="HK437" s="658" t="str">
        <f t="shared" si="534"/>
        <v/>
      </c>
      <c r="HL437" s="658" t="str">
        <f t="shared" si="535"/>
        <v/>
      </c>
      <c r="HM437" s="658" t="str">
        <f t="shared" si="536"/>
        <v/>
      </c>
      <c r="HN437" s="658" t="str">
        <f t="shared" si="537"/>
        <v/>
      </c>
      <c r="HO437" s="658" t="str">
        <f t="shared" si="538"/>
        <v/>
      </c>
      <c r="HP437" s="658" t="str">
        <f t="shared" si="539"/>
        <v/>
      </c>
      <c r="HQ437" s="658" t="str">
        <f t="shared" si="540"/>
        <v/>
      </c>
      <c r="HR437" s="658" t="str">
        <f t="shared" si="375"/>
        <v/>
      </c>
      <c r="HT437" s="658">
        <f>LEFT(M437,1)*10000+MID(M437,3,LEN(M437)-3)*100+COUNTIF($M$319:M437,M437)</f>
        <v>50201</v>
      </c>
      <c r="HU437" s="658" t="str">
        <f t="shared" si="376"/>
        <v/>
      </c>
      <c r="HV437" s="658" t="str">
        <f t="shared" si="541"/>
        <v/>
      </c>
      <c r="HW437" s="658" t="str">
        <f t="shared" si="377"/>
        <v/>
      </c>
      <c r="HX437" s="658" t="str">
        <f t="shared" si="542"/>
        <v/>
      </c>
    </row>
    <row r="438" spans="1:232" s="19" customFormat="1" ht="50.1" customHeight="1" x14ac:dyDescent="0.15">
      <c r="A438" s="1201"/>
      <c r="B438" s="1201"/>
      <c r="C438" s="1201"/>
      <c r="D438" s="1201"/>
      <c r="E438" s="1202"/>
      <c r="F438" s="652"/>
      <c r="G438" s="652"/>
      <c r="H438" s="652"/>
      <c r="I438" s="1354"/>
      <c r="J438" s="1234"/>
      <c r="K438" s="1261"/>
      <c r="L438" s="1261"/>
      <c r="M438" s="2478" t="s">
        <v>1197</v>
      </c>
      <c r="N438" s="2478"/>
      <c r="O438" s="2478"/>
      <c r="P438" s="2429"/>
      <c r="Q438" s="2429"/>
      <c r="R438" s="2429"/>
      <c r="S438" s="2429"/>
      <c r="T438" s="2429"/>
      <c r="U438" s="2431" t="s">
        <v>112</v>
      </c>
      <c r="V438" s="2431"/>
      <c r="W438" s="2431"/>
      <c r="X438" s="2431"/>
      <c r="Y438" s="2431"/>
      <c r="Z438" s="2431"/>
      <c r="AA438" s="2431"/>
      <c r="AB438" s="2431"/>
      <c r="AC438" s="2431"/>
      <c r="AD438" s="2431"/>
      <c r="AE438" s="2431"/>
      <c r="AF438" s="2303"/>
      <c r="AG438" s="2303"/>
      <c r="AH438" s="2303"/>
      <c r="AI438" s="2303"/>
      <c r="AJ438" s="2303"/>
      <c r="AK438" s="2303"/>
      <c r="AL438" s="2303"/>
      <c r="AM438" s="2303"/>
      <c r="AN438" s="2303"/>
      <c r="AO438" s="2303"/>
      <c r="AP438" s="2303"/>
      <c r="AQ438" s="2303"/>
      <c r="AR438" s="2297"/>
      <c r="AS438" s="2297"/>
      <c r="AT438" s="2135"/>
      <c r="AU438" s="2135"/>
      <c r="AV438" s="2135"/>
      <c r="AW438" s="2135"/>
      <c r="AX438" s="2135"/>
      <c r="AY438" s="2135"/>
      <c r="AZ438" s="2135"/>
      <c r="BA438" s="2135"/>
      <c r="BB438" s="2135"/>
      <c r="BC438" s="2135"/>
      <c r="BD438" s="2135"/>
      <c r="BE438" s="2135"/>
      <c r="BF438" s="2135"/>
      <c r="BG438" s="2135"/>
      <c r="BH438" s="2135"/>
      <c r="BI438" s="2135"/>
      <c r="BJ438" s="2135"/>
      <c r="BK438" s="2135"/>
      <c r="BL438" s="2135"/>
      <c r="BM438" s="2135"/>
      <c r="BN438" s="2135"/>
      <c r="BO438" s="2135"/>
      <c r="BP438" s="2135"/>
      <c r="BQ438" s="2135"/>
      <c r="BR438" s="2135"/>
      <c r="BS438" s="2354"/>
      <c r="BT438" s="2354"/>
      <c r="BU438" s="2354"/>
      <c r="BV438" s="2354"/>
      <c r="BW438" s="2354"/>
      <c r="BX438" s="2354"/>
      <c r="BY438" s="2354"/>
      <c r="BZ438" s="2297"/>
      <c r="CA438" s="2297"/>
      <c r="CB438" s="2395"/>
      <c r="CC438" s="2396"/>
      <c r="CD438" s="2396"/>
      <c r="CE438" s="2396"/>
      <c r="CF438" s="2396"/>
      <c r="CG438" s="2396"/>
      <c r="CH438" s="2396"/>
      <c r="CI438" s="2396"/>
      <c r="CJ438" s="2396"/>
      <c r="CK438" s="2396"/>
      <c r="CL438" s="2396"/>
      <c r="CM438" s="2396"/>
      <c r="CN438" s="2396"/>
      <c r="CO438" s="2396"/>
      <c r="CP438" s="2396"/>
      <c r="CQ438" s="2396"/>
      <c r="CR438" s="2396"/>
      <c r="CS438" s="2396"/>
      <c r="CT438" s="2396"/>
      <c r="CU438" s="2397"/>
      <c r="CV438" s="2300" t="str">
        <f t="shared" si="471"/>
        <v/>
      </c>
      <c r="CW438" s="2300"/>
      <c r="CX438" s="2300"/>
      <c r="CY438" s="2300"/>
      <c r="CZ438" s="2300"/>
      <c r="DA438" s="2300"/>
      <c r="DC438" s="329" t="str">
        <f t="shared" si="472"/>
        <v/>
      </c>
      <c r="DD438" s="197"/>
      <c r="DF438" s="14"/>
      <c r="DG438" s="14"/>
      <c r="DH438" s="14"/>
      <c r="DI438" s="1596"/>
      <c r="DJ438" s="1170" t="s">
        <v>2749</v>
      </c>
      <c r="DK438" s="1604" t="str">
        <f t="shared" si="473"/>
        <v/>
      </c>
      <c r="DL438" s="437" t="str">
        <f t="shared" si="474"/>
        <v/>
      </c>
      <c r="DM438" s="1128">
        <f t="shared" si="475"/>
        <v>0</v>
      </c>
      <c r="DN438" s="22">
        <f t="shared" si="476"/>
        <v>0</v>
      </c>
      <c r="DO438" s="22">
        <f t="shared" si="477"/>
        <v>0</v>
      </c>
      <c r="DP438" s="264">
        <f t="shared" si="478"/>
        <v>0</v>
      </c>
      <c r="DQ438" s="32" t="s">
        <v>775</v>
      </c>
      <c r="DR438" s="263" t="str">
        <f t="shared" si="479"/>
        <v>物品の放置の状況</v>
      </c>
      <c r="DS438" s="23">
        <f t="shared" si="480"/>
        <v>0</v>
      </c>
      <c r="DT438" s="29" t="str">
        <f t="shared" si="481"/>
        <v/>
      </c>
      <c r="DU438" s="242" t="str">
        <f t="shared" si="482"/>
        <v/>
      </c>
      <c r="DV438" s="243" t="str">
        <f>IF($DT438="要是正",MAX($DV$432:DV437)+1,"")</f>
        <v/>
      </c>
      <c r="DW438" s="12" t="str">
        <f t="shared" si="483"/>
        <v/>
      </c>
      <c r="DX438" s="30" t="str">
        <f t="shared" si="484"/>
        <v/>
      </c>
      <c r="DY438" s="13" t="str">
        <f t="shared" si="485"/>
        <v/>
      </c>
      <c r="DZ438" s="121" t="str">
        <f t="shared" si="486"/>
        <v/>
      </c>
      <c r="EA438" s="256" t="str">
        <f t="shared" si="487"/>
        <v/>
      </c>
      <c r="EB438" s="138" t="str">
        <f t="shared" si="488"/>
        <v/>
      </c>
      <c r="EC438" s="131" t="str">
        <f t="shared" si="489"/>
        <v>0</v>
      </c>
      <c r="ED438" s="54" t="str">
        <f t="shared" si="490"/>
        <v/>
      </c>
      <c r="EE438" s="131" t="str">
        <f t="shared" si="543"/>
        <v>0</v>
      </c>
      <c r="EF438" s="37" t="str">
        <f t="shared" si="491"/>
        <v/>
      </c>
      <c r="EG438" s="108" t="str">
        <f t="shared" si="492"/>
        <v/>
      </c>
      <c r="EH438" s="41" t="str">
        <f t="shared" si="493"/>
        <v>0</v>
      </c>
      <c r="EI438" s="54" t="str">
        <f t="shared" si="494"/>
        <v/>
      </c>
      <c r="EJ438" s="131" t="str">
        <f t="shared" si="544"/>
        <v>0</v>
      </c>
      <c r="EK438" s="241" t="str">
        <f t="shared" si="495"/>
        <v/>
      </c>
      <c r="EL438" s="242" t="e">
        <f t="shared" si="496"/>
        <v>#N/A</v>
      </c>
      <c r="EM438" s="57" t="e">
        <f t="shared" si="497"/>
        <v>#N/A</v>
      </c>
      <c r="EN438" s="243" t="e">
        <f t="shared" si="498"/>
        <v>#N/A</v>
      </c>
      <c r="FK438" s="326" t="str">
        <f t="shared" si="499"/>
        <v/>
      </c>
      <c r="FL438" s="326" t="str">
        <f t="shared" si="500"/>
        <v/>
      </c>
      <c r="FM438" s="326" t="str">
        <f t="shared" si="501"/>
        <v/>
      </c>
      <c r="FN438" s="326">
        <f t="shared" si="502"/>
        <v>0</v>
      </c>
      <c r="FO438" s="670" t="str">
        <f t="shared" si="503"/>
        <v/>
      </c>
      <c r="FQ438" s="138" t="str">
        <f t="shared" si="504"/>
        <v/>
      </c>
      <c r="FR438" s="131" t="str">
        <f t="shared" si="505"/>
        <v>0</v>
      </c>
      <c r="FS438" s="54" t="str">
        <f t="shared" si="506"/>
        <v/>
      </c>
      <c r="FT438" s="131" t="str">
        <f t="shared" si="507"/>
        <v>0</v>
      </c>
      <c r="FU438" s="217" t="str">
        <f t="shared" si="545"/>
        <v/>
      </c>
      <c r="FW438" s="667">
        <f t="shared" si="433"/>
        <v>0</v>
      </c>
      <c r="FX438" s="32"/>
      <c r="FY438" s="32"/>
      <c r="FZ438" s="668"/>
      <c r="GA438" s="14"/>
      <c r="GB438" s="658">
        <f t="shared" si="508"/>
        <v>0</v>
      </c>
      <c r="GC438" s="658">
        <f t="shared" si="509"/>
        <v>0</v>
      </c>
      <c r="GD438" s="658">
        <f t="shared" si="510"/>
        <v>0</v>
      </c>
      <c r="GE438" s="658" t="str">
        <f t="shared" si="511"/>
        <v/>
      </c>
      <c r="GF438" s="658" t="str">
        <f t="shared" si="512"/>
        <v/>
      </c>
      <c r="GG438" s="658" t="str">
        <f t="shared" si="513"/>
        <v/>
      </c>
      <c r="GH438" s="658" t="str">
        <f t="shared" si="514"/>
        <v/>
      </c>
      <c r="GI438" s="658" t="str">
        <f t="shared" si="515"/>
        <v/>
      </c>
      <c r="GJ438" s="658" t="str">
        <f t="shared" si="516"/>
        <v/>
      </c>
      <c r="GK438" s="658" t="str">
        <f t="shared" si="517"/>
        <v/>
      </c>
      <c r="GL438" s="658" t="str">
        <f t="shared" si="518"/>
        <v/>
      </c>
      <c r="GM438" s="658" t="str">
        <f t="shared" si="519"/>
        <v/>
      </c>
      <c r="GN438" s="658" t="str">
        <f t="shared" si="520"/>
        <v/>
      </c>
      <c r="GO438" s="658" t="str">
        <f t="shared" si="521"/>
        <v/>
      </c>
      <c r="GP438" s="658" t="str">
        <f t="shared" si="522"/>
        <v/>
      </c>
      <c r="GQ438" s="658" t="str">
        <f t="shared" si="523"/>
        <v/>
      </c>
      <c r="GR438" s="658" t="str">
        <f t="shared" si="524"/>
        <v/>
      </c>
      <c r="GS438" s="658" t="str">
        <f t="shared" si="525"/>
        <v/>
      </c>
      <c r="GT438" s="658">
        <f t="shared" si="368"/>
        <v>0</v>
      </c>
      <c r="GU438" s="658">
        <f t="shared" si="369"/>
        <v>0</v>
      </c>
      <c r="GV438" s="658">
        <f t="shared" si="370"/>
        <v>0</v>
      </c>
      <c r="GW438" s="658" t="b">
        <f t="shared" si="371"/>
        <v>0</v>
      </c>
      <c r="GX438" s="658" t="b">
        <f t="shared" si="372"/>
        <v>0</v>
      </c>
      <c r="GY438" s="658" t="b">
        <f t="shared" si="373"/>
        <v>0</v>
      </c>
      <c r="GZ438" s="658" t="str">
        <f t="shared" si="378"/>
        <v/>
      </c>
      <c r="HB438" s="658" t="str">
        <f t="shared" si="374"/>
        <v/>
      </c>
      <c r="HC438" s="658" t="str">
        <f t="shared" si="526"/>
        <v/>
      </c>
      <c r="HD438" s="658" t="str">
        <f t="shared" si="527"/>
        <v/>
      </c>
      <c r="HE438" s="658" t="str">
        <f t="shared" si="528"/>
        <v/>
      </c>
      <c r="HF438" s="658" t="str">
        <f t="shared" si="529"/>
        <v/>
      </c>
      <c r="HG438" s="658" t="str">
        <f t="shared" si="530"/>
        <v/>
      </c>
      <c r="HH438" s="658" t="str">
        <f t="shared" si="531"/>
        <v/>
      </c>
      <c r="HI438" s="658" t="str">
        <f t="shared" si="532"/>
        <v/>
      </c>
      <c r="HJ438" s="658" t="str">
        <f t="shared" si="533"/>
        <v/>
      </c>
      <c r="HK438" s="658" t="str">
        <f t="shared" si="534"/>
        <v/>
      </c>
      <c r="HL438" s="658" t="str">
        <f t="shared" si="535"/>
        <v/>
      </c>
      <c r="HM438" s="658" t="str">
        <f t="shared" si="536"/>
        <v/>
      </c>
      <c r="HN438" s="658" t="str">
        <f t="shared" si="537"/>
        <v/>
      </c>
      <c r="HO438" s="658" t="str">
        <f t="shared" si="538"/>
        <v/>
      </c>
      <c r="HP438" s="658" t="str">
        <f t="shared" si="539"/>
        <v/>
      </c>
      <c r="HQ438" s="658" t="str">
        <f t="shared" si="540"/>
        <v/>
      </c>
      <c r="HR438" s="658" t="str">
        <f t="shared" si="375"/>
        <v/>
      </c>
      <c r="HT438" s="658">
        <f>LEFT(M438,1)*10000+MID(M438,3,LEN(M438)-3)*100+COUNTIF($M$319:M438,M438)</f>
        <v>50301</v>
      </c>
      <c r="HU438" s="658" t="str">
        <f t="shared" si="376"/>
        <v/>
      </c>
      <c r="HV438" s="658" t="str">
        <f t="shared" si="541"/>
        <v/>
      </c>
      <c r="HW438" s="658" t="str">
        <f t="shared" si="377"/>
        <v/>
      </c>
      <c r="HX438" s="658" t="str">
        <f t="shared" si="542"/>
        <v/>
      </c>
    </row>
    <row r="439" spans="1:232" s="19" customFormat="1" ht="50.1" customHeight="1" x14ac:dyDescent="0.15">
      <c r="A439" s="1201"/>
      <c r="B439" s="1201"/>
      <c r="C439" s="1201"/>
      <c r="D439" s="1201"/>
      <c r="E439" s="1202"/>
      <c r="F439" s="652"/>
      <c r="G439" s="652"/>
      <c r="H439" s="652"/>
      <c r="I439" s="1354"/>
      <c r="J439" s="1234"/>
      <c r="K439" s="1261"/>
      <c r="L439" s="1261"/>
      <c r="M439" s="2478" t="s">
        <v>1198</v>
      </c>
      <c r="N439" s="2478"/>
      <c r="O439" s="2478"/>
      <c r="P439" s="2429" t="s">
        <v>113</v>
      </c>
      <c r="Q439" s="2429"/>
      <c r="R439" s="2429"/>
      <c r="S439" s="2429"/>
      <c r="T439" s="2429"/>
      <c r="U439" s="2438" t="s">
        <v>114</v>
      </c>
      <c r="V439" s="2438"/>
      <c r="W439" s="2438"/>
      <c r="X439" s="2438"/>
      <c r="Y439" s="2438"/>
      <c r="Z439" s="2438"/>
      <c r="AA439" s="2438"/>
      <c r="AB439" s="2438"/>
      <c r="AC439" s="2438"/>
      <c r="AD439" s="2438"/>
      <c r="AE439" s="2438"/>
      <c r="AF439" s="2302"/>
      <c r="AG439" s="2302"/>
      <c r="AH439" s="2302"/>
      <c r="AI439" s="2302"/>
      <c r="AJ439" s="2302"/>
      <c r="AK439" s="2302"/>
      <c r="AL439" s="2302"/>
      <c r="AM439" s="2302"/>
      <c r="AN439" s="2302"/>
      <c r="AO439" s="2302"/>
      <c r="AP439" s="2302"/>
      <c r="AQ439" s="2302"/>
      <c r="AR439" s="2272"/>
      <c r="AS439" s="2272"/>
      <c r="AT439" s="2406"/>
      <c r="AU439" s="2406"/>
      <c r="AV439" s="2406"/>
      <c r="AW439" s="2406"/>
      <c r="AX439" s="2406"/>
      <c r="AY439" s="2406"/>
      <c r="AZ439" s="2406"/>
      <c r="BA439" s="2406"/>
      <c r="BB439" s="2406"/>
      <c r="BC439" s="2406"/>
      <c r="BD439" s="2406"/>
      <c r="BE439" s="2406"/>
      <c r="BF439" s="2406"/>
      <c r="BG439" s="2406"/>
      <c r="BH439" s="2406"/>
      <c r="BI439" s="2406"/>
      <c r="BJ439" s="2406"/>
      <c r="BK439" s="2406"/>
      <c r="BL439" s="2406"/>
      <c r="BM439" s="2406"/>
      <c r="BN439" s="2406"/>
      <c r="BO439" s="2406"/>
      <c r="BP439" s="2406"/>
      <c r="BQ439" s="2406"/>
      <c r="BR439" s="2406"/>
      <c r="BS439" s="2271"/>
      <c r="BT439" s="2271"/>
      <c r="BU439" s="2271"/>
      <c r="BV439" s="2271"/>
      <c r="BW439" s="2271"/>
      <c r="BX439" s="2271"/>
      <c r="BY439" s="2271"/>
      <c r="BZ439" s="2272"/>
      <c r="CA439" s="2272"/>
      <c r="CB439" s="2266"/>
      <c r="CC439" s="2267"/>
      <c r="CD439" s="2267"/>
      <c r="CE439" s="2267"/>
      <c r="CF439" s="2267"/>
      <c r="CG439" s="2267"/>
      <c r="CH439" s="2267"/>
      <c r="CI439" s="2267"/>
      <c r="CJ439" s="2267"/>
      <c r="CK439" s="2267"/>
      <c r="CL439" s="2267"/>
      <c r="CM439" s="2267"/>
      <c r="CN439" s="2267"/>
      <c r="CO439" s="2267"/>
      <c r="CP439" s="2267"/>
      <c r="CQ439" s="2267"/>
      <c r="CR439" s="2267"/>
      <c r="CS439" s="2267"/>
      <c r="CT439" s="2267"/>
      <c r="CU439" s="2268"/>
      <c r="CV439" s="2300" t="str">
        <f t="shared" si="471"/>
        <v/>
      </c>
      <c r="CW439" s="2300"/>
      <c r="CX439" s="2300"/>
      <c r="CY439" s="2300"/>
      <c r="CZ439" s="2300"/>
      <c r="DA439" s="2300"/>
      <c r="DC439" s="329" t="str">
        <f t="shared" si="472"/>
        <v/>
      </c>
      <c r="DD439" s="197"/>
      <c r="DF439" s="14"/>
      <c r="DG439" s="14"/>
      <c r="DH439" s="14"/>
      <c r="DI439" s="1596"/>
      <c r="DJ439" s="1170" t="s">
        <v>2749</v>
      </c>
      <c r="DK439" s="1604" t="str">
        <f t="shared" si="473"/>
        <v/>
      </c>
      <c r="DL439" s="437" t="str">
        <f t="shared" si="474"/>
        <v/>
      </c>
      <c r="DM439" s="1128">
        <f t="shared" si="475"/>
        <v>0</v>
      </c>
      <c r="DN439" s="22">
        <f t="shared" si="476"/>
        <v>0</v>
      </c>
      <c r="DO439" s="22">
        <f t="shared" si="477"/>
        <v>0</v>
      </c>
      <c r="DP439" s="264">
        <f t="shared" si="478"/>
        <v>0</v>
      </c>
      <c r="DQ439" s="32" t="s">
        <v>776</v>
      </c>
      <c r="DR439" s="263" t="str">
        <f t="shared" si="479"/>
        <v>出入口の確保の状況</v>
      </c>
      <c r="DS439" s="23">
        <f t="shared" si="480"/>
        <v>0</v>
      </c>
      <c r="DT439" s="29" t="str">
        <f t="shared" si="481"/>
        <v/>
      </c>
      <c r="DU439" s="242" t="str">
        <f t="shared" si="482"/>
        <v/>
      </c>
      <c r="DV439" s="243" t="str">
        <f>IF($DT439="要是正",MAX($DV$432:DV438)+1,"")</f>
        <v/>
      </c>
      <c r="DW439" s="12" t="str">
        <f t="shared" si="483"/>
        <v/>
      </c>
      <c r="DX439" s="30" t="str">
        <f t="shared" si="484"/>
        <v/>
      </c>
      <c r="DY439" s="13" t="str">
        <f t="shared" si="485"/>
        <v/>
      </c>
      <c r="DZ439" s="121" t="str">
        <f t="shared" si="486"/>
        <v/>
      </c>
      <c r="EA439" s="256" t="str">
        <f t="shared" si="487"/>
        <v/>
      </c>
      <c r="EB439" s="138" t="str">
        <f t="shared" si="488"/>
        <v/>
      </c>
      <c r="EC439" s="131" t="str">
        <f t="shared" si="489"/>
        <v>0</v>
      </c>
      <c r="ED439" s="54" t="str">
        <f t="shared" si="490"/>
        <v/>
      </c>
      <c r="EE439" s="131" t="str">
        <f t="shared" si="543"/>
        <v>0</v>
      </c>
      <c r="EF439" s="37" t="str">
        <f t="shared" si="491"/>
        <v/>
      </c>
      <c r="EG439" s="108" t="str">
        <f t="shared" si="492"/>
        <v/>
      </c>
      <c r="EH439" s="41" t="str">
        <f t="shared" si="493"/>
        <v>0</v>
      </c>
      <c r="EI439" s="54" t="str">
        <f t="shared" si="494"/>
        <v/>
      </c>
      <c r="EJ439" s="131" t="str">
        <f t="shared" si="544"/>
        <v>0</v>
      </c>
      <c r="EK439" s="241" t="str">
        <f t="shared" si="495"/>
        <v/>
      </c>
      <c r="EL439" s="242" t="e">
        <f t="shared" si="496"/>
        <v>#N/A</v>
      </c>
      <c r="EM439" s="57" t="e">
        <f t="shared" si="497"/>
        <v>#N/A</v>
      </c>
      <c r="EN439" s="243" t="e">
        <f t="shared" si="498"/>
        <v>#N/A</v>
      </c>
      <c r="FK439" s="326" t="str">
        <f t="shared" si="499"/>
        <v/>
      </c>
      <c r="FL439" s="326" t="str">
        <f t="shared" si="500"/>
        <v/>
      </c>
      <c r="FM439" s="326" t="str">
        <f t="shared" si="501"/>
        <v/>
      </c>
      <c r="FN439" s="326">
        <f t="shared" si="502"/>
        <v>0</v>
      </c>
      <c r="FO439" s="670" t="str">
        <f t="shared" si="503"/>
        <v/>
      </c>
      <c r="FQ439" s="138" t="str">
        <f t="shared" si="504"/>
        <v/>
      </c>
      <c r="FR439" s="131" t="str">
        <f t="shared" si="505"/>
        <v>0</v>
      </c>
      <c r="FS439" s="54" t="str">
        <f t="shared" si="506"/>
        <v/>
      </c>
      <c r="FT439" s="131" t="str">
        <f t="shared" si="507"/>
        <v>0</v>
      </c>
      <c r="FU439" s="217" t="str">
        <f t="shared" si="545"/>
        <v/>
      </c>
      <c r="FW439" s="667">
        <f t="shared" si="433"/>
        <v>0</v>
      </c>
      <c r="FX439" s="32"/>
      <c r="FY439" s="32"/>
      <c r="FZ439" s="668"/>
      <c r="GA439" s="14"/>
      <c r="GB439" s="658">
        <f t="shared" si="508"/>
        <v>0</v>
      </c>
      <c r="GC439" s="658">
        <f t="shared" si="509"/>
        <v>0</v>
      </c>
      <c r="GD439" s="658">
        <f t="shared" si="510"/>
        <v>0</v>
      </c>
      <c r="GE439" s="658" t="str">
        <f t="shared" si="511"/>
        <v/>
      </c>
      <c r="GF439" s="658" t="str">
        <f t="shared" si="512"/>
        <v/>
      </c>
      <c r="GG439" s="658" t="str">
        <f t="shared" si="513"/>
        <v/>
      </c>
      <c r="GH439" s="658" t="str">
        <f t="shared" si="514"/>
        <v/>
      </c>
      <c r="GI439" s="658" t="str">
        <f t="shared" si="515"/>
        <v/>
      </c>
      <c r="GJ439" s="658" t="str">
        <f t="shared" si="516"/>
        <v/>
      </c>
      <c r="GK439" s="658" t="str">
        <f t="shared" si="517"/>
        <v/>
      </c>
      <c r="GL439" s="658" t="str">
        <f t="shared" si="518"/>
        <v/>
      </c>
      <c r="GM439" s="658" t="str">
        <f t="shared" si="519"/>
        <v/>
      </c>
      <c r="GN439" s="658" t="str">
        <f t="shared" si="520"/>
        <v/>
      </c>
      <c r="GO439" s="658" t="str">
        <f t="shared" si="521"/>
        <v/>
      </c>
      <c r="GP439" s="658" t="str">
        <f t="shared" si="522"/>
        <v/>
      </c>
      <c r="GQ439" s="658" t="str">
        <f t="shared" si="523"/>
        <v/>
      </c>
      <c r="GR439" s="658" t="str">
        <f t="shared" si="524"/>
        <v/>
      </c>
      <c r="GS439" s="658" t="str">
        <f t="shared" si="525"/>
        <v/>
      </c>
      <c r="GT439" s="658">
        <f t="shared" si="368"/>
        <v>0</v>
      </c>
      <c r="GU439" s="658">
        <f t="shared" si="369"/>
        <v>0</v>
      </c>
      <c r="GV439" s="658">
        <f t="shared" si="370"/>
        <v>0</v>
      </c>
      <c r="GW439" s="658" t="b">
        <f t="shared" si="371"/>
        <v>0</v>
      </c>
      <c r="GX439" s="658" t="b">
        <f t="shared" si="372"/>
        <v>0</v>
      </c>
      <c r="GY439" s="658" t="b">
        <f t="shared" si="373"/>
        <v>0</v>
      </c>
      <c r="GZ439" s="658" t="str">
        <f t="shared" si="378"/>
        <v/>
      </c>
      <c r="HB439" s="658" t="str">
        <f t="shared" si="374"/>
        <v/>
      </c>
      <c r="HC439" s="658" t="str">
        <f t="shared" si="526"/>
        <v/>
      </c>
      <c r="HD439" s="658" t="str">
        <f t="shared" si="527"/>
        <v/>
      </c>
      <c r="HE439" s="658" t="str">
        <f t="shared" si="528"/>
        <v/>
      </c>
      <c r="HF439" s="658" t="str">
        <f t="shared" si="529"/>
        <v/>
      </c>
      <c r="HG439" s="658" t="str">
        <f t="shared" si="530"/>
        <v/>
      </c>
      <c r="HH439" s="658" t="str">
        <f t="shared" si="531"/>
        <v/>
      </c>
      <c r="HI439" s="658" t="str">
        <f t="shared" si="532"/>
        <v/>
      </c>
      <c r="HJ439" s="658" t="str">
        <f t="shared" si="533"/>
        <v/>
      </c>
      <c r="HK439" s="658" t="str">
        <f t="shared" si="534"/>
        <v/>
      </c>
      <c r="HL439" s="658" t="str">
        <f t="shared" si="535"/>
        <v/>
      </c>
      <c r="HM439" s="658" t="str">
        <f t="shared" si="536"/>
        <v/>
      </c>
      <c r="HN439" s="658" t="str">
        <f t="shared" si="537"/>
        <v/>
      </c>
      <c r="HO439" s="658" t="str">
        <f t="shared" si="538"/>
        <v/>
      </c>
      <c r="HP439" s="658" t="str">
        <f t="shared" si="539"/>
        <v/>
      </c>
      <c r="HQ439" s="658" t="str">
        <f t="shared" si="540"/>
        <v/>
      </c>
      <c r="HR439" s="658" t="str">
        <f t="shared" si="375"/>
        <v/>
      </c>
      <c r="HT439" s="658">
        <f>LEFT(M439,1)*10000+MID(M439,3,LEN(M439)-3)*100+COUNTIF($M$319:M439,M439)</f>
        <v>50401</v>
      </c>
      <c r="HU439" s="658" t="str">
        <f t="shared" si="376"/>
        <v/>
      </c>
      <c r="HV439" s="658" t="str">
        <f t="shared" si="541"/>
        <v/>
      </c>
      <c r="HW439" s="658" t="str">
        <f t="shared" si="377"/>
        <v/>
      </c>
      <c r="HX439" s="658" t="str">
        <f t="shared" si="542"/>
        <v/>
      </c>
    </row>
    <row r="440" spans="1:232" s="19" customFormat="1" ht="50.1" customHeight="1" x14ac:dyDescent="0.15">
      <c r="A440" s="1201"/>
      <c r="B440" s="1201"/>
      <c r="C440" s="1201"/>
      <c r="D440" s="1201"/>
      <c r="E440" s="1202"/>
      <c r="F440" s="652"/>
      <c r="G440" s="652"/>
      <c r="H440" s="652"/>
      <c r="I440" s="1354"/>
      <c r="J440" s="1234"/>
      <c r="K440" s="1261"/>
      <c r="L440" s="1261"/>
      <c r="M440" s="2478" t="s">
        <v>1199</v>
      </c>
      <c r="N440" s="2478"/>
      <c r="O440" s="2478"/>
      <c r="P440" s="2429"/>
      <c r="Q440" s="2429"/>
      <c r="R440" s="2429"/>
      <c r="S440" s="2429"/>
      <c r="T440" s="2429"/>
      <c r="U440" s="2431" t="s">
        <v>112</v>
      </c>
      <c r="V440" s="2431"/>
      <c r="W440" s="2431"/>
      <c r="X440" s="2431"/>
      <c r="Y440" s="2431"/>
      <c r="Z440" s="2431"/>
      <c r="AA440" s="2431"/>
      <c r="AB440" s="2431"/>
      <c r="AC440" s="2431"/>
      <c r="AD440" s="2431"/>
      <c r="AE440" s="2431"/>
      <c r="AF440" s="2303"/>
      <c r="AG440" s="2303"/>
      <c r="AH440" s="2303"/>
      <c r="AI440" s="2303"/>
      <c r="AJ440" s="2303"/>
      <c r="AK440" s="2303"/>
      <c r="AL440" s="2303"/>
      <c r="AM440" s="2303"/>
      <c r="AN440" s="2303"/>
      <c r="AO440" s="2303"/>
      <c r="AP440" s="2303"/>
      <c r="AQ440" s="2303"/>
      <c r="AR440" s="2297"/>
      <c r="AS440" s="2297"/>
      <c r="AT440" s="2135"/>
      <c r="AU440" s="2135"/>
      <c r="AV440" s="2135"/>
      <c r="AW440" s="2135"/>
      <c r="AX440" s="2135"/>
      <c r="AY440" s="2135"/>
      <c r="AZ440" s="2135"/>
      <c r="BA440" s="2135"/>
      <c r="BB440" s="2135"/>
      <c r="BC440" s="2135"/>
      <c r="BD440" s="2135"/>
      <c r="BE440" s="2135"/>
      <c r="BF440" s="2135"/>
      <c r="BG440" s="2135"/>
      <c r="BH440" s="2135"/>
      <c r="BI440" s="2135"/>
      <c r="BJ440" s="2135"/>
      <c r="BK440" s="2135"/>
      <c r="BL440" s="2135"/>
      <c r="BM440" s="2135"/>
      <c r="BN440" s="2135"/>
      <c r="BO440" s="2135"/>
      <c r="BP440" s="2135"/>
      <c r="BQ440" s="2135"/>
      <c r="BR440" s="2135"/>
      <c r="BS440" s="2354"/>
      <c r="BT440" s="2354"/>
      <c r="BU440" s="2354"/>
      <c r="BV440" s="2354"/>
      <c r="BW440" s="2354"/>
      <c r="BX440" s="2354"/>
      <c r="BY440" s="2354"/>
      <c r="BZ440" s="2297"/>
      <c r="CA440" s="2297"/>
      <c r="CB440" s="2395"/>
      <c r="CC440" s="2396"/>
      <c r="CD440" s="2396"/>
      <c r="CE440" s="2396"/>
      <c r="CF440" s="2396"/>
      <c r="CG440" s="2396"/>
      <c r="CH440" s="2396"/>
      <c r="CI440" s="2396"/>
      <c r="CJ440" s="2396"/>
      <c r="CK440" s="2396"/>
      <c r="CL440" s="2396"/>
      <c r="CM440" s="2396"/>
      <c r="CN440" s="2396"/>
      <c r="CO440" s="2396"/>
      <c r="CP440" s="2396"/>
      <c r="CQ440" s="2396"/>
      <c r="CR440" s="2396"/>
      <c r="CS440" s="2396"/>
      <c r="CT440" s="2396"/>
      <c r="CU440" s="2397"/>
      <c r="CV440" s="2300" t="str">
        <f t="shared" si="471"/>
        <v/>
      </c>
      <c r="CW440" s="2300"/>
      <c r="CX440" s="2300"/>
      <c r="CY440" s="2300"/>
      <c r="CZ440" s="2300"/>
      <c r="DA440" s="2300"/>
      <c r="DC440" s="329" t="str">
        <f t="shared" si="472"/>
        <v/>
      </c>
      <c r="DD440" s="197"/>
      <c r="DF440" s="14"/>
      <c r="DG440" s="14"/>
      <c r="DH440" s="14"/>
      <c r="DI440" s="1596"/>
      <c r="DJ440" s="1170" t="s">
        <v>2749</v>
      </c>
      <c r="DK440" s="1604" t="str">
        <f t="shared" si="473"/>
        <v/>
      </c>
      <c r="DL440" s="437" t="str">
        <f t="shared" si="474"/>
        <v/>
      </c>
      <c r="DM440" s="1128">
        <f t="shared" si="475"/>
        <v>0</v>
      </c>
      <c r="DN440" s="22">
        <f t="shared" si="476"/>
        <v>0</v>
      </c>
      <c r="DO440" s="22">
        <f t="shared" si="477"/>
        <v>0</v>
      </c>
      <c r="DP440" s="264">
        <f t="shared" si="478"/>
        <v>0</v>
      </c>
      <c r="DQ440" s="32" t="s">
        <v>777</v>
      </c>
      <c r="DR440" s="263" t="str">
        <f t="shared" si="479"/>
        <v>物品の放置の状況</v>
      </c>
      <c r="DS440" s="23">
        <f t="shared" si="480"/>
        <v>0</v>
      </c>
      <c r="DT440" s="29" t="str">
        <f t="shared" si="481"/>
        <v/>
      </c>
      <c r="DU440" s="242" t="str">
        <f t="shared" si="482"/>
        <v/>
      </c>
      <c r="DV440" s="243" t="str">
        <f>IF($DT440="要是正",MAX($DV$432:DV439)+1,"")</f>
        <v/>
      </c>
      <c r="DW440" s="12" t="str">
        <f t="shared" si="483"/>
        <v/>
      </c>
      <c r="DX440" s="30" t="str">
        <f t="shared" si="484"/>
        <v/>
      </c>
      <c r="DY440" s="13" t="str">
        <f t="shared" si="485"/>
        <v/>
      </c>
      <c r="DZ440" s="121" t="str">
        <f t="shared" si="486"/>
        <v/>
      </c>
      <c r="EA440" s="256" t="str">
        <f t="shared" si="487"/>
        <v/>
      </c>
      <c r="EB440" s="138" t="str">
        <f t="shared" si="488"/>
        <v/>
      </c>
      <c r="EC440" s="131" t="str">
        <f t="shared" si="489"/>
        <v>0</v>
      </c>
      <c r="ED440" s="54" t="str">
        <f t="shared" si="490"/>
        <v/>
      </c>
      <c r="EE440" s="131" t="str">
        <f t="shared" si="543"/>
        <v>0</v>
      </c>
      <c r="EF440" s="37" t="str">
        <f t="shared" si="491"/>
        <v/>
      </c>
      <c r="EG440" s="108" t="str">
        <f t="shared" si="492"/>
        <v/>
      </c>
      <c r="EH440" s="41" t="str">
        <f t="shared" si="493"/>
        <v>0</v>
      </c>
      <c r="EI440" s="54" t="str">
        <f t="shared" si="494"/>
        <v/>
      </c>
      <c r="EJ440" s="131" t="str">
        <f t="shared" si="544"/>
        <v>0</v>
      </c>
      <c r="EK440" s="241" t="str">
        <f t="shared" si="495"/>
        <v/>
      </c>
      <c r="EL440" s="242" t="e">
        <f t="shared" si="496"/>
        <v>#N/A</v>
      </c>
      <c r="EM440" s="57" t="e">
        <f t="shared" si="497"/>
        <v>#N/A</v>
      </c>
      <c r="EN440" s="243" t="e">
        <f t="shared" si="498"/>
        <v>#N/A</v>
      </c>
      <c r="FK440" s="326" t="str">
        <f t="shared" si="499"/>
        <v/>
      </c>
      <c r="FL440" s="326" t="str">
        <f t="shared" si="500"/>
        <v/>
      </c>
      <c r="FM440" s="326" t="str">
        <f t="shared" si="501"/>
        <v/>
      </c>
      <c r="FN440" s="326">
        <f t="shared" si="502"/>
        <v>0</v>
      </c>
      <c r="FO440" s="670" t="str">
        <f t="shared" si="503"/>
        <v/>
      </c>
      <c r="FQ440" s="138" t="str">
        <f t="shared" si="504"/>
        <v/>
      </c>
      <c r="FR440" s="131" t="str">
        <f t="shared" si="505"/>
        <v>0</v>
      </c>
      <c r="FS440" s="54" t="str">
        <f t="shared" si="506"/>
        <v/>
      </c>
      <c r="FT440" s="131" t="str">
        <f t="shared" si="507"/>
        <v>0</v>
      </c>
      <c r="FU440" s="217" t="str">
        <f t="shared" si="545"/>
        <v/>
      </c>
      <c r="FW440" s="667">
        <f t="shared" si="433"/>
        <v>0</v>
      </c>
      <c r="FX440" s="32"/>
      <c r="FY440" s="32"/>
      <c r="FZ440" s="668"/>
      <c r="GA440" s="14"/>
      <c r="GB440" s="658">
        <f t="shared" si="508"/>
        <v>0</v>
      </c>
      <c r="GC440" s="658">
        <f t="shared" si="509"/>
        <v>0</v>
      </c>
      <c r="GD440" s="658">
        <f t="shared" si="510"/>
        <v>0</v>
      </c>
      <c r="GE440" s="658" t="str">
        <f t="shared" si="511"/>
        <v/>
      </c>
      <c r="GF440" s="658" t="str">
        <f t="shared" si="512"/>
        <v/>
      </c>
      <c r="GG440" s="658" t="str">
        <f t="shared" si="513"/>
        <v/>
      </c>
      <c r="GH440" s="658" t="str">
        <f t="shared" si="514"/>
        <v/>
      </c>
      <c r="GI440" s="658" t="str">
        <f t="shared" si="515"/>
        <v/>
      </c>
      <c r="GJ440" s="658" t="str">
        <f t="shared" si="516"/>
        <v/>
      </c>
      <c r="GK440" s="658" t="str">
        <f t="shared" si="517"/>
        <v/>
      </c>
      <c r="GL440" s="658" t="str">
        <f t="shared" si="518"/>
        <v/>
      </c>
      <c r="GM440" s="658" t="str">
        <f t="shared" si="519"/>
        <v/>
      </c>
      <c r="GN440" s="658" t="str">
        <f t="shared" si="520"/>
        <v/>
      </c>
      <c r="GO440" s="658" t="str">
        <f t="shared" si="521"/>
        <v/>
      </c>
      <c r="GP440" s="658" t="str">
        <f t="shared" si="522"/>
        <v/>
      </c>
      <c r="GQ440" s="658" t="str">
        <f t="shared" si="523"/>
        <v/>
      </c>
      <c r="GR440" s="658" t="str">
        <f t="shared" si="524"/>
        <v/>
      </c>
      <c r="GS440" s="658" t="str">
        <f t="shared" si="525"/>
        <v/>
      </c>
      <c r="GT440" s="658">
        <f t="shared" si="368"/>
        <v>0</v>
      </c>
      <c r="GU440" s="658">
        <f t="shared" si="369"/>
        <v>0</v>
      </c>
      <c r="GV440" s="658">
        <f t="shared" si="370"/>
        <v>0</v>
      </c>
      <c r="GW440" s="658" t="b">
        <f t="shared" si="371"/>
        <v>0</v>
      </c>
      <c r="GX440" s="658" t="b">
        <f t="shared" si="372"/>
        <v>0</v>
      </c>
      <c r="GY440" s="658" t="b">
        <f t="shared" si="373"/>
        <v>0</v>
      </c>
      <c r="GZ440" s="658" t="str">
        <f t="shared" si="378"/>
        <v/>
      </c>
      <c r="HB440" s="658" t="str">
        <f t="shared" si="374"/>
        <v/>
      </c>
      <c r="HC440" s="658" t="str">
        <f t="shared" si="526"/>
        <v/>
      </c>
      <c r="HD440" s="658" t="str">
        <f t="shared" si="527"/>
        <v/>
      </c>
      <c r="HE440" s="658" t="str">
        <f t="shared" si="528"/>
        <v/>
      </c>
      <c r="HF440" s="658" t="str">
        <f t="shared" si="529"/>
        <v/>
      </c>
      <c r="HG440" s="658" t="str">
        <f t="shared" si="530"/>
        <v/>
      </c>
      <c r="HH440" s="658" t="str">
        <f t="shared" si="531"/>
        <v/>
      </c>
      <c r="HI440" s="658" t="str">
        <f t="shared" si="532"/>
        <v/>
      </c>
      <c r="HJ440" s="658" t="str">
        <f t="shared" si="533"/>
        <v/>
      </c>
      <c r="HK440" s="658" t="str">
        <f t="shared" si="534"/>
        <v/>
      </c>
      <c r="HL440" s="658" t="str">
        <f t="shared" si="535"/>
        <v/>
      </c>
      <c r="HM440" s="658" t="str">
        <f t="shared" si="536"/>
        <v/>
      </c>
      <c r="HN440" s="658" t="str">
        <f t="shared" si="537"/>
        <v/>
      </c>
      <c r="HO440" s="658" t="str">
        <f t="shared" si="538"/>
        <v/>
      </c>
      <c r="HP440" s="658" t="str">
        <f t="shared" si="539"/>
        <v/>
      </c>
      <c r="HQ440" s="658" t="str">
        <f t="shared" si="540"/>
        <v/>
      </c>
      <c r="HR440" s="658" t="str">
        <f t="shared" si="375"/>
        <v/>
      </c>
      <c r="HT440" s="658">
        <f>LEFT(M440,1)*10000+MID(M440,3,LEN(M440)-3)*100+COUNTIF($M$319:M440,M440)</f>
        <v>50501</v>
      </c>
      <c r="HU440" s="658" t="str">
        <f t="shared" si="376"/>
        <v/>
      </c>
      <c r="HV440" s="658" t="str">
        <f t="shared" si="541"/>
        <v/>
      </c>
      <c r="HW440" s="658" t="str">
        <f t="shared" si="377"/>
        <v/>
      </c>
      <c r="HX440" s="658" t="str">
        <f t="shared" si="542"/>
        <v/>
      </c>
    </row>
    <row r="441" spans="1:232" s="19" customFormat="1" ht="50.1" customHeight="1" x14ac:dyDescent="0.15">
      <c r="A441" s="1201"/>
      <c r="B441" s="1201"/>
      <c r="C441" s="1201"/>
      <c r="D441" s="1201"/>
      <c r="E441" s="1202"/>
      <c r="F441" s="652"/>
      <c r="G441" s="652"/>
      <c r="H441" s="652"/>
      <c r="I441" s="1354"/>
      <c r="J441" s="1234"/>
      <c r="K441" s="1261"/>
      <c r="L441" s="1261"/>
      <c r="M441" s="2478" t="s">
        <v>1200</v>
      </c>
      <c r="N441" s="2478"/>
      <c r="O441" s="2478"/>
      <c r="P441" s="2429" t="s">
        <v>115</v>
      </c>
      <c r="Q441" s="2429"/>
      <c r="R441" s="2429"/>
      <c r="S441" s="2429"/>
      <c r="T441" s="2429"/>
      <c r="U441" s="2429" t="s">
        <v>116</v>
      </c>
      <c r="V441" s="2429"/>
      <c r="W441" s="2429"/>
      <c r="X441" s="2429"/>
      <c r="Y441" s="2429"/>
      <c r="Z441" s="2429"/>
      <c r="AA441" s="2429"/>
      <c r="AB441" s="2429"/>
      <c r="AC441" s="2429"/>
      <c r="AD441" s="2429"/>
      <c r="AE441" s="2429"/>
      <c r="AF441" s="2293"/>
      <c r="AG441" s="2293"/>
      <c r="AH441" s="2293"/>
      <c r="AI441" s="2293"/>
      <c r="AJ441" s="2293"/>
      <c r="AK441" s="2293"/>
      <c r="AL441" s="2293"/>
      <c r="AM441" s="2293"/>
      <c r="AN441" s="2293"/>
      <c r="AO441" s="2293"/>
      <c r="AP441" s="2293"/>
      <c r="AQ441" s="2293"/>
      <c r="AR441" s="2359"/>
      <c r="AS441" s="2359"/>
      <c r="AT441" s="2301"/>
      <c r="AU441" s="2301"/>
      <c r="AV441" s="2301"/>
      <c r="AW441" s="2301"/>
      <c r="AX441" s="2301"/>
      <c r="AY441" s="2301"/>
      <c r="AZ441" s="2301"/>
      <c r="BA441" s="2301"/>
      <c r="BB441" s="2301"/>
      <c r="BC441" s="2301"/>
      <c r="BD441" s="2301"/>
      <c r="BE441" s="2301"/>
      <c r="BF441" s="2301"/>
      <c r="BG441" s="2301"/>
      <c r="BH441" s="2301"/>
      <c r="BI441" s="2301"/>
      <c r="BJ441" s="2301"/>
      <c r="BK441" s="2301"/>
      <c r="BL441" s="2301"/>
      <c r="BM441" s="2301"/>
      <c r="BN441" s="2301"/>
      <c r="BO441" s="2301"/>
      <c r="BP441" s="2301"/>
      <c r="BQ441" s="2301"/>
      <c r="BR441" s="2301"/>
      <c r="BS441" s="2358"/>
      <c r="BT441" s="2358"/>
      <c r="BU441" s="2358"/>
      <c r="BV441" s="2358"/>
      <c r="BW441" s="2358"/>
      <c r="BX441" s="2358"/>
      <c r="BY441" s="2358"/>
      <c r="BZ441" s="2359"/>
      <c r="CA441" s="2359"/>
      <c r="CB441" s="2360"/>
      <c r="CC441" s="2361"/>
      <c r="CD441" s="2361"/>
      <c r="CE441" s="2361"/>
      <c r="CF441" s="2361"/>
      <c r="CG441" s="2361"/>
      <c r="CH441" s="2361"/>
      <c r="CI441" s="2361"/>
      <c r="CJ441" s="2361"/>
      <c r="CK441" s="2361"/>
      <c r="CL441" s="2361"/>
      <c r="CM441" s="2361"/>
      <c r="CN441" s="2361"/>
      <c r="CO441" s="2361"/>
      <c r="CP441" s="2361"/>
      <c r="CQ441" s="2361"/>
      <c r="CR441" s="2361"/>
      <c r="CS441" s="2361"/>
      <c r="CT441" s="2361"/>
      <c r="CU441" s="2362"/>
      <c r="CV441" s="2300" t="str">
        <f t="shared" si="471"/>
        <v/>
      </c>
      <c r="CW441" s="2300"/>
      <c r="CX441" s="2300"/>
      <c r="CY441" s="2300"/>
      <c r="CZ441" s="2300"/>
      <c r="DA441" s="2300"/>
      <c r="DC441" s="329" t="str">
        <f t="shared" si="472"/>
        <v/>
      </c>
      <c r="DD441" s="197"/>
      <c r="DF441" s="14"/>
      <c r="DG441" s="14"/>
      <c r="DH441" s="14"/>
      <c r="DI441" s="1596"/>
      <c r="DJ441" s="1170" t="s">
        <v>2749</v>
      </c>
      <c r="DK441" s="1604" t="str">
        <f t="shared" si="473"/>
        <v/>
      </c>
      <c r="DL441" s="437" t="str">
        <f t="shared" si="474"/>
        <v/>
      </c>
      <c r="DM441" s="1128">
        <f t="shared" si="475"/>
        <v>0</v>
      </c>
      <c r="DN441" s="22">
        <f t="shared" si="476"/>
        <v>0</v>
      </c>
      <c r="DO441" s="22">
        <f t="shared" si="477"/>
        <v>0</v>
      </c>
      <c r="DP441" s="264">
        <f t="shared" si="478"/>
        <v>0</v>
      </c>
      <c r="DQ441" s="32" t="s">
        <v>778</v>
      </c>
      <c r="DR441" s="263" t="str">
        <f t="shared" si="479"/>
        <v>屋上広場の確保の状況</v>
      </c>
      <c r="DS441" s="23">
        <f t="shared" si="480"/>
        <v>0</v>
      </c>
      <c r="DT441" s="29" t="str">
        <f t="shared" si="481"/>
        <v/>
      </c>
      <c r="DU441" s="242" t="str">
        <f t="shared" si="482"/>
        <v/>
      </c>
      <c r="DV441" s="243" t="str">
        <f>IF($DT441="要是正",MAX($DV$432:DV440)+1,"")</f>
        <v/>
      </c>
      <c r="DW441" s="12" t="str">
        <f t="shared" si="483"/>
        <v/>
      </c>
      <c r="DX441" s="30" t="str">
        <f t="shared" si="484"/>
        <v/>
      </c>
      <c r="DY441" s="13" t="str">
        <f t="shared" si="485"/>
        <v/>
      </c>
      <c r="DZ441" s="121" t="str">
        <f t="shared" si="486"/>
        <v/>
      </c>
      <c r="EA441" s="256" t="str">
        <f t="shared" si="487"/>
        <v/>
      </c>
      <c r="EB441" s="138" t="str">
        <f t="shared" si="488"/>
        <v/>
      </c>
      <c r="EC441" s="131" t="str">
        <f t="shared" si="489"/>
        <v>0</v>
      </c>
      <c r="ED441" s="54" t="str">
        <f t="shared" si="490"/>
        <v/>
      </c>
      <c r="EE441" s="131" t="str">
        <f t="shared" si="543"/>
        <v>0</v>
      </c>
      <c r="EF441" s="37" t="str">
        <f t="shared" si="491"/>
        <v/>
      </c>
      <c r="EG441" s="108" t="str">
        <f t="shared" si="492"/>
        <v/>
      </c>
      <c r="EH441" s="41" t="str">
        <f t="shared" si="493"/>
        <v>0</v>
      </c>
      <c r="EI441" s="54" t="str">
        <f t="shared" si="494"/>
        <v/>
      </c>
      <c r="EJ441" s="131" t="str">
        <f t="shared" si="544"/>
        <v>0</v>
      </c>
      <c r="EK441" s="241" t="str">
        <f t="shared" si="495"/>
        <v/>
      </c>
      <c r="EL441" s="242" t="e">
        <f t="shared" si="496"/>
        <v>#N/A</v>
      </c>
      <c r="EM441" s="57" t="e">
        <f t="shared" si="497"/>
        <v>#N/A</v>
      </c>
      <c r="EN441" s="243" t="e">
        <f t="shared" si="498"/>
        <v>#N/A</v>
      </c>
      <c r="FK441" s="326" t="str">
        <f t="shared" si="499"/>
        <v/>
      </c>
      <c r="FL441" s="326" t="str">
        <f t="shared" si="500"/>
        <v/>
      </c>
      <c r="FM441" s="326" t="str">
        <f t="shared" si="501"/>
        <v/>
      </c>
      <c r="FN441" s="326">
        <f t="shared" si="502"/>
        <v>0</v>
      </c>
      <c r="FO441" s="670" t="str">
        <f t="shared" si="503"/>
        <v/>
      </c>
      <c r="FQ441" s="138" t="str">
        <f t="shared" si="504"/>
        <v/>
      </c>
      <c r="FR441" s="131" t="str">
        <f t="shared" si="505"/>
        <v>0</v>
      </c>
      <c r="FS441" s="54" t="str">
        <f t="shared" si="506"/>
        <v/>
      </c>
      <c r="FT441" s="131" t="str">
        <f t="shared" si="507"/>
        <v>0</v>
      </c>
      <c r="FU441" s="217" t="str">
        <f t="shared" si="545"/>
        <v/>
      </c>
      <c r="FW441" s="667">
        <f t="shared" si="433"/>
        <v>0</v>
      </c>
      <c r="FX441" s="32"/>
      <c r="FY441" s="32"/>
      <c r="FZ441" s="668"/>
      <c r="GA441" s="14"/>
      <c r="GB441" s="658">
        <f t="shared" si="508"/>
        <v>0</v>
      </c>
      <c r="GC441" s="658">
        <f t="shared" si="509"/>
        <v>0</v>
      </c>
      <c r="GD441" s="658">
        <f t="shared" si="510"/>
        <v>0</v>
      </c>
      <c r="GE441" s="658" t="str">
        <f t="shared" si="511"/>
        <v/>
      </c>
      <c r="GF441" s="658" t="str">
        <f t="shared" si="512"/>
        <v/>
      </c>
      <c r="GG441" s="658" t="str">
        <f t="shared" si="513"/>
        <v/>
      </c>
      <c r="GH441" s="658" t="str">
        <f t="shared" si="514"/>
        <v/>
      </c>
      <c r="GI441" s="658" t="str">
        <f t="shared" si="515"/>
        <v/>
      </c>
      <c r="GJ441" s="658" t="str">
        <f t="shared" si="516"/>
        <v/>
      </c>
      <c r="GK441" s="658" t="str">
        <f t="shared" si="517"/>
        <v/>
      </c>
      <c r="GL441" s="658" t="str">
        <f t="shared" si="518"/>
        <v/>
      </c>
      <c r="GM441" s="658" t="str">
        <f t="shared" si="519"/>
        <v/>
      </c>
      <c r="GN441" s="658" t="str">
        <f t="shared" si="520"/>
        <v/>
      </c>
      <c r="GO441" s="658" t="str">
        <f t="shared" si="521"/>
        <v/>
      </c>
      <c r="GP441" s="658" t="str">
        <f t="shared" si="522"/>
        <v/>
      </c>
      <c r="GQ441" s="658" t="str">
        <f t="shared" si="523"/>
        <v/>
      </c>
      <c r="GR441" s="658" t="str">
        <f t="shared" si="524"/>
        <v/>
      </c>
      <c r="GS441" s="658" t="str">
        <f t="shared" si="525"/>
        <v/>
      </c>
      <c r="GT441" s="658">
        <f t="shared" si="368"/>
        <v>0</v>
      </c>
      <c r="GU441" s="658">
        <f t="shared" si="369"/>
        <v>0</v>
      </c>
      <c r="GV441" s="658">
        <f t="shared" si="370"/>
        <v>0</v>
      </c>
      <c r="GW441" s="658" t="b">
        <f t="shared" si="371"/>
        <v>0</v>
      </c>
      <c r="GX441" s="658" t="b">
        <f t="shared" si="372"/>
        <v>0</v>
      </c>
      <c r="GY441" s="658" t="b">
        <f t="shared" si="373"/>
        <v>0</v>
      </c>
      <c r="GZ441" s="658" t="str">
        <f t="shared" si="378"/>
        <v/>
      </c>
      <c r="HB441" s="658" t="str">
        <f t="shared" si="374"/>
        <v/>
      </c>
      <c r="HC441" s="658" t="str">
        <f t="shared" si="526"/>
        <v/>
      </c>
      <c r="HD441" s="658" t="str">
        <f t="shared" si="527"/>
        <v/>
      </c>
      <c r="HE441" s="658" t="str">
        <f t="shared" si="528"/>
        <v/>
      </c>
      <c r="HF441" s="658" t="str">
        <f t="shared" si="529"/>
        <v/>
      </c>
      <c r="HG441" s="658" t="str">
        <f t="shared" si="530"/>
        <v/>
      </c>
      <c r="HH441" s="658" t="str">
        <f t="shared" si="531"/>
        <v/>
      </c>
      <c r="HI441" s="658" t="str">
        <f t="shared" si="532"/>
        <v/>
      </c>
      <c r="HJ441" s="658" t="str">
        <f t="shared" si="533"/>
        <v/>
      </c>
      <c r="HK441" s="658" t="str">
        <f t="shared" si="534"/>
        <v/>
      </c>
      <c r="HL441" s="658" t="str">
        <f t="shared" si="535"/>
        <v/>
      </c>
      <c r="HM441" s="658" t="str">
        <f t="shared" si="536"/>
        <v/>
      </c>
      <c r="HN441" s="658" t="str">
        <f t="shared" si="537"/>
        <v/>
      </c>
      <c r="HO441" s="658" t="str">
        <f t="shared" si="538"/>
        <v/>
      </c>
      <c r="HP441" s="658" t="str">
        <f t="shared" si="539"/>
        <v/>
      </c>
      <c r="HQ441" s="658" t="str">
        <f t="shared" si="540"/>
        <v/>
      </c>
      <c r="HR441" s="658" t="str">
        <f t="shared" si="375"/>
        <v/>
      </c>
      <c r="HT441" s="658">
        <f>LEFT(M441,1)*10000+MID(M441,3,LEN(M441)-3)*100+COUNTIF($M$319:M441,M441)</f>
        <v>50601</v>
      </c>
      <c r="HU441" s="658" t="str">
        <f t="shared" si="376"/>
        <v/>
      </c>
      <c r="HV441" s="658" t="str">
        <f t="shared" si="541"/>
        <v/>
      </c>
      <c r="HW441" s="658" t="str">
        <f t="shared" si="377"/>
        <v/>
      </c>
      <c r="HX441" s="658" t="str">
        <f t="shared" si="542"/>
        <v/>
      </c>
    </row>
    <row r="442" spans="1:232" s="19" customFormat="1" ht="50.1" customHeight="1" x14ac:dyDescent="0.15">
      <c r="A442" s="1201"/>
      <c r="B442" s="1201"/>
      <c r="C442" s="1201"/>
      <c r="D442" s="1201"/>
      <c r="E442" s="1202"/>
      <c r="F442" s="652"/>
      <c r="G442" s="652"/>
      <c r="H442" s="652"/>
      <c r="I442" s="1354"/>
      <c r="J442" s="1234"/>
      <c r="K442" s="1261"/>
      <c r="L442" s="1261"/>
      <c r="M442" s="2478" t="s">
        <v>1201</v>
      </c>
      <c r="N442" s="2478"/>
      <c r="O442" s="2478"/>
      <c r="P442" s="2429" t="s">
        <v>117</v>
      </c>
      <c r="Q442" s="2429"/>
      <c r="R442" s="2429"/>
      <c r="S442" s="2429"/>
      <c r="T442" s="2429"/>
      <c r="U442" s="2438" t="s">
        <v>118</v>
      </c>
      <c r="V442" s="2438"/>
      <c r="W442" s="2438"/>
      <c r="X442" s="2438"/>
      <c r="Y442" s="2438"/>
      <c r="Z442" s="2438"/>
      <c r="AA442" s="2438"/>
      <c r="AB442" s="2438"/>
      <c r="AC442" s="2438"/>
      <c r="AD442" s="2438"/>
      <c r="AE442" s="2438"/>
      <c r="AF442" s="2302"/>
      <c r="AG442" s="2302"/>
      <c r="AH442" s="2302"/>
      <c r="AI442" s="2302"/>
      <c r="AJ442" s="2302"/>
      <c r="AK442" s="2302"/>
      <c r="AL442" s="2302"/>
      <c r="AM442" s="2302"/>
      <c r="AN442" s="2302"/>
      <c r="AO442" s="2302"/>
      <c r="AP442" s="2302"/>
      <c r="AQ442" s="2302"/>
      <c r="AR442" s="2272"/>
      <c r="AS442" s="2272"/>
      <c r="AT442" s="2406"/>
      <c r="AU442" s="2406"/>
      <c r="AV442" s="2406"/>
      <c r="AW442" s="2406"/>
      <c r="AX442" s="2406"/>
      <c r="AY442" s="2406"/>
      <c r="AZ442" s="2406"/>
      <c r="BA442" s="2406"/>
      <c r="BB442" s="2406"/>
      <c r="BC442" s="2406"/>
      <c r="BD442" s="2406"/>
      <c r="BE442" s="2406"/>
      <c r="BF442" s="2406"/>
      <c r="BG442" s="2406"/>
      <c r="BH442" s="2406"/>
      <c r="BI442" s="2406"/>
      <c r="BJ442" s="2406"/>
      <c r="BK442" s="2406"/>
      <c r="BL442" s="2406"/>
      <c r="BM442" s="2406"/>
      <c r="BN442" s="2406"/>
      <c r="BO442" s="2406"/>
      <c r="BP442" s="2406"/>
      <c r="BQ442" s="2406"/>
      <c r="BR442" s="2406"/>
      <c r="BS442" s="2271"/>
      <c r="BT442" s="2271"/>
      <c r="BU442" s="2271"/>
      <c r="BV442" s="2271"/>
      <c r="BW442" s="2271"/>
      <c r="BX442" s="2271"/>
      <c r="BY442" s="2271"/>
      <c r="BZ442" s="2272"/>
      <c r="CA442" s="2272"/>
      <c r="CB442" s="2266"/>
      <c r="CC442" s="2267"/>
      <c r="CD442" s="2267"/>
      <c r="CE442" s="2267"/>
      <c r="CF442" s="2267"/>
      <c r="CG442" s="2267"/>
      <c r="CH442" s="2267"/>
      <c r="CI442" s="2267"/>
      <c r="CJ442" s="2267"/>
      <c r="CK442" s="2267"/>
      <c r="CL442" s="2267"/>
      <c r="CM442" s="2267"/>
      <c r="CN442" s="2267"/>
      <c r="CO442" s="2267"/>
      <c r="CP442" s="2267"/>
      <c r="CQ442" s="2267"/>
      <c r="CR442" s="2267"/>
      <c r="CS442" s="2267"/>
      <c r="CT442" s="2267"/>
      <c r="CU442" s="2268"/>
      <c r="CV442" s="2300" t="str">
        <f t="shared" si="471"/>
        <v/>
      </c>
      <c r="CW442" s="2300"/>
      <c r="CX442" s="2300"/>
      <c r="CY442" s="2300"/>
      <c r="CZ442" s="2300"/>
      <c r="DA442" s="2300"/>
      <c r="DC442" s="329" t="str">
        <f t="shared" si="472"/>
        <v/>
      </c>
      <c r="DD442" s="197"/>
      <c r="DF442" s="14"/>
      <c r="DG442" s="14"/>
      <c r="DH442" s="14"/>
      <c r="DI442" s="1596"/>
      <c r="DJ442" s="1170" t="s">
        <v>2749</v>
      </c>
      <c r="DK442" s="1604" t="str">
        <f t="shared" si="473"/>
        <v/>
      </c>
      <c r="DL442" s="437" t="str">
        <f t="shared" si="474"/>
        <v/>
      </c>
      <c r="DM442" s="1128">
        <f t="shared" si="475"/>
        <v>0</v>
      </c>
      <c r="DN442" s="22">
        <f t="shared" si="476"/>
        <v>0</v>
      </c>
      <c r="DO442" s="22">
        <f t="shared" si="477"/>
        <v>0</v>
      </c>
      <c r="DP442" s="264">
        <f t="shared" si="478"/>
        <v>0</v>
      </c>
      <c r="DQ442" s="32" t="s">
        <v>779</v>
      </c>
      <c r="DR442" s="263" t="str">
        <f t="shared" si="479"/>
        <v>避難上有効なバルコニーの確保の状況</v>
      </c>
      <c r="DS442" s="23">
        <f t="shared" si="480"/>
        <v>0</v>
      </c>
      <c r="DT442" s="29" t="str">
        <f t="shared" si="481"/>
        <v/>
      </c>
      <c r="DU442" s="242" t="str">
        <f t="shared" si="482"/>
        <v/>
      </c>
      <c r="DV442" s="243" t="str">
        <f>IF($DT442="要是正",MAX($DV$432:DV441)+1,"")</f>
        <v/>
      </c>
      <c r="DW442" s="12" t="str">
        <f t="shared" si="483"/>
        <v/>
      </c>
      <c r="DX442" s="30" t="str">
        <f t="shared" si="484"/>
        <v/>
      </c>
      <c r="DY442" s="13" t="str">
        <f t="shared" si="485"/>
        <v/>
      </c>
      <c r="DZ442" s="121" t="str">
        <f t="shared" si="486"/>
        <v/>
      </c>
      <c r="EA442" s="256" t="str">
        <f t="shared" si="487"/>
        <v/>
      </c>
      <c r="EB442" s="138" t="str">
        <f t="shared" si="488"/>
        <v/>
      </c>
      <c r="EC442" s="131" t="str">
        <f t="shared" si="489"/>
        <v>0</v>
      </c>
      <c r="ED442" s="54" t="str">
        <f t="shared" si="490"/>
        <v/>
      </c>
      <c r="EE442" s="131" t="str">
        <f t="shared" si="543"/>
        <v>0</v>
      </c>
      <c r="EF442" s="37" t="str">
        <f t="shared" si="491"/>
        <v/>
      </c>
      <c r="EG442" s="108" t="str">
        <f t="shared" si="492"/>
        <v/>
      </c>
      <c r="EH442" s="41" t="str">
        <f t="shared" si="493"/>
        <v>0</v>
      </c>
      <c r="EI442" s="54" t="str">
        <f t="shared" si="494"/>
        <v/>
      </c>
      <c r="EJ442" s="131" t="str">
        <f t="shared" si="544"/>
        <v>0</v>
      </c>
      <c r="EK442" s="241" t="str">
        <f t="shared" si="495"/>
        <v/>
      </c>
      <c r="EL442" s="242" t="e">
        <f t="shared" si="496"/>
        <v>#N/A</v>
      </c>
      <c r="EM442" s="57" t="e">
        <f t="shared" si="497"/>
        <v>#N/A</v>
      </c>
      <c r="EN442" s="243" t="e">
        <f t="shared" si="498"/>
        <v>#N/A</v>
      </c>
      <c r="FK442" s="326" t="str">
        <f t="shared" si="499"/>
        <v/>
      </c>
      <c r="FL442" s="326" t="str">
        <f t="shared" si="500"/>
        <v/>
      </c>
      <c r="FM442" s="326" t="str">
        <f t="shared" si="501"/>
        <v/>
      </c>
      <c r="FN442" s="326">
        <f t="shared" si="502"/>
        <v>0</v>
      </c>
      <c r="FO442" s="670" t="str">
        <f t="shared" si="503"/>
        <v/>
      </c>
      <c r="FQ442" s="138" t="str">
        <f t="shared" si="504"/>
        <v/>
      </c>
      <c r="FR442" s="131" t="str">
        <f t="shared" si="505"/>
        <v>0</v>
      </c>
      <c r="FS442" s="54" t="str">
        <f t="shared" si="506"/>
        <v/>
      </c>
      <c r="FT442" s="131" t="str">
        <f t="shared" si="507"/>
        <v>0</v>
      </c>
      <c r="FU442" s="217" t="str">
        <f t="shared" si="545"/>
        <v/>
      </c>
      <c r="FW442" s="667">
        <f t="shared" si="433"/>
        <v>0</v>
      </c>
      <c r="FX442" s="32"/>
      <c r="FY442" s="32"/>
      <c r="FZ442" s="668"/>
      <c r="GA442" s="14"/>
      <c r="GB442" s="658">
        <f t="shared" si="508"/>
        <v>0</v>
      </c>
      <c r="GC442" s="658">
        <f t="shared" si="509"/>
        <v>0</v>
      </c>
      <c r="GD442" s="658">
        <f t="shared" si="510"/>
        <v>0</v>
      </c>
      <c r="GE442" s="658" t="str">
        <f t="shared" si="511"/>
        <v/>
      </c>
      <c r="GF442" s="658" t="str">
        <f t="shared" si="512"/>
        <v/>
      </c>
      <c r="GG442" s="658" t="str">
        <f t="shared" si="513"/>
        <v/>
      </c>
      <c r="GH442" s="658" t="str">
        <f t="shared" si="514"/>
        <v/>
      </c>
      <c r="GI442" s="658" t="str">
        <f t="shared" si="515"/>
        <v/>
      </c>
      <c r="GJ442" s="658" t="str">
        <f t="shared" si="516"/>
        <v/>
      </c>
      <c r="GK442" s="658" t="str">
        <f t="shared" si="517"/>
        <v/>
      </c>
      <c r="GL442" s="658" t="str">
        <f t="shared" si="518"/>
        <v/>
      </c>
      <c r="GM442" s="658" t="str">
        <f t="shared" si="519"/>
        <v/>
      </c>
      <c r="GN442" s="658" t="str">
        <f t="shared" si="520"/>
        <v/>
      </c>
      <c r="GO442" s="658" t="str">
        <f t="shared" si="521"/>
        <v/>
      </c>
      <c r="GP442" s="658" t="str">
        <f t="shared" si="522"/>
        <v/>
      </c>
      <c r="GQ442" s="658" t="str">
        <f t="shared" si="523"/>
        <v/>
      </c>
      <c r="GR442" s="658" t="str">
        <f t="shared" si="524"/>
        <v/>
      </c>
      <c r="GS442" s="658" t="str">
        <f t="shared" si="525"/>
        <v/>
      </c>
      <c r="GT442" s="658">
        <f t="shared" si="368"/>
        <v>0</v>
      </c>
      <c r="GU442" s="658">
        <f t="shared" si="369"/>
        <v>0</v>
      </c>
      <c r="GV442" s="658">
        <f t="shared" si="370"/>
        <v>0</v>
      </c>
      <c r="GW442" s="658" t="b">
        <f t="shared" si="371"/>
        <v>0</v>
      </c>
      <c r="GX442" s="658" t="b">
        <f t="shared" si="372"/>
        <v>0</v>
      </c>
      <c r="GY442" s="658" t="b">
        <f t="shared" si="373"/>
        <v>0</v>
      </c>
      <c r="GZ442" s="658" t="str">
        <f t="shared" si="378"/>
        <v/>
      </c>
      <c r="HB442" s="658" t="str">
        <f t="shared" si="374"/>
        <v/>
      </c>
      <c r="HC442" s="658" t="str">
        <f t="shared" si="526"/>
        <v/>
      </c>
      <c r="HD442" s="658" t="str">
        <f t="shared" si="527"/>
        <v/>
      </c>
      <c r="HE442" s="658" t="str">
        <f t="shared" si="528"/>
        <v/>
      </c>
      <c r="HF442" s="658" t="str">
        <f t="shared" si="529"/>
        <v/>
      </c>
      <c r="HG442" s="658" t="str">
        <f t="shared" si="530"/>
        <v/>
      </c>
      <c r="HH442" s="658" t="str">
        <f t="shared" si="531"/>
        <v/>
      </c>
      <c r="HI442" s="658" t="str">
        <f t="shared" si="532"/>
        <v/>
      </c>
      <c r="HJ442" s="658" t="str">
        <f t="shared" si="533"/>
        <v/>
      </c>
      <c r="HK442" s="658" t="str">
        <f t="shared" si="534"/>
        <v/>
      </c>
      <c r="HL442" s="658" t="str">
        <f t="shared" si="535"/>
        <v/>
      </c>
      <c r="HM442" s="658" t="str">
        <f t="shared" si="536"/>
        <v/>
      </c>
      <c r="HN442" s="658" t="str">
        <f t="shared" si="537"/>
        <v/>
      </c>
      <c r="HO442" s="658" t="str">
        <f t="shared" si="538"/>
        <v/>
      </c>
      <c r="HP442" s="658" t="str">
        <f t="shared" si="539"/>
        <v/>
      </c>
      <c r="HQ442" s="658" t="str">
        <f t="shared" si="540"/>
        <v/>
      </c>
      <c r="HR442" s="658" t="str">
        <f t="shared" si="375"/>
        <v/>
      </c>
      <c r="HT442" s="658">
        <f>LEFT(M442,1)*10000+MID(M442,3,LEN(M442)-3)*100+COUNTIF($M$319:M442,M442)</f>
        <v>50701</v>
      </c>
      <c r="HU442" s="658" t="str">
        <f t="shared" si="376"/>
        <v/>
      </c>
      <c r="HV442" s="658" t="str">
        <f t="shared" si="541"/>
        <v/>
      </c>
      <c r="HW442" s="658" t="str">
        <f t="shared" si="377"/>
        <v/>
      </c>
      <c r="HX442" s="658" t="str">
        <f t="shared" si="542"/>
        <v/>
      </c>
    </row>
    <row r="443" spans="1:232" s="19" customFormat="1" ht="50.1" customHeight="1" x14ac:dyDescent="0.15">
      <c r="A443" s="1201"/>
      <c r="B443" s="1201"/>
      <c r="C443" s="1201"/>
      <c r="D443" s="1201"/>
      <c r="E443" s="1202"/>
      <c r="F443" s="652"/>
      <c r="G443" s="652"/>
      <c r="H443" s="652"/>
      <c r="I443" s="1354"/>
      <c r="J443" s="1234"/>
      <c r="K443" s="1261"/>
      <c r="L443" s="1261"/>
      <c r="M443" s="2478" t="s">
        <v>1202</v>
      </c>
      <c r="N443" s="2478"/>
      <c r="O443" s="2478"/>
      <c r="P443" s="2429"/>
      <c r="Q443" s="2429"/>
      <c r="R443" s="2429"/>
      <c r="S443" s="2429"/>
      <c r="T443" s="2429"/>
      <c r="U443" s="2435" t="s">
        <v>119</v>
      </c>
      <c r="V443" s="2435"/>
      <c r="W443" s="2435"/>
      <c r="X443" s="2435"/>
      <c r="Y443" s="2435"/>
      <c r="Z443" s="2435"/>
      <c r="AA443" s="2435"/>
      <c r="AB443" s="2435"/>
      <c r="AC443" s="2435"/>
      <c r="AD443" s="2435"/>
      <c r="AE443" s="2435"/>
      <c r="AF443" s="2282"/>
      <c r="AG443" s="2282"/>
      <c r="AH443" s="2282"/>
      <c r="AI443" s="2282"/>
      <c r="AJ443" s="2282"/>
      <c r="AK443" s="2282"/>
      <c r="AL443" s="2282"/>
      <c r="AM443" s="2282"/>
      <c r="AN443" s="2282"/>
      <c r="AO443" s="2282"/>
      <c r="AP443" s="2282"/>
      <c r="AQ443" s="2282"/>
      <c r="AR443" s="2151"/>
      <c r="AS443" s="2151"/>
      <c r="AT443" s="2292"/>
      <c r="AU443" s="2292"/>
      <c r="AV443" s="2292"/>
      <c r="AW443" s="2292"/>
      <c r="AX443" s="2292"/>
      <c r="AY443" s="2292"/>
      <c r="AZ443" s="2292"/>
      <c r="BA443" s="2292"/>
      <c r="BB443" s="2292"/>
      <c r="BC443" s="2292"/>
      <c r="BD443" s="2292"/>
      <c r="BE443" s="2292"/>
      <c r="BF443" s="2292"/>
      <c r="BG443" s="2292"/>
      <c r="BH443" s="2292"/>
      <c r="BI443" s="2292"/>
      <c r="BJ443" s="2292"/>
      <c r="BK443" s="2292"/>
      <c r="BL443" s="2292"/>
      <c r="BM443" s="2292"/>
      <c r="BN443" s="2292"/>
      <c r="BO443" s="2292"/>
      <c r="BP443" s="2292"/>
      <c r="BQ443" s="2292"/>
      <c r="BR443" s="2292"/>
      <c r="BS443" s="2269"/>
      <c r="BT443" s="2269"/>
      <c r="BU443" s="2269"/>
      <c r="BV443" s="2269"/>
      <c r="BW443" s="2269"/>
      <c r="BX443" s="2269"/>
      <c r="BY443" s="2269"/>
      <c r="BZ443" s="2151"/>
      <c r="CA443" s="2151"/>
      <c r="CB443" s="2355"/>
      <c r="CC443" s="2356"/>
      <c r="CD443" s="2356"/>
      <c r="CE443" s="2356"/>
      <c r="CF443" s="2356"/>
      <c r="CG443" s="2356"/>
      <c r="CH443" s="2356"/>
      <c r="CI443" s="2356"/>
      <c r="CJ443" s="2356"/>
      <c r="CK443" s="2356"/>
      <c r="CL443" s="2356"/>
      <c r="CM443" s="2356"/>
      <c r="CN443" s="2356"/>
      <c r="CO443" s="2356"/>
      <c r="CP443" s="2356"/>
      <c r="CQ443" s="2356"/>
      <c r="CR443" s="2356"/>
      <c r="CS443" s="2356"/>
      <c r="CT443" s="2356"/>
      <c r="CU443" s="2357"/>
      <c r="CV443" s="2300" t="str">
        <f t="shared" si="471"/>
        <v/>
      </c>
      <c r="CW443" s="2300"/>
      <c r="CX443" s="2300"/>
      <c r="CY443" s="2300"/>
      <c r="CZ443" s="2300"/>
      <c r="DA443" s="2300"/>
      <c r="DC443" s="329" t="str">
        <f t="shared" si="472"/>
        <v/>
      </c>
      <c r="DD443" s="197"/>
      <c r="DF443" s="14"/>
      <c r="DG443" s="14"/>
      <c r="DH443" s="14"/>
      <c r="DI443" s="1596"/>
      <c r="DJ443" s="1170" t="s">
        <v>2749</v>
      </c>
      <c r="DK443" s="1604" t="str">
        <f t="shared" si="473"/>
        <v/>
      </c>
      <c r="DL443" s="437" t="str">
        <f t="shared" si="474"/>
        <v/>
      </c>
      <c r="DM443" s="1128">
        <f t="shared" si="475"/>
        <v>0</v>
      </c>
      <c r="DN443" s="22">
        <f t="shared" si="476"/>
        <v>0</v>
      </c>
      <c r="DO443" s="22">
        <f t="shared" si="477"/>
        <v>0</v>
      </c>
      <c r="DP443" s="264">
        <f t="shared" si="478"/>
        <v>0</v>
      </c>
      <c r="DQ443" s="32" t="s">
        <v>780</v>
      </c>
      <c r="DR443" s="263" t="str">
        <f t="shared" si="479"/>
        <v>手すり等の劣化及び損傷の状況</v>
      </c>
      <c r="DS443" s="23">
        <f t="shared" si="480"/>
        <v>0</v>
      </c>
      <c r="DT443" s="29" t="str">
        <f t="shared" si="481"/>
        <v/>
      </c>
      <c r="DU443" s="242" t="str">
        <f t="shared" si="482"/>
        <v/>
      </c>
      <c r="DV443" s="243" t="str">
        <f>IF($DT443="要是正",MAX($DV$432:DV442)+1,"")</f>
        <v/>
      </c>
      <c r="DW443" s="12" t="str">
        <f t="shared" si="483"/>
        <v/>
      </c>
      <c r="DX443" s="30" t="str">
        <f t="shared" si="484"/>
        <v/>
      </c>
      <c r="DY443" s="13" t="str">
        <f t="shared" si="485"/>
        <v/>
      </c>
      <c r="DZ443" s="121" t="str">
        <f t="shared" si="486"/>
        <v/>
      </c>
      <c r="EA443" s="256" t="str">
        <f t="shared" si="487"/>
        <v/>
      </c>
      <c r="EB443" s="138" t="str">
        <f t="shared" si="488"/>
        <v/>
      </c>
      <c r="EC443" s="131" t="str">
        <f t="shared" si="489"/>
        <v>0</v>
      </c>
      <c r="ED443" s="54" t="str">
        <f t="shared" si="490"/>
        <v/>
      </c>
      <c r="EE443" s="131" t="str">
        <f t="shared" si="543"/>
        <v>0</v>
      </c>
      <c r="EF443" s="37" t="str">
        <f t="shared" si="491"/>
        <v/>
      </c>
      <c r="EG443" s="108" t="str">
        <f t="shared" si="492"/>
        <v/>
      </c>
      <c r="EH443" s="41" t="str">
        <f t="shared" si="493"/>
        <v>0</v>
      </c>
      <c r="EI443" s="54" t="str">
        <f t="shared" si="494"/>
        <v/>
      </c>
      <c r="EJ443" s="131" t="str">
        <f t="shared" si="544"/>
        <v>0</v>
      </c>
      <c r="EK443" s="241" t="str">
        <f t="shared" si="495"/>
        <v/>
      </c>
      <c r="EL443" s="242" t="e">
        <f t="shared" si="496"/>
        <v>#N/A</v>
      </c>
      <c r="EM443" s="57" t="e">
        <f t="shared" si="497"/>
        <v>#N/A</v>
      </c>
      <c r="EN443" s="243" t="e">
        <f t="shared" si="498"/>
        <v>#N/A</v>
      </c>
      <c r="FK443" s="326" t="str">
        <f t="shared" si="499"/>
        <v/>
      </c>
      <c r="FL443" s="326" t="str">
        <f t="shared" si="500"/>
        <v/>
      </c>
      <c r="FM443" s="326" t="str">
        <f t="shared" si="501"/>
        <v/>
      </c>
      <c r="FN443" s="326">
        <f t="shared" si="502"/>
        <v>0</v>
      </c>
      <c r="FO443" s="670" t="str">
        <f t="shared" si="503"/>
        <v/>
      </c>
      <c r="FQ443" s="138" t="str">
        <f t="shared" si="504"/>
        <v/>
      </c>
      <c r="FR443" s="131" t="str">
        <f t="shared" si="505"/>
        <v>0</v>
      </c>
      <c r="FS443" s="54" t="str">
        <f t="shared" si="506"/>
        <v/>
      </c>
      <c r="FT443" s="131" t="str">
        <f t="shared" si="507"/>
        <v>0</v>
      </c>
      <c r="FU443" s="217" t="str">
        <f t="shared" si="545"/>
        <v/>
      </c>
      <c r="FW443" s="667">
        <f t="shared" si="433"/>
        <v>0</v>
      </c>
      <c r="FX443" s="32"/>
      <c r="FY443" s="32"/>
      <c r="FZ443" s="668"/>
      <c r="GA443" s="14"/>
      <c r="GB443" s="658">
        <f t="shared" si="508"/>
        <v>0</v>
      </c>
      <c r="GC443" s="658">
        <f t="shared" si="509"/>
        <v>0</v>
      </c>
      <c r="GD443" s="658">
        <f t="shared" si="510"/>
        <v>0</v>
      </c>
      <c r="GE443" s="658" t="str">
        <f t="shared" si="511"/>
        <v/>
      </c>
      <c r="GF443" s="658" t="str">
        <f t="shared" si="512"/>
        <v/>
      </c>
      <c r="GG443" s="658" t="str">
        <f t="shared" si="513"/>
        <v/>
      </c>
      <c r="GH443" s="658" t="str">
        <f t="shared" si="514"/>
        <v/>
      </c>
      <c r="GI443" s="658" t="str">
        <f t="shared" si="515"/>
        <v/>
      </c>
      <c r="GJ443" s="658" t="str">
        <f t="shared" si="516"/>
        <v/>
      </c>
      <c r="GK443" s="658" t="str">
        <f t="shared" si="517"/>
        <v/>
      </c>
      <c r="GL443" s="658" t="str">
        <f t="shared" si="518"/>
        <v/>
      </c>
      <c r="GM443" s="658" t="str">
        <f t="shared" si="519"/>
        <v/>
      </c>
      <c r="GN443" s="658" t="str">
        <f t="shared" si="520"/>
        <v/>
      </c>
      <c r="GO443" s="658" t="str">
        <f t="shared" si="521"/>
        <v/>
      </c>
      <c r="GP443" s="658" t="str">
        <f t="shared" si="522"/>
        <v/>
      </c>
      <c r="GQ443" s="658" t="str">
        <f t="shared" si="523"/>
        <v/>
      </c>
      <c r="GR443" s="658" t="str">
        <f t="shared" si="524"/>
        <v/>
      </c>
      <c r="GS443" s="658" t="str">
        <f t="shared" si="525"/>
        <v/>
      </c>
      <c r="GT443" s="658">
        <f t="shared" si="368"/>
        <v>0</v>
      </c>
      <c r="GU443" s="658">
        <f t="shared" si="369"/>
        <v>0</v>
      </c>
      <c r="GV443" s="658">
        <f t="shared" si="370"/>
        <v>0</v>
      </c>
      <c r="GW443" s="658" t="b">
        <f t="shared" si="371"/>
        <v>0</v>
      </c>
      <c r="GX443" s="658" t="b">
        <f t="shared" si="372"/>
        <v>0</v>
      </c>
      <c r="GY443" s="658" t="b">
        <f t="shared" si="373"/>
        <v>0</v>
      </c>
      <c r="GZ443" s="658" t="str">
        <f t="shared" si="378"/>
        <v/>
      </c>
      <c r="HB443" s="658" t="str">
        <f t="shared" si="374"/>
        <v/>
      </c>
      <c r="HC443" s="658" t="str">
        <f t="shared" si="526"/>
        <v/>
      </c>
      <c r="HD443" s="658" t="str">
        <f t="shared" si="527"/>
        <v/>
      </c>
      <c r="HE443" s="658" t="str">
        <f t="shared" si="528"/>
        <v/>
      </c>
      <c r="HF443" s="658" t="str">
        <f t="shared" si="529"/>
        <v/>
      </c>
      <c r="HG443" s="658" t="str">
        <f t="shared" si="530"/>
        <v/>
      </c>
      <c r="HH443" s="658" t="str">
        <f t="shared" si="531"/>
        <v/>
      </c>
      <c r="HI443" s="658" t="str">
        <f t="shared" si="532"/>
        <v/>
      </c>
      <c r="HJ443" s="658" t="str">
        <f t="shared" si="533"/>
        <v/>
      </c>
      <c r="HK443" s="658" t="str">
        <f t="shared" si="534"/>
        <v/>
      </c>
      <c r="HL443" s="658" t="str">
        <f t="shared" si="535"/>
        <v/>
      </c>
      <c r="HM443" s="658" t="str">
        <f t="shared" si="536"/>
        <v/>
      </c>
      <c r="HN443" s="658" t="str">
        <f t="shared" si="537"/>
        <v/>
      </c>
      <c r="HO443" s="658" t="str">
        <f t="shared" si="538"/>
        <v/>
      </c>
      <c r="HP443" s="658" t="str">
        <f t="shared" si="539"/>
        <v/>
      </c>
      <c r="HQ443" s="658" t="str">
        <f t="shared" si="540"/>
        <v/>
      </c>
      <c r="HR443" s="658" t="str">
        <f t="shared" si="375"/>
        <v/>
      </c>
      <c r="HT443" s="658">
        <f>LEFT(M443,1)*10000+MID(M443,3,LEN(M443)-3)*100+COUNTIF($M$319:M443,M443)</f>
        <v>50801</v>
      </c>
      <c r="HU443" s="658" t="str">
        <f t="shared" si="376"/>
        <v/>
      </c>
      <c r="HV443" s="658" t="str">
        <f t="shared" si="541"/>
        <v/>
      </c>
      <c r="HW443" s="658" t="str">
        <f t="shared" si="377"/>
        <v/>
      </c>
      <c r="HX443" s="658" t="str">
        <f t="shared" si="542"/>
        <v/>
      </c>
    </row>
    <row r="444" spans="1:232" s="19" customFormat="1" ht="50.1" customHeight="1" x14ac:dyDescent="0.15">
      <c r="A444" s="1201"/>
      <c r="B444" s="1201"/>
      <c r="C444" s="1201"/>
      <c r="D444" s="1201"/>
      <c r="E444" s="1202"/>
      <c r="F444" s="652"/>
      <c r="G444" s="652"/>
      <c r="H444" s="652"/>
      <c r="I444" s="1354"/>
      <c r="J444" s="1234"/>
      <c r="K444" s="1261"/>
      <c r="L444" s="1261"/>
      <c r="M444" s="2478" t="s">
        <v>1203</v>
      </c>
      <c r="N444" s="2478"/>
      <c r="O444" s="2478"/>
      <c r="P444" s="2429"/>
      <c r="Q444" s="2429"/>
      <c r="R444" s="2429"/>
      <c r="S444" s="2429"/>
      <c r="T444" s="2429"/>
      <c r="U444" s="2435" t="s">
        <v>112</v>
      </c>
      <c r="V444" s="2435"/>
      <c r="W444" s="2435"/>
      <c r="X444" s="2435"/>
      <c r="Y444" s="2435"/>
      <c r="Z444" s="2435"/>
      <c r="AA444" s="2435"/>
      <c r="AB444" s="2435"/>
      <c r="AC444" s="2435"/>
      <c r="AD444" s="2435"/>
      <c r="AE444" s="2435"/>
      <c r="AF444" s="2282"/>
      <c r="AG444" s="2282"/>
      <c r="AH444" s="2282"/>
      <c r="AI444" s="2282"/>
      <c r="AJ444" s="2282"/>
      <c r="AK444" s="2282"/>
      <c r="AL444" s="2282"/>
      <c r="AM444" s="2282"/>
      <c r="AN444" s="2282"/>
      <c r="AO444" s="2282"/>
      <c r="AP444" s="2282"/>
      <c r="AQ444" s="2282"/>
      <c r="AR444" s="2151"/>
      <c r="AS444" s="2151"/>
      <c r="AT444" s="2292"/>
      <c r="AU444" s="2292"/>
      <c r="AV444" s="2292"/>
      <c r="AW444" s="2292"/>
      <c r="AX444" s="2292"/>
      <c r="AY444" s="2292"/>
      <c r="AZ444" s="2292"/>
      <c r="BA444" s="2292"/>
      <c r="BB444" s="2292"/>
      <c r="BC444" s="2292"/>
      <c r="BD444" s="2292"/>
      <c r="BE444" s="2292"/>
      <c r="BF444" s="2292"/>
      <c r="BG444" s="2292"/>
      <c r="BH444" s="2292"/>
      <c r="BI444" s="2292"/>
      <c r="BJ444" s="2292"/>
      <c r="BK444" s="2292"/>
      <c r="BL444" s="2292"/>
      <c r="BM444" s="2292"/>
      <c r="BN444" s="2292"/>
      <c r="BO444" s="2292"/>
      <c r="BP444" s="2292"/>
      <c r="BQ444" s="2292"/>
      <c r="BR444" s="2292"/>
      <c r="BS444" s="2269"/>
      <c r="BT444" s="2269"/>
      <c r="BU444" s="2269"/>
      <c r="BV444" s="2269"/>
      <c r="BW444" s="2269"/>
      <c r="BX444" s="2269"/>
      <c r="BY444" s="2269"/>
      <c r="BZ444" s="2151"/>
      <c r="CA444" s="2151"/>
      <c r="CB444" s="2355"/>
      <c r="CC444" s="2356"/>
      <c r="CD444" s="2356"/>
      <c r="CE444" s="2356"/>
      <c r="CF444" s="2356"/>
      <c r="CG444" s="2356"/>
      <c r="CH444" s="2356"/>
      <c r="CI444" s="2356"/>
      <c r="CJ444" s="2356"/>
      <c r="CK444" s="2356"/>
      <c r="CL444" s="2356"/>
      <c r="CM444" s="2356"/>
      <c r="CN444" s="2356"/>
      <c r="CO444" s="2356"/>
      <c r="CP444" s="2356"/>
      <c r="CQ444" s="2356"/>
      <c r="CR444" s="2356"/>
      <c r="CS444" s="2356"/>
      <c r="CT444" s="2356"/>
      <c r="CU444" s="2357"/>
      <c r="CV444" s="2300" t="str">
        <f t="shared" si="471"/>
        <v/>
      </c>
      <c r="CW444" s="2300"/>
      <c r="CX444" s="2300"/>
      <c r="CY444" s="2300"/>
      <c r="CZ444" s="2300"/>
      <c r="DA444" s="2300"/>
      <c r="DC444" s="329" t="str">
        <f t="shared" si="472"/>
        <v/>
      </c>
      <c r="DD444" s="197"/>
      <c r="DF444" s="14"/>
      <c r="DG444" s="14"/>
      <c r="DH444" s="14"/>
      <c r="DI444" s="1596"/>
      <c r="DJ444" s="1170" t="s">
        <v>2749</v>
      </c>
      <c r="DK444" s="1604" t="str">
        <f t="shared" si="473"/>
        <v/>
      </c>
      <c r="DL444" s="437" t="str">
        <f t="shared" si="474"/>
        <v/>
      </c>
      <c r="DM444" s="1128">
        <f t="shared" si="475"/>
        <v>0</v>
      </c>
      <c r="DN444" s="22">
        <f t="shared" si="476"/>
        <v>0</v>
      </c>
      <c r="DO444" s="22">
        <f t="shared" si="477"/>
        <v>0</v>
      </c>
      <c r="DP444" s="264">
        <f t="shared" si="478"/>
        <v>0</v>
      </c>
      <c r="DQ444" s="32" t="s">
        <v>781</v>
      </c>
      <c r="DR444" s="263" t="str">
        <f t="shared" si="479"/>
        <v>物品の放置の状況</v>
      </c>
      <c r="DS444" s="23">
        <f t="shared" si="480"/>
        <v>0</v>
      </c>
      <c r="DT444" s="29" t="str">
        <f t="shared" si="481"/>
        <v/>
      </c>
      <c r="DU444" s="242" t="str">
        <f t="shared" si="482"/>
        <v/>
      </c>
      <c r="DV444" s="243" t="str">
        <f>IF($DT444="要是正",MAX($DV$432:DV443)+1,"")</f>
        <v/>
      </c>
      <c r="DW444" s="12" t="str">
        <f t="shared" si="483"/>
        <v/>
      </c>
      <c r="DX444" s="30" t="str">
        <f t="shared" si="484"/>
        <v/>
      </c>
      <c r="DY444" s="13" t="str">
        <f t="shared" si="485"/>
        <v/>
      </c>
      <c r="DZ444" s="121" t="str">
        <f t="shared" si="486"/>
        <v/>
      </c>
      <c r="EA444" s="256" t="str">
        <f t="shared" si="487"/>
        <v/>
      </c>
      <c r="EB444" s="138" t="str">
        <f t="shared" si="488"/>
        <v/>
      </c>
      <c r="EC444" s="131" t="str">
        <f t="shared" si="489"/>
        <v>0</v>
      </c>
      <c r="ED444" s="54" t="str">
        <f t="shared" si="490"/>
        <v/>
      </c>
      <c r="EE444" s="131" t="str">
        <f t="shared" si="543"/>
        <v>0</v>
      </c>
      <c r="EF444" s="37" t="str">
        <f t="shared" si="491"/>
        <v/>
      </c>
      <c r="EG444" s="108" t="str">
        <f t="shared" si="492"/>
        <v/>
      </c>
      <c r="EH444" s="41" t="str">
        <f t="shared" si="493"/>
        <v>0</v>
      </c>
      <c r="EI444" s="54" t="str">
        <f t="shared" si="494"/>
        <v/>
      </c>
      <c r="EJ444" s="131" t="str">
        <f t="shared" si="544"/>
        <v>0</v>
      </c>
      <c r="EK444" s="241" t="str">
        <f t="shared" si="495"/>
        <v/>
      </c>
      <c r="EL444" s="242" t="e">
        <f t="shared" si="496"/>
        <v>#N/A</v>
      </c>
      <c r="EM444" s="57" t="e">
        <f t="shared" si="497"/>
        <v>#N/A</v>
      </c>
      <c r="EN444" s="243" t="e">
        <f t="shared" si="498"/>
        <v>#N/A</v>
      </c>
      <c r="FK444" s="326" t="str">
        <f t="shared" si="499"/>
        <v/>
      </c>
      <c r="FL444" s="326" t="str">
        <f t="shared" si="500"/>
        <v/>
      </c>
      <c r="FM444" s="326" t="str">
        <f t="shared" si="501"/>
        <v/>
      </c>
      <c r="FN444" s="326">
        <f t="shared" si="502"/>
        <v>0</v>
      </c>
      <c r="FO444" s="670" t="str">
        <f t="shared" si="503"/>
        <v/>
      </c>
      <c r="FQ444" s="138" t="str">
        <f t="shared" si="504"/>
        <v/>
      </c>
      <c r="FR444" s="131" t="str">
        <f t="shared" si="505"/>
        <v>0</v>
      </c>
      <c r="FS444" s="54" t="str">
        <f t="shared" si="506"/>
        <v/>
      </c>
      <c r="FT444" s="131" t="str">
        <f t="shared" si="507"/>
        <v>0</v>
      </c>
      <c r="FU444" s="217" t="str">
        <f t="shared" si="545"/>
        <v/>
      </c>
      <c r="FW444" s="667">
        <f t="shared" si="433"/>
        <v>0</v>
      </c>
      <c r="FX444" s="32"/>
      <c r="FY444" s="32"/>
      <c r="FZ444" s="668"/>
      <c r="GA444" s="14"/>
      <c r="GB444" s="658">
        <f t="shared" si="508"/>
        <v>0</v>
      </c>
      <c r="GC444" s="658">
        <f t="shared" si="509"/>
        <v>0</v>
      </c>
      <c r="GD444" s="658">
        <f t="shared" si="510"/>
        <v>0</v>
      </c>
      <c r="GE444" s="658" t="str">
        <f t="shared" si="511"/>
        <v/>
      </c>
      <c r="GF444" s="658" t="str">
        <f t="shared" si="512"/>
        <v/>
      </c>
      <c r="GG444" s="658" t="str">
        <f t="shared" si="513"/>
        <v/>
      </c>
      <c r="GH444" s="658" t="str">
        <f t="shared" si="514"/>
        <v/>
      </c>
      <c r="GI444" s="658" t="str">
        <f t="shared" si="515"/>
        <v/>
      </c>
      <c r="GJ444" s="658" t="str">
        <f t="shared" si="516"/>
        <v/>
      </c>
      <c r="GK444" s="658" t="str">
        <f t="shared" si="517"/>
        <v/>
      </c>
      <c r="GL444" s="658" t="str">
        <f t="shared" si="518"/>
        <v/>
      </c>
      <c r="GM444" s="658" t="str">
        <f t="shared" si="519"/>
        <v/>
      </c>
      <c r="GN444" s="658" t="str">
        <f t="shared" si="520"/>
        <v/>
      </c>
      <c r="GO444" s="658" t="str">
        <f t="shared" si="521"/>
        <v/>
      </c>
      <c r="GP444" s="658" t="str">
        <f t="shared" si="522"/>
        <v/>
      </c>
      <c r="GQ444" s="658" t="str">
        <f t="shared" si="523"/>
        <v/>
      </c>
      <c r="GR444" s="658" t="str">
        <f t="shared" si="524"/>
        <v/>
      </c>
      <c r="GS444" s="658" t="str">
        <f t="shared" si="525"/>
        <v/>
      </c>
      <c r="GT444" s="658">
        <f t="shared" si="368"/>
        <v>0</v>
      </c>
      <c r="GU444" s="658">
        <f t="shared" si="369"/>
        <v>0</v>
      </c>
      <c r="GV444" s="658">
        <f t="shared" si="370"/>
        <v>0</v>
      </c>
      <c r="GW444" s="658" t="b">
        <f t="shared" si="371"/>
        <v>0</v>
      </c>
      <c r="GX444" s="658" t="b">
        <f t="shared" si="372"/>
        <v>0</v>
      </c>
      <c r="GY444" s="658" t="b">
        <f t="shared" si="373"/>
        <v>0</v>
      </c>
      <c r="GZ444" s="658" t="str">
        <f t="shared" si="378"/>
        <v/>
      </c>
      <c r="HB444" s="658" t="str">
        <f t="shared" si="374"/>
        <v/>
      </c>
      <c r="HC444" s="658" t="str">
        <f t="shared" si="526"/>
        <v/>
      </c>
      <c r="HD444" s="658" t="str">
        <f t="shared" si="527"/>
        <v/>
      </c>
      <c r="HE444" s="658" t="str">
        <f t="shared" si="528"/>
        <v/>
      </c>
      <c r="HF444" s="658" t="str">
        <f t="shared" si="529"/>
        <v/>
      </c>
      <c r="HG444" s="658" t="str">
        <f t="shared" si="530"/>
        <v/>
      </c>
      <c r="HH444" s="658" t="str">
        <f t="shared" si="531"/>
        <v/>
      </c>
      <c r="HI444" s="658" t="str">
        <f t="shared" si="532"/>
        <v/>
      </c>
      <c r="HJ444" s="658" t="str">
        <f t="shared" si="533"/>
        <v/>
      </c>
      <c r="HK444" s="658" t="str">
        <f t="shared" si="534"/>
        <v/>
      </c>
      <c r="HL444" s="658" t="str">
        <f t="shared" si="535"/>
        <v/>
      </c>
      <c r="HM444" s="658" t="str">
        <f t="shared" si="536"/>
        <v/>
      </c>
      <c r="HN444" s="658" t="str">
        <f t="shared" si="537"/>
        <v/>
      </c>
      <c r="HO444" s="658" t="str">
        <f t="shared" si="538"/>
        <v/>
      </c>
      <c r="HP444" s="658" t="str">
        <f t="shared" si="539"/>
        <v/>
      </c>
      <c r="HQ444" s="658" t="str">
        <f t="shared" si="540"/>
        <v/>
      </c>
      <c r="HR444" s="658" t="str">
        <f t="shared" si="375"/>
        <v/>
      </c>
      <c r="HT444" s="658">
        <f>LEFT(M444,1)*10000+MID(M444,3,LEN(M444)-3)*100+COUNTIF($M$319:M444,M444)</f>
        <v>50901</v>
      </c>
      <c r="HU444" s="658" t="str">
        <f t="shared" si="376"/>
        <v/>
      </c>
      <c r="HV444" s="658" t="str">
        <f t="shared" si="541"/>
        <v/>
      </c>
      <c r="HW444" s="658" t="str">
        <f t="shared" si="377"/>
        <v/>
      </c>
      <c r="HX444" s="658" t="str">
        <f t="shared" si="542"/>
        <v/>
      </c>
    </row>
    <row r="445" spans="1:232" s="19" customFormat="1" ht="50.1" customHeight="1" x14ac:dyDescent="0.15">
      <c r="A445" s="1201"/>
      <c r="B445" s="1201"/>
      <c r="C445" s="1201"/>
      <c r="D445" s="1201"/>
      <c r="E445" s="1202"/>
      <c r="F445" s="652"/>
      <c r="G445" s="652"/>
      <c r="H445" s="652"/>
      <c r="I445" s="1354"/>
      <c r="J445" s="1234"/>
      <c r="K445" s="1261"/>
      <c r="L445" s="1261"/>
      <c r="M445" s="2478" t="s">
        <v>1204</v>
      </c>
      <c r="N445" s="2478"/>
      <c r="O445" s="2478"/>
      <c r="P445" s="2429"/>
      <c r="Q445" s="2429"/>
      <c r="R445" s="2429"/>
      <c r="S445" s="2429"/>
      <c r="T445" s="2429"/>
      <c r="U445" s="2431" t="s">
        <v>120</v>
      </c>
      <c r="V445" s="2431"/>
      <c r="W445" s="2431"/>
      <c r="X445" s="2431"/>
      <c r="Y445" s="2431"/>
      <c r="Z445" s="2431"/>
      <c r="AA445" s="2431"/>
      <c r="AB445" s="2431"/>
      <c r="AC445" s="2431"/>
      <c r="AD445" s="2431"/>
      <c r="AE445" s="2431"/>
      <c r="AF445" s="2303"/>
      <c r="AG445" s="2303"/>
      <c r="AH445" s="2303"/>
      <c r="AI445" s="2303"/>
      <c r="AJ445" s="2303"/>
      <c r="AK445" s="2303"/>
      <c r="AL445" s="2303"/>
      <c r="AM445" s="2303"/>
      <c r="AN445" s="2303"/>
      <c r="AO445" s="2303"/>
      <c r="AP445" s="2303"/>
      <c r="AQ445" s="2303"/>
      <c r="AR445" s="2297"/>
      <c r="AS445" s="2297"/>
      <c r="AT445" s="2135"/>
      <c r="AU445" s="2135"/>
      <c r="AV445" s="2135"/>
      <c r="AW445" s="2135"/>
      <c r="AX445" s="2135"/>
      <c r="AY445" s="2135"/>
      <c r="AZ445" s="2135"/>
      <c r="BA445" s="2135"/>
      <c r="BB445" s="2135"/>
      <c r="BC445" s="2135"/>
      <c r="BD445" s="2135"/>
      <c r="BE445" s="2135"/>
      <c r="BF445" s="2135"/>
      <c r="BG445" s="2135"/>
      <c r="BH445" s="2135"/>
      <c r="BI445" s="2135"/>
      <c r="BJ445" s="2135"/>
      <c r="BK445" s="2135"/>
      <c r="BL445" s="2135"/>
      <c r="BM445" s="2135"/>
      <c r="BN445" s="2135"/>
      <c r="BO445" s="2135"/>
      <c r="BP445" s="2135"/>
      <c r="BQ445" s="2135"/>
      <c r="BR445" s="2135"/>
      <c r="BS445" s="2354"/>
      <c r="BT445" s="2354"/>
      <c r="BU445" s="2354"/>
      <c r="BV445" s="2354"/>
      <c r="BW445" s="2354"/>
      <c r="BX445" s="2354"/>
      <c r="BY445" s="2354"/>
      <c r="BZ445" s="2297"/>
      <c r="CA445" s="2297"/>
      <c r="CB445" s="2395"/>
      <c r="CC445" s="2396"/>
      <c r="CD445" s="2396"/>
      <c r="CE445" s="2396"/>
      <c r="CF445" s="2396"/>
      <c r="CG445" s="2396"/>
      <c r="CH445" s="2396"/>
      <c r="CI445" s="2396"/>
      <c r="CJ445" s="2396"/>
      <c r="CK445" s="2396"/>
      <c r="CL445" s="2396"/>
      <c r="CM445" s="2396"/>
      <c r="CN445" s="2396"/>
      <c r="CO445" s="2396"/>
      <c r="CP445" s="2396"/>
      <c r="CQ445" s="2396"/>
      <c r="CR445" s="2396"/>
      <c r="CS445" s="2396"/>
      <c r="CT445" s="2396"/>
      <c r="CU445" s="2397"/>
      <c r="CV445" s="2300" t="str">
        <f t="shared" si="471"/>
        <v/>
      </c>
      <c r="CW445" s="2300"/>
      <c r="CX445" s="2300"/>
      <c r="CY445" s="2300"/>
      <c r="CZ445" s="2300"/>
      <c r="DA445" s="2300"/>
      <c r="DC445" s="329" t="str">
        <f t="shared" si="472"/>
        <v/>
      </c>
      <c r="DD445" s="197"/>
      <c r="DF445" s="14"/>
      <c r="DG445" s="14"/>
      <c r="DH445" s="14"/>
      <c r="DI445" s="1596"/>
      <c r="DJ445" s="1170" t="s">
        <v>2749</v>
      </c>
      <c r="DK445" s="1604" t="str">
        <f t="shared" si="473"/>
        <v/>
      </c>
      <c r="DL445" s="437" t="str">
        <f t="shared" si="474"/>
        <v/>
      </c>
      <c r="DM445" s="1128">
        <f t="shared" si="475"/>
        <v>0</v>
      </c>
      <c r="DN445" s="22">
        <f t="shared" si="476"/>
        <v>0</v>
      </c>
      <c r="DO445" s="22">
        <f t="shared" si="477"/>
        <v>0</v>
      </c>
      <c r="DP445" s="264">
        <f t="shared" si="478"/>
        <v>0</v>
      </c>
      <c r="DQ445" s="32" t="s">
        <v>782</v>
      </c>
      <c r="DR445" s="263" t="str">
        <f t="shared" si="479"/>
        <v>避難器具の操作性の確保の状況</v>
      </c>
      <c r="DS445" s="23">
        <f t="shared" si="480"/>
        <v>0</v>
      </c>
      <c r="DT445" s="29" t="str">
        <f t="shared" si="481"/>
        <v/>
      </c>
      <c r="DU445" s="242" t="str">
        <f t="shared" si="482"/>
        <v/>
      </c>
      <c r="DV445" s="243" t="str">
        <f>IF($DT445="要是正",MAX($DV$432:DV444)+1,"")</f>
        <v/>
      </c>
      <c r="DW445" s="12" t="str">
        <f t="shared" si="483"/>
        <v/>
      </c>
      <c r="DX445" s="30" t="str">
        <f t="shared" si="484"/>
        <v/>
      </c>
      <c r="DY445" s="13" t="str">
        <f t="shared" si="485"/>
        <v/>
      </c>
      <c r="DZ445" s="121" t="str">
        <f t="shared" si="486"/>
        <v/>
      </c>
      <c r="EA445" s="256" t="str">
        <f t="shared" si="487"/>
        <v/>
      </c>
      <c r="EB445" s="138" t="str">
        <f t="shared" si="488"/>
        <v/>
      </c>
      <c r="EC445" s="131" t="str">
        <f t="shared" si="489"/>
        <v>0</v>
      </c>
      <c r="ED445" s="54" t="str">
        <f t="shared" si="490"/>
        <v/>
      </c>
      <c r="EE445" s="131" t="str">
        <f t="shared" si="543"/>
        <v>0</v>
      </c>
      <c r="EF445" s="37" t="str">
        <f t="shared" si="491"/>
        <v/>
      </c>
      <c r="EG445" s="108" t="str">
        <f t="shared" si="492"/>
        <v/>
      </c>
      <c r="EH445" s="41" t="str">
        <f t="shared" si="493"/>
        <v>0</v>
      </c>
      <c r="EI445" s="54" t="str">
        <f t="shared" si="494"/>
        <v/>
      </c>
      <c r="EJ445" s="131" t="str">
        <f t="shared" si="544"/>
        <v>0</v>
      </c>
      <c r="EK445" s="241" t="str">
        <f t="shared" si="495"/>
        <v/>
      </c>
      <c r="EL445" s="242" t="e">
        <f t="shared" si="496"/>
        <v>#N/A</v>
      </c>
      <c r="EM445" s="57" t="e">
        <f t="shared" si="497"/>
        <v>#N/A</v>
      </c>
      <c r="EN445" s="243" t="e">
        <f t="shared" si="498"/>
        <v>#N/A</v>
      </c>
      <c r="FK445" s="326" t="str">
        <f t="shared" si="499"/>
        <v/>
      </c>
      <c r="FL445" s="326" t="str">
        <f t="shared" si="500"/>
        <v/>
      </c>
      <c r="FM445" s="326" t="str">
        <f t="shared" si="501"/>
        <v/>
      </c>
      <c r="FN445" s="326">
        <f t="shared" si="502"/>
        <v>0</v>
      </c>
      <c r="FO445" s="670" t="str">
        <f t="shared" si="503"/>
        <v/>
      </c>
      <c r="FQ445" s="138" t="str">
        <f t="shared" si="504"/>
        <v/>
      </c>
      <c r="FR445" s="131" t="str">
        <f t="shared" si="505"/>
        <v>0</v>
      </c>
      <c r="FS445" s="54" t="str">
        <f t="shared" si="506"/>
        <v/>
      </c>
      <c r="FT445" s="131" t="str">
        <f t="shared" si="507"/>
        <v>0</v>
      </c>
      <c r="FU445" s="217" t="str">
        <f t="shared" si="545"/>
        <v/>
      </c>
      <c r="FW445" s="667">
        <f t="shared" si="433"/>
        <v>0</v>
      </c>
      <c r="FX445" s="32"/>
      <c r="FY445" s="32"/>
      <c r="FZ445" s="668"/>
      <c r="GA445" s="14"/>
      <c r="GB445" s="658">
        <f t="shared" si="508"/>
        <v>0</v>
      </c>
      <c r="GC445" s="658">
        <f t="shared" si="509"/>
        <v>0</v>
      </c>
      <c r="GD445" s="658">
        <f t="shared" si="510"/>
        <v>0</v>
      </c>
      <c r="GE445" s="658" t="str">
        <f t="shared" si="511"/>
        <v/>
      </c>
      <c r="GF445" s="658" t="str">
        <f t="shared" si="512"/>
        <v/>
      </c>
      <c r="GG445" s="658" t="str">
        <f t="shared" si="513"/>
        <v/>
      </c>
      <c r="GH445" s="658" t="str">
        <f t="shared" si="514"/>
        <v/>
      </c>
      <c r="GI445" s="658" t="str">
        <f t="shared" si="515"/>
        <v/>
      </c>
      <c r="GJ445" s="658" t="str">
        <f t="shared" si="516"/>
        <v/>
      </c>
      <c r="GK445" s="658" t="str">
        <f t="shared" si="517"/>
        <v/>
      </c>
      <c r="GL445" s="658" t="str">
        <f t="shared" si="518"/>
        <v/>
      </c>
      <c r="GM445" s="658" t="str">
        <f t="shared" si="519"/>
        <v/>
      </c>
      <c r="GN445" s="658" t="str">
        <f t="shared" si="520"/>
        <v/>
      </c>
      <c r="GO445" s="658" t="str">
        <f t="shared" si="521"/>
        <v/>
      </c>
      <c r="GP445" s="658" t="str">
        <f t="shared" si="522"/>
        <v/>
      </c>
      <c r="GQ445" s="658" t="str">
        <f t="shared" si="523"/>
        <v/>
      </c>
      <c r="GR445" s="658" t="str">
        <f t="shared" si="524"/>
        <v/>
      </c>
      <c r="GS445" s="658" t="str">
        <f t="shared" si="525"/>
        <v/>
      </c>
      <c r="GT445" s="658">
        <f t="shared" si="368"/>
        <v>0</v>
      </c>
      <c r="GU445" s="658">
        <f t="shared" si="369"/>
        <v>0</v>
      </c>
      <c r="GV445" s="658">
        <f t="shared" si="370"/>
        <v>0</v>
      </c>
      <c r="GW445" s="658" t="b">
        <f t="shared" si="371"/>
        <v>0</v>
      </c>
      <c r="GX445" s="658" t="b">
        <f t="shared" si="372"/>
        <v>0</v>
      </c>
      <c r="GY445" s="658" t="b">
        <f t="shared" si="373"/>
        <v>0</v>
      </c>
      <c r="GZ445" s="658" t="str">
        <f t="shared" si="378"/>
        <v/>
      </c>
      <c r="HB445" s="658" t="str">
        <f t="shared" si="374"/>
        <v/>
      </c>
      <c r="HC445" s="658" t="str">
        <f t="shared" si="526"/>
        <v/>
      </c>
      <c r="HD445" s="658" t="str">
        <f t="shared" si="527"/>
        <v/>
      </c>
      <c r="HE445" s="658" t="str">
        <f t="shared" si="528"/>
        <v/>
      </c>
      <c r="HF445" s="658" t="str">
        <f t="shared" si="529"/>
        <v/>
      </c>
      <c r="HG445" s="658" t="str">
        <f t="shared" si="530"/>
        <v/>
      </c>
      <c r="HH445" s="658" t="str">
        <f t="shared" si="531"/>
        <v/>
      </c>
      <c r="HI445" s="658" t="str">
        <f t="shared" si="532"/>
        <v/>
      </c>
      <c r="HJ445" s="658" t="str">
        <f t="shared" si="533"/>
        <v/>
      </c>
      <c r="HK445" s="658" t="str">
        <f t="shared" si="534"/>
        <v/>
      </c>
      <c r="HL445" s="658" t="str">
        <f t="shared" si="535"/>
        <v/>
      </c>
      <c r="HM445" s="658" t="str">
        <f t="shared" si="536"/>
        <v/>
      </c>
      <c r="HN445" s="658" t="str">
        <f t="shared" si="537"/>
        <v/>
      </c>
      <c r="HO445" s="658" t="str">
        <f t="shared" si="538"/>
        <v/>
      </c>
      <c r="HP445" s="658" t="str">
        <f t="shared" si="539"/>
        <v/>
      </c>
      <c r="HQ445" s="658" t="str">
        <f t="shared" si="540"/>
        <v/>
      </c>
      <c r="HR445" s="658" t="str">
        <f t="shared" si="375"/>
        <v/>
      </c>
      <c r="HT445" s="658">
        <f>LEFT(M445,1)*10000+MID(M445,3,LEN(M445)-3)*100+COUNTIF($M$319:M445,M445)</f>
        <v>51001</v>
      </c>
      <c r="HU445" s="658" t="str">
        <f t="shared" si="376"/>
        <v/>
      </c>
      <c r="HV445" s="658" t="str">
        <f t="shared" si="541"/>
        <v/>
      </c>
      <c r="HW445" s="658" t="str">
        <f t="shared" si="377"/>
        <v/>
      </c>
      <c r="HX445" s="658" t="str">
        <f t="shared" si="542"/>
        <v/>
      </c>
    </row>
    <row r="446" spans="1:232" s="19" customFormat="1" ht="50.1" customHeight="1" x14ac:dyDescent="0.15">
      <c r="A446" s="1201"/>
      <c r="B446" s="1201"/>
      <c r="C446" s="1201"/>
      <c r="D446" s="1201"/>
      <c r="E446" s="1202"/>
      <c r="F446" s="652"/>
      <c r="G446" s="652"/>
      <c r="H446" s="652"/>
      <c r="I446" s="1354"/>
      <c r="J446" s="1234"/>
      <c r="K446" s="1261"/>
      <c r="L446" s="1261"/>
      <c r="M446" s="2478" t="s">
        <v>1205</v>
      </c>
      <c r="N446" s="2478"/>
      <c r="O446" s="2478"/>
      <c r="P446" s="2433" t="s">
        <v>121</v>
      </c>
      <c r="Q446" s="2433"/>
      <c r="R446" s="2429" t="s">
        <v>121</v>
      </c>
      <c r="S446" s="2429"/>
      <c r="T446" s="2429"/>
      <c r="U446" s="2438" t="s">
        <v>122</v>
      </c>
      <c r="V446" s="2438"/>
      <c r="W446" s="2438"/>
      <c r="X446" s="2438"/>
      <c r="Y446" s="2438"/>
      <c r="Z446" s="2438"/>
      <c r="AA446" s="2438"/>
      <c r="AB446" s="2438"/>
      <c r="AC446" s="2438"/>
      <c r="AD446" s="2438"/>
      <c r="AE446" s="2438"/>
      <c r="AF446" s="2302"/>
      <c r="AG446" s="2302"/>
      <c r="AH446" s="2302"/>
      <c r="AI446" s="2302"/>
      <c r="AJ446" s="2302"/>
      <c r="AK446" s="2302"/>
      <c r="AL446" s="2302"/>
      <c r="AM446" s="2302"/>
      <c r="AN446" s="2302"/>
      <c r="AO446" s="2302"/>
      <c r="AP446" s="2302"/>
      <c r="AQ446" s="2302"/>
      <c r="AR446" s="2272"/>
      <c r="AS446" s="2272"/>
      <c r="AT446" s="2406"/>
      <c r="AU446" s="2406"/>
      <c r="AV446" s="2406"/>
      <c r="AW446" s="2406"/>
      <c r="AX446" s="2406"/>
      <c r="AY446" s="2406"/>
      <c r="AZ446" s="2406"/>
      <c r="BA446" s="2406"/>
      <c r="BB446" s="2406"/>
      <c r="BC446" s="2406"/>
      <c r="BD446" s="2406"/>
      <c r="BE446" s="2406"/>
      <c r="BF446" s="2406"/>
      <c r="BG446" s="2406"/>
      <c r="BH446" s="2406"/>
      <c r="BI446" s="2406"/>
      <c r="BJ446" s="2406"/>
      <c r="BK446" s="2406"/>
      <c r="BL446" s="2406"/>
      <c r="BM446" s="2406"/>
      <c r="BN446" s="2406"/>
      <c r="BO446" s="2406"/>
      <c r="BP446" s="2406"/>
      <c r="BQ446" s="2406"/>
      <c r="BR446" s="2406"/>
      <c r="BS446" s="2271"/>
      <c r="BT446" s="2271"/>
      <c r="BU446" s="2271"/>
      <c r="BV446" s="2271"/>
      <c r="BW446" s="2271"/>
      <c r="BX446" s="2271"/>
      <c r="BY446" s="2271"/>
      <c r="BZ446" s="2272"/>
      <c r="CA446" s="2272"/>
      <c r="CB446" s="2266"/>
      <c r="CC446" s="2267"/>
      <c r="CD446" s="2267"/>
      <c r="CE446" s="2267"/>
      <c r="CF446" s="2267"/>
      <c r="CG446" s="2267"/>
      <c r="CH446" s="2267"/>
      <c r="CI446" s="2267"/>
      <c r="CJ446" s="2267"/>
      <c r="CK446" s="2267"/>
      <c r="CL446" s="2267"/>
      <c r="CM446" s="2267"/>
      <c r="CN446" s="2267"/>
      <c r="CO446" s="2267"/>
      <c r="CP446" s="2267"/>
      <c r="CQ446" s="2267"/>
      <c r="CR446" s="2267"/>
      <c r="CS446" s="2267"/>
      <c r="CT446" s="2267"/>
      <c r="CU446" s="2268"/>
      <c r="CV446" s="2300" t="str">
        <f t="shared" si="471"/>
        <v/>
      </c>
      <c r="CW446" s="2300"/>
      <c r="CX446" s="2300"/>
      <c r="CY446" s="2300"/>
      <c r="CZ446" s="2300"/>
      <c r="DA446" s="2300"/>
      <c r="DC446" s="329" t="str">
        <f t="shared" si="472"/>
        <v/>
      </c>
      <c r="DD446" s="197"/>
      <c r="DF446" s="14"/>
      <c r="DG446" s="14"/>
      <c r="DH446" s="14"/>
      <c r="DI446" s="1596"/>
      <c r="DJ446" s="1170" t="s">
        <v>2749</v>
      </c>
      <c r="DK446" s="1604" t="str">
        <f t="shared" si="473"/>
        <v/>
      </c>
      <c r="DL446" s="437" t="str">
        <f t="shared" si="474"/>
        <v/>
      </c>
      <c r="DM446" s="1128">
        <f t="shared" si="475"/>
        <v>0</v>
      </c>
      <c r="DN446" s="22">
        <f t="shared" si="476"/>
        <v>0</v>
      </c>
      <c r="DO446" s="22">
        <f t="shared" si="477"/>
        <v>0</v>
      </c>
      <c r="DP446" s="264">
        <f t="shared" si="478"/>
        <v>0</v>
      </c>
      <c r="DQ446" s="32" t="s">
        <v>783</v>
      </c>
      <c r="DR446" s="263" t="str">
        <f t="shared" si="479"/>
        <v>直通階段の設置の状況</v>
      </c>
      <c r="DS446" s="23">
        <f t="shared" si="480"/>
        <v>0</v>
      </c>
      <c r="DT446" s="29" t="str">
        <f t="shared" si="481"/>
        <v/>
      </c>
      <c r="DU446" s="242" t="str">
        <f t="shared" si="482"/>
        <v/>
      </c>
      <c r="DV446" s="243" t="str">
        <f>IF($DT446="要是正",MAX($DV$432:DV445)+1,"")</f>
        <v/>
      </c>
      <c r="DW446" s="12" t="str">
        <f t="shared" si="483"/>
        <v/>
      </c>
      <c r="DX446" s="30" t="str">
        <f t="shared" si="484"/>
        <v/>
      </c>
      <c r="DY446" s="13" t="str">
        <f t="shared" si="485"/>
        <v/>
      </c>
      <c r="DZ446" s="121" t="str">
        <f t="shared" si="486"/>
        <v/>
      </c>
      <c r="EA446" s="256" t="str">
        <f t="shared" si="487"/>
        <v/>
      </c>
      <c r="EB446" s="138" t="str">
        <f t="shared" si="488"/>
        <v/>
      </c>
      <c r="EC446" s="131" t="str">
        <f t="shared" si="489"/>
        <v>0</v>
      </c>
      <c r="ED446" s="54" t="str">
        <f t="shared" si="490"/>
        <v/>
      </c>
      <c r="EE446" s="131" t="str">
        <f t="shared" si="543"/>
        <v>0</v>
      </c>
      <c r="EF446" s="37" t="str">
        <f t="shared" si="491"/>
        <v/>
      </c>
      <c r="EG446" s="108" t="str">
        <f t="shared" si="492"/>
        <v/>
      </c>
      <c r="EH446" s="41" t="str">
        <f t="shared" si="493"/>
        <v>0</v>
      </c>
      <c r="EI446" s="54" t="str">
        <f t="shared" si="494"/>
        <v/>
      </c>
      <c r="EJ446" s="131" t="str">
        <f t="shared" si="544"/>
        <v>0</v>
      </c>
      <c r="EK446" s="241" t="str">
        <f t="shared" si="495"/>
        <v/>
      </c>
      <c r="EL446" s="242" t="e">
        <f t="shared" si="496"/>
        <v>#N/A</v>
      </c>
      <c r="EM446" s="57" t="e">
        <f t="shared" si="497"/>
        <v>#N/A</v>
      </c>
      <c r="EN446" s="243" t="e">
        <f t="shared" si="498"/>
        <v>#N/A</v>
      </c>
      <c r="FK446" s="326" t="str">
        <f t="shared" si="499"/>
        <v/>
      </c>
      <c r="FL446" s="326" t="str">
        <f t="shared" si="500"/>
        <v/>
      </c>
      <c r="FM446" s="326" t="str">
        <f t="shared" si="501"/>
        <v/>
      </c>
      <c r="FN446" s="326">
        <f t="shared" si="502"/>
        <v>0</v>
      </c>
      <c r="FO446" s="670" t="str">
        <f t="shared" si="503"/>
        <v/>
      </c>
      <c r="FQ446" s="138" t="str">
        <f t="shared" si="504"/>
        <v/>
      </c>
      <c r="FR446" s="131" t="str">
        <f t="shared" si="505"/>
        <v>0</v>
      </c>
      <c r="FS446" s="54" t="str">
        <f t="shared" si="506"/>
        <v/>
      </c>
      <c r="FT446" s="131" t="str">
        <f t="shared" si="507"/>
        <v>0</v>
      </c>
      <c r="FU446" s="217" t="str">
        <f t="shared" si="545"/>
        <v/>
      </c>
      <c r="FW446" s="667">
        <f t="shared" si="433"/>
        <v>0</v>
      </c>
      <c r="FX446" s="32"/>
      <c r="FY446" s="32"/>
      <c r="FZ446" s="668"/>
      <c r="GA446" s="14"/>
      <c r="GB446" s="658">
        <f t="shared" si="508"/>
        <v>0</v>
      </c>
      <c r="GC446" s="658">
        <f t="shared" si="509"/>
        <v>0</v>
      </c>
      <c r="GD446" s="658">
        <f t="shared" si="510"/>
        <v>0</v>
      </c>
      <c r="GE446" s="658" t="str">
        <f t="shared" si="511"/>
        <v/>
      </c>
      <c r="GF446" s="658" t="str">
        <f t="shared" si="512"/>
        <v/>
      </c>
      <c r="GG446" s="658" t="str">
        <f t="shared" si="513"/>
        <v/>
      </c>
      <c r="GH446" s="658" t="str">
        <f t="shared" si="514"/>
        <v/>
      </c>
      <c r="GI446" s="658" t="str">
        <f t="shared" si="515"/>
        <v/>
      </c>
      <c r="GJ446" s="658" t="str">
        <f t="shared" si="516"/>
        <v/>
      </c>
      <c r="GK446" s="658" t="str">
        <f t="shared" si="517"/>
        <v/>
      </c>
      <c r="GL446" s="658" t="str">
        <f t="shared" si="518"/>
        <v/>
      </c>
      <c r="GM446" s="658" t="str">
        <f t="shared" si="519"/>
        <v/>
      </c>
      <c r="GN446" s="658" t="str">
        <f t="shared" si="520"/>
        <v/>
      </c>
      <c r="GO446" s="658" t="str">
        <f t="shared" si="521"/>
        <v/>
      </c>
      <c r="GP446" s="658" t="str">
        <f t="shared" si="522"/>
        <v/>
      </c>
      <c r="GQ446" s="658" t="str">
        <f t="shared" si="523"/>
        <v/>
      </c>
      <c r="GR446" s="658" t="str">
        <f t="shared" si="524"/>
        <v/>
      </c>
      <c r="GS446" s="658" t="str">
        <f t="shared" si="525"/>
        <v/>
      </c>
      <c r="GT446" s="658">
        <f t="shared" ref="GT446:GT501" si="546">IF(COUNTIF(GE446:GS446,"予定")&gt;0,1,0)</f>
        <v>0</v>
      </c>
      <c r="GU446" s="658">
        <f t="shared" ref="GU446:GU501" si="547">IF(COUNTIF(GE446:GS446,"改善済")&gt;0,1,0)</f>
        <v>0</v>
      </c>
      <c r="GV446" s="658">
        <f t="shared" ref="GV446:GV501" si="548">IF(COUNTIF(GE446:GS446,"未定")&gt;0,1,0)</f>
        <v>0</v>
      </c>
      <c r="GW446" s="658" t="b">
        <f t="shared" ref="GW446:GW501" si="549">(GB446+GT446)&gt;0</f>
        <v>0</v>
      </c>
      <c r="GX446" s="658" t="b">
        <f t="shared" ref="GX446:GX501" si="550">(GC446+GU446)&gt;0</f>
        <v>0</v>
      </c>
      <c r="GY446" s="658" t="b">
        <f t="shared" ref="GY446:GY501" si="551">(GD446+GV446)&gt;0</f>
        <v>0</v>
      </c>
      <c r="GZ446" s="658" t="str">
        <f t="shared" si="378"/>
        <v/>
      </c>
      <c r="HB446" s="658" t="str">
        <f t="shared" ref="HB446:HB507" si="552">IF(FW446=0,"",FW446&amp;", ")</f>
        <v/>
      </c>
      <c r="HC446" s="658" t="str">
        <f t="shared" si="526"/>
        <v/>
      </c>
      <c r="HD446" s="658" t="str">
        <f t="shared" si="527"/>
        <v/>
      </c>
      <c r="HE446" s="658" t="str">
        <f t="shared" si="528"/>
        <v/>
      </c>
      <c r="HF446" s="658" t="str">
        <f t="shared" si="529"/>
        <v/>
      </c>
      <c r="HG446" s="658" t="str">
        <f t="shared" si="530"/>
        <v/>
      </c>
      <c r="HH446" s="658" t="str">
        <f t="shared" si="531"/>
        <v/>
      </c>
      <c r="HI446" s="658" t="str">
        <f t="shared" si="532"/>
        <v/>
      </c>
      <c r="HJ446" s="658" t="str">
        <f t="shared" si="533"/>
        <v/>
      </c>
      <c r="HK446" s="658" t="str">
        <f t="shared" si="534"/>
        <v/>
      </c>
      <c r="HL446" s="658" t="str">
        <f t="shared" si="535"/>
        <v/>
      </c>
      <c r="HM446" s="658" t="str">
        <f t="shared" si="536"/>
        <v/>
      </c>
      <c r="HN446" s="658" t="str">
        <f t="shared" si="537"/>
        <v/>
      </c>
      <c r="HO446" s="658" t="str">
        <f t="shared" si="538"/>
        <v/>
      </c>
      <c r="HP446" s="658" t="str">
        <f t="shared" si="539"/>
        <v/>
      </c>
      <c r="HQ446" s="658" t="str">
        <f t="shared" si="540"/>
        <v/>
      </c>
      <c r="HR446" s="658" t="str">
        <f t="shared" ref="HR446:HR507" si="553">CONCATENATE(HB446,HC446,HD446,HE446,HF446,HG446,HH446,HI446,HJ446,HK446,HL446,HM446,HN446,HO446,HP446,HQ446)</f>
        <v/>
      </c>
      <c r="HT446" s="658">
        <f>LEFT(M446,1)*10000+MID(M446,3,LEN(M446)-3)*100+COUNTIF($M$319:M446,M446)</f>
        <v>51101</v>
      </c>
      <c r="HU446" s="658" t="str">
        <f t="shared" ref="HU446:HU507" si="554">IF($DT446="要是正",$HT446,"")</f>
        <v/>
      </c>
      <c r="HV446" s="658" t="str">
        <f t="shared" si="541"/>
        <v/>
      </c>
      <c r="HW446" s="658" t="str">
        <f t="shared" ref="HW446:HW507" si="555">IF(OR($DT446="要是正",$DT446="既存不適格"),$HT446,"")</f>
        <v/>
      </c>
      <c r="HX446" s="658" t="str">
        <f t="shared" si="542"/>
        <v/>
      </c>
    </row>
    <row r="447" spans="1:232" s="19" customFormat="1" ht="50.1" customHeight="1" x14ac:dyDescent="0.15">
      <c r="A447" s="1201"/>
      <c r="B447" s="1201"/>
      <c r="C447" s="1201"/>
      <c r="D447" s="1201"/>
      <c r="E447" s="1202"/>
      <c r="F447" s="652"/>
      <c r="G447" s="652"/>
      <c r="H447" s="652"/>
      <c r="I447" s="1354"/>
      <c r="J447" s="1234"/>
      <c r="K447" s="1261"/>
      <c r="L447" s="1261"/>
      <c r="M447" s="2478" t="s">
        <v>1206</v>
      </c>
      <c r="N447" s="2478"/>
      <c r="O447" s="2478"/>
      <c r="P447" s="2433"/>
      <c r="Q447" s="2433"/>
      <c r="R447" s="2429"/>
      <c r="S447" s="2429"/>
      <c r="T447" s="2429"/>
      <c r="U447" s="2435" t="s">
        <v>195</v>
      </c>
      <c r="V447" s="2435"/>
      <c r="W447" s="2435"/>
      <c r="X447" s="2435"/>
      <c r="Y447" s="2435"/>
      <c r="Z447" s="2435"/>
      <c r="AA447" s="2435"/>
      <c r="AB447" s="2435"/>
      <c r="AC447" s="2435"/>
      <c r="AD447" s="2435"/>
      <c r="AE447" s="2435"/>
      <c r="AF447" s="2282"/>
      <c r="AG447" s="2282"/>
      <c r="AH447" s="2282"/>
      <c r="AI447" s="2282"/>
      <c r="AJ447" s="2282"/>
      <c r="AK447" s="2282"/>
      <c r="AL447" s="2282"/>
      <c r="AM447" s="2282"/>
      <c r="AN447" s="2282"/>
      <c r="AO447" s="2282"/>
      <c r="AP447" s="2282"/>
      <c r="AQ447" s="2282"/>
      <c r="AR447" s="2151"/>
      <c r="AS447" s="2151"/>
      <c r="AT447" s="2292"/>
      <c r="AU447" s="2292"/>
      <c r="AV447" s="2292"/>
      <c r="AW447" s="2292"/>
      <c r="AX447" s="2292"/>
      <c r="AY447" s="2292"/>
      <c r="AZ447" s="2292"/>
      <c r="BA447" s="2292"/>
      <c r="BB447" s="2292"/>
      <c r="BC447" s="2292"/>
      <c r="BD447" s="2292"/>
      <c r="BE447" s="2292"/>
      <c r="BF447" s="2292"/>
      <c r="BG447" s="2292"/>
      <c r="BH447" s="2292"/>
      <c r="BI447" s="2292"/>
      <c r="BJ447" s="2292"/>
      <c r="BK447" s="2292"/>
      <c r="BL447" s="2292"/>
      <c r="BM447" s="2292"/>
      <c r="BN447" s="2292"/>
      <c r="BO447" s="2292"/>
      <c r="BP447" s="2292"/>
      <c r="BQ447" s="2292"/>
      <c r="BR447" s="2292"/>
      <c r="BS447" s="2269"/>
      <c r="BT447" s="2269"/>
      <c r="BU447" s="2269"/>
      <c r="BV447" s="2269"/>
      <c r="BW447" s="2269"/>
      <c r="BX447" s="2269"/>
      <c r="BY447" s="2269"/>
      <c r="BZ447" s="2151"/>
      <c r="CA447" s="2151"/>
      <c r="CB447" s="2355"/>
      <c r="CC447" s="2356"/>
      <c r="CD447" s="2356"/>
      <c r="CE447" s="2356"/>
      <c r="CF447" s="2356"/>
      <c r="CG447" s="2356"/>
      <c r="CH447" s="2356"/>
      <c r="CI447" s="2356"/>
      <c r="CJ447" s="2356"/>
      <c r="CK447" s="2356"/>
      <c r="CL447" s="2356"/>
      <c r="CM447" s="2356"/>
      <c r="CN447" s="2356"/>
      <c r="CO447" s="2356"/>
      <c r="CP447" s="2356"/>
      <c r="CQ447" s="2356"/>
      <c r="CR447" s="2356"/>
      <c r="CS447" s="2356"/>
      <c r="CT447" s="2356"/>
      <c r="CU447" s="2357"/>
      <c r="CV447" s="2300" t="str">
        <f t="shared" si="471"/>
        <v/>
      </c>
      <c r="CW447" s="2300"/>
      <c r="CX447" s="2300"/>
      <c r="CY447" s="2300"/>
      <c r="CZ447" s="2300"/>
      <c r="DA447" s="2300"/>
      <c r="DC447" s="329" t="str">
        <f t="shared" si="472"/>
        <v/>
      </c>
      <c r="DD447" s="197"/>
      <c r="DF447" s="14"/>
      <c r="DG447" s="14"/>
      <c r="DH447" s="14"/>
      <c r="DI447" s="1596"/>
      <c r="DJ447" s="1170" t="s">
        <v>2749</v>
      </c>
      <c r="DK447" s="1604" t="str">
        <f t="shared" si="473"/>
        <v/>
      </c>
      <c r="DL447" s="437" t="str">
        <f t="shared" si="474"/>
        <v/>
      </c>
      <c r="DM447" s="1128">
        <f t="shared" si="475"/>
        <v>0</v>
      </c>
      <c r="DN447" s="22">
        <f t="shared" si="476"/>
        <v>0</v>
      </c>
      <c r="DO447" s="22">
        <f t="shared" si="477"/>
        <v>0</v>
      </c>
      <c r="DP447" s="264">
        <f t="shared" si="478"/>
        <v>0</v>
      </c>
      <c r="DQ447" s="32" t="s">
        <v>784</v>
      </c>
      <c r="DR447" s="263" t="str">
        <f>IF($U447="",R446,U447)</f>
        <v>幅員の確保の状況</v>
      </c>
      <c r="DS447" s="23">
        <f t="shared" si="480"/>
        <v>0</v>
      </c>
      <c r="DT447" s="29" t="str">
        <f t="shared" si="481"/>
        <v/>
      </c>
      <c r="DU447" s="242" t="str">
        <f t="shared" si="482"/>
        <v/>
      </c>
      <c r="DV447" s="243" t="str">
        <f>IF($DT447="要是正",MAX($DV$432:DV446)+1,"")</f>
        <v/>
      </c>
      <c r="DW447" s="12" t="str">
        <f t="shared" si="483"/>
        <v/>
      </c>
      <c r="DX447" s="30" t="str">
        <f t="shared" si="484"/>
        <v/>
      </c>
      <c r="DY447" s="13" t="str">
        <f t="shared" si="485"/>
        <v/>
      </c>
      <c r="DZ447" s="121" t="str">
        <f t="shared" si="486"/>
        <v/>
      </c>
      <c r="EA447" s="256" t="str">
        <f t="shared" si="487"/>
        <v/>
      </c>
      <c r="EB447" s="138" t="str">
        <f t="shared" si="488"/>
        <v/>
      </c>
      <c r="EC447" s="131" t="str">
        <f t="shared" si="489"/>
        <v>0</v>
      </c>
      <c r="ED447" s="54" t="str">
        <f t="shared" si="490"/>
        <v/>
      </c>
      <c r="EE447" s="131" t="str">
        <f t="shared" si="543"/>
        <v>0</v>
      </c>
      <c r="EF447" s="37" t="str">
        <f t="shared" si="491"/>
        <v/>
      </c>
      <c r="EG447" s="108" t="str">
        <f t="shared" si="492"/>
        <v/>
      </c>
      <c r="EH447" s="41" t="str">
        <f t="shared" si="493"/>
        <v>0</v>
      </c>
      <c r="EI447" s="54" t="str">
        <f t="shared" si="494"/>
        <v/>
      </c>
      <c r="EJ447" s="131" t="str">
        <f t="shared" si="544"/>
        <v>0</v>
      </c>
      <c r="EK447" s="241" t="str">
        <f t="shared" si="495"/>
        <v/>
      </c>
      <c r="EL447" s="242" t="e">
        <f t="shared" si="496"/>
        <v>#N/A</v>
      </c>
      <c r="EM447" s="57" t="e">
        <f t="shared" si="497"/>
        <v>#N/A</v>
      </c>
      <c r="EN447" s="243" t="e">
        <f t="shared" si="498"/>
        <v>#N/A</v>
      </c>
      <c r="FK447" s="326" t="str">
        <f t="shared" si="499"/>
        <v/>
      </c>
      <c r="FL447" s="326" t="str">
        <f t="shared" si="500"/>
        <v/>
      </c>
      <c r="FM447" s="326" t="str">
        <f t="shared" si="501"/>
        <v/>
      </c>
      <c r="FN447" s="326">
        <f t="shared" si="502"/>
        <v>0</v>
      </c>
      <c r="FO447" s="670" t="str">
        <f t="shared" si="503"/>
        <v/>
      </c>
      <c r="FQ447" s="138" t="str">
        <f t="shared" si="504"/>
        <v/>
      </c>
      <c r="FR447" s="131" t="str">
        <f t="shared" si="505"/>
        <v>0</v>
      </c>
      <c r="FS447" s="54" t="str">
        <f t="shared" si="506"/>
        <v/>
      </c>
      <c r="FT447" s="131" t="str">
        <f t="shared" si="507"/>
        <v>0</v>
      </c>
      <c r="FU447" s="217" t="str">
        <f t="shared" si="545"/>
        <v/>
      </c>
      <c r="FW447" s="667">
        <f t="shared" ref="FW447:FW478" si="556">IF(AF447="△既存不適格",AT447&amp;"(既存不適格)",AT447)</f>
        <v>0</v>
      </c>
      <c r="FX447" s="32"/>
      <c r="FY447" s="32"/>
      <c r="FZ447" s="668"/>
      <c r="GA447" s="14"/>
      <c r="GB447" s="658">
        <f t="shared" si="508"/>
        <v>0</v>
      </c>
      <c r="GC447" s="658">
        <f t="shared" si="509"/>
        <v>0</v>
      </c>
      <c r="GD447" s="658">
        <f t="shared" si="510"/>
        <v>0</v>
      </c>
      <c r="GE447" s="658" t="str">
        <f t="shared" si="511"/>
        <v/>
      </c>
      <c r="GF447" s="658" t="str">
        <f t="shared" si="512"/>
        <v/>
      </c>
      <c r="GG447" s="658" t="str">
        <f t="shared" si="513"/>
        <v/>
      </c>
      <c r="GH447" s="658" t="str">
        <f t="shared" si="514"/>
        <v/>
      </c>
      <c r="GI447" s="658" t="str">
        <f t="shared" si="515"/>
        <v/>
      </c>
      <c r="GJ447" s="658" t="str">
        <f t="shared" si="516"/>
        <v/>
      </c>
      <c r="GK447" s="658" t="str">
        <f t="shared" si="517"/>
        <v/>
      </c>
      <c r="GL447" s="658" t="str">
        <f t="shared" si="518"/>
        <v/>
      </c>
      <c r="GM447" s="658" t="str">
        <f t="shared" si="519"/>
        <v/>
      </c>
      <c r="GN447" s="658" t="str">
        <f t="shared" si="520"/>
        <v/>
      </c>
      <c r="GO447" s="658" t="str">
        <f t="shared" si="521"/>
        <v/>
      </c>
      <c r="GP447" s="658" t="str">
        <f t="shared" si="522"/>
        <v/>
      </c>
      <c r="GQ447" s="658" t="str">
        <f t="shared" si="523"/>
        <v/>
      </c>
      <c r="GR447" s="658" t="str">
        <f t="shared" si="524"/>
        <v/>
      </c>
      <c r="GS447" s="658" t="str">
        <f t="shared" si="525"/>
        <v/>
      </c>
      <c r="GT447" s="658">
        <f t="shared" si="546"/>
        <v>0</v>
      </c>
      <c r="GU447" s="658">
        <f t="shared" si="547"/>
        <v>0</v>
      </c>
      <c r="GV447" s="658">
        <f t="shared" si="548"/>
        <v>0</v>
      </c>
      <c r="GW447" s="658" t="b">
        <f t="shared" si="549"/>
        <v>0</v>
      </c>
      <c r="GX447" s="658" t="b">
        <f t="shared" si="550"/>
        <v>0</v>
      </c>
      <c r="GY447" s="658" t="b">
        <f t="shared" si="551"/>
        <v>0</v>
      </c>
      <c r="GZ447" s="658" t="str">
        <f t="shared" si="378"/>
        <v/>
      </c>
      <c r="HB447" s="658" t="str">
        <f t="shared" si="552"/>
        <v/>
      </c>
      <c r="HC447" s="658" t="str">
        <f t="shared" si="526"/>
        <v/>
      </c>
      <c r="HD447" s="658" t="str">
        <f t="shared" si="527"/>
        <v/>
      </c>
      <c r="HE447" s="658" t="str">
        <f t="shared" si="528"/>
        <v/>
      </c>
      <c r="HF447" s="658" t="str">
        <f t="shared" si="529"/>
        <v/>
      </c>
      <c r="HG447" s="658" t="str">
        <f t="shared" si="530"/>
        <v/>
      </c>
      <c r="HH447" s="658" t="str">
        <f t="shared" si="531"/>
        <v/>
      </c>
      <c r="HI447" s="658" t="str">
        <f t="shared" si="532"/>
        <v/>
      </c>
      <c r="HJ447" s="658" t="str">
        <f t="shared" si="533"/>
        <v/>
      </c>
      <c r="HK447" s="658" t="str">
        <f t="shared" si="534"/>
        <v/>
      </c>
      <c r="HL447" s="658" t="str">
        <f t="shared" si="535"/>
        <v/>
      </c>
      <c r="HM447" s="658" t="str">
        <f t="shared" si="536"/>
        <v/>
      </c>
      <c r="HN447" s="658" t="str">
        <f t="shared" si="537"/>
        <v/>
      </c>
      <c r="HO447" s="658" t="str">
        <f t="shared" si="538"/>
        <v/>
      </c>
      <c r="HP447" s="658" t="str">
        <f t="shared" si="539"/>
        <v/>
      </c>
      <c r="HQ447" s="658" t="str">
        <f t="shared" si="540"/>
        <v/>
      </c>
      <c r="HR447" s="658" t="str">
        <f t="shared" si="553"/>
        <v/>
      </c>
      <c r="HT447" s="658">
        <f>LEFT(M447,1)*10000+MID(M447,3,LEN(M447)-3)*100+COUNTIF($M$319:M447,M447)</f>
        <v>51201</v>
      </c>
      <c r="HU447" s="658" t="str">
        <f t="shared" si="554"/>
        <v/>
      </c>
      <c r="HV447" s="658" t="str">
        <f t="shared" si="541"/>
        <v/>
      </c>
      <c r="HW447" s="658" t="str">
        <f t="shared" si="555"/>
        <v/>
      </c>
      <c r="HX447" s="658" t="str">
        <f t="shared" si="542"/>
        <v/>
      </c>
    </row>
    <row r="448" spans="1:232" s="19" customFormat="1" ht="50.1" customHeight="1" x14ac:dyDescent="0.15">
      <c r="A448" s="1201"/>
      <c r="B448" s="1201"/>
      <c r="C448" s="1201"/>
      <c r="D448" s="1201"/>
      <c r="E448" s="1202"/>
      <c r="F448" s="652"/>
      <c r="G448" s="652"/>
      <c r="H448" s="652"/>
      <c r="I448" s="1354"/>
      <c r="J448" s="1234"/>
      <c r="K448" s="1261"/>
      <c r="L448" s="1261"/>
      <c r="M448" s="2478" t="s">
        <v>1207</v>
      </c>
      <c r="N448" s="2478"/>
      <c r="O448" s="2478"/>
      <c r="P448" s="2433"/>
      <c r="Q448" s="2433"/>
      <c r="R448" s="2429"/>
      <c r="S448" s="2429"/>
      <c r="T448" s="2429"/>
      <c r="U448" s="2435" t="s">
        <v>123</v>
      </c>
      <c r="V448" s="2435"/>
      <c r="W448" s="2435"/>
      <c r="X448" s="2435"/>
      <c r="Y448" s="2435"/>
      <c r="Z448" s="2435"/>
      <c r="AA448" s="2435"/>
      <c r="AB448" s="2435"/>
      <c r="AC448" s="2435"/>
      <c r="AD448" s="2435"/>
      <c r="AE448" s="2435"/>
      <c r="AF448" s="2282"/>
      <c r="AG448" s="2282"/>
      <c r="AH448" s="2282"/>
      <c r="AI448" s="2282"/>
      <c r="AJ448" s="2282"/>
      <c r="AK448" s="2282"/>
      <c r="AL448" s="2282"/>
      <c r="AM448" s="2282"/>
      <c r="AN448" s="2282"/>
      <c r="AO448" s="2282"/>
      <c r="AP448" s="2282"/>
      <c r="AQ448" s="2282"/>
      <c r="AR448" s="2151"/>
      <c r="AS448" s="2151"/>
      <c r="AT448" s="2292"/>
      <c r="AU448" s="2292"/>
      <c r="AV448" s="2292"/>
      <c r="AW448" s="2292"/>
      <c r="AX448" s="2292"/>
      <c r="AY448" s="2292"/>
      <c r="AZ448" s="2292"/>
      <c r="BA448" s="2292"/>
      <c r="BB448" s="2292"/>
      <c r="BC448" s="2292"/>
      <c r="BD448" s="2292"/>
      <c r="BE448" s="2292"/>
      <c r="BF448" s="2292"/>
      <c r="BG448" s="2292"/>
      <c r="BH448" s="2292"/>
      <c r="BI448" s="2292"/>
      <c r="BJ448" s="2292"/>
      <c r="BK448" s="2292"/>
      <c r="BL448" s="2292"/>
      <c r="BM448" s="2292"/>
      <c r="BN448" s="2292"/>
      <c r="BO448" s="2292"/>
      <c r="BP448" s="2292"/>
      <c r="BQ448" s="2292"/>
      <c r="BR448" s="2292"/>
      <c r="BS448" s="2269"/>
      <c r="BT448" s="2269"/>
      <c r="BU448" s="2269"/>
      <c r="BV448" s="2269"/>
      <c r="BW448" s="2269"/>
      <c r="BX448" s="2269"/>
      <c r="BY448" s="2269"/>
      <c r="BZ448" s="2151"/>
      <c r="CA448" s="2151"/>
      <c r="CB448" s="2355"/>
      <c r="CC448" s="2356"/>
      <c r="CD448" s="2356"/>
      <c r="CE448" s="2356"/>
      <c r="CF448" s="2356"/>
      <c r="CG448" s="2356"/>
      <c r="CH448" s="2356"/>
      <c r="CI448" s="2356"/>
      <c r="CJ448" s="2356"/>
      <c r="CK448" s="2356"/>
      <c r="CL448" s="2356"/>
      <c r="CM448" s="2356"/>
      <c r="CN448" s="2356"/>
      <c r="CO448" s="2356"/>
      <c r="CP448" s="2356"/>
      <c r="CQ448" s="2356"/>
      <c r="CR448" s="2356"/>
      <c r="CS448" s="2356"/>
      <c r="CT448" s="2356"/>
      <c r="CU448" s="2357"/>
      <c r="CV448" s="2300" t="str">
        <f t="shared" si="471"/>
        <v/>
      </c>
      <c r="CW448" s="2300"/>
      <c r="CX448" s="2300"/>
      <c r="CY448" s="2300"/>
      <c r="CZ448" s="2300"/>
      <c r="DA448" s="2300"/>
      <c r="DC448" s="329" t="str">
        <f t="shared" si="472"/>
        <v/>
      </c>
      <c r="DD448" s="197"/>
      <c r="DF448" s="14"/>
      <c r="DG448" s="14"/>
      <c r="DH448" s="14"/>
      <c r="DI448" s="1596"/>
      <c r="DJ448" s="1170" t="s">
        <v>2749</v>
      </c>
      <c r="DK448" s="1604" t="str">
        <f t="shared" si="473"/>
        <v/>
      </c>
      <c r="DL448" s="437" t="str">
        <f t="shared" si="474"/>
        <v/>
      </c>
      <c r="DM448" s="1128">
        <f t="shared" si="475"/>
        <v>0</v>
      </c>
      <c r="DN448" s="22">
        <f t="shared" si="476"/>
        <v>0</v>
      </c>
      <c r="DO448" s="22">
        <f t="shared" si="477"/>
        <v>0</v>
      </c>
      <c r="DP448" s="264">
        <f t="shared" si="478"/>
        <v>0</v>
      </c>
      <c r="DQ448" s="32" t="s">
        <v>785</v>
      </c>
      <c r="DR448" s="263" t="str">
        <f>IF($U448="",R446,U448)</f>
        <v>手すりの設置の状況</v>
      </c>
      <c r="DS448" s="23">
        <f t="shared" si="480"/>
        <v>0</v>
      </c>
      <c r="DT448" s="29" t="str">
        <f t="shared" si="481"/>
        <v/>
      </c>
      <c r="DU448" s="242" t="str">
        <f t="shared" si="482"/>
        <v/>
      </c>
      <c r="DV448" s="243" t="str">
        <f>IF($DT448="要是正",MAX($DV$432:DV447)+1,"")</f>
        <v/>
      </c>
      <c r="DW448" s="12" t="str">
        <f t="shared" si="483"/>
        <v/>
      </c>
      <c r="DX448" s="30" t="str">
        <f t="shared" si="484"/>
        <v/>
      </c>
      <c r="DY448" s="13" t="str">
        <f t="shared" si="485"/>
        <v/>
      </c>
      <c r="DZ448" s="121" t="str">
        <f t="shared" si="486"/>
        <v/>
      </c>
      <c r="EA448" s="256" t="str">
        <f t="shared" si="487"/>
        <v/>
      </c>
      <c r="EB448" s="138" t="str">
        <f t="shared" si="488"/>
        <v/>
      </c>
      <c r="EC448" s="131" t="str">
        <f t="shared" si="489"/>
        <v>0</v>
      </c>
      <c r="ED448" s="54" t="str">
        <f t="shared" si="490"/>
        <v/>
      </c>
      <c r="EE448" s="131" t="str">
        <f t="shared" si="543"/>
        <v>0</v>
      </c>
      <c r="EF448" s="37" t="str">
        <f t="shared" si="491"/>
        <v/>
      </c>
      <c r="EG448" s="108" t="str">
        <f t="shared" si="492"/>
        <v/>
      </c>
      <c r="EH448" s="41" t="str">
        <f t="shared" si="493"/>
        <v>0</v>
      </c>
      <c r="EI448" s="54" t="str">
        <f t="shared" si="494"/>
        <v/>
      </c>
      <c r="EJ448" s="131" t="str">
        <f t="shared" si="544"/>
        <v>0</v>
      </c>
      <c r="EK448" s="241" t="str">
        <f t="shared" si="495"/>
        <v/>
      </c>
      <c r="EL448" s="242" t="e">
        <f t="shared" si="496"/>
        <v>#N/A</v>
      </c>
      <c r="EM448" s="57" t="e">
        <f t="shared" si="497"/>
        <v>#N/A</v>
      </c>
      <c r="EN448" s="243" t="e">
        <f t="shared" si="498"/>
        <v>#N/A</v>
      </c>
      <c r="FK448" s="326" t="str">
        <f t="shared" si="499"/>
        <v/>
      </c>
      <c r="FL448" s="326" t="str">
        <f t="shared" si="500"/>
        <v/>
      </c>
      <c r="FM448" s="326" t="str">
        <f t="shared" si="501"/>
        <v/>
      </c>
      <c r="FN448" s="326">
        <f t="shared" si="502"/>
        <v>0</v>
      </c>
      <c r="FO448" s="670" t="str">
        <f t="shared" si="503"/>
        <v/>
      </c>
      <c r="FQ448" s="138" t="str">
        <f t="shared" si="504"/>
        <v/>
      </c>
      <c r="FR448" s="131" t="str">
        <f t="shared" si="505"/>
        <v>0</v>
      </c>
      <c r="FS448" s="54" t="str">
        <f t="shared" si="506"/>
        <v/>
      </c>
      <c r="FT448" s="131" t="str">
        <f t="shared" si="507"/>
        <v>0</v>
      </c>
      <c r="FU448" s="217" t="str">
        <f t="shared" si="545"/>
        <v/>
      </c>
      <c r="FW448" s="667">
        <f t="shared" si="556"/>
        <v>0</v>
      </c>
      <c r="FX448" s="32"/>
      <c r="FY448" s="32"/>
      <c r="FZ448" s="668"/>
      <c r="GA448" s="14"/>
      <c r="GB448" s="658">
        <f t="shared" si="508"/>
        <v>0</v>
      </c>
      <c r="GC448" s="658">
        <f t="shared" si="509"/>
        <v>0</v>
      </c>
      <c r="GD448" s="658">
        <f t="shared" si="510"/>
        <v>0</v>
      </c>
      <c r="GE448" s="658" t="str">
        <f t="shared" si="511"/>
        <v/>
      </c>
      <c r="GF448" s="658" t="str">
        <f t="shared" si="512"/>
        <v/>
      </c>
      <c r="GG448" s="658" t="str">
        <f t="shared" si="513"/>
        <v/>
      </c>
      <c r="GH448" s="658" t="str">
        <f t="shared" si="514"/>
        <v/>
      </c>
      <c r="GI448" s="658" t="str">
        <f t="shared" si="515"/>
        <v/>
      </c>
      <c r="GJ448" s="658" t="str">
        <f t="shared" si="516"/>
        <v/>
      </c>
      <c r="GK448" s="658" t="str">
        <f t="shared" si="517"/>
        <v/>
      </c>
      <c r="GL448" s="658" t="str">
        <f t="shared" si="518"/>
        <v/>
      </c>
      <c r="GM448" s="658" t="str">
        <f t="shared" si="519"/>
        <v/>
      </c>
      <c r="GN448" s="658" t="str">
        <f t="shared" si="520"/>
        <v/>
      </c>
      <c r="GO448" s="658" t="str">
        <f t="shared" si="521"/>
        <v/>
      </c>
      <c r="GP448" s="658" t="str">
        <f t="shared" si="522"/>
        <v/>
      </c>
      <c r="GQ448" s="658" t="str">
        <f t="shared" si="523"/>
        <v/>
      </c>
      <c r="GR448" s="658" t="str">
        <f t="shared" si="524"/>
        <v/>
      </c>
      <c r="GS448" s="658" t="str">
        <f t="shared" si="525"/>
        <v/>
      </c>
      <c r="GT448" s="658">
        <f t="shared" si="546"/>
        <v>0</v>
      </c>
      <c r="GU448" s="658">
        <f t="shared" si="547"/>
        <v>0</v>
      </c>
      <c r="GV448" s="658">
        <f t="shared" si="548"/>
        <v>0</v>
      </c>
      <c r="GW448" s="658" t="b">
        <f t="shared" si="549"/>
        <v>0</v>
      </c>
      <c r="GX448" s="658" t="b">
        <f t="shared" si="550"/>
        <v>0</v>
      </c>
      <c r="GY448" s="658" t="b">
        <f t="shared" si="551"/>
        <v>0</v>
      </c>
      <c r="GZ448" s="658" t="str">
        <f t="shared" si="378"/>
        <v/>
      </c>
      <c r="HB448" s="658" t="str">
        <f t="shared" si="552"/>
        <v/>
      </c>
      <c r="HC448" s="658" t="str">
        <f t="shared" si="526"/>
        <v/>
      </c>
      <c r="HD448" s="658" t="str">
        <f t="shared" si="527"/>
        <v/>
      </c>
      <c r="HE448" s="658" t="str">
        <f t="shared" si="528"/>
        <v/>
      </c>
      <c r="HF448" s="658" t="str">
        <f t="shared" si="529"/>
        <v/>
      </c>
      <c r="HG448" s="658" t="str">
        <f t="shared" si="530"/>
        <v/>
      </c>
      <c r="HH448" s="658" t="str">
        <f t="shared" si="531"/>
        <v/>
      </c>
      <c r="HI448" s="658" t="str">
        <f t="shared" si="532"/>
        <v/>
      </c>
      <c r="HJ448" s="658" t="str">
        <f t="shared" si="533"/>
        <v/>
      </c>
      <c r="HK448" s="658" t="str">
        <f t="shared" si="534"/>
        <v/>
      </c>
      <c r="HL448" s="658" t="str">
        <f t="shared" si="535"/>
        <v/>
      </c>
      <c r="HM448" s="658" t="str">
        <f t="shared" si="536"/>
        <v/>
      </c>
      <c r="HN448" s="658" t="str">
        <f t="shared" si="537"/>
        <v/>
      </c>
      <c r="HO448" s="658" t="str">
        <f t="shared" si="538"/>
        <v/>
      </c>
      <c r="HP448" s="658" t="str">
        <f t="shared" si="539"/>
        <v/>
      </c>
      <c r="HQ448" s="658" t="str">
        <f t="shared" si="540"/>
        <v/>
      </c>
      <c r="HR448" s="658" t="str">
        <f t="shared" si="553"/>
        <v/>
      </c>
      <c r="HT448" s="658">
        <f>LEFT(M448,1)*10000+MID(M448,3,LEN(M448)-3)*100+COUNTIF($M$319:M448,M448)</f>
        <v>51301</v>
      </c>
      <c r="HU448" s="658" t="str">
        <f t="shared" si="554"/>
        <v/>
      </c>
      <c r="HV448" s="658" t="str">
        <f t="shared" si="541"/>
        <v/>
      </c>
      <c r="HW448" s="658" t="str">
        <f t="shared" si="555"/>
        <v/>
      </c>
      <c r="HX448" s="658" t="str">
        <f t="shared" si="542"/>
        <v/>
      </c>
    </row>
    <row r="449" spans="1:232" s="19" customFormat="1" ht="50.1" customHeight="1" x14ac:dyDescent="0.15">
      <c r="A449" s="1201"/>
      <c r="B449" s="1201"/>
      <c r="C449" s="1201"/>
      <c r="D449" s="1201"/>
      <c r="E449" s="1202"/>
      <c r="F449" s="652"/>
      <c r="G449" s="652"/>
      <c r="H449" s="652"/>
      <c r="I449" s="1354"/>
      <c r="J449" s="1234"/>
      <c r="K449" s="1261"/>
      <c r="L449" s="1261"/>
      <c r="M449" s="2478" t="s">
        <v>1208</v>
      </c>
      <c r="N449" s="2478"/>
      <c r="O449" s="2478"/>
      <c r="P449" s="2433"/>
      <c r="Q449" s="2433"/>
      <c r="R449" s="2429"/>
      <c r="S449" s="2429"/>
      <c r="T449" s="2429"/>
      <c r="U449" s="2435" t="s">
        <v>112</v>
      </c>
      <c r="V449" s="2435"/>
      <c r="W449" s="2435"/>
      <c r="X449" s="2435"/>
      <c r="Y449" s="2435"/>
      <c r="Z449" s="2435"/>
      <c r="AA449" s="2435"/>
      <c r="AB449" s="2435"/>
      <c r="AC449" s="2435"/>
      <c r="AD449" s="2435"/>
      <c r="AE449" s="2435"/>
      <c r="AF449" s="2282"/>
      <c r="AG449" s="2282"/>
      <c r="AH449" s="2282"/>
      <c r="AI449" s="2282"/>
      <c r="AJ449" s="2282"/>
      <c r="AK449" s="2282"/>
      <c r="AL449" s="2282"/>
      <c r="AM449" s="2282"/>
      <c r="AN449" s="2282"/>
      <c r="AO449" s="2282"/>
      <c r="AP449" s="2282"/>
      <c r="AQ449" s="2282"/>
      <c r="AR449" s="2151"/>
      <c r="AS449" s="2151"/>
      <c r="AT449" s="2292"/>
      <c r="AU449" s="2292"/>
      <c r="AV449" s="2292"/>
      <c r="AW449" s="2292"/>
      <c r="AX449" s="2292"/>
      <c r="AY449" s="2292"/>
      <c r="AZ449" s="2292"/>
      <c r="BA449" s="2292"/>
      <c r="BB449" s="2292"/>
      <c r="BC449" s="2292"/>
      <c r="BD449" s="2292"/>
      <c r="BE449" s="2292"/>
      <c r="BF449" s="2292"/>
      <c r="BG449" s="2292"/>
      <c r="BH449" s="2292"/>
      <c r="BI449" s="2292"/>
      <c r="BJ449" s="2292"/>
      <c r="BK449" s="2292"/>
      <c r="BL449" s="2292"/>
      <c r="BM449" s="2292"/>
      <c r="BN449" s="2292"/>
      <c r="BO449" s="2292"/>
      <c r="BP449" s="2292"/>
      <c r="BQ449" s="2292"/>
      <c r="BR449" s="2292"/>
      <c r="BS449" s="2269"/>
      <c r="BT449" s="2269"/>
      <c r="BU449" s="2269"/>
      <c r="BV449" s="2269"/>
      <c r="BW449" s="2269"/>
      <c r="BX449" s="2269"/>
      <c r="BY449" s="2269"/>
      <c r="BZ449" s="2151"/>
      <c r="CA449" s="2151"/>
      <c r="CB449" s="2355"/>
      <c r="CC449" s="2356"/>
      <c r="CD449" s="2356"/>
      <c r="CE449" s="2356"/>
      <c r="CF449" s="2356"/>
      <c r="CG449" s="2356"/>
      <c r="CH449" s="2356"/>
      <c r="CI449" s="2356"/>
      <c r="CJ449" s="2356"/>
      <c r="CK449" s="2356"/>
      <c r="CL449" s="2356"/>
      <c r="CM449" s="2356"/>
      <c r="CN449" s="2356"/>
      <c r="CO449" s="2356"/>
      <c r="CP449" s="2356"/>
      <c r="CQ449" s="2356"/>
      <c r="CR449" s="2356"/>
      <c r="CS449" s="2356"/>
      <c r="CT449" s="2356"/>
      <c r="CU449" s="2357"/>
      <c r="CV449" s="2300" t="str">
        <f t="shared" si="471"/>
        <v/>
      </c>
      <c r="CW449" s="2300"/>
      <c r="CX449" s="2300"/>
      <c r="CY449" s="2300"/>
      <c r="CZ449" s="2300"/>
      <c r="DA449" s="2300"/>
      <c r="DC449" s="329" t="str">
        <f t="shared" si="472"/>
        <v/>
      </c>
      <c r="DD449" s="197"/>
      <c r="DF449" s="14"/>
      <c r="DG449" s="14"/>
      <c r="DH449" s="14"/>
      <c r="DI449" s="1596"/>
      <c r="DJ449" s="1170" t="s">
        <v>2749</v>
      </c>
      <c r="DK449" s="1604" t="str">
        <f t="shared" si="473"/>
        <v/>
      </c>
      <c r="DL449" s="437" t="str">
        <f t="shared" si="474"/>
        <v/>
      </c>
      <c r="DM449" s="1128">
        <f t="shared" si="475"/>
        <v>0</v>
      </c>
      <c r="DN449" s="22">
        <f t="shared" si="476"/>
        <v>0</v>
      </c>
      <c r="DO449" s="22">
        <f t="shared" si="477"/>
        <v>0</v>
      </c>
      <c r="DP449" s="264">
        <f t="shared" si="478"/>
        <v>0</v>
      </c>
      <c r="DQ449" s="32" t="s">
        <v>786</v>
      </c>
      <c r="DR449" s="263" t="str">
        <f>IF($U449="",R446,U449)</f>
        <v>物品の放置の状況</v>
      </c>
      <c r="DS449" s="23">
        <f t="shared" si="480"/>
        <v>0</v>
      </c>
      <c r="DT449" s="29" t="str">
        <f t="shared" si="481"/>
        <v/>
      </c>
      <c r="DU449" s="242" t="str">
        <f t="shared" si="482"/>
        <v/>
      </c>
      <c r="DV449" s="243" t="str">
        <f>IF($DT449="要是正",MAX($DV$432:DV448)+1,"")</f>
        <v/>
      </c>
      <c r="DW449" s="12" t="str">
        <f t="shared" si="483"/>
        <v/>
      </c>
      <c r="DX449" s="30" t="str">
        <f t="shared" si="484"/>
        <v/>
      </c>
      <c r="DY449" s="13" t="str">
        <f t="shared" si="485"/>
        <v/>
      </c>
      <c r="DZ449" s="121" t="str">
        <f t="shared" si="486"/>
        <v/>
      </c>
      <c r="EA449" s="256" t="str">
        <f t="shared" si="487"/>
        <v/>
      </c>
      <c r="EB449" s="138" t="str">
        <f t="shared" si="488"/>
        <v/>
      </c>
      <c r="EC449" s="131" t="str">
        <f t="shared" si="489"/>
        <v>0</v>
      </c>
      <c r="ED449" s="54" t="str">
        <f t="shared" si="490"/>
        <v/>
      </c>
      <c r="EE449" s="131" t="str">
        <f t="shared" si="543"/>
        <v>0</v>
      </c>
      <c r="EF449" s="37" t="str">
        <f t="shared" si="491"/>
        <v/>
      </c>
      <c r="EG449" s="108" t="str">
        <f t="shared" si="492"/>
        <v/>
      </c>
      <c r="EH449" s="41" t="str">
        <f t="shared" si="493"/>
        <v>0</v>
      </c>
      <c r="EI449" s="54" t="str">
        <f t="shared" si="494"/>
        <v/>
      </c>
      <c r="EJ449" s="131" t="str">
        <f t="shared" si="544"/>
        <v>0</v>
      </c>
      <c r="EK449" s="241" t="str">
        <f t="shared" si="495"/>
        <v/>
      </c>
      <c r="EL449" s="242" t="e">
        <f t="shared" si="496"/>
        <v>#N/A</v>
      </c>
      <c r="EM449" s="57" t="e">
        <f t="shared" si="497"/>
        <v>#N/A</v>
      </c>
      <c r="EN449" s="243" t="e">
        <f t="shared" si="498"/>
        <v>#N/A</v>
      </c>
      <c r="FK449" s="326" t="str">
        <f t="shared" si="499"/>
        <v/>
      </c>
      <c r="FL449" s="326" t="str">
        <f t="shared" si="500"/>
        <v/>
      </c>
      <c r="FM449" s="326" t="str">
        <f t="shared" si="501"/>
        <v/>
      </c>
      <c r="FN449" s="326">
        <f t="shared" si="502"/>
        <v>0</v>
      </c>
      <c r="FO449" s="670" t="str">
        <f t="shared" si="503"/>
        <v/>
      </c>
      <c r="FQ449" s="138" t="str">
        <f t="shared" si="504"/>
        <v/>
      </c>
      <c r="FR449" s="131" t="str">
        <f t="shared" si="505"/>
        <v>0</v>
      </c>
      <c r="FS449" s="54" t="str">
        <f t="shared" si="506"/>
        <v/>
      </c>
      <c r="FT449" s="131" t="str">
        <f t="shared" si="507"/>
        <v>0</v>
      </c>
      <c r="FU449" s="217" t="str">
        <f t="shared" si="545"/>
        <v/>
      </c>
      <c r="FW449" s="667">
        <f t="shared" si="556"/>
        <v>0</v>
      </c>
      <c r="FX449" s="32"/>
      <c r="FY449" s="32"/>
      <c r="FZ449" s="668"/>
      <c r="GA449" s="14"/>
      <c r="GB449" s="658">
        <f t="shared" si="508"/>
        <v>0</v>
      </c>
      <c r="GC449" s="658">
        <f t="shared" si="509"/>
        <v>0</v>
      </c>
      <c r="GD449" s="658">
        <f t="shared" si="510"/>
        <v>0</v>
      </c>
      <c r="GE449" s="658" t="str">
        <f t="shared" si="511"/>
        <v/>
      </c>
      <c r="GF449" s="658" t="str">
        <f t="shared" si="512"/>
        <v/>
      </c>
      <c r="GG449" s="658" t="str">
        <f t="shared" si="513"/>
        <v/>
      </c>
      <c r="GH449" s="658" t="str">
        <f t="shared" si="514"/>
        <v/>
      </c>
      <c r="GI449" s="658" t="str">
        <f t="shared" si="515"/>
        <v/>
      </c>
      <c r="GJ449" s="658" t="str">
        <f t="shared" si="516"/>
        <v/>
      </c>
      <c r="GK449" s="658" t="str">
        <f t="shared" si="517"/>
        <v/>
      </c>
      <c r="GL449" s="658" t="str">
        <f t="shared" si="518"/>
        <v/>
      </c>
      <c r="GM449" s="658" t="str">
        <f t="shared" si="519"/>
        <v/>
      </c>
      <c r="GN449" s="658" t="str">
        <f t="shared" si="520"/>
        <v/>
      </c>
      <c r="GO449" s="658" t="str">
        <f t="shared" si="521"/>
        <v/>
      </c>
      <c r="GP449" s="658" t="str">
        <f t="shared" si="522"/>
        <v/>
      </c>
      <c r="GQ449" s="658" t="str">
        <f t="shared" si="523"/>
        <v/>
      </c>
      <c r="GR449" s="658" t="str">
        <f t="shared" si="524"/>
        <v/>
      </c>
      <c r="GS449" s="658" t="str">
        <f t="shared" si="525"/>
        <v/>
      </c>
      <c r="GT449" s="658">
        <f t="shared" si="546"/>
        <v>0</v>
      </c>
      <c r="GU449" s="658">
        <f t="shared" si="547"/>
        <v>0</v>
      </c>
      <c r="GV449" s="658">
        <f t="shared" si="548"/>
        <v>0</v>
      </c>
      <c r="GW449" s="658" t="b">
        <f t="shared" si="549"/>
        <v>0</v>
      </c>
      <c r="GX449" s="658" t="b">
        <f t="shared" si="550"/>
        <v>0</v>
      </c>
      <c r="GY449" s="658" t="b">
        <f t="shared" si="551"/>
        <v>0</v>
      </c>
      <c r="GZ449" s="658" t="str">
        <f t="shared" si="378"/>
        <v/>
      </c>
      <c r="HB449" s="658" t="str">
        <f t="shared" si="552"/>
        <v/>
      </c>
      <c r="HC449" s="658" t="str">
        <f t="shared" si="526"/>
        <v/>
      </c>
      <c r="HD449" s="658" t="str">
        <f t="shared" si="527"/>
        <v/>
      </c>
      <c r="HE449" s="658" t="str">
        <f t="shared" si="528"/>
        <v/>
      </c>
      <c r="HF449" s="658" t="str">
        <f t="shared" si="529"/>
        <v/>
      </c>
      <c r="HG449" s="658" t="str">
        <f t="shared" si="530"/>
        <v/>
      </c>
      <c r="HH449" s="658" t="str">
        <f t="shared" si="531"/>
        <v/>
      </c>
      <c r="HI449" s="658" t="str">
        <f t="shared" si="532"/>
        <v/>
      </c>
      <c r="HJ449" s="658" t="str">
        <f t="shared" si="533"/>
        <v/>
      </c>
      <c r="HK449" s="658" t="str">
        <f t="shared" si="534"/>
        <v/>
      </c>
      <c r="HL449" s="658" t="str">
        <f t="shared" si="535"/>
        <v/>
      </c>
      <c r="HM449" s="658" t="str">
        <f t="shared" si="536"/>
        <v/>
      </c>
      <c r="HN449" s="658" t="str">
        <f t="shared" si="537"/>
        <v/>
      </c>
      <c r="HO449" s="658" t="str">
        <f t="shared" si="538"/>
        <v/>
      </c>
      <c r="HP449" s="658" t="str">
        <f t="shared" si="539"/>
        <v/>
      </c>
      <c r="HQ449" s="658" t="str">
        <f t="shared" si="540"/>
        <v/>
      </c>
      <c r="HR449" s="658" t="str">
        <f t="shared" si="553"/>
        <v/>
      </c>
      <c r="HT449" s="658">
        <f>LEFT(M449,1)*10000+MID(M449,3,LEN(M449)-3)*100+COUNTIF($M$319:M449,M449)</f>
        <v>51401</v>
      </c>
      <c r="HU449" s="658" t="str">
        <f t="shared" si="554"/>
        <v/>
      </c>
      <c r="HV449" s="658" t="str">
        <f t="shared" si="541"/>
        <v/>
      </c>
      <c r="HW449" s="658" t="str">
        <f t="shared" si="555"/>
        <v/>
      </c>
      <c r="HX449" s="658" t="str">
        <f t="shared" si="542"/>
        <v/>
      </c>
    </row>
    <row r="450" spans="1:232" s="19" customFormat="1" ht="50.1" customHeight="1" x14ac:dyDescent="0.15">
      <c r="A450" s="1201"/>
      <c r="B450" s="1201"/>
      <c r="C450" s="1201"/>
      <c r="D450" s="1201"/>
      <c r="E450" s="1202"/>
      <c r="F450" s="652"/>
      <c r="G450" s="652"/>
      <c r="H450" s="652"/>
      <c r="I450" s="1354"/>
      <c r="J450" s="1234"/>
      <c r="K450" s="1261"/>
      <c r="L450" s="1261"/>
      <c r="M450" s="2478" t="s">
        <v>1209</v>
      </c>
      <c r="N450" s="2478"/>
      <c r="O450" s="2478"/>
      <c r="P450" s="2433"/>
      <c r="Q450" s="2433"/>
      <c r="R450" s="2429"/>
      <c r="S450" s="2429"/>
      <c r="T450" s="2429"/>
      <c r="U450" s="2431" t="s">
        <v>124</v>
      </c>
      <c r="V450" s="2431"/>
      <c r="W450" s="2431"/>
      <c r="X450" s="2431"/>
      <c r="Y450" s="2431"/>
      <c r="Z450" s="2431"/>
      <c r="AA450" s="2431"/>
      <c r="AB450" s="2431"/>
      <c r="AC450" s="2431"/>
      <c r="AD450" s="2431"/>
      <c r="AE450" s="2431"/>
      <c r="AF450" s="2303"/>
      <c r="AG450" s="2303"/>
      <c r="AH450" s="2303"/>
      <c r="AI450" s="2303"/>
      <c r="AJ450" s="2303"/>
      <c r="AK450" s="2303"/>
      <c r="AL450" s="2303"/>
      <c r="AM450" s="2303"/>
      <c r="AN450" s="2303"/>
      <c r="AO450" s="2303"/>
      <c r="AP450" s="2303"/>
      <c r="AQ450" s="2303"/>
      <c r="AR450" s="2297"/>
      <c r="AS450" s="2297"/>
      <c r="AT450" s="2135"/>
      <c r="AU450" s="2135"/>
      <c r="AV450" s="2135"/>
      <c r="AW450" s="2135"/>
      <c r="AX450" s="2135"/>
      <c r="AY450" s="2135"/>
      <c r="AZ450" s="2135"/>
      <c r="BA450" s="2135"/>
      <c r="BB450" s="2135"/>
      <c r="BC450" s="2135"/>
      <c r="BD450" s="2135"/>
      <c r="BE450" s="2135"/>
      <c r="BF450" s="2135"/>
      <c r="BG450" s="2135"/>
      <c r="BH450" s="2135"/>
      <c r="BI450" s="2135"/>
      <c r="BJ450" s="2135"/>
      <c r="BK450" s="2135"/>
      <c r="BL450" s="2135"/>
      <c r="BM450" s="2135"/>
      <c r="BN450" s="2135"/>
      <c r="BO450" s="2135"/>
      <c r="BP450" s="2135"/>
      <c r="BQ450" s="2135"/>
      <c r="BR450" s="2135"/>
      <c r="BS450" s="2354"/>
      <c r="BT450" s="2354"/>
      <c r="BU450" s="2354"/>
      <c r="BV450" s="2354"/>
      <c r="BW450" s="2354"/>
      <c r="BX450" s="2354"/>
      <c r="BY450" s="2354"/>
      <c r="BZ450" s="2297"/>
      <c r="CA450" s="2297"/>
      <c r="CB450" s="2395"/>
      <c r="CC450" s="2396"/>
      <c r="CD450" s="2396"/>
      <c r="CE450" s="2396"/>
      <c r="CF450" s="2396"/>
      <c r="CG450" s="2396"/>
      <c r="CH450" s="2396"/>
      <c r="CI450" s="2396"/>
      <c r="CJ450" s="2396"/>
      <c r="CK450" s="2396"/>
      <c r="CL450" s="2396"/>
      <c r="CM450" s="2396"/>
      <c r="CN450" s="2396"/>
      <c r="CO450" s="2396"/>
      <c r="CP450" s="2396"/>
      <c r="CQ450" s="2396"/>
      <c r="CR450" s="2396"/>
      <c r="CS450" s="2396"/>
      <c r="CT450" s="2396"/>
      <c r="CU450" s="2397"/>
      <c r="CV450" s="2300" t="str">
        <f t="shared" si="471"/>
        <v/>
      </c>
      <c r="CW450" s="2300"/>
      <c r="CX450" s="2300"/>
      <c r="CY450" s="2300"/>
      <c r="CZ450" s="2300"/>
      <c r="DA450" s="2300"/>
      <c r="DC450" s="329" t="str">
        <f t="shared" si="472"/>
        <v/>
      </c>
      <c r="DD450" s="197"/>
      <c r="DF450" s="14"/>
      <c r="DG450" s="14"/>
      <c r="DH450" s="14"/>
      <c r="DI450" s="1596"/>
      <c r="DJ450" s="1170" t="s">
        <v>2749</v>
      </c>
      <c r="DK450" s="1604" t="str">
        <f t="shared" si="473"/>
        <v/>
      </c>
      <c r="DL450" s="437" t="str">
        <f t="shared" si="474"/>
        <v/>
      </c>
      <c r="DM450" s="1128">
        <f t="shared" si="475"/>
        <v>0</v>
      </c>
      <c r="DN450" s="22">
        <f t="shared" si="476"/>
        <v>0</v>
      </c>
      <c r="DO450" s="22">
        <f t="shared" si="477"/>
        <v>0</v>
      </c>
      <c r="DP450" s="264">
        <f t="shared" si="478"/>
        <v>0</v>
      </c>
      <c r="DQ450" s="32" t="s">
        <v>787</v>
      </c>
      <c r="DR450" s="263" t="str">
        <f>IF($U450="",R446,U450)</f>
        <v>階段各部の劣化及び損傷の状況</v>
      </c>
      <c r="DS450" s="23">
        <f t="shared" si="480"/>
        <v>0</v>
      </c>
      <c r="DT450" s="29" t="str">
        <f t="shared" si="481"/>
        <v/>
      </c>
      <c r="DU450" s="242" t="str">
        <f t="shared" si="482"/>
        <v/>
      </c>
      <c r="DV450" s="243" t="str">
        <f>IF($DT450="要是正",MAX($DV$432:DV449)+1,"")</f>
        <v/>
      </c>
      <c r="DW450" s="12" t="str">
        <f t="shared" si="483"/>
        <v/>
      </c>
      <c r="DX450" s="30" t="str">
        <f t="shared" si="484"/>
        <v/>
      </c>
      <c r="DY450" s="13" t="str">
        <f t="shared" si="485"/>
        <v/>
      </c>
      <c r="DZ450" s="121" t="str">
        <f t="shared" si="486"/>
        <v/>
      </c>
      <c r="EA450" s="256" t="str">
        <f t="shared" si="487"/>
        <v/>
      </c>
      <c r="EB450" s="138" t="str">
        <f t="shared" si="488"/>
        <v/>
      </c>
      <c r="EC450" s="131" t="str">
        <f t="shared" si="489"/>
        <v>0</v>
      </c>
      <c r="ED450" s="54" t="str">
        <f t="shared" si="490"/>
        <v/>
      </c>
      <c r="EE450" s="131" t="str">
        <f t="shared" si="543"/>
        <v>0</v>
      </c>
      <c r="EF450" s="37" t="str">
        <f t="shared" si="491"/>
        <v/>
      </c>
      <c r="EG450" s="108" t="str">
        <f t="shared" si="492"/>
        <v/>
      </c>
      <c r="EH450" s="41" t="str">
        <f t="shared" si="493"/>
        <v>0</v>
      </c>
      <c r="EI450" s="54" t="str">
        <f t="shared" si="494"/>
        <v/>
      </c>
      <c r="EJ450" s="131" t="str">
        <f t="shared" si="544"/>
        <v>0</v>
      </c>
      <c r="EK450" s="241" t="str">
        <f t="shared" si="495"/>
        <v/>
      </c>
      <c r="EL450" s="242" t="e">
        <f t="shared" si="496"/>
        <v>#N/A</v>
      </c>
      <c r="EM450" s="57" t="e">
        <f t="shared" si="497"/>
        <v>#N/A</v>
      </c>
      <c r="EN450" s="243" t="e">
        <f t="shared" si="498"/>
        <v>#N/A</v>
      </c>
      <c r="FK450" s="326" t="str">
        <f t="shared" si="499"/>
        <v/>
      </c>
      <c r="FL450" s="326" t="str">
        <f t="shared" si="500"/>
        <v/>
      </c>
      <c r="FM450" s="326" t="str">
        <f t="shared" si="501"/>
        <v/>
      </c>
      <c r="FN450" s="326">
        <f t="shared" si="502"/>
        <v>0</v>
      </c>
      <c r="FO450" s="670" t="str">
        <f t="shared" si="503"/>
        <v/>
      </c>
      <c r="FQ450" s="138" t="str">
        <f t="shared" si="504"/>
        <v/>
      </c>
      <c r="FR450" s="131" t="str">
        <f t="shared" si="505"/>
        <v>0</v>
      </c>
      <c r="FS450" s="54" t="str">
        <f t="shared" si="506"/>
        <v/>
      </c>
      <c r="FT450" s="131" t="str">
        <f t="shared" si="507"/>
        <v>0</v>
      </c>
      <c r="FU450" s="217" t="str">
        <f t="shared" si="545"/>
        <v/>
      </c>
      <c r="FW450" s="667">
        <f t="shared" si="556"/>
        <v>0</v>
      </c>
      <c r="FX450" s="32"/>
      <c r="FY450" s="32"/>
      <c r="FZ450" s="668"/>
      <c r="GA450" s="14"/>
      <c r="GB450" s="658">
        <f t="shared" si="508"/>
        <v>0</v>
      </c>
      <c r="GC450" s="658">
        <f t="shared" si="509"/>
        <v>0</v>
      </c>
      <c r="GD450" s="658">
        <f t="shared" si="510"/>
        <v>0</v>
      </c>
      <c r="GE450" s="658" t="str">
        <f t="shared" si="511"/>
        <v/>
      </c>
      <c r="GF450" s="658" t="str">
        <f t="shared" si="512"/>
        <v/>
      </c>
      <c r="GG450" s="658" t="str">
        <f t="shared" si="513"/>
        <v/>
      </c>
      <c r="GH450" s="658" t="str">
        <f t="shared" si="514"/>
        <v/>
      </c>
      <c r="GI450" s="658" t="str">
        <f t="shared" si="515"/>
        <v/>
      </c>
      <c r="GJ450" s="658" t="str">
        <f t="shared" si="516"/>
        <v/>
      </c>
      <c r="GK450" s="658" t="str">
        <f t="shared" si="517"/>
        <v/>
      </c>
      <c r="GL450" s="658" t="str">
        <f t="shared" si="518"/>
        <v/>
      </c>
      <c r="GM450" s="658" t="str">
        <f t="shared" si="519"/>
        <v/>
      </c>
      <c r="GN450" s="658" t="str">
        <f t="shared" si="520"/>
        <v/>
      </c>
      <c r="GO450" s="658" t="str">
        <f t="shared" si="521"/>
        <v/>
      </c>
      <c r="GP450" s="658" t="str">
        <f t="shared" si="522"/>
        <v/>
      </c>
      <c r="GQ450" s="658" t="str">
        <f t="shared" si="523"/>
        <v/>
      </c>
      <c r="GR450" s="658" t="str">
        <f t="shared" si="524"/>
        <v/>
      </c>
      <c r="GS450" s="658" t="str">
        <f t="shared" si="525"/>
        <v/>
      </c>
      <c r="GT450" s="658">
        <f t="shared" si="546"/>
        <v>0</v>
      </c>
      <c r="GU450" s="658">
        <f t="shared" si="547"/>
        <v>0</v>
      </c>
      <c r="GV450" s="658">
        <f t="shared" si="548"/>
        <v>0</v>
      </c>
      <c r="GW450" s="658" t="b">
        <f t="shared" si="549"/>
        <v>0</v>
      </c>
      <c r="GX450" s="658" t="b">
        <f t="shared" si="550"/>
        <v>0</v>
      </c>
      <c r="GY450" s="658" t="b">
        <f t="shared" si="551"/>
        <v>0</v>
      </c>
      <c r="GZ450" s="658" t="str">
        <f t="shared" si="378"/>
        <v/>
      </c>
      <c r="HB450" s="658" t="str">
        <f t="shared" si="552"/>
        <v/>
      </c>
      <c r="HC450" s="658" t="str">
        <f t="shared" si="526"/>
        <v/>
      </c>
      <c r="HD450" s="658" t="str">
        <f t="shared" si="527"/>
        <v/>
      </c>
      <c r="HE450" s="658" t="str">
        <f t="shared" si="528"/>
        <v/>
      </c>
      <c r="HF450" s="658" t="str">
        <f t="shared" si="529"/>
        <v/>
      </c>
      <c r="HG450" s="658" t="str">
        <f t="shared" si="530"/>
        <v/>
      </c>
      <c r="HH450" s="658" t="str">
        <f t="shared" si="531"/>
        <v/>
      </c>
      <c r="HI450" s="658" t="str">
        <f t="shared" si="532"/>
        <v/>
      </c>
      <c r="HJ450" s="658" t="str">
        <f t="shared" si="533"/>
        <v/>
      </c>
      <c r="HK450" s="658" t="str">
        <f t="shared" si="534"/>
        <v/>
      </c>
      <c r="HL450" s="658" t="str">
        <f t="shared" si="535"/>
        <v/>
      </c>
      <c r="HM450" s="658" t="str">
        <f t="shared" si="536"/>
        <v/>
      </c>
      <c r="HN450" s="658" t="str">
        <f t="shared" si="537"/>
        <v/>
      </c>
      <c r="HO450" s="658" t="str">
        <f t="shared" si="538"/>
        <v/>
      </c>
      <c r="HP450" s="658" t="str">
        <f t="shared" si="539"/>
        <v/>
      </c>
      <c r="HQ450" s="658" t="str">
        <f t="shared" si="540"/>
        <v/>
      </c>
      <c r="HR450" s="658" t="str">
        <f t="shared" si="553"/>
        <v/>
      </c>
      <c r="HT450" s="658">
        <f>LEFT(M450,1)*10000+MID(M450,3,LEN(M450)-3)*100+COUNTIF($M$319:M450,M450)</f>
        <v>51501</v>
      </c>
      <c r="HU450" s="658" t="str">
        <f t="shared" si="554"/>
        <v/>
      </c>
      <c r="HV450" s="658" t="str">
        <f t="shared" si="541"/>
        <v/>
      </c>
      <c r="HW450" s="658" t="str">
        <f t="shared" si="555"/>
        <v/>
      </c>
      <c r="HX450" s="658" t="str">
        <f t="shared" si="542"/>
        <v/>
      </c>
    </row>
    <row r="451" spans="1:232" s="19" customFormat="1" ht="90" customHeight="1" x14ac:dyDescent="0.15">
      <c r="A451" s="1201"/>
      <c r="B451" s="1201"/>
      <c r="C451" s="1201"/>
      <c r="D451" s="1201"/>
      <c r="E451" s="1202"/>
      <c r="F451" s="652"/>
      <c r="G451" s="652"/>
      <c r="H451" s="652"/>
      <c r="I451" s="1354"/>
      <c r="J451" s="1234"/>
      <c r="K451" s="1261"/>
      <c r="L451" s="1261"/>
      <c r="M451" s="2478" t="s">
        <v>1210</v>
      </c>
      <c r="N451" s="2478"/>
      <c r="O451" s="2478"/>
      <c r="P451" s="2433"/>
      <c r="Q451" s="2433"/>
      <c r="R451" s="2429" t="s">
        <v>194</v>
      </c>
      <c r="S451" s="2429"/>
      <c r="T451" s="2429"/>
      <c r="U451" s="2429" t="s">
        <v>193</v>
      </c>
      <c r="V451" s="2429"/>
      <c r="W451" s="2429"/>
      <c r="X451" s="2429"/>
      <c r="Y451" s="2429"/>
      <c r="Z451" s="2429"/>
      <c r="AA451" s="2429"/>
      <c r="AB451" s="2429"/>
      <c r="AC451" s="2429"/>
      <c r="AD451" s="2429"/>
      <c r="AE451" s="2429"/>
      <c r="AF451" s="2293"/>
      <c r="AG451" s="2293"/>
      <c r="AH451" s="2293"/>
      <c r="AI451" s="2293"/>
      <c r="AJ451" s="2293"/>
      <c r="AK451" s="2293"/>
      <c r="AL451" s="2293"/>
      <c r="AM451" s="2293"/>
      <c r="AN451" s="2293"/>
      <c r="AO451" s="2293"/>
      <c r="AP451" s="2293"/>
      <c r="AQ451" s="2293"/>
      <c r="AR451" s="2359"/>
      <c r="AS451" s="2359"/>
      <c r="AT451" s="2301"/>
      <c r="AU451" s="2301"/>
      <c r="AV451" s="2301"/>
      <c r="AW451" s="2301"/>
      <c r="AX451" s="2301"/>
      <c r="AY451" s="2301"/>
      <c r="AZ451" s="2301"/>
      <c r="BA451" s="2301"/>
      <c r="BB451" s="2301"/>
      <c r="BC451" s="2301"/>
      <c r="BD451" s="2301"/>
      <c r="BE451" s="2301"/>
      <c r="BF451" s="2301"/>
      <c r="BG451" s="2301"/>
      <c r="BH451" s="2301"/>
      <c r="BI451" s="2301"/>
      <c r="BJ451" s="2301"/>
      <c r="BK451" s="2301"/>
      <c r="BL451" s="2301"/>
      <c r="BM451" s="2301"/>
      <c r="BN451" s="2301"/>
      <c r="BO451" s="2301"/>
      <c r="BP451" s="2301"/>
      <c r="BQ451" s="2301"/>
      <c r="BR451" s="2301"/>
      <c r="BS451" s="2358"/>
      <c r="BT451" s="2358"/>
      <c r="BU451" s="2358"/>
      <c r="BV451" s="2358"/>
      <c r="BW451" s="2358"/>
      <c r="BX451" s="2358"/>
      <c r="BY451" s="2358"/>
      <c r="BZ451" s="2359"/>
      <c r="CA451" s="2359"/>
      <c r="CB451" s="2360"/>
      <c r="CC451" s="2361"/>
      <c r="CD451" s="2361"/>
      <c r="CE451" s="2361"/>
      <c r="CF451" s="2361"/>
      <c r="CG451" s="2361"/>
      <c r="CH451" s="2361"/>
      <c r="CI451" s="2361"/>
      <c r="CJ451" s="2361"/>
      <c r="CK451" s="2361"/>
      <c r="CL451" s="2361"/>
      <c r="CM451" s="2361"/>
      <c r="CN451" s="2361"/>
      <c r="CO451" s="2361"/>
      <c r="CP451" s="2361"/>
      <c r="CQ451" s="2361"/>
      <c r="CR451" s="2361"/>
      <c r="CS451" s="2361"/>
      <c r="CT451" s="2361"/>
      <c r="CU451" s="2362"/>
      <c r="CV451" s="2300" t="str">
        <f t="shared" si="471"/>
        <v/>
      </c>
      <c r="CW451" s="2300"/>
      <c r="CX451" s="2300"/>
      <c r="CY451" s="2300"/>
      <c r="CZ451" s="2300"/>
      <c r="DA451" s="2300"/>
      <c r="DC451" s="329" t="str">
        <f t="shared" si="472"/>
        <v/>
      </c>
      <c r="DD451" s="197"/>
      <c r="DF451" s="14"/>
      <c r="DG451" s="14"/>
      <c r="DH451" s="14"/>
      <c r="DI451" s="1596"/>
      <c r="DJ451" s="1170" t="s">
        <v>2749</v>
      </c>
      <c r="DK451" s="1604" t="str">
        <f t="shared" si="473"/>
        <v/>
      </c>
      <c r="DL451" s="437" t="str">
        <f t="shared" si="474"/>
        <v/>
      </c>
      <c r="DM451" s="1128">
        <f t="shared" si="475"/>
        <v>0</v>
      </c>
      <c r="DN451" s="22">
        <f t="shared" si="476"/>
        <v>0</v>
      </c>
      <c r="DO451" s="22">
        <f t="shared" si="477"/>
        <v>0</v>
      </c>
      <c r="DP451" s="264">
        <f t="shared" si="478"/>
        <v>0</v>
      </c>
      <c r="DQ451" s="32" t="s">
        <v>788</v>
      </c>
      <c r="DR451" s="263" t="str">
        <f>IF($U451="",R451,U451)</f>
        <v>階段室の構造の確保の状況</v>
      </c>
      <c r="DS451" s="23">
        <f t="shared" si="480"/>
        <v>0</v>
      </c>
      <c r="DT451" s="29" t="str">
        <f t="shared" si="481"/>
        <v/>
      </c>
      <c r="DU451" s="242" t="str">
        <f t="shared" si="482"/>
        <v/>
      </c>
      <c r="DV451" s="243" t="str">
        <f>IF($DT451="要是正",MAX($DV$432:DV450)+1,"")</f>
        <v/>
      </c>
      <c r="DW451" s="12" t="str">
        <f t="shared" si="483"/>
        <v/>
      </c>
      <c r="DX451" s="30" t="str">
        <f t="shared" si="484"/>
        <v/>
      </c>
      <c r="DY451" s="13" t="str">
        <f t="shared" si="485"/>
        <v/>
      </c>
      <c r="DZ451" s="121" t="str">
        <f t="shared" si="486"/>
        <v/>
      </c>
      <c r="EA451" s="256" t="str">
        <f t="shared" si="487"/>
        <v/>
      </c>
      <c r="EB451" s="138" t="str">
        <f t="shared" si="488"/>
        <v/>
      </c>
      <c r="EC451" s="131" t="str">
        <f t="shared" si="489"/>
        <v>0</v>
      </c>
      <c r="ED451" s="54" t="str">
        <f t="shared" si="490"/>
        <v/>
      </c>
      <c r="EE451" s="131" t="str">
        <f t="shared" si="543"/>
        <v>0</v>
      </c>
      <c r="EF451" s="37" t="str">
        <f t="shared" si="491"/>
        <v/>
      </c>
      <c r="EG451" s="108" t="str">
        <f t="shared" si="492"/>
        <v/>
      </c>
      <c r="EH451" s="41" t="str">
        <f t="shared" si="493"/>
        <v>0</v>
      </c>
      <c r="EI451" s="54" t="str">
        <f t="shared" si="494"/>
        <v/>
      </c>
      <c r="EJ451" s="131" t="str">
        <f t="shared" si="544"/>
        <v>0</v>
      </c>
      <c r="EK451" s="241" t="str">
        <f t="shared" si="495"/>
        <v/>
      </c>
      <c r="EL451" s="242" t="e">
        <f t="shared" si="496"/>
        <v>#N/A</v>
      </c>
      <c r="EM451" s="57" t="e">
        <f t="shared" si="497"/>
        <v>#N/A</v>
      </c>
      <c r="EN451" s="243" t="e">
        <f t="shared" si="498"/>
        <v>#N/A</v>
      </c>
      <c r="FK451" s="326" t="str">
        <f t="shared" si="499"/>
        <v/>
      </c>
      <c r="FL451" s="326" t="str">
        <f t="shared" si="500"/>
        <v/>
      </c>
      <c r="FM451" s="326" t="str">
        <f t="shared" si="501"/>
        <v/>
      </c>
      <c r="FN451" s="326">
        <f t="shared" si="502"/>
        <v>0</v>
      </c>
      <c r="FO451" s="670" t="str">
        <f t="shared" si="503"/>
        <v/>
      </c>
      <c r="FQ451" s="138" t="str">
        <f t="shared" si="504"/>
        <v/>
      </c>
      <c r="FR451" s="131" t="str">
        <f t="shared" si="505"/>
        <v>0</v>
      </c>
      <c r="FS451" s="54" t="str">
        <f t="shared" si="506"/>
        <v/>
      </c>
      <c r="FT451" s="131" t="str">
        <f t="shared" si="507"/>
        <v>0</v>
      </c>
      <c r="FU451" s="217" t="str">
        <f t="shared" si="545"/>
        <v/>
      </c>
      <c r="FW451" s="667">
        <f t="shared" si="556"/>
        <v>0</v>
      </c>
      <c r="FX451" s="32"/>
      <c r="FY451" s="32"/>
      <c r="FZ451" s="668"/>
      <c r="GA451" s="14"/>
      <c r="GB451" s="658">
        <f t="shared" si="508"/>
        <v>0</v>
      </c>
      <c r="GC451" s="658">
        <f t="shared" si="509"/>
        <v>0</v>
      </c>
      <c r="GD451" s="658">
        <f t="shared" si="510"/>
        <v>0</v>
      </c>
      <c r="GE451" s="658" t="str">
        <f t="shared" si="511"/>
        <v/>
      </c>
      <c r="GF451" s="658" t="str">
        <f t="shared" si="512"/>
        <v/>
      </c>
      <c r="GG451" s="658" t="str">
        <f t="shared" si="513"/>
        <v/>
      </c>
      <c r="GH451" s="658" t="str">
        <f t="shared" si="514"/>
        <v/>
      </c>
      <c r="GI451" s="658" t="str">
        <f t="shared" si="515"/>
        <v/>
      </c>
      <c r="GJ451" s="658" t="str">
        <f t="shared" si="516"/>
        <v/>
      </c>
      <c r="GK451" s="658" t="str">
        <f t="shared" si="517"/>
        <v/>
      </c>
      <c r="GL451" s="658" t="str">
        <f t="shared" si="518"/>
        <v/>
      </c>
      <c r="GM451" s="658" t="str">
        <f t="shared" si="519"/>
        <v/>
      </c>
      <c r="GN451" s="658" t="str">
        <f t="shared" si="520"/>
        <v/>
      </c>
      <c r="GO451" s="658" t="str">
        <f t="shared" si="521"/>
        <v/>
      </c>
      <c r="GP451" s="658" t="str">
        <f t="shared" si="522"/>
        <v/>
      </c>
      <c r="GQ451" s="658" t="str">
        <f t="shared" si="523"/>
        <v/>
      </c>
      <c r="GR451" s="658" t="str">
        <f t="shared" si="524"/>
        <v/>
      </c>
      <c r="GS451" s="658" t="str">
        <f t="shared" si="525"/>
        <v/>
      </c>
      <c r="GT451" s="658">
        <f t="shared" si="546"/>
        <v>0</v>
      </c>
      <c r="GU451" s="658">
        <f t="shared" si="547"/>
        <v>0</v>
      </c>
      <c r="GV451" s="658">
        <f t="shared" si="548"/>
        <v>0</v>
      </c>
      <c r="GW451" s="658" t="b">
        <f t="shared" si="549"/>
        <v>0</v>
      </c>
      <c r="GX451" s="658" t="b">
        <f t="shared" si="550"/>
        <v>0</v>
      </c>
      <c r="GY451" s="658" t="b">
        <f t="shared" si="551"/>
        <v>0</v>
      </c>
      <c r="GZ451" s="658" t="str">
        <f t="shared" si="378"/>
        <v/>
      </c>
      <c r="HB451" s="658" t="str">
        <f t="shared" si="552"/>
        <v/>
      </c>
      <c r="HC451" s="658" t="str">
        <f t="shared" si="526"/>
        <v/>
      </c>
      <c r="HD451" s="658" t="str">
        <f t="shared" si="527"/>
        <v/>
      </c>
      <c r="HE451" s="658" t="str">
        <f t="shared" si="528"/>
        <v/>
      </c>
      <c r="HF451" s="658" t="str">
        <f t="shared" si="529"/>
        <v/>
      </c>
      <c r="HG451" s="658" t="str">
        <f t="shared" si="530"/>
        <v/>
      </c>
      <c r="HH451" s="658" t="str">
        <f t="shared" si="531"/>
        <v/>
      </c>
      <c r="HI451" s="658" t="str">
        <f t="shared" si="532"/>
        <v/>
      </c>
      <c r="HJ451" s="658" t="str">
        <f t="shared" si="533"/>
        <v/>
      </c>
      <c r="HK451" s="658" t="str">
        <f t="shared" si="534"/>
        <v/>
      </c>
      <c r="HL451" s="658" t="str">
        <f t="shared" si="535"/>
        <v/>
      </c>
      <c r="HM451" s="658" t="str">
        <f t="shared" si="536"/>
        <v/>
      </c>
      <c r="HN451" s="658" t="str">
        <f t="shared" si="537"/>
        <v/>
      </c>
      <c r="HO451" s="658" t="str">
        <f t="shared" si="538"/>
        <v/>
      </c>
      <c r="HP451" s="658" t="str">
        <f t="shared" si="539"/>
        <v/>
      </c>
      <c r="HQ451" s="658" t="str">
        <f t="shared" si="540"/>
        <v/>
      </c>
      <c r="HR451" s="658" t="str">
        <f t="shared" si="553"/>
        <v/>
      </c>
      <c r="HT451" s="658">
        <f>LEFT(M451,1)*10000+MID(M451,3,LEN(M451)-3)*100+COUNTIF($M$319:M451,M451)</f>
        <v>51601</v>
      </c>
      <c r="HU451" s="658" t="str">
        <f t="shared" si="554"/>
        <v/>
      </c>
      <c r="HV451" s="658" t="str">
        <f t="shared" si="541"/>
        <v/>
      </c>
      <c r="HW451" s="658" t="str">
        <f t="shared" si="555"/>
        <v/>
      </c>
      <c r="HX451" s="658" t="str">
        <f t="shared" si="542"/>
        <v/>
      </c>
    </row>
    <row r="452" spans="1:232" s="19" customFormat="1" ht="50.1" customHeight="1" x14ac:dyDescent="0.15">
      <c r="A452" s="1201"/>
      <c r="B452" s="1201"/>
      <c r="C452" s="1201"/>
      <c r="D452" s="1201"/>
      <c r="E452" s="1202"/>
      <c r="F452" s="652"/>
      <c r="G452" s="652"/>
      <c r="H452" s="652"/>
      <c r="I452" s="1354"/>
      <c r="J452" s="1234"/>
      <c r="K452" s="1261"/>
      <c r="L452" s="1261"/>
      <c r="M452" s="2478" t="s">
        <v>1211</v>
      </c>
      <c r="N452" s="2478"/>
      <c r="O452" s="2478"/>
      <c r="P452" s="2433"/>
      <c r="Q452" s="2433"/>
      <c r="R452" s="2429" t="s">
        <v>192</v>
      </c>
      <c r="S452" s="2429"/>
      <c r="T452" s="2429"/>
      <c r="U452" s="2438" t="s">
        <v>125</v>
      </c>
      <c r="V452" s="2438"/>
      <c r="W452" s="2438"/>
      <c r="X452" s="2438"/>
      <c r="Y452" s="2438"/>
      <c r="Z452" s="2438"/>
      <c r="AA452" s="2438"/>
      <c r="AB452" s="2438"/>
      <c r="AC452" s="2438"/>
      <c r="AD452" s="2438"/>
      <c r="AE452" s="2438"/>
      <c r="AF452" s="2302"/>
      <c r="AG452" s="2302"/>
      <c r="AH452" s="2302"/>
      <c r="AI452" s="2302"/>
      <c r="AJ452" s="2302"/>
      <c r="AK452" s="2302"/>
      <c r="AL452" s="2302"/>
      <c r="AM452" s="2302"/>
      <c r="AN452" s="2302"/>
      <c r="AO452" s="2302"/>
      <c r="AP452" s="2302"/>
      <c r="AQ452" s="2302"/>
      <c r="AR452" s="2272"/>
      <c r="AS452" s="2272"/>
      <c r="AT452" s="2406"/>
      <c r="AU452" s="2406"/>
      <c r="AV452" s="2406"/>
      <c r="AW452" s="2406"/>
      <c r="AX452" s="2406"/>
      <c r="AY452" s="2406"/>
      <c r="AZ452" s="2406"/>
      <c r="BA452" s="2406"/>
      <c r="BB452" s="2406"/>
      <c r="BC452" s="2406"/>
      <c r="BD452" s="2406"/>
      <c r="BE452" s="2406"/>
      <c r="BF452" s="2406"/>
      <c r="BG452" s="2406"/>
      <c r="BH452" s="2406"/>
      <c r="BI452" s="2406"/>
      <c r="BJ452" s="2406"/>
      <c r="BK452" s="2406"/>
      <c r="BL452" s="2406"/>
      <c r="BM452" s="2406"/>
      <c r="BN452" s="2406"/>
      <c r="BO452" s="2406"/>
      <c r="BP452" s="2406"/>
      <c r="BQ452" s="2406"/>
      <c r="BR452" s="2406"/>
      <c r="BS452" s="2271"/>
      <c r="BT452" s="2271"/>
      <c r="BU452" s="2271"/>
      <c r="BV452" s="2271"/>
      <c r="BW452" s="2271"/>
      <c r="BX452" s="2271"/>
      <c r="BY452" s="2271"/>
      <c r="BZ452" s="2272"/>
      <c r="CA452" s="2272"/>
      <c r="CB452" s="2266"/>
      <c r="CC452" s="2267"/>
      <c r="CD452" s="2267"/>
      <c r="CE452" s="2267"/>
      <c r="CF452" s="2267"/>
      <c r="CG452" s="2267"/>
      <c r="CH452" s="2267"/>
      <c r="CI452" s="2267"/>
      <c r="CJ452" s="2267"/>
      <c r="CK452" s="2267"/>
      <c r="CL452" s="2267"/>
      <c r="CM452" s="2267"/>
      <c r="CN452" s="2267"/>
      <c r="CO452" s="2267"/>
      <c r="CP452" s="2267"/>
      <c r="CQ452" s="2267"/>
      <c r="CR452" s="2267"/>
      <c r="CS452" s="2267"/>
      <c r="CT452" s="2267"/>
      <c r="CU452" s="2268"/>
      <c r="CV452" s="2300" t="str">
        <f t="shared" si="471"/>
        <v/>
      </c>
      <c r="CW452" s="2300"/>
      <c r="CX452" s="2300"/>
      <c r="CY452" s="2300"/>
      <c r="CZ452" s="2300"/>
      <c r="DA452" s="2300"/>
      <c r="DC452" s="329" t="str">
        <f t="shared" si="472"/>
        <v/>
      </c>
      <c r="DD452" s="197"/>
      <c r="DF452" s="14"/>
      <c r="DG452" s="14"/>
      <c r="DH452" s="14"/>
      <c r="DI452" s="1596"/>
      <c r="DJ452" s="1170" t="s">
        <v>2749</v>
      </c>
      <c r="DK452" s="1604" t="str">
        <f t="shared" si="473"/>
        <v/>
      </c>
      <c r="DL452" s="437" t="str">
        <f t="shared" si="474"/>
        <v/>
      </c>
      <c r="DM452" s="1128">
        <f t="shared" si="475"/>
        <v>0</v>
      </c>
      <c r="DN452" s="22">
        <f t="shared" si="476"/>
        <v>0</v>
      </c>
      <c r="DO452" s="22">
        <f t="shared" si="477"/>
        <v>0</v>
      </c>
      <c r="DP452" s="264">
        <f t="shared" si="478"/>
        <v>0</v>
      </c>
      <c r="DQ452" s="32" t="s">
        <v>789</v>
      </c>
      <c r="DR452" s="263" t="str">
        <f>IF($U452="",R452,U452)</f>
        <v>屋内と階段との間の防火区画の確保の状況</v>
      </c>
      <c r="DS452" s="23">
        <f t="shared" si="480"/>
        <v>0</v>
      </c>
      <c r="DT452" s="29" t="str">
        <f t="shared" si="481"/>
        <v/>
      </c>
      <c r="DU452" s="242" t="str">
        <f t="shared" si="482"/>
        <v/>
      </c>
      <c r="DV452" s="243" t="str">
        <f>IF($DT452="要是正",MAX($DV$432:DV451)+1,"")</f>
        <v/>
      </c>
      <c r="DW452" s="12" t="str">
        <f t="shared" si="483"/>
        <v/>
      </c>
      <c r="DX452" s="30" t="str">
        <f t="shared" si="484"/>
        <v/>
      </c>
      <c r="DY452" s="13" t="str">
        <f t="shared" si="485"/>
        <v/>
      </c>
      <c r="DZ452" s="121" t="str">
        <f t="shared" si="486"/>
        <v/>
      </c>
      <c r="EA452" s="256" t="str">
        <f t="shared" si="487"/>
        <v/>
      </c>
      <c r="EB452" s="138" t="str">
        <f t="shared" si="488"/>
        <v/>
      </c>
      <c r="EC452" s="131" t="str">
        <f t="shared" si="489"/>
        <v>0</v>
      </c>
      <c r="ED452" s="54" t="str">
        <f t="shared" si="490"/>
        <v/>
      </c>
      <c r="EE452" s="131" t="str">
        <f t="shared" si="543"/>
        <v>0</v>
      </c>
      <c r="EF452" s="37" t="str">
        <f t="shared" si="491"/>
        <v/>
      </c>
      <c r="EG452" s="108" t="str">
        <f t="shared" si="492"/>
        <v/>
      </c>
      <c r="EH452" s="41" t="str">
        <f t="shared" si="493"/>
        <v>0</v>
      </c>
      <c r="EI452" s="54" t="str">
        <f t="shared" si="494"/>
        <v/>
      </c>
      <c r="EJ452" s="131" t="str">
        <f t="shared" si="544"/>
        <v>0</v>
      </c>
      <c r="EK452" s="241" t="str">
        <f t="shared" si="495"/>
        <v/>
      </c>
      <c r="EL452" s="242" t="e">
        <f t="shared" si="496"/>
        <v>#N/A</v>
      </c>
      <c r="EM452" s="57" t="e">
        <f t="shared" si="497"/>
        <v>#N/A</v>
      </c>
      <c r="EN452" s="243" t="e">
        <f t="shared" si="498"/>
        <v>#N/A</v>
      </c>
      <c r="FK452" s="326" t="str">
        <f t="shared" si="499"/>
        <v/>
      </c>
      <c r="FL452" s="326" t="str">
        <f t="shared" si="500"/>
        <v/>
      </c>
      <c r="FM452" s="326" t="str">
        <f t="shared" si="501"/>
        <v/>
      </c>
      <c r="FN452" s="326">
        <f t="shared" si="502"/>
        <v>0</v>
      </c>
      <c r="FO452" s="670" t="str">
        <f t="shared" si="503"/>
        <v/>
      </c>
      <c r="FQ452" s="138" t="str">
        <f t="shared" si="504"/>
        <v/>
      </c>
      <c r="FR452" s="131" t="str">
        <f t="shared" si="505"/>
        <v>0</v>
      </c>
      <c r="FS452" s="54" t="str">
        <f t="shared" si="506"/>
        <v/>
      </c>
      <c r="FT452" s="131" t="str">
        <f t="shared" si="507"/>
        <v>0</v>
      </c>
      <c r="FU452" s="217" t="str">
        <f t="shared" si="545"/>
        <v/>
      </c>
      <c r="FW452" s="667">
        <f t="shared" si="556"/>
        <v>0</v>
      </c>
      <c r="FX452" s="32"/>
      <c r="FY452" s="32"/>
      <c r="FZ452" s="668"/>
      <c r="GA452" s="14"/>
      <c r="GB452" s="658">
        <f t="shared" si="508"/>
        <v>0</v>
      </c>
      <c r="GC452" s="658">
        <f t="shared" si="509"/>
        <v>0</v>
      </c>
      <c r="GD452" s="658">
        <f t="shared" si="510"/>
        <v>0</v>
      </c>
      <c r="GE452" s="658" t="str">
        <f t="shared" si="511"/>
        <v/>
      </c>
      <c r="GF452" s="658" t="str">
        <f t="shared" si="512"/>
        <v/>
      </c>
      <c r="GG452" s="658" t="str">
        <f t="shared" si="513"/>
        <v/>
      </c>
      <c r="GH452" s="658" t="str">
        <f t="shared" si="514"/>
        <v/>
      </c>
      <c r="GI452" s="658" t="str">
        <f t="shared" si="515"/>
        <v/>
      </c>
      <c r="GJ452" s="658" t="str">
        <f t="shared" si="516"/>
        <v/>
      </c>
      <c r="GK452" s="658" t="str">
        <f t="shared" si="517"/>
        <v/>
      </c>
      <c r="GL452" s="658" t="str">
        <f t="shared" si="518"/>
        <v/>
      </c>
      <c r="GM452" s="658" t="str">
        <f t="shared" si="519"/>
        <v/>
      </c>
      <c r="GN452" s="658" t="str">
        <f t="shared" si="520"/>
        <v/>
      </c>
      <c r="GO452" s="658" t="str">
        <f t="shared" si="521"/>
        <v/>
      </c>
      <c r="GP452" s="658" t="str">
        <f t="shared" si="522"/>
        <v/>
      </c>
      <c r="GQ452" s="658" t="str">
        <f t="shared" si="523"/>
        <v/>
      </c>
      <c r="GR452" s="658" t="str">
        <f t="shared" si="524"/>
        <v/>
      </c>
      <c r="GS452" s="658" t="str">
        <f t="shared" si="525"/>
        <v/>
      </c>
      <c r="GT452" s="658">
        <f t="shared" si="546"/>
        <v>0</v>
      </c>
      <c r="GU452" s="658">
        <f t="shared" si="547"/>
        <v>0</v>
      </c>
      <c r="GV452" s="658">
        <f t="shared" si="548"/>
        <v>0</v>
      </c>
      <c r="GW452" s="658" t="b">
        <f t="shared" si="549"/>
        <v>0</v>
      </c>
      <c r="GX452" s="658" t="b">
        <f t="shared" si="550"/>
        <v>0</v>
      </c>
      <c r="GY452" s="658" t="b">
        <f t="shared" si="551"/>
        <v>0</v>
      </c>
      <c r="GZ452" s="658" t="str">
        <f t="shared" si="378"/>
        <v/>
      </c>
      <c r="HB452" s="658" t="str">
        <f t="shared" si="552"/>
        <v/>
      </c>
      <c r="HC452" s="658" t="str">
        <f t="shared" si="526"/>
        <v/>
      </c>
      <c r="HD452" s="658" t="str">
        <f t="shared" si="527"/>
        <v/>
      </c>
      <c r="HE452" s="658" t="str">
        <f t="shared" si="528"/>
        <v/>
      </c>
      <c r="HF452" s="658" t="str">
        <f t="shared" si="529"/>
        <v/>
      </c>
      <c r="HG452" s="658" t="str">
        <f t="shared" si="530"/>
        <v/>
      </c>
      <c r="HH452" s="658" t="str">
        <f t="shared" si="531"/>
        <v/>
      </c>
      <c r="HI452" s="658" t="str">
        <f t="shared" si="532"/>
        <v/>
      </c>
      <c r="HJ452" s="658" t="str">
        <f t="shared" si="533"/>
        <v/>
      </c>
      <c r="HK452" s="658" t="str">
        <f t="shared" si="534"/>
        <v/>
      </c>
      <c r="HL452" s="658" t="str">
        <f t="shared" si="535"/>
        <v/>
      </c>
      <c r="HM452" s="658" t="str">
        <f t="shared" si="536"/>
        <v/>
      </c>
      <c r="HN452" s="658" t="str">
        <f t="shared" si="537"/>
        <v/>
      </c>
      <c r="HO452" s="658" t="str">
        <f t="shared" si="538"/>
        <v/>
      </c>
      <c r="HP452" s="658" t="str">
        <f t="shared" si="539"/>
        <v/>
      </c>
      <c r="HQ452" s="658" t="str">
        <f t="shared" si="540"/>
        <v/>
      </c>
      <c r="HR452" s="658" t="str">
        <f t="shared" si="553"/>
        <v/>
      </c>
      <c r="HT452" s="658">
        <f>LEFT(M452,1)*10000+MID(M452,3,LEN(M452)-3)*100+COUNTIF($M$319:M452,M452)</f>
        <v>51701</v>
      </c>
      <c r="HU452" s="658" t="str">
        <f t="shared" si="554"/>
        <v/>
      </c>
      <c r="HV452" s="658" t="str">
        <f t="shared" si="541"/>
        <v/>
      </c>
      <c r="HW452" s="658" t="str">
        <f t="shared" si="555"/>
        <v/>
      </c>
      <c r="HX452" s="658" t="str">
        <f t="shared" si="542"/>
        <v/>
      </c>
    </row>
    <row r="453" spans="1:232" s="19" customFormat="1" ht="50.1" customHeight="1" x14ac:dyDescent="0.15">
      <c r="A453" s="1201"/>
      <c r="B453" s="1201"/>
      <c r="C453" s="1201"/>
      <c r="D453" s="1201"/>
      <c r="E453" s="1202"/>
      <c r="F453" s="652"/>
      <c r="G453" s="652"/>
      <c r="H453" s="652"/>
      <c r="I453" s="1354"/>
      <c r="J453" s="1234"/>
      <c r="K453" s="1261"/>
      <c r="L453" s="1261"/>
      <c r="M453" s="2478" t="s">
        <v>1212</v>
      </c>
      <c r="N453" s="2478"/>
      <c r="O453" s="2478"/>
      <c r="P453" s="2433"/>
      <c r="Q453" s="2433"/>
      <c r="R453" s="2429"/>
      <c r="S453" s="2429"/>
      <c r="T453" s="2429"/>
      <c r="U453" s="2431" t="s">
        <v>126</v>
      </c>
      <c r="V453" s="2431"/>
      <c r="W453" s="2431"/>
      <c r="X453" s="2431"/>
      <c r="Y453" s="2431"/>
      <c r="Z453" s="2431"/>
      <c r="AA453" s="2431"/>
      <c r="AB453" s="2431"/>
      <c r="AC453" s="2431"/>
      <c r="AD453" s="2431"/>
      <c r="AE453" s="2431"/>
      <c r="AF453" s="2303"/>
      <c r="AG453" s="2303"/>
      <c r="AH453" s="2303"/>
      <c r="AI453" s="2303"/>
      <c r="AJ453" s="2303"/>
      <c r="AK453" s="2303"/>
      <c r="AL453" s="2303"/>
      <c r="AM453" s="2303"/>
      <c r="AN453" s="2303"/>
      <c r="AO453" s="2303"/>
      <c r="AP453" s="2303"/>
      <c r="AQ453" s="2303"/>
      <c r="AR453" s="2297"/>
      <c r="AS453" s="2297"/>
      <c r="AT453" s="2135"/>
      <c r="AU453" s="2135"/>
      <c r="AV453" s="2135"/>
      <c r="AW453" s="2135"/>
      <c r="AX453" s="2135"/>
      <c r="AY453" s="2135"/>
      <c r="AZ453" s="2135"/>
      <c r="BA453" s="2135"/>
      <c r="BB453" s="2135"/>
      <c r="BC453" s="2135"/>
      <c r="BD453" s="2135"/>
      <c r="BE453" s="2135"/>
      <c r="BF453" s="2135"/>
      <c r="BG453" s="2135"/>
      <c r="BH453" s="2135"/>
      <c r="BI453" s="2135"/>
      <c r="BJ453" s="2135"/>
      <c r="BK453" s="2135"/>
      <c r="BL453" s="2135"/>
      <c r="BM453" s="2135"/>
      <c r="BN453" s="2135"/>
      <c r="BO453" s="2135"/>
      <c r="BP453" s="2135"/>
      <c r="BQ453" s="2135"/>
      <c r="BR453" s="2135"/>
      <c r="BS453" s="2354"/>
      <c r="BT453" s="2354"/>
      <c r="BU453" s="2354"/>
      <c r="BV453" s="2354"/>
      <c r="BW453" s="2354"/>
      <c r="BX453" s="2354"/>
      <c r="BY453" s="2354"/>
      <c r="BZ453" s="2297"/>
      <c r="CA453" s="2297"/>
      <c r="CB453" s="2395"/>
      <c r="CC453" s="2396"/>
      <c r="CD453" s="2396"/>
      <c r="CE453" s="2396"/>
      <c r="CF453" s="2396"/>
      <c r="CG453" s="2396"/>
      <c r="CH453" s="2396"/>
      <c r="CI453" s="2396"/>
      <c r="CJ453" s="2396"/>
      <c r="CK453" s="2396"/>
      <c r="CL453" s="2396"/>
      <c r="CM453" s="2396"/>
      <c r="CN453" s="2396"/>
      <c r="CO453" s="2396"/>
      <c r="CP453" s="2396"/>
      <c r="CQ453" s="2396"/>
      <c r="CR453" s="2396"/>
      <c r="CS453" s="2396"/>
      <c r="CT453" s="2396"/>
      <c r="CU453" s="2397"/>
      <c r="CV453" s="2300" t="str">
        <f t="shared" si="471"/>
        <v/>
      </c>
      <c r="CW453" s="2300"/>
      <c r="CX453" s="2300"/>
      <c r="CY453" s="2300"/>
      <c r="CZ453" s="2300"/>
      <c r="DA453" s="2300"/>
      <c r="DC453" s="329" t="str">
        <f t="shared" si="472"/>
        <v/>
      </c>
      <c r="DD453" s="197"/>
      <c r="DF453" s="14"/>
      <c r="DG453" s="14"/>
      <c r="DH453" s="14"/>
      <c r="DI453" s="1596"/>
      <c r="DJ453" s="1170" t="s">
        <v>2749</v>
      </c>
      <c r="DK453" s="1604" t="str">
        <f t="shared" si="473"/>
        <v/>
      </c>
      <c r="DL453" s="437" t="str">
        <f t="shared" si="474"/>
        <v/>
      </c>
      <c r="DM453" s="1128">
        <f t="shared" si="475"/>
        <v>0</v>
      </c>
      <c r="DN453" s="22">
        <f t="shared" si="476"/>
        <v>0</v>
      </c>
      <c r="DO453" s="22">
        <f t="shared" si="477"/>
        <v>0</v>
      </c>
      <c r="DP453" s="264">
        <f t="shared" si="478"/>
        <v>0</v>
      </c>
      <c r="DQ453" s="32" t="s">
        <v>790</v>
      </c>
      <c r="DR453" s="263" t="str">
        <f>IF($U453="",R452,U453)</f>
        <v>開放性の確保の状況</v>
      </c>
      <c r="DS453" s="23">
        <f t="shared" si="480"/>
        <v>0</v>
      </c>
      <c r="DT453" s="29" t="str">
        <f t="shared" si="481"/>
        <v/>
      </c>
      <c r="DU453" s="242" t="str">
        <f t="shared" si="482"/>
        <v/>
      </c>
      <c r="DV453" s="243" t="str">
        <f>IF($DT453="要是正",MAX($DV$432:DV452)+1,"")</f>
        <v/>
      </c>
      <c r="DW453" s="12" t="str">
        <f t="shared" si="483"/>
        <v/>
      </c>
      <c r="DX453" s="30" t="str">
        <f t="shared" si="484"/>
        <v/>
      </c>
      <c r="DY453" s="13" t="str">
        <f t="shared" si="485"/>
        <v/>
      </c>
      <c r="DZ453" s="121" t="str">
        <f t="shared" si="486"/>
        <v/>
      </c>
      <c r="EA453" s="256" t="str">
        <f t="shared" si="487"/>
        <v/>
      </c>
      <c r="EB453" s="138" t="str">
        <f t="shared" si="488"/>
        <v/>
      </c>
      <c r="EC453" s="131" t="str">
        <f t="shared" si="489"/>
        <v>0</v>
      </c>
      <c r="ED453" s="54" t="str">
        <f t="shared" si="490"/>
        <v/>
      </c>
      <c r="EE453" s="131" t="str">
        <f t="shared" si="543"/>
        <v>0</v>
      </c>
      <c r="EF453" s="37" t="str">
        <f t="shared" si="491"/>
        <v/>
      </c>
      <c r="EG453" s="108" t="str">
        <f t="shared" si="492"/>
        <v/>
      </c>
      <c r="EH453" s="41" t="str">
        <f t="shared" si="493"/>
        <v>0</v>
      </c>
      <c r="EI453" s="54" t="str">
        <f t="shared" si="494"/>
        <v/>
      </c>
      <c r="EJ453" s="131" t="str">
        <f t="shared" si="544"/>
        <v>0</v>
      </c>
      <c r="EK453" s="241" t="str">
        <f t="shared" si="495"/>
        <v/>
      </c>
      <c r="EL453" s="242" t="e">
        <f t="shared" si="496"/>
        <v>#N/A</v>
      </c>
      <c r="EM453" s="57" t="e">
        <f t="shared" si="497"/>
        <v>#N/A</v>
      </c>
      <c r="EN453" s="243" t="e">
        <f t="shared" si="498"/>
        <v>#N/A</v>
      </c>
      <c r="FK453" s="326" t="str">
        <f t="shared" si="499"/>
        <v/>
      </c>
      <c r="FL453" s="326" t="str">
        <f t="shared" si="500"/>
        <v/>
      </c>
      <c r="FM453" s="326" t="str">
        <f t="shared" si="501"/>
        <v/>
      </c>
      <c r="FN453" s="326">
        <f t="shared" si="502"/>
        <v>0</v>
      </c>
      <c r="FO453" s="670" t="str">
        <f t="shared" si="503"/>
        <v/>
      </c>
      <c r="FQ453" s="138" t="str">
        <f t="shared" si="504"/>
        <v/>
      </c>
      <c r="FR453" s="131" t="str">
        <f t="shared" si="505"/>
        <v>0</v>
      </c>
      <c r="FS453" s="54" t="str">
        <f t="shared" si="506"/>
        <v/>
      </c>
      <c r="FT453" s="131" t="str">
        <f t="shared" si="507"/>
        <v>0</v>
      </c>
      <c r="FU453" s="217" t="str">
        <f t="shared" si="545"/>
        <v/>
      </c>
      <c r="FW453" s="667">
        <f t="shared" si="556"/>
        <v>0</v>
      </c>
      <c r="FX453" s="32"/>
      <c r="FY453" s="32"/>
      <c r="FZ453" s="668"/>
      <c r="GA453" s="14"/>
      <c r="GB453" s="658">
        <f t="shared" si="508"/>
        <v>0</v>
      </c>
      <c r="GC453" s="658">
        <f t="shared" si="509"/>
        <v>0</v>
      </c>
      <c r="GD453" s="658">
        <f t="shared" si="510"/>
        <v>0</v>
      </c>
      <c r="GE453" s="658" t="str">
        <f t="shared" si="511"/>
        <v/>
      </c>
      <c r="GF453" s="658" t="str">
        <f t="shared" si="512"/>
        <v/>
      </c>
      <c r="GG453" s="658" t="str">
        <f t="shared" si="513"/>
        <v/>
      </c>
      <c r="GH453" s="658" t="str">
        <f t="shared" si="514"/>
        <v/>
      </c>
      <c r="GI453" s="658" t="str">
        <f t="shared" si="515"/>
        <v/>
      </c>
      <c r="GJ453" s="658" t="str">
        <f t="shared" si="516"/>
        <v/>
      </c>
      <c r="GK453" s="658" t="str">
        <f t="shared" si="517"/>
        <v/>
      </c>
      <c r="GL453" s="658" t="str">
        <f t="shared" si="518"/>
        <v/>
      </c>
      <c r="GM453" s="658" t="str">
        <f t="shared" si="519"/>
        <v/>
      </c>
      <c r="GN453" s="658" t="str">
        <f t="shared" si="520"/>
        <v/>
      </c>
      <c r="GO453" s="658" t="str">
        <f t="shared" si="521"/>
        <v/>
      </c>
      <c r="GP453" s="658" t="str">
        <f t="shared" si="522"/>
        <v/>
      </c>
      <c r="GQ453" s="658" t="str">
        <f t="shared" si="523"/>
        <v/>
      </c>
      <c r="GR453" s="658" t="str">
        <f t="shared" si="524"/>
        <v/>
      </c>
      <c r="GS453" s="658" t="str">
        <f t="shared" si="525"/>
        <v/>
      </c>
      <c r="GT453" s="658">
        <f t="shared" si="546"/>
        <v>0</v>
      </c>
      <c r="GU453" s="658">
        <f t="shared" si="547"/>
        <v>0</v>
      </c>
      <c r="GV453" s="658">
        <f t="shared" si="548"/>
        <v>0</v>
      </c>
      <c r="GW453" s="658" t="b">
        <f t="shared" si="549"/>
        <v>0</v>
      </c>
      <c r="GX453" s="658" t="b">
        <f t="shared" si="550"/>
        <v>0</v>
      </c>
      <c r="GY453" s="658" t="b">
        <f t="shared" si="551"/>
        <v>0</v>
      </c>
      <c r="GZ453" s="658" t="str">
        <f t="shared" si="378"/>
        <v/>
      </c>
      <c r="HB453" s="658" t="str">
        <f t="shared" si="552"/>
        <v/>
      </c>
      <c r="HC453" s="658" t="str">
        <f t="shared" si="526"/>
        <v/>
      </c>
      <c r="HD453" s="658" t="str">
        <f t="shared" si="527"/>
        <v/>
      </c>
      <c r="HE453" s="658" t="str">
        <f t="shared" si="528"/>
        <v/>
      </c>
      <c r="HF453" s="658" t="str">
        <f t="shared" si="529"/>
        <v/>
      </c>
      <c r="HG453" s="658" t="str">
        <f t="shared" si="530"/>
        <v/>
      </c>
      <c r="HH453" s="658" t="str">
        <f t="shared" si="531"/>
        <v/>
      </c>
      <c r="HI453" s="658" t="str">
        <f t="shared" si="532"/>
        <v/>
      </c>
      <c r="HJ453" s="658" t="str">
        <f t="shared" si="533"/>
        <v/>
      </c>
      <c r="HK453" s="658" t="str">
        <f t="shared" si="534"/>
        <v/>
      </c>
      <c r="HL453" s="658" t="str">
        <f t="shared" si="535"/>
        <v/>
      </c>
      <c r="HM453" s="658" t="str">
        <f t="shared" si="536"/>
        <v/>
      </c>
      <c r="HN453" s="658" t="str">
        <f t="shared" si="537"/>
        <v/>
      </c>
      <c r="HO453" s="658" t="str">
        <f t="shared" si="538"/>
        <v/>
      </c>
      <c r="HP453" s="658" t="str">
        <f t="shared" si="539"/>
        <v/>
      </c>
      <c r="HQ453" s="658" t="str">
        <f t="shared" si="540"/>
        <v/>
      </c>
      <c r="HR453" s="658" t="str">
        <f t="shared" si="553"/>
        <v/>
      </c>
      <c r="HT453" s="658">
        <f>LEFT(M453,1)*10000+MID(M453,3,LEN(M453)-3)*100+COUNTIF($M$319:M453,M453)</f>
        <v>51801</v>
      </c>
      <c r="HU453" s="658" t="str">
        <f t="shared" si="554"/>
        <v/>
      </c>
      <c r="HV453" s="658" t="str">
        <f t="shared" si="541"/>
        <v/>
      </c>
      <c r="HW453" s="658" t="str">
        <f t="shared" si="555"/>
        <v/>
      </c>
      <c r="HX453" s="658" t="str">
        <f t="shared" si="542"/>
        <v/>
      </c>
    </row>
    <row r="454" spans="1:232" s="19" customFormat="1" ht="50.1" customHeight="1" x14ac:dyDescent="0.15">
      <c r="A454" s="1201"/>
      <c r="B454" s="1201"/>
      <c r="C454" s="1201"/>
      <c r="D454" s="1201"/>
      <c r="E454" s="1202"/>
      <c r="F454" s="652"/>
      <c r="G454" s="652"/>
      <c r="H454" s="652"/>
      <c r="I454" s="1354"/>
      <c r="J454" s="1234"/>
      <c r="K454" s="1261"/>
      <c r="L454" s="1261"/>
      <c r="M454" s="2478" t="s">
        <v>1213</v>
      </c>
      <c r="N454" s="2478"/>
      <c r="O454" s="2478"/>
      <c r="P454" s="2433"/>
      <c r="Q454" s="2433"/>
      <c r="R454" s="2429" t="s">
        <v>127</v>
      </c>
      <c r="S454" s="2429"/>
      <c r="T454" s="2429"/>
      <c r="U454" s="2438" t="s">
        <v>128</v>
      </c>
      <c r="V454" s="2438"/>
      <c r="W454" s="2438"/>
      <c r="X454" s="2438"/>
      <c r="Y454" s="2438"/>
      <c r="Z454" s="2438"/>
      <c r="AA454" s="2438"/>
      <c r="AB454" s="2438"/>
      <c r="AC454" s="2438"/>
      <c r="AD454" s="2438"/>
      <c r="AE454" s="2438"/>
      <c r="AF454" s="2302"/>
      <c r="AG454" s="2302"/>
      <c r="AH454" s="2302"/>
      <c r="AI454" s="2302"/>
      <c r="AJ454" s="2302"/>
      <c r="AK454" s="2302"/>
      <c r="AL454" s="2302"/>
      <c r="AM454" s="2302"/>
      <c r="AN454" s="2302"/>
      <c r="AO454" s="2302"/>
      <c r="AP454" s="2302"/>
      <c r="AQ454" s="2302"/>
      <c r="AR454" s="2272"/>
      <c r="AS454" s="2272"/>
      <c r="AT454" s="2406"/>
      <c r="AU454" s="2406"/>
      <c r="AV454" s="2406"/>
      <c r="AW454" s="2406"/>
      <c r="AX454" s="2406"/>
      <c r="AY454" s="2406"/>
      <c r="AZ454" s="2406"/>
      <c r="BA454" s="2406"/>
      <c r="BB454" s="2406"/>
      <c r="BC454" s="2406"/>
      <c r="BD454" s="2406"/>
      <c r="BE454" s="2406"/>
      <c r="BF454" s="2406"/>
      <c r="BG454" s="2406"/>
      <c r="BH454" s="2406"/>
      <c r="BI454" s="2406"/>
      <c r="BJ454" s="2406"/>
      <c r="BK454" s="2406"/>
      <c r="BL454" s="2406"/>
      <c r="BM454" s="2406"/>
      <c r="BN454" s="2406"/>
      <c r="BO454" s="2406"/>
      <c r="BP454" s="2406"/>
      <c r="BQ454" s="2406"/>
      <c r="BR454" s="2406"/>
      <c r="BS454" s="2271"/>
      <c r="BT454" s="2271"/>
      <c r="BU454" s="2271"/>
      <c r="BV454" s="2271"/>
      <c r="BW454" s="2271"/>
      <c r="BX454" s="2271"/>
      <c r="BY454" s="2271"/>
      <c r="BZ454" s="2272"/>
      <c r="CA454" s="2272"/>
      <c r="CB454" s="2266"/>
      <c r="CC454" s="2267"/>
      <c r="CD454" s="2267"/>
      <c r="CE454" s="2267"/>
      <c r="CF454" s="2267"/>
      <c r="CG454" s="2267"/>
      <c r="CH454" s="2267"/>
      <c r="CI454" s="2267"/>
      <c r="CJ454" s="2267"/>
      <c r="CK454" s="2267"/>
      <c r="CL454" s="2267"/>
      <c r="CM454" s="2267"/>
      <c r="CN454" s="2267"/>
      <c r="CO454" s="2267"/>
      <c r="CP454" s="2267"/>
      <c r="CQ454" s="2267"/>
      <c r="CR454" s="2267"/>
      <c r="CS454" s="2267"/>
      <c r="CT454" s="2267"/>
      <c r="CU454" s="2268"/>
      <c r="CV454" s="2300" t="str">
        <f t="shared" si="471"/>
        <v/>
      </c>
      <c r="CW454" s="2300"/>
      <c r="CX454" s="2300"/>
      <c r="CY454" s="2300"/>
      <c r="CZ454" s="2300"/>
      <c r="DA454" s="2300"/>
      <c r="DC454" s="329" t="str">
        <f t="shared" si="472"/>
        <v/>
      </c>
      <c r="DD454" s="197"/>
      <c r="DF454" s="14"/>
      <c r="DG454" s="14"/>
      <c r="DH454" s="14"/>
      <c r="DI454" s="1596"/>
      <c r="DJ454" s="1170" t="s">
        <v>2749</v>
      </c>
      <c r="DK454" s="1604" t="str">
        <f t="shared" si="473"/>
        <v/>
      </c>
      <c r="DL454" s="437" t="str">
        <f t="shared" si="474"/>
        <v/>
      </c>
      <c r="DM454" s="1128">
        <f t="shared" si="475"/>
        <v>0</v>
      </c>
      <c r="DN454" s="22">
        <f t="shared" si="476"/>
        <v>0</v>
      </c>
      <c r="DO454" s="22">
        <f t="shared" si="477"/>
        <v>0</v>
      </c>
      <c r="DP454" s="264">
        <f t="shared" si="478"/>
        <v>0</v>
      </c>
      <c r="DQ454" s="32" t="s">
        <v>791</v>
      </c>
      <c r="DR454" s="263" t="str">
        <f>IF($U454="",R454,U454)</f>
        <v>バルコニー又は付室の構造及び面積の確保の状況</v>
      </c>
      <c r="DS454" s="23">
        <f t="shared" si="480"/>
        <v>0</v>
      </c>
      <c r="DT454" s="29" t="str">
        <f t="shared" si="481"/>
        <v/>
      </c>
      <c r="DU454" s="242" t="str">
        <f t="shared" si="482"/>
        <v/>
      </c>
      <c r="DV454" s="243" t="str">
        <f>IF($DT454="要是正",MAX($DV$432:DV453)+1,"")</f>
        <v/>
      </c>
      <c r="DW454" s="12" t="str">
        <f t="shared" si="483"/>
        <v/>
      </c>
      <c r="DX454" s="30" t="str">
        <f t="shared" si="484"/>
        <v/>
      </c>
      <c r="DY454" s="13" t="str">
        <f t="shared" si="485"/>
        <v/>
      </c>
      <c r="DZ454" s="121" t="str">
        <f t="shared" si="486"/>
        <v/>
      </c>
      <c r="EA454" s="256" t="str">
        <f t="shared" si="487"/>
        <v/>
      </c>
      <c r="EB454" s="138" t="str">
        <f t="shared" si="488"/>
        <v/>
      </c>
      <c r="EC454" s="131" t="str">
        <f t="shared" si="489"/>
        <v>0</v>
      </c>
      <c r="ED454" s="54" t="str">
        <f t="shared" si="490"/>
        <v/>
      </c>
      <c r="EE454" s="131" t="str">
        <f t="shared" si="543"/>
        <v>0</v>
      </c>
      <c r="EF454" s="37" t="str">
        <f t="shared" si="491"/>
        <v/>
      </c>
      <c r="EG454" s="108" t="str">
        <f t="shared" si="492"/>
        <v/>
      </c>
      <c r="EH454" s="41" t="str">
        <f t="shared" si="493"/>
        <v>0</v>
      </c>
      <c r="EI454" s="54" t="str">
        <f t="shared" si="494"/>
        <v/>
      </c>
      <c r="EJ454" s="131" t="str">
        <f t="shared" si="544"/>
        <v>0</v>
      </c>
      <c r="EK454" s="241" t="str">
        <f t="shared" si="495"/>
        <v/>
      </c>
      <c r="EL454" s="242" t="e">
        <f t="shared" si="496"/>
        <v>#N/A</v>
      </c>
      <c r="EM454" s="57" t="e">
        <f t="shared" si="497"/>
        <v>#N/A</v>
      </c>
      <c r="EN454" s="243" t="e">
        <f t="shared" si="498"/>
        <v>#N/A</v>
      </c>
      <c r="FK454" s="326" t="str">
        <f t="shared" si="499"/>
        <v/>
      </c>
      <c r="FL454" s="326" t="str">
        <f t="shared" si="500"/>
        <v/>
      </c>
      <c r="FM454" s="326" t="str">
        <f t="shared" si="501"/>
        <v/>
      </c>
      <c r="FN454" s="326">
        <f t="shared" si="502"/>
        <v>0</v>
      </c>
      <c r="FO454" s="670" t="str">
        <f t="shared" si="503"/>
        <v/>
      </c>
      <c r="FQ454" s="138" t="str">
        <f t="shared" si="504"/>
        <v/>
      </c>
      <c r="FR454" s="131" t="str">
        <f t="shared" si="505"/>
        <v>0</v>
      </c>
      <c r="FS454" s="54" t="str">
        <f t="shared" si="506"/>
        <v/>
      </c>
      <c r="FT454" s="131" t="str">
        <f t="shared" si="507"/>
        <v>0</v>
      </c>
      <c r="FU454" s="217" t="str">
        <f t="shared" si="545"/>
        <v/>
      </c>
      <c r="FW454" s="667">
        <f t="shared" si="556"/>
        <v>0</v>
      </c>
      <c r="FX454" s="32"/>
      <c r="FY454" s="32"/>
      <c r="FZ454" s="668"/>
      <c r="GA454" s="14"/>
      <c r="GB454" s="658">
        <f t="shared" si="508"/>
        <v>0</v>
      </c>
      <c r="GC454" s="658">
        <f t="shared" si="509"/>
        <v>0</v>
      </c>
      <c r="GD454" s="658">
        <f t="shared" si="510"/>
        <v>0</v>
      </c>
      <c r="GE454" s="658" t="str">
        <f t="shared" si="511"/>
        <v/>
      </c>
      <c r="GF454" s="658" t="str">
        <f t="shared" si="512"/>
        <v/>
      </c>
      <c r="GG454" s="658" t="str">
        <f t="shared" si="513"/>
        <v/>
      </c>
      <c r="GH454" s="658" t="str">
        <f t="shared" si="514"/>
        <v/>
      </c>
      <c r="GI454" s="658" t="str">
        <f t="shared" si="515"/>
        <v/>
      </c>
      <c r="GJ454" s="658" t="str">
        <f t="shared" si="516"/>
        <v/>
      </c>
      <c r="GK454" s="658" t="str">
        <f t="shared" si="517"/>
        <v/>
      </c>
      <c r="GL454" s="658" t="str">
        <f t="shared" si="518"/>
        <v/>
      </c>
      <c r="GM454" s="658" t="str">
        <f t="shared" si="519"/>
        <v/>
      </c>
      <c r="GN454" s="658" t="str">
        <f t="shared" si="520"/>
        <v/>
      </c>
      <c r="GO454" s="658" t="str">
        <f t="shared" si="521"/>
        <v/>
      </c>
      <c r="GP454" s="658" t="str">
        <f t="shared" si="522"/>
        <v/>
      </c>
      <c r="GQ454" s="658" t="str">
        <f t="shared" si="523"/>
        <v/>
      </c>
      <c r="GR454" s="658" t="str">
        <f t="shared" si="524"/>
        <v/>
      </c>
      <c r="GS454" s="658" t="str">
        <f t="shared" si="525"/>
        <v/>
      </c>
      <c r="GT454" s="658">
        <f t="shared" si="546"/>
        <v>0</v>
      </c>
      <c r="GU454" s="658">
        <f t="shared" si="547"/>
        <v>0</v>
      </c>
      <c r="GV454" s="658">
        <f t="shared" si="548"/>
        <v>0</v>
      </c>
      <c r="GW454" s="658" t="b">
        <f t="shared" si="549"/>
        <v>0</v>
      </c>
      <c r="GX454" s="658" t="b">
        <f t="shared" si="550"/>
        <v>0</v>
      </c>
      <c r="GY454" s="658" t="b">
        <f t="shared" si="551"/>
        <v>0</v>
      </c>
      <c r="GZ454" s="658" t="str">
        <f t="shared" si="378"/>
        <v/>
      </c>
      <c r="HB454" s="658" t="str">
        <f t="shared" si="552"/>
        <v/>
      </c>
      <c r="HC454" s="658" t="str">
        <f t="shared" si="526"/>
        <v/>
      </c>
      <c r="HD454" s="658" t="str">
        <f t="shared" si="527"/>
        <v/>
      </c>
      <c r="HE454" s="658" t="str">
        <f t="shared" si="528"/>
        <v/>
      </c>
      <c r="HF454" s="658" t="str">
        <f t="shared" si="529"/>
        <v/>
      </c>
      <c r="HG454" s="658" t="str">
        <f t="shared" si="530"/>
        <v/>
      </c>
      <c r="HH454" s="658" t="str">
        <f t="shared" si="531"/>
        <v/>
      </c>
      <c r="HI454" s="658" t="str">
        <f t="shared" si="532"/>
        <v/>
      </c>
      <c r="HJ454" s="658" t="str">
        <f t="shared" si="533"/>
        <v/>
      </c>
      <c r="HK454" s="658" t="str">
        <f t="shared" si="534"/>
        <v/>
      </c>
      <c r="HL454" s="658" t="str">
        <f t="shared" si="535"/>
        <v/>
      </c>
      <c r="HM454" s="658" t="str">
        <f t="shared" si="536"/>
        <v/>
      </c>
      <c r="HN454" s="658" t="str">
        <f t="shared" si="537"/>
        <v/>
      </c>
      <c r="HO454" s="658" t="str">
        <f t="shared" si="538"/>
        <v/>
      </c>
      <c r="HP454" s="658" t="str">
        <f t="shared" si="539"/>
        <v/>
      </c>
      <c r="HQ454" s="658" t="str">
        <f t="shared" si="540"/>
        <v/>
      </c>
      <c r="HR454" s="658" t="str">
        <f t="shared" si="553"/>
        <v/>
      </c>
      <c r="HT454" s="658">
        <f>LEFT(M454,1)*10000+MID(M454,3,LEN(M454)-3)*100+COUNTIF($M$319:M454,M454)</f>
        <v>51901</v>
      </c>
      <c r="HU454" s="658" t="str">
        <f t="shared" si="554"/>
        <v/>
      </c>
      <c r="HV454" s="658" t="str">
        <f t="shared" si="541"/>
        <v/>
      </c>
      <c r="HW454" s="658" t="str">
        <f t="shared" si="555"/>
        <v/>
      </c>
      <c r="HX454" s="658" t="str">
        <f t="shared" si="542"/>
        <v/>
      </c>
    </row>
    <row r="455" spans="1:232" s="19" customFormat="1" ht="59.25" customHeight="1" x14ac:dyDescent="0.15">
      <c r="A455" s="1201"/>
      <c r="B455" s="1201"/>
      <c r="C455" s="1201"/>
      <c r="D455" s="1201"/>
      <c r="E455" s="1202"/>
      <c r="F455" s="652"/>
      <c r="G455" s="652"/>
      <c r="H455" s="652"/>
      <c r="I455" s="1354"/>
      <c r="J455" s="1234"/>
      <c r="K455" s="1261"/>
      <c r="L455" s="1261"/>
      <c r="M455" s="2478" t="s">
        <v>1214</v>
      </c>
      <c r="N455" s="2478"/>
      <c r="O455" s="2478"/>
      <c r="P455" s="2433"/>
      <c r="Q455" s="2433"/>
      <c r="R455" s="2429"/>
      <c r="S455" s="2429"/>
      <c r="T455" s="2429"/>
      <c r="U455" s="2435" t="s">
        <v>191</v>
      </c>
      <c r="V455" s="2435"/>
      <c r="W455" s="2435"/>
      <c r="X455" s="2435"/>
      <c r="Y455" s="2435"/>
      <c r="Z455" s="2435"/>
      <c r="AA455" s="2435"/>
      <c r="AB455" s="2435"/>
      <c r="AC455" s="2435"/>
      <c r="AD455" s="2435"/>
      <c r="AE455" s="2435"/>
      <c r="AF455" s="2282"/>
      <c r="AG455" s="2282"/>
      <c r="AH455" s="2282"/>
      <c r="AI455" s="2282"/>
      <c r="AJ455" s="2282"/>
      <c r="AK455" s="2282"/>
      <c r="AL455" s="2282"/>
      <c r="AM455" s="2282"/>
      <c r="AN455" s="2282"/>
      <c r="AO455" s="2282"/>
      <c r="AP455" s="2282"/>
      <c r="AQ455" s="2282"/>
      <c r="AR455" s="2151"/>
      <c r="AS455" s="2151"/>
      <c r="AT455" s="2292"/>
      <c r="AU455" s="2292"/>
      <c r="AV455" s="2292"/>
      <c r="AW455" s="2292"/>
      <c r="AX455" s="2292"/>
      <c r="AY455" s="2292"/>
      <c r="AZ455" s="2292"/>
      <c r="BA455" s="2292"/>
      <c r="BB455" s="2292"/>
      <c r="BC455" s="2292"/>
      <c r="BD455" s="2292"/>
      <c r="BE455" s="2292"/>
      <c r="BF455" s="2292"/>
      <c r="BG455" s="2292"/>
      <c r="BH455" s="2292"/>
      <c r="BI455" s="2292"/>
      <c r="BJ455" s="2292"/>
      <c r="BK455" s="2292"/>
      <c r="BL455" s="2292"/>
      <c r="BM455" s="2292"/>
      <c r="BN455" s="2292"/>
      <c r="BO455" s="2292"/>
      <c r="BP455" s="2292"/>
      <c r="BQ455" s="2292"/>
      <c r="BR455" s="2292"/>
      <c r="BS455" s="2269"/>
      <c r="BT455" s="2269"/>
      <c r="BU455" s="2269"/>
      <c r="BV455" s="2269"/>
      <c r="BW455" s="2269"/>
      <c r="BX455" s="2269"/>
      <c r="BY455" s="2269"/>
      <c r="BZ455" s="2151"/>
      <c r="CA455" s="2151"/>
      <c r="CB455" s="2355" t="s">
        <v>3325</v>
      </c>
      <c r="CC455" s="2356"/>
      <c r="CD455" s="2356"/>
      <c r="CE455" s="2356"/>
      <c r="CF455" s="2356"/>
      <c r="CG455" s="2356"/>
      <c r="CH455" s="2356"/>
      <c r="CI455" s="2356"/>
      <c r="CJ455" s="2356"/>
      <c r="CK455" s="2356"/>
      <c r="CL455" s="2356"/>
      <c r="CM455" s="2356"/>
      <c r="CN455" s="2356"/>
      <c r="CO455" s="2356"/>
      <c r="CP455" s="2356"/>
      <c r="CQ455" s="2356"/>
      <c r="CR455" s="2356"/>
      <c r="CS455" s="2356"/>
      <c r="CT455" s="2356"/>
      <c r="CU455" s="2357"/>
      <c r="CV455" s="2300" t="str">
        <f t="shared" si="471"/>
        <v/>
      </c>
      <c r="CW455" s="2300"/>
      <c r="CX455" s="2300"/>
      <c r="CY455" s="2300"/>
      <c r="CZ455" s="2300"/>
      <c r="DA455" s="2300"/>
      <c r="DC455" s="329" t="str">
        <f t="shared" si="472"/>
        <v/>
      </c>
      <c r="DD455" s="197"/>
      <c r="DF455" s="14"/>
      <c r="DG455" s="14"/>
      <c r="DH455" s="14"/>
      <c r="DI455" s="1596"/>
      <c r="DJ455" s="1170" t="s">
        <v>2749</v>
      </c>
      <c r="DK455" s="1604" t="str">
        <f t="shared" si="473"/>
        <v/>
      </c>
      <c r="DL455" s="437" t="str">
        <f t="shared" si="474"/>
        <v/>
      </c>
      <c r="DM455" s="1128">
        <f t="shared" si="475"/>
        <v>0</v>
      </c>
      <c r="DN455" s="22">
        <f t="shared" si="476"/>
        <v>0</v>
      </c>
      <c r="DO455" s="22">
        <f t="shared" si="477"/>
        <v>0</v>
      </c>
      <c r="DP455" s="264">
        <f t="shared" si="478"/>
        <v>0</v>
      </c>
      <c r="DQ455" s="32" t="s">
        <v>792</v>
      </c>
      <c r="DR455" s="263" t="str">
        <f>IF($U455="",R454,U455)</f>
        <v>付室等の排煙設備の設置の状況</v>
      </c>
      <c r="DS455" s="23">
        <f t="shared" si="480"/>
        <v>0</v>
      </c>
      <c r="DT455" s="29" t="str">
        <f t="shared" si="481"/>
        <v/>
      </c>
      <c r="DU455" s="242" t="str">
        <f t="shared" si="482"/>
        <v/>
      </c>
      <c r="DV455" s="243" t="str">
        <f>IF($DT455="要是正",MAX($DV$432:DV454)+1,"")</f>
        <v/>
      </c>
      <c r="DW455" s="12" t="str">
        <f t="shared" si="483"/>
        <v/>
      </c>
      <c r="DX455" s="30" t="str">
        <f t="shared" si="484"/>
        <v/>
      </c>
      <c r="DY455" s="13" t="str">
        <f t="shared" si="485"/>
        <v/>
      </c>
      <c r="DZ455" s="121" t="str">
        <f t="shared" si="486"/>
        <v/>
      </c>
      <c r="EA455" s="256" t="str">
        <f t="shared" si="487"/>
        <v/>
      </c>
      <c r="EB455" s="138" t="str">
        <f t="shared" si="488"/>
        <v/>
      </c>
      <c r="EC455" s="131" t="str">
        <f t="shared" si="489"/>
        <v>0</v>
      </c>
      <c r="ED455" s="54" t="str">
        <f t="shared" si="490"/>
        <v/>
      </c>
      <c r="EE455" s="131" t="str">
        <f t="shared" si="543"/>
        <v>0</v>
      </c>
      <c r="EF455" s="37" t="str">
        <f t="shared" si="491"/>
        <v/>
      </c>
      <c r="EG455" s="108" t="str">
        <f t="shared" si="492"/>
        <v/>
      </c>
      <c r="EH455" s="41" t="str">
        <f t="shared" si="493"/>
        <v>0</v>
      </c>
      <c r="EI455" s="54" t="str">
        <f t="shared" si="494"/>
        <v/>
      </c>
      <c r="EJ455" s="131" t="str">
        <f t="shared" si="544"/>
        <v>0</v>
      </c>
      <c r="EK455" s="241" t="str">
        <f t="shared" si="495"/>
        <v/>
      </c>
      <c r="EL455" s="242" t="e">
        <f t="shared" si="496"/>
        <v>#N/A</v>
      </c>
      <c r="EM455" s="57" t="e">
        <f t="shared" si="497"/>
        <v>#N/A</v>
      </c>
      <c r="EN455" s="243" t="e">
        <f t="shared" si="498"/>
        <v>#N/A</v>
      </c>
      <c r="FK455" s="326" t="str">
        <f t="shared" si="499"/>
        <v/>
      </c>
      <c r="FL455" s="326" t="str">
        <f t="shared" si="500"/>
        <v/>
      </c>
      <c r="FM455" s="326" t="str">
        <f t="shared" si="501"/>
        <v/>
      </c>
      <c r="FN455" s="326">
        <f t="shared" si="502"/>
        <v>0</v>
      </c>
      <c r="FO455" s="670" t="str">
        <f t="shared" si="503"/>
        <v/>
      </c>
      <c r="FQ455" s="138" t="str">
        <f t="shared" si="504"/>
        <v/>
      </c>
      <c r="FR455" s="131" t="str">
        <f t="shared" si="505"/>
        <v>0</v>
      </c>
      <c r="FS455" s="54" t="str">
        <f t="shared" si="506"/>
        <v/>
      </c>
      <c r="FT455" s="131" t="str">
        <f t="shared" si="507"/>
        <v>0</v>
      </c>
      <c r="FU455" s="217" t="str">
        <f t="shared" si="545"/>
        <v/>
      </c>
      <c r="FW455" s="667">
        <f t="shared" si="556"/>
        <v>0</v>
      </c>
      <c r="FX455" s="32"/>
      <c r="FY455" s="32"/>
      <c r="FZ455" s="668"/>
      <c r="GA455" s="14"/>
      <c r="GB455" s="658">
        <f t="shared" si="508"/>
        <v>0</v>
      </c>
      <c r="GC455" s="658">
        <f t="shared" si="509"/>
        <v>0</v>
      </c>
      <c r="GD455" s="658">
        <f t="shared" si="510"/>
        <v>0</v>
      </c>
      <c r="GE455" s="658" t="str">
        <f t="shared" si="511"/>
        <v/>
      </c>
      <c r="GF455" s="658" t="str">
        <f t="shared" si="512"/>
        <v/>
      </c>
      <c r="GG455" s="658" t="str">
        <f t="shared" si="513"/>
        <v/>
      </c>
      <c r="GH455" s="658" t="str">
        <f t="shared" si="514"/>
        <v/>
      </c>
      <c r="GI455" s="658" t="str">
        <f t="shared" si="515"/>
        <v/>
      </c>
      <c r="GJ455" s="658" t="str">
        <f t="shared" si="516"/>
        <v/>
      </c>
      <c r="GK455" s="658" t="str">
        <f t="shared" si="517"/>
        <v/>
      </c>
      <c r="GL455" s="658" t="str">
        <f t="shared" si="518"/>
        <v/>
      </c>
      <c r="GM455" s="658" t="str">
        <f t="shared" si="519"/>
        <v/>
      </c>
      <c r="GN455" s="658" t="str">
        <f t="shared" si="520"/>
        <v/>
      </c>
      <c r="GO455" s="658" t="str">
        <f t="shared" si="521"/>
        <v/>
      </c>
      <c r="GP455" s="658" t="str">
        <f t="shared" si="522"/>
        <v/>
      </c>
      <c r="GQ455" s="658" t="str">
        <f t="shared" si="523"/>
        <v/>
      </c>
      <c r="GR455" s="658" t="str">
        <f t="shared" si="524"/>
        <v/>
      </c>
      <c r="GS455" s="658" t="str">
        <f t="shared" si="525"/>
        <v/>
      </c>
      <c r="GT455" s="658">
        <f t="shared" si="546"/>
        <v>0</v>
      </c>
      <c r="GU455" s="658">
        <f t="shared" si="547"/>
        <v>0</v>
      </c>
      <c r="GV455" s="658">
        <f t="shared" si="548"/>
        <v>0</v>
      </c>
      <c r="GW455" s="658" t="b">
        <f t="shared" si="549"/>
        <v>0</v>
      </c>
      <c r="GX455" s="658" t="b">
        <f t="shared" si="550"/>
        <v>0</v>
      </c>
      <c r="GY455" s="658" t="b">
        <f t="shared" si="551"/>
        <v>0</v>
      </c>
      <c r="GZ455" s="658" t="str">
        <f t="shared" si="378"/>
        <v/>
      </c>
      <c r="HB455" s="658" t="str">
        <f t="shared" si="552"/>
        <v/>
      </c>
      <c r="HC455" s="658" t="str">
        <f t="shared" si="526"/>
        <v/>
      </c>
      <c r="HD455" s="658" t="str">
        <f t="shared" si="527"/>
        <v/>
      </c>
      <c r="HE455" s="658" t="str">
        <f t="shared" si="528"/>
        <v/>
      </c>
      <c r="HF455" s="658" t="str">
        <f t="shared" si="529"/>
        <v/>
      </c>
      <c r="HG455" s="658" t="str">
        <f t="shared" si="530"/>
        <v/>
      </c>
      <c r="HH455" s="658" t="str">
        <f t="shared" si="531"/>
        <v/>
      </c>
      <c r="HI455" s="658" t="str">
        <f t="shared" si="532"/>
        <v/>
      </c>
      <c r="HJ455" s="658" t="str">
        <f t="shared" si="533"/>
        <v/>
      </c>
      <c r="HK455" s="658" t="str">
        <f t="shared" si="534"/>
        <v/>
      </c>
      <c r="HL455" s="658" t="str">
        <f t="shared" si="535"/>
        <v/>
      </c>
      <c r="HM455" s="658" t="str">
        <f t="shared" si="536"/>
        <v/>
      </c>
      <c r="HN455" s="658" t="str">
        <f t="shared" si="537"/>
        <v/>
      </c>
      <c r="HO455" s="658" t="str">
        <f t="shared" si="538"/>
        <v/>
      </c>
      <c r="HP455" s="658" t="str">
        <f t="shared" si="539"/>
        <v/>
      </c>
      <c r="HQ455" s="658" t="str">
        <f t="shared" si="540"/>
        <v/>
      </c>
      <c r="HR455" s="658" t="str">
        <f t="shared" si="553"/>
        <v/>
      </c>
      <c r="HT455" s="658">
        <f>LEFT(M455,1)*10000+MID(M455,3,LEN(M455)-3)*100+COUNTIF($M$319:M455,M455)</f>
        <v>52001</v>
      </c>
      <c r="HU455" s="658" t="str">
        <f t="shared" si="554"/>
        <v/>
      </c>
      <c r="HV455" s="658" t="str">
        <f t="shared" si="541"/>
        <v/>
      </c>
      <c r="HW455" s="658" t="str">
        <f t="shared" si="555"/>
        <v/>
      </c>
      <c r="HX455" s="658" t="str">
        <f t="shared" si="542"/>
        <v/>
      </c>
    </row>
    <row r="456" spans="1:232" s="19" customFormat="1" ht="50.1" customHeight="1" x14ac:dyDescent="0.15">
      <c r="A456" s="1201"/>
      <c r="B456" s="1201"/>
      <c r="C456" s="1201"/>
      <c r="D456" s="1201"/>
      <c r="E456" s="1202"/>
      <c r="F456" s="652"/>
      <c r="G456" s="652"/>
      <c r="H456" s="652"/>
      <c r="I456" s="1354"/>
      <c r="J456" s="1234"/>
      <c r="K456" s="1261"/>
      <c r="L456" s="1261"/>
      <c r="M456" s="2478" t="s">
        <v>1215</v>
      </c>
      <c r="N456" s="2478"/>
      <c r="O456" s="2478"/>
      <c r="P456" s="2433"/>
      <c r="Q456" s="2433"/>
      <c r="R456" s="2429"/>
      <c r="S456" s="2429"/>
      <c r="T456" s="2429"/>
      <c r="U456" s="2435" t="s">
        <v>190</v>
      </c>
      <c r="V456" s="2435"/>
      <c r="W456" s="2435"/>
      <c r="X456" s="2435"/>
      <c r="Y456" s="2435"/>
      <c r="Z456" s="2435"/>
      <c r="AA456" s="2435"/>
      <c r="AB456" s="2435"/>
      <c r="AC456" s="2435"/>
      <c r="AD456" s="2435"/>
      <c r="AE456" s="2435"/>
      <c r="AF456" s="2282"/>
      <c r="AG456" s="2282"/>
      <c r="AH456" s="2282"/>
      <c r="AI456" s="2282"/>
      <c r="AJ456" s="2282"/>
      <c r="AK456" s="2282"/>
      <c r="AL456" s="2282"/>
      <c r="AM456" s="2282"/>
      <c r="AN456" s="2282"/>
      <c r="AO456" s="2282"/>
      <c r="AP456" s="2282"/>
      <c r="AQ456" s="2282"/>
      <c r="AR456" s="2151"/>
      <c r="AS456" s="2151"/>
      <c r="AT456" s="2292"/>
      <c r="AU456" s="2292"/>
      <c r="AV456" s="2292"/>
      <c r="AW456" s="2292"/>
      <c r="AX456" s="2292"/>
      <c r="AY456" s="2292"/>
      <c r="AZ456" s="2292"/>
      <c r="BA456" s="2292"/>
      <c r="BB456" s="2292"/>
      <c r="BC456" s="2292"/>
      <c r="BD456" s="2292"/>
      <c r="BE456" s="2292"/>
      <c r="BF456" s="2292"/>
      <c r="BG456" s="2292"/>
      <c r="BH456" s="2292"/>
      <c r="BI456" s="2292"/>
      <c r="BJ456" s="2292"/>
      <c r="BK456" s="2292"/>
      <c r="BL456" s="2292"/>
      <c r="BM456" s="2292"/>
      <c r="BN456" s="2292"/>
      <c r="BO456" s="2292"/>
      <c r="BP456" s="2292"/>
      <c r="BQ456" s="2292"/>
      <c r="BR456" s="2292"/>
      <c r="BS456" s="2269"/>
      <c r="BT456" s="2269"/>
      <c r="BU456" s="2269"/>
      <c r="BV456" s="2269"/>
      <c r="BW456" s="2269"/>
      <c r="BX456" s="2269"/>
      <c r="BY456" s="2269"/>
      <c r="BZ456" s="2151"/>
      <c r="CA456" s="2151"/>
      <c r="CB456" s="2355"/>
      <c r="CC456" s="2356"/>
      <c r="CD456" s="2356"/>
      <c r="CE456" s="2356"/>
      <c r="CF456" s="2356"/>
      <c r="CG456" s="2356"/>
      <c r="CH456" s="2356"/>
      <c r="CI456" s="2356"/>
      <c r="CJ456" s="2356"/>
      <c r="CK456" s="2356"/>
      <c r="CL456" s="2356"/>
      <c r="CM456" s="2356"/>
      <c r="CN456" s="2356"/>
      <c r="CO456" s="2356"/>
      <c r="CP456" s="2356"/>
      <c r="CQ456" s="2356"/>
      <c r="CR456" s="2356"/>
      <c r="CS456" s="2356"/>
      <c r="CT456" s="2356"/>
      <c r="CU456" s="2357"/>
      <c r="CV456" s="2300" t="str">
        <f t="shared" si="471"/>
        <v/>
      </c>
      <c r="CW456" s="2300"/>
      <c r="CX456" s="2300"/>
      <c r="CY456" s="2300"/>
      <c r="CZ456" s="2300"/>
      <c r="DA456" s="2300"/>
      <c r="DC456" s="329" t="str">
        <f t="shared" si="472"/>
        <v/>
      </c>
      <c r="DD456" s="197"/>
      <c r="DF456" s="14"/>
      <c r="DG456" s="14"/>
      <c r="DH456" s="14"/>
      <c r="DI456" s="1596"/>
      <c r="DJ456" s="1170" t="s">
        <v>2749</v>
      </c>
      <c r="DK456" s="1604" t="str">
        <f t="shared" si="473"/>
        <v/>
      </c>
      <c r="DL456" s="437" t="str">
        <f t="shared" si="474"/>
        <v/>
      </c>
      <c r="DM456" s="1128">
        <f t="shared" si="475"/>
        <v>0</v>
      </c>
      <c r="DN456" s="22">
        <f t="shared" si="476"/>
        <v>0</v>
      </c>
      <c r="DO456" s="22">
        <f t="shared" si="477"/>
        <v>0</v>
      </c>
      <c r="DP456" s="264">
        <f t="shared" si="478"/>
        <v>0</v>
      </c>
      <c r="DQ456" s="1134" t="s">
        <v>793</v>
      </c>
      <c r="DR456" s="263" t="str">
        <f>IF($U456="",R454,U456)</f>
        <v>付室等の外気に向かって開くことができる窓の状況</v>
      </c>
      <c r="DS456" s="23">
        <f t="shared" si="480"/>
        <v>0</v>
      </c>
      <c r="DT456" s="29" t="str">
        <f t="shared" si="481"/>
        <v/>
      </c>
      <c r="DU456" s="242" t="str">
        <f t="shared" si="482"/>
        <v/>
      </c>
      <c r="DV456" s="243" t="str">
        <f>IF($DT456="要是正",MAX($DV$432:DV455)+1,"")</f>
        <v/>
      </c>
      <c r="DW456" s="12" t="str">
        <f t="shared" si="483"/>
        <v/>
      </c>
      <c r="DX456" s="30" t="str">
        <f t="shared" si="484"/>
        <v/>
      </c>
      <c r="DY456" s="13" t="str">
        <f t="shared" si="485"/>
        <v/>
      </c>
      <c r="DZ456" s="121" t="str">
        <f t="shared" si="486"/>
        <v/>
      </c>
      <c r="EA456" s="256" t="str">
        <f t="shared" si="487"/>
        <v/>
      </c>
      <c r="EB456" s="138" t="str">
        <f t="shared" si="488"/>
        <v/>
      </c>
      <c r="EC456" s="131" t="str">
        <f t="shared" si="489"/>
        <v>0</v>
      </c>
      <c r="ED456" s="54" t="str">
        <f t="shared" si="490"/>
        <v/>
      </c>
      <c r="EE456" s="131" t="str">
        <f t="shared" si="543"/>
        <v>0</v>
      </c>
      <c r="EF456" s="37" t="str">
        <f t="shared" si="491"/>
        <v/>
      </c>
      <c r="EG456" s="108" t="str">
        <f t="shared" si="492"/>
        <v/>
      </c>
      <c r="EH456" s="41" t="str">
        <f t="shared" si="493"/>
        <v>0</v>
      </c>
      <c r="EI456" s="54" t="str">
        <f t="shared" si="494"/>
        <v/>
      </c>
      <c r="EJ456" s="131" t="str">
        <f t="shared" si="544"/>
        <v>0</v>
      </c>
      <c r="EK456" s="241" t="str">
        <f t="shared" si="495"/>
        <v/>
      </c>
      <c r="EL456" s="242" t="e">
        <f t="shared" si="496"/>
        <v>#N/A</v>
      </c>
      <c r="EM456" s="57" t="e">
        <f t="shared" si="497"/>
        <v>#N/A</v>
      </c>
      <c r="EN456" s="243" t="e">
        <f t="shared" si="498"/>
        <v>#N/A</v>
      </c>
      <c r="FK456" s="326" t="str">
        <f t="shared" si="499"/>
        <v/>
      </c>
      <c r="FL456" s="326" t="str">
        <f t="shared" si="500"/>
        <v/>
      </c>
      <c r="FM456" s="326" t="str">
        <f t="shared" si="501"/>
        <v/>
      </c>
      <c r="FN456" s="326">
        <f t="shared" si="502"/>
        <v>0</v>
      </c>
      <c r="FO456" s="670" t="str">
        <f t="shared" si="503"/>
        <v/>
      </c>
      <c r="FQ456" s="138" t="str">
        <f t="shared" si="504"/>
        <v/>
      </c>
      <c r="FR456" s="131" t="str">
        <f t="shared" si="505"/>
        <v>0</v>
      </c>
      <c r="FS456" s="54" t="str">
        <f t="shared" si="506"/>
        <v/>
      </c>
      <c r="FT456" s="131" t="str">
        <f t="shared" si="507"/>
        <v>0</v>
      </c>
      <c r="FU456" s="217" t="str">
        <f t="shared" si="545"/>
        <v/>
      </c>
      <c r="FW456" s="667">
        <f t="shared" si="556"/>
        <v>0</v>
      </c>
      <c r="FX456" s="32"/>
      <c r="FY456" s="32"/>
      <c r="FZ456" s="668"/>
      <c r="GA456" s="14"/>
      <c r="GB456" s="658">
        <f t="shared" si="508"/>
        <v>0</v>
      </c>
      <c r="GC456" s="658">
        <f t="shared" si="509"/>
        <v>0</v>
      </c>
      <c r="GD456" s="658">
        <f t="shared" si="510"/>
        <v>0</v>
      </c>
      <c r="GE456" s="658" t="str">
        <f t="shared" si="511"/>
        <v/>
      </c>
      <c r="GF456" s="658" t="str">
        <f t="shared" si="512"/>
        <v/>
      </c>
      <c r="GG456" s="658" t="str">
        <f t="shared" si="513"/>
        <v/>
      </c>
      <c r="GH456" s="658" t="str">
        <f t="shared" si="514"/>
        <v/>
      </c>
      <c r="GI456" s="658" t="str">
        <f t="shared" si="515"/>
        <v/>
      </c>
      <c r="GJ456" s="658" t="str">
        <f t="shared" si="516"/>
        <v/>
      </c>
      <c r="GK456" s="658" t="str">
        <f t="shared" si="517"/>
        <v/>
      </c>
      <c r="GL456" s="658" t="str">
        <f t="shared" si="518"/>
        <v/>
      </c>
      <c r="GM456" s="658" t="str">
        <f t="shared" si="519"/>
        <v/>
      </c>
      <c r="GN456" s="658" t="str">
        <f t="shared" si="520"/>
        <v/>
      </c>
      <c r="GO456" s="658" t="str">
        <f t="shared" si="521"/>
        <v/>
      </c>
      <c r="GP456" s="658" t="str">
        <f t="shared" si="522"/>
        <v/>
      </c>
      <c r="GQ456" s="658" t="str">
        <f t="shared" si="523"/>
        <v/>
      </c>
      <c r="GR456" s="658" t="str">
        <f t="shared" si="524"/>
        <v/>
      </c>
      <c r="GS456" s="658" t="str">
        <f t="shared" si="525"/>
        <v/>
      </c>
      <c r="GT456" s="658">
        <f t="shared" si="546"/>
        <v>0</v>
      </c>
      <c r="GU456" s="658">
        <f t="shared" si="547"/>
        <v>0</v>
      </c>
      <c r="GV456" s="658">
        <f t="shared" si="548"/>
        <v>0</v>
      </c>
      <c r="GW456" s="658" t="b">
        <f t="shared" si="549"/>
        <v>0</v>
      </c>
      <c r="GX456" s="658" t="b">
        <f t="shared" si="550"/>
        <v>0</v>
      </c>
      <c r="GY456" s="658" t="b">
        <f t="shared" si="551"/>
        <v>0</v>
      </c>
      <c r="GZ456" s="658" t="str">
        <f t="shared" si="378"/>
        <v/>
      </c>
      <c r="HB456" s="658" t="str">
        <f t="shared" si="552"/>
        <v/>
      </c>
      <c r="HC456" s="658" t="str">
        <f t="shared" si="526"/>
        <v/>
      </c>
      <c r="HD456" s="658" t="str">
        <f t="shared" si="527"/>
        <v/>
      </c>
      <c r="HE456" s="658" t="str">
        <f t="shared" si="528"/>
        <v/>
      </c>
      <c r="HF456" s="658" t="str">
        <f t="shared" si="529"/>
        <v/>
      </c>
      <c r="HG456" s="658" t="str">
        <f t="shared" si="530"/>
        <v/>
      </c>
      <c r="HH456" s="658" t="str">
        <f t="shared" si="531"/>
        <v/>
      </c>
      <c r="HI456" s="658" t="str">
        <f t="shared" si="532"/>
        <v/>
      </c>
      <c r="HJ456" s="658" t="str">
        <f t="shared" si="533"/>
        <v/>
      </c>
      <c r="HK456" s="658" t="str">
        <f t="shared" si="534"/>
        <v/>
      </c>
      <c r="HL456" s="658" t="str">
        <f t="shared" si="535"/>
        <v/>
      </c>
      <c r="HM456" s="658" t="str">
        <f t="shared" si="536"/>
        <v/>
      </c>
      <c r="HN456" s="658" t="str">
        <f t="shared" si="537"/>
        <v/>
      </c>
      <c r="HO456" s="658" t="str">
        <f t="shared" si="538"/>
        <v/>
      </c>
      <c r="HP456" s="658" t="str">
        <f t="shared" si="539"/>
        <v/>
      </c>
      <c r="HQ456" s="658" t="str">
        <f t="shared" si="540"/>
        <v/>
      </c>
      <c r="HR456" s="658" t="str">
        <f t="shared" si="553"/>
        <v/>
      </c>
      <c r="HT456" s="658">
        <f>LEFT(M456,1)*10000+MID(M456,3,LEN(M456)-3)*100+COUNTIF($M$319:M456,M456)</f>
        <v>52101</v>
      </c>
      <c r="HU456" s="658" t="str">
        <f t="shared" si="554"/>
        <v/>
      </c>
      <c r="HV456" s="658" t="str">
        <f t="shared" si="541"/>
        <v/>
      </c>
      <c r="HW456" s="658" t="str">
        <f t="shared" si="555"/>
        <v/>
      </c>
      <c r="HX456" s="658" t="str">
        <f t="shared" si="542"/>
        <v/>
      </c>
    </row>
    <row r="457" spans="1:232" s="19" customFormat="1" ht="50.1" customHeight="1" x14ac:dyDescent="0.15">
      <c r="A457" s="1201"/>
      <c r="B457" s="1201"/>
      <c r="C457" s="1201"/>
      <c r="D457" s="1201"/>
      <c r="E457" s="1202"/>
      <c r="F457" s="652"/>
      <c r="G457" s="652"/>
      <c r="H457" s="652"/>
      <c r="I457" s="1354"/>
      <c r="J457" s="1234"/>
      <c r="K457" s="1261"/>
      <c r="L457" s="1261"/>
      <c r="M457" s="2478" t="s">
        <v>794</v>
      </c>
      <c r="N457" s="2478"/>
      <c r="O457" s="2478"/>
      <c r="P457" s="2433"/>
      <c r="Q457" s="2433"/>
      <c r="R457" s="2429"/>
      <c r="S457" s="2429"/>
      <c r="T457" s="2429"/>
      <c r="U457" s="2431" t="s">
        <v>112</v>
      </c>
      <c r="V457" s="2431"/>
      <c r="W457" s="2431"/>
      <c r="X457" s="2431"/>
      <c r="Y457" s="2431"/>
      <c r="Z457" s="2431"/>
      <c r="AA457" s="2431"/>
      <c r="AB457" s="2431"/>
      <c r="AC457" s="2431"/>
      <c r="AD457" s="2431"/>
      <c r="AE457" s="2431"/>
      <c r="AF457" s="2303"/>
      <c r="AG457" s="2303"/>
      <c r="AH457" s="2303"/>
      <c r="AI457" s="2303"/>
      <c r="AJ457" s="2303"/>
      <c r="AK457" s="2303"/>
      <c r="AL457" s="2303"/>
      <c r="AM457" s="2303"/>
      <c r="AN457" s="2303"/>
      <c r="AO457" s="2303"/>
      <c r="AP457" s="2303"/>
      <c r="AQ457" s="2303"/>
      <c r="AR457" s="2297"/>
      <c r="AS457" s="2297"/>
      <c r="AT457" s="2135"/>
      <c r="AU457" s="2135"/>
      <c r="AV457" s="2135"/>
      <c r="AW457" s="2135"/>
      <c r="AX457" s="2135"/>
      <c r="AY457" s="2135"/>
      <c r="AZ457" s="2135"/>
      <c r="BA457" s="2135"/>
      <c r="BB457" s="2135"/>
      <c r="BC457" s="2135"/>
      <c r="BD457" s="2135"/>
      <c r="BE457" s="2135"/>
      <c r="BF457" s="2135"/>
      <c r="BG457" s="2135"/>
      <c r="BH457" s="2135"/>
      <c r="BI457" s="2135"/>
      <c r="BJ457" s="2135"/>
      <c r="BK457" s="2135"/>
      <c r="BL457" s="2135"/>
      <c r="BM457" s="2135"/>
      <c r="BN457" s="2135"/>
      <c r="BO457" s="2135"/>
      <c r="BP457" s="2135"/>
      <c r="BQ457" s="2135"/>
      <c r="BR457" s="2135"/>
      <c r="BS457" s="2354"/>
      <c r="BT457" s="2354"/>
      <c r="BU457" s="2354"/>
      <c r="BV457" s="2354"/>
      <c r="BW457" s="2354"/>
      <c r="BX457" s="2354"/>
      <c r="BY457" s="2354"/>
      <c r="BZ457" s="2297"/>
      <c r="CA457" s="2297"/>
      <c r="CB457" s="2395"/>
      <c r="CC457" s="2396"/>
      <c r="CD457" s="2396"/>
      <c r="CE457" s="2396"/>
      <c r="CF457" s="2396"/>
      <c r="CG457" s="2396"/>
      <c r="CH457" s="2396"/>
      <c r="CI457" s="2396"/>
      <c r="CJ457" s="2396"/>
      <c r="CK457" s="2396"/>
      <c r="CL457" s="2396"/>
      <c r="CM457" s="2396"/>
      <c r="CN457" s="2396"/>
      <c r="CO457" s="2396"/>
      <c r="CP457" s="2396"/>
      <c r="CQ457" s="2396"/>
      <c r="CR457" s="2396"/>
      <c r="CS457" s="2396"/>
      <c r="CT457" s="2396"/>
      <c r="CU457" s="2397"/>
      <c r="CV457" s="2300" t="str">
        <f t="shared" si="471"/>
        <v/>
      </c>
      <c r="CW457" s="2300"/>
      <c r="CX457" s="2300"/>
      <c r="CY457" s="2300"/>
      <c r="CZ457" s="2300"/>
      <c r="DA457" s="2300"/>
      <c r="DC457" s="329" t="str">
        <f t="shared" si="472"/>
        <v/>
      </c>
      <c r="DD457" s="197"/>
      <c r="DF457" s="14"/>
      <c r="DG457" s="14"/>
      <c r="DH457" s="14"/>
      <c r="DI457" s="1596"/>
      <c r="DJ457" s="1170" t="s">
        <v>2749</v>
      </c>
      <c r="DK457" s="1604" t="str">
        <f t="shared" si="473"/>
        <v/>
      </c>
      <c r="DL457" s="437" t="str">
        <f t="shared" si="474"/>
        <v/>
      </c>
      <c r="DM457" s="1128">
        <f t="shared" si="475"/>
        <v>0</v>
      </c>
      <c r="DN457" s="22">
        <f t="shared" si="476"/>
        <v>0</v>
      </c>
      <c r="DO457" s="22">
        <f t="shared" si="477"/>
        <v>0</v>
      </c>
      <c r="DP457" s="264">
        <f t="shared" si="478"/>
        <v>0</v>
      </c>
      <c r="DQ457" s="1134" t="s">
        <v>794</v>
      </c>
      <c r="DR457" s="263" t="str">
        <f>IF($U457="",R454,U457)</f>
        <v>物品の放置の状況</v>
      </c>
      <c r="DS457" s="23">
        <f t="shared" si="480"/>
        <v>0</v>
      </c>
      <c r="DT457" s="29" t="str">
        <f t="shared" si="481"/>
        <v/>
      </c>
      <c r="DU457" s="242" t="str">
        <f t="shared" si="482"/>
        <v/>
      </c>
      <c r="DV457" s="243" t="str">
        <f>IF($DT457="要是正",MAX($DV$432:DV456)+1,"")</f>
        <v/>
      </c>
      <c r="DW457" s="12" t="str">
        <f t="shared" si="483"/>
        <v/>
      </c>
      <c r="DX457" s="30" t="str">
        <f t="shared" si="484"/>
        <v/>
      </c>
      <c r="DY457" s="13" t="str">
        <f t="shared" si="485"/>
        <v/>
      </c>
      <c r="DZ457" s="121" t="str">
        <f t="shared" si="486"/>
        <v/>
      </c>
      <c r="EA457" s="256" t="str">
        <f t="shared" si="487"/>
        <v/>
      </c>
      <c r="EB457" s="138" t="str">
        <f t="shared" si="488"/>
        <v/>
      </c>
      <c r="EC457" s="131" t="str">
        <f t="shared" si="489"/>
        <v>0</v>
      </c>
      <c r="ED457" s="54" t="str">
        <f t="shared" si="490"/>
        <v/>
      </c>
      <c r="EE457" s="131" t="str">
        <f t="shared" si="543"/>
        <v>0</v>
      </c>
      <c r="EF457" s="37" t="str">
        <f t="shared" si="491"/>
        <v/>
      </c>
      <c r="EG457" s="108" t="str">
        <f t="shared" si="492"/>
        <v/>
      </c>
      <c r="EH457" s="41" t="str">
        <f t="shared" si="493"/>
        <v>0</v>
      </c>
      <c r="EI457" s="54" t="str">
        <f t="shared" si="494"/>
        <v/>
      </c>
      <c r="EJ457" s="131" t="str">
        <f t="shared" si="544"/>
        <v>0</v>
      </c>
      <c r="EK457" s="241" t="str">
        <f t="shared" si="495"/>
        <v/>
      </c>
      <c r="EL457" s="242" t="e">
        <f t="shared" si="496"/>
        <v>#N/A</v>
      </c>
      <c r="EM457" s="57" t="e">
        <f t="shared" si="497"/>
        <v>#N/A</v>
      </c>
      <c r="EN457" s="243" t="e">
        <f t="shared" si="498"/>
        <v>#N/A</v>
      </c>
      <c r="FK457" s="326" t="str">
        <f t="shared" si="499"/>
        <v/>
      </c>
      <c r="FL457" s="326" t="str">
        <f t="shared" si="500"/>
        <v/>
      </c>
      <c r="FM457" s="326" t="str">
        <f t="shared" si="501"/>
        <v/>
      </c>
      <c r="FN457" s="326">
        <f t="shared" si="502"/>
        <v>0</v>
      </c>
      <c r="FO457" s="670" t="str">
        <f t="shared" si="503"/>
        <v/>
      </c>
      <c r="FQ457" s="138" t="str">
        <f t="shared" si="504"/>
        <v/>
      </c>
      <c r="FR457" s="131" t="str">
        <f t="shared" si="505"/>
        <v>0</v>
      </c>
      <c r="FS457" s="54" t="str">
        <f t="shared" si="506"/>
        <v/>
      </c>
      <c r="FT457" s="131" t="str">
        <f t="shared" si="507"/>
        <v>0</v>
      </c>
      <c r="FU457" s="217" t="str">
        <f t="shared" si="545"/>
        <v/>
      </c>
      <c r="FW457" s="667">
        <f t="shared" si="556"/>
        <v>0</v>
      </c>
      <c r="FX457" s="32"/>
      <c r="FY457" s="32"/>
      <c r="FZ457" s="668"/>
      <c r="GA457" s="14"/>
      <c r="GB457" s="658">
        <f t="shared" si="508"/>
        <v>0</v>
      </c>
      <c r="GC457" s="658">
        <f t="shared" si="509"/>
        <v>0</v>
      </c>
      <c r="GD457" s="658">
        <f t="shared" si="510"/>
        <v>0</v>
      </c>
      <c r="GE457" s="658" t="str">
        <f t="shared" si="511"/>
        <v/>
      </c>
      <c r="GF457" s="658" t="str">
        <f t="shared" si="512"/>
        <v/>
      </c>
      <c r="GG457" s="658" t="str">
        <f t="shared" si="513"/>
        <v/>
      </c>
      <c r="GH457" s="658" t="str">
        <f t="shared" si="514"/>
        <v/>
      </c>
      <c r="GI457" s="658" t="str">
        <f t="shared" si="515"/>
        <v/>
      </c>
      <c r="GJ457" s="658" t="str">
        <f t="shared" si="516"/>
        <v/>
      </c>
      <c r="GK457" s="658" t="str">
        <f t="shared" si="517"/>
        <v/>
      </c>
      <c r="GL457" s="658" t="str">
        <f t="shared" si="518"/>
        <v/>
      </c>
      <c r="GM457" s="658" t="str">
        <f t="shared" si="519"/>
        <v/>
      </c>
      <c r="GN457" s="658" t="str">
        <f t="shared" si="520"/>
        <v/>
      </c>
      <c r="GO457" s="658" t="str">
        <f t="shared" si="521"/>
        <v/>
      </c>
      <c r="GP457" s="658" t="str">
        <f t="shared" si="522"/>
        <v/>
      </c>
      <c r="GQ457" s="658" t="str">
        <f t="shared" si="523"/>
        <v/>
      </c>
      <c r="GR457" s="658" t="str">
        <f t="shared" si="524"/>
        <v/>
      </c>
      <c r="GS457" s="658" t="str">
        <f t="shared" si="525"/>
        <v/>
      </c>
      <c r="GT457" s="658">
        <f t="shared" si="546"/>
        <v>0</v>
      </c>
      <c r="GU457" s="658">
        <f t="shared" si="547"/>
        <v>0</v>
      </c>
      <c r="GV457" s="658">
        <f t="shared" si="548"/>
        <v>0</v>
      </c>
      <c r="GW457" s="658" t="b">
        <f t="shared" si="549"/>
        <v>0</v>
      </c>
      <c r="GX457" s="658" t="b">
        <f t="shared" si="550"/>
        <v>0</v>
      </c>
      <c r="GY457" s="658" t="b">
        <f t="shared" si="551"/>
        <v>0</v>
      </c>
      <c r="GZ457" s="658" t="str">
        <f t="shared" si="378"/>
        <v/>
      </c>
      <c r="HB457" s="658" t="str">
        <f t="shared" si="552"/>
        <v/>
      </c>
      <c r="HC457" s="658" t="str">
        <f t="shared" si="526"/>
        <v/>
      </c>
      <c r="HD457" s="658" t="str">
        <f t="shared" si="527"/>
        <v/>
      </c>
      <c r="HE457" s="658" t="str">
        <f t="shared" si="528"/>
        <v/>
      </c>
      <c r="HF457" s="658" t="str">
        <f t="shared" si="529"/>
        <v/>
      </c>
      <c r="HG457" s="658" t="str">
        <f t="shared" si="530"/>
        <v/>
      </c>
      <c r="HH457" s="658" t="str">
        <f t="shared" si="531"/>
        <v/>
      </c>
      <c r="HI457" s="658" t="str">
        <f t="shared" si="532"/>
        <v/>
      </c>
      <c r="HJ457" s="658" t="str">
        <f t="shared" si="533"/>
        <v/>
      </c>
      <c r="HK457" s="658" t="str">
        <f t="shared" si="534"/>
        <v/>
      </c>
      <c r="HL457" s="658" t="str">
        <f t="shared" si="535"/>
        <v/>
      </c>
      <c r="HM457" s="658" t="str">
        <f t="shared" si="536"/>
        <v/>
      </c>
      <c r="HN457" s="658" t="str">
        <f t="shared" si="537"/>
        <v/>
      </c>
      <c r="HO457" s="658" t="str">
        <f t="shared" si="538"/>
        <v/>
      </c>
      <c r="HP457" s="658" t="str">
        <f t="shared" si="539"/>
        <v/>
      </c>
      <c r="HQ457" s="658" t="str">
        <f t="shared" si="540"/>
        <v/>
      </c>
      <c r="HR457" s="658" t="str">
        <f t="shared" si="553"/>
        <v/>
      </c>
      <c r="HT457" s="658">
        <f>LEFT(M457,1)*10000+MID(M457,3,LEN(M457)-3)*100+COUNTIF($M$319:M457,M457)</f>
        <v>52201</v>
      </c>
      <c r="HU457" s="658" t="str">
        <f t="shared" si="554"/>
        <v/>
      </c>
      <c r="HV457" s="658" t="str">
        <f t="shared" si="541"/>
        <v/>
      </c>
      <c r="HW457" s="658" t="str">
        <f t="shared" si="555"/>
        <v/>
      </c>
      <c r="HX457" s="658" t="str">
        <f t="shared" si="542"/>
        <v/>
      </c>
    </row>
    <row r="458" spans="1:232" s="19" customFormat="1" ht="50.1" customHeight="1" x14ac:dyDescent="0.15">
      <c r="A458" s="1201"/>
      <c r="B458" s="1201"/>
      <c r="C458" s="1201"/>
      <c r="D458" s="1201"/>
      <c r="E458" s="1202"/>
      <c r="F458" s="652"/>
      <c r="G458" s="652"/>
      <c r="H458" s="652"/>
      <c r="I458" s="1354"/>
      <c r="J458" s="1234"/>
      <c r="K458" s="1261"/>
      <c r="L458" s="1261"/>
      <c r="M458" s="2478" t="s">
        <v>795</v>
      </c>
      <c r="N458" s="2478"/>
      <c r="O458" s="2478"/>
      <c r="P458" s="2433" t="s">
        <v>129</v>
      </c>
      <c r="Q458" s="2433"/>
      <c r="R458" s="2429" t="s">
        <v>130</v>
      </c>
      <c r="S458" s="2429"/>
      <c r="T458" s="2429"/>
      <c r="U458" s="2438" t="s">
        <v>131</v>
      </c>
      <c r="V458" s="2438"/>
      <c r="W458" s="2438"/>
      <c r="X458" s="2438"/>
      <c r="Y458" s="2438"/>
      <c r="Z458" s="2438"/>
      <c r="AA458" s="2438"/>
      <c r="AB458" s="2438"/>
      <c r="AC458" s="2438"/>
      <c r="AD458" s="2438"/>
      <c r="AE458" s="2438"/>
      <c r="AF458" s="2302"/>
      <c r="AG458" s="2302"/>
      <c r="AH458" s="2302"/>
      <c r="AI458" s="2302"/>
      <c r="AJ458" s="2302"/>
      <c r="AK458" s="2302"/>
      <c r="AL458" s="2302"/>
      <c r="AM458" s="2302"/>
      <c r="AN458" s="2302"/>
      <c r="AO458" s="2302"/>
      <c r="AP458" s="2302"/>
      <c r="AQ458" s="2302"/>
      <c r="AR458" s="2272"/>
      <c r="AS458" s="2272"/>
      <c r="AT458" s="2406"/>
      <c r="AU458" s="2406"/>
      <c r="AV458" s="2406"/>
      <c r="AW458" s="2406"/>
      <c r="AX458" s="2406"/>
      <c r="AY458" s="2406"/>
      <c r="AZ458" s="2406"/>
      <c r="BA458" s="2406"/>
      <c r="BB458" s="2406"/>
      <c r="BC458" s="2406"/>
      <c r="BD458" s="2406"/>
      <c r="BE458" s="2406"/>
      <c r="BF458" s="2406"/>
      <c r="BG458" s="2406"/>
      <c r="BH458" s="2406"/>
      <c r="BI458" s="2406"/>
      <c r="BJ458" s="2406"/>
      <c r="BK458" s="2406"/>
      <c r="BL458" s="2406"/>
      <c r="BM458" s="2406"/>
      <c r="BN458" s="2406"/>
      <c r="BO458" s="2406"/>
      <c r="BP458" s="2406"/>
      <c r="BQ458" s="2406"/>
      <c r="BR458" s="2406"/>
      <c r="BS458" s="2271"/>
      <c r="BT458" s="2271"/>
      <c r="BU458" s="2271"/>
      <c r="BV458" s="2271"/>
      <c r="BW458" s="2271"/>
      <c r="BX458" s="2271"/>
      <c r="BY458" s="2271"/>
      <c r="BZ458" s="2272"/>
      <c r="CA458" s="2272"/>
      <c r="CB458" s="2266"/>
      <c r="CC458" s="2267"/>
      <c r="CD458" s="2267"/>
      <c r="CE458" s="2267"/>
      <c r="CF458" s="2267"/>
      <c r="CG458" s="2267"/>
      <c r="CH458" s="2267"/>
      <c r="CI458" s="2267"/>
      <c r="CJ458" s="2267"/>
      <c r="CK458" s="2267"/>
      <c r="CL458" s="2267"/>
      <c r="CM458" s="2267"/>
      <c r="CN458" s="2267"/>
      <c r="CO458" s="2267"/>
      <c r="CP458" s="2267"/>
      <c r="CQ458" s="2267"/>
      <c r="CR458" s="2267"/>
      <c r="CS458" s="2267"/>
      <c r="CT458" s="2267"/>
      <c r="CU458" s="2268"/>
      <c r="CV458" s="2300" t="str">
        <f t="shared" si="471"/>
        <v/>
      </c>
      <c r="CW458" s="2300"/>
      <c r="CX458" s="2300"/>
      <c r="CY458" s="2300"/>
      <c r="CZ458" s="2300"/>
      <c r="DA458" s="2300"/>
      <c r="DC458" s="329" t="str">
        <f t="shared" si="472"/>
        <v/>
      </c>
      <c r="DD458" s="197"/>
      <c r="DF458" s="14"/>
      <c r="DG458" s="14"/>
      <c r="DH458" s="14"/>
      <c r="DI458" s="1596"/>
      <c r="DJ458" s="1170" t="s">
        <v>2749</v>
      </c>
      <c r="DK458" s="1604" t="str">
        <f t="shared" si="473"/>
        <v/>
      </c>
      <c r="DL458" s="437" t="str">
        <f t="shared" si="474"/>
        <v/>
      </c>
      <c r="DM458" s="1128">
        <f t="shared" si="475"/>
        <v>0</v>
      </c>
      <c r="DN458" s="22">
        <f t="shared" si="476"/>
        <v>0</v>
      </c>
      <c r="DO458" s="22">
        <f t="shared" si="477"/>
        <v>0</v>
      </c>
      <c r="DP458" s="264">
        <f t="shared" si="478"/>
        <v>0</v>
      </c>
      <c r="DQ458" s="1134" t="s">
        <v>795</v>
      </c>
      <c r="DR458" s="263" t="str">
        <f>IF($U458="",R458,U458)</f>
        <v>防煙区画の設置の状況</v>
      </c>
      <c r="DS458" s="23">
        <f t="shared" si="480"/>
        <v>0</v>
      </c>
      <c r="DT458" s="29" t="str">
        <f t="shared" si="481"/>
        <v/>
      </c>
      <c r="DU458" s="242" t="str">
        <f t="shared" si="482"/>
        <v/>
      </c>
      <c r="DV458" s="243" t="str">
        <f>IF($DT458="要是正",MAX($DV$432:DV457)+1,"")</f>
        <v/>
      </c>
      <c r="DW458" s="12" t="str">
        <f t="shared" si="483"/>
        <v/>
      </c>
      <c r="DX458" s="30" t="str">
        <f t="shared" si="484"/>
        <v/>
      </c>
      <c r="DY458" s="13" t="str">
        <f t="shared" si="485"/>
        <v/>
      </c>
      <c r="DZ458" s="121" t="str">
        <f t="shared" si="486"/>
        <v/>
      </c>
      <c r="EA458" s="256" t="str">
        <f t="shared" si="487"/>
        <v/>
      </c>
      <c r="EB458" s="138" t="str">
        <f t="shared" si="488"/>
        <v/>
      </c>
      <c r="EC458" s="131" t="str">
        <f t="shared" si="489"/>
        <v>0</v>
      </c>
      <c r="ED458" s="54" t="str">
        <f t="shared" si="490"/>
        <v/>
      </c>
      <c r="EE458" s="131" t="str">
        <f t="shared" si="543"/>
        <v>0</v>
      </c>
      <c r="EF458" s="37" t="str">
        <f t="shared" si="491"/>
        <v/>
      </c>
      <c r="EG458" s="108" t="str">
        <f t="shared" si="492"/>
        <v/>
      </c>
      <c r="EH458" s="41" t="str">
        <f t="shared" si="493"/>
        <v>0</v>
      </c>
      <c r="EI458" s="54" t="str">
        <f t="shared" si="494"/>
        <v/>
      </c>
      <c r="EJ458" s="131" t="str">
        <f t="shared" si="544"/>
        <v>0</v>
      </c>
      <c r="EK458" s="241" t="str">
        <f t="shared" si="495"/>
        <v/>
      </c>
      <c r="EL458" s="242" t="e">
        <f t="shared" si="496"/>
        <v>#N/A</v>
      </c>
      <c r="EM458" s="57" t="e">
        <f t="shared" si="497"/>
        <v>#N/A</v>
      </c>
      <c r="EN458" s="243" t="e">
        <f t="shared" si="498"/>
        <v>#N/A</v>
      </c>
      <c r="FK458" s="326" t="str">
        <f t="shared" si="499"/>
        <v/>
      </c>
      <c r="FL458" s="326" t="str">
        <f t="shared" si="500"/>
        <v/>
      </c>
      <c r="FM458" s="326" t="str">
        <f t="shared" si="501"/>
        <v/>
      </c>
      <c r="FN458" s="326">
        <f t="shared" si="502"/>
        <v>0</v>
      </c>
      <c r="FO458" s="670" t="str">
        <f t="shared" si="503"/>
        <v/>
      </c>
      <c r="FQ458" s="138" t="str">
        <f t="shared" si="504"/>
        <v/>
      </c>
      <c r="FR458" s="131" t="str">
        <f t="shared" si="505"/>
        <v>0</v>
      </c>
      <c r="FS458" s="54" t="str">
        <f t="shared" si="506"/>
        <v/>
      </c>
      <c r="FT458" s="131" t="str">
        <f t="shared" si="507"/>
        <v>0</v>
      </c>
      <c r="FU458" s="217" t="str">
        <f t="shared" si="545"/>
        <v/>
      </c>
      <c r="FW458" s="667">
        <f t="shared" si="556"/>
        <v>0</v>
      </c>
      <c r="FX458" s="32"/>
      <c r="FY458" s="32"/>
      <c r="FZ458" s="668"/>
      <c r="GA458" s="14"/>
      <c r="GB458" s="658">
        <f t="shared" si="508"/>
        <v>0</v>
      </c>
      <c r="GC458" s="658">
        <f t="shared" si="509"/>
        <v>0</v>
      </c>
      <c r="GD458" s="658">
        <f t="shared" si="510"/>
        <v>0</v>
      </c>
      <c r="GE458" s="658" t="str">
        <f t="shared" si="511"/>
        <v/>
      </c>
      <c r="GF458" s="658" t="str">
        <f t="shared" si="512"/>
        <v/>
      </c>
      <c r="GG458" s="658" t="str">
        <f t="shared" si="513"/>
        <v/>
      </c>
      <c r="GH458" s="658" t="str">
        <f t="shared" si="514"/>
        <v/>
      </c>
      <c r="GI458" s="658" t="str">
        <f t="shared" si="515"/>
        <v/>
      </c>
      <c r="GJ458" s="658" t="str">
        <f t="shared" si="516"/>
        <v/>
      </c>
      <c r="GK458" s="658" t="str">
        <f t="shared" si="517"/>
        <v/>
      </c>
      <c r="GL458" s="658" t="str">
        <f t="shared" si="518"/>
        <v/>
      </c>
      <c r="GM458" s="658" t="str">
        <f t="shared" si="519"/>
        <v/>
      </c>
      <c r="GN458" s="658" t="str">
        <f t="shared" si="520"/>
        <v/>
      </c>
      <c r="GO458" s="658" t="str">
        <f t="shared" si="521"/>
        <v/>
      </c>
      <c r="GP458" s="658" t="str">
        <f t="shared" si="522"/>
        <v/>
      </c>
      <c r="GQ458" s="658" t="str">
        <f t="shared" si="523"/>
        <v/>
      </c>
      <c r="GR458" s="658" t="str">
        <f t="shared" si="524"/>
        <v/>
      </c>
      <c r="GS458" s="658" t="str">
        <f t="shared" si="525"/>
        <v/>
      </c>
      <c r="GT458" s="658">
        <f t="shared" si="546"/>
        <v>0</v>
      </c>
      <c r="GU458" s="658">
        <f t="shared" si="547"/>
        <v>0</v>
      </c>
      <c r="GV458" s="658">
        <f t="shared" si="548"/>
        <v>0</v>
      </c>
      <c r="GW458" s="658" t="b">
        <f t="shared" si="549"/>
        <v>0</v>
      </c>
      <c r="GX458" s="658" t="b">
        <f t="shared" si="550"/>
        <v>0</v>
      </c>
      <c r="GY458" s="658" t="b">
        <f t="shared" si="551"/>
        <v>0</v>
      </c>
      <c r="GZ458" s="658" t="str">
        <f t="shared" si="378"/>
        <v/>
      </c>
      <c r="HB458" s="658" t="str">
        <f t="shared" si="552"/>
        <v/>
      </c>
      <c r="HC458" s="658" t="str">
        <f t="shared" si="526"/>
        <v/>
      </c>
      <c r="HD458" s="658" t="str">
        <f t="shared" si="527"/>
        <v/>
      </c>
      <c r="HE458" s="658" t="str">
        <f t="shared" si="528"/>
        <v/>
      </c>
      <c r="HF458" s="658" t="str">
        <f t="shared" si="529"/>
        <v/>
      </c>
      <c r="HG458" s="658" t="str">
        <f t="shared" si="530"/>
        <v/>
      </c>
      <c r="HH458" s="658" t="str">
        <f t="shared" si="531"/>
        <v/>
      </c>
      <c r="HI458" s="658" t="str">
        <f t="shared" si="532"/>
        <v/>
      </c>
      <c r="HJ458" s="658" t="str">
        <f t="shared" si="533"/>
        <v/>
      </c>
      <c r="HK458" s="658" t="str">
        <f t="shared" si="534"/>
        <v/>
      </c>
      <c r="HL458" s="658" t="str">
        <f t="shared" si="535"/>
        <v/>
      </c>
      <c r="HM458" s="658" t="str">
        <f t="shared" si="536"/>
        <v/>
      </c>
      <c r="HN458" s="658" t="str">
        <f t="shared" si="537"/>
        <v/>
      </c>
      <c r="HO458" s="658" t="str">
        <f t="shared" si="538"/>
        <v/>
      </c>
      <c r="HP458" s="658" t="str">
        <f t="shared" si="539"/>
        <v/>
      </c>
      <c r="HQ458" s="658" t="str">
        <f t="shared" si="540"/>
        <v/>
      </c>
      <c r="HR458" s="658" t="str">
        <f t="shared" si="553"/>
        <v/>
      </c>
      <c r="HT458" s="658">
        <f>LEFT(M458,1)*10000+MID(M458,3,LEN(M458)-3)*100+COUNTIF($M$319:M458,M458)</f>
        <v>52301</v>
      </c>
      <c r="HU458" s="658" t="str">
        <f t="shared" si="554"/>
        <v/>
      </c>
      <c r="HV458" s="658" t="str">
        <f t="shared" si="541"/>
        <v/>
      </c>
      <c r="HW458" s="658" t="str">
        <f t="shared" si="555"/>
        <v/>
      </c>
      <c r="HX458" s="658" t="str">
        <f t="shared" si="542"/>
        <v/>
      </c>
    </row>
    <row r="459" spans="1:232" s="19" customFormat="1" ht="50.1" customHeight="1" x14ac:dyDescent="0.15">
      <c r="A459" s="1201"/>
      <c r="B459" s="1201"/>
      <c r="C459" s="1201"/>
      <c r="D459" s="1201"/>
      <c r="E459" s="1202"/>
      <c r="F459" s="652"/>
      <c r="G459" s="652"/>
      <c r="H459" s="652"/>
      <c r="I459" s="1354"/>
      <c r="J459" s="1234"/>
      <c r="K459" s="1261"/>
      <c r="L459" s="1261"/>
      <c r="M459" s="2478" t="s">
        <v>796</v>
      </c>
      <c r="N459" s="2478"/>
      <c r="O459" s="2478"/>
      <c r="P459" s="2433"/>
      <c r="Q459" s="2433"/>
      <c r="R459" s="2429"/>
      <c r="S459" s="2429"/>
      <c r="T459" s="2429"/>
      <c r="U459" s="2435" t="s">
        <v>3040</v>
      </c>
      <c r="V459" s="2435"/>
      <c r="W459" s="2435"/>
      <c r="X459" s="2435"/>
      <c r="Y459" s="2435"/>
      <c r="Z459" s="2435"/>
      <c r="AA459" s="2435"/>
      <c r="AB459" s="2435"/>
      <c r="AC459" s="2435"/>
      <c r="AD459" s="2435"/>
      <c r="AE459" s="2435"/>
      <c r="AF459" s="2282"/>
      <c r="AG459" s="2282"/>
      <c r="AH459" s="2282"/>
      <c r="AI459" s="2282"/>
      <c r="AJ459" s="2282"/>
      <c r="AK459" s="2282"/>
      <c r="AL459" s="2282"/>
      <c r="AM459" s="2282"/>
      <c r="AN459" s="2282"/>
      <c r="AO459" s="2282"/>
      <c r="AP459" s="2282"/>
      <c r="AQ459" s="2282"/>
      <c r="AR459" s="2151"/>
      <c r="AS459" s="2151"/>
      <c r="AT459" s="2292"/>
      <c r="AU459" s="2292"/>
      <c r="AV459" s="2292"/>
      <c r="AW459" s="2292"/>
      <c r="AX459" s="2292"/>
      <c r="AY459" s="2292"/>
      <c r="AZ459" s="2292"/>
      <c r="BA459" s="2292"/>
      <c r="BB459" s="2292"/>
      <c r="BC459" s="2292"/>
      <c r="BD459" s="2292"/>
      <c r="BE459" s="2292"/>
      <c r="BF459" s="2292"/>
      <c r="BG459" s="2292"/>
      <c r="BH459" s="2292"/>
      <c r="BI459" s="2292"/>
      <c r="BJ459" s="2292"/>
      <c r="BK459" s="2292"/>
      <c r="BL459" s="2292"/>
      <c r="BM459" s="2292"/>
      <c r="BN459" s="2292"/>
      <c r="BO459" s="2292"/>
      <c r="BP459" s="2292"/>
      <c r="BQ459" s="2292"/>
      <c r="BR459" s="2292"/>
      <c r="BS459" s="2269"/>
      <c r="BT459" s="2269"/>
      <c r="BU459" s="2269"/>
      <c r="BV459" s="2269"/>
      <c r="BW459" s="2269"/>
      <c r="BX459" s="2269"/>
      <c r="BY459" s="2269"/>
      <c r="BZ459" s="2151"/>
      <c r="CA459" s="2151"/>
      <c r="CB459" s="2355" t="s">
        <v>3324</v>
      </c>
      <c r="CC459" s="2356"/>
      <c r="CD459" s="2356"/>
      <c r="CE459" s="2356"/>
      <c r="CF459" s="2356"/>
      <c r="CG459" s="2356"/>
      <c r="CH459" s="2356"/>
      <c r="CI459" s="2356"/>
      <c r="CJ459" s="2356"/>
      <c r="CK459" s="2356"/>
      <c r="CL459" s="2356"/>
      <c r="CM459" s="2356"/>
      <c r="CN459" s="2356"/>
      <c r="CO459" s="2356"/>
      <c r="CP459" s="2356"/>
      <c r="CQ459" s="2356"/>
      <c r="CR459" s="2356"/>
      <c r="CS459" s="2356"/>
      <c r="CT459" s="2356"/>
      <c r="CU459" s="2357"/>
      <c r="CV459" s="2300" t="str">
        <f t="shared" si="471"/>
        <v/>
      </c>
      <c r="CW459" s="2300"/>
      <c r="CX459" s="2300"/>
      <c r="CY459" s="2300"/>
      <c r="CZ459" s="2300"/>
      <c r="DA459" s="2300"/>
      <c r="DC459" s="329" t="str">
        <f t="shared" si="472"/>
        <v/>
      </c>
      <c r="DD459" s="197"/>
      <c r="DF459" s="14"/>
      <c r="DG459" s="14"/>
      <c r="DH459" s="14"/>
      <c r="DI459" s="1596"/>
      <c r="DJ459" s="1170" t="s">
        <v>2749</v>
      </c>
      <c r="DK459" s="1604" t="str">
        <f t="shared" si="473"/>
        <v/>
      </c>
      <c r="DL459" s="437" t="str">
        <f t="shared" si="474"/>
        <v/>
      </c>
      <c r="DM459" s="1128">
        <f t="shared" si="475"/>
        <v>0</v>
      </c>
      <c r="DN459" s="22">
        <f t="shared" si="476"/>
        <v>0</v>
      </c>
      <c r="DO459" s="22">
        <f t="shared" si="477"/>
        <v>0</v>
      </c>
      <c r="DP459" s="264">
        <f t="shared" si="478"/>
        <v>0</v>
      </c>
      <c r="DQ459" s="1134" t="s">
        <v>796</v>
      </c>
      <c r="DR459" s="263" t="str">
        <f>IF($U459="",R459,U459)</f>
        <v>防煙壁の劣化及び損傷の状況</v>
      </c>
      <c r="DS459" s="23">
        <f t="shared" si="480"/>
        <v>0</v>
      </c>
      <c r="DT459" s="29" t="str">
        <f t="shared" si="481"/>
        <v/>
      </c>
      <c r="DU459" s="242" t="str">
        <f t="shared" si="482"/>
        <v/>
      </c>
      <c r="DV459" s="243" t="str">
        <f>IF($DT459="要是正",MAX($DV$432:DV458)+1,"")</f>
        <v/>
      </c>
      <c r="DW459" s="12" t="str">
        <f t="shared" si="483"/>
        <v/>
      </c>
      <c r="DX459" s="30" t="str">
        <f t="shared" si="484"/>
        <v/>
      </c>
      <c r="DY459" s="13" t="str">
        <f t="shared" si="485"/>
        <v/>
      </c>
      <c r="DZ459" s="121" t="str">
        <f t="shared" si="486"/>
        <v/>
      </c>
      <c r="EA459" s="256" t="str">
        <f t="shared" si="487"/>
        <v/>
      </c>
      <c r="EB459" s="138" t="str">
        <f t="shared" si="488"/>
        <v/>
      </c>
      <c r="EC459" s="131" t="str">
        <f t="shared" si="489"/>
        <v>0</v>
      </c>
      <c r="ED459" s="54" t="str">
        <f t="shared" si="490"/>
        <v/>
      </c>
      <c r="EE459" s="131" t="str">
        <f t="shared" si="543"/>
        <v>0</v>
      </c>
      <c r="EF459" s="37" t="str">
        <f t="shared" si="491"/>
        <v/>
      </c>
      <c r="EG459" s="108" t="str">
        <f t="shared" si="492"/>
        <v/>
      </c>
      <c r="EH459" s="41" t="str">
        <f t="shared" si="493"/>
        <v>0</v>
      </c>
      <c r="EI459" s="54" t="str">
        <f t="shared" si="494"/>
        <v/>
      </c>
      <c r="EJ459" s="131" t="str">
        <f t="shared" si="544"/>
        <v>0</v>
      </c>
      <c r="EK459" s="241" t="str">
        <f t="shared" si="495"/>
        <v/>
      </c>
      <c r="EL459" s="242" t="e">
        <f t="shared" si="496"/>
        <v>#N/A</v>
      </c>
      <c r="EM459" s="57" t="e">
        <f t="shared" si="497"/>
        <v>#N/A</v>
      </c>
      <c r="EN459" s="243" t="e">
        <f t="shared" si="498"/>
        <v>#N/A</v>
      </c>
      <c r="FK459" s="326" t="str">
        <f t="shared" si="499"/>
        <v/>
      </c>
      <c r="FL459" s="326" t="str">
        <f t="shared" si="500"/>
        <v/>
      </c>
      <c r="FM459" s="326" t="str">
        <f t="shared" si="501"/>
        <v/>
      </c>
      <c r="FN459" s="326">
        <f t="shared" si="502"/>
        <v>0</v>
      </c>
      <c r="FO459" s="670" t="str">
        <f t="shared" si="503"/>
        <v/>
      </c>
      <c r="FQ459" s="138" t="str">
        <f t="shared" si="504"/>
        <v/>
      </c>
      <c r="FR459" s="131" t="str">
        <f t="shared" si="505"/>
        <v>0</v>
      </c>
      <c r="FS459" s="54" t="str">
        <f t="shared" si="506"/>
        <v/>
      </c>
      <c r="FT459" s="131" t="str">
        <f t="shared" si="507"/>
        <v>0</v>
      </c>
      <c r="FU459" s="217" t="str">
        <f t="shared" si="545"/>
        <v/>
      </c>
      <c r="FW459" s="667">
        <f t="shared" si="556"/>
        <v>0</v>
      </c>
      <c r="FX459" s="32"/>
      <c r="FY459" s="32"/>
      <c r="FZ459" s="668"/>
      <c r="GA459" s="14"/>
      <c r="GB459" s="658">
        <f t="shared" si="508"/>
        <v>0</v>
      </c>
      <c r="GC459" s="658">
        <f t="shared" si="509"/>
        <v>0</v>
      </c>
      <c r="GD459" s="658">
        <f t="shared" si="510"/>
        <v>0</v>
      </c>
      <c r="GE459" s="658" t="str">
        <f t="shared" si="511"/>
        <v/>
      </c>
      <c r="GF459" s="658" t="str">
        <f t="shared" si="512"/>
        <v/>
      </c>
      <c r="GG459" s="658" t="str">
        <f t="shared" si="513"/>
        <v/>
      </c>
      <c r="GH459" s="658" t="str">
        <f t="shared" si="514"/>
        <v/>
      </c>
      <c r="GI459" s="658" t="str">
        <f t="shared" si="515"/>
        <v/>
      </c>
      <c r="GJ459" s="658" t="str">
        <f t="shared" si="516"/>
        <v/>
      </c>
      <c r="GK459" s="658" t="str">
        <f t="shared" si="517"/>
        <v/>
      </c>
      <c r="GL459" s="658" t="str">
        <f t="shared" si="518"/>
        <v/>
      </c>
      <c r="GM459" s="658" t="str">
        <f t="shared" si="519"/>
        <v/>
      </c>
      <c r="GN459" s="658" t="str">
        <f t="shared" si="520"/>
        <v/>
      </c>
      <c r="GO459" s="658" t="str">
        <f t="shared" si="521"/>
        <v/>
      </c>
      <c r="GP459" s="658" t="str">
        <f t="shared" si="522"/>
        <v/>
      </c>
      <c r="GQ459" s="658" t="str">
        <f t="shared" si="523"/>
        <v/>
      </c>
      <c r="GR459" s="658" t="str">
        <f t="shared" si="524"/>
        <v/>
      </c>
      <c r="GS459" s="658" t="str">
        <f t="shared" si="525"/>
        <v/>
      </c>
      <c r="GT459" s="658">
        <f t="shared" si="546"/>
        <v>0</v>
      </c>
      <c r="GU459" s="658">
        <f t="shared" si="547"/>
        <v>0</v>
      </c>
      <c r="GV459" s="658">
        <f t="shared" si="548"/>
        <v>0</v>
      </c>
      <c r="GW459" s="658" t="b">
        <f t="shared" si="549"/>
        <v>0</v>
      </c>
      <c r="GX459" s="658" t="b">
        <f t="shared" si="550"/>
        <v>0</v>
      </c>
      <c r="GY459" s="658" t="b">
        <f t="shared" si="551"/>
        <v>0</v>
      </c>
      <c r="GZ459" s="658" t="str">
        <f t="shared" si="378"/>
        <v/>
      </c>
      <c r="HB459" s="658" t="str">
        <f t="shared" si="552"/>
        <v/>
      </c>
      <c r="HC459" s="658" t="str">
        <f t="shared" si="526"/>
        <v/>
      </c>
      <c r="HD459" s="658" t="str">
        <f t="shared" si="527"/>
        <v/>
      </c>
      <c r="HE459" s="658" t="str">
        <f t="shared" si="528"/>
        <v/>
      </c>
      <c r="HF459" s="658" t="str">
        <f t="shared" si="529"/>
        <v/>
      </c>
      <c r="HG459" s="658" t="str">
        <f t="shared" si="530"/>
        <v/>
      </c>
      <c r="HH459" s="658" t="str">
        <f t="shared" si="531"/>
        <v/>
      </c>
      <c r="HI459" s="658" t="str">
        <f t="shared" si="532"/>
        <v/>
      </c>
      <c r="HJ459" s="658" t="str">
        <f t="shared" si="533"/>
        <v/>
      </c>
      <c r="HK459" s="658" t="str">
        <f t="shared" si="534"/>
        <v/>
      </c>
      <c r="HL459" s="658" t="str">
        <f t="shared" si="535"/>
        <v/>
      </c>
      <c r="HM459" s="658" t="str">
        <f t="shared" si="536"/>
        <v/>
      </c>
      <c r="HN459" s="658" t="str">
        <f t="shared" si="537"/>
        <v/>
      </c>
      <c r="HO459" s="658" t="str">
        <f t="shared" si="538"/>
        <v/>
      </c>
      <c r="HP459" s="658" t="str">
        <f t="shared" si="539"/>
        <v/>
      </c>
      <c r="HQ459" s="658" t="str">
        <f t="shared" si="540"/>
        <v/>
      </c>
      <c r="HR459" s="658" t="str">
        <f t="shared" si="553"/>
        <v/>
      </c>
      <c r="HT459" s="658">
        <f>LEFT(M459,1)*10000+MID(M459,3,LEN(M459)-3)*100+COUNTIF($M$319:M459,M459)</f>
        <v>52401</v>
      </c>
      <c r="HU459" s="658" t="str">
        <f t="shared" si="554"/>
        <v/>
      </c>
      <c r="HV459" s="658" t="str">
        <f t="shared" si="541"/>
        <v/>
      </c>
      <c r="HW459" s="658" t="str">
        <f t="shared" si="555"/>
        <v/>
      </c>
      <c r="HX459" s="658" t="str">
        <f t="shared" si="542"/>
        <v/>
      </c>
    </row>
    <row r="460" spans="1:232" s="19" customFormat="1" ht="50.1" customHeight="1" x14ac:dyDescent="0.15">
      <c r="A460" s="1201"/>
      <c r="B460" s="1201"/>
      <c r="C460" s="1201"/>
      <c r="D460" s="1201"/>
      <c r="E460" s="1202"/>
      <c r="F460" s="652"/>
      <c r="G460" s="652"/>
      <c r="H460" s="652"/>
      <c r="I460" s="1354"/>
      <c r="J460" s="1234"/>
      <c r="K460" s="1261"/>
      <c r="L460" s="1261"/>
      <c r="M460" s="2478" t="s">
        <v>797</v>
      </c>
      <c r="N460" s="2478"/>
      <c r="O460" s="2478"/>
      <c r="P460" s="2433"/>
      <c r="Q460" s="2433"/>
      <c r="R460" s="2429" t="s">
        <v>132</v>
      </c>
      <c r="S460" s="2429"/>
      <c r="T460" s="2429"/>
      <c r="U460" s="2438" t="s">
        <v>133</v>
      </c>
      <c r="V460" s="2438"/>
      <c r="W460" s="2438"/>
      <c r="X460" s="2438"/>
      <c r="Y460" s="2438"/>
      <c r="Z460" s="2438"/>
      <c r="AA460" s="2438"/>
      <c r="AB460" s="2438"/>
      <c r="AC460" s="2438"/>
      <c r="AD460" s="2438"/>
      <c r="AE460" s="2438"/>
      <c r="AF460" s="2302"/>
      <c r="AG460" s="2302"/>
      <c r="AH460" s="2302"/>
      <c r="AI460" s="2302"/>
      <c r="AJ460" s="2302"/>
      <c r="AK460" s="2302"/>
      <c r="AL460" s="2302"/>
      <c r="AM460" s="2302"/>
      <c r="AN460" s="2302"/>
      <c r="AO460" s="2302"/>
      <c r="AP460" s="2302"/>
      <c r="AQ460" s="2302"/>
      <c r="AR460" s="2272"/>
      <c r="AS460" s="2272"/>
      <c r="AT460" s="2406"/>
      <c r="AU460" s="2406"/>
      <c r="AV460" s="2406"/>
      <c r="AW460" s="2406"/>
      <c r="AX460" s="2406"/>
      <c r="AY460" s="2406"/>
      <c r="AZ460" s="2406"/>
      <c r="BA460" s="2406"/>
      <c r="BB460" s="2406"/>
      <c r="BC460" s="2406"/>
      <c r="BD460" s="2406"/>
      <c r="BE460" s="2406"/>
      <c r="BF460" s="2406"/>
      <c r="BG460" s="2406"/>
      <c r="BH460" s="2406"/>
      <c r="BI460" s="2406"/>
      <c r="BJ460" s="2406"/>
      <c r="BK460" s="2406"/>
      <c r="BL460" s="2406"/>
      <c r="BM460" s="2406"/>
      <c r="BN460" s="2406"/>
      <c r="BO460" s="2406"/>
      <c r="BP460" s="2406"/>
      <c r="BQ460" s="2406"/>
      <c r="BR460" s="2406"/>
      <c r="BS460" s="2271"/>
      <c r="BT460" s="2271"/>
      <c r="BU460" s="2271"/>
      <c r="BV460" s="2271"/>
      <c r="BW460" s="2271"/>
      <c r="BX460" s="2271"/>
      <c r="BY460" s="2271"/>
      <c r="BZ460" s="2272"/>
      <c r="CA460" s="2272"/>
      <c r="CB460" s="2908" t="s">
        <v>3386</v>
      </c>
      <c r="CC460" s="2909"/>
      <c r="CD460" s="2909"/>
      <c r="CE460" s="2909"/>
      <c r="CF460" s="2909"/>
      <c r="CG460" s="2909"/>
      <c r="CH460" s="2909"/>
      <c r="CI460" s="2909"/>
      <c r="CJ460" s="2909"/>
      <c r="CK460" s="2909"/>
      <c r="CL460" s="2909"/>
      <c r="CM460" s="2909"/>
      <c r="CN460" s="2909"/>
      <c r="CO460" s="2909"/>
      <c r="CP460" s="2909"/>
      <c r="CQ460" s="2909"/>
      <c r="CR460" s="2909"/>
      <c r="CS460" s="2909"/>
      <c r="CT460" s="2909"/>
      <c r="CU460" s="2910"/>
      <c r="CV460" s="2300" t="str">
        <f t="shared" si="471"/>
        <v/>
      </c>
      <c r="CW460" s="2300"/>
      <c r="CX460" s="2300"/>
      <c r="CY460" s="2300"/>
      <c r="CZ460" s="2300"/>
      <c r="DA460" s="2300"/>
      <c r="DC460" s="329" t="str">
        <f t="shared" si="472"/>
        <v/>
      </c>
      <c r="DD460" s="197"/>
      <c r="DF460" s="14"/>
      <c r="DG460" s="14"/>
      <c r="DH460" s="14"/>
      <c r="DI460" s="1596"/>
      <c r="DJ460" s="1170" t="s">
        <v>2749</v>
      </c>
      <c r="DK460" s="1604" t="str">
        <f t="shared" si="473"/>
        <v/>
      </c>
      <c r="DL460" s="437" t="str">
        <f t="shared" si="474"/>
        <v/>
      </c>
      <c r="DM460" s="1128">
        <f t="shared" si="475"/>
        <v>0</v>
      </c>
      <c r="DN460" s="22">
        <f t="shared" si="476"/>
        <v>0</v>
      </c>
      <c r="DO460" s="22">
        <f t="shared" si="477"/>
        <v>0</v>
      </c>
      <c r="DP460" s="264">
        <f t="shared" si="478"/>
        <v>0</v>
      </c>
      <c r="DQ460" s="1134" t="s">
        <v>797</v>
      </c>
      <c r="DR460" s="263" t="str">
        <f>IF($U460="",R460,U460)</f>
        <v>排煙設備の設置の状況</v>
      </c>
      <c r="DS460" s="23">
        <f t="shared" si="480"/>
        <v>0</v>
      </c>
      <c r="DT460" s="29" t="str">
        <f t="shared" si="481"/>
        <v/>
      </c>
      <c r="DU460" s="242" t="str">
        <f t="shared" si="482"/>
        <v/>
      </c>
      <c r="DV460" s="243" t="str">
        <f>IF($DT460="要是正",MAX($DV$432:DV459)+1,"")</f>
        <v/>
      </c>
      <c r="DW460" s="12" t="str">
        <f t="shared" si="483"/>
        <v/>
      </c>
      <c r="DX460" s="30" t="str">
        <f t="shared" si="484"/>
        <v/>
      </c>
      <c r="DY460" s="13" t="str">
        <f t="shared" si="485"/>
        <v/>
      </c>
      <c r="DZ460" s="121" t="str">
        <f t="shared" si="486"/>
        <v/>
      </c>
      <c r="EA460" s="256" t="str">
        <f t="shared" si="487"/>
        <v/>
      </c>
      <c r="EB460" s="138" t="str">
        <f t="shared" si="488"/>
        <v/>
      </c>
      <c r="EC460" s="131" t="str">
        <f t="shared" si="489"/>
        <v>0</v>
      </c>
      <c r="ED460" s="54" t="str">
        <f t="shared" si="490"/>
        <v/>
      </c>
      <c r="EE460" s="131" t="str">
        <f t="shared" si="543"/>
        <v>0</v>
      </c>
      <c r="EF460" s="37" t="str">
        <f t="shared" si="491"/>
        <v/>
      </c>
      <c r="EG460" s="108" t="str">
        <f t="shared" si="492"/>
        <v/>
      </c>
      <c r="EH460" s="41" t="str">
        <f t="shared" si="493"/>
        <v>0</v>
      </c>
      <c r="EI460" s="54" t="str">
        <f t="shared" si="494"/>
        <v/>
      </c>
      <c r="EJ460" s="131" t="str">
        <f t="shared" si="544"/>
        <v>0</v>
      </c>
      <c r="EK460" s="241" t="str">
        <f t="shared" si="495"/>
        <v/>
      </c>
      <c r="EL460" s="242" t="e">
        <f t="shared" si="496"/>
        <v>#N/A</v>
      </c>
      <c r="EM460" s="57" t="e">
        <f t="shared" si="497"/>
        <v>#N/A</v>
      </c>
      <c r="EN460" s="243" t="e">
        <f t="shared" si="498"/>
        <v>#N/A</v>
      </c>
      <c r="FK460" s="326" t="str">
        <f t="shared" si="499"/>
        <v/>
      </c>
      <c r="FL460" s="326" t="str">
        <f t="shared" si="500"/>
        <v/>
      </c>
      <c r="FM460" s="326" t="str">
        <f t="shared" si="501"/>
        <v/>
      </c>
      <c r="FN460" s="326">
        <f t="shared" si="502"/>
        <v>0</v>
      </c>
      <c r="FO460" s="670" t="str">
        <f t="shared" si="503"/>
        <v/>
      </c>
      <c r="FQ460" s="138" t="str">
        <f t="shared" si="504"/>
        <v/>
      </c>
      <c r="FR460" s="131" t="str">
        <f t="shared" si="505"/>
        <v>0</v>
      </c>
      <c r="FS460" s="54" t="str">
        <f t="shared" si="506"/>
        <v/>
      </c>
      <c r="FT460" s="131" t="str">
        <f t="shared" si="507"/>
        <v>0</v>
      </c>
      <c r="FU460" s="217" t="str">
        <f t="shared" si="545"/>
        <v/>
      </c>
      <c r="FW460" s="667">
        <f t="shared" si="556"/>
        <v>0</v>
      </c>
      <c r="FX460" s="32"/>
      <c r="FY460" s="32"/>
      <c r="FZ460" s="668"/>
      <c r="GA460" s="14"/>
      <c r="GB460" s="658">
        <f t="shared" si="508"/>
        <v>0</v>
      </c>
      <c r="GC460" s="658">
        <f t="shared" si="509"/>
        <v>0</v>
      </c>
      <c r="GD460" s="658">
        <f t="shared" si="510"/>
        <v>0</v>
      </c>
      <c r="GE460" s="658" t="str">
        <f t="shared" si="511"/>
        <v/>
      </c>
      <c r="GF460" s="658" t="str">
        <f t="shared" si="512"/>
        <v/>
      </c>
      <c r="GG460" s="658" t="str">
        <f t="shared" si="513"/>
        <v/>
      </c>
      <c r="GH460" s="658" t="str">
        <f t="shared" si="514"/>
        <v/>
      </c>
      <c r="GI460" s="658" t="str">
        <f t="shared" si="515"/>
        <v/>
      </c>
      <c r="GJ460" s="658" t="str">
        <f t="shared" si="516"/>
        <v/>
      </c>
      <c r="GK460" s="658" t="str">
        <f t="shared" si="517"/>
        <v/>
      </c>
      <c r="GL460" s="658" t="str">
        <f t="shared" si="518"/>
        <v/>
      </c>
      <c r="GM460" s="658" t="str">
        <f t="shared" si="519"/>
        <v/>
      </c>
      <c r="GN460" s="658" t="str">
        <f t="shared" si="520"/>
        <v/>
      </c>
      <c r="GO460" s="658" t="str">
        <f t="shared" si="521"/>
        <v/>
      </c>
      <c r="GP460" s="658" t="str">
        <f t="shared" si="522"/>
        <v/>
      </c>
      <c r="GQ460" s="658" t="str">
        <f t="shared" si="523"/>
        <v/>
      </c>
      <c r="GR460" s="658" t="str">
        <f t="shared" si="524"/>
        <v/>
      </c>
      <c r="GS460" s="658" t="str">
        <f t="shared" si="525"/>
        <v/>
      </c>
      <c r="GT460" s="658">
        <f t="shared" si="546"/>
        <v>0</v>
      </c>
      <c r="GU460" s="658">
        <f t="shared" si="547"/>
        <v>0</v>
      </c>
      <c r="GV460" s="658">
        <f t="shared" si="548"/>
        <v>0</v>
      </c>
      <c r="GW460" s="658" t="b">
        <f t="shared" si="549"/>
        <v>0</v>
      </c>
      <c r="GX460" s="658" t="b">
        <f t="shared" si="550"/>
        <v>0</v>
      </c>
      <c r="GY460" s="658" t="b">
        <f t="shared" si="551"/>
        <v>0</v>
      </c>
      <c r="GZ460" s="658" t="str">
        <f t="shared" si="378"/>
        <v/>
      </c>
      <c r="HB460" s="658" t="str">
        <f t="shared" si="552"/>
        <v/>
      </c>
      <c r="HC460" s="658" t="str">
        <f t="shared" si="526"/>
        <v/>
      </c>
      <c r="HD460" s="658" t="str">
        <f t="shared" si="527"/>
        <v/>
      </c>
      <c r="HE460" s="658" t="str">
        <f t="shared" si="528"/>
        <v/>
      </c>
      <c r="HF460" s="658" t="str">
        <f t="shared" si="529"/>
        <v/>
      </c>
      <c r="HG460" s="658" t="str">
        <f t="shared" si="530"/>
        <v/>
      </c>
      <c r="HH460" s="658" t="str">
        <f t="shared" si="531"/>
        <v/>
      </c>
      <c r="HI460" s="658" t="str">
        <f t="shared" si="532"/>
        <v/>
      </c>
      <c r="HJ460" s="658" t="str">
        <f t="shared" si="533"/>
        <v/>
      </c>
      <c r="HK460" s="658" t="str">
        <f t="shared" si="534"/>
        <v/>
      </c>
      <c r="HL460" s="658" t="str">
        <f t="shared" si="535"/>
        <v/>
      </c>
      <c r="HM460" s="658" t="str">
        <f t="shared" si="536"/>
        <v/>
      </c>
      <c r="HN460" s="658" t="str">
        <f t="shared" si="537"/>
        <v/>
      </c>
      <c r="HO460" s="658" t="str">
        <f t="shared" si="538"/>
        <v/>
      </c>
      <c r="HP460" s="658" t="str">
        <f t="shared" si="539"/>
        <v/>
      </c>
      <c r="HQ460" s="658" t="str">
        <f t="shared" si="540"/>
        <v/>
      </c>
      <c r="HR460" s="658" t="str">
        <f t="shared" si="553"/>
        <v/>
      </c>
      <c r="HT460" s="658">
        <f>LEFT(M460,1)*10000+MID(M460,3,LEN(M460)-3)*100+COUNTIF($M$319:M460,M460)</f>
        <v>52501</v>
      </c>
      <c r="HU460" s="658" t="str">
        <f t="shared" si="554"/>
        <v/>
      </c>
      <c r="HV460" s="658" t="str">
        <f t="shared" si="541"/>
        <v/>
      </c>
      <c r="HW460" s="658" t="str">
        <f t="shared" si="555"/>
        <v/>
      </c>
      <c r="HX460" s="658" t="str">
        <f t="shared" si="542"/>
        <v/>
      </c>
    </row>
    <row r="461" spans="1:232" s="19" customFormat="1" ht="110.25" customHeight="1" x14ac:dyDescent="0.15">
      <c r="A461" s="1201"/>
      <c r="B461" s="1201"/>
      <c r="C461" s="1201"/>
      <c r="D461" s="1201"/>
      <c r="E461" s="1202"/>
      <c r="F461" s="652"/>
      <c r="G461" s="652"/>
      <c r="H461" s="652"/>
      <c r="I461" s="1354"/>
      <c r="J461" s="1234"/>
      <c r="K461" s="1261"/>
      <c r="L461" s="1261"/>
      <c r="M461" s="2478" t="s">
        <v>798</v>
      </c>
      <c r="N461" s="2478"/>
      <c r="O461" s="2478"/>
      <c r="P461" s="2433"/>
      <c r="Q461" s="2433"/>
      <c r="R461" s="2429"/>
      <c r="S461" s="2429"/>
      <c r="T461" s="2429"/>
      <c r="U461" s="2431" t="s">
        <v>3041</v>
      </c>
      <c r="V461" s="2431"/>
      <c r="W461" s="2431"/>
      <c r="X461" s="2431"/>
      <c r="Y461" s="2431"/>
      <c r="Z461" s="2431"/>
      <c r="AA461" s="2431"/>
      <c r="AB461" s="2431"/>
      <c r="AC461" s="2431"/>
      <c r="AD461" s="2431"/>
      <c r="AE461" s="2431"/>
      <c r="AF461" s="2303"/>
      <c r="AG461" s="2303"/>
      <c r="AH461" s="2303"/>
      <c r="AI461" s="2303"/>
      <c r="AJ461" s="2303"/>
      <c r="AK461" s="2303"/>
      <c r="AL461" s="2303"/>
      <c r="AM461" s="2303"/>
      <c r="AN461" s="2303"/>
      <c r="AO461" s="2303"/>
      <c r="AP461" s="2303"/>
      <c r="AQ461" s="2303"/>
      <c r="AR461" s="2297"/>
      <c r="AS461" s="2297"/>
      <c r="AT461" s="2135"/>
      <c r="AU461" s="2135"/>
      <c r="AV461" s="2135"/>
      <c r="AW461" s="2135"/>
      <c r="AX461" s="2135"/>
      <c r="AY461" s="2135"/>
      <c r="AZ461" s="2135"/>
      <c r="BA461" s="2135"/>
      <c r="BB461" s="2135"/>
      <c r="BC461" s="2135"/>
      <c r="BD461" s="2135"/>
      <c r="BE461" s="2135"/>
      <c r="BF461" s="2135"/>
      <c r="BG461" s="2135"/>
      <c r="BH461" s="2135"/>
      <c r="BI461" s="2135"/>
      <c r="BJ461" s="2135"/>
      <c r="BK461" s="2135"/>
      <c r="BL461" s="2135"/>
      <c r="BM461" s="2135"/>
      <c r="BN461" s="2135"/>
      <c r="BO461" s="2135"/>
      <c r="BP461" s="2135"/>
      <c r="BQ461" s="2135"/>
      <c r="BR461" s="2135"/>
      <c r="BS461" s="2354"/>
      <c r="BT461" s="2354"/>
      <c r="BU461" s="2354"/>
      <c r="BV461" s="2354"/>
      <c r="BW461" s="2354"/>
      <c r="BX461" s="2354"/>
      <c r="BY461" s="2354"/>
      <c r="BZ461" s="2297"/>
      <c r="CA461" s="2297"/>
      <c r="CB461" s="2911"/>
      <c r="CC461" s="2912"/>
      <c r="CD461" s="2912"/>
      <c r="CE461" s="2912"/>
      <c r="CF461" s="2912"/>
      <c r="CG461" s="2912"/>
      <c r="CH461" s="2912"/>
      <c r="CI461" s="2912"/>
      <c r="CJ461" s="2912"/>
      <c r="CK461" s="2912"/>
      <c r="CL461" s="2912"/>
      <c r="CM461" s="2912"/>
      <c r="CN461" s="2912"/>
      <c r="CO461" s="2912"/>
      <c r="CP461" s="2912"/>
      <c r="CQ461" s="2912"/>
      <c r="CR461" s="2912"/>
      <c r="CS461" s="2912"/>
      <c r="CT461" s="2912"/>
      <c r="CU461" s="2913"/>
      <c r="CV461" s="2300" t="str">
        <f t="shared" si="471"/>
        <v/>
      </c>
      <c r="CW461" s="2300"/>
      <c r="CX461" s="2300"/>
      <c r="CY461" s="2300"/>
      <c r="CZ461" s="2300"/>
      <c r="DA461" s="2300"/>
      <c r="DC461" s="329" t="str">
        <f t="shared" si="472"/>
        <v/>
      </c>
      <c r="DD461" s="197"/>
      <c r="DF461" s="14"/>
      <c r="DG461" s="14"/>
      <c r="DH461" s="14"/>
      <c r="DI461" s="1596"/>
      <c r="DJ461" s="1170" t="s">
        <v>2749</v>
      </c>
      <c r="DK461" s="1604" t="str">
        <f t="shared" si="473"/>
        <v/>
      </c>
      <c r="DL461" s="437" t="str">
        <f t="shared" si="474"/>
        <v/>
      </c>
      <c r="DM461" s="1128">
        <f t="shared" si="475"/>
        <v>0</v>
      </c>
      <c r="DN461" s="22">
        <f t="shared" si="476"/>
        <v>0</v>
      </c>
      <c r="DO461" s="22">
        <f t="shared" si="477"/>
        <v>0</v>
      </c>
      <c r="DP461" s="264">
        <f t="shared" si="478"/>
        <v>0</v>
      </c>
      <c r="DQ461" s="1134" t="s">
        <v>798</v>
      </c>
      <c r="DR461" s="263" t="str">
        <f>IF($U461="",R460,U461)</f>
        <v>排煙口の維持保全の状況</v>
      </c>
      <c r="DS461" s="23">
        <f t="shared" si="480"/>
        <v>0</v>
      </c>
      <c r="DT461" s="29" t="str">
        <f t="shared" si="481"/>
        <v/>
      </c>
      <c r="DU461" s="242" t="str">
        <f t="shared" si="482"/>
        <v/>
      </c>
      <c r="DV461" s="243" t="str">
        <f>IF($DT461="要是正",MAX($DV$432:DV460)+1,"")</f>
        <v/>
      </c>
      <c r="DW461" s="12" t="str">
        <f t="shared" si="483"/>
        <v/>
      </c>
      <c r="DX461" s="30" t="str">
        <f t="shared" si="484"/>
        <v/>
      </c>
      <c r="DY461" s="13" t="str">
        <f t="shared" si="485"/>
        <v/>
      </c>
      <c r="DZ461" s="121" t="str">
        <f t="shared" si="486"/>
        <v/>
      </c>
      <c r="EA461" s="256" t="str">
        <f t="shared" si="487"/>
        <v/>
      </c>
      <c r="EB461" s="138" t="str">
        <f t="shared" si="488"/>
        <v/>
      </c>
      <c r="EC461" s="131" t="str">
        <f t="shared" si="489"/>
        <v>0</v>
      </c>
      <c r="ED461" s="54" t="str">
        <f t="shared" si="490"/>
        <v/>
      </c>
      <c r="EE461" s="131" t="str">
        <f t="shared" si="543"/>
        <v>0</v>
      </c>
      <c r="EF461" s="37" t="str">
        <f t="shared" si="491"/>
        <v/>
      </c>
      <c r="EG461" s="108" t="str">
        <f t="shared" si="492"/>
        <v/>
      </c>
      <c r="EH461" s="41" t="str">
        <f t="shared" si="493"/>
        <v>0</v>
      </c>
      <c r="EI461" s="54" t="str">
        <f t="shared" si="494"/>
        <v/>
      </c>
      <c r="EJ461" s="131" t="str">
        <f t="shared" si="544"/>
        <v>0</v>
      </c>
      <c r="EK461" s="241" t="str">
        <f t="shared" si="495"/>
        <v/>
      </c>
      <c r="EL461" s="242" t="e">
        <f t="shared" si="496"/>
        <v>#N/A</v>
      </c>
      <c r="EM461" s="57" t="e">
        <f t="shared" si="497"/>
        <v>#N/A</v>
      </c>
      <c r="EN461" s="243" t="e">
        <f t="shared" si="498"/>
        <v>#N/A</v>
      </c>
      <c r="FK461" s="326" t="str">
        <f t="shared" si="499"/>
        <v/>
      </c>
      <c r="FL461" s="326" t="str">
        <f t="shared" si="500"/>
        <v/>
      </c>
      <c r="FM461" s="326" t="str">
        <f t="shared" si="501"/>
        <v/>
      </c>
      <c r="FN461" s="326">
        <f t="shared" si="502"/>
        <v>0</v>
      </c>
      <c r="FO461" s="670" t="str">
        <f t="shared" si="503"/>
        <v/>
      </c>
      <c r="FQ461" s="138" t="str">
        <f t="shared" si="504"/>
        <v/>
      </c>
      <c r="FR461" s="131" t="str">
        <f t="shared" si="505"/>
        <v>0</v>
      </c>
      <c r="FS461" s="54" t="str">
        <f t="shared" si="506"/>
        <v/>
      </c>
      <c r="FT461" s="131" t="str">
        <f t="shared" si="507"/>
        <v>0</v>
      </c>
      <c r="FU461" s="217" t="str">
        <f t="shared" si="545"/>
        <v/>
      </c>
      <c r="FW461" s="667">
        <f t="shared" si="556"/>
        <v>0</v>
      </c>
      <c r="FX461" s="32"/>
      <c r="FY461" s="32"/>
      <c r="FZ461" s="668"/>
      <c r="GA461" s="14"/>
      <c r="GB461" s="658">
        <f t="shared" si="508"/>
        <v>0</v>
      </c>
      <c r="GC461" s="658">
        <f t="shared" si="509"/>
        <v>0</v>
      </c>
      <c r="GD461" s="658">
        <f t="shared" si="510"/>
        <v>0</v>
      </c>
      <c r="GE461" s="658" t="str">
        <f t="shared" si="511"/>
        <v/>
      </c>
      <c r="GF461" s="658" t="str">
        <f t="shared" si="512"/>
        <v/>
      </c>
      <c r="GG461" s="658" t="str">
        <f t="shared" si="513"/>
        <v/>
      </c>
      <c r="GH461" s="658" t="str">
        <f t="shared" si="514"/>
        <v/>
      </c>
      <c r="GI461" s="658" t="str">
        <f t="shared" si="515"/>
        <v/>
      </c>
      <c r="GJ461" s="658" t="str">
        <f t="shared" si="516"/>
        <v/>
      </c>
      <c r="GK461" s="658" t="str">
        <f t="shared" si="517"/>
        <v/>
      </c>
      <c r="GL461" s="658" t="str">
        <f t="shared" si="518"/>
        <v/>
      </c>
      <c r="GM461" s="658" t="str">
        <f t="shared" si="519"/>
        <v/>
      </c>
      <c r="GN461" s="658" t="str">
        <f t="shared" si="520"/>
        <v/>
      </c>
      <c r="GO461" s="658" t="str">
        <f t="shared" si="521"/>
        <v/>
      </c>
      <c r="GP461" s="658" t="str">
        <f t="shared" si="522"/>
        <v/>
      </c>
      <c r="GQ461" s="658" t="str">
        <f t="shared" si="523"/>
        <v/>
      </c>
      <c r="GR461" s="658" t="str">
        <f t="shared" si="524"/>
        <v/>
      </c>
      <c r="GS461" s="658" t="str">
        <f t="shared" si="525"/>
        <v/>
      </c>
      <c r="GT461" s="658">
        <f t="shared" si="546"/>
        <v>0</v>
      </c>
      <c r="GU461" s="658">
        <f t="shared" si="547"/>
        <v>0</v>
      </c>
      <c r="GV461" s="658">
        <f t="shared" si="548"/>
        <v>0</v>
      </c>
      <c r="GW461" s="658" t="b">
        <f t="shared" si="549"/>
        <v>0</v>
      </c>
      <c r="GX461" s="658" t="b">
        <f t="shared" si="550"/>
        <v>0</v>
      </c>
      <c r="GY461" s="658" t="b">
        <f t="shared" si="551"/>
        <v>0</v>
      </c>
      <c r="GZ461" s="658" t="str">
        <f t="shared" ref="GZ461:GZ515" si="557">IF(GW461,"有",IF(GY461,"無",""))&amp;IF(GX461,IF(OR(GW461,GY461),"（一部改善済）","改善済"),"")</f>
        <v/>
      </c>
      <c r="HB461" s="658" t="str">
        <f t="shared" si="552"/>
        <v/>
      </c>
      <c r="HC461" s="658" t="str">
        <f t="shared" si="526"/>
        <v/>
      </c>
      <c r="HD461" s="658" t="str">
        <f t="shared" si="527"/>
        <v/>
      </c>
      <c r="HE461" s="658" t="str">
        <f t="shared" si="528"/>
        <v/>
      </c>
      <c r="HF461" s="658" t="str">
        <f t="shared" si="529"/>
        <v/>
      </c>
      <c r="HG461" s="658" t="str">
        <f t="shared" si="530"/>
        <v/>
      </c>
      <c r="HH461" s="658" t="str">
        <f t="shared" si="531"/>
        <v/>
      </c>
      <c r="HI461" s="658" t="str">
        <f t="shared" si="532"/>
        <v/>
      </c>
      <c r="HJ461" s="658" t="str">
        <f t="shared" si="533"/>
        <v/>
      </c>
      <c r="HK461" s="658" t="str">
        <f t="shared" si="534"/>
        <v/>
      </c>
      <c r="HL461" s="658" t="str">
        <f t="shared" si="535"/>
        <v/>
      </c>
      <c r="HM461" s="658" t="str">
        <f t="shared" si="536"/>
        <v/>
      </c>
      <c r="HN461" s="658" t="str">
        <f t="shared" si="537"/>
        <v/>
      </c>
      <c r="HO461" s="658" t="str">
        <f t="shared" si="538"/>
        <v/>
      </c>
      <c r="HP461" s="658" t="str">
        <f t="shared" si="539"/>
        <v/>
      </c>
      <c r="HQ461" s="658" t="str">
        <f t="shared" si="540"/>
        <v/>
      </c>
      <c r="HR461" s="658" t="str">
        <f t="shared" si="553"/>
        <v/>
      </c>
      <c r="HT461" s="658">
        <f>LEFT(M461,1)*10000+MID(M461,3,LEN(M461)-3)*100+COUNTIF($M$319:M461,M461)</f>
        <v>52601</v>
      </c>
      <c r="HU461" s="658" t="str">
        <f t="shared" si="554"/>
        <v/>
      </c>
      <c r="HV461" s="658" t="str">
        <f t="shared" si="541"/>
        <v/>
      </c>
      <c r="HW461" s="658" t="str">
        <f t="shared" si="555"/>
        <v/>
      </c>
      <c r="HX461" s="658" t="str">
        <f t="shared" si="542"/>
        <v/>
      </c>
    </row>
    <row r="462" spans="1:232" s="19" customFormat="1" ht="50.1" customHeight="1" x14ac:dyDescent="0.15">
      <c r="A462" s="1201"/>
      <c r="B462" s="1201"/>
      <c r="C462" s="1201"/>
      <c r="D462" s="1201"/>
      <c r="E462" s="1202"/>
      <c r="F462" s="652"/>
      <c r="G462" s="652"/>
      <c r="H462" s="652"/>
      <c r="I462" s="1354"/>
      <c r="J462" s="1234"/>
      <c r="K462" s="1261"/>
      <c r="L462" s="1261"/>
      <c r="M462" s="2478" t="s">
        <v>799</v>
      </c>
      <c r="N462" s="2478"/>
      <c r="O462" s="2478"/>
      <c r="P462" s="2460" t="s">
        <v>165</v>
      </c>
      <c r="Q462" s="2460"/>
      <c r="R462" s="2429" t="s">
        <v>134</v>
      </c>
      <c r="S462" s="2429"/>
      <c r="T462" s="2429"/>
      <c r="U462" s="2438" t="s">
        <v>135</v>
      </c>
      <c r="V462" s="2438"/>
      <c r="W462" s="2438"/>
      <c r="X462" s="2438"/>
      <c r="Y462" s="2438"/>
      <c r="Z462" s="2438"/>
      <c r="AA462" s="2438"/>
      <c r="AB462" s="2438"/>
      <c r="AC462" s="2438"/>
      <c r="AD462" s="2438"/>
      <c r="AE462" s="2438"/>
      <c r="AF462" s="2302"/>
      <c r="AG462" s="2302"/>
      <c r="AH462" s="2302"/>
      <c r="AI462" s="2302"/>
      <c r="AJ462" s="2302"/>
      <c r="AK462" s="2302"/>
      <c r="AL462" s="2302"/>
      <c r="AM462" s="2302"/>
      <c r="AN462" s="2302"/>
      <c r="AO462" s="2302"/>
      <c r="AP462" s="2302"/>
      <c r="AQ462" s="2302"/>
      <c r="AR462" s="2272"/>
      <c r="AS462" s="2272"/>
      <c r="AT462" s="2406"/>
      <c r="AU462" s="2406"/>
      <c r="AV462" s="2406"/>
      <c r="AW462" s="2406"/>
      <c r="AX462" s="2406"/>
      <c r="AY462" s="2406"/>
      <c r="AZ462" s="2406"/>
      <c r="BA462" s="2406"/>
      <c r="BB462" s="2406"/>
      <c r="BC462" s="2406"/>
      <c r="BD462" s="2406"/>
      <c r="BE462" s="2406"/>
      <c r="BF462" s="2406"/>
      <c r="BG462" s="2406"/>
      <c r="BH462" s="2406"/>
      <c r="BI462" s="2406"/>
      <c r="BJ462" s="2406"/>
      <c r="BK462" s="2406"/>
      <c r="BL462" s="2406"/>
      <c r="BM462" s="2406"/>
      <c r="BN462" s="2406"/>
      <c r="BO462" s="2406"/>
      <c r="BP462" s="2406"/>
      <c r="BQ462" s="2406"/>
      <c r="BR462" s="2406"/>
      <c r="BS462" s="2271"/>
      <c r="BT462" s="2271"/>
      <c r="BU462" s="2271"/>
      <c r="BV462" s="2271"/>
      <c r="BW462" s="2271"/>
      <c r="BX462" s="2271"/>
      <c r="BY462" s="2271"/>
      <c r="BZ462" s="2272"/>
      <c r="CA462" s="2272"/>
      <c r="CB462" s="2266"/>
      <c r="CC462" s="2267"/>
      <c r="CD462" s="2267"/>
      <c r="CE462" s="2267"/>
      <c r="CF462" s="2267"/>
      <c r="CG462" s="2267"/>
      <c r="CH462" s="2267"/>
      <c r="CI462" s="2267"/>
      <c r="CJ462" s="2267"/>
      <c r="CK462" s="2267"/>
      <c r="CL462" s="2267"/>
      <c r="CM462" s="2267"/>
      <c r="CN462" s="2267"/>
      <c r="CO462" s="2267"/>
      <c r="CP462" s="2267"/>
      <c r="CQ462" s="2267"/>
      <c r="CR462" s="2267"/>
      <c r="CS462" s="2267"/>
      <c r="CT462" s="2267"/>
      <c r="CU462" s="2268"/>
      <c r="CV462" s="2300" t="str">
        <f t="shared" si="471"/>
        <v/>
      </c>
      <c r="CW462" s="2300"/>
      <c r="CX462" s="2300"/>
      <c r="CY462" s="2300"/>
      <c r="CZ462" s="2300"/>
      <c r="DA462" s="2300"/>
      <c r="DC462" s="329" t="str">
        <f t="shared" si="472"/>
        <v/>
      </c>
      <c r="DD462" s="197"/>
      <c r="DF462" s="14"/>
      <c r="DG462" s="14"/>
      <c r="DH462" s="14"/>
      <c r="DI462" s="1596"/>
      <c r="DJ462" s="1170" t="s">
        <v>2749</v>
      </c>
      <c r="DK462" s="1604" t="str">
        <f t="shared" si="473"/>
        <v/>
      </c>
      <c r="DL462" s="437" t="str">
        <f t="shared" si="474"/>
        <v/>
      </c>
      <c r="DM462" s="1128">
        <f t="shared" si="475"/>
        <v>0</v>
      </c>
      <c r="DN462" s="22">
        <f t="shared" si="476"/>
        <v>0</v>
      </c>
      <c r="DO462" s="22">
        <f t="shared" si="477"/>
        <v>0</v>
      </c>
      <c r="DP462" s="264">
        <f t="shared" si="478"/>
        <v>0</v>
      </c>
      <c r="DQ462" s="1134" t="s">
        <v>799</v>
      </c>
      <c r="DR462" s="263" t="str">
        <f>IF($U462="",R462,U462)</f>
        <v>非常用の進入口等の設置の状況</v>
      </c>
      <c r="DS462" s="23">
        <f t="shared" si="480"/>
        <v>0</v>
      </c>
      <c r="DT462" s="29" t="str">
        <f t="shared" si="481"/>
        <v/>
      </c>
      <c r="DU462" s="242" t="str">
        <f t="shared" si="482"/>
        <v/>
      </c>
      <c r="DV462" s="243" t="str">
        <f>IF($DT462="要是正",MAX($DV$432:DV461)+1,"")</f>
        <v/>
      </c>
      <c r="DW462" s="12" t="str">
        <f t="shared" si="483"/>
        <v/>
      </c>
      <c r="DX462" s="30" t="str">
        <f t="shared" si="484"/>
        <v/>
      </c>
      <c r="DY462" s="13" t="str">
        <f t="shared" si="485"/>
        <v/>
      </c>
      <c r="DZ462" s="121" t="str">
        <f t="shared" si="486"/>
        <v/>
      </c>
      <c r="EA462" s="256" t="str">
        <f t="shared" si="487"/>
        <v/>
      </c>
      <c r="EB462" s="138" t="str">
        <f t="shared" si="488"/>
        <v/>
      </c>
      <c r="EC462" s="131" t="str">
        <f t="shared" si="489"/>
        <v>0</v>
      </c>
      <c r="ED462" s="54" t="str">
        <f t="shared" si="490"/>
        <v/>
      </c>
      <c r="EE462" s="131" t="str">
        <f t="shared" si="543"/>
        <v>0</v>
      </c>
      <c r="EF462" s="37" t="str">
        <f t="shared" si="491"/>
        <v/>
      </c>
      <c r="EG462" s="108" t="str">
        <f t="shared" si="492"/>
        <v/>
      </c>
      <c r="EH462" s="41" t="str">
        <f t="shared" si="493"/>
        <v>0</v>
      </c>
      <c r="EI462" s="54" t="str">
        <f t="shared" si="494"/>
        <v/>
      </c>
      <c r="EJ462" s="131" t="str">
        <f t="shared" si="544"/>
        <v>0</v>
      </c>
      <c r="EK462" s="241" t="str">
        <f t="shared" si="495"/>
        <v/>
      </c>
      <c r="EL462" s="242" t="e">
        <f t="shared" si="496"/>
        <v>#N/A</v>
      </c>
      <c r="EM462" s="57" t="e">
        <f t="shared" si="497"/>
        <v>#N/A</v>
      </c>
      <c r="EN462" s="243" t="e">
        <f t="shared" si="498"/>
        <v>#N/A</v>
      </c>
      <c r="FK462" s="326" t="str">
        <f t="shared" si="499"/>
        <v/>
      </c>
      <c r="FL462" s="326" t="str">
        <f t="shared" si="500"/>
        <v/>
      </c>
      <c r="FM462" s="326" t="str">
        <f t="shared" si="501"/>
        <v/>
      </c>
      <c r="FN462" s="326">
        <f t="shared" si="502"/>
        <v>0</v>
      </c>
      <c r="FO462" s="670" t="str">
        <f t="shared" si="503"/>
        <v/>
      </c>
      <c r="FQ462" s="138" t="str">
        <f t="shared" si="504"/>
        <v/>
      </c>
      <c r="FR462" s="131" t="str">
        <f t="shared" si="505"/>
        <v>0</v>
      </c>
      <c r="FS462" s="54" t="str">
        <f t="shared" si="506"/>
        <v/>
      </c>
      <c r="FT462" s="131" t="str">
        <f t="shared" si="507"/>
        <v>0</v>
      </c>
      <c r="FU462" s="217" t="str">
        <f t="shared" si="545"/>
        <v/>
      </c>
      <c r="FW462" s="667">
        <f t="shared" si="556"/>
        <v>0</v>
      </c>
      <c r="FX462" s="32"/>
      <c r="FY462" s="32"/>
      <c r="FZ462" s="668"/>
      <c r="GA462" s="14"/>
      <c r="GB462" s="658">
        <f t="shared" si="508"/>
        <v>0</v>
      </c>
      <c r="GC462" s="658">
        <f t="shared" si="509"/>
        <v>0</v>
      </c>
      <c r="GD462" s="658">
        <f t="shared" si="510"/>
        <v>0</v>
      </c>
      <c r="GE462" s="658" t="str">
        <f t="shared" si="511"/>
        <v/>
      </c>
      <c r="GF462" s="658" t="str">
        <f t="shared" si="512"/>
        <v/>
      </c>
      <c r="GG462" s="658" t="str">
        <f t="shared" si="513"/>
        <v/>
      </c>
      <c r="GH462" s="658" t="str">
        <f t="shared" si="514"/>
        <v/>
      </c>
      <c r="GI462" s="658" t="str">
        <f t="shared" si="515"/>
        <v/>
      </c>
      <c r="GJ462" s="658" t="str">
        <f t="shared" si="516"/>
        <v/>
      </c>
      <c r="GK462" s="658" t="str">
        <f t="shared" si="517"/>
        <v/>
      </c>
      <c r="GL462" s="658" t="str">
        <f t="shared" si="518"/>
        <v/>
      </c>
      <c r="GM462" s="658" t="str">
        <f t="shared" si="519"/>
        <v/>
      </c>
      <c r="GN462" s="658" t="str">
        <f t="shared" si="520"/>
        <v/>
      </c>
      <c r="GO462" s="658" t="str">
        <f t="shared" si="521"/>
        <v/>
      </c>
      <c r="GP462" s="658" t="str">
        <f t="shared" si="522"/>
        <v/>
      </c>
      <c r="GQ462" s="658" t="str">
        <f t="shared" si="523"/>
        <v/>
      </c>
      <c r="GR462" s="658" t="str">
        <f t="shared" si="524"/>
        <v/>
      </c>
      <c r="GS462" s="658" t="str">
        <f t="shared" si="525"/>
        <v/>
      </c>
      <c r="GT462" s="658">
        <f t="shared" si="546"/>
        <v>0</v>
      </c>
      <c r="GU462" s="658">
        <f t="shared" si="547"/>
        <v>0</v>
      </c>
      <c r="GV462" s="658">
        <f t="shared" si="548"/>
        <v>0</v>
      </c>
      <c r="GW462" s="658" t="b">
        <f t="shared" si="549"/>
        <v>0</v>
      </c>
      <c r="GX462" s="658" t="b">
        <f t="shared" si="550"/>
        <v>0</v>
      </c>
      <c r="GY462" s="658" t="b">
        <f t="shared" si="551"/>
        <v>0</v>
      </c>
      <c r="GZ462" s="658" t="str">
        <f t="shared" si="557"/>
        <v/>
      </c>
      <c r="HB462" s="658" t="str">
        <f t="shared" si="552"/>
        <v/>
      </c>
      <c r="HC462" s="658" t="str">
        <f t="shared" si="526"/>
        <v/>
      </c>
      <c r="HD462" s="658" t="str">
        <f t="shared" si="527"/>
        <v/>
      </c>
      <c r="HE462" s="658" t="str">
        <f t="shared" si="528"/>
        <v/>
      </c>
      <c r="HF462" s="658" t="str">
        <f t="shared" si="529"/>
        <v/>
      </c>
      <c r="HG462" s="658" t="str">
        <f t="shared" si="530"/>
        <v/>
      </c>
      <c r="HH462" s="658" t="str">
        <f t="shared" si="531"/>
        <v/>
      </c>
      <c r="HI462" s="658" t="str">
        <f t="shared" si="532"/>
        <v/>
      </c>
      <c r="HJ462" s="658" t="str">
        <f t="shared" si="533"/>
        <v/>
      </c>
      <c r="HK462" s="658" t="str">
        <f t="shared" si="534"/>
        <v/>
      </c>
      <c r="HL462" s="658" t="str">
        <f t="shared" si="535"/>
        <v/>
      </c>
      <c r="HM462" s="658" t="str">
        <f t="shared" si="536"/>
        <v/>
      </c>
      <c r="HN462" s="658" t="str">
        <f t="shared" si="537"/>
        <v/>
      </c>
      <c r="HO462" s="658" t="str">
        <f t="shared" si="538"/>
        <v/>
      </c>
      <c r="HP462" s="658" t="str">
        <f t="shared" si="539"/>
        <v/>
      </c>
      <c r="HQ462" s="658" t="str">
        <f t="shared" si="540"/>
        <v/>
      </c>
      <c r="HR462" s="658" t="str">
        <f t="shared" si="553"/>
        <v/>
      </c>
      <c r="HT462" s="658">
        <f>LEFT(M462,1)*10000+MID(M462,3,LEN(M462)-3)*100+COUNTIF($M$319:M462,M462)</f>
        <v>52701</v>
      </c>
      <c r="HU462" s="658" t="str">
        <f t="shared" si="554"/>
        <v/>
      </c>
      <c r="HV462" s="658" t="str">
        <f t="shared" si="541"/>
        <v/>
      </c>
      <c r="HW462" s="658" t="str">
        <f t="shared" si="555"/>
        <v/>
      </c>
      <c r="HX462" s="658" t="str">
        <f t="shared" si="542"/>
        <v/>
      </c>
    </row>
    <row r="463" spans="1:232" s="19" customFormat="1" ht="50.1" customHeight="1" x14ac:dyDescent="0.15">
      <c r="A463" s="1201"/>
      <c r="B463" s="1201"/>
      <c r="C463" s="1201"/>
      <c r="D463" s="1201"/>
      <c r="E463" s="1202"/>
      <c r="F463" s="652"/>
      <c r="G463" s="652"/>
      <c r="H463" s="652"/>
      <c r="I463" s="1354"/>
      <c r="J463" s="1234"/>
      <c r="K463" s="1261"/>
      <c r="L463" s="1261"/>
      <c r="M463" s="2478" t="s">
        <v>800</v>
      </c>
      <c r="N463" s="2478"/>
      <c r="O463" s="2478"/>
      <c r="P463" s="2461"/>
      <c r="Q463" s="2461"/>
      <c r="R463" s="2429"/>
      <c r="S463" s="2429"/>
      <c r="T463" s="2429"/>
      <c r="U463" s="2431" t="s">
        <v>136</v>
      </c>
      <c r="V463" s="2431"/>
      <c r="W463" s="2431"/>
      <c r="X463" s="2431"/>
      <c r="Y463" s="2431"/>
      <c r="Z463" s="2431"/>
      <c r="AA463" s="2431"/>
      <c r="AB463" s="2431"/>
      <c r="AC463" s="2431"/>
      <c r="AD463" s="2431"/>
      <c r="AE463" s="2431"/>
      <c r="AF463" s="2303"/>
      <c r="AG463" s="2303"/>
      <c r="AH463" s="2303"/>
      <c r="AI463" s="2303"/>
      <c r="AJ463" s="2303"/>
      <c r="AK463" s="2303"/>
      <c r="AL463" s="2303"/>
      <c r="AM463" s="2303"/>
      <c r="AN463" s="2303"/>
      <c r="AO463" s="2303"/>
      <c r="AP463" s="2303"/>
      <c r="AQ463" s="2303"/>
      <c r="AR463" s="2297"/>
      <c r="AS463" s="2297"/>
      <c r="AT463" s="2135"/>
      <c r="AU463" s="2135"/>
      <c r="AV463" s="2135"/>
      <c r="AW463" s="2135"/>
      <c r="AX463" s="2135"/>
      <c r="AY463" s="2135"/>
      <c r="AZ463" s="2135"/>
      <c r="BA463" s="2135"/>
      <c r="BB463" s="2135"/>
      <c r="BC463" s="2135"/>
      <c r="BD463" s="2135"/>
      <c r="BE463" s="2135"/>
      <c r="BF463" s="2135"/>
      <c r="BG463" s="2135"/>
      <c r="BH463" s="2135"/>
      <c r="BI463" s="2135"/>
      <c r="BJ463" s="2135"/>
      <c r="BK463" s="2135"/>
      <c r="BL463" s="2135"/>
      <c r="BM463" s="2135"/>
      <c r="BN463" s="2135"/>
      <c r="BO463" s="2135"/>
      <c r="BP463" s="2135"/>
      <c r="BQ463" s="2135"/>
      <c r="BR463" s="2135"/>
      <c r="BS463" s="2354"/>
      <c r="BT463" s="2354"/>
      <c r="BU463" s="2354"/>
      <c r="BV463" s="2354"/>
      <c r="BW463" s="2354"/>
      <c r="BX463" s="2354"/>
      <c r="BY463" s="2354"/>
      <c r="BZ463" s="2297"/>
      <c r="CA463" s="2297"/>
      <c r="CB463" s="2395"/>
      <c r="CC463" s="2396"/>
      <c r="CD463" s="2396"/>
      <c r="CE463" s="2396"/>
      <c r="CF463" s="2396"/>
      <c r="CG463" s="2396"/>
      <c r="CH463" s="2396"/>
      <c r="CI463" s="2396"/>
      <c r="CJ463" s="2396"/>
      <c r="CK463" s="2396"/>
      <c r="CL463" s="2396"/>
      <c r="CM463" s="2396"/>
      <c r="CN463" s="2396"/>
      <c r="CO463" s="2396"/>
      <c r="CP463" s="2396"/>
      <c r="CQ463" s="2396"/>
      <c r="CR463" s="2396"/>
      <c r="CS463" s="2396"/>
      <c r="CT463" s="2396"/>
      <c r="CU463" s="2397"/>
      <c r="CV463" s="2300" t="str">
        <f t="shared" si="471"/>
        <v/>
      </c>
      <c r="CW463" s="2300"/>
      <c r="CX463" s="2300"/>
      <c r="CY463" s="2300"/>
      <c r="CZ463" s="2300"/>
      <c r="DA463" s="2300"/>
      <c r="DC463" s="329" t="str">
        <f t="shared" si="472"/>
        <v/>
      </c>
      <c r="DD463" s="197"/>
      <c r="DF463" s="14"/>
      <c r="DG463" s="14"/>
      <c r="DH463" s="14"/>
      <c r="DI463" s="1596"/>
      <c r="DJ463" s="1170" t="s">
        <v>2749</v>
      </c>
      <c r="DK463" s="1604" t="str">
        <f t="shared" si="473"/>
        <v/>
      </c>
      <c r="DL463" s="437" t="str">
        <f t="shared" si="474"/>
        <v/>
      </c>
      <c r="DM463" s="1128">
        <f t="shared" si="475"/>
        <v>0</v>
      </c>
      <c r="DN463" s="22">
        <f t="shared" si="476"/>
        <v>0</v>
      </c>
      <c r="DO463" s="22">
        <f t="shared" si="477"/>
        <v>0</v>
      </c>
      <c r="DP463" s="264">
        <f t="shared" si="478"/>
        <v>0</v>
      </c>
      <c r="DQ463" s="1134" t="s">
        <v>800</v>
      </c>
      <c r="DR463" s="263" t="str">
        <f>IF($U463="",R462,U463)</f>
        <v>非常用の進入口等の維持保全の状況</v>
      </c>
      <c r="DS463" s="23">
        <f t="shared" si="480"/>
        <v>0</v>
      </c>
      <c r="DT463" s="29" t="str">
        <f t="shared" si="481"/>
        <v/>
      </c>
      <c r="DU463" s="242" t="str">
        <f t="shared" si="482"/>
        <v/>
      </c>
      <c r="DV463" s="243" t="str">
        <f>IF($DT463="要是正",MAX($DV$432:DV462)+1,"")</f>
        <v/>
      </c>
      <c r="DW463" s="12" t="str">
        <f t="shared" si="483"/>
        <v/>
      </c>
      <c r="DX463" s="30" t="str">
        <f t="shared" si="484"/>
        <v/>
      </c>
      <c r="DY463" s="13" t="str">
        <f t="shared" si="485"/>
        <v/>
      </c>
      <c r="DZ463" s="121" t="str">
        <f t="shared" si="486"/>
        <v/>
      </c>
      <c r="EA463" s="256" t="str">
        <f t="shared" si="487"/>
        <v/>
      </c>
      <c r="EB463" s="138" t="str">
        <f t="shared" si="488"/>
        <v/>
      </c>
      <c r="EC463" s="131" t="str">
        <f t="shared" si="489"/>
        <v>0</v>
      </c>
      <c r="ED463" s="54" t="str">
        <f t="shared" si="490"/>
        <v/>
      </c>
      <c r="EE463" s="131" t="str">
        <f t="shared" si="543"/>
        <v>0</v>
      </c>
      <c r="EF463" s="37" t="str">
        <f t="shared" si="491"/>
        <v/>
      </c>
      <c r="EG463" s="108" t="str">
        <f t="shared" si="492"/>
        <v/>
      </c>
      <c r="EH463" s="41" t="str">
        <f t="shared" si="493"/>
        <v>0</v>
      </c>
      <c r="EI463" s="54" t="str">
        <f t="shared" si="494"/>
        <v/>
      </c>
      <c r="EJ463" s="131" t="str">
        <f t="shared" si="544"/>
        <v>0</v>
      </c>
      <c r="EK463" s="241" t="str">
        <f t="shared" si="495"/>
        <v/>
      </c>
      <c r="EL463" s="242" t="e">
        <f t="shared" si="496"/>
        <v>#N/A</v>
      </c>
      <c r="EM463" s="57" t="e">
        <f t="shared" si="497"/>
        <v>#N/A</v>
      </c>
      <c r="EN463" s="243" t="e">
        <f t="shared" si="498"/>
        <v>#N/A</v>
      </c>
      <c r="FK463" s="326" t="str">
        <f t="shared" si="499"/>
        <v/>
      </c>
      <c r="FL463" s="326" t="str">
        <f t="shared" si="500"/>
        <v/>
      </c>
      <c r="FM463" s="326" t="str">
        <f t="shared" si="501"/>
        <v/>
      </c>
      <c r="FN463" s="326">
        <f t="shared" si="502"/>
        <v>0</v>
      </c>
      <c r="FO463" s="670" t="str">
        <f t="shared" si="503"/>
        <v/>
      </c>
      <c r="FQ463" s="138" t="str">
        <f t="shared" si="504"/>
        <v/>
      </c>
      <c r="FR463" s="131" t="str">
        <f t="shared" si="505"/>
        <v>0</v>
      </c>
      <c r="FS463" s="54" t="str">
        <f t="shared" si="506"/>
        <v/>
      </c>
      <c r="FT463" s="131" t="str">
        <f t="shared" si="507"/>
        <v>0</v>
      </c>
      <c r="FU463" s="217" t="str">
        <f t="shared" si="545"/>
        <v/>
      </c>
      <c r="FW463" s="667">
        <f t="shared" si="556"/>
        <v>0</v>
      </c>
      <c r="FX463" s="32"/>
      <c r="FY463" s="32"/>
      <c r="FZ463" s="668"/>
      <c r="GA463" s="14"/>
      <c r="GB463" s="658">
        <f t="shared" si="508"/>
        <v>0</v>
      </c>
      <c r="GC463" s="658">
        <f t="shared" si="509"/>
        <v>0</v>
      </c>
      <c r="GD463" s="658">
        <f t="shared" si="510"/>
        <v>0</v>
      </c>
      <c r="GE463" s="658" t="str">
        <f t="shared" si="511"/>
        <v/>
      </c>
      <c r="GF463" s="658" t="str">
        <f t="shared" si="512"/>
        <v/>
      </c>
      <c r="GG463" s="658" t="str">
        <f t="shared" si="513"/>
        <v/>
      </c>
      <c r="GH463" s="658" t="str">
        <f t="shared" si="514"/>
        <v/>
      </c>
      <c r="GI463" s="658" t="str">
        <f t="shared" si="515"/>
        <v/>
      </c>
      <c r="GJ463" s="658" t="str">
        <f t="shared" si="516"/>
        <v/>
      </c>
      <c r="GK463" s="658" t="str">
        <f t="shared" si="517"/>
        <v/>
      </c>
      <c r="GL463" s="658" t="str">
        <f t="shared" si="518"/>
        <v/>
      </c>
      <c r="GM463" s="658" t="str">
        <f t="shared" si="519"/>
        <v/>
      </c>
      <c r="GN463" s="658" t="str">
        <f t="shared" si="520"/>
        <v/>
      </c>
      <c r="GO463" s="658" t="str">
        <f t="shared" si="521"/>
        <v/>
      </c>
      <c r="GP463" s="658" t="str">
        <f t="shared" si="522"/>
        <v/>
      </c>
      <c r="GQ463" s="658" t="str">
        <f t="shared" si="523"/>
        <v/>
      </c>
      <c r="GR463" s="658" t="str">
        <f t="shared" si="524"/>
        <v/>
      </c>
      <c r="GS463" s="658" t="str">
        <f t="shared" si="525"/>
        <v/>
      </c>
      <c r="GT463" s="658">
        <f t="shared" si="546"/>
        <v>0</v>
      </c>
      <c r="GU463" s="658">
        <f t="shared" si="547"/>
        <v>0</v>
      </c>
      <c r="GV463" s="658">
        <f t="shared" si="548"/>
        <v>0</v>
      </c>
      <c r="GW463" s="658" t="b">
        <f t="shared" si="549"/>
        <v>0</v>
      </c>
      <c r="GX463" s="658" t="b">
        <f t="shared" si="550"/>
        <v>0</v>
      </c>
      <c r="GY463" s="658" t="b">
        <f t="shared" si="551"/>
        <v>0</v>
      </c>
      <c r="GZ463" s="658" t="str">
        <f t="shared" si="557"/>
        <v/>
      </c>
      <c r="HB463" s="658" t="str">
        <f t="shared" si="552"/>
        <v/>
      </c>
      <c r="HC463" s="658" t="str">
        <f t="shared" si="526"/>
        <v/>
      </c>
      <c r="HD463" s="658" t="str">
        <f t="shared" si="527"/>
        <v/>
      </c>
      <c r="HE463" s="658" t="str">
        <f t="shared" si="528"/>
        <v/>
      </c>
      <c r="HF463" s="658" t="str">
        <f t="shared" si="529"/>
        <v/>
      </c>
      <c r="HG463" s="658" t="str">
        <f t="shared" si="530"/>
        <v/>
      </c>
      <c r="HH463" s="658" t="str">
        <f t="shared" si="531"/>
        <v/>
      </c>
      <c r="HI463" s="658" t="str">
        <f t="shared" si="532"/>
        <v/>
      </c>
      <c r="HJ463" s="658" t="str">
        <f t="shared" si="533"/>
        <v/>
      </c>
      <c r="HK463" s="658" t="str">
        <f t="shared" si="534"/>
        <v/>
      </c>
      <c r="HL463" s="658" t="str">
        <f t="shared" si="535"/>
        <v/>
      </c>
      <c r="HM463" s="658" t="str">
        <f t="shared" si="536"/>
        <v/>
      </c>
      <c r="HN463" s="658" t="str">
        <f t="shared" si="537"/>
        <v/>
      </c>
      <c r="HO463" s="658" t="str">
        <f t="shared" si="538"/>
        <v/>
      </c>
      <c r="HP463" s="658" t="str">
        <f t="shared" si="539"/>
        <v/>
      </c>
      <c r="HQ463" s="658" t="str">
        <f t="shared" si="540"/>
        <v/>
      </c>
      <c r="HR463" s="658" t="str">
        <f t="shared" si="553"/>
        <v/>
      </c>
      <c r="HT463" s="658">
        <f>LEFT(M463,1)*10000+MID(M463,3,LEN(M463)-3)*100+COUNTIF($M$319:M463,M463)</f>
        <v>52801</v>
      </c>
      <c r="HU463" s="658" t="str">
        <f t="shared" si="554"/>
        <v/>
      </c>
      <c r="HV463" s="658" t="str">
        <f t="shared" si="541"/>
        <v/>
      </c>
      <c r="HW463" s="658" t="str">
        <f t="shared" si="555"/>
        <v/>
      </c>
      <c r="HX463" s="658" t="str">
        <f t="shared" si="542"/>
        <v/>
      </c>
    </row>
    <row r="464" spans="1:232" s="19" customFormat="1" ht="50.1" customHeight="1" x14ac:dyDescent="0.15">
      <c r="A464" s="1201"/>
      <c r="B464" s="1201"/>
      <c r="C464" s="1201"/>
      <c r="D464" s="1201"/>
      <c r="E464" s="1202"/>
      <c r="F464" s="652"/>
      <c r="G464" s="652"/>
      <c r="H464" s="652"/>
      <c r="I464" s="1354"/>
      <c r="J464" s="1234"/>
      <c r="K464" s="1261"/>
      <c r="L464" s="1261"/>
      <c r="M464" s="2478" t="s">
        <v>801</v>
      </c>
      <c r="N464" s="2478"/>
      <c r="O464" s="2478"/>
      <c r="P464" s="2461"/>
      <c r="Q464" s="2461"/>
      <c r="R464" s="2429" t="s">
        <v>166</v>
      </c>
      <c r="S464" s="2429"/>
      <c r="T464" s="2429"/>
      <c r="U464" s="2438" t="s">
        <v>706</v>
      </c>
      <c r="V464" s="2438"/>
      <c r="W464" s="2438"/>
      <c r="X464" s="2438"/>
      <c r="Y464" s="2438"/>
      <c r="Z464" s="2438"/>
      <c r="AA464" s="2438"/>
      <c r="AB464" s="2438"/>
      <c r="AC464" s="2438"/>
      <c r="AD464" s="2438"/>
      <c r="AE464" s="2438"/>
      <c r="AF464" s="2302"/>
      <c r="AG464" s="2302"/>
      <c r="AH464" s="2302"/>
      <c r="AI464" s="2302"/>
      <c r="AJ464" s="2302"/>
      <c r="AK464" s="2302"/>
      <c r="AL464" s="2302"/>
      <c r="AM464" s="2302"/>
      <c r="AN464" s="2302"/>
      <c r="AO464" s="2302"/>
      <c r="AP464" s="2302"/>
      <c r="AQ464" s="2302"/>
      <c r="AR464" s="2272"/>
      <c r="AS464" s="2272"/>
      <c r="AT464" s="2406"/>
      <c r="AU464" s="2406"/>
      <c r="AV464" s="2406"/>
      <c r="AW464" s="2406"/>
      <c r="AX464" s="2406"/>
      <c r="AY464" s="2406"/>
      <c r="AZ464" s="2406"/>
      <c r="BA464" s="2406"/>
      <c r="BB464" s="2406"/>
      <c r="BC464" s="2406"/>
      <c r="BD464" s="2406"/>
      <c r="BE464" s="2406"/>
      <c r="BF464" s="2406"/>
      <c r="BG464" s="2406"/>
      <c r="BH464" s="2406"/>
      <c r="BI464" s="2406"/>
      <c r="BJ464" s="2406"/>
      <c r="BK464" s="2406"/>
      <c r="BL464" s="2406"/>
      <c r="BM464" s="2406"/>
      <c r="BN464" s="2406"/>
      <c r="BO464" s="2406"/>
      <c r="BP464" s="2406"/>
      <c r="BQ464" s="2406"/>
      <c r="BR464" s="2406"/>
      <c r="BS464" s="2271"/>
      <c r="BT464" s="2271"/>
      <c r="BU464" s="2271"/>
      <c r="BV464" s="2271"/>
      <c r="BW464" s="2271"/>
      <c r="BX464" s="2271"/>
      <c r="BY464" s="2271"/>
      <c r="BZ464" s="2272"/>
      <c r="CA464" s="2272"/>
      <c r="CB464" s="2266"/>
      <c r="CC464" s="2267"/>
      <c r="CD464" s="2267"/>
      <c r="CE464" s="2267"/>
      <c r="CF464" s="2267"/>
      <c r="CG464" s="2267"/>
      <c r="CH464" s="2267"/>
      <c r="CI464" s="2267"/>
      <c r="CJ464" s="2267"/>
      <c r="CK464" s="2267"/>
      <c r="CL464" s="2267"/>
      <c r="CM464" s="2267"/>
      <c r="CN464" s="2267"/>
      <c r="CO464" s="2267"/>
      <c r="CP464" s="2267"/>
      <c r="CQ464" s="2267"/>
      <c r="CR464" s="2267"/>
      <c r="CS464" s="2267"/>
      <c r="CT464" s="2267"/>
      <c r="CU464" s="2268"/>
      <c r="CV464" s="2300" t="str">
        <f t="shared" si="471"/>
        <v/>
      </c>
      <c r="CW464" s="2300"/>
      <c r="CX464" s="2300"/>
      <c r="CY464" s="2300"/>
      <c r="CZ464" s="2300"/>
      <c r="DA464" s="2300"/>
      <c r="DC464" s="329" t="str">
        <f t="shared" si="472"/>
        <v/>
      </c>
      <c r="DD464" s="197"/>
      <c r="DF464" s="14"/>
      <c r="DG464" s="14"/>
      <c r="DH464" s="14"/>
      <c r="DI464" s="1596"/>
      <c r="DJ464" s="1170" t="s">
        <v>2749</v>
      </c>
      <c r="DK464" s="1604" t="str">
        <f t="shared" si="473"/>
        <v/>
      </c>
      <c r="DL464" s="437" t="str">
        <f t="shared" si="474"/>
        <v/>
      </c>
      <c r="DM464" s="1128">
        <f t="shared" si="475"/>
        <v>0</v>
      </c>
      <c r="DN464" s="22">
        <f t="shared" si="476"/>
        <v>0</v>
      </c>
      <c r="DO464" s="22">
        <f t="shared" si="477"/>
        <v>0</v>
      </c>
      <c r="DP464" s="264">
        <f t="shared" si="478"/>
        <v>0</v>
      </c>
      <c r="DQ464" s="1134" t="s">
        <v>801</v>
      </c>
      <c r="DR464" s="263" t="str">
        <f>IF($U464="",R464,U464)</f>
        <v>乗降ロビーの構造及び面積の確保の状況</v>
      </c>
      <c r="DS464" s="23">
        <f t="shared" si="480"/>
        <v>0</v>
      </c>
      <c r="DT464" s="29" t="str">
        <f t="shared" si="481"/>
        <v/>
      </c>
      <c r="DU464" s="242" t="str">
        <f t="shared" si="482"/>
        <v/>
      </c>
      <c r="DV464" s="243" t="str">
        <f>IF($DT464="要是正",MAX($DV$432:DV463)+1,"")</f>
        <v/>
      </c>
      <c r="DW464" s="12" t="str">
        <f t="shared" si="483"/>
        <v/>
      </c>
      <c r="DX464" s="30" t="str">
        <f t="shared" si="484"/>
        <v/>
      </c>
      <c r="DY464" s="13" t="str">
        <f t="shared" si="485"/>
        <v/>
      </c>
      <c r="DZ464" s="121" t="str">
        <f t="shared" si="486"/>
        <v/>
      </c>
      <c r="EA464" s="256" t="str">
        <f t="shared" si="487"/>
        <v/>
      </c>
      <c r="EB464" s="138" t="str">
        <f t="shared" si="488"/>
        <v/>
      </c>
      <c r="EC464" s="131" t="str">
        <f t="shared" si="489"/>
        <v>0</v>
      </c>
      <c r="ED464" s="54" t="str">
        <f t="shared" si="490"/>
        <v/>
      </c>
      <c r="EE464" s="131" t="str">
        <f t="shared" si="543"/>
        <v>0</v>
      </c>
      <c r="EF464" s="37" t="str">
        <f t="shared" si="491"/>
        <v/>
      </c>
      <c r="EG464" s="108" t="str">
        <f t="shared" si="492"/>
        <v/>
      </c>
      <c r="EH464" s="41" t="str">
        <f t="shared" si="493"/>
        <v>0</v>
      </c>
      <c r="EI464" s="54" t="str">
        <f t="shared" si="494"/>
        <v/>
      </c>
      <c r="EJ464" s="131" t="str">
        <f t="shared" si="544"/>
        <v>0</v>
      </c>
      <c r="EK464" s="241" t="str">
        <f t="shared" si="495"/>
        <v/>
      </c>
      <c r="EL464" s="242" t="e">
        <f t="shared" si="496"/>
        <v>#N/A</v>
      </c>
      <c r="EM464" s="57" t="e">
        <f t="shared" si="497"/>
        <v>#N/A</v>
      </c>
      <c r="EN464" s="243" t="e">
        <f t="shared" si="498"/>
        <v>#N/A</v>
      </c>
      <c r="FK464" s="326" t="str">
        <f t="shared" si="499"/>
        <v/>
      </c>
      <c r="FL464" s="326" t="str">
        <f t="shared" si="500"/>
        <v/>
      </c>
      <c r="FM464" s="326" t="str">
        <f t="shared" si="501"/>
        <v/>
      </c>
      <c r="FN464" s="326">
        <f t="shared" si="502"/>
        <v>0</v>
      </c>
      <c r="FO464" s="670" t="str">
        <f t="shared" si="503"/>
        <v/>
      </c>
      <c r="FQ464" s="138" t="str">
        <f t="shared" si="504"/>
        <v/>
      </c>
      <c r="FR464" s="131" t="str">
        <f t="shared" si="505"/>
        <v>0</v>
      </c>
      <c r="FS464" s="54" t="str">
        <f t="shared" si="506"/>
        <v/>
      </c>
      <c r="FT464" s="131" t="str">
        <f t="shared" si="507"/>
        <v>0</v>
      </c>
      <c r="FU464" s="217" t="str">
        <f t="shared" si="545"/>
        <v/>
      </c>
      <c r="FW464" s="667">
        <f t="shared" si="556"/>
        <v>0</v>
      </c>
      <c r="FX464" s="32"/>
      <c r="FY464" s="32"/>
      <c r="FZ464" s="668"/>
      <c r="GA464" s="14"/>
      <c r="GB464" s="658">
        <f t="shared" si="508"/>
        <v>0</v>
      </c>
      <c r="GC464" s="658">
        <f t="shared" si="509"/>
        <v>0</v>
      </c>
      <c r="GD464" s="658">
        <f t="shared" si="510"/>
        <v>0</v>
      </c>
      <c r="GE464" s="658" t="str">
        <f t="shared" si="511"/>
        <v/>
      </c>
      <c r="GF464" s="658" t="str">
        <f t="shared" si="512"/>
        <v/>
      </c>
      <c r="GG464" s="658" t="str">
        <f t="shared" si="513"/>
        <v/>
      </c>
      <c r="GH464" s="658" t="str">
        <f t="shared" si="514"/>
        <v/>
      </c>
      <c r="GI464" s="658" t="str">
        <f t="shared" si="515"/>
        <v/>
      </c>
      <c r="GJ464" s="658" t="str">
        <f t="shared" si="516"/>
        <v/>
      </c>
      <c r="GK464" s="658" t="str">
        <f t="shared" si="517"/>
        <v/>
      </c>
      <c r="GL464" s="658" t="str">
        <f t="shared" si="518"/>
        <v/>
      </c>
      <c r="GM464" s="658" t="str">
        <f t="shared" si="519"/>
        <v/>
      </c>
      <c r="GN464" s="658" t="str">
        <f t="shared" si="520"/>
        <v/>
      </c>
      <c r="GO464" s="658" t="str">
        <f t="shared" si="521"/>
        <v/>
      </c>
      <c r="GP464" s="658" t="str">
        <f t="shared" si="522"/>
        <v/>
      </c>
      <c r="GQ464" s="658" t="str">
        <f t="shared" si="523"/>
        <v/>
      </c>
      <c r="GR464" s="658" t="str">
        <f t="shared" si="524"/>
        <v/>
      </c>
      <c r="GS464" s="658" t="str">
        <f t="shared" si="525"/>
        <v/>
      </c>
      <c r="GT464" s="658">
        <f t="shared" si="546"/>
        <v>0</v>
      </c>
      <c r="GU464" s="658">
        <f t="shared" si="547"/>
        <v>0</v>
      </c>
      <c r="GV464" s="658">
        <f t="shared" si="548"/>
        <v>0</v>
      </c>
      <c r="GW464" s="658" t="b">
        <f t="shared" si="549"/>
        <v>0</v>
      </c>
      <c r="GX464" s="658" t="b">
        <f t="shared" si="550"/>
        <v>0</v>
      </c>
      <c r="GY464" s="658" t="b">
        <f t="shared" si="551"/>
        <v>0</v>
      </c>
      <c r="GZ464" s="658" t="str">
        <f t="shared" si="557"/>
        <v/>
      </c>
      <c r="HB464" s="658" t="str">
        <f t="shared" si="552"/>
        <v/>
      </c>
      <c r="HC464" s="658" t="str">
        <f t="shared" si="526"/>
        <v/>
      </c>
      <c r="HD464" s="658" t="str">
        <f t="shared" si="527"/>
        <v/>
      </c>
      <c r="HE464" s="658" t="str">
        <f t="shared" si="528"/>
        <v/>
      </c>
      <c r="HF464" s="658" t="str">
        <f t="shared" si="529"/>
        <v/>
      </c>
      <c r="HG464" s="658" t="str">
        <f t="shared" si="530"/>
        <v/>
      </c>
      <c r="HH464" s="658" t="str">
        <f t="shared" si="531"/>
        <v/>
      </c>
      <c r="HI464" s="658" t="str">
        <f t="shared" si="532"/>
        <v/>
      </c>
      <c r="HJ464" s="658" t="str">
        <f t="shared" si="533"/>
        <v/>
      </c>
      <c r="HK464" s="658" t="str">
        <f t="shared" si="534"/>
        <v/>
      </c>
      <c r="HL464" s="658" t="str">
        <f t="shared" si="535"/>
        <v/>
      </c>
      <c r="HM464" s="658" t="str">
        <f t="shared" si="536"/>
        <v/>
      </c>
      <c r="HN464" s="658" t="str">
        <f t="shared" si="537"/>
        <v/>
      </c>
      <c r="HO464" s="658" t="str">
        <f t="shared" si="538"/>
        <v/>
      </c>
      <c r="HP464" s="658" t="str">
        <f t="shared" si="539"/>
        <v/>
      </c>
      <c r="HQ464" s="658" t="str">
        <f t="shared" si="540"/>
        <v/>
      </c>
      <c r="HR464" s="658" t="str">
        <f t="shared" si="553"/>
        <v/>
      </c>
      <c r="HT464" s="658">
        <f>LEFT(M464,1)*10000+MID(M464,3,LEN(M464)-3)*100+COUNTIF($M$319:M464,M464)</f>
        <v>52901</v>
      </c>
      <c r="HU464" s="658" t="str">
        <f t="shared" si="554"/>
        <v/>
      </c>
      <c r="HV464" s="658" t="str">
        <f t="shared" si="541"/>
        <v/>
      </c>
      <c r="HW464" s="658" t="str">
        <f t="shared" si="555"/>
        <v/>
      </c>
      <c r="HX464" s="658" t="str">
        <f t="shared" si="542"/>
        <v/>
      </c>
    </row>
    <row r="465" spans="1:232" s="19" customFormat="1" ht="58.5" customHeight="1" x14ac:dyDescent="0.15">
      <c r="A465" s="1201"/>
      <c r="B465" s="1201"/>
      <c r="C465" s="1201"/>
      <c r="D465" s="1201"/>
      <c r="E465" s="1202"/>
      <c r="F465" s="652"/>
      <c r="G465" s="652"/>
      <c r="H465" s="652"/>
      <c r="I465" s="1354"/>
      <c r="J465" s="1234"/>
      <c r="K465" s="1261"/>
      <c r="L465" s="1261"/>
      <c r="M465" s="2478" t="s">
        <v>802</v>
      </c>
      <c r="N465" s="2478"/>
      <c r="O465" s="2478"/>
      <c r="P465" s="2461"/>
      <c r="Q465" s="2461"/>
      <c r="R465" s="2429"/>
      <c r="S465" s="2429"/>
      <c r="T465" s="2429"/>
      <c r="U465" s="2435" t="s">
        <v>189</v>
      </c>
      <c r="V465" s="2435"/>
      <c r="W465" s="2435"/>
      <c r="X465" s="2435"/>
      <c r="Y465" s="2435"/>
      <c r="Z465" s="2435"/>
      <c r="AA465" s="2435"/>
      <c r="AB465" s="2435"/>
      <c r="AC465" s="2435"/>
      <c r="AD465" s="2435"/>
      <c r="AE465" s="2435"/>
      <c r="AF465" s="2282"/>
      <c r="AG465" s="2282"/>
      <c r="AH465" s="2282"/>
      <c r="AI465" s="2282"/>
      <c r="AJ465" s="2282"/>
      <c r="AK465" s="2282"/>
      <c r="AL465" s="2282"/>
      <c r="AM465" s="2282"/>
      <c r="AN465" s="2282"/>
      <c r="AO465" s="2282"/>
      <c r="AP465" s="2282"/>
      <c r="AQ465" s="2282"/>
      <c r="AR465" s="2151"/>
      <c r="AS465" s="2151"/>
      <c r="AT465" s="2292"/>
      <c r="AU465" s="2292"/>
      <c r="AV465" s="2292"/>
      <c r="AW465" s="2292"/>
      <c r="AX465" s="2292"/>
      <c r="AY465" s="2292"/>
      <c r="AZ465" s="2292"/>
      <c r="BA465" s="2292"/>
      <c r="BB465" s="2292"/>
      <c r="BC465" s="2292"/>
      <c r="BD465" s="2292"/>
      <c r="BE465" s="2292"/>
      <c r="BF465" s="2292"/>
      <c r="BG465" s="2292"/>
      <c r="BH465" s="2292"/>
      <c r="BI465" s="2292"/>
      <c r="BJ465" s="2292"/>
      <c r="BK465" s="2292"/>
      <c r="BL465" s="2292"/>
      <c r="BM465" s="2292"/>
      <c r="BN465" s="2292"/>
      <c r="BO465" s="2292"/>
      <c r="BP465" s="2292"/>
      <c r="BQ465" s="2292"/>
      <c r="BR465" s="2292"/>
      <c r="BS465" s="2269"/>
      <c r="BT465" s="2269"/>
      <c r="BU465" s="2269"/>
      <c r="BV465" s="2269"/>
      <c r="BW465" s="2269"/>
      <c r="BX465" s="2269"/>
      <c r="BY465" s="2269"/>
      <c r="BZ465" s="2151"/>
      <c r="CA465" s="2151"/>
      <c r="CB465" s="2355" t="s">
        <v>3326</v>
      </c>
      <c r="CC465" s="2356"/>
      <c r="CD465" s="2356"/>
      <c r="CE465" s="2356"/>
      <c r="CF465" s="2356"/>
      <c r="CG465" s="2356"/>
      <c r="CH465" s="2356"/>
      <c r="CI465" s="2356"/>
      <c r="CJ465" s="2356"/>
      <c r="CK465" s="2356"/>
      <c r="CL465" s="2356"/>
      <c r="CM465" s="2356"/>
      <c r="CN465" s="2356"/>
      <c r="CO465" s="2356"/>
      <c r="CP465" s="2356"/>
      <c r="CQ465" s="2356"/>
      <c r="CR465" s="2356"/>
      <c r="CS465" s="2356"/>
      <c r="CT465" s="2356"/>
      <c r="CU465" s="2357"/>
      <c r="CV465" s="2300" t="str">
        <f t="shared" si="471"/>
        <v/>
      </c>
      <c r="CW465" s="2300"/>
      <c r="CX465" s="2300"/>
      <c r="CY465" s="2300"/>
      <c r="CZ465" s="2300"/>
      <c r="DA465" s="2300"/>
      <c r="DC465" s="329" t="str">
        <f t="shared" si="472"/>
        <v/>
      </c>
      <c r="DD465" s="197"/>
      <c r="DF465" s="14"/>
      <c r="DG465" s="14"/>
      <c r="DH465" s="14"/>
      <c r="DI465" s="1596"/>
      <c r="DJ465" s="1170" t="s">
        <v>2749</v>
      </c>
      <c r="DK465" s="1604" t="str">
        <f t="shared" si="473"/>
        <v/>
      </c>
      <c r="DL465" s="437" t="str">
        <f t="shared" si="474"/>
        <v/>
      </c>
      <c r="DM465" s="1128">
        <f t="shared" si="475"/>
        <v>0</v>
      </c>
      <c r="DN465" s="22">
        <f t="shared" si="476"/>
        <v>0</v>
      </c>
      <c r="DO465" s="22">
        <f t="shared" si="477"/>
        <v>0</v>
      </c>
      <c r="DP465" s="264">
        <f t="shared" si="478"/>
        <v>0</v>
      </c>
      <c r="DQ465" s="1134" t="s">
        <v>802</v>
      </c>
      <c r="DR465" s="263" t="str">
        <f>IF($U465="",R464,U465)</f>
        <v>乗降ロビー等の排煙設備の設置の状況</v>
      </c>
      <c r="DS465" s="23">
        <f t="shared" si="480"/>
        <v>0</v>
      </c>
      <c r="DT465" s="29" t="str">
        <f t="shared" si="481"/>
        <v/>
      </c>
      <c r="DU465" s="242" t="str">
        <f t="shared" si="482"/>
        <v/>
      </c>
      <c r="DV465" s="243" t="str">
        <f>IF($DT465="要是正",MAX($DV$432:DV464)+1,"")</f>
        <v/>
      </c>
      <c r="DW465" s="12" t="str">
        <f t="shared" si="483"/>
        <v/>
      </c>
      <c r="DX465" s="30" t="str">
        <f t="shared" si="484"/>
        <v/>
      </c>
      <c r="DY465" s="13" t="str">
        <f t="shared" si="485"/>
        <v/>
      </c>
      <c r="DZ465" s="121" t="str">
        <f t="shared" si="486"/>
        <v/>
      </c>
      <c r="EA465" s="256" t="str">
        <f t="shared" si="487"/>
        <v/>
      </c>
      <c r="EB465" s="138" t="str">
        <f t="shared" si="488"/>
        <v/>
      </c>
      <c r="EC465" s="131" t="str">
        <f t="shared" si="489"/>
        <v>0</v>
      </c>
      <c r="ED465" s="54" t="str">
        <f t="shared" si="490"/>
        <v/>
      </c>
      <c r="EE465" s="131" t="str">
        <f t="shared" si="543"/>
        <v>0</v>
      </c>
      <c r="EF465" s="37" t="str">
        <f t="shared" si="491"/>
        <v/>
      </c>
      <c r="EG465" s="108" t="str">
        <f t="shared" si="492"/>
        <v/>
      </c>
      <c r="EH465" s="41" t="str">
        <f t="shared" si="493"/>
        <v>0</v>
      </c>
      <c r="EI465" s="54" t="str">
        <f t="shared" si="494"/>
        <v/>
      </c>
      <c r="EJ465" s="131" t="str">
        <f t="shared" si="544"/>
        <v>0</v>
      </c>
      <c r="EK465" s="241" t="str">
        <f t="shared" si="495"/>
        <v/>
      </c>
      <c r="EL465" s="242" t="e">
        <f t="shared" si="496"/>
        <v>#N/A</v>
      </c>
      <c r="EM465" s="57" t="e">
        <f t="shared" si="497"/>
        <v>#N/A</v>
      </c>
      <c r="EN465" s="243" t="e">
        <f t="shared" si="498"/>
        <v>#N/A</v>
      </c>
      <c r="FK465" s="326" t="str">
        <f t="shared" si="499"/>
        <v/>
      </c>
      <c r="FL465" s="326" t="str">
        <f t="shared" si="500"/>
        <v/>
      </c>
      <c r="FM465" s="326" t="str">
        <f t="shared" si="501"/>
        <v/>
      </c>
      <c r="FN465" s="326">
        <f t="shared" si="502"/>
        <v>0</v>
      </c>
      <c r="FO465" s="670" t="str">
        <f t="shared" si="503"/>
        <v/>
      </c>
      <c r="FQ465" s="138" t="str">
        <f t="shared" si="504"/>
        <v/>
      </c>
      <c r="FR465" s="131" t="str">
        <f t="shared" si="505"/>
        <v>0</v>
      </c>
      <c r="FS465" s="54" t="str">
        <f t="shared" si="506"/>
        <v/>
      </c>
      <c r="FT465" s="131" t="str">
        <f t="shared" si="507"/>
        <v>0</v>
      </c>
      <c r="FU465" s="217" t="str">
        <f t="shared" si="545"/>
        <v/>
      </c>
      <c r="FW465" s="667">
        <f t="shared" si="556"/>
        <v>0</v>
      </c>
      <c r="FX465" s="32"/>
      <c r="FY465" s="32"/>
      <c r="FZ465" s="668"/>
      <c r="GA465" s="14"/>
      <c r="GB465" s="658">
        <f t="shared" si="508"/>
        <v>0</v>
      </c>
      <c r="GC465" s="658">
        <f t="shared" si="509"/>
        <v>0</v>
      </c>
      <c r="GD465" s="658">
        <f t="shared" si="510"/>
        <v>0</v>
      </c>
      <c r="GE465" s="658" t="str">
        <f t="shared" si="511"/>
        <v/>
      </c>
      <c r="GF465" s="658" t="str">
        <f t="shared" si="512"/>
        <v/>
      </c>
      <c r="GG465" s="658" t="str">
        <f t="shared" si="513"/>
        <v/>
      </c>
      <c r="GH465" s="658" t="str">
        <f t="shared" si="514"/>
        <v/>
      </c>
      <c r="GI465" s="658" t="str">
        <f t="shared" si="515"/>
        <v/>
      </c>
      <c r="GJ465" s="658" t="str">
        <f t="shared" si="516"/>
        <v/>
      </c>
      <c r="GK465" s="658" t="str">
        <f t="shared" si="517"/>
        <v/>
      </c>
      <c r="GL465" s="658" t="str">
        <f t="shared" si="518"/>
        <v/>
      </c>
      <c r="GM465" s="658" t="str">
        <f t="shared" si="519"/>
        <v/>
      </c>
      <c r="GN465" s="658" t="str">
        <f t="shared" si="520"/>
        <v/>
      </c>
      <c r="GO465" s="658" t="str">
        <f t="shared" si="521"/>
        <v/>
      </c>
      <c r="GP465" s="658" t="str">
        <f t="shared" si="522"/>
        <v/>
      </c>
      <c r="GQ465" s="658" t="str">
        <f t="shared" si="523"/>
        <v/>
      </c>
      <c r="GR465" s="658" t="str">
        <f t="shared" si="524"/>
        <v/>
      </c>
      <c r="GS465" s="658" t="str">
        <f t="shared" si="525"/>
        <v/>
      </c>
      <c r="GT465" s="658">
        <f t="shared" si="546"/>
        <v>0</v>
      </c>
      <c r="GU465" s="658">
        <f t="shared" si="547"/>
        <v>0</v>
      </c>
      <c r="GV465" s="658">
        <f t="shared" si="548"/>
        <v>0</v>
      </c>
      <c r="GW465" s="658" t="b">
        <f t="shared" si="549"/>
        <v>0</v>
      </c>
      <c r="GX465" s="658" t="b">
        <f t="shared" si="550"/>
        <v>0</v>
      </c>
      <c r="GY465" s="658" t="b">
        <f t="shared" si="551"/>
        <v>0</v>
      </c>
      <c r="GZ465" s="658" t="str">
        <f t="shared" si="557"/>
        <v/>
      </c>
      <c r="HB465" s="658" t="str">
        <f t="shared" si="552"/>
        <v/>
      </c>
      <c r="HC465" s="658" t="str">
        <f t="shared" si="526"/>
        <v/>
      </c>
      <c r="HD465" s="658" t="str">
        <f t="shared" si="527"/>
        <v/>
      </c>
      <c r="HE465" s="658" t="str">
        <f t="shared" si="528"/>
        <v/>
      </c>
      <c r="HF465" s="658" t="str">
        <f t="shared" si="529"/>
        <v/>
      </c>
      <c r="HG465" s="658" t="str">
        <f t="shared" si="530"/>
        <v/>
      </c>
      <c r="HH465" s="658" t="str">
        <f t="shared" si="531"/>
        <v/>
      </c>
      <c r="HI465" s="658" t="str">
        <f t="shared" si="532"/>
        <v/>
      </c>
      <c r="HJ465" s="658" t="str">
        <f t="shared" si="533"/>
        <v/>
      </c>
      <c r="HK465" s="658" t="str">
        <f t="shared" si="534"/>
        <v/>
      </c>
      <c r="HL465" s="658" t="str">
        <f t="shared" si="535"/>
        <v/>
      </c>
      <c r="HM465" s="658" t="str">
        <f t="shared" si="536"/>
        <v/>
      </c>
      <c r="HN465" s="658" t="str">
        <f t="shared" si="537"/>
        <v/>
      </c>
      <c r="HO465" s="658" t="str">
        <f t="shared" si="538"/>
        <v/>
      </c>
      <c r="HP465" s="658" t="str">
        <f t="shared" si="539"/>
        <v/>
      </c>
      <c r="HQ465" s="658" t="str">
        <f t="shared" si="540"/>
        <v/>
      </c>
      <c r="HR465" s="658" t="str">
        <f t="shared" si="553"/>
        <v/>
      </c>
      <c r="HT465" s="658">
        <f>LEFT(M465,1)*10000+MID(M465,3,LEN(M465)-3)*100+COUNTIF($M$319:M465,M465)</f>
        <v>53001</v>
      </c>
      <c r="HU465" s="658" t="str">
        <f t="shared" si="554"/>
        <v/>
      </c>
      <c r="HV465" s="658" t="str">
        <f t="shared" si="541"/>
        <v/>
      </c>
      <c r="HW465" s="658" t="str">
        <f t="shared" si="555"/>
        <v/>
      </c>
      <c r="HX465" s="658" t="str">
        <f t="shared" si="542"/>
        <v/>
      </c>
    </row>
    <row r="466" spans="1:232" s="19" customFormat="1" ht="50.1" customHeight="1" x14ac:dyDescent="0.15">
      <c r="A466" s="1201"/>
      <c r="B466" s="1201"/>
      <c r="C466" s="1201"/>
      <c r="D466" s="1201"/>
      <c r="E466" s="1202"/>
      <c r="F466" s="652"/>
      <c r="G466" s="652"/>
      <c r="H466" s="652"/>
      <c r="I466" s="1354"/>
      <c r="J466" s="1234"/>
      <c r="K466" s="1261"/>
      <c r="L466" s="1261"/>
      <c r="M466" s="2478" t="s">
        <v>803</v>
      </c>
      <c r="N466" s="2478"/>
      <c r="O466" s="2478"/>
      <c r="P466" s="2461"/>
      <c r="Q466" s="2461"/>
      <c r="R466" s="2429"/>
      <c r="S466" s="2429"/>
      <c r="T466" s="2429"/>
      <c r="U466" s="2435" t="s">
        <v>3357</v>
      </c>
      <c r="V466" s="2435"/>
      <c r="W466" s="2435"/>
      <c r="X466" s="2435"/>
      <c r="Y466" s="2435"/>
      <c r="Z466" s="2435"/>
      <c r="AA466" s="2435"/>
      <c r="AB466" s="2435"/>
      <c r="AC466" s="2435"/>
      <c r="AD466" s="2435"/>
      <c r="AE466" s="2435"/>
      <c r="AF466" s="2282"/>
      <c r="AG466" s="2282"/>
      <c r="AH466" s="2282"/>
      <c r="AI466" s="2282"/>
      <c r="AJ466" s="2282"/>
      <c r="AK466" s="2282"/>
      <c r="AL466" s="2282"/>
      <c r="AM466" s="2282"/>
      <c r="AN466" s="2282"/>
      <c r="AO466" s="2282"/>
      <c r="AP466" s="2282"/>
      <c r="AQ466" s="2282"/>
      <c r="AR466" s="2151"/>
      <c r="AS466" s="2151"/>
      <c r="AT466" s="2292"/>
      <c r="AU466" s="2292"/>
      <c r="AV466" s="2292"/>
      <c r="AW466" s="2292"/>
      <c r="AX466" s="2292"/>
      <c r="AY466" s="2292"/>
      <c r="AZ466" s="2292"/>
      <c r="BA466" s="2292"/>
      <c r="BB466" s="2292"/>
      <c r="BC466" s="2292"/>
      <c r="BD466" s="2292"/>
      <c r="BE466" s="2292"/>
      <c r="BF466" s="2292"/>
      <c r="BG466" s="2292"/>
      <c r="BH466" s="2292"/>
      <c r="BI466" s="2292"/>
      <c r="BJ466" s="2292"/>
      <c r="BK466" s="2292"/>
      <c r="BL466" s="2292"/>
      <c r="BM466" s="2292"/>
      <c r="BN466" s="2292"/>
      <c r="BO466" s="2292"/>
      <c r="BP466" s="2292"/>
      <c r="BQ466" s="2292"/>
      <c r="BR466" s="2292"/>
      <c r="BS466" s="2269"/>
      <c r="BT466" s="2269"/>
      <c r="BU466" s="2269"/>
      <c r="BV466" s="2269"/>
      <c r="BW466" s="2269"/>
      <c r="BX466" s="2269"/>
      <c r="BY466" s="2269"/>
      <c r="BZ466" s="2151"/>
      <c r="CA466" s="2151"/>
      <c r="CB466" s="2355"/>
      <c r="CC466" s="2356"/>
      <c r="CD466" s="2356"/>
      <c r="CE466" s="2356"/>
      <c r="CF466" s="2356"/>
      <c r="CG466" s="2356"/>
      <c r="CH466" s="2356"/>
      <c r="CI466" s="2356"/>
      <c r="CJ466" s="2356"/>
      <c r="CK466" s="2356"/>
      <c r="CL466" s="2356"/>
      <c r="CM466" s="2356"/>
      <c r="CN466" s="2356"/>
      <c r="CO466" s="2356"/>
      <c r="CP466" s="2356"/>
      <c r="CQ466" s="2356"/>
      <c r="CR466" s="2356"/>
      <c r="CS466" s="2356"/>
      <c r="CT466" s="2356"/>
      <c r="CU466" s="2357"/>
      <c r="CV466" s="2300" t="str">
        <f t="shared" si="471"/>
        <v/>
      </c>
      <c r="CW466" s="2300"/>
      <c r="CX466" s="2300"/>
      <c r="CY466" s="2300"/>
      <c r="CZ466" s="2300"/>
      <c r="DA466" s="2300"/>
      <c r="DC466" s="329" t="str">
        <f t="shared" si="472"/>
        <v/>
      </c>
      <c r="DD466" s="197"/>
      <c r="DF466" s="14"/>
      <c r="DG466" s="14"/>
      <c r="DH466" s="14"/>
      <c r="DI466" s="1596"/>
      <c r="DJ466" s="1170" t="s">
        <v>2749</v>
      </c>
      <c r="DK466" s="1604" t="str">
        <f t="shared" si="473"/>
        <v/>
      </c>
      <c r="DL466" s="437" t="str">
        <f t="shared" si="474"/>
        <v/>
      </c>
      <c r="DM466" s="1128">
        <f t="shared" si="475"/>
        <v>0</v>
      </c>
      <c r="DN466" s="22">
        <f t="shared" si="476"/>
        <v>0</v>
      </c>
      <c r="DO466" s="22">
        <f t="shared" si="477"/>
        <v>0</v>
      </c>
      <c r="DP466" s="264">
        <f t="shared" si="478"/>
        <v>0</v>
      </c>
      <c r="DQ466" s="1134" t="s">
        <v>803</v>
      </c>
      <c r="DR466" s="263" t="str">
        <f>IF($U466="",R464,U466)</f>
        <v>乗降ロビー等の外気に向かって開くことができる窓の状況</v>
      </c>
      <c r="DS466" s="23">
        <f t="shared" si="480"/>
        <v>0</v>
      </c>
      <c r="DT466" s="29" t="str">
        <f t="shared" si="481"/>
        <v/>
      </c>
      <c r="DU466" s="242" t="str">
        <f t="shared" si="482"/>
        <v/>
      </c>
      <c r="DV466" s="243" t="str">
        <f>IF($DT466="要是正",MAX($DV$432:DV465)+1,"")</f>
        <v/>
      </c>
      <c r="DW466" s="12" t="str">
        <f t="shared" si="483"/>
        <v/>
      </c>
      <c r="DX466" s="30" t="str">
        <f t="shared" si="484"/>
        <v/>
      </c>
      <c r="DY466" s="13" t="str">
        <f t="shared" si="485"/>
        <v/>
      </c>
      <c r="DZ466" s="121" t="str">
        <f t="shared" si="486"/>
        <v/>
      </c>
      <c r="EA466" s="256" t="str">
        <f t="shared" si="487"/>
        <v/>
      </c>
      <c r="EB466" s="138" t="str">
        <f t="shared" si="488"/>
        <v/>
      </c>
      <c r="EC466" s="131" t="str">
        <f t="shared" si="489"/>
        <v>0</v>
      </c>
      <c r="ED466" s="54" t="str">
        <f t="shared" si="490"/>
        <v/>
      </c>
      <c r="EE466" s="131" t="str">
        <f t="shared" si="543"/>
        <v>0</v>
      </c>
      <c r="EF466" s="37" t="str">
        <f t="shared" si="491"/>
        <v/>
      </c>
      <c r="EG466" s="108" t="str">
        <f t="shared" si="492"/>
        <v/>
      </c>
      <c r="EH466" s="41" t="str">
        <f t="shared" si="493"/>
        <v>0</v>
      </c>
      <c r="EI466" s="54" t="str">
        <f t="shared" si="494"/>
        <v/>
      </c>
      <c r="EJ466" s="131" t="str">
        <f t="shared" si="544"/>
        <v>0</v>
      </c>
      <c r="EK466" s="241" t="str">
        <f t="shared" si="495"/>
        <v/>
      </c>
      <c r="EL466" s="242" t="e">
        <f t="shared" si="496"/>
        <v>#N/A</v>
      </c>
      <c r="EM466" s="57" t="e">
        <f t="shared" si="497"/>
        <v>#N/A</v>
      </c>
      <c r="EN466" s="243" t="e">
        <f t="shared" si="498"/>
        <v>#N/A</v>
      </c>
      <c r="FK466" s="326" t="str">
        <f t="shared" si="499"/>
        <v/>
      </c>
      <c r="FL466" s="326" t="str">
        <f t="shared" si="500"/>
        <v/>
      </c>
      <c r="FM466" s="326" t="str">
        <f t="shared" si="501"/>
        <v/>
      </c>
      <c r="FN466" s="326">
        <f t="shared" si="502"/>
        <v>0</v>
      </c>
      <c r="FO466" s="670" t="str">
        <f t="shared" si="503"/>
        <v/>
      </c>
      <c r="FQ466" s="138" t="str">
        <f t="shared" si="504"/>
        <v/>
      </c>
      <c r="FR466" s="131" t="str">
        <f t="shared" si="505"/>
        <v>0</v>
      </c>
      <c r="FS466" s="54" t="str">
        <f t="shared" si="506"/>
        <v/>
      </c>
      <c r="FT466" s="131" t="str">
        <f t="shared" si="507"/>
        <v>0</v>
      </c>
      <c r="FU466" s="217" t="str">
        <f t="shared" si="545"/>
        <v/>
      </c>
      <c r="FW466" s="667">
        <f t="shared" si="556"/>
        <v>0</v>
      </c>
      <c r="FX466" s="32"/>
      <c r="FY466" s="32"/>
      <c r="FZ466" s="668"/>
      <c r="GA466" s="14"/>
      <c r="GB466" s="658">
        <f t="shared" si="508"/>
        <v>0</v>
      </c>
      <c r="GC466" s="658">
        <f t="shared" si="509"/>
        <v>0</v>
      </c>
      <c r="GD466" s="658">
        <f t="shared" si="510"/>
        <v>0</v>
      </c>
      <c r="GE466" s="658" t="str">
        <f t="shared" si="511"/>
        <v/>
      </c>
      <c r="GF466" s="658" t="str">
        <f t="shared" si="512"/>
        <v/>
      </c>
      <c r="GG466" s="658" t="str">
        <f t="shared" si="513"/>
        <v/>
      </c>
      <c r="GH466" s="658" t="str">
        <f t="shared" si="514"/>
        <v/>
      </c>
      <c r="GI466" s="658" t="str">
        <f t="shared" si="515"/>
        <v/>
      </c>
      <c r="GJ466" s="658" t="str">
        <f t="shared" si="516"/>
        <v/>
      </c>
      <c r="GK466" s="658" t="str">
        <f t="shared" si="517"/>
        <v/>
      </c>
      <c r="GL466" s="658" t="str">
        <f t="shared" si="518"/>
        <v/>
      </c>
      <c r="GM466" s="658" t="str">
        <f t="shared" si="519"/>
        <v/>
      </c>
      <c r="GN466" s="658" t="str">
        <f t="shared" si="520"/>
        <v/>
      </c>
      <c r="GO466" s="658" t="str">
        <f t="shared" si="521"/>
        <v/>
      </c>
      <c r="GP466" s="658" t="str">
        <f t="shared" si="522"/>
        <v/>
      </c>
      <c r="GQ466" s="658" t="str">
        <f t="shared" si="523"/>
        <v/>
      </c>
      <c r="GR466" s="658" t="str">
        <f t="shared" si="524"/>
        <v/>
      </c>
      <c r="GS466" s="658" t="str">
        <f t="shared" si="525"/>
        <v/>
      </c>
      <c r="GT466" s="658">
        <f t="shared" si="546"/>
        <v>0</v>
      </c>
      <c r="GU466" s="658">
        <f t="shared" si="547"/>
        <v>0</v>
      </c>
      <c r="GV466" s="658">
        <f t="shared" si="548"/>
        <v>0</v>
      </c>
      <c r="GW466" s="658" t="b">
        <f t="shared" si="549"/>
        <v>0</v>
      </c>
      <c r="GX466" s="658" t="b">
        <f t="shared" si="550"/>
        <v>0</v>
      </c>
      <c r="GY466" s="658" t="b">
        <f t="shared" si="551"/>
        <v>0</v>
      </c>
      <c r="GZ466" s="658" t="str">
        <f t="shared" si="557"/>
        <v/>
      </c>
      <c r="HB466" s="658" t="str">
        <f t="shared" si="552"/>
        <v/>
      </c>
      <c r="HC466" s="658" t="str">
        <f t="shared" si="526"/>
        <v/>
      </c>
      <c r="HD466" s="658" t="str">
        <f t="shared" si="527"/>
        <v/>
      </c>
      <c r="HE466" s="658" t="str">
        <f t="shared" si="528"/>
        <v/>
      </c>
      <c r="HF466" s="658" t="str">
        <f t="shared" si="529"/>
        <v/>
      </c>
      <c r="HG466" s="658" t="str">
        <f t="shared" si="530"/>
        <v/>
      </c>
      <c r="HH466" s="658" t="str">
        <f t="shared" si="531"/>
        <v/>
      </c>
      <c r="HI466" s="658" t="str">
        <f t="shared" si="532"/>
        <v/>
      </c>
      <c r="HJ466" s="658" t="str">
        <f t="shared" si="533"/>
        <v/>
      </c>
      <c r="HK466" s="658" t="str">
        <f t="shared" si="534"/>
        <v/>
      </c>
      <c r="HL466" s="658" t="str">
        <f t="shared" si="535"/>
        <v/>
      </c>
      <c r="HM466" s="658" t="str">
        <f t="shared" si="536"/>
        <v/>
      </c>
      <c r="HN466" s="658" t="str">
        <f t="shared" si="537"/>
        <v/>
      </c>
      <c r="HO466" s="658" t="str">
        <f t="shared" si="538"/>
        <v/>
      </c>
      <c r="HP466" s="658" t="str">
        <f t="shared" si="539"/>
        <v/>
      </c>
      <c r="HQ466" s="658" t="str">
        <f t="shared" si="540"/>
        <v/>
      </c>
      <c r="HR466" s="658" t="str">
        <f t="shared" si="553"/>
        <v/>
      </c>
      <c r="HT466" s="658">
        <f>LEFT(M466,1)*10000+MID(M466,3,LEN(M466)-3)*100+COUNTIF($M$319:M466,M466)</f>
        <v>53101</v>
      </c>
      <c r="HU466" s="658" t="str">
        <f t="shared" si="554"/>
        <v/>
      </c>
      <c r="HV466" s="658" t="str">
        <f t="shared" si="541"/>
        <v/>
      </c>
      <c r="HW466" s="658" t="str">
        <f t="shared" si="555"/>
        <v/>
      </c>
      <c r="HX466" s="658" t="str">
        <f t="shared" si="542"/>
        <v/>
      </c>
    </row>
    <row r="467" spans="1:232" s="19" customFormat="1" ht="50.1" customHeight="1" x14ac:dyDescent="0.15">
      <c r="A467" s="1201"/>
      <c r="B467" s="1201"/>
      <c r="C467" s="1201"/>
      <c r="D467" s="1201"/>
      <c r="E467" s="1202"/>
      <c r="F467" s="652"/>
      <c r="G467" s="652"/>
      <c r="H467" s="652"/>
      <c r="I467" s="1354"/>
      <c r="J467" s="1234"/>
      <c r="K467" s="1261"/>
      <c r="L467" s="1261"/>
      <c r="M467" s="2478" t="s">
        <v>804</v>
      </c>
      <c r="N467" s="2478"/>
      <c r="O467" s="2478"/>
      <c r="P467" s="2461"/>
      <c r="Q467" s="2461"/>
      <c r="R467" s="2429"/>
      <c r="S467" s="2429"/>
      <c r="T467" s="2429"/>
      <c r="U467" s="2435" t="s">
        <v>180</v>
      </c>
      <c r="V467" s="2435"/>
      <c r="W467" s="2435"/>
      <c r="X467" s="2435"/>
      <c r="Y467" s="2435"/>
      <c r="Z467" s="2435"/>
      <c r="AA467" s="2435"/>
      <c r="AB467" s="2435"/>
      <c r="AC467" s="2435"/>
      <c r="AD467" s="2435"/>
      <c r="AE467" s="2435"/>
      <c r="AF467" s="2282"/>
      <c r="AG467" s="2282"/>
      <c r="AH467" s="2282"/>
      <c r="AI467" s="2282"/>
      <c r="AJ467" s="2282"/>
      <c r="AK467" s="2282"/>
      <c r="AL467" s="2282"/>
      <c r="AM467" s="2282"/>
      <c r="AN467" s="2282"/>
      <c r="AO467" s="2282"/>
      <c r="AP467" s="2282"/>
      <c r="AQ467" s="2282"/>
      <c r="AR467" s="2151"/>
      <c r="AS467" s="2151"/>
      <c r="AT467" s="2292"/>
      <c r="AU467" s="2292"/>
      <c r="AV467" s="2292"/>
      <c r="AW467" s="2292"/>
      <c r="AX467" s="2292"/>
      <c r="AY467" s="2292"/>
      <c r="AZ467" s="2292"/>
      <c r="BA467" s="2292"/>
      <c r="BB467" s="2292"/>
      <c r="BC467" s="2292"/>
      <c r="BD467" s="2292"/>
      <c r="BE467" s="2292"/>
      <c r="BF467" s="2292"/>
      <c r="BG467" s="2292"/>
      <c r="BH467" s="2292"/>
      <c r="BI467" s="2292"/>
      <c r="BJ467" s="2292"/>
      <c r="BK467" s="2292"/>
      <c r="BL467" s="2292"/>
      <c r="BM467" s="2292"/>
      <c r="BN467" s="2292"/>
      <c r="BO467" s="2292"/>
      <c r="BP467" s="2292"/>
      <c r="BQ467" s="2292"/>
      <c r="BR467" s="2292"/>
      <c r="BS467" s="2269"/>
      <c r="BT467" s="2269"/>
      <c r="BU467" s="2269"/>
      <c r="BV467" s="2269"/>
      <c r="BW467" s="2269"/>
      <c r="BX467" s="2269"/>
      <c r="BY467" s="2269"/>
      <c r="BZ467" s="2151"/>
      <c r="CA467" s="2151"/>
      <c r="CB467" s="2355"/>
      <c r="CC467" s="2356"/>
      <c r="CD467" s="2356"/>
      <c r="CE467" s="2356"/>
      <c r="CF467" s="2356"/>
      <c r="CG467" s="2356"/>
      <c r="CH467" s="2356"/>
      <c r="CI467" s="2356"/>
      <c r="CJ467" s="2356"/>
      <c r="CK467" s="2356"/>
      <c r="CL467" s="2356"/>
      <c r="CM467" s="2356"/>
      <c r="CN467" s="2356"/>
      <c r="CO467" s="2356"/>
      <c r="CP467" s="2356"/>
      <c r="CQ467" s="2356"/>
      <c r="CR467" s="2356"/>
      <c r="CS467" s="2356"/>
      <c r="CT467" s="2356"/>
      <c r="CU467" s="2357"/>
      <c r="CV467" s="2300" t="str">
        <f t="shared" si="471"/>
        <v/>
      </c>
      <c r="CW467" s="2300"/>
      <c r="CX467" s="2300"/>
      <c r="CY467" s="2300"/>
      <c r="CZ467" s="2300"/>
      <c r="DA467" s="2300"/>
      <c r="DC467" s="329" t="str">
        <f t="shared" si="472"/>
        <v/>
      </c>
      <c r="DD467" s="197"/>
      <c r="DF467" s="14"/>
      <c r="DG467" s="14"/>
      <c r="DH467" s="14"/>
      <c r="DI467" s="1596"/>
      <c r="DJ467" s="1170" t="s">
        <v>2749</v>
      </c>
      <c r="DK467" s="1604" t="str">
        <f t="shared" si="473"/>
        <v/>
      </c>
      <c r="DL467" s="437" t="str">
        <f t="shared" si="474"/>
        <v/>
      </c>
      <c r="DM467" s="1128">
        <f t="shared" si="475"/>
        <v>0</v>
      </c>
      <c r="DN467" s="22">
        <f t="shared" si="476"/>
        <v>0</v>
      </c>
      <c r="DO467" s="22">
        <f t="shared" si="477"/>
        <v>0</v>
      </c>
      <c r="DP467" s="264">
        <f t="shared" si="478"/>
        <v>0</v>
      </c>
      <c r="DQ467" s="1134" t="s">
        <v>804</v>
      </c>
      <c r="DR467" s="263" t="str">
        <f>IF($U467="",R464,U467)</f>
        <v>物品の放置の状況</v>
      </c>
      <c r="DS467" s="23">
        <f t="shared" si="480"/>
        <v>0</v>
      </c>
      <c r="DT467" s="29" t="str">
        <f t="shared" si="481"/>
        <v/>
      </c>
      <c r="DU467" s="242" t="str">
        <f t="shared" si="482"/>
        <v/>
      </c>
      <c r="DV467" s="243" t="str">
        <f>IF($DT467="要是正",MAX($DV$432:DV466)+1,"")</f>
        <v/>
      </c>
      <c r="DW467" s="12" t="str">
        <f t="shared" si="483"/>
        <v/>
      </c>
      <c r="DX467" s="30" t="str">
        <f t="shared" si="484"/>
        <v/>
      </c>
      <c r="DY467" s="13" t="str">
        <f t="shared" si="485"/>
        <v/>
      </c>
      <c r="DZ467" s="121" t="str">
        <f t="shared" si="486"/>
        <v/>
      </c>
      <c r="EA467" s="256" t="str">
        <f t="shared" si="487"/>
        <v/>
      </c>
      <c r="EB467" s="138" t="str">
        <f t="shared" si="488"/>
        <v/>
      </c>
      <c r="EC467" s="131" t="str">
        <f t="shared" si="489"/>
        <v>0</v>
      </c>
      <c r="ED467" s="54" t="str">
        <f t="shared" si="490"/>
        <v/>
      </c>
      <c r="EE467" s="131" t="str">
        <f t="shared" si="543"/>
        <v>0</v>
      </c>
      <c r="EF467" s="37" t="str">
        <f t="shared" si="491"/>
        <v/>
      </c>
      <c r="EG467" s="108" t="str">
        <f t="shared" si="492"/>
        <v/>
      </c>
      <c r="EH467" s="41" t="str">
        <f t="shared" si="493"/>
        <v>0</v>
      </c>
      <c r="EI467" s="54" t="str">
        <f t="shared" si="494"/>
        <v/>
      </c>
      <c r="EJ467" s="131" t="str">
        <f t="shared" si="544"/>
        <v>0</v>
      </c>
      <c r="EK467" s="241" t="str">
        <f t="shared" si="495"/>
        <v/>
      </c>
      <c r="EL467" s="242" t="e">
        <f t="shared" si="496"/>
        <v>#N/A</v>
      </c>
      <c r="EM467" s="57" t="e">
        <f t="shared" si="497"/>
        <v>#N/A</v>
      </c>
      <c r="EN467" s="243" t="e">
        <f t="shared" si="498"/>
        <v>#N/A</v>
      </c>
      <c r="FK467" s="326" t="str">
        <f t="shared" si="499"/>
        <v/>
      </c>
      <c r="FL467" s="326" t="str">
        <f t="shared" si="500"/>
        <v/>
      </c>
      <c r="FM467" s="326" t="str">
        <f t="shared" si="501"/>
        <v/>
      </c>
      <c r="FN467" s="326">
        <f t="shared" si="502"/>
        <v>0</v>
      </c>
      <c r="FO467" s="670" t="str">
        <f t="shared" si="503"/>
        <v/>
      </c>
      <c r="FQ467" s="138" t="str">
        <f t="shared" si="504"/>
        <v/>
      </c>
      <c r="FR467" s="131" t="str">
        <f t="shared" si="505"/>
        <v>0</v>
      </c>
      <c r="FS467" s="54" t="str">
        <f t="shared" si="506"/>
        <v/>
      </c>
      <c r="FT467" s="131" t="str">
        <f t="shared" si="507"/>
        <v>0</v>
      </c>
      <c r="FU467" s="217" t="str">
        <f t="shared" si="545"/>
        <v/>
      </c>
      <c r="FW467" s="667">
        <f t="shared" si="556"/>
        <v>0</v>
      </c>
      <c r="FX467" s="32"/>
      <c r="FY467" s="32"/>
      <c r="FZ467" s="668"/>
      <c r="GA467" s="14"/>
      <c r="GB467" s="658">
        <f t="shared" si="508"/>
        <v>0</v>
      </c>
      <c r="GC467" s="658">
        <f t="shared" si="509"/>
        <v>0</v>
      </c>
      <c r="GD467" s="658">
        <f t="shared" si="510"/>
        <v>0</v>
      </c>
      <c r="GE467" s="658" t="str">
        <f t="shared" si="511"/>
        <v/>
      </c>
      <c r="GF467" s="658" t="str">
        <f t="shared" si="512"/>
        <v/>
      </c>
      <c r="GG467" s="658" t="str">
        <f t="shared" si="513"/>
        <v/>
      </c>
      <c r="GH467" s="658" t="str">
        <f t="shared" si="514"/>
        <v/>
      </c>
      <c r="GI467" s="658" t="str">
        <f t="shared" si="515"/>
        <v/>
      </c>
      <c r="GJ467" s="658" t="str">
        <f t="shared" si="516"/>
        <v/>
      </c>
      <c r="GK467" s="658" t="str">
        <f t="shared" si="517"/>
        <v/>
      </c>
      <c r="GL467" s="658" t="str">
        <f t="shared" si="518"/>
        <v/>
      </c>
      <c r="GM467" s="658" t="str">
        <f t="shared" si="519"/>
        <v/>
      </c>
      <c r="GN467" s="658" t="str">
        <f t="shared" si="520"/>
        <v/>
      </c>
      <c r="GO467" s="658" t="str">
        <f t="shared" si="521"/>
        <v/>
      </c>
      <c r="GP467" s="658" t="str">
        <f t="shared" si="522"/>
        <v/>
      </c>
      <c r="GQ467" s="658" t="str">
        <f t="shared" si="523"/>
        <v/>
      </c>
      <c r="GR467" s="658" t="str">
        <f t="shared" si="524"/>
        <v/>
      </c>
      <c r="GS467" s="658" t="str">
        <f t="shared" si="525"/>
        <v/>
      </c>
      <c r="GT467" s="658">
        <f t="shared" si="546"/>
        <v>0</v>
      </c>
      <c r="GU467" s="658">
        <f t="shared" si="547"/>
        <v>0</v>
      </c>
      <c r="GV467" s="658">
        <f t="shared" si="548"/>
        <v>0</v>
      </c>
      <c r="GW467" s="658" t="b">
        <f t="shared" si="549"/>
        <v>0</v>
      </c>
      <c r="GX467" s="658" t="b">
        <f t="shared" si="550"/>
        <v>0</v>
      </c>
      <c r="GY467" s="658" t="b">
        <f t="shared" si="551"/>
        <v>0</v>
      </c>
      <c r="GZ467" s="658" t="str">
        <f t="shared" si="557"/>
        <v/>
      </c>
      <c r="HB467" s="658" t="str">
        <f t="shared" si="552"/>
        <v/>
      </c>
      <c r="HC467" s="658" t="str">
        <f t="shared" si="526"/>
        <v/>
      </c>
      <c r="HD467" s="658" t="str">
        <f t="shared" si="527"/>
        <v/>
      </c>
      <c r="HE467" s="658" t="str">
        <f t="shared" si="528"/>
        <v/>
      </c>
      <c r="HF467" s="658" t="str">
        <f t="shared" si="529"/>
        <v/>
      </c>
      <c r="HG467" s="658" t="str">
        <f t="shared" si="530"/>
        <v/>
      </c>
      <c r="HH467" s="658" t="str">
        <f t="shared" si="531"/>
        <v/>
      </c>
      <c r="HI467" s="658" t="str">
        <f t="shared" si="532"/>
        <v/>
      </c>
      <c r="HJ467" s="658" t="str">
        <f t="shared" si="533"/>
        <v/>
      </c>
      <c r="HK467" s="658" t="str">
        <f t="shared" si="534"/>
        <v/>
      </c>
      <c r="HL467" s="658" t="str">
        <f t="shared" si="535"/>
        <v/>
      </c>
      <c r="HM467" s="658" t="str">
        <f t="shared" si="536"/>
        <v/>
      </c>
      <c r="HN467" s="658" t="str">
        <f t="shared" si="537"/>
        <v/>
      </c>
      <c r="HO467" s="658" t="str">
        <f t="shared" si="538"/>
        <v/>
      </c>
      <c r="HP467" s="658" t="str">
        <f t="shared" si="539"/>
        <v/>
      </c>
      <c r="HQ467" s="658" t="str">
        <f t="shared" si="540"/>
        <v/>
      </c>
      <c r="HR467" s="658" t="str">
        <f t="shared" si="553"/>
        <v/>
      </c>
      <c r="HT467" s="658">
        <f>LEFT(M467,1)*10000+MID(M467,3,LEN(M467)-3)*100+COUNTIF($M$319:M467,M467)</f>
        <v>53201</v>
      </c>
      <c r="HU467" s="658" t="str">
        <f t="shared" si="554"/>
        <v/>
      </c>
      <c r="HV467" s="658" t="str">
        <f t="shared" si="541"/>
        <v/>
      </c>
      <c r="HW467" s="658" t="str">
        <f t="shared" si="555"/>
        <v/>
      </c>
      <c r="HX467" s="658" t="str">
        <f t="shared" si="542"/>
        <v/>
      </c>
    </row>
    <row r="468" spans="1:232" s="19" customFormat="1" ht="94.5" customHeight="1" thickBot="1" x14ac:dyDescent="0.2">
      <c r="A468" s="1201"/>
      <c r="B468" s="1201"/>
      <c r="C468" s="1201"/>
      <c r="D468" s="1201"/>
      <c r="E468" s="1202"/>
      <c r="F468" s="652"/>
      <c r="G468" s="652"/>
      <c r="H468" s="652"/>
      <c r="I468" s="1354"/>
      <c r="J468" s="1234"/>
      <c r="K468" s="1261"/>
      <c r="L468" s="1261"/>
      <c r="M468" s="2478" t="s">
        <v>805</v>
      </c>
      <c r="N468" s="2478"/>
      <c r="O468" s="2478"/>
      <c r="P468" s="2461"/>
      <c r="Q468" s="2461"/>
      <c r="R468" s="2444" t="s">
        <v>181</v>
      </c>
      <c r="S468" s="2444"/>
      <c r="T468" s="2444"/>
      <c r="U468" s="2438" t="s">
        <v>182</v>
      </c>
      <c r="V468" s="2438"/>
      <c r="W468" s="2438"/>
      <c r="X468" s="2438"/>
      <c r="Y468" s="2438"/>
      <c r="Z468" s="2438"/>
      <c r="AA468" s="2438"/>
      <c r="AB468" s="2438"/>
      <c r="AC468" s="2438"/>
      <c r="AD468" s="2438"/>
      <c r="AE468" s="2438"/>
      <c r="AF468" s="2302"/>
      <c r="AG468" s="2302"/>
      <c r="AH468" s="2302"/>
      <c r="AI468" s="2302"/>
      <c r="AJ468" s="2302"/>
      <c r="AK468" s="2302"/>
      <c r="AL468" s="2302"/>
      <c r="AM468" s="2302"/>
      <c r="AN468" s="2302"/>
      <c r="AO468" s="2302"/>
      <c r="AP468" s="2302"/>
      <c r="AQ468" s="2302"/>
      <c r="AR468" s="2272"/>
      <c r="AS468" s="2272"/>
      <c r="AT468" s="2406"/>
      <c r="AU468" s="2406"/>
      <c r="AV468" s="2406"/>
      <c r="AW468" s="2406"/>
      <c r="AX468" s="2406"/>
      <c r="AY468" s="2406"/>
      <c r="AZ468" s="2406"/>
      <c r="BA468" s="2406"/>
      <c r="BB468" s="2406"/>
      <c r="BC468" s="2406"/>
      <c r="BD468" s="2406"/>
      <c r="BE468" s="2406"/>
      <c r="BF468" s="2406"/>
      <c r="BG468" s="2406"/>
      <c r="BH468" s="2406"/>
      <c r="BI468" s="2406"/>
      <c r="BJ468" s="2406"/>
      <c r="BK468" s="2406"/>
      <c r="BL468" s="2406"/>
      <c r="BM468" s="2406"/>
      <c r="BN468" s="2406"/>
      <c r="BO468" s="2406"/>
      <c r="BP468" s="2406"/>
      <c r="BQ468" s="2406"/>
      <c r="BR468" s="2406"/>
      <c r="BS468" s="2271"/>
      <c r="BT468" s="2271"/>
      <c r="BU468" s="2271"/>
      <c r="BV468" s="2271"/>
      <c r="BW468" s="2271"/>
      <c r="BX468" s="2271"/>
      <c r="BY468" s="2271"/>
      <c r="BZ468" s="2272"/>
      <c r="CA468" s="2272"/>
      <c r="CB468" s="2902" t="s">
        <v>3327</v>
      </c>
      <c r="CC468" s="2903"/>
      <c r="CD468" s="2903"/>
      <c r="CE468" s="2903"/>
      <c r="CF468" s="2903"/>
      <c r="CG468" s="2903"/>
      <c r="CH468" s="2903"/>
      <c r="CI468" s="2903"/>
      <c r="CJ468" s="2903"/>
      <c r="CK468" s="2903"/>
      <c r="CL468" s="2903"/>
      <c r="CM468" s="2903"/>
      <c r="CN468" s="2903"/>
      <c r="CO468" s="2903"/>
      <c r="CP468" s="2903"/>
      <c r="CQ468" s="2903"/>
      <c r="CR468" s="2903"/>
      <c r="CS468" s="2903"/>
      <c r="CT468" s="2903"/>
      <c r="CU468" s="2904"/>
      <c r="CV468" s="2300" t="str">
        <f t="shared" si="471"/>
        <v/>
      </c>
      <c r="CW468" s="2300"/>
      <c r="CX468" s="2300"/>
      <c r="CY468" s="2300"/>
      <c r="CZ468" s="2300"/>
      <c r="DA468" s="2300"/>
      <c r="DC468" s="329" t="str">
        <f t="shared" si="472"/>
        <v/>
      </c>
      <c r="DD468" s="197"/>
      <c r="DF468" s="14"/>
      <c r="DG468" s="14"/>
      <c r="DH468" s="14"/>
      <c r="DI468" s="1596"/>
      <c r="DJ468" s="1170" t="s">
        <v>2749</v>
      </c>
      <c r="DK468" s="1604" t="str">
        <f t="shared" si="473"/>
        <v/>
      </c>
      <c r="DL468" s="437" t="str">
        <f t="shared" si="474"/>
        <v/>
      </c>
      <c r="DM468" s="1128">
        <f t="shared" si="475"/>
        <v>0</v>
      </c>
      <c r="DN468" s="22">
        <f t="shared" si="476"/>
        <v>0</v>
      </c>
      <c r="DO468" s="22">
        <f t="shared" si="477"/>
        <v>0</v>
      </c>
      <c r="DP468" s="264">
        <f t="shared" si="478"/>
        <v>0</v>
      </c>
      <c r="DQ468" s="1134" t="s">
        <v>805</v>
      </c>
      <c r="DR468" s="263" t="str">
        <f t="shared" ref="DR468:DR473" si="558">IF($U468="",R468,U468)</f>
        <v>非常用の照明装置の設置の状況</v>
      </c>
      <c r="DS468" s="23">
        <f t="shared" si="480"/>
        <v>0</v>
      </c>
      <c r="DT468" s="29" t="str">
        <f t="shared" si="481"/>
        <v/>
      </c>
      <c r="DU468" s="242" t="str">
        <f t="shared" si="482"/>
        <v/>
      </c>
      <c r="DV468" s="243" t="str">
        <f>IF($DT468="要是正",MAX($DV$432:DV467)+1,"")</f>
        <v/>
      </c>
      <c r="DW468" s="12" t="str">
        <f t="shared" si="483"/>
        <v/>
      </c>
      <c r="DX468" s="30" t="str">
        <f t="shared" si="484"/>
        <v/>
      </c>
      <c r="DY468" s="13" t="str">
        <f t="shared" si="485"/>
        <v/>
      </c>
      <c r="DZ468" s="121" t="str">
        <f t="shared" si="486"/>
        <v/>
      </c>
      <c r="EA468" s="256" t="str">
        <f t="shared" si="487"/>
        <v/>
      </c>
      <c r="EB468" s="138" t="str">
        <f t="shared" si="488"/>
        <v/>
      </c>
      <c r="EC468" s="131" t="str">
        <f t="shared" si="489"/>
        <v>0</v>
      </c>
      <c r="ED468" s="54" t="str">
        <f t="shared" si="490"/>
        <v/>
      </c>
      <c r="EE468" s="131" t="str">
        <f t="shared" si="543"/>
        <v>0</v>
      </c>
      <c r="EF468" s="37" t="str">
        <f t="shared" si="491"/>
        <v/>
      </c>
      <c r="EG468" s="108" t="str">
        <f t="shared" si="492"/>
        <v/>
      </c>
      <c r="EH468" s="41" t="str">
        <f t="shared" si="493"/>
        <v>0</v>
      </c>
      <c r="EI468" s="54" t="str">
        <f t="shared" si="494"/>
        <v/>
      </c>
      <c r="EJ468" s="131" t="str">
        <f t="shared" si="544"/>
        <v>0</v>
      </c>
      <c r="EK468" s="241" t="str">
        <f t="shared" si="495"/>
        <v/>
      </c>
      <c r="EL468" s="242" t="e">
        <f t="shared" si="496"/>
        <v>#N/A</v>
      </c>
      <c r="EM468" s="57" t="e">
        <f t="shared" si="497"/>
        <v>#N/A</v>
      </c>
      <c r="EN468" s="243" t="e">
        <f t="shared" si="498"/>
        <v>#N/A</v>
      </c>
      <c r="FK468" s="326" t="str">
        <f t="shared" si="499"/>
        <v/>
      </c>
      <c r="FL468" s="326" t="str">
        <f t="shared" si="500"/>
        <v/>
      </c>
      <c r="FM468" s="326" t="str">
        <f t="shared" si="501"/>
        <v/>
      </c>
      <c r="FN468" s="326">
        <f t="shared" si="502"/>
        <v>0</v>
      </c>
      <c r="FO468" s="670" t="str">
        <f t="shared" si="503"/>
        <v/>
      </c>
      <c r="FQ468" s="138" t="str">
        <f t="shared" si="504"/>
        <v/>
      </c>
      <c r="FR468" s="131" t="str">
        <f t="shared" si="505"/>
        <v>0</v>
      </c>
      <c r="FS468" s="54" t="str">
        <f t="shared" si="506"/>
        <v/>
      </c>
      <c r="FT468" s="131" t="str">
        <f t="shared" si="507"/>
        <v>0</v>
      </c>
      <c r="FU468" s="217" t="str">
        <f t="shared" si="545"/>
        <v/>
      </c>
      <c r="FW468" s="667">
        <f t="shared" si="556"/>
        <v>0</v>
      </c>
      <c r="FX468" s="32"/>
      <c r="FY468" s="32"/>
      <c r="FZ468" s="668"/>
      <c r="GA468" s="14"/>
      <c r="GB468" s="658">
        <f t="shared" si="508"/>
        <v>0</v>
      </c>
      <c r="GC468" s="658">
        <f t="shared" si="509"/>
        <v>0</v>
      </c>
      <c r="GD468" s="658">
        <f t="shared" si="510"/>
        <v>0</v>
      </c>
      <c r="GE468" s="658" t="str">
        <f t="shared" si="511"/>
        <v/>
      </c>
      <c r="GF468" s="658" t="str">
        <f t="shared" si="512"/>
        <v/>
      </c>
      <c r="GG468" s="658" t="str">
        <f t="shared" si="513"/>
        <v/>
      </c>
      <c r="GH468" s="658" t="str">
        <f t="shared" si="514"/>
        <v/>
      </c>
      <c r="GI468" s="658" t="str">
        <f t="shared" si="515"/>
        <v/>
      </c>
      <c r="GJ468" s="658" t="str">
        <f t="shared" si="516"/>
        <v/>
      </c>
      <c r="GK468" s="658" t="str">
        <f t="shared" si="517"/>
        <v/>
      </c>
      <c r="GL468" s="658" t="str">
        <f t="shared" si="518"/>
        <v/>
      </c>
      <c r="GM468" s="658" t="str">
        <f t="shared" si="519"/>
        <v/>
      </c>
      <c r="GN468" s="658" t="str">
        <f t="shared" si="520"/>
        <v/>
      </c>
      <c r="GO468" s="658" t="str">
        <f t="shared" si="521"/>
        <v/>
      </c>
      <c r="GP468" s="658" t="str">
        <f t="shared" si="522"/>
        <v/>
      </c>
      <c r="GQ468" s="658" t="str">
        <f t="shared" si="523"/>
        <v/>
      </c>
      <c r="GR468" s="658" t="str">
        <f t="shared" si="524"/>
        <v/>
      </c>
      <c r="GS468" s="658" t="str">
        <f t="shared" si="525"/>
        <v/>
      </c>
      <c r="GT468" s="658">
        <f t="shared" si="546"/>
        <v>0</v>
      </c>
      <c r="GU468" s="658">
        <f t="shared" si="547"/>
        <v>0</v>
      </c>
      <c r="GV468" s="658">
        <f t="shared" si="548"/>
        <v>0</v>
      </c>
      <c r="GW468" s="658" t="b">
        <f t="shared" si="549"/>
        <v>0</v>
      </c>
      <c r="GX468" s="658" t="b">
        <f t="shared" si="550"/>
        <v>0</v>
      </c>
      <c r="GY468" s="658" t="b">
        <f t="shared" si="551"/>
        <v>0</v>
      </c>
      <c r="GZ468" s="658" t="str">
        <f t="shared" si="557"/>
        <v/>
      </c>
      <c r="HB468" s="658" t="str">
        <f t="shared" si="552"/>
        <v/>
      </c>
      <c r="HC468" s="658" t="str">
        <f t="shared" si="526"/>
        <v/>
      </c>
      <c r="HD468" s="658" t="str">
        <f t="shared" si="527"/>
        <v/>
      </c>
      <c r="HE468" s="658" t="str">
        <f t="shared" si="528"/>
        <v/>
      </c>
      <c r="HF468" s="658" t="str">
        <f t="shared" si="529"/>
        <v/>
      </c>
      <c r="HG468" s="658" t="str">
        <f t="shared" si="530"/>
        <v/>
      </c>
      <c r="HH468" s="658" t="str">
        <f t="shared" si="531"/>
        <v/>
      </c>
      <c r="HI468" s="658" t="str">
        <f t="shared" si="532"/>
        <v/>
      </c>
      <c r="HJ468" s="658" t="str">
        <f t="shared" si="533"/>
        <v/>
      </c>
      <c r="HK468" s="658" t="str">
        <f t="shared" si="534"/>
        <v/>
      </c>
      <c r="HL468" s="658" t="str">
        <f t="shared" si="535"/>
        <v/>
      </c>
      <c r="HM468" s="658" t="str">
        <f t="shared" si="536"/>
        <v/>
      </c>
      <c r="HN468" s="658" t="str">
        <f t="shared" si="537"/>
        <v/>
      </c>
      <c r="HO468" s="658" t="str">
        <f t="shared" si="538"/>
        <v/>
      </c>
      <c r="HP468" s="658" t="str">
        <f t="shared" si="539"/>
        <v/>
      </c>
      <c r="HQ468" s="658" t="str">
        <f t="shared" si="540"/>
        <v/>
      </c>
      <c r="HR468" s="658" t="str">
        <f t="shared" si="553"/>
        <v/>
      </c>
      <c r="HT468" s="658">
        <f>LEFT(M468,1)*10000+MID(M468,3,LEN(M468)-3)*100+COUNTIF($M$319:M468,M468)</f>
        <v>53301</v>
      </c>
      <c r="HU468" s="658" t="str">
        <f t="shared" si="554"/>
        <v/>
      </c>
      <c r="HV468" s="658" t="str">
        <f t="shared" si="541"/>
        <v/>
      </c>
      <c r="HW468" s="658" t="str">
        <f t="shared" si="555"/>
        <v/>
      </c>
      <c r="HX468" s="658" t="str">
        <f t="shared" si="542"/>
        <v/>
      </c>
    </row>
    <row r="469" spans="1:232" s="19" customFormat="1" ht="50.1" hidden="1" customHeight="1" thickBot="1" x14ac:dyDescent="0.2">
      <c r="A469" s="1201"/>
      <c r="B469" s="1201"/>
      <c r="C469" s="1201"/>
      <c r="D469" s="1201"/>
      <c r="E469" s="1202"/>
      <c r="F469" s="652"/>
      <c r="G469" s="652"/>
      <c r="H469" s="652"/>
      <c r="I469" s="1354"/>
      <c r="J469" s="1234"/>
      <c r="K469" s="1261"/>
      <c r="L469" s="1261"/>
      <c r="M469" s="2656" t="s">
        <v>806</v>
      </c>
      <c r="N469" s="2656"/>
      <c r="O469" s="2656"/>
      <c r="P469" s="2461"/>
      <c r="Q469" s="2461"/>
      <c r="R469" s="2430"/>
      <c r="S469" s="2430"/>
      <c r="T469" s="2430"/>
      <c r="U469" s="2435"/>
      <c r="V469" s="2435"/>
      <c r="W469" s="2435"/>
      <c r="X469" s="2435"/>
      <c r="Y469" s="2435"/>
      <c r="Z469" s="2435"/>
      <c r="AA469" s="2435"/>
      <c r="AB469" s="2435"/>
      <c r="AC469" s="2435"/>
      <c r="AD469" s="2435"/>
      <c r="AE469" s="2435"/>
      <c r="AF469" s="2434"/>
      <c r="AG469" s="2434"/>
      <c r="AH469" s="2434"/>
      <c r="AI469" s="2434"/>
      <c r="AJ469" s="2434"/>
      <c r="AK469" s="2434"/>
      <c r="AL469" s="2434"/>
      <c r="AM469" s="2434"/>
      <c r="AN469" s="2434"/>
      <c r="AO469" s="2434"/>
      <c r="AP469" s="2434"/>
      <c r="AQ469" s="2434"/>
      <c r="AR469" s="2307"/>
      <c r="AS469" s="2307"/>
      <c r="AT469" s="2410"/>
      <c r="AU469" s="2410"/>
      <c r="AV469" s="2410"/>
      <c r="AW469" s="2410"/>
      <c r="AX469" s="2410"/>
      <c r="AY469" s="2410"/>
      <c r="AZ469" s="2410"/>
      <c r="BA469" s="2410"/>
      <c r="BB469" s="2410"/>
      <c r="BC469" s="2410"/>
      <c r="BD469" s="2410"/>
      <c r="BE469" s="2410"/>
      <c r="BF469" s="2410"/>
      <c r="BG469" s="2410"/>
      <c r="BH469" s="2410"/>
      <c r="BI469" s="2410"/>
      <c r="BJ469" s="2410"/>
      <c r="BK469" s="2410"/>
      <c r="BL469" s="2410"/>
      <c r="BM469" s="2410"/>
      <c r="BN469" s="2410"/>
      <c r="BO469" s="2410"/>
      <c r="BP469" s="2410"/>
      <c r="BQ469" s="2410"/>
      <c r="BR469" s="2410"/>
      <c r="BS469" s="2296"/>
      <c r="BT469" s="2296"/>
      <c r="BU469" s="2296"/>
      <c r="BV469" s="2296"/>
      <c r="BW469" s="2296"/>
      <c r="BX469" s="2296"/>
      <c r="BY469" s="2296"/>
      <c r="BZ469" s="2307"/>
      <c r="CA469" s="2307"/>
      <c r="CB469" s="2383"/>
      <c r="CC469" s="2384"/>
      <c r="CD469" s="2384"/>
      <c r="CE469" s="2384"/>
      <c r="CF469" s="2384"/>
      <c r="CG469" s="2384"/>
      <c r="CH469" s="2384"/>
      <c r="CI469" s="2384"/>
      <c r="CJ469" s="2384"/>
      <c r="CK469" s="2384"/>
      <c r="CL469" s="2384"/>
      <c r="CM469" s="2384"/>
      <c r="CN469" s="2384"/>
      <c r="CO469" s="2384"/>
      <c r="CP469" s="2384"/>
      <c r="CQ469" s="2384"/>
      <c r="CR469" s="2384"/>
      <c r="CS469" s="2384"/>
      <c r="CT469" s="2384"/>
      <c r="CU469" s="2385"/>
      <c r="CV469" s="2300" t="str">
        <f t="shared" ref="CV469:CV473" si="559">IF(AND(DT469="要是正",DU469&lt;21),HYPERLINK("#"&amp;EL469&amp;"!"&amp;EM469&amp;":"&amp;EN469&amp;"","関連写真添付"),"")</f>
        <v/>
      </c>
      <c r="CW469" s="2300"/>
      <c r="CX469" s="2300"/>
      <c r="CY469" s="2300"/>
      <c r="CZ469" s="2300"/>
      <c r="DA469" s="2300"/>
      <c r="DC469" s="329" t="str">
        <f t="shared" ref="DC469:DC473" si="560">IF(AND(DU469&lt;&gt;"",DU469&gt;20),"「別途様式を作成、提出してください。」","")</f>
        <v/>
      </c>
      <c r="DD469" s="197"/>
      <c r="DF469" s="14"/>
      <c r="DG469" s="14"/>
      <c r="DH469" s="14"/>
      <c r="DI469" s="1596"/>
      <c r="DJ469" s="1170" t="s">
        <v>2749</v>
      </c>
      <c r="DK469" s="1604" t="str">
        <f t="shared" si="473"/>
        <v/>
      </c>
      <c r="DL469" s="437" t="str">
        <f t="shared" si="474"/>
        <v/>
      </c>
      <c r="DM469" s="1129">
        <f t="shared" si="475"/>
        <v>0</v>
      </c>
      <c r="DN469" s="266">
        <f t="shared" si="476"/>
        <v>0</v>
      </c>
      <c r="DO469" s="266">
        <f t="shared" si="477"/>
        <v>0</v>
      </c>
      <c r="DP469" s="267">
        <f t="shared" si="478"/>
        <v>0</v>
      </c>
      <c r="DQ469" s="1134" t="s">
        <v>806</v>
      </c>
      <c r="DR469" s="265">
        <f t="shared" si="558"/>
        <v>0</v>
      </c>
      <c r="DS469" s="125">
        <f t="shared" si="480"/>
        <v>0</v>
      </c>
      <c r="DT469" s="270" t="str">
        <f t="shared" si="481"/>
        <v/>
      </c>
      <c r="DU469" s="136" t="str">
        <f t="shared" si="482"/>
        <v/>
      </c>
      <c r="DV469" s="244" t="str">
        <f>IF($DT469="要是正",MAX($DV$432:DV468)+1,"")</f>
        <v/>
      </c>
      <c r="DW469" s="12" t="str">
        <f t="shared" si="483"/>
        <v/>
      </c>
      <c r="DX469" s="257" t="str">
        <f t="shared" si="484"/>
        <v/>
      </c>
      <c r="DY469" s="258" t="str">
        <f t="shared" si="485"/>
        <v/>
      </c>
      <c r="DZ469" s="259" t="str">
        <f t="shared" si="486"/>
        <v/>
      </c>
      <c r="EA469" s="256" t="str">
        <f t="shared" si="487"/>
        <v/>
      </c>
      <c r="EB469" s="138" t="str">
        <f t="shared" si="488"/>
        <v/>
      </c>
      <c r="EC469" s="131" t="str">
        <f t="shared" si="489"/>
        <v>0</v>
      </c>
      <c r="ED469" s="54" t="str">
        <f t="shared" si="490"/>
        <v/>
      </c>
      <c r="EE469" s="131" t="str">
        <f t="shared" ref="EE469:EE473" si="561">IF(ED469=1,EC469,"0")</f>
        <v>0</v>
      </c>
      <c r="EF469" s="37" t="str">
        <f t="shared" si="491"/>
        <v/>
      </c>
      <c r="EG469" s="108" t="str">
        <f t="shared" si="492"/>
        <v/>
      </c>
      <c r="EH469" s="41" t="str">
        <f t="shared" si="493"/>
        <v>0</v>
      </c>
      <c r="EI469" s="54" t="str">
        <f t="shared" si="494"/>
        <v/>
      </c>
      <c r="EJ469" s="131" t="str">
        <f t="shared" ref="EJ469:EJ473" si="562">IF(EI469=1,EH469,"0")</f>
        <v>0</v>
      </c>
      <c r="EK469" s="241" t="str">
        <f t="shared" si="495"/>
        <v/>
      </c>
      <c r="EL469" s="136" t="e">
        <f t="shared" ref="EL469:EL473" si="563">VLOOKUP($DU469,$EO$318:$ER$346,2,FALSE)</f>
        <v>#N/A</v>
      </c>
      <c r="EM469" s="137" t="e">
        <f t="shared" ref="EM469:EM473" si="564">VLOOKUP($DU469,$EO$318:$ER$346,3,FALSE)</f>
        <v>#N/A</v>
      </c>
      <c r="EN469" s="244" t="e">
        <f t="shared" ref="EN469:EN473" si="565">VLOOKUP($DU469,$EO$318:$ER$346,4,FALSE)</f>
        <v>#N/A</v>
      </c>
      <c r="FK469" s="326" t="str">
        <f t="shared" si="499"/>
        <v/>
      </c>
      <c r="FL469" s="326" t="str">
        <f t="shared" si="500"/>
        <v/>
      </c>
      <c r="FM469" s="326" t="str">
        <f t="shared" si="501"/>
        <v/>
      </c>
      <c r="FN469" s="326">
        <f t="shared" si="502"/>
        <v>0</v>
      </c>
      <c r="FO469" s="670" t="str">
        <f t="shared" si="503"/>
        <v/>
      </c>
      <c r="FQ469" s="138" t="str">
        <f t="shared" si="504"/>
        <v/>
      </c>
      <c r="FR469" s="131" t="str">
        <f t="shared" si="505"/>
        <v>0</v>
      </c>
      <c r="FS469" s="54" t="str">
        <f t="shared" si="506"/>
        <v/>
      </c>
      <c r="FT469" s="131" t="str">
        <f t="shared" ref="FT469:FT473" si="566">IF(FS469=1,FR469,"0")</f>
        <v>0</v>
      </c>
      <c r="FU469" s="217" t="str">
        <f t="shared" ref="FU469:FU473" si="567">IF(AND(FM469="要是正",AND(FL469=0,DR469="未定")),DR469,"")</f>
        <v/>
      </c>
      <c r="FW469" s="667">
        <f t="shared" si="556"/>
        <v>0</v>
      </c>
      <c r="FX469" s="32"/>
      <c r="FY469" s="32"/>
      <c r="FZ469" s="668"/>
      <c r="GA469" s="14"/>
      <c r="GB469" s="32">
        <f t="shared" si="508"/>
        <v>0</v>
      </c>
      <c r="GC469" s="32">
        <f t="shared" si="509"/>
        <v>0</v>
      </c>
      <c r="GD469" s="19">
        <f t="shared" si="510"/>
        <v>0</v>
      </c>
      <c r="GE469" s="658" t="str">
        <f t="shared" si="511"/>
        <v/>
      </c>
      <c r="GF469" s="658" t="str">
        <f t="shared" si="512"/>
        <v/>
      </c>
      <c r="GG469" s="658" t="str">
        <f t="shared" si="513"/>
        <v/>
      </c>
      <c r="GH469" s="658" t="str">
        <f t="shared" si="514"/>
        <v/>
      </c>
      <c r="GI469" s="658" t="str">
        <f t="shared" si="515"/>
        <v/>
      </c>
      <c r="GJ469" s="658" t="str">
        <f t="shared" si="516"/>
        <v/>
      </c>
      <c r="GK469" s="658" t="str">
        <f t="shared" si="517"/>
        <v/>
      </c>
      <c r="GL469" s="658" t="str">
        <f t="shared" si="518"/>
        <v/>
      </c>
      <c r="GM469" s="658" t="str">
        <f t="shared" si="519"/>
        <v/>
      </c>
      <c r="GN469" s="658" t="str">
        <f t="shared" si="520"/>
        <v/>
      </c>
      <c r="GO469" s="658" t="str">
        <f t="shared" si="521"/>
        <v/>
      </c>
      <c r="GP469" s="658" t="str">
        <f t="shared" si="522"/>
        <v/>
      </c>
      <c r="GQ469" s="658" t="str">
        <f t="shared" si="523"/>
        <v/>
      </c>
      <c r="GR469" s="658" t="str">
        <f t="shared" si="524"/>
        <v/>
      </c>
      <c r="GS469" s="658" t="str">
        <f t="shared" si="525"/>
        <v/>
      </c>
      <c r="GT469" s="658">
        <f t="shared" si="546"/>
        <v>0</v>
      </c>
      <c r="GU469" s="658">
        <f t="shared" si="547"/>
        <v>0</v>
      </c>
      <c r="GV469" s="658">
        <f t="shared" si="548"/>
        <v>0</v>
      </c>
      <c r="GW469" s="658" t="b">
        <f t="shared" si="549"/>
        <v>0</v>
      </c>
      <c r="GX469" s="658" t="b">
        <f t="shared" si="550"/>
        <v>0</v>
      </c>
      <c r="GY469" s="658" t="b">
        <f t="shared" si="551"/>
        <v>0</v>
      </c>
      <c r="GZ469" s="658" t="str">
        <f t="shared" si="557"/>
        <v/>
      </c>
      <c r="HB469" s="658" t="str">
        <f t="shared" si="552"/>
        <v/>
      </c>
      <c r="HC469" s="658" t="str">
        <f t="shared" si="526"/>
        <v/>
      </c>
      <c r="HD469" s="658" t="str">
        <f t="shared" si="527"/>
        <v/>
      </c>
      <c r="HE469" s="658" t="str">
        <f t="shared" si="528"/>
        <v/>
      </c>
      <c r="HF469" s="658" t="str">
        <f t="shared" si="529"/>
        <v/>
      </c>
      <c r="HG469" s="658" t="str">
        <f t="shared" si="530"/>
        <v/>
      </c>
      <c r="HH469" s="658" t="str">
        <f t="shared" si="531"/>
        <v/>
      </c>
      <c r="HI469" s="658" t="str">
        <f t="shared" si="532"/>
        <v/>
      </c>
      <c r="HJ469" s="658" t="str">
        <f t="shared" si="533"/>
        <v/>
      </c>
      <c r="HK469" s="658" t="str">
        <f t="shared" si="534"/>
        <v/>
      </c>
      <c r="HL469" s="658" t="str">
        <f t="shared" si="535"/>
        <v/>
      </c>
      <c r="HM469" s="658" t="str">
        <f t="shared" si="536"/>
        <v/>
      </c>
      <c r="HN469" s="658" t="str">
        <f t="shared" si="537"/>
        <v/>
      </c>
      <c r="HO469" s="658" t="str">
        <f t="shared" si="538"/>
        <v/>
      </c>
      <c r="HP469" s="658" t="str">
        <f t="shared" si="539"/>
        <v/>
      </c>
      <c r="HQ469" s="658" t="str">
        <f t="shared" si="540"/>
        <v/>
      </c>
      <c r="HR469" s="658" t="str">
        <f t="shared" si="553"/>
        <v/>
      </c>
      <c r="HT469" s="658">
        <f>LEFT(M469,1)*10000+MID(M469,3,LEN(M469)-3)*100+COUNTIF($M$319:M469,M469)</f>
        <v>53401</v>
      </c>
      <c r="HU469" s="658" t="str">
        <f t="shared" si="554"/>
        <v/>
      </c>
      <c r="HV469" s="658" t="str">
        <f t="shared" si="541"/>
        <v/>
      </c>
      <c r="HW469" s="658" t="str">
        <f t="shared" si="555"/>
        <v/>
      </c>
      <c r="HX469" s="658" t="str">
        <f t="shared" si="542"/>
        <v/>
      </c>
    </row>
    <row r="470" spans="1:232" s="19" customFormat="1" ht="50.1" hidden="1" customHeight="1" thickBot="1" x14ac:dyDescent="0.2">
      <c r="A470" s="1201"/>
      <c r="B470" s="1201"/>
      <c r="C470" s="1201"/>
      <c r="D470" s="1201"/>
      <c r="E470" s="1202"/>
      <c r="F470" s="652"/>
      <c r="G470" s="652"/>
      <c r="H470" s="652"/>
      <c r="I470" s="1354"/>
      <c r="J470" s="1234"/>
      <c r="K470" s="1261"/>
      <c r="L470" s="1261"/>
      <c r="M470" s="2656" t="s">
        <v>807</v>
      </c>
      <c r="N470" s="2656"/>
      <c r="O470" s="2656"/>
      <c r="P470" s="2461"/>
      <c r="Q470" s="2461"/>
      <c r="R470" s="2430"/>
      <c r="S470" s="2430"/>
      <c r="T470" s="2430"/>
      <c r="U470" s="2435"/>
      <c r="V470" s="2435"/>
      <c r="W470" s="2435"/>
      <c r="X470" s="2435"/>
      <c r="Y470" s="2435"/>
      <c r="Z470" s="2435"/>
      <c r="AA470" s="2435"/>
      <c r="AB470" s="2435"/>
      <c r="AC470" s="2435"/>
      <c r="AD470" s="2435"/>
      <c r="AE470" s="2435"/>
      <c r="AF470" s="2434"/>
      <c r="AG470" s="2434"/>
      <c r="AH470" s="2434"/>
      <c r="AI470" s="2434"/>
      <c r="AJ470" s="2434"/>
      <c r="AK470" s="2434"/>
      <c r="AL470" s="2434"/>
      <c r="AM470" s="2434"/>
      <c r="AN470" s="2434"/>
      <c r="AO470" s="2434"/>
      <c r="AP470" s="2434"/>
      <c r="AQ470" s="2434"/>
      <c r="AR470" s="2307"/>
      <c r="AS470" s="2307"/>
      <c r="AT470" s="2410"/>
      <c r="AU470" s="2410"/>
      <c r="AV470" s="2410"/>
      <c r="AW470" s="2410"/>
      <c r="AX470" s="2410"/>
      <c r="AY470" s="2410"/>
      <c r="AZ470" s="2410"/>
      <c r="BA470" s="2410"/>
      <c r="BB470" s="2410"/>
      <c r="BC470" s="2410"/>
      <c r="BD470" s="2410"/>
      <c r="BE470" s="2410"/>
      <c r="BF470" s="2410"/>
      <c r="BG470" s="2410"/>
      <c r="BH470" s="2410"/>
      <c r="BI470" s="2410"/>
      <c r="BJ470" s="2410"/>
      <c r="BK470" s="2410"/>
      <c r="BL470" s="2410"/>
      <c r="BM470" s="2410"/>
      <c r="BN470" s="2410"/>
      <c r="BO470" s="2410"/>
      <c r="BP470" s="2410"/>
      <c r="BQ470" s="2410"/>
      <c r="BR470" s="2410"/>
      <c r="BS470" s="2296"/>
      <c r="BT470" s="2296"/>
      <c r="BU470" s="2296"/>
      <c r="BV470" s="2296"/>
      <c r="BW470" s="2296"/>
      <c r="BX470" s="2296"/>
      <c r="BY470" s="2296"/>
      <c r="BZ470" s="2307"/>
      <c r="CA470" s="2307"/>
      <c r="CB470" s="2383"/>
      <c r="CC470" s="2384"/>
      <c r="CD470" s="2384"/>
      <c r="CE470" s="2384"/>
      <c r="CF470" s="2384"/>
      <c r="CG470" s="2384"/>
      <c r="CH470" s="2384"/>
      <c r="CI470" s="2384"/>
      <c r="CJ470" s="2384"/>
      <c r="CK470" s="2384"/>
      <c r="CL470" s="2384"/>
      <c r="CM470" s="2384"/>
      <c r="CN470" s="2384"/>
      <c r="CO470" s="2384"/>
      <c r="CP470" s="2384"/>
      <c r="CQ470" s="2384"/>
      <c r="CR470" s="2384"/>
      <c r="CS470" s="2384"/>
      <c r="CT470" s="2384"/>
      <c r="CU470" s="2385"/>
      <c r="CV470" s="2300" t="str">
        <f t="shared" si="559"/>
        <v/>
      </c>
      <c r="CW470" s="2300"/>
      <c r="CX470" s="2300"/>
      <c r="CY470" s="2300"/>
      <c r="CZ470" s="2300"/>
      <c r="DA470" s="2300"/>
      <c r="DC470" s="329" t="str">
        <f t="shared" si="560"/>
        <v/>
      </c>
      <c r="DD470" s="197"/>
      <c r="DF470" s="14"/>
      <c r="DG470" s="14"/>
      <c r="DH470" s="14"/>
      <c r="DI470" s="1596"/>
      <c r="DJ470" s="1170" t="s">
        <v>2749</v>
      </c>
      <c r="DK470" s="1604" t="str">
        <f t="shared" si="473"/>
        <v/>
      </c>
      <c r="DL470" s="437" t="str">
        <f t="shared" si="474"/>
        <v/>
      </c>
      <c r="DM470" s="1129">
        <f t="shared" si="475"/>
        <v>0</v>
      </c>
      <c r="DN470" s="266">
        <f t="shared" si="476"/>
        <v>0</v>
      </c>
      <c r="DO470" s="266">
        <f t="shared" si="477"/>
        <v>0</v>
      </c>
      <c r="DP470" s="267">
        <f t="shared" si="478"/>
        <v>0</v>
      </c>
      <c r="DQ470" s="1134" t="s">
        <v>807</v>
      </c>
      <c r="DR470" s="265">
        <f t="shared" si="558"/>
        <v>0</v>
      </c>
      <c r="DS470" s="125">
        <f t="shared" si="480"/>
        <v>0</v>
      </c>
      <c r="DT470" s="270" t="str">
        <f t="shared" si="481"/>
        <v/>
      </c>
      <c r="DU470" s="136" t="str">
        <f t="shared" si="482"/>
        <v/>
      </c>
      <c r="DV470" s="244" t="str">
        <f>IF($DT470="要是正",MAX($DV$432:DV469)+1,"")</f>
        <v/>
      </c>
      <c r="DW470" s="12" t="str">
        <f t="shared" si="483"/>
        <v/>
      </c>
      <c r="DX470" s="257" t="str">
        <f t="shared" si="484"/>
        <v/>
      </c>
      <c r="DY470" s="258" t="str">
        <f t="shared" si="485"/>
        <v/>
      </c>
      <c r="DZ470" s="259" t="str">
        <f t="shared" si="486"/>
        <v/>
      </c>
      <c r="EA470" s="256" t="str">
        <f t="shared" si="487"/>
        <v/>
      </c>
      <c r="EB470" s="138" t="str">
        <f t="shared" si="488"/>
        <v/>
      </c>
      <c r="EC470" s="131" t="str">
        <f t="shared" si="489"/>
        <v>0</v>
      </c>
      <c r="ED470" s="54" t="str">
        <f t="shared" si="490"/>
        <v/>
      </c>
      <c r="EE470" s="131" t="str">
        <f t="shared" si="561"/>
        <v>0</v>
      </c>
      <c r="EF470" s="37" t="str">
        <f t="shared" si="491"/>
        <v/>
      </c>
      <c r="EG470" s="108" t="str">
        <f t="shared" si="492"/>
        <v/>
      </c>
      <c r="EH470" s="41" t="str">
        <f t="shared" si="493"/>
        <v>0</v>
      </c>
      <c r="EI470" s="54" t="str">
        <f t="shared" si="494"/>
        <v/>
      </c>
      <c r="EJ470" s="131" t="str">
        <f t="shared" si="562"/>
        <v>0</v>
      </c>
      <c r="EK470" s="241" t="str">
        <f t="shared" si="495"/>
        <v/>
      </c>
      <c r="EL470" s="136" t="e">
        <f t="shared" si="563"/>
        <v>#N/A</v>
      </c>
      <c r="EM470" s="137" t="e">
        <f t="shared" si="564"/>
        <v>#N/A</v>
      </c>
      <c r="EN470" s="244" t="e">
        <f t="shared" si="565"/>
        <v>#N/A</v>
      </c>
      <c r="FK470" s="326" t="str">
        <f t="shared" si="499"/>
        <v/>
      </c>
      <c r="FL470" s="326" t="str">
        <f t="shared" si="500"/>
        <v/>
      </c>
      <c r="FM470" s="326" t="str">
        <f t="shared" si="501"/>
        <v/>
      </c>
      <c r="FN470" s="326">
        <f t="shared" si="502"/>
        <v>0</v>
      </c>
      <c r="FO470" s="670" t="str">
        <f t="shared" si="503"/>
        <v/>
      </c>
      <c r="FQ470" s="138" t="str">
        <f t="shared" si="504"/>
        <v/>
      </c>
      <c r="FR470" s="131" t="str">
        <f t="shared" si="505"/>
        <v>0</v>
      </c>
      <c r="FS470" s="54" t="str">
        <f t="shared" si="506"/>
        <v/>
      </c>
      <c r="FT470" s="131" t="str">
        <f t="shared" si="566"/>
        <v>0</v>
      </c>
      <c r="FU470" s="217" t="str">
        <f t="shared" si="567"/>
        <v/>
      </c>
      <c r="FW470" s="667">
        <f t="shared" si="556"/>
        <v>0</v>
      </c>
      <c r="FX470" s="32"/>
      <c r="FY470" s="32"/>
      <c r="FZ470" s="668"/>
      <c r="GA470" s="14"/>
      <c r="GB470" s="32">
        <f t="shared" si="508"/>
        <v>0</v>
      </c>
      <c r="GC470" s="32">
        <f t="shared" si="509"/>
        <v>0</v>
      </c>
      <c r="GD470" s="19">
        <f t="shared" si="510"/>
        <v>0</v>
      </c>
      <c r="GE470" s="658" t="str">
        <f t="shared" si="511"/>
        <v/>
      </c>
      <c r="GF470" s="658" t="str">
        <f t="shared" si="512"/>
        <v/>
      </c>
      <c r="GG470" s="658" t="str">
        <f t="shared" si="513"/>
        <v/>
      </c>
      <c r="GH470" s="658" t="str">
        <f t="shared" si="514"/>
        <v/>
      </c>
      <c r="GI470" s="658" t="str">
        <f t="shared" si="515"/>
        <v/>
      </c>
      <c r="GJ470" s="658" t="str">
        <f t="shared" si="516"/>
        <v/>
      </c>
      <c r="GK470" s="658" t="str">
        <f t="shared" si="517"/>
        <v/>
      </c>
      <c r="GL470" s="658" t="str">
        <f t="shared" si="518"/>
        <v/>
      </c>
      <c r="GM470" s="658" t="str">
        <f t="shared" si="519"/>
        <v/>
      </c>
      <c r="GN470" s="658" t="str">
        <f t="shared" si="520"/>
        <v/>
      </c>
      <c r="GO470" s="658" t="str">
        <f t="shared" si="521"/>
        <v/>
      </c>
      <c r="GP470" s="658" t="str">
        <f t="shared" si="522"/>
        <v/>
      </c>
      <c r="GQ470" s="658" t="str">
        <f t="shared" si="523"/>
        <v/>
      </c>
      <c r="GR470" s="658" t="str">
        <f t="shared" si="524"/>
        <v/>
      </c>
      <c r="GS470" s="658" t="str">
        <f t="shared" si="525"/>
        <v/>
      </c>
      <c r="GT470" s="658">
        <f t="shared" si="546"/>
        <v>0</v>
      </c>
      <c r="GU470" s="658">
        <f t="shared" si="547"/>
        <v>0</v>
      </c>
      <c r="GV470" s="658">
        <f t="shared" si="548"/>
        <v>0</v>
      </c>
      <c r="GW470" s="658" t="b">
        <f t="shared" si="549"/>
        <v>0</v>
      </c>
      <c r="GX470" s="658" t="b">
        <f t="shared" si="550"/>
        <v>0</v>
      </c>
      <c r="GY470" s="658" t="b">
        <f t="shared" si="551"/>
        <v>0</v>
      </c>
      <c r="GZ470" s="658" t="str">
        <f t="shared" si="557"/>
        <v/>
      </c>
      <c r="HB470" s="658" t="str">
        <f t="shared" si="552"/>
        <v/>
      </c>
      <c r="HC470" s="658" t="str">
        <f t="shared" si="526"/>
        <v/>
      </c>
      <c r="HD470" s="658" t="str">
        <f t="shared" si="527"/>
        <v/>
      </c>
      <c r="HE470" s="658" t="str">
        <f t="shared" si="528"/>
        <v/>
      </c>
      <c r="HF470" s="658" t="str">
        <f t="shared" si="529"/>
        <v/>
      </c>
      <c r="HG470" s="658" t="str">
        <f t="shared" si="530"/>
        <v/>
      </c>
      <c r="HH470" s="658" t="str">
        <f t="shared" si="531"/>
        <v/>
      </c>
      <c r="HI470" s="658" t="str">
        <f t="shared" si="532"/>
        <v/>
      </c>
      <c r="HJ470" s="658" t="str">
        <f t="shared" si="533"/>
        <v/>
      </c>
      <c r="HK470" s="658" t="str">
        <f t="shared" si="534"/>
        <v/>
      </c>
      <c r="HL470" s="658" t="str">
        <f t="shared" si="535"/>
        <v/>
      </c>
      <c r="HM470" s="658" t="str">
        <f t="shared" si="536"/>
        <v/>
      </c>
      <c r="HN470" s="658" t="str">
        <f t="shared" si="537"/>
        <v/>
      </c>
      <c r="HO470" s="658" t="str">
        <f t="shared" si="538"/>
        <v/>
      </c>
      <c r="HP470" s="658" t="str">
        <f t="shared" si="539"/>
        <v/>
      </c>
      <c r="HQ470" s="658" t="str">
        <f t="shared" si="540"/>
        <v/>
      </c>
      <c r="HR470" s="658" t="str">
        <f t="shared" si="553"/>
        <v/>
      </c>
      <c r="HT470" s="658">
        <f>LEFT(M470,1)*10000+MID(M470,3,LEN(M470)-3)*100+COUNTIF($M$319:M470,M470)</f>
        <v>53501</v>
      </c>
      <c r="HU470" s="658" t="str">
        <f t="shared" si="554"/>
        <v/>
      </c>
      <c r="HV470" s="658" t="str">
        <f t="shared" si="541"/>
        <v/>
      </c>
      <c r="HW470" s="658" t="str">
        <f t="shared" si="555"/>
        <v/>
      </c>
      <c r="HX470" s="658" t="str">
        <f t="shared" si="542"/>
        <v/>
      </c>
    </row>
    <row r="471" spans="1:232" s="19" customFormat="1" ht="50.1" hidden="1" customHeight="1" thickBot="1" x14ac:dyDescent="0.2">
      <c r="A471" s="1201"/>
      <c r="B471" s="1201"/>
      <c r="C471" s="1201"/>
      <c r="D471" s="1201"/>
      <c r="E471" s="1202"/>
      <c r="F471" s="652"/>
      <c r="G471" s="652"/>
      <c r="H471" s="652"/>
      <c r="I471" s="1354"/>
      <c r="J471" s="1234"/>
      <c r="K471" s="1261"/>
      <c r="L471" s="1261"/>
      <c r="M471" s="2656" t="s">
        <v>808</v>
      </c>
      <c r="N471" s="2656"/>
      <c r="O471" s="2656"/>
      <c r="P471" s="2461"/>
      <c r="Q471" s="2461"/>
      <c r="R471" s="2430"/>
      <c r="S471" s="2430"/>
      <c r="T471" s="2430"/>
      <c r="U471" s="2435"/>
      <c r="V471" s="2435"/>
      <c r="W471" s="2435"/>
      <c r="X471" s="2435"/>
      <c r="Y471" s="2435"/>
      <c r="Z471" s="2435"/>
      <c r="AA471" s="2435"/>
      <c r="AB471" s="2435"/>
      <c r="AC471" s="2435"/>
      <c r="AD471" s="2435"/>
      <c r="AE471" s="2435"/>
      <c r="AF471" s="2434"/>
      <c r="AG471" s="2434"/>
      <c r="AH471" s="2434"/>
      <c r="AI471" s="2434"/>
      <c r="AJ471" s="2434"/>
      <c r="AK471" s="2434"/>
      <c r="AL471" s="2434"/>
      <c r="AM471" s="2434"/>
      <c r="AN471" s="2434"/>
      <c r="AO471" s="2434"/>
      <c r="AP471" s="2434"/>
      <c r="AQ471" s="2434"/>
      <c r="AR471" s="2307"/>
      <c r="AS471" s="2307"/>
      <c r="AT471" s="2410"/>
      <c r="AU471" s="2410"/>
      <c r="AV471" s="2410"/>
      <c r="AW471" s="2410"/>
      <c r="AX471" s="2410"/>
      <c r="AY471" s="2410"/>
      <c r="AZ471" s="2410"/>
      <c r="BA471" s="2410"/>
      <c r="BB471" s="2410"/>
      <c r="BC471" s="2410"/>
      <c r="BD471" s="2410"/>
      <c r="BE471" s="2410"/>
      <c r="BF471" s="2410"/>
      <c r="BG471" s="2410"/>
      <c r="BH471" s="2410"/>
      <c r="BI471" s="2410"/>
      <c r="BJ471" s="2410"/>
      <c r="BK471" s="2410"/>
      <c r="BL471" s="2410"/>
      <c r="BM471" s="2410"/>
      <c r="BN471" s="2410"/>
      <c r="BO471" s="2410"/>
      <c r="BP471" s="2410"/>
      <c r="BQ471" s="2410"/>
      <c r="BR471" s="2410"/>
      <c r="BS471" s="2296"/>
      <c r="BT471" s="2296"/>
      <c r="BU471" s="2296"/>
      <c r="BV471" s="2296"/>
      <c r="BW471" s="2296"/>
      <c r="BX471" s="2296"/>
      <c r="BY471" s="2296"/>
      <c r="BZ471" s="2307"/>
      <c r="CA471" s="2307"/>
      <c r="CB471" s="2383"/>
      <c r="CC471" s="2384"/>
      <c r="CD471" s="2384"/>
      <c r="CE471" s="2384"/>
      <c r="CF471" s="2384"/>
      <c r="CG471" s="2384"/>
      <c r="CH471" s="2384"/>
      <c r="CI471" s="2384"/>
      <c r="CJ471" s="2384"/>
      <c r="CK471" s="2384"/>
      <c r="CL471" s="2384"/>
      <c r="CM471" s="2384"/>
      <c r="CN471" s="2384"/>
      <c r="CO471" s="2384"/>
      <c r="CP471" s="2384"/>
      <c r="CQ471" s="2384"/>
      <c r="CR471" s="2384"/>
      <c r="CS471" s="2384"/>
      <c r="CT471" s="2384"/>
      <c r="CU471" s="2385"/>
      <c r="CV471" s="2300" t="str">
        <f t="shared" si="559"/>
        <v/>
      </c>
      <c r="CW471" s="2300"/>
      <c r="CX471" s="2300"/>
      <c r="CY471" s="2300"/>
      <c r="CZ471" s="2300"/>
      <c r="DA471" s="2300"/>
      <c r="DC471" s="329" t="str">
        <f t="shared" si="560"/>
        <v/>
      </c>
      <c r="DD471" s="197"/>
      <c r="DF471" s="14"/>
      <c r="DG471" s="14"/>
      <c r="DH471" s="14"/>
      <c r="DI471" s="1596"/>
      <c r="DJ471" s="1170" t="s">
        <v>2749</v>
      </c>
      <c r="DK471" s="1604" t="str">
        <f t="shared" si="473"/>
        <v/>
      </c>
      <c r="DL471" s="437" t="str">
        <f t="shared" si="474"/>
        <v/>
      </c>
      <c r="DM471" s="1129">
        <f t="shared" si="475"/>
        <v>0</v>
      </c>
      <c r="DN471" s="266">
        <f t="shared" si="476"/>
        <v>0</v>
      </c>
      <c r="DO471" s="266">
        <f t="shared" si="477"/>
        <v>0</v>
      </c>
      <c r="DP471" s="267">
        <f t="shared" si="478"/>
        <v>0</v>
      </c>
      <c r="DQ471" s="1134" t="s">
        <v>808</v>
      </c>
      <c r="DR471" s="265">
        <f t="shared" si="558"/>
        <v>0</v>
      </c>
      <c r="DS471" s="125">
        <f t="shared" si="480"/>
        <v>0</v>
      </c>
      <c r="DT471" s="270" t="str">
        <f t="shared" si="481"/>
        <v/>
      </c>
      <c r="DU471" s="136" t="str">
        <f t="shared" si="482"/>
        <v/>
      </c>
      <c r="DV471" s="244" t="str">
        <f>IF($DT471="要是正",MAX($DV$432:DV470)+1,"")</f>
        <v/>
      </c>
      <c r="DW471" s="12" t="str">
        <f t="shared" si="483"/>
        <v/>
      </c>
      <c r="DX471" s="257" t="str">
        <f t="shared" si="484"/>
        <v/>
      </c>
      <c r="DY471" s="258" t="str">
        <f t="shared" si="485"/>
        <v/>
      </c>
      <c r="DZ471" s="259" t="str">
        <f t="shared" si="486"/>
        <v/>
      </c>
      <c r="EA471" s="256" t="str">
        <f t="shared" si="487"/>
        <v/>
      </c>
      <c r="EB471" s="138" t="str">
        <f t="shared" si="488"/>
        <v/>
      </c>
      <c r="EC471" s="131" t="str">
        <f t="shared" si="489"/>
        <v>0</v>
      </c>
      <c r="ED471" s="54" t="str">
        <f t="shared" si="490"/>
        <v/>
      </c>
      <c r="EE471" s="131" t="str">
        <f t="shared" si="561"/>
        <v>0</v>
      </c>
      <c r="EF471" s="37" t="str">
        <f t="shared" si="491"/>
        <v/>
      </c>
      <c r="EG471" s="108" t="str">
        <f t="shared" si="492"/>
        <v/>
      </c>
      <c r="EH471" s="41" t="str">
        <f t="shared" si="493"/>
        <v>0</v>
      </c>
      <c r="EI471" s="54" t="str">
        <f t="shared" si="494"/>
        <v/>
      </c>
      <c r="EJ471" s="131" t="str">
        <f t="shared" si="562"/>
        <v>0</v>
      </c>
      <c r="EK471" s="241" t="str">
        <f t="shared" si="495"/>
        <v/>
      </c>
      <c r="EL471" s="136" t="e">
        <f t="shared" si="563"/>
        <v>#N/A</v>
      </c>
      <c r="EM471" s="137" t="e">
        <f t="shared" si="564"/>
        <v>#N/A</v>
      </c>
      <c r="EN471" s="244" t="e">
        <f t="shared" si="565"/>
        <v>#N/A</v>
      </c>
      <c r="FK471" s="326" t="str">
        <f t="shared" si="499"/>
        <v/>
      </c>
      <c r="FL471" s="326" t="str">
        <f t="shared" si="500"/>
        <v/>
      </c>
      <c r="FM471" s="326" t="str">
        <f t="shared" si="501"/>
        <v/>
      </c>
      <c r="FN471" s="326">
        <f t="shared" si="502"/>
        <v>0</v>
      </c>
      <c r="FO471" s="670" t="str">
        <f t="shared" si="503"/>
        <v/>
      </c>
      <c r="FQ471" s="138" t="str">
        <f t="shared" si="504"/>
        <v/>
      </c>
      <c r="FR471" s="131" t="str">
        <f t="shared" si="505"/>
        <v>0</v>
      </c>
      <c r="FS471" s="54" t="str">
        <f t="shared" si="506"/>
        <v/>
      </c>
      <c r="FT471" s="131" t="str">
        <f t="shared" si="566"/>
        <v>0</v>
      </c>
      <c r="FU471" s="217" t="str">
        <f t="shared" si="567"/>
        <v/>
      </c>
      <c r="FW471" s="667">
        <f t="shared" si="556"/>
        <v>0</v>
      </c>
      <c r="FX471" s="32"/>
      <c r="FY471" s="32"/>
      <c r="FZ471" s="668"/>
      <c r="GA471" s="14"/>
      <c r="GB471" s="32">
        <f t="shared" si="508"/>
        <v>0</v>
      </c>
      <c r="GC471" s="32">
        <f t="shared" si="509"/>
        <v>0</v>
      </c>
      <c r="GD471" s="19">
        <f t="shared" si="510"/>
        <v>0</v>
      </c>
      <c r="GE471" s="658" t="str">
        <f t="shared" si="511"/>
        <v/>
      </c>
      <c r="GF471" s="658" t="str">
        <f t="shared" si="512"/>
        <v/>
      </c>
      <c r="GG471" s="658" t="str">
        <f t="shared" si="513"/>
        <v/>
      </c>
      <c r="GH471" s="658" t="str">
        <f t="shared" si="514"/>
        <v/>
      </c>
      <c r="GI471" s="658" t="str">
        <f t="shared" si="515"/>
        <v/>
      </c>
      <c r="GJ471" s="658" t="str">
        <f t="shared" si="516"/>
        <v/>
      </c>
      <c r="GK471" s="658" t="str">
        <f t="shared" si="517"/>
        <v/>
      </c>
      <c r="GL471" s="658" t="str">
        <f t="shared" si="518"/>
        <v/>
      </c>
      <c r="GM471" s="658" t="str">
        <f t="shared" si="519"/>
        <v/>
      </c>
      <c r="GN471" s="658" t="str">
        <f t="shared" si="520"/>
        <v/>
      </c>
      <c r="GO471" s="658" t="str">
        <f t="shared" si="521"/>
        <v/>
      </c>
      <c r="GP471" s="658" t="str">
        <f t="shared" si="522"/>
        <v/>
      </c>
      <c r="GQ471" s="658" t="str">
        <f t="shared" si="523"/>
        <v/>
      </c>
      <c r="GR471" s="658" t="str">
        <f t="shared" si="524"/>
        <v/>
      </c>
      <c r="GS471" s="658" t="str">
        <f t="shared" si="525"/>
        <v/>
      </c>
      <c r="GT471" s="658">
        <f t="shared" si="546"/>
        <v>0</v>
      </c>
      <c r="GU471" s="658">
        <f t="shared" si="547"/>
        <v>0</v>
      </c>
      <c r="GV471" s="658">
        <f t="shared" si="548"/>
        <v>0</v>
      </c>
      <c r="GW471" s="658" t="b">
        <f t="shared" si="549"/>
        <v>0</v>
      </c>
      <c r="GX471" s="658" t="b">
        <f t="shared" si="550"/>
        <v>0</v>
      </c>
      <c r="GY471" s="658" t="b">
        <f t="shared" si="551"/>
        <v>0</v>
      </c>
      <c r="GZ471" s="658" t="str">
        <f t="shared" si="557"/>
        <v/>
      </c>
      <c r="HB471" s="658" t="str">
        <f t="shared" si="552"/>
        <v/>
      </c>
      <c r="HC471" s="658" t="str">
        <f t="shared" si="526"/>
        <v/>
      </c>
      <c r="HD471" s="658" t="str">
        <f t="shared" si="527"/>
        <v/>
      </c>
      <c r="HE471" s="658" t="str">
        <f t="shared" si="528"/>
        <v/>
      </c>
      <c r="HF471" s="658" t="str">
        <f t="shared" si="529"/>
        <v/>
      </c>
      <c r="HG471" s="658" t="str">
        <f t="shared" si="530"/>
        <v/>
      </c>
      <c r="HH471" s="658" t="str">
        <f t="shared" si="531"/>
        <v/>
      </c>
      <c r="HI471" s="658" t="str">
        <f t="shared" si="532"/>
        <v/>
      </c>
      <c r="HJ471" s="658" t="str">
        <f t="shared" si="533"/>
        <v/>
      </c>
      <c r="HK471" s="658" t="str">
        <f t="shared" si="534"/>
        <v/>
      </c>
      <c r="HL471" s="658" t="str">
        <f t="shared" si="535"/>
        <v/>
      </c>
      <c r="HM471" s="658" t="str">
        <f t="shared" si="536"/>
        <v/>
      </c>
      <c r="HN471" s="658" t="str">
        <f t="shared" si="537"/>
        <v/>
      </c>
      <c r="HO471" s="658" t="str">
        <f t="shared" si="538"/>
        <v/>
      </c>
      <c r="HP471" s="658" t="str">
        <f t="shared" si="539"/>
        <v/>
      </c>
      <c r="HQ471" s="658" t="str">
        <f t="shared" si="540"/>
        <v/>
      </c>
      <c r="HR471" s="658" t="str">
        <f t="shared" si="553"/>
        <v/>
      </c>
      <c r="HT471" s="658">
        <f>LEFT(M471,1)*10000+MID(M471,3,LEN(M471)-3)*100+COUNTIF($M$319:M471,M471)</f>
        <v>53601</v>
      </c>
      <c r="HU471" s="658" t="str">
        <f t="shared" si="554"/>
        <v/>
      </c>
      <c r="HV471" s="658" t="str">
        <f t="shared" si="541"/>
        <v/>
      </c>
      <c r="HW471" s="658" t="str">
        <f t="shared" si="555"/>
        <v/>
      </c>
      <c r="HX471" s="658" t="str">
        <f t="shared" si="542"/>
        <v/>
      </c>
    </row>
    <row r="472" spans="1:232" s="19" customFormat="1" ht="50.1" hidden="1" customHeight="1" thickBot="1" x14ac:dyDescent="0.2">
      <c r="A472" s="1201"/>
      <c r="B472" s="1201"/>
      <c r="C472" s="1201"/>
      <c r="D472" s="1201"/>
      <c r="E472" s="1202"/>
      <c r="F472" s="652"/>
      <c r="G472" s="652"/>
      <c r="H472" s="652"/>
      <c r="I472" s="1354"/>
      <c r="J472" s="1234"/>
      <c r="K472" s="1261"/>
      <c r="L472" s="1261"/>
      <c r="M472" s="2656" t="s">
        <v>809</v>
      </c>
      <c r="N472" s="2656"/>
      <c r="O472" s="2656"/>
      <c r="P472" s="2461"/>
      <c r="Q472" s="2461"/>
      <c r="R472" s="2430"/>
      <c r="S472" s="2430"/>
      <c r="T472" s="2430"/>
      <c r="U472" s="2435"/>
      <c r="V472" s="2435"/>
      <c r="W472" s="2435"/>
      <c r="X472" s="2435"/>
      <c r="Y472" s="2435"/>
      <c r="Z472" s="2435"/>
      <c r="AA472" s="2435"/>
      <c r="AB472" s="2435"/>
      <c r="AC472" s="2435"/>
      <c r="AD472" s="2435"/>
      <c r="AE472" s="2435"/>
      <c r="AF472" s="2434"/>
      <c r="AG472" s="2434"/>
      <c r="AH472" s="2434"/>
      <c r="AI472" s="2434"/>
      <c r="AJ472" s="2434"/>
      <c r="AK472" s="2434"/>
      <c r="AL472" s="2434"/>
      <c r="AM472" s="2434"/>
      <c r="AN472" s="2434"/>
      <c r="AO472" s="2434"/>
      <c r="AP472" s="2434"/>
      <c r="AQ472" s="2434"/>
      <c r="AR472" s="2307"/>
      <c r="AS472" s="2307"/>
      <c r="AT472" s="2410"/>
      <c r="AU472" s="2410"/>
      <c r="AV472" s="2410"/>
      <c r="AW472" s="2410"/>
      <c r="AX472" s="2410"/>
      <c r="AY472" s="2410"/>
      <c r="AZ472" s="2410"/>
      <c r="BA472" s="2410"/>
      <c r="BB472" s="2410"/>
      <c r="BC472" s="2410"/>
      <c r="BD472" s="2410"/>
      <c r="BE472" s="2410"/>
      <c r="BF472" s="2410"/>
      <c r="BG472" s="2410"/>
      <c r="BH472" s="2410"/>
      <c r="BI472" s="2410"/>
      <c r="BJ472" s="2410"/>
      <c r="BK472" s="2410"/>
      <c r="BL472" s="2410"/>
      <c r="BM472" s="2410"/>
      <c r="BN472" s="2410"/>
      <c r="BO472" s="2410"/>
      <c r="BP472" s="2410"/>
      <c r="BQ472" s="2410"/>
      <c r="BR472" s="2410"/>
      <c r="BS472" s="2296"/>
      <c r="BT472" s="2296"/>
      <c r="BU472" s="2296"/>
      <c r="BV472" s="2296"/>
      <c r="BW472" s="2296"/>
      <c r="BX472" s="2296"/>
      <c r="BY472" s="2296"/>
      <c r="BZ472" s="2307"/>
      <c r="CA472" s="2307"/>
      <c r="CB472" s="2383"/>
      <c r="CC472" s="2384"/>
      <c r="CD472" s="2384"/>
      <c r="CE472" s="2384"/>
      <c r="CF472" s="2384"/>
      <c r="CG472" s="2384"/>
      <c r="CH472" s="2384"/>
      <c r="CI472" s="2384"/>
      <c r="CJ472" s="2384"/>
      <c r="CK472" s="2384"/>
      <c r="CL472" s="2384"/>
      <c r="CM472" s="2384"/>
      <c r="CN472" s="2384"/>
      <c r="CO472" s="2384"/>
      <c r="CP472" s="2384"/>
      <c r="CQ472" s="2384"/>
      <c r="CR472" s="2384"/>
      <c r="CS472" s="2384"/>
      <c r="CT472" s="2384"/>
      <c r="CU472" s="2385"/>
      <c r="CV472" s="2300" t="str">
        <f t="shared" si="559"/>
        <v/>
      </c>
      <c r="CW472" s="2300"/>
      <c r="CX472" s="2300"/>
      <c r="CY472" s="2300"/>
      <c r="CZ472" s="2300"/>
      <c r="DA472" s="2300"/>
      <c r="DC472" s="330" t="str">
        <f t="shared" si="560"/>
        <v/>
      </c>
      <c r="DD472" s="197"/>
      <c r="DF472" s="14"/>
      <c r="DG472" s="14"/>
      <c r="DH472" s="14"/>
      <c r="DI472" s="1596"/>
      <c r="DJ472" s="1170" t="s">
        <v>2749</v>
      </c>
      <c r="DK472" s="1604" t="str">
        <f t="shared" si="473"/>
        <v/>
      </c>
      <c r="DL472" s="437" t="str">
        <f t="shared" si="474"/>
        <v/>
      </c>
      <c r="DM472" s="1129">
        <f t="shared" si="475"/>
        <v>0</v>
      </c>
      <c r="DN472" s="266">
        <f t="shared" si="476"/>
        <v>0</v>
      </c>
      <c r="DO472" s="266">
        <f t="shared" si="477"/>
        <v>0</v>
      </c>
      <c r="DP472" s="267">
        <f t="shared" si="478"/>
        <v>0</v>
      </c>
      <c r="DQ472" s="1134" t="s">
        <v>809</v>
      </c>
      <c r="DR472" s="265">
        <f t="shared" si="558"/>
        <v>0</v>
      </c>
      <c r="DS472" s="125">
        <f t="shared" si="480"/>
        <v>0</v>
      </c>
      <c r="DT472" s="270" t="str">
        <f t="shared" si="481"/>
        <v/>
      </c>
      <c r="DU472" s="136" t="str">
        <f t="shared" si="482"/>
        <v/>
      </c>
      <c r="DV472" s="244" t="str">
        <f>IF($DT472="要是正",MAX($DV$432:DV471)+1,"")</f>
        <v/>
      </c>
      <c r="DW472" s="12" t="str">
        <f t="shared" si="483"/>
        <v/>
      </c>
      <c r="DX472" s="257" t="str">
        <f t="shared" si="484"/>
        <v/>
      </c>
      <c r="DY472" s="258" t="str">
        <f t="shared" si="485"/>
        <v/>
      </c>
      <c r="DZ472" s="259" t="str">
        <f t="shared" si="486"/>
        <v/>
      </c>
      <c r="EA472" s="256" t="str">
        <f t="shared" si="487"/>
        <v/>
      </c>
      <c r="EB472" s="138" t="str">
        <f t="shared" si="488"/>
        <v/>
      </c>
      <c r="EC472" s="131" t="str">
        <f t="shared" si="489"/>
        <v>0</v>
      </c>
      <c r="ED472" s="54" t="str">
        <f t="shared" si="490"/>
        <v/>
      </c>
      <c r="EE472" s="131" t="str">
        <f t="shared" si="561"/>
        <v>0</v>
      </c>
      <c r="EF472" s="37" t="str">
        <f t="shared" si="491"/>
        <v/>
      </c>
      <c r="EG472" s="108" t="str">
        <f t="shared" si="492"/>
        <v/>
      </c>
      <c r="EH472" s="41" t="str">
        <f t="shared" si="493"/>
        <v>0</v>
      </c>
      <c r="EI472" s="54" t="str">
        <f t="shared" si="494"/>
        <v/>
      </c>
      <c r="EJ472" s="131" t="str">
        <f t="shared" si="562"/>
        <v>0</v>
      </c>
      <c r="EK472" s="241" t="str">
        <f t="shared" si="495"/>
        <v/>
      </c>
      <c r="EL472" s="136" t="e">
        <f t="shared" si="563"/>
        <v>#N/A</v>
      </c>
      <c r="EM472" s="137" t="e">
        <f t="shared" si="564"/>
        <v>#N/A</v>
      </c>
      <c r="EN472" s="244" t="e">
        <f t="shared" si="565"/>
        <v>#N/A</v>
      </c>
      <c r="FK472" s="326" t="str">
        <f t="shared" si="499"/>
        <v/>
      </c>
      <c r="FL472" s="326" t="str">
        <f t="shared" si="500"/>
        <v/>
      </c>
      <c r="FM472" s="326" t="str">
        <f t="shared" si="501"/>
        <v/>
      </c>
      <c r="FN472" s="326">
        <f t="shared" si="502"/>
        <v>0</v>
      </c>
      <c r="FO472" s="670" t="str">
        <f t="shared" si="503"/>
        <v/>
      </c>
      <c r="FQ472" s="138" t="str">
        <f t="shared" si="504"/>
        <v/>
      </c>
      <c r="FR472" s="131" t="str">
        <f t="shared" si="505"/>
        <v>0</v>
      </c>
      <c r="FS472" s="54" t="str">
        <f t="shared" si="506"/>
        <v/>
      </c>
      <c r="FT472" s="131" t="str">
        <f t="shared" si="566"/>
        <v>0</v>
      </c>
      <c r="FU472" s="217" t="str">
        <f t="shared" si="567"/>
        <v/>
      </c>
      <c r="FW472" s="667">
        <f t="shared" si="556"/>
        <v>0</v>
      </c>
      <c r="FX472" s="32"/>
      <c r="FY472" s="32"/>
      <c r="FZ472" s="668"/>
      <c r="GA472" s="14"/>
      <c r="GB472" s="32">
        <f t="shared" si="508"/>
        <v>0</v>
      </c>
      <c r="GC472" s="32">
        <f t="shared" si="509"/>
        <v>0</v>
      </c>
      <c r="GD472" s="19">
        <f t="shared" si="510"/>
        <v>0</v>
      </c>
      <c r="GE472" s="658" t="str">
        <f t="shared" si="511"/>
        <v/>
      </c>
      <c r="GF472" s="658" t="str">
        <f t="shared" si="512"/>
        <v/>
      </c>
      <c r="GG472" s="658" t="str">
        <f t="shared" si="513"/>
        <v/>
      </c>
      <c r="GH472" s="658" t="str">
        <f t="shared" si="514"/>
        <v/>
      </c>
      <c r="GI472" s="658" t="str">
        <f t="shared" si="515"/>
        <v/>
      </c>
      <c r="GJ472" s="658" t="str">
        <f t="shared" si="516"/>
        <v/>
      </c>
      <c r="GK472" s="658" t="str">
        <f t="shared" si="517"/>
        <v/>
      </c>
      <c r="GL472" s="658" t="str">
        <f t="shared" si="518"/>
        <v/>
      </c>
      <c r="GM472" s="658" t="str">
        <f t="shared" si="519"/>
        <v/>
      </c>
      <c r="GN472" s="658" t="str">
        <f t="shared" si="520"/>
        <v/>
      </c>
      <c r="GO472" s="658" t="str">
        <f t="shared" si="521"/>
        <v/>
      </c>
      <c r="GP472" s="658" t="str">
        <f t="shared" si="522"/>
        <v/>
      </c>
      <c r="GQ472" s="658" t="str">
        <f t="shared" si="523"/>
        <v/>
      </c>
      <c r="GR472" s="658" t="str">
        <f t="shared" si="524"/>
        <v/>
      </c>
      <c r="GS472" s="658" t="str">
        <f t="shared" si="525"/>
        <v/>
      </c>
      <c r="GT472" s="658">
        <f t="shared" si="546"/>
        <v>0</v>
      </c>
      <c r="GU472" s="658">
        <f t="shared" si="547"/>
        <v>0</v>
      </c>
      <c r="GV472" s="658">
        <f t="shared" si="548"/>
        <v>0</v>
      </c>
      <c r="GW472" s="658" t="b">
        <f t="shared" si="549"/>
        <v>0</v>
      </c>
      <c r="GX472" s="658" t="b">
        <f t="shared" si="550"/>
        <v>0</v>
      </c>
      <c r="GY472" s="658" t="b">
        <f t="shared" si="551"/>
        <v>0</v>
      </c>
      <c r="GZ472" s="658" t="str">
        <f t="shared" si="557"/>
        <v/>
      </c>
      <c r="HB472" s="658" t="str">
        <f t="shared" si="552"/>
        <v/>
      </c>
      <c r="HC472" s="658" t="str">
        <f t="shared" si="526"/>
        <v/>
      </c>
      <c r="HD472" s="658" t="str">
        <f t="shared" si="527"/>
        <v/>
      </c>
      <c r="HE472" s="658" t="str">
        <f t="shared" si="528"/>
        <v/>
      </c>
      <c r="HF472" s="658" t="str">
        <f t="shared" si="529"/>
        <v/>
      </c>
      <c r="HG472" s="658" t="str">
        <f t="shared" si="530"/>
        <v/>
      </c>
      <c r="HH472" s="658" t="str">
        <f t="shared" si="531"/>
        <v/>
      </c>
      <c r="HI472" s="658" t="str">
        <f t="shared" si="532"/>
        <v/>
      </c>
      <c r="HJ472" s="658" t="str">
        <f t="shared" si="533"/>
        <v/>
      </c>
      <c r="HK472" s="658" t="str">
        <f t="shared" si="534"/>
        <v/>
      </c>
      <c r="HL472" s="658" t="str">
        <f t="shared" si="535"/>
        <v/>
      </c>
      <c r="HM472" s="658" t="str">
        <f t="shared" si="536"/>
        <v/>
      </c>
      <c r="HN472" s="658" t="str">
        <f t="shared" si="537"/>
        <v/>
      </c>
      <c r="HO472" s="658" t="str">
        <f t="shared" si="538"/>
        <v/>
      </c>
      <c r="HP472" s="658" t="str">
        <f t="shared" si="539"/>
        <v/>
      </c>
      <c r="HQ472" s="658" t="str">
        <f t="shared" si="540"/>
        <v/>
      </c>
      <c r="HR472" s="658" t="str">
        <f t="shared" si="553"/>
        <v/>
      </c>
      <c r="HT472" s="658">
        <f>LEFT(M472,1)*10000+MID(M472,3,LEN(M472)-3)*100+COUNTIF($M$319:M472,M472)</f>
        <v>53701</v>
      </c>
      <c r="HU472" s="658" t="str">
        <f t="shared" si="554"/>
        <v/>
      </c>
      <c r="HV472" s="658" t="str">
        <f t="shared" si="541"/>
        <v/>
      </c>
      <c r="HW472" s="658" t="str">
        <f t="shared" si="555"/>
        <v/>
      </c>
      <c r="HX472" s="658" t="str">
        <f t="shared" si="542"/>
        <v/>
      </c>
    </row>
    <row r="473" spans="1:232" s="19" customFormat="1" ht="50.1" hidden="1" customHeight="1" thickBot="1" x14ac:dyDescent="0.2">
      <c r="A473" s="1201"/>
      <c r="B473" s="1201"/>
      <c r="C473" s="1201"/>
      <c r="D473" s="1201"/>
      <c r="E473" s="1202"/>
      <c r="F473" s="652"/>
      <c r="G473" s="652"/>
      <c r="H473" s="652"/>
      <c r="I473" s="1354"/>
      <c r="J473" s="1234"/>
      <c r="K473" s="1261"/>
      <c r="L473" s="1261"/>
      <c r="M473" s="2656" t="s">
        <v>810</v>
      </c>
      <c r="N473" s="2656"/>
      <c r="O473" s="2656"/>
      <c r="P473" s="2462"/>
      <c r="Q473" s="2462"/>
      <c r="R473" s="2445"/>
      <c r="S473" s="2445"/>
      <c r="T473" s="2445"/>
      <c r="U473" s="2430"/>
      <c r="V473" s="2430"/>
      <c r="W473" s="2430"/>
      <c r="X473" s="2430"/>
      <c r="Y473" s="2430"/>
      <c r="Z473" s="2430"/>
      <c r="AA473" s="2430"/>
      <c r="AB473" s="2430"/>
      <c r="AC473" s="2430"/>
      <c r="AD473" s="2430"/>
      <c r="AE473" s="2430"/>
      <c r="AF473" s="2479"/>
      <c r="AG473" s="2479"/>
      <c r="AH473" s="2479"/>
      <c r="AI473" s="2479"/>
      <c r="AJ473" s="2479"/>
      <c r="AK473" s="2479"/>
      <c r="AL473" s="2479"/>
      <c r="AM473" s="2479"/>
      <c r="AN473" s="2479"/>
      <c r="AO473" s="2479"/>
      <c r="AP473" s="2479"/>
      <c r="AQ473" s="2479"/>
      <c r="AR473" s="2299"/>
      <c r="AS473" s="2299"/>
      <c r="AT473" s="2473"/>
      <c r="AU473" s="2473"/>
      <c r="AV473" s="2473"/>
      <c r="AW473" s="2473"/>
      <c r="AX473" s="2473"/>
      <c r="AY473" s="2473"/>
      <c r="AZ473" s="2473"/>
      <c r="BA473" s="2473"/>
      <c r="BB473" s="2473"/>
      <c r="BC473" s="2473"/>
      <c r="BD473" s="2473"/>
      <c r="BE473" s="2473"/>
      <c r="BF473" s="2473"/>
      <c r="BG473" s="2473"/>
      <c r="BH473" s="2473"/>
      <c r="BI473" s="2473"/>
      <c r="BJ473" s="2473"/>
      <c r="BK473" s="2473"/>
      <c r="BL473" s="2473"/>
      <c r="BM473" s="2473"/>
      <c r="BN473" s="2473"/>
      <c r="BO473" s="2473"/>
      <c r="BP473" s="2473"/>
      <c r="BQ473" s="2473"/>
      <c r="BR473" s="2473"/>
      <c r="BS473" s="2298"/>
      <c r="BT473" s="2298"/>
      <c r="BU473" s="2298"/>
      <c r="BV473" s="2298"/>
      <c r="BW473" s="2298"/>
      <c r="BX473" s="2298"/>
      <c r="BY473" s="2298"/>
      <c r="BZ473" s="2299"/>
      <c r="CA473" s="2299"/>
      <c r="CB473" s="2383"/>
      <c r="CC473" s="2384"/>
      <c r="CD473" s="2384"/>
      <c r="CE473" s="2384"/>
      <c r="CF473" s="2384"/>
      <c r="CG473" s="2384"/>
      <c r="CH473" s="2384"/>
      <c r="CI473" s="2384"/>
      <c r="CJ473" s="2384"/>
      <c r="CK473" s="2384"/>
      <c r="CL473" s="2384"/>
      <c r="CM473" s="2384"/>
      <c r="CN473" s="2384"/>
      <c r="CO473" s="2384"/>
      <c r="CP473" s="2384"/>
      <c r="CQ473" s="2384"/>
      <c r="CR473" s="2384"/>
      <c r="CS473" s="2384"/>
      <c r="CT473" s="2384"/>
      <c r="CU473" s="2385"/>
      <c r="CV473" s="2300" t="str">
        <f t="shared" si="559"/>
        <v/>
      </c>
      <c r="CW473" s="2300"/>
      <c r="CX473" s="2300"/>
      <c r="CY473" s="2300"/>
      <c r="CZ473" s="2300"/>
      <c r="DA473" s="2300"/>
      <c r="DC473" s="330" t="str">
        <f t="shared" si="560"/>
        <v/>
      </c>
      <c r="DD473" s="197"/>
      <c r="DF473" s="14"/>
      <c r="DG473" s="14"/>
      <c r="DH473" s="14"/>
      <c r="DI473" s="1596"/>
      <c r="DJ473" s="1171" t="s">
        <v>2749</v>
      </c>
      <c r="DK473" s="1605" t="str">
        <f t="shared" si="473"/>
        <v/>
      </c>
      <c r="DL473" s="1598" t="str">
        <f t="shared" si="474"/>
        <v/>
      </c>
      <c r="DM473" s="1129">
        <f t="shared" si="475"/>
        <v>0</v>
      </c>
      <c r="DN473" s="266">
        <f t="shared" si="476"/>
        <v>0</v>
      </c>
      <c r="DO473" s="266">
        <f t="shared" si="477"/>
        <v>0</v>
      </c>
      <c r="DP473" s="267">
        <f t="shared" si="478"/>
        <v>0</v>
      </c>
      <c r="DQ473" s="1134" t="s">
        <v>810</v>
      </c>
      <c r="DR473" s="265">
        <f t="shared" si="558"/>
        <v>0</v>
      </c>
      <c r="DS473" s="125">
        <f t="shared" si="480"/>
        <v>0</v>
      </c>
      <c r="DT473" s="270" t="str">
        <f t="shared" si="481"/>
        <v/>
      </c>
      <c r="DU473" s="136" t="str">
        <f t="shared" si="482"/>
        <v/>
      </c>
      <c r="DV473" s="244" t="str">
        <f>IF($DT473="要是正",MAX($DV$432:DV472)+1,"")</f>
        <v/>
      </c>
      <c r="DW473" s="12" t="str">
        <f t="shared" si="483"/>
        <v/>
      </c>
      <c r="DX473" s="257" t="str">
        <f t="shared" si="484"/>
        <v/>
      </c>
      <c r="DY473" s="258" t="str">
        <f t="shared" si="485"/>
        <v/>
      </c>
      <c r="DZ473" s="259" t="str">
        <f t="shared" si="486"/>
        <v/>
      </c>
      <c r="EA473" s="256" t="str">
        <f t="shared" si="487"/>
        <v/>
      </c>
      <c r="EB473" s="138" t="str">
        <f t="shared" si="488"/>
        <v/>
      </c>
      <c r="EC473" s="131" t="str">
        <f t="shared" si="489"/>
        <v>0</v>
      </c>
      <c r="ED473" s="54" t="str">
        <f t="shared" si="490"/>
        <v/>
      </c>
      <c r="EE473" s="131" t="str">
        <f t="shared" si="561"/>
        <v>0</v>
      </c>
      <c r="EF473" s="37" t="str">
        <f t="shared" si="491"/>
        <v/>
      </c>
      <c r="EG473" s="108" t="str">
        <f t="shared" si="492"/>
        <v/>
      </c>
      <c r="EH473" s="41" t="str">
        <f t="shared" si="493"/>
        <v>0</v>
      </c>
      <c r="EI473" s="54" t="str">
        <f t="shared" si="494"/>
        <v/>
      </c>
      <c r="EJ473" s="131" t="str">
        <f t="shared" si="562"/>
        <v>0</v>
      </c>
      <c r="EK473" s="241" t="str">
        <f t="shared" si="495"/>
        <v/>
      </c>
      <c r="EL473" s="136" t="e">
        <f t="shared" si="563"/>
        <v>#N/A</v>
      </c>
      <c r="EM473" s="137" t="e">
        <f t="shared" si="564"/>
        <v>#N/A</v>
      </c>
      <c r="EN473" s="244" t="e">
        <f t="shared" si="565"/>
        <v>#N/A</v>
      </c>
      <c r="FK473" s="326" t="str">
        <f t="shared" si="499"/>
        <v/>
      </c>
      <c r="FL473" s="326" t="str">
        <f t="shared" si="500"/>
        <v/>
      </c>
      <c r="FM473" s="326" t="str">
        <f t="shared" si="501"/>
        <v/>
      </c>
      <c r="FN473" s="326">
        <f t="shared" si="502"/>
        <v>0</v>
      </c>
      <c r="FO473" s="670" t="str">
        <f t="shared" si="503"/>
        <v/>
      </c>
      <c r="FQ473" s="138" t="str">
        <f t="shared" si="504"/>
        <v/>
      </c>
      <c r="FR473" s="131" t="str">
        <f t="shared" si="505"/>
        <v>0</v>
      </c>
      <c r="FS473" s="54" t="str">
        <f t="shared" si="506"/>
        <v/>
      </c>
      <c r="FT473" s="131" t="str">
        <f t="shared" si="566"/>
        <v>0</v>
      </c>
      <c r="FU473" s="217" t="str">
        <f t="shared" si="567"/>
        <v/>
      </c>
      <c r="FW473" s="667">
        <f t="shared" si="556"/>
        <v>0</v>
      </c>
      <c r="FX473" s="32"/>
      <c r="FY473" s="32"/>
      <c r="FZ473" s="668"/>
      <c r="GA473" s="14"/>
      <c r="GB473" s="32">
        <f t="shared" si="508"/>
        <v>0</v>
      </c>
      <c r="GC473" s="32">
        <f t="shared" si="509"/>
        <v>0</v>
      </c>
      <c r="GD473" s="19">
        <f t="shared" si="510"/>
        <v>0</v>
      </c>
      <c r="GE473" s="658" t="str">
        <f t="shared" si="511"/>
        <v/>
      </c>
      <c r="GF473" s="658" t="str">
        <f t="shared" si="512"/>
        <v/>
      </c>
      <c r="GG473" s="658" t="str">
        <f t="shared" si="513"/>
        <v/>
      </c>
      <c r="GH473" s="658" t="str">
        <f t="shared" si="514"/>
        <v/>
      </c>
      <c r="GI473" s="658" t="str">
        <f t="shared" si="515"/>
        <v/>
      </c>
      <c r="GJ473" s="658" t="str">
        <f t="shared" si="516"/>
        <v/>
      </c>
      <c r="GK473" s="658" t="str">
        <f t="shared" si="517"/>
        <v/>
      </c>
      <c r="GL473" s="658" t="str">
        <f t="shared" si="518"/>
        <v/>
      </c>
      <c r="GM473" s="658" t="str">
        <f t="shared" si="519"/>
        <v/>
      </c>
      <c r="GN473" s="658" t="str">
        <f t="shared" si="520"/>
        <v/>
      </c>
      <c r="GO473" s="658" t="str">
        <f t="shared" si="521"/>
        <v/>
      </c>
      <c r="GP473" s="658" t="str">
        <f t="shared" si="522"/>
        <v/>
      </c>
      <c r="GQ473" s="658" t="str">
        <f t="shared" si="523"/>
        <v/>
      </c>
      <c r="GR473" s="658" t="str">
        <f t="shared" si="524"/>
        <v/>
      </c>
      <c r="GS473" s="658" t="str">
        <f t="shared" si="525"/>
        <v/>
      </c>
      <c r="GT473" s="658">
        <f t="shared" si="546"/>
        <v>0</v>
      </c>
      <c r="GU473" s="658">
        <f t="shared" si="547"/>
        <v>0</v>
      </c>
      <c r="GV473" s="658">
        <f t="shared" si="548"/>
        <v>0</v>
      </c>
      <c r="GW473" s="658" t="b">
        <f t="shared" si="549"/>
        <v>0</v>
      </c>
      <c r="GX473" s="658" t="b">
        <f t="shared" si="550"/>
        <v>0</v>
      </c>
      <c r="GY473" s="658" t="b">
        <f t="shared" si="551"/>
        <v>0</v>
      </c>
      <c r="GZ473" s="658" t="str">
        <f t="shared" si="557"/>
        <v/>
      </c>
      <c r="HB473" s="658" t="str">
        <f t="shared" si="552"/>
        <v/>
      </c>
      <c r="HC473" s="658" t="str">
        <f t="shared" si="526"/>
        <v/>
      </c>
      <c r="HD473" s="658" t="str">
        <f t="shared" si="527"/>
        <v/>
      </c>
      <c r="HE473" s="658" t="str">
        <f t="shared" si="528"/>
        <v/>
      </c>
      <c r="HF473" s="658" t="str">
        <f t="shared" si="529"/>
        <v/>
      </c>
      <c r="HG473" s="658" t="str">
        <f t="shared" si="530"/>
        <v/>
      </c>
      <c r="HH473" s="658" t="str">
        <f t="shared" si="531"/>
        <v/>
      </c>
      <c r="HI473" s="658" t="str">
        <f t="shared" si="532"/>
        <v/>
      </c>
      <c r="HJ473" s="658" t="str">
        <f t="shared" si="533"/>
        <v/>
      </c>
      <c r="HK473" s="658" t="str">
        <f t="shared" si="534"/>
        <v/>
      </c>
      <c r="HL473" s="658" t="str">
        <f t="shared" si="535"/>
        <v/>
      </c>
      <c r="HM473" s="658" t="str">
        <f t="shared" si="536"/>
        <v/>
      </c>
      <c r="HN473" s="658" t="str">
        <f t="shared" si="537"/>
        <v/>
      </c>
      <c r="HO473" s="658" t="str">
        <f t="shared" si="538"/>
        <v/>
      </c>
      <c r="HP473" s="658" t="str">
        <f t="shared" si="539"/>
        <v/>
      </c>
      <c r="HQ473" s="658" t="str">
        <f t="shared" si="540"/>
        <v/>
      </c>
      <c r="HR473" s="658" t="str">
        <f t="shared" si="553"/>
        <v/>
      </c>
      <c r="HT473" s="658">
        <f>LEFT(M473,1)*10000+MID(M473,3,LEN(M473)-3)*100+COUNTIF($M$319:M473,M473)</f>
        <v>53801</v>
      </c>
      <c r="HU473" s="658" t="str">
        <f t="shared" si="554"/>
        <v/>
      </c>
      <c r="HV473" s="658" t="str">
        <f t="shared" si="541"/>
        <v/>
      </c>
      <c r="HW473" s="658" t="str">
        <f t="shared" si="555"/>
        <v/>
      </c>
      <c r="HX473" s="658" t="str">
        <f t="shared" si="542"/>
        <v/>
      </c>
    </row>
    <row r="474" spans="1:232" ht="15" customHeight="1" thickBot="1" x14ac:dyDescent="0.2">
      <c r="A474" s="1201"/>
      <c r="B474" s="1201"/>
      <c r="C474" s="1201"/>
      <c r="D474" s="1201"/>
      <c r="E474" s="1202"/>
      <c r="J474" s="1355"/>
      <c r="K474" s="1177"/>
      <c r="L474" s="1177"/>
      <c r="M474" s="1356"/>
      <c r="N474" s="1356"/>
      <c r="O474" s="1356"/>
      <c r="P474" s="1356"/>
      <c r="Q474" s="1356"/>
      <c r="R474" s="1356"/>
      <c r="S474" s="1356"/>
      <c r="T474" s="1356"/>
      <c r="U474" s="1356"/>
      <c r="V474" s="1356"/>
      <c r="W474" s="1356"/>
      <c r="X474" s="1356"/>
      <c r="Y474" s="1356"/>
      <c r="Z474" s="1356"/>
      <c r="AA474" s="1356"/>
      <c r="AB474" s="1356"/>
      <c r="AC474" s="1356"/>
      <c r="AD474" s="1356"/>
      <c r="AE474" s="1251"/>
      <c r="AF474" s="1251"/>
      <c r="AG474" s="1251"/>
      <c r="AH474" s="1251"/>
      <c r="AI474" s="1251"/>
      <c r="AJ474" s="1251"/>
      <c r="AK474" s="1251"/>
      <c r="AL474" s="1251"/>
      <c r="AM474" s="1251"/>
      <c r="AN474" s="1251"/>
      <c r="AO474" s="1251"/>
      <c r="AP474" s="1251"/>
      <c r="AQ474" s="1251"/>
      <c r="AR474" s="1186"/>
      <c r="AS474" s="1186"/>
      <c r="AT474" s="1251"/>
      <c r="AU474" s="1251"/>
      <c r="AV474" s="1251"/>
      <c r="AW474" s="1251"/>
      <c r="AX474" s="1251"/>
      <c r="AY474" s="1251"/>
      <c r="AZ474" s="1251"/>
      <c r="BA474" s="1251"/>
      <c r="BB474" s="1251"/>
      <c r="BC474" s="1251"/>
      <c r="BD474" s="1251"/>
      <c r="BE474" s="1251"/>
      <c r="BF474" s="1251"/>
      <c r="BG474" s="1251"/>
      <c r="BH474" s="1251"/>
      <c r="BI474" s="1251"/>
      <c r="BJ474" s="1251"/>
      <c r="BK474" s="1251"/>
      <c r="BL474" s="1251"/>
      <c r="BM474" s="1251"/>
      <c r="BN474" s="1251"/>
      <c r="BO474" s="1251"/>
      <c r="BP474" s="1251"/>
      <c r="BQ474" s="1251"/>
      <c r="BR474" s="1251"/>
      <c r="BS474" s="1186"/>
      <c r="BT474" s="1186"/>
      <c r="BU474" s="1186"/>
      <c r="BV474" s="1186"/>
      <c r="BW474" s="1186"/>
      <c r="BX474" s="1186"/>
      <c r="BY474" s="419"/>
      <c r="BZ474" s="419"/>
      <c r="CA474" s="419"/>
      <c r="CB474" s="1182"/>
      <c r="CC474" s="1182"/>
      <c r="CD474" s="1182"/>
      <c r="CE474" s="1182"/>
      <c r="CF474" s="1182"/>
      <c r="CG474" s="1182"/>
      <c r="CH474" s="1182"/>
      <c r="CI474" s="1182"/>
      <c r="CJ474" s="1182"/>
      <c r="CK474" s="1182"/>
      <c r="CL474" s="1182"/>
      <c r="CM474" s="1182"/>
      <c r="CN474" s="1182"/>
      <c r="CO474" s="1182"/>
      <c r="CP474" s="1182"/>
      <c r="CQ474" s="1182"/>
      <c r="CR474" s="1182"/>
      <c r="CS474" s="1182"/>
      <c r="CT474" s="1182"/>
      <c r="CU474" s="1183"/>
      <c r="CV474" s="2300"/>
      <c r="CW474" s="2300"/>
      <c r="CX474" s="2300"/>
      <c r="CY474" s="2300"/>
      <c r="CZ474" s="2300"/>
      <c r="DA474" s="2300"/>
      <c r="DD474" s="197"/>
      <c r="DE474" s="16"/>
      <c r="DF474" s="16"/>
      <c r="DG474" s="16"/>
      <c r="DH474" s="16"/>
      <c r="DI474" s="1593"/>
      <c r="DJ474" s="1172"/>
      <c r="DK474" s="1606"/>
      <c r="DL474" s="1991" t="s">
        <v>3415</v>
      </c>
      <c r="DM474" s="99">
        <f>SUM(DM436:DM473)</f>
        <v>0</v>
      </c>
      <c r="DN474" s="99">
        <f>SUM(DN436:DN473)</f>
        <v>0</v>
      </c>
      <c r="DO474" s="99">
        <f>SUM(DO436:DO473)</f>
        <v>0</v>
      </c>
      <c r="DP474" s="99">
        <f>SUM(DP436:DP473)</f>
        <v>0</v>
      </c>
      <c r="DU474" s="277"/>
      <c r="DX474" s="2294" t="s">
        <v>1619</v>
      </c>
      <c r="DY474" s="2071" t="s">
        <v>1621</v>
      </c>
      <c r="DZ474" s="222"/>
      <c r="EA474" s="303"/>
      <c r="EB474" s="673"/>
      <c r="EC474" s="133"/>
      <c r="ED474" s="111">
        <f>COUNTIF(ED436:ED473,"1")</f>
        <v>0</v>
      </c>
      <c r="EE474" s="110" t="str">
        <f t="array" ref="EE474">INDEX(EE436:EE473,MATCH(MIN(ABS(EE436:EE473-$DP$4)),ABS(EE436:EE473-$DP$4),0))</f>
        <v>0</v>
      </c>
      <c r="EF474" s="111">
        <f>COUNTIF(EF436:EF473,"未定")</f>
        <v>0</v>
      </c>
      <c r="EG474" s="109"/>
      <c r="EH474" s="133"/>
      <c r="EI474" s="111">
        <f>COUNTIF(EI436:EI473,"1")</f>
        <v>0</v>
      </c>
      <c r="EJ474" s="110" t="str">
        <f t="array" ref="EJ474">INDEX(EJ436:EJ473,MATCH(MIN(ABS(EJ436:EJ473-$DP$4)),ABS(EJ436:EJ473-$DP$4),0))</f>
        <v>0</v>
      </c>
      <c r="EK474" s="111">
        <f>COUNTIF(EK436:EK473,"未定")</f>
        <v>0</v>
      </c>
      <c r="FK474" s="351"/>
      <c r="FL474" s="351"/>
      <c r="FM474" s="351"/>
      <c r="FN474" s="351"/>
      <c r="FO474" s="670"/>
      <c r="FQ474" s="673"/>
      <c r="FR474" s="133"/>
      <c r="FS474" s="111">
        <f>COUNTIF(FS436:FS473,"1")</f>
        <v>0</v>
      </c>
      <c r="FT474" s="110" t="str">
        <f t="array" ref="FT474">INDEX(FT436:FT473,MATCH(MIN(ABS(FT436:FT473-$DP$4)),ABS(FT436:FT473-$DP$4),0))</f>
        <v>0</v>
      </c>
      <c r="FU474" s="218">
        <f>COUNTIF(FU436:FU473,"未定")</f>
        <v>0</v>
      </c>
      <c r="FV474" s="73"/>
      <c r="FW474" s="667">
        <f t="shared" si="556"/>
        <v>0</v>
      </c>
      <c r="FX474" s="11"/>
      <c r="FY474" s="11"/>
      <c r="FZ474" s="671"/>
      <c r="GB474" s="658">
        <f>IF(SUM(GB436:GB473)&gt;0,1,0)</f>
        <v>0</v>
      </c>
      <c r="GC474" s="658">
        <f>IF(SUM(GC436:GC473)&gt;0,1,0)</f>
        <v>0</v>
      </c>
      <c r="GD474" s="658">
        <f>IF(SUM(GD436:GD473)&gt;0,1,0)</f>
        <v>0</v>
      </c>
      <c r="GE474" s="660"/>
      <c r="GF474" s="660"/>
      <c r="GG474" s="660"/>
      <c r="GH474" s="660"/>
      <c r="GI474" s="660"/>
      <c r="GJ474" s="660"/>
      <c r="GK474" s="660"/>
      <c r="GL474" s="660"/>
      <c r="GM474" s="660"/>
      <c r="GN474" s="660"/>
      <c r="GO474" s="660"/>
      <c r="GP474" s="660"/>
      <c r="GQ474" s="660"/>
      <c r="GR474" s="660"/>
      <c r="GS474" s="660"/>
      <c r="GT474" s="658">
        <f>IF(SUM(GT436:GT473)&gt;0,1,0)</f>
        <v>0</v>
      </c>
      <c r="GU474" s="658">
        <f>IF(SUM(GU436:GU473)&gt;0,1,0)</f>
        <v>0</v>
      </c>
      <c r="GV474" s="658">
        <f>IF(SUM(GV436:GV473)&gt;0,1,0)</f>
        <v>0</v>
      </c>
      <c r="GW474" s="658" t="b">
        <f t="shared" si="549"/>
        <v>0</v>
      </c>
      <c r="GX474" s="658" t="b">
        <f t="shared" si="550"/>
        <v>0</v>
      </c>
      <c r="GY474" s="658" t="b">
        <f t="shared" si="551"/>
        <v>0</v>
      </c>
      <c r="GZ474" s="658" t="str">
        <f t="shared" si="557"/>
        <v/>
      </c>
      <c r="HB474" s="660"/>
      <c r="HC474" s="660"/>
      <c r="HD474" s="660"/>
      <c r="HE474" s="660"/>
      <c r="HF474" s="660"/>
      <c r="HG474" s="660"/>
      <c r="HH474" s="660"/>
      <c r="HI474" s="660"/>
      <c r="HJ474" s="660"/>
      <c r="HK474" s="660"/>
      <c r="HL474" s="660"/>
      <c r="HM474" s="660"/>
      <c r="HN474" s="660"/>
      <c r="HO474" s="660"/>
      <c r="HP474" s="660"/>
      <c r="HQ474" s="660"/>
      <c r="HR474" s="660"/>
      <c r="HT474" s="1133"/>
      <c r="HU474" s="1133"/>
      <c r="HV474" s="1133"/>
      <c r="HW474" s="1133"/>
      <c r="HX474" s="1133"/>
    </row>
    <row r="475" spans="1:232" s="19" customFormat="1" ht="35.1" customHeight="1" thickBot="1" x14ac:dyDescent="0.55000000000000004">
      <c r="A475" s="1201"/>
      <c r="B475" s="1201"/>
      <c r="C475" s="1201"/>
      <c r="D475" s="1201"/>
      <c r="E475" s="1202"/>
      <c r="F475" s="652"/>
      <c r="G475" s="652"/>
      <c r="H475" s="652"/>
      <c r="I475" s="1354"/>
      <c r="J475" s="1234"/>
      <c r="K475" s="1261"/>
      <c r="L475" s="1261"/>
      <c r="M475" s="2450" t="s">
        <v>2832</v>
      </c>
      <c r="N475" s="2450"/>
      <c r="O475" s="2450"/>
      <c r="P475" s="2450"/>
      <c r="Q475" s="2450"/>
      <c r="R475" s="2450"/>
      <c r="S475" s="2450"/>
      <c r="T475" s="2450"/>
      <c r="U475" s="2450"/>
      <c r="V475" s="2450"/>
      <c r="W475" s="2450"/>
      <c r="X475" s="2450"/>
      <c r="Y475" s="2450"/>
      <c r="Z475" s="2450"/>
      <c r="AA475" s="2450"/>
      <c r="AB475" s="2450"/>
      <c r="AC475" s="2450"/>
      <c r="AD475" s="2450"/>
      <c r="AE475" s="2450"/>
      <c r="AF475" s="2450"/>
      <c r="AG475" s="2450"/>
      <c r="AH475" s="2450"/>
      <c r="AI475" s="2450"/>
      <c r="AJ475" s="2450"/>
      <c r="AK475" s="2450"/>
      <c r="AL475" s="2450"/>
      <c r="AM475" s="2450"/>
      <c r="AN475" s="2450"/>
      <c r="AO475" s="2450"/>
      <c r="AP475" s="2450"/>
      <c r="AQ475" s="2450"/>
      <c r="AR475" s="2450"/>
      <c r="AS475" s="2450"/>
      <c r="AT475" s="2450"/>
      <c r="AU475" s="2450"/>
      <c r="AV475" s="2450"/>
      <c r="AW475" s="2450"/>
      <c r="AX475" s="2450"/>
      <c r="AY475" s="2450"/>
      <c r="AZ475" s="2450"/>
      <c r="BA475" s="2450"/>
      <c r="BB475" s="2450"/>
      <c r="BC475" s="2450"/>
      <c r="BD475" s="2450"/>
      <c r="BE475" s="2450"/>
      <c r="BF475" s="2450"/>
      <c r="BG475" s="2450"/>
      <c r="BH475" s="2450"/>
      <c r="BI475" s="2450"/>
      <c r="BJ475" s="2450"/>
      <c r="BK475" s="2450"/>
      <c r="BL475" s="2450"/>
      <c r="BM475" s="2450"/>
      <c r="BN475" s="2450"/>
      <c r="BO475" s="2450"/>
      <c r="BP475" s="2450"/>
      <c r="BQ475" s="2450"/>
      <c r="BR475" s="2450"/>
      <c r="BS475" s="2450"/>
      <c r="BT475" s="2450"/>
      <c r="BU475" s="2450"/>
      <c r="BV475" s="2450"/>
      <c r="BW475" s="2450"/>
      <c r="BX475" s="2450"/>
      <c r="BY475" s="2450"/>
      <c r="BZ475" s="2450"/>
      <c r="CA475" s="2450"/>
      <c r="CB475" s="2450"/>
      <c r="CC475" s="2450"/>
      <c r="CD475" s="2450"/>
      <c r="CE475" s="2450"/>
      <c r="CF475" s="2450"/>
      <c r="CG475" s="2450"/>
      <c r="CH475" s="2450"/>
      <c r="CI475" s="2450"/>
      <c r="CJ475" s="2450"/>
      <c r="CK475" s="2450"/>
      <c r="CL475" s="2450"/>
      <c r="CM475" s="2450"/>
      <c r="CN475" s="2450"/>
      <c r="CO475" s="2450"/>
      <c r="CP475" s="2450"/>
      <c r="CQ475" s="2450"/>
      <c r="CR475" s="2450"/>
      <c r="CS475" s="2450"/>
      <c r="CT475" s="2450"/>
      <c r="CU475" s="2451"/>
      <c r="CV475" s="2300" t="str">
        <f>IF(AND(DT475="要是正",DU475&lt;21),HYPERLINK("#"&amp;EL475&amp;"!"&amp;EM475&amp;":"&amp;EN475&amp;"","関連写真添付"),"")</f>
        <v/>
      </c>
      <c r="CW475" s="2300"/>
      <c r="CX475" s="2300"/>
      <c r="CY475" s="2300"/>
      <c r="CZ475" s="2300"/>
      <c r="DA475" s="2300"/>
      <c r="DC475" s="329" t="str">
        <f>IF(AND(DU475&lt;&gt;"",DU475&gt;10),"「別途様式を作成、提出してください。」","")</f>
        <v/>
      </c>
      <c r="DD475" s="197"/>
      <c r="DF475" s="14"/>
      <c r="DG475" s="14"/>
      <c r="DH475" s="14"/>
      <c r="DI475" s="1596"/>
      <c r="DJ475" s="1157"/>
      <c r="DK475" s="1608"/>
      <c r="DL475" s="2058" t="s">
        <v>3416</v>
      </c>
      <c r="DM475" s="1623" t="str">
        <f>IF(AND(DN475="",DO475="",DP475="",DM492&lt;&gt;0),"レ","")</f>
        <v/>
      </c>
      <c r="DN475" s="1623" t="str">
        <f>IF(AND(DO475="",DP475="",DN492&lt;&gt;0),"レ","")</f>
        <v/>
      </c>
      <c r="DO475" s="1623" t="str">
        <f>IF(DO492&lt;&gt;0,"レ","")</f>
        <v/>
      </c>
      <c r="DP475" s="1623" t="str">
        <f>IF(AND(DO475="",DP492&lt;&gt;0),"レ","")</f>
        <v/>
      </c>
      <c r="DQ475" s="25"/>
      <c r="DR475" s="25"/>
      <c r="DS475" s="25"/>
      <c r="DT475" s="24"/>
      <c r="DU475" s="57"/>
      <c r="DV475" s="24"/>
      <c r="DW475" s="2047" t="s">
        <v>3423</v>
      </c>
      <c r="DX475" s="2404"/>
      <c r="DY475" s="2051" t="str">
        <f>SUBSTITUTE(TRIM(DY478&amp;"　"&amp;DY479&amp;"　"&amp;DY480&amp;"　"&amp;DY481&amp;"　"&amp;DY482&amp;"　"&amp;DY483&amp;"　"&amp;DY484&amp;"　"&amp;DY485&amp;"　"&amp;DY486&amp;"　"&amp;DY487&amp;"　"&amp;DY488&amp;"　"&amp;DY489&amp;"　"&amp;DY490&amp;"　"&amp;DY491),"　",", ")&amp;HQ536</f>
        <v/>
      </c>
      <c r="DZ475" s="2370" t="s">
        <v>1625</v>
      </c>
      <c r="EA475" s="2371"/>
      <c r="EB475" s="2060" t="str">
        <f>IF(COUNTIF(ED478:ED491,1)&gt;0,"レ","")</f>
        <v/>
      </c>
      <c r="EC475" s="202"/>
      <c r="ED475" s="2061" t="str">
        <f>IF(EB475="レ",YEAR(EE492)-VLOOKUP(EE492,$DS$6:$DV$9,4,TRUE),"")</f>
        <v/>
      </c>
      <c r="EE475" s="2061" t="str">
        <f>IF(EB475="レ",MONTH(EE492),IF(AND(DO475="レ",EF475="レ",EF492=0),"",IF(AND(DO475="レ",EF475="レ",EF492&gt;0),"","")))</f>
        <v/>
      </c>
      <c r="EF475" s="2062" t="str">
        <f>IF(EB475="",IF(OR(EF492&gt;0,DO475="レ"),"レ",""),"")</f>
        <v/>
      </c>
      <c r="EG475" s="2060" t="str">
        <f>IF(AND(COUNTIF(DT478:DT491,"要是正")=0,COUNTIF(EI478:EI491,1)&gt;0),"レ","")</f>
        <v/>
      </c>
      <c r="EH475" s="202"/>
      <c r="EI475" s="2061" t="str">
        <f>IF(EG475="レ",YEAR(EJ492)-VLOOKUP(EJ492,$DS$6:$DV$9,4,TRUE),"")</f>
        <v/>
      </c>
      <c r="EJ475" s="2061" t="str">
        <f>IF(EG475="レ",MONTH(EJ492),IF(AND(DP475="レ",EK475="レ",EK492=0),"",IF(AND(DP475="レ",EK475="レ",EK492&gt;0),"","")))</f>
        <v/>
      </c>
      <c r="EK475" s="2062" t="str">
        <f>IF(EG475="",IF(OR(EK492&gt;0,DP475="レ"),"レ",""),"")</f>
        <v/>
      </c>
      <c r="EL475" s="57" t="e">
        <f>VLOOKUP($DU475,$EO$318:$ER$346,2,FALSE)</f>
        <v>#N/A</v>
      </c>
      <c r="EM475" s="57" t="e">
        <f>VLOOKUP($DU475,$EO$318:$ER$346,3,FALSE)</f>
        <v>#N/A</v>
      </c>
      <c r="EN475" s="57" t="e">
        <f>VLOOKUP($DU475,$EO$318:$ER$346,4,FALSE)</f>
        <v>#N/A</v>
      </c>
      <c r="EO475" s="15"/>
      <c r="EP475" s="15"/>
      <c r="EQ475" s="15"/>
      <c r="ER475" s="15"/>
      <c r="ES475" s="2080" t="str">
        <f>$HA$539</f>
        <v>要是正なし</v>
      </c>
      <c r="ET475" s="15"/>
      <c r="EU475" s="15"/>
      <c r="EV475" s="15"/>
      <c r="EW475" s="15"/>
      <c r="EX475" s="15"/>
      <c r="EY475" s="15"/>
      <c r="EZ475" s="15"/>
      <c r="FA475" s="15"/>
      <c r="FB475" s="15"/>
      <c r="FC475" s="15"/>
      <c r="FD475" s="15"/>
      <c r="FE475" s="15"/>
      <c r="FF475" s="15"/>
      <c r="FG475" s="15"/>
      <c r="FH475" s="15"/>
      <c r="FK475" s="351"/>
      <c r="FL475" s="351"/>
      <c r="FM475" s="351"/>
      <c r="FN475" s="351"/>
      <c r="FO475" s="670"/>
      <c r="FQ475" s="134" t="str">
        <f>IF(COUNTIF(FS478:FS491,1)&gt;0,"レ","")</f>
        <v/>
      </c>
      <c r="FR475" s="202"/>
      <c r="FS475" s="135" t="str">
        <f>IF(FQ475="レ",TEXT(FT492,"ee"),"")</f>
        <v/>
      </c>
      <c r="FT475" s="135" t="str">
        <f>IF(FQ475="レ",MONTH(FT492),IF(AND(FH475="レ",FU475="レ",FU492=0),"",IF(AND(FH475="レ",FU475="レ",FU492&gt;0),"未定","")))</f>
        <v/>
      </c>
      <c r="FU475" s="200" t="str">
        <f>IF(FQ475="",IF(OR(FU492&gt;0,FH475="レ"),"レ",""),"")</f>
        <v/>
      </c>
      <c r="FW475" s="667">
        <f t="shared" si="556"/>
        <v>0</v>
      </c>
      <c r="FX475" s="32"/>
      <c r="FY475" s="32"/>
      <c r="FZ475" s="668"/>
      <c r="GA475" s="14"/>
      <c r="GB475" s="32"/>
      <c r="GC475" s="32"/>
      <c r="GE475" s="32"/>
      <c r="GF475" s="32"/>
      <c r="GG475" s="32"/>
      <c r="GH475" s="32"/>
      <c r="GI475" s="32"/>
      <c r="GJ475" s="32"/>
      <c r="GK475" s="32"/>
      <c r="GL475" s="32"/>
      <c r="GM475" s="32"/>
      <c r="GN475" s="32"/>
      <c r="GO475" s="32"/>
      <c r="GP475" s="32"/>
      <c r="GQ475" s="32"/>
      <c r="GR475" s="32"/>
      <c r="GS475" s="32"/>
      <c r="GT475" s="32"/>
      <c r="GU475" s="32"/>
      <c r="GV475" s="32"/>
      <c r="GW475" s="32"/>
      <c r="GX475" s="32"/>
      <c r="GY475" s="32"/>
      <c r="HB475" s="32"/>
      <c r="HC475" s="32"/>
      <c r="HD475" s="32"/>
      <c r="HE475" s="32"/>
      <c r="HF475" s="32"/>
      <c r="HG475" s="32"/>
      <c r="HH475" s="32"/>
      <c r="HI475" s="32"/>
      <c r="HJ475" s="32"/>
      <c r="HK475" s="32"/>
      <c r="HL475" s="32"/>
      <c r="HM475" s="32"/>
      <c r="HN475" s="32"/>
      <c r="HO475" s="32"/>
      <c r="HP475" s="32"/>
      <c r="HQ475" s="32"/>
      <c r="HR475" s="32"/>
      <c r="HT475" s="1134"/>
      <c r="HU475" s="1134"/>
      <c r="HV475" s="1134"/>
      <c r="HW475" s="1134"/>
      <c r="HX475" s="1134"/>
    </row>
    <row r="476" spans="1:232" s="19" customFormat="1" ht="36" customHeight="1" thickBot="1" x14ac:dyDescent="0.2">
      <c r="A476" s="1201"/>
      <c r="B476" s="1201"/>
      <c r="C476" s="1201"/>
      <c r="D476" s="1201"/>
      <c r="E476" s="1202"/>
      <c r="F476" s="652"/>
      <c r="G476" s="652"/>
      <c r="H476" s="652"/>
      <c r="I476" s="1351"/>
      <c r="J476" s="1260"/>
      <c r="K476" s="1261"/>
      <c r="L476" s="1261"/>
      <c r="M476" s="2387" t="s">
        <v>31</v>
      </c>
      <c r="N476" s="2387"/>
      <c r="O476" s="2387"/>
      <c r="P476" s="2387" t="s">
        <v>32</v>
      </c>
      <c r="Q476" s="2387"/>
      <c r="R476" s="2387"/>
      <c r="S476" s="2387"/>
      <c r="T476" s="2387"/>
      <c r="U476" s="2387"/>
      <c r="V476" s="2387"/>
      <c r="W476" s="2387"/>
      <c r="X476" s="2387"/>
      <c r="Y476" s="2387"/>
      <c r="Z476" s="2387"/>
      <c r="AA476" s="2387"/>
      <c r="AB476" s="2387"/>
      <c r="AC476" s="2387"/>
      <c r="AD476" s="2387"/>
      <c r="AE476" s="2387"/>
      <c r="AF476" s="2387" t="s">
        <v>33</v>
      </c>
      <c r="AG476" s="2387"/>
      <c r="AH476" s="2387"/>
      <c r="AI476" s="2387"/>
      <c r="AJ476" s="2387"/>
      <c r="AK476" s="2387"/>
      <c r="AL476" s="2387"/>
      <c r="AM476" s="2387"/>
      <c r="AN476" s="2387"/>
      <c r="AO476" s="2387"/>
      <c r="AP476" s="2387"/>
      <c r="AQ476" s="2387"/>
      <c r="AR476" s="2387" t="s">
        <v>716</v>
      </c>
      <c r="AS476" s="2387"/>
      <c r="AT476" s="2388" t="s">
        <v>149</v>
      </c>
      <c r="AU476" s="2388"/>
      <c r="AV476" s="2388"/>
      <c r="AW476" s="2388"/>
      <c r="AX476" s="2388"/>
      <c r="AY476" s="2388"/>
      <c r="AZ476" s="2388"/>
      <c r="BA476" s="2388"/>
      <c r="BB476" s="2388"/>
      <c r="BC476" s="2388"/>
      <c r="BD476" s="2388" t="s">
        <v>187</v>
      </c>
      <c r="BE476" s="2388"/>
      <c r="BF476" s="2388"/>
      <c r="BG476" s="2388"/>
      <c r="BH476" s="2388"/>
      <c r="BI476" s="2388"/>
      <c r="BJ476" s="2388"/>
      <c r="BK476" s="2388"/>
      <c r="BL476" s="2388"/>
      <c r="BM476" s="2388"/>
      <c r="BN476" s="2388"/>
      <c r="BO476" s="2388"/>
      <c r="BP476" s="2388"/>
      <c r="BQ476" s="2388"/>
      <c r="BR476" s="2388"/>
      <c r="BS476" s="2387" t="s">
        <v>352</v>
      </c>
      <c r="BT476" s="2388"/>
      <c r="BU476" s="2388"/>
      <c r="BV476" s="2388"/>
      <c r="BW476" s="2388"/>
      <c r="BX476" s="2388"/>
      <c r="BY476" s="2388"/>
      <c r="BZ476" s="2388"/>
      <c r="CA476" s="2388"/>
      <c r="CB476" s="2363" t="s">
        <v>1919</v>
      </c>
      <c r="CC476" s="2363"/>
      <c r="CD476" s="2363"/>
      <c r="CE476" s="2363"/>
      <c r="CF476" s="2363"/>
      <c r="CG476" s="2363"/>
      <c r="CH476" s="2363"/>
      <c r="CI476" s="2363"/>
      <c r="CJ476" s="2363"/>
      <c r="CK476" s="2363"/>
      <c r="CL476" s="2363"/>
      <c r="CM476" s="2363"/>
      <c r="CN476" s="2363"/>
      <c r="CO476" s="2363"/>
      <c r="CP476" s="2363"/>
      <c r="CQ476" s="2363"/>
      <c r="CR476" s="2363"/>
      <c r="CS476" s="2363"/>
      <c r="CT476" s="2363"/>
      <c r="CU476" s="2364"/>
      <c r="CV476" s="421"/>
      <c r="CW476" s="421"/>
      <c r="CX476" s="20"/>
      <c r="CY476" s="20"/>
      <c r="CZ476" s="20"/>
      <c r="DA476" s="20"/>
      <c r="DB476" s="20"/>
      <c r="DC476" s="15"/>
      <c r="DD476" s="197"/>
      <c r="DE476" s="14"/>
      <c r="DF476" s="14"/>
      <c r="DG476" s="14"/>
      <c r="DH476" s="14"/>
      <c r="DI476" s="1596"/>
      <c r="DJ476" s="1157"/>
      <c r="DK476" s="1608"/>
      <c r="DL476" s="14"/>
      <c r="DM476" s="72"/>
      <c r="DN476" s="14"/>
      <c r="DO476" s="14"/>
      <c r="DP476" s="14"/>
      <c r="DQ476" s="14"/>
      <c r="DR476" s="14"/>
      <c r="DU476" s="197"/>
      <c r="DV476" s="197"/>
      <c r="DW476" s="197"/>
      <c r="DX476" s="2404"/>
      <c r="DY476" s="2294" t="s">
        <v>872</v>
      </c>
      <c r="DZ476" s="2290" t="s">
        <v>187</v>
      </c>
      <c r="EA476" s="2372" t="s">
        <v>1605</v>
      </c>
      <c r="EB476" s="2262" t="s">
        <v>24</v>
      </c>
      <c r="EC476" s="2263"/>
      <c r="ED476" s="2263"/>
      <c r="EE476" s="2263"/>
      <c r="EF476" s="2263"/>
      <c r="EG476" s="2367" t="s">
        <v>891</v>
      </c>
      <c r="EH476" s="2368"/>
      <c r="EI476" s="2368"/>
      <c r="EJ476" s="2368"/>
      <c r="EK476" s="2369"/>
      <c r="EL476" s="2304" t="s">
        <v>898</v>
      </c>
      <c r="EM476" s="2305"/>
      <c r="EN476" s="2306"/>
      <c r="EO476" s="2281"/>
      <c r="EP476" s="2281"/>
      <c r="EQ476" s="2281"/>
      <c r="ER476" s="2281"/>
      <c r="ES476" s="15"/>
      <c r="ET476" s="2281"/>
      <c r="EU476" s="2281"/>
      <c r="EV476" s="2281"/>
      <c r="EW476" s="2281"/>
      <c r="EX476" s="2281"/>
      <c r="EY476" s="2265"/>
      <c r="EZ476" s="2265"/>
      <c r="FA476" s="2265"/>
      <c r="FB476" s="2265"/>
      <c r="FC476" s="2265"/>
      <c r="FD476" s="2265"/>
      <c r="FE476" s="2265"/>
      <c r="FF476" s="2265"/>
      <c r="FG476" s="2265"/>
      <c r="FH476" s="2265"/>
      <c r="FI476" s="20"/>
      <c r="FJ476" s="20"/>
      <c r="FK476" s="2283" t="s">
        <v>1108</v>
      </c>
      <c r="FL476" s="2284"/>
      <c r="FM476" s="2284"/>
      <c r="FN476" s="2284"/>
      <c r="FO476" s="2285"/>
      <c r="FQ476" s="2262" t="s">
        <v>24</v>
      </c>
      <c r="FR476" s="2263"/>
      <c r="FS476" s="2263"/>
      <c r="FT476" s="2263"/>
      <c r="FU476" s="2264"/>
      <c r="FW476" s="667" t="str">
        <f t="shared" si="556"/>
        <v>指摘の具体的内容等</v>
      </c>
      <c r="FX476" s="32"/>
      <c r="FY476" s="32"/>
      <c r="FZ476" s="668"/>
      <c r="GA476" s="14"/>
      <c r="GB476" s="32"/>
      <c r="GC476" s="32"/>
      <c r="GE476" s="32"/>
      <c r="GF476" s="32"/>
      <c r="GG476" s="32"/>
      <c r="GH476" s="32"/>
      <c r="GI476" s="32"/>
      <c r="GJ476" s="32"/>
      <c r="GK476" s="32"/>
      <c r="GL476" s="32"/>
      <c r="GM476" s="32"/>
      <c r="GN476" s="32"/>
      <c r="GO476" s="32"/>
      <c r="GP476" s="32"/>
      <c r="GQ476" s="32"/>
      <c r="GR476" s="32"/>
      <c r="GS476" s="32"/>
      <c r="GT476" s="32"/>
      <c r="GU476" s="32"/>
      <c r="GV476" s="73"/>
      <c r="GW476" s="32"/>
      <c r="GX476" s="32"/>
      <c r="GY476" s="32"/>
      <c r="HB476" s="32"/>
      <c r="HC476" s="32"/>
      <c r="HD476" s="32"/>
      <c r="HE476" s="32"/>
      <c r="HF476" s="32"/>
      <c r="HG476" s="32"/>
      <c r="HH476" s="32"/>
      <c r="HI476" s="32"/>
      <c r="HJ476" s="32"/>
      <c r="HK476" s="32"/>
      <c r="HL476" s="32"/>
      <c r="HM476" s="32"/>
      <c r="HN476" s="32"/>
      <c r="HO476" s="32"/>
      <c r="HP476" s="32"/>
      <c r="HQ476" s="32"/>
      <c r="HR476" s="32"/>
      <c r="HS476" s="73"/>
      <c r="HT476" s="1134"/>
      <c r="HU476" s="1134"/>
      <c r="HV476" s="1134"/>
      <c r="HW476" s="1134"/>
      <c r="HX476" s="1134"/>
    </row>
    <row r="477" spans="1:232" s="19" customFormat="1" ht="36" customHeight="1" thickBot="1" x14ac:dyDescent="0.2">
      <c r="A477" s="1201"/>
      <c r="B477" s="1201"/>
      <c r="C477" s="1201"/>
      <c r="D477" s="1201"/>
      <c r="E477" s="1202"/>
      <c r="F477" s="652"/>
      <c r="G477" s="652"/>
      <c r="H477" s="652"/>
      <c r="I477" s="1351"/>
      <c r="J477" s="1260"/>
      <c r="K477" s="1261"/>
      <c r="L477" s="1261"/>
      <c r="M477" s="2289"/>
      <c r="N477" s="2289"/>
      <c r="O477" s="2289"/>
      <c r="P477" s="2289"/>
      <c r="Q477" s="2289"/>
      <c r="R477" s="2289"/>
      <c r="S477" s="2289"/>
      <c r="T477" s="2289"/>
      <c r="U477" s="2289"/>
      <c r="V477" s="2289"/>
      <c r="W477" s="2289"/>
      <c r="X477" s="2289"/>
      <c r="Y477" s="2289"/>
      <c r="Z477" s="2289"/>
      <c r="AA477" s="2289"/>
      <c r="AB477" s="2289"/>
      <c r="AC477" s="2289"/>
      <c r="AD477" s="2289"/>
      <c r="AE477" s="2289"/>
      <c r="AF477" s="2289"/>
      <c r="AG477" s="2289"/>
      <c r="AH477" s="2289"/>
      <c r="AI477" s="2289"/>
      <c r="AJ477" s="2289"/>
      <c r="AK477" s="2289"/>
      <c r="AL477" s="2289"/>
      <c r="AM477" s="2289"/>
      <c r="AN477" s="2289"/>
      <c r="AO477" s="2289"/>
      <c r="AP477" s="2289"/>
      <c r="AQ477" s="2289"/>
      <c r="AR477" s="2289"/>
      <c r="AS477" s="2289"/>
      <c r="AT477" s="2386"/>
      <c r="AU477" s="2386"/>
      <c r="AV477" s="2386"/>
      <c r="AW477" s="2386"/>
      <c r="AX477" s="2386"/>
      <c r="AY477" s="2386"/>
      <c r="AZ477" s="2386"/>
      <c r="BA477" s="2386"/>
      <c r="BB477" s="2386"/>
      <c r="BC477" s="2386"/>
      <c r="BD477" s="2386"/>
      <c r="BE477" s="2386"/>
      <c r="BF477" s="2386"/>
      <c r="BG477" s="2386"/>
      <c r="BH477" s="2386"/>
      <c r="BI477" s="2386"/>
      <c r="BJ477" s="2386"/>
      <c r="BK477" s="2386"/>
      <c r="BL477" s="2386"/>
      <c r="BM477" s="2386"/>
      <c r="BN477" s="2386"/>
      <c r="BO477" s="2386"/>
      <c r="BP477" s="2386"/>
      <c r="BQ477" s="2386"/>
      <c r="BR477" s="2386"/>
      <c r="BS477" s="2289" t="s">
        <v>827</v>
      </c>
      <c r="BT477" s="2289"/>
      <c r="BU477" s="2289"/>
      <c r="BV477" s="2289" t="s">
        <v>348</v>
      </c>
      <c r="BW477" s="2289"/>
      <c r="BX477" s="2289"/>
      <c r="BY477" s="2289" t="s">
        <v>1314</v>
      </c>
      <c r="BZ477" s="2386"/>
      <c r="CA477" s="2386"/>
      <c r="CB477" s="2365"/>
      <c r="CC477" s="2365"/>
      <c r="CD477" s="2365"/>
      <c r="CE477" s="2365"/>
      <c r="CF477" s="2365"/>
      <c r="CG477" s="2365"/>
      <c r="CH477" s="2365"/>
      <c r="CI477" s="2365"/>
      <c r="CJ477" s="2365"/>
      <c r="CK477" s="2365"/>
      <c r="CL477" s="2365"/>
      <c r="CM477" s="2365"/>
      <c r="CN477" s="2365"/>
      <c r="CO477" s="2365"/>
      <c r="CP477" s="2365"/>
      <c r="CQ477" s="2365"/>
      <c r="CR477" s="2365"/>
      <c r="CS477" s="2365"/>
      <c r="CT477" s="2365"/>
      <c r="CU477" s="2366"/>
      <c r="CV477" s="421"/>
      <c r="CW477" s="421"/>
      <c r="CX477" s="20"/>
      <c r="CY477" s="20"/>
      <c r="CZ477" s="20"/>
      <c r="DA477" s="20"/>
      <c r="DB477" s="20"/>
      <c r="DC477" s="15"/>
      <c r="DD477" s="197"/>
      <c r="DE477" s="14"/>
      <c r="DF477" s="14"/>
      <c r="DG477" s="14"/>
      <c r="DH477" s="14"/>
      <c r="DI477" s="1596"/>
      <c r="DJ477" s="1169" t="s">
        <v>2752</v>
      </c>
      <c r="DK477" s="1599" t="s">
        <v>2751</v>
      </c>
      <c r="DL477" s="269" t="s">
        <v>2753</v>
      </c>
      <c r="DM477" s="281" t="s">
        <v>325</v>
      </c>
      <c r="DN477" s="261" t="s">
        <v>326</v>
      </c>
      <c r="DO477" s="261" t="s">
        <v>327</v>
      </c>
      <c r="DP477" s="262" t="s">
        <v>328</v>
      </c>
      <c r="DQ477" s="98" t="s">
        <v>825</v>
      </c>
      <c r="DR477" s="260" t="s">
        <v>718</v>
      </c>
      <c r="DS477" s="283" t="s">
        <v>717</v>
      </c>
      <c r="DT477" s="269" t="s">
        <v>710</v>
      </c>
      <c r="DU477" s="271" t="s">
        <v>881</v>
      </c>
      <c r="DV477" s="291" t="s">
        <v>873</v>
      </c>
      <c r="DW477" s="311" t="s">
        <v>660</v>
      </c>
      <c r="DX477" s="2405"/>
      <c r="DY477" s="2295"/>
      <c r="DZ477" s="2291"/>
      <c r="EA477" s="2373"/>
      <c r="EB477" s="139" t="s">
        <v>910</v>
      </c>
      <c r="EC477" s="132" t="s">
        <v>909</v>
      </c>
      <c r="ED477" s="132" t="s">
        <v>903</v>
      </c>
      <c r="EE477" s="119" t="s">
        <v>904</v>
      </c>
      <c r="EF477" s="120" t="s">
        <v>905</v>
      </c>
      <c r="EG477" s="118" t="s">
        <v>901</v>
      </c>
      <c r="EH477" s="119" t="s">
        <v>902</v>
      </c>
      <c r="EI477" s="132" t="s">
        <v>903</v>
      </c>
      <c r="EJ477" s="119" t="s">
        <v>904</v>
      </c>
      <c r="EK477" s="240" t="s">
        <v>905</v>
      </c>
      <c r="EL477" s="127" t="s">
        <v>336</v>
      </c>
      <c r="EM477" s="23" t="s">
        <v>658</v>
      </c>
      <c r="EN477" s="124" t="s">
        <v>659</v>
      </c>
      <c r="EO477" s="15"/>
      <c r="EP477" s="185"/>
      <c r="EQ477" s="185"/>
      <c r="ER477" s="185"/>
      <c r="ES477" s="181"/>
      <c r="ET477" s="15"/>
      <c r="EU477" s="181"/>
      <c r="EV477" s="181"/>
      <c r="EW477" s="181"/>
      <c r="EX477" s="181"/>
      <c r="EY477" s="182"/>
      <c r="EZ477" s="182"/>
      <c r="FA477" s="182"/>
      <c r="FB477" s="182"/>
      <c r="FC477" s="182"/>
      <c r="FD477" s="182"/>
      <c r="FE477" s="182"/>
      <c r="FF477" s="182"/>
      <c r="FG477" s="182"/>
      <c r="FH477" s="182"/>
      <c r="FI477" s="20"/>
      <c r="FJ477" s="20"/>
      <c r="FK477" s="2286"/>
      <c r="FL477" s="2287"/>
      <c r="FM477" s="2287"/>
      <c r="FN477" s="2287"/>
      <c r="FO477" s="2288"/>
      <c r="FQ477" s="139" t="s">
        <v>910</v>
      </c>
      <c r="FR477" s="132" t="s">
        <v>909</v>
      </c>
      <c r="FS477" s="132" t="s">
        <v>903</v>
      </c>
      <c r="FT477" s="119" t="s">
        <v>904</v>
      </c>
      <c r="FU477" s="216" t="s">
        <v>905</v>
      </c>
      <c r="FW477" s="667">
        <f t="shared" si="556"/>
        <v>0</v>
      </c>
      <c r="FX477" s="32"/>
      <c r="FY477" s="32"/>
      <c r="FZ477" s="668"/>
      <c r="GA477" s="14"/>
      <c r="GB477" s="32"/>
      <c r="GC477" s="32"/>
      <c r="GE477" s="672"/>
      <c r="GF477" s="672"/>
      <c r="GG477" s="672"/>
      <c r="GH477" s="672"/>
      <c r="GI477" s="672"/>
      <c r="GJ477" s="672"/>
      <c r="GK477" s="672"/>
      <c r="GL477" s="672"/>
      <c r="GM477" s="672"/>
      <c r="GN477" s="672"/>
      <c r="GO477" s="672"/>
      <c r="GP477" s="672"/>
      <c r="GQ477" s="672"/>
      <c r="GR477" s="672"/>
      <c r="GS477" s="672"/>
      <c r="GT477" s="672"/>
      <c r="GU477" s="672"/>
      <c r="GV477" s="672"/>
      <c r="GW477" s="32"/>
      <c r="GX477" s="32"/>
      <c r="GY477" s="32"/>
      <c r="HB477" s="672"/>
      <c r="HC477" s="672"/>
      <c r="HD477" s="672"/>
      <c r="HE477" s="672"/>
      <c r="HF477" s="672"/>
      <c r="HG477" s="672"/>
      <c r="HH477" s="672"/>
      <c r="HI477" s="672"/>
      <c r="HJ477" s="672"/>
      <c r="HK477" s="672"/>
      <c r="HL477" s="672"/>
      <c r="HM477" s="672"/>
      <c r="HN477" s="672"/>
      <c r="HO477" s="672"/>
      <c r="HP477" s="672"/>
      <c r="HQ477" s="672"/>
      <c r="HR477" s="672"/>
      <c r="HT477" s="1135"/>
      <c r="HU477" s="1135"/>
      <c r="HV477" s="1135"/>
      <c r="HW477" s="1135"/>
      <c r="HX477" s="1135"/>
    </row>
    <row r="478" spans="1:232" s="19" customFormat="1" ht="50.1" customHeight="1" x14ac:dyDescent="0.15">
      <c r="A478" s="1201"/>
      <c r="B478" s="1201"/>
      <c r="C478" s="1201"/>
      <c r="D478" s="1201"/>
      <c r="E478" s="1202"/>
      <c r="F478" s="652"/>
      <c r="G478" s="652"/>
      <c r="H478" s="652"/>
      <c r="I478" s="1354"/>
      <c r="J478" s="1234"/>
      <c r="K478" s="1261"/>
      <c r="L478" s="1261"/>
      <c r="M478" s="2143" t="s">
        <v>1216</v>
      </c>
      <c r="N478" s="2143"/>
      <c r="O478" s="2143"/>
      <c r="P478" s="2433" t="s">
        <v>183</v>
      </c>
      <c r="Q478" s="2433"/>
      <c r="R478" s="2429" t="s">
        <v>138</v>
      </c>
      <c r="S478" s="2429"/>
      <c r="T478" s="2429"/>
      <c r="U478" s="2438" t="s">
        <v>139</v>
      </c>
      <c r="V478" s="2438"/>
      <c r="W478" s="2438"/>
      <c r="X478" s="2438"/>
      <c r="Y478" s="2438"/>
      <c r="Z478" s="2438"/>
      <c r="AA478" s="2438"/>
      <c r="AB478" s="2438"/>
      <c r="AC478" s="2438"/>
      <c r="AD478" s="2438"/>
      <c r="AE478" s="2438"/>
      <c r="AF478" s="2302"/>
      <c r="AG478" s="2302"/>
      <c r="AH478" s="2302"/>
      <c r="AI478" s="2302"/>
      <c r="AJ478" s="2302"/>
      <c r="AK478" s="2302"/>
      <c r="AL478" s="2302"/>
      <c r="AM478" s="2302"/>
      <c r="AN478" s="2302"/>
      <c r="AO478" s="2302"/>
      <c r="AP478" s="2302"/>
      <c r="AQ478" s="2302"/>
      <c r="AR478" s="2272"/>
      <c r="AS478" s="2272"/>
      <c r="AT478" s="2406"/>
      <c r="AU478" s="2406"/>
      <c r="AV478" s="2406"/>
      <c r="AW478" s="2406"/>
      <c r="AX478" s="2406"/>
      <c r="AY478" s="2406"/>
      <c r="AZ478" s="2406"/>
      <c r="BA478" s="2406"/>
      <c r="BB478" s="2406"/>
      <c r="BC478" s="2406"/>
      <c r="BD478" s="2406"/>
      <c r="BE478" s="2406"/>
      <c r="BF478" s="2406"/>
      <c r="BG478" s="2406"/>
      <c r="BH478" s="2406"/>
      <c r="BI478" s="2406"/>
      <c r="BJ478" s="2406"/>
      <c r="BK478" s="2406"/>
      <c r="BL478" s="2406"/>
      <c r="BM478" s="2406"/>
      <c r="BN478" s="2406"/>
      <c r="BO478" s="2406"/>
      <c r="BP478" s="2406"/>
      <c r="BQ478" s="2406"/>
      <c r="BR478" s="2406"/>
      <c r="BS478" s="2271"/>
      <c r="BT478" s="2271"/>
      <c r="BU478" s="2271"/>
      <c r="BV478" s="2271"/>
      <c r="BW478" s="2271"/>
      <c r="BX478" s="2271"/>
      <c r="BY478" s="2271"/>
      <c r="BZ478" s="2272"/>
      <c r="CA478" s="2272"/>
      <c r="CB478" s="2377"/>
      <c r="CC478" s="2378"/>
      <c r="CD478" s="2378"/>
      <c r="CE478" s="2378"/>
      <c r="CF478" s="2378"/>
      <c r="CG478" s="2378"/>
      <c r="CH478" s="2378"/>
      <c r="CI478" s="2378"/>
      <c r="CJ478" s="2378"/>
      <c r="CK478" s="2378"/>
      <c r="CL478" s="2378"/>
      <c r="CM478" s="2378"/>
      <c r="CN478" s="2378"/>
      <c r="CO478" s="2378"/>
      <c r="CP478" s="2378"/>
      <c r="CQ478" s="2378"/>
      <c r="CR478" s="2378"/>
      <c r="CS478" s="2378"/>
      <c r="CT478" s="2378"/>
      <c r="CU478" s="2379"/>
      <c r="CV478" s="2300" t="str">
        <f t="shared" ref="CV478:CV486" si="568">IF(AND(DT478="要是正",DU478&lt;21),HYPERLINK("#"&amp;EL478&amp;"!"&amp;EM478&amp;":"&amp;EN478&amp;"","関連写真添付"),"")</f>
        <v/>
      </c>
      <c r="CW478" s="2300"/>
      <c r="CX478" s="2300"/>
      <c r="CY478" s="2300"/>
      <c r="CZ478" s="2300"/>
      <c r="DA478" s="2300"/>
      <c r="DC478" s="329" t="str">
        <f t="shared" ref="DC478:DC492" si="569">IF(AND(DU478&lt;&gt;"",DU478&gt;20),"「別途様式を作成、提出してください。」","")</f>
        <v/>
      </c>
      <c r="DD478" s="197"/>
      <c r="DF478" s="14"/>
      <c r="DG478" s="14"/>
      <c r="DH478" s="14"/>
      <c r="DI478" s="1596"/>
      <c r="DJ478" s="1170" t="s">
        <v>2749</v>
      </c>
      <c r="DK478" s="1604" t="str">
        <f t="shared" ref="DK478:DK491" si="570">IF(DS478=2,DATE(VLOOKUP(DJ478,$DU$6:$DV$9,2,FALSE)+BS478,BV478,1),"")</f>
        <v/>
      </c>
      <c r="DL478" s="437" t="str">
        <f t="shared" ref="DL478:DL491" si="571">IF(DS478=2,DJ478&amp;BS478&amp;"."&amp;BV478,"")</f>
        <v/>
      </c>
      <c r="DM478" s="1128">
        <f t="shared" ref="DM478:DM491" si="572">COUNTIFS(AF478,"―対象外")</f>
        <v>0</v>
      </c>
      <c r="DN478" s="22">
        <f t="shared" ref="DN478:DN491" si="573">COUNTIFS(AF478,"○指摘なし")</f>
        <v>0</v>
      </c>
      <c r="DO478" s="22">
        <f t="shared" ref="DO478:DO491" si="574">COUNTIFS(AF478,"×要是正（既存不適格以外）")</f>
        <v>0</v>
      </c>
      <c r="DP478" s="264">
        <f t="shared" ref="DP478:DP491" si="575">COUNTIFS(AF478,"△既存不適格")</f>
        <v>0</v>
      </c>
      <c r="DQ478" s="32" t="s">
        <v>811</v>
      </c>
      <c r="DR478" s="263" t="str">
        <f>IF($U478="",R478,U478)</f>
        <v>膜体及び取付部材の劣化及び損傷の状況</v>
      </c>
      <c r="DS478" s="23">
        <f t="shared" ref="DS478:DS491" si="576">COUNTA(BS478:BX478)</f>
        <v>0</v>
      </c>
      <c r="DT478" s="29" t="str">
        <f t="shared" ref="DT478:DT491" si="577">IF(AF478="×要是正（既存不適格以外）","要是正","")&amp;IF(AF478="△既存不適格","既存不適格","")</f>
        <v/>
      </c>
      <c r="DU478" s="242" t="str">
        <f t="shared" ref="DU478:DU491" si="578">IF(HV478="","",HV478)</f>
        <v/>
      </c>
      <c r="DV478" s="57" t="str">
        <f>IF($DT478="要是正",MAX($DV$474:DV475)+1,"")</f>
        <v/>
      </c>
      <c r="DW478" s="278" t="str">
        <f t="shared" ref="DW478:DW491" si="579">IF(OR(AF478="×要是正（既存不適格以外）",AF478="△既存不適格"),DQ478,"")</f>
        <v/>
      </c>
      <c r="DX478" s="30" t="str">
        <f t="shared" ref="DX478:DX491" si="580">IF(OR($DT478="要是正",$DT478="既存不適格"),$DR478,"")</f>
        <v/>
      </c>
      <c r="DY478" s="13" t="str">
        <f t="shared" ref="DY478:DY491" si="581">IF($DT478="要是正",IF(AT478="","",DQ478 &amp;" " &amp; AT478),"")</f>
        <v/>
      </c>
      <c r="DZ478" s="121" t="str">
        <f t="shared" ref="DZ478:DZ491" si="582">IF($DT478="要是正",IF(BD478="","",BD478),"")</f>
        <v/>
      </c>
      <c r="EA478" s="256" t="str">
        <f t="shared" ref="EA478:EA491" si="583">IF(BY478="未定","未定",IF(FR478="0","",IF(BY478="予定","("&amp;DL478&amp;")",IF(BY478="改善済",DL478,DL478))))</f>
        <v/>
      </c>
      <c r="EB478" s="138" t="str">
        <f t="shared" ref="EB478:EB491" si="584">IF(OR(DT478="要是正",DT478="既存不適格"),IF(OR(DS478&lt;2,BY478&lt;&gt;"予定"),"",DK478),"")</f>
        <v/>
      </c>
      <c r="EC478" s="131" t="str">
        <f t="shared" ref="EC478:EC491" si="585">IF(EB478="","0",EB478)</f>
        <v>0</v>
      </c>
      <c r="ED478" s="54" t="str">
        <f t="shared" ref="ED478:ED491" si="586">IF(DT478="要是正",IF(AND(BY478="予定",DS478=2),1,IF(BY478="改善済",2,"")),"")</f>
        <v/>
      </c>
      <c r="EE478" s="131" t="str">
        <f t="shared" ref="EE478" si="587">IF(ED478=1,EC478,"0")</f>
        <v>0</v>
      </c>
      <c r="EF478" s="37" t="str">
        <f t="shared" ref="EF478:EF491" si="588">IF(AND(DT478="要是正",AND(DS478=0,BY478="未定")),BY478,"")</f>
        <v/>
      </c>
      <c r="EG478" s="108" t="str">
        <f t="shared" ref="EG478:EG491" si="589">IF(DT478="既存不適格",IF(OR(DS478&lt;2,BY478&lt;&gt;"予定"),"",DK478),"")</f>
        <v/>
      </c>
      <c r="EH478" s="41" t="str">
        <f t="shared" ref="EH478:EH491" si="590">IF(EG478="","0",EG478)</f>
        <v>0</v>
      </c>
      <c r="EI478" s="54" t="str">
        <f t="shared" ref="EI478:EI491" si="591">IF(DT478="既存不適格",IF(AND(BY478="予定",DS478=2),1,IF(BY478="改善済",2,"")),"")</f>
        <v/>
      </c>
      <c r="EJ478" s="131" t="str">
        <f t="shared" ref="EJ478" si="592">IF(EI478=1,EH478,"0")</f>
        <v>0</v>
      </c>
      <c r="EK478" s="241" t="str">
        <f t="shared" ref="EK478:EK491" si="593">IF(AND(DT478="既存不適格",AND(DS478=0,BY478="未定")),BY478,"")</f>
        <v/>
      </c>
      <c r="EL478" s="242" t="e">
        <f t="shared" ref="EL478:EL486" si="594">VLOOKUP($DU478,$EO$318:$ER$346,2,FALSE)</f>
        <v>#N/A</v>
      </c>
      <c r="EM478" s="57" t="e">
        <f t="shared" ref="EM478:EM486" si="595">VLOOKUP($DU478,$EO$318:$ER$346,3,FALSE)</f>
        <v>#N/A</v>
      </c>
      <c r="EN478" s="243" t="e">
        <f t="shared" ref="EN478:EN486" si="596">VLOOKUP($DU478,$EO$318:$ER$346,4,FALSE)</f>
        <v>#N/A</v>
      </c>
      <c r="EO478" s="15"/>
      <c r="EP478" s="15"/>
      <c r="EQ478" s="15"/>
      <c r="ER478" s="15"/>
      <c r="ES478" s="15"/>
      <c r="ET478" s="15"/>
      <c r="EU478" s="15"/>
      <c r="EV478" s="15"/>
      <c r="EW478" s="15"/>
      <c r="EX478" s="15"/>
      <c r="EY478" s="15"/>
      <c r="EZ478" s="15"/>
      <c r="FA478" s="15"/>
      <c r="FB478" s="15"/>
      <c r="FC478" s="15"/>
      <c r="FD478" s="15"/>
      <c r="FE478" s="15"/>
      <c r="FF478" s="15"/>
      <c r="FG478" s="15"/>
      <c r="FH478" s="15"/>
      <c r="FK478" s="326" t="str">
        <f t="shared" ref="FK478:FK491" si="597">IF($AF478="○指摘なし","○",IF($AF478="―対象外","―",""))</f>
        <v/>
      </c>
      <c r="FL478" s="326" t="str">
        <f t="shared" ref="FL478:FL491" si="598">IF(OR($AF478="×要是正（既存不適格以外）",$AF478="△既存不適格"),"○",IF($AF478="―対象外","―",""))</f>
        <v/>
      </c>
      <c r="FM478" s="326" t="str">
        <f t="shared" ref="FM478:FM491" si="599">IF($AF478="△既存不適格","○",IF($AF478="―対象外","―",""))</f>
        <v/>
      </c>
      <c r="FN478" s="326">
        <f t="shared" ref="FN478:FN491" si="600">IF($AF478="―対象外","―",AR478)</f>
        <v>0</v>
      </c>
      <c r="FO478" s="670" t="str">
        <f t="shared" ref="FO478:FO491" si="601">IF($AF478="―対象外","○","")</f>
        <v/>
      </c>
      <c r="FQ478" s="138" t="str">
        <f t="shared" ref="FQ478:FQ491" si="602">IF(NOT(OR(BY478="未定",BY478="")),DK478,"")</f>
        <v/>
      </c>
      <c r="FR478" s="131" t="str">
        <f t="shared" ref="FR478:FR491" si="603">IF(FQ478="","0",FQ478)</f>
        <v>0</v>
      </c>
      <c r="FS478" s="54" t="str">
        <f t="shared" ref="FS478:FS491" si="604">IF(OR(BY478="予定",BY478="改善済"),1,"")</f>
        <v/>
      </c>
      <c r="FT478" s="131" t="str">
        <f t="shared" ref="FT478:FT486" si="605">IF(FS478=1,FR478,"0")</f>
        <v>0</v>
      </c>
      <c r="FU478" s="217" t="str">
        <f t="shared" ref="FU478:FU486" si="606">IF(AND(FM478="要是正",AND(FL478=0,DR478="未定")),DR478,"")</f>
        <v/>
      </c>
      <c r="FW478" s="667">
        <f t="shared" si="556"/>
        <v>0</v>
      </c>
      <c r="FX478" s="32"/>
      <c r="FY478" s="32"/>
      <c r="FZ478" s="668"/>
      <c r="GA478" s="14"/>
      <c r="GB478" s="658">
        <f t="shared" ref="GB478:GB491" si="607">IF(BY478="予定",1,0)</f>
        <v>0</v>
      </c>
      <c r="GC478" s="658">
        <f t="shared" ref="GC478:GC491" si="608">IF(BY478="改善済",1,0)</f>
        <v>0</v>
      </c>
      <c r="GD478" s="658">
        <f t="shared" ref="GD478:GD491" si="609">IF(BY478="未定",1,0)</f>
        <v>0</v>
      </c>
      <c r="GE478" s="658" t="str">
        <f t="shared" ref="GE478:GE491" si="610">IF(GE$318=$M478,$BY$520,"")</f>
        <v/>
      </c>
      <c r="GF478" s="658" t="str">
        <f t="shared" ref="GF478:GF491" si="611">IF(GF$318=$M478,$BY$521,"")</f>
        <v/>
      </c>
      <c r="GG478" s="658" t="str">
        <f t="shared" ref="GG478:GG491" si="612">IF(GG$318=$M478,$BY$522,"")</f>
        <v/>
      </c>
      <c r="GH478" s="658" t="str">
        <f t="shared" ref="GH478:GH491" si="613">IF(GH$318=$M478,$BY$523,"")</f>
        <v/>
      </c>
      <c r="GI478" s="658" t="str">
        <f t="shared" ref="GI478:GI491" si="614">IF(GI$318=$M478,$BY$524,"")</f>
        <v/>
      </c>
      <c r="GJ478" s="658" t="str">
        <f t="shared" ref="GJ478:GJ491" si="615">IF(GJ$318=$M478,$BY$525,"")</f>
        <v/>
      </c>
      <c r="GK478" s="658" t="str">
        <f t="shared" ref="GK478:GK491" si="616">IF(GK$318=$M478,$BY$526,"")</f>
        <v/>
      </c>
      <c r="GL478" s="658" t="str">
        <f t="shared" ref="GL478:GL491" si="617">IF(GL$318=$M478,$BY$527,"")</f>
        <v/>
      </c>
      <c r="GM478" s="658" t="str">
        <f t="shared" ref="GM478:GM491" si="618">IF(GM$318=$M478,$BY$528,"")</f>
        <v/>
      </c>
      <c r="GN478" s="658" t="str">
        <f t="shared" ref="GN478:GN491" si="619">IF(GN$318=$M478,$BY$529,"")</f>
        <v/>
      </c>
      <c r="GO478" s="658" t="str">
        <f t="shared" ref="GO478:GO491" si="620">IF(GO$318=$M478,$BY$530,"")</f>
        <v/>
      </c>
      <c r="GP478" s="658" t="str">
        <f t="shared" ref="GP478:GP491" si="621">IF(GP$318=$M478,$BY$531,"")</f>
        <v/>
      </c>
      <c r="GQ478" s="658" t="str">
        <f t="shared" ref="GQ478:GQ491" si="622">IF(GQ$318=$M478,$BY$532,"")</f>
        <v/>
      </c>
      <c r="GR478" s="658" t="str">
        <f t="shared" ref="GR478:GR491" si="623">IF(GR$318=$M478,$BY$533,"")</f>
        <v/>
      </c>
      <c r="GS478" s="658" t="str">
        <f t="shared" ref="GS478:GS491" si="624">IF(GS$318=$M478,$BY$534,"")</f>
        <v/>
      </c>
      <c r="GT478" s="658">
        <f t="shared" si="546"/>
        <v>0</v>
      </c>
      <c r="GU478" s="658">
        <f t="shared" si="547"/>
        <v>0</v>
      </c>
      <c r="GV478" s="658">
        <f t="shared" si="548"/>
        <v>0</v>
      </c>
      <c r="GW478" s="658" t="b">
        <f t="shared" si="549"/>
        <v>0</v>
      </c>
      <c r="GX478" s="658" t="b">
        <f t="shared" si="550"/>
        <v>0</v>
      </c>
      <c r="GY478" s="658" t="b">
        <f t="shared" si="551"/>
        <v>0</v>
      </c>
      <c r="GZ478" s="658" t="str">
        <f t="shared" si="557"/>
        <v/>
      </c>
      <c r="HB478" s="658" t="str">
        <f t="shared" si="552"/>
        <v/>
      </c>
      <c r="HC478" s="658" t="str">
        <f t="shared" ref="HC478:HC491" si="625">IF(HC$318=$M478,$FW$520&amp;", ","")</f>
        <v/>
      </c>
      <c r="HD478" s="658" t="str">
        <f t="shared" ref="HD478:HD491" si="626">IF(HD$318=$M478,$FW$521&amp;", ","")</f>
        <v/>
      </c>
      <c r="HE478" s="658" t="str">
        <f t="shared" ref="HE478:HE491" si="627">IF(HE$318=$M478,$FW$522&amp;", ","")</f>
        <v/>
      </c>
      <c r="HF478" s="658" t="str">
        <f t="shared" ref="HF478:HF491" si="628">IF(HF$318=$M478,$FW$523&amp;", ","")</f>
        <v/>
      </c>
      <c r="HG478" s="658" t="str">
        <f t="shared" ref="HG478:HG491" si="629">IF(HG$318=$M478,$FW$524&amp;", ","")</f>
        <v/>
      </c>
      <c r="HH478" s="658" t="str">
        <f t="shared" ref="HH478:HH491" si="630">IF(HH$318=$M478,$FW$525&amp;", ","")</f>
        <v/>
      </c>
      <c r="HI478" s="658" t="str">
        <f t="shared" ref="HI478:HI491" si="631">IF(HI$318=$M478,$FW$526&amp;", ","")</f>
        <v/>
      </c>
      <c r="HJ478" s="658" t="str">
        <f t="shared" ref="HJ478:HJ491" si="632">IF(HJ$318=$M478,$FW$527&amp;", ","")</f>
        <v/>
      </c>
      <c r="HK478" s="658" t="str">
        <f t="shared" ref="HK478:HK491" si="633">IF(HK$318=$M478,$FW$528&amp;", ","")</f>
        <v/>
      </c>
      <c r="HL478" s="658" t="str">
        <f t="shared" ref="HL478:HL491" si="634">IF(HL$318=$M478,$FW$529&amp;", ","")</f>
        <v/>
      </c>
      <c r="HM478" s="658" t="str">
        <f t="shared" ref="HM478:HM491" si="635">IF(HM$318=$M478,$FW$530&amp;", ","")</f>
        <v/>
      </c>
      <c r="HN478" s="658" t="str">
        <f t="shared" ref="HN478:HN491" si="636">IF(HN$318=$M478,$FW$531&amp;", ","")</f>
        <v/>
      </c>
      <c r="HO478" s="658" t="str">
        <f t="shared" ref="HO478:HO491" si="637">IF(HO$318=$M478,$FW$532&amp;", ","")</f>
        <v/>
      </c>
      <c r="HP478" s="658" t="str">
        <f t="shared" ref="HP478:HP491" si="638">IF(HP$318=$M478,$FW$533&amp;", ","")</f>
        <v/>
      </c>
      <c r="HQ478" s="658" t="str">
        <f t="shared" ref="HQ478:HQ491" si="639">IF(HQ$318=$M478,$FW$534&amp;", ","")</f>
        <v/>
      </c>
      <c r="HR478" s="658" t="str">
        <f t="shared" si="553"/>
        <v/>
      </c>
      <c r="HT478" s="658">
        <f>LEFT(M478,1)*10000+MID(M478,3,LEN(M478)-3)*100+COUNTIF($M$319:M478,M478)</f>
        <v>60101</v>
      </c>
      <c r="HU478" s="658" t="str">
        <f t="shared" si="554"/>
        <v/>
      </c>
      <c r="HV478" s="658" t="str">
        <f t="shared" ref="HV478:HV491" si="640">IF(HU478="","",RANK(HU478,HU$319:HU$534,1))</f>
        <v/>
      </c>
      <c r="HW478" s="658" t="str">
        <f t="shared" si="555"/>
        <v/>
      </c>
      <c r="HX478" s="658" t="str">
        <f t="shared" ref="HX478:HX491" si="641">IF(HW478="","",RANK(HW478,HW$319:HW$534,1))</f>
        <v/>
      </c>
    </row>
    <row r="479" spans="1:232" s="19" customFormat="1" ht="50.1" customHeight="1" x14ac:dyDescent="0.15">
      <c r="A479" s="1201"/>
      <c r="B479" s="1201"/>
      <c r="C479" s="1201"/>
      <c r="D479" s="1201"/>
      <c r="E479" s="1202"/>
      <c r="F479" s="652"/>
      <c r="G479" s="652"/>
      <c r="H479" s="652"/>
      <c r="I479" s="1354"/>
      <c r="J479" s="1234"/>
      <c r="K479" s="1261"/>
      <c r="L479" s="1261"/>
      <c r="M479" s="2143" t="s">
        <v>1217</v>
      </c>
      <c r="N479" s="2143"/>
      <c r="O479" s="2143"/>
      <c r="P479" s="2433"/>
      <c r="Q479" s="2433"/>
      <c r="R479" s="2429"/>
      <c r="S479" s="2429"/>
      <c r="T479" s="2429"/>
      <c r="U479" s="2431" t="s">
        <v>184</v>
      </c>
      <c r="V479" s="2431"/>
      <c r="W479" s="2431"/>
      <c r="X479" s="2431"/>
      <c r="Y479" s="2431"/>
      <c r="Z479" s="2431"/>
      <c r="AA479" s="2431"/>
      <c r="AB479" s="2431"/>
      <c r="AC479" s="2431"/>
      <c r="AD479" s="2431"/>
      <c r="AE479" s="2431"/>
      <c r="AF479" s="2303"/>
      <c r="AG479" s="2303"/>
      <c r="AH479" s="2303"/>
      <c r="AI479" s="2303"/>
      <c r="AJ479" s="2303"/>
      <c r="AK479" s="2303"/>
      <c r="AL479" s="2303"/>
      <c r="AM479" s="2303"/>
      <c r="AN479" s="2303"/>
      <c r="AO479" s="2303"/>
      <c r="AP479" s="2303"/>
      <c r="AQ479" s="2303"/>
      <c r="AR479" s="2297"/>
      <c r="AS479" s="2297"/>
      <c r="AT479" s="2135"/>
      <c r="AU479" s="2135"/>
      <c r="AV479" s="2135"/>
      <c r="AW479" s="2135"/>
      <c r="AX479" s="2135"/>
      <c r="AY479" s="2135"/>
      <c r="AZ479" s="2135"/>
      <c r="BA479" s="2135"/>
      <c r="BB479" s="2135"/>
      <c r="BC479" s="2135"/>
      <c r="BD479" s="2135"/>
      <c r="BE479" s="2135"/>
      <c r="BF479" s="2135"/>
      <c r="BG479" s="2135"/>
      <c r="BH479" s="2135"/>
      <c r="BI479" s="2135"/>
      <c r="BJ479" s="2135"/>
      <c r="BK479" s="2135"/>
      <c r="BL479" s="2135"/>
      <c r="BM479" s="2135"/>
      <c r="BN479" s="2135"/>
      <c r="BO479" s="2135"/>
      <c r="BP479" s="2135"/>
      <c r="BQ479" s="2135"/>
      <c r="BR479" s="2135"/>
      <c r="BS479" s="2354"/>
      <c r="BT479" s="2354"/>
      <c r="BU479" s="2354"/>
      <c r="BV479" s="2354"/>
      <c r="BW479" s="2354"/>
      <c r="BX479" s="2354"/>
      <c r="BY479" s="2354"/>
      <c r="BZ479" s="2297"/>
      <c r="CA479" s="2297"/>
      <c r="CB479" s="2319"/>
      <c r="CC479" s="2320"/>
      <c r="CD479" s="2320"/>
      <c r="CE479" s="2320"/>
      <c r="CF479" s="2320"/>
      <c r="CG479" s="2320"/>
      <c r="CH479" s="2320"/>
      <c r="CI479" s="2320"/>
      <c r="CJ479" s="2320"/>
      <c r="CK479" s="2320"/>
      <c r="CL479" s="2320"/>
      <c r="CM479" s="2320"/>
      <c r="CN479" s="2320"/>
      <c r="CO479" s="2320"/>
      <c r="CP479" s="2320"/>
      <c r="CQ479" s="2320"/>
      <c r="CR479" s="2320"/>
      <c r="CS479" s="2320"/>
      <c r="CT479" s="2320"/>
      <c r="CU479" s="2321"/>
      <c r="CV479" s="2300" t="str">
        <f t="shared" si="568"/>
        <v/>
      </c>
      <c r="CW479" s="2300"/>
      <c r="CX479" s="2300"/>
      <c r="CY479" s="2300"/>
      <c r="CZ479" s="2300"/>
      <c r="DA479" s="2300"/>
      <c r="DC479" s="329" t="str">
        <f t="shared" si="569"/>
        <v/>
      </c>
      <c r="DD479" s="197"/>
      <c r="DF479" s="14"/>
      <c r="DG479" s="14"/>
      <c r="DH479" s="14"/>
      <c r="DI479" s="1596"/>
      <c r="DJ479" s="1170" t="s">
        <v>2749</v>
      </c>
      <c r="DK479" s="1604" t="str">
        <f t="shared" si="570"/>
        <v/>
      </c>
      <c r="DL479" s="437" t="str">
        <f t="shared" si="571"/>
        <v/>
      </c>
      <c r="DM479" s="1128">
        <f t="shared" si="572"/>
        <v>0</v>
      </c>
      <c r="DN479" s="22">
        <f t="shared" si="573"/>
        <v>0</v>
      </c>
      <c r="DO479" s="22">
        <f t="shared" si="574"/>
        <v>0</v>
      </c>
      <c r="DP479" s="264">
        <f t="shared" si="575"/>
        <v>0</v>
      </c>
      <c r="DQ479" s="32" t="s">
        <v>812</v>
      </c>
      <c r="DR479" s="263" t="str">
        <f>IF($U479="",R478,U479)</f>
        <v>膜張力及びケーブル張力の状況</v>
      </c>
      <c r="DS479" s="23">
        <f t="shared" si="576"/>
        <v>0</v>
      </c>
      <c r="DT479" s="29" t="str">
        <f t="shared" si="577"/>
        <v/>
      </c>
      <c r="DU479" s="242" t="str">
        <f t="shared" si="578"/>
        <v/>
      </c>
      <c r="DV479" s="57" t="str">
        <f>IF($DT479="要是正",MAX($DV$474:DV478)+1,"")</f>
        <v/>
      </c>
      <c r="DW479" s="12" t="str">
        <f t="shared" si="579"/>
        <v/>
      </c>
      <c r="DX479" s="30" t="str">
        <f t="shared" si="580"/>
        <v/>
      </c>
      <c r="DY479" s="13" t="str">
        <f t="shared" si="581"/>
        <v/>
      </c>
      <c r="DZ479" s="121" t="str">
        <f t="shared" si="582"/>
        <v/>
      </c>
      <c r="EA479" s="256" t="str">
        <f t="shared" si="583"/>
        <v/>
      </c>
      <c r="EB479" s="138" t="str">
        <f t="shared" si="584"/>
        <v/>
      </c>
      <c r="EC479" s="131" t="str">
        <f t="shared" si="585"/>
        <v>0</v>
      </c>
      <c r="ED479" s="54" t="str">
        <f t="shared" si="586"/>
        <v/>
      </c>
      <c r="EE479" s="131" t="str">
        <f t="shared" ref="EE479:EE486" si="642">IF(ED479=1,EC479,"0")</f>
        <v>0</v>
      </c>
      <c r="EF479" s="37" t="str">
        <f t="shared" si="588"/>
        <v/>
      </c>
      <c r="EG479" s="108" t="str">
        <f t="shared" si="589"/>
        <v/>
      </c>
      <c r="EH479" s="41" t="str">
        <f t="shared" si="590"/>
        <v>0</v>
      </c>
      <c r="EI479" s="54" t="str">
        <f t="shared" si="591"/>
        <v/>
      </c>
      <c r="EJ479" s="131" t="str">
        <f t="shared" ref="EJ479:EJ486" si="643">IF(EI479=1,EH479,"0")</f>
        <v>0</v>
      </c>
      <c r="EK479" s="241" t="str">
        <f t="shared" si="593"/>
        <v/>
      </c>
      <c r="EL479" s="242" t="e">
        <f t="shared" si="594"/>
        <v>#N/A</v>
      </c>
      <c r="EM479" s="57" t="e">
        <f t="shared" si="595"/>
        <v>#N/A</v>
      </c>
      <c r="EN479" s="243" t="e">
        <f t="shared" si="596"/>
        <v>#N/A</v>
      </c>
      <c r="EO479" s="15"/>
      <c r="EP479" s="15"/>
      <c r="EQ479" s="15"/>
      <c r="ER479" s="15"/>
      <c r="ES479" s="15"/>
      <c r="ET479" s="15"/>
      <c r="EU479" s="15"/>
      <c r="EV479" s="15"/>
      <c r="EW479" s="15"/>
      <c r="EX479" s="15"/>
      <c r="EY479" s="15"/>
      <c r="EZ479" s="15"/>
      <c r="FA479" s="15"/>
      <c r="FB479" s="15"/>
      <c r="FC479" s="15"/>
      <c r="FD479" s="15"/>
      <c r="FE479" s="15"/>
      <c r="FF479" s="15"/>
      <c r="FG479" s="15"/>
      <c r="FH479" s="15"/>
      <c r="FK479" s="326" t="str">
        <f t="shared" si="597"/>
        <v/>
      </c>
      <c r="FL479" s="326" t="str">
        <f t="shared" si="598"/>
        <v/>
      </c>
      <c r="FM479" s="326" t="str">
        <f t="shared" si="599"/>
        <v/>
      </c>
      <c r="FN479" s="326">
        <f t="shared" si="600"/>
        <v>0</v>
      </c>
      <c r="FO479" s="670" t="str">
        <f t="shared" si="601"/>
        <v/>
      </c>
      <c r="FQ479" s="138" t="str">
        <f t="shared" si="602"/>
        <v/>
      </c>
      <c r="FR479" s="131" t="str">
        <f t="shared" si="603"/>
        <v>0</v>
      </c>
      <c r="FS479" s="54" t="str">
        <f t="shared" si="604"/>
        <v/>
      </c>
      <c r="FT479" s="131" t="str">
        <f t="shared" si="605"/>
        <v>0</v>
      </c>
      <c r="FU479" s="217" t="str">
        <f t="shared" si="606"/>
        <v/>
      </c>
      <c r="FW479" s="667">
        <f t="shared" ref="FW479:FW492" si="644">IF(AF479="△既存不適格",AT479&amp;"(既存不適格)",AT479)</f>
        <v>0</v>
      </c>
      <c r="FX479" s="32"/>
      <c r="FY479" s="32"/>
      <c r="FZ479" s="668"/>
      <c r="GA479" s="14"/>
      <c r="GB479" s="658">
        <f t="shared" si="607"/>
        <v>0</v>
      </c>
      <c r="GC479" s="658">
        <f t="shared" si="608"/>
        <v>0</v>
      </c>
      <c r="GD479" s="658">
        <f t="shared" si="609"/>
        <v>0</v>
      </c>
      <c r="GE479" s="658" t="str">
        <f t="shared" si="610"/>
        <v/>
      </c>
      <c r="GF479" s="658" t="str">
        <f t="shared" si="611"/>
        <v/>
      </c>
      <c r="GG479" s="658" t="str">
        <f t="shared" si="612"/>
        <v/>
      </c>
      <c r="GH479" s="658" t="str">
        <f t="shared" si="613"/>
        <v/>
      </c>
      <c r="GI479" s="658" t="str">
        <f t="shared" si="614"/>
        <v/>
      </c>
      <c r="GJ479" s="658" t="str">
        <f t="shared" si="615"/>
        <v/>
      </c>
      <c r="GK479" s="658" t="str">
        <f t="shared" si="616"/>
        <v/>
      </c>
      <c r="GL479" s="658" t="str">
        <f t="shared" si="617"/>
        <v/>
      </c>
      <c r="GM479" s="658" t="str">
        <f t="shared" si="618"/>
        <v/>
      </c>
      <c r="GN479" s="658" t="str">
        <f t="shared" si="619"/>
        <v/>
      </c>
      <c r="GO479" s="658" t="str">
        <f t="shared" si="620"/>
        <v/>
      </c>
      <c r="GP479" s="658" t="str">
        <f t="shared" si="621"/>
        <v/>
      </c>
      <c r="GQ479" s="658" t="str">
        <f t="shared" si="622"/>
        <v/>
      </c>
      <c r="GR479" s="658" t="str">
        <f t="shared" si="623"/>
        <v/>
      </c>
      <c r="GS479" s="658" t="str">
        <f t="shared" si="624"/>
        <v/>
      </c>
      <c r="GT479" s="658">
        <f t="shared" si="546"/>
        <v>0</v>
      </c>
      <c r="GU479" s="658">
        <f t="shared" si="547"/>
        <v>0</v>
      </c>
      <c r="GV479" s="658">
        <f t="shared" si="548"/>
        <v>0</v>
      </c>
      <c r="GW479" s="658" t="b">
        <f t="shared" si="549"/>
        <v>0</v>
      </c>
      <c r="GX479" s="658" t="b">
        <f t="shared" si="550"/>
        <v>0</v>
      </c>
      <c r="GY479" s="658" t="b">
        <f t="shared" si="551"/>
        <v>0</v>
      </c>
      <c r="GZ479" s="658" t="str">
        <f t="shared" si="557"/>
        <v/>
      </c>
      <c r="HB479" s="658" t="str">
        <f t="shared" si="552"/>
        <v/>
      </c>
      <c r="HC479" s="658" t="str">
        <f t="shared" si="625"/>
        <v/>
      </c>
      <c r="HD479" s="658" t="str">
        <f t="shared" si="626"/>
        <v/>
      </c>
      <c r="HE479" s="658" t="str">
        <f t="shared" si="627"/>
        <v/>
      </c>
      <c r="HF479" s="658" t="str">
        <f t="shared" si="628"/>
        <v/>
      </c>
      <c r="HG479" s="658" t="str">
        <f t="shared" si="629"/>
        <v/>
      </c>
      <c r="HH479" s="658" t="str">
        <f t="shared" si="630"/>
        <v/>
      </c>
      <c r="HI479" s="658" t="str">
        <f t="shared" si="631"/>
        <v/>
      </c>
      <c r="HJ479" s="658" t="str">
        <f t="shared" si="632"/>
        <v/>
      </c>
      <c r="HK479" s="658" t="str">
        <f t="shared" si="633"/>
        <v/>
      </c>
      <c r="HL479" s="658" t="str">
        <f t="shared" si="634"/>
        <v/>
      </c>
      <c r="HM479" s="658" t="str">
        <f t="shared" si="635"/>
        <v/>
      </c>
      <c r="HN479" s="658" t="str">
        <f t="shared" si="636"/>
        <v/>
      </c>
      <c r="HO479" s="658" t="str">
        <f t="shared" si="637"/>
        <v/>
      </c>
      <c r="HP479" s="658" t="str">
        <f t="shared" si="638"/>
        <v/>
      </c>
      <c r="HQ479" s="658" t="str">
        <f t="shared" si="639"/>
        <v/>
      </c>
      <c r="HR479" s="658" t="str">
        <f t="shared" si="553"/>
        <v/>
      </c>
      <c r="HT479" s="658">
        <f>LEFT(M479,1)*10000+MID(M479,3,LEN(M479)-3)*100+COUNTIF($M$319:M479,M479)</f>
        <v>60201</v>
      </c>
      <c r="HU479" s="658" t="str">
        <f t="shared" si="554"/>
        <v/>
      </c>
      <c r="HV479" s="658" t="str">
        <f t="shared" si="640"/>
        <v/>
      </c>
      <c r="HW479" s="658" t="str">
        <f t="shared" si="555"/>
        <v/>
      </c>
      <c r="HX479" s="658" t="str">
        <f t="shared" si="641"/>
        <v/>
      </c>
    </row>
    <row r="480" spans="1:232" s="19" customFormat="1" ht="50.1" customHeight="1" x14ac:dyDescent="0.15">
      <c r="A480" s="1201"/>
      <c r="B480" s="1201"/>
      <c r="C480" s="1201"/>
      <c r="D480" s="1201"/>
      <c r="E480" s="1202"/>
      <c r="F480" s="652"/>
      <c r="G480" s="652"/>
      <c r="H480" s="652"/>
      <c r="I480" s="1354"/>
      <c r="J480" s="1234"/>
      <c r="K480" s="1261"/>
      <c r="L480" s="1261"/>
      <c r="M480" s="2143" t="s">
        <v>1218</v>
      </c>
      <c r="N480" s="2143"/>
      <c r="O480" s="2143"/>
      <c r="P480" s="2433"/>
      <c r="Q480" s="2433"/>
      <c r="R480" s="2429" t="s">
        <v>185</v>
      </c>
      <c r="S480" s="2429"/>
      <c r="T480" s="2429"/>
      <c r="U480" s="2438" t="s">
        <v>140</v>
      </c>
      <c r="V480" s="2438"/>
      <c r="W480" s="2438"/>
      <c r="X480" s="2438"/>
      <c r="Y480" s="2438"/>
      <c r="Z480" s="2438"/>
      <c r="AA480" s="2438"/>
      <c r="AB480" s="2438"/>
      <c r="AC480" s="2438"/>
      <c r="AD480" s="2438"/>
      <c r="AE480" s="2438"/>
      <c r="AF480" s="2302"/>
      <c r="AG480" s="2302"/>
      <c r="AH480" s="2302"/>
      <c r="AI480" s="2302"/>
      <c r="AJ480" s="2302"/>
      <c r="AK480" s="2302"/>
      <c r="AL480" s="2302"/>
      <c r="AM480" s="2302"/>
      <c r="AN480" s="2302"/>
      <c r="AO480" s="2302"/>
      <c r="AP480" s="2302"/>
      <c r="AQ480" s="2302"/>
      <c r="AR480" s="2272"/>
      <c r="AS480" s="2272"/>
      <c r="AT480" s="2406"/>
      <c r="AU480" s="2406"/>
      <c r="AV480" s="2406"/>
      <c r="AW480" s="2406"/>
      <c r="AX480" s="2406"/>
      <c r="AY480" s="2406"/>
      <c r="AZ480" s="2406"/>
      <c r="BA480" s="2406"/>
      <c r="BB480" s="2406"/>
      <c r="BC480" s="2406"/>
      <c r="BD480" s="2406"/>
      <c r="BE480" s="2406"/>
      <c r="BF480" s="2406"/>
      <c r="BG480" s="2406"/>
      <c r="BH480" s="2406"/>
      <c r="BI480" s="2406"/>
      <c r="BJ480" s="2406"/>
      <c r="BK480" s="2406"/>
      <c r="BL480" s="2406"/>
      <c r="BM480" s="2406"/>
      <c r="BN480" s="2406"/>
      <c r="BO480" s="2406"/>
      <c r="BP480" s="2406"/>
      <c r="BQ480" s="2406"/>
      <c r="BR480" s="2406"/>
      <c r="BS480" s="2271"/>
      <c r="BT480" s="2271"/>
      <c r="BU480" s="2271"/>
      <c r="BV480" s="2271"/>
      <c r="BW480" s="2271"/>
      <c r="BX480" s="2271"/>
      <c r="BY480" s="2271"/>
      <c r="BZ480" s="2272"/>
      <c r="CA480" s="2272"/>
      <c r="CB480" s="2377"/>
      <c r="CC480" s="2378"/>
      <c r="CD480" s="2378"/>
      <c r="CE480" s="2378"/>
      <c r="CF480" s="2378"/>
      <c r="CG480" s="2378"/>
      <c r="CH480" s="2378"/>
      <c r="CI480" s="2378"/>
      <c r="CJ480" s="2378"/>
      <c r="CK480" s="2378"/>
      <c r="CL480" s="2378"/>
      <c r="CM480" s="2378"/>
      <c r="CN480" s="2378"/>
      <c r="CO480" s="2378"/>
      <c r="CP480" s="2378"/>
      <c r="CQ480" s="2378"/>
      <c r="CR480" s="2378"/>
      <c r="CS480" s="2378"/>
      <c r="CT480" s="2378"/>
      <c r="CU480" s="2379"/>
      <c r="CV480" s="2300" t="str">
        <f t="shared" si="568"/>
        <v/>
      </c>
      <c r="CW480" s="2300"/>
      <c r="CX480" s="2300"/>
      <c r="CY480" s="2300"/>
      <c r="CZ480" s="2300"/>
      <c r="DA480" s="2300"/>
      <c r="DC480" s="329" t="str">
        <f t="shared" si="569"/>
        <v/>
      </c>
      <c r="DD480" s="197"/>
      <c r="DF480" s="14"/>
      <c r="DG480" s="14"/>
      <c r="DH480" s="14"/>
      <c r="DI480" s="1596"/>
      <c r="DJ480" s="1170" t="s">
        <v>2749</v>
      </c>
      <c r="DK480" s="1604" t="str">
        <f t="shared" si="570"/>
        <v/>
      </c>
      <c r="DL480" s="437" t="str">
        <f t="shared" si="571"/>
        <v/>
      </c>
      <c r="DM480" s="1128">
        <f t="shared" si="572"/>
        <v>0</v>
      </c>
      <c r="DN480" s="22">
        <f t="shared" si="573"/>
        <v>0</v>
      </c>
      <c r="DO480" s="22">
        <f t="shared" si="574"/>
        <v>0</v>
      </c>
      <c r="DP480" s="264">
        <f t="shared" si="575"/>
        <v>0</v>
      </c>
      <c r="DQ480" s="32" t="s">
        <v>813</v>
      </c>
      <c r="DR480" s="263" t="str">
        <f>IF($U480="",R480,U480)</f>
        <v>免震装置の劣化及び損傷の状況（免震装置が可視状態にある場合に限る。）</v>
      </c>
      <c r="DS480" s="23">
        <f t="shared" si="576"/>
        <v>0</v>
      </c>
      <c r="DT480" s="29" t="str">
        <f t="shared" si="577"/>
        <v/>
      </c>
      <c r="DU480" s="242" t="str">
        <f t="shared" si="578"/>
        <v/>
      </c>
      <c r="DV480" s="57" t="str">
        <f>IF($DT480="要是正",MAX($DV$474:DV479)+1,"")</f>
        <v/>
      </c>
      <c r="DW480" s="12" t="str">
        <f t="shared" si="579"/>
        <v/>
      </c>
      <c r="DX480" s="30" t="str">
        <f t="shared" si="580"/>
        <v/>
      </c>
      <c r="DY480" s="13" t="str">
        <f t="shared" si="581"/>
        <v/>
      </c>
      <c r="DZ480" s="121" t="str">
        <f t="shared" si="582"/>
        <v/>
      </c>
      <c r="EA480" s="256" t="str">
        <f t="shared" si="583"/>
        <v/>
      </c>
      <c r="EB480" s="138" t="str">
        <f t="shared" si="584"/>
        <v/>
      </c>
      <c r="EC480" s="131" t="str">
        <f t="shared" si="585"/>
        <v>0</v>
      </c>
      <c r="ED480" s="54" t="str">
        <f t="shared" si="586"/>
        <v/>
      </c>
      <c r="EE480" s="131" t="str">
        <f t="shared" si="642"/>
        <v>0</v>
      </c>
      <c r="EF480" s="37" t="str">
        <f t="shared" si="588"/>
        <v/>
      </c>
      <c r="EG480" s="108" t="str">
        <f t="shared" si="589"/>
        <v/>
      </c>
      <c r="EH480" s="41" t="str">
        <f t="shared" si="590"/>
        <v>0</v>
      </c>
      <c r="EI480" s="54" t="str">
        <f t="shared" si="591"/>
        <v/>
      </c>
      <c r="EJ480" s="131" t="str">
        <f t="shared" si="643"/>
        <v>0</v>
      </c>
      <c r="EK480" s="241" t="str">
        <f t="shared" si="593"/>
        <v/>
      </c>
      <c r="EL480" s="242" t="e">
        <f t="shared" si="594"/>
        <v>#N/A</v>
      </c>
      <c r="EM480" s="57" t="e">
        <f t="shared" si="595"/>
        <v>#N/A</v>
      </c>
      <c r="EN480" s="243" t="e">
        <f t="shared" si="596"/>
        <v>#N/A</v>
      </c>
      <c r="FK480" s="326" t="str">
        <f t="shared" si="597"/>
        <v/>
      </c>
      <c r="FL480" s="326" t="str">
        <f t="shared" si="598"/>
        <v/>
      </c>
      <c r="FM480" s="326" t="str">
        <f t="shared" si="599"/>
        <v/>
      </c>
      <c r="FN480" s="326">
        <f t="shared" si="600"/>
        <v>0</v>
      </c>
      <c r="FO480" s="670" t="str">
        <f t="shared" si="601"/>
        <v/>
      </c>
      <c r="FQ480" s="138" t="str">
        <f t="shared" si="602"/>
        <v/>
      </c>
      <c r="FR480" s="131" t="str">
        <f t="shared" si="603"/>
        <v>0</v>
      </c>
      <c r="FS480" s="54" t="str">
        <f t="shared" si="604"/>
        <v/>
      </c>
      <c r="FT480" s="131" t="str">
        <f t="shared" si="605"/>
        <v>0</v>
      </c>
      <c r="FU480" s="217" t="str">
        <f t="shared" si="606"/>
        <v/>
      </c>
      <c r="FW480" s="667">
        <f t="shared" si="644"/>
        <v>0</v>
      </c>
      <c r="FX480" s="32"/>
      <c r="FY480" s="32"/>
      <c r="FZ480" s="668"/>
      <c r="GA480" s="14"/>
      <c r="GB480" s="658">
        <f t="shared" si="607"/>
        <v>0</v>
      </c>
      <c r="GC480" s="658">
        <f t="shared" si="608"/>
        <v>0</v>
      </c>
      <c r="GD480" s="658">
        <f t="shared" si="609"/>
        <v>0</v>
      </c>
      <c r="GE480" s="658" t="str">
        <f t="shared" si="610"/>
        <v/>
      </c>
      <c r="GF480" s="658" t="str">
        <f t="shared" si="611"/>
        <v/>
      </c>
      <c r="GG480" s="658" t="str">
        <f t="shared" si="612"/>
        <v/>
      </c>
      <c r="GH480" s="658" t="str">
        <f t="shared" si="613"/>
        <v/>
      </c>
      <c r="GI480" s="658" t="str">
        <f t="shared" si="614"/>
        <v/>
      </c>
      <c r="GJ480" s="658" t="str">
        <f t="shared" si="615"/>
        <v/>
      </c>
      <c r="GK480" s="658" t="str">
        <f t="shared" si="616"/>
        <v/>
      </c>
      <c r="GL480" s="658" t="str">
        <f t="shared" si="617"/>
        <v/>
      </c>
      <c r="GM480" s="658" t="str">
        <f t="shared" si="618"/>
        <v/>
      </c>
      <c r="GN480" s="658" t="str">
        <f t="shared" si="619"/>
        <v/>
      </c>
      <c r="GO480" s="658" t="str">
        <f t="shared" si="620"/>
        <v/>
      </c>
      <c r="GP480" s="658" t="str">
        <f t="shared" si="621"/>
        <v/>
      </c>
      <c r="GQ480" s="658" t="str">
        <f t="shared" si="622"/>
        <v/>
      </c>
      <c r="GR480" s="658" t="str">
        <f t="shared" si="623"/>
        <v/>
      </c>
      <c r="GS480" s="658" t="str">
        <f t="shared" si="624"/>
        <v/>
      </c>
      <c r="GT480" s="658">
        <f t="shared" si="546"/>
        <v>0</v>
      </c>
      <c r="GU480" s="658">
        <f t="shared" si="547"/>
        <v>0</v>
      </c>
      <c r="GV480" s="658">
        <f t="shared" si="548"/>
        <v>0</v>
      </c>
      <c r="GW480" s="658" t="b">
        <f t="shared" si="549"/>
        <v>0</v>
      </c>
      <c r="GX480" s="658" t="b">
        <f t="shared" si="550"/>
        <v>0</v>
      </c>
      <c r="GY480" s="658" t="b">
        <f t="shared" si="551"/>
        <v>0</v>
      </c>
      <c r="GZ480" s="658" t="str">
        <f t="shared" si="557"/>
        <v/>
      </c>
      <c r="HB480" s="658" t="str">
        <f t="shared" si="552"/>
        <v/>
      </c>
      <c r="HC480" s="658" t="str">
        <f t="shared" si="625"/>
        <v/>
      </c>
      <c r="HD480" s="658" t="str">
        <f t="shared" si="626"/>
        <v/>
      </c>
      <c r="HE480" s="658" t="str">
        <f t="shared" si="627"/>
        <v/>
      </c>
      <c r="HF480" s="658" t="str">
        <f t="shared" si="628"/>
        <v/>
      </c>
      <c r="HG480" s="658" t="str">
        <f t="shared" si="629"/>
        <v/>
      </c>
      <c r="HH480" s="658" t="str">
        <f t="shared" si="630"/>
        <v/>
      </c>
      <c r="HI480" s="658" t="str">
        <f t="shared" si="631"/>
        <v/>
      </c>
      <c r="HJ480" s="658" t="str">
        <f t="shared" si="632"/>
        <v/>
      </c>
      <c r="HK480" s="658" t="str">
        <f t="shared" si="633"/>
        <v/>
      </c>
      <c r="HL480" s="658" t="str">
        <f t="shared" si="634"/>
        <v/>
      </c>
      <c r="HM480" s="658" t="str">
        <f t="shared" si="635"/>
        <v/>
      </c>
      <c r="HN480" s="658" t="str">
        <f t="shared" si="636"/>
        <v/>
      </c>
      <c r="HO480" s="658" t="str">
        <f t="shared" si="637"/>
        <v/>
      </c>
      <c r="HP480" s="658" t="str">
        <f t="shared" si="638"/>
        <v/>
      </c>
      <c r="HQ480" s="658" t="str">
        <f t="shared" si="639"/>
        <v/>
      </c>
      <c r="HR480" s="658" t="str">
        <f t="shared" si="553"/>
        <v/>
      </c>
      <c r="HT480" s="658">
        <f>LEFT(M480,1)*10000+MID(M480,3,LEN(M480)-3)*100+COUNTIF($M$319:M480,M480)</f>
        <v>60301</v>
      </c>
      <c r="HU480" s="658" t="str">
        <f t="shared" si="554"/>
        <v/>
      </c>
      <c r="HV480" s="658" t="str">
        <f t="shared" si="640"/>
        <v/>
      </c>
      <c r="HW480" s="658" t="str">
        <f t="shared" si="555"/>
        <v/>
      </c>
      <c r="HX480" s="658" t="str">
        <f t="shared" si="641"/>
        <v/>
      </c>
    </row>
    <row r="481" spans="1:232" s="19" customFormat="1" ht="50.1" customHeight="1" x14ac:dyDescent="0.15">
      <c r="A481" s="1201"/>
      <c r="B481" s="1201"/>
      <c r="C481" s="1201"/>
      <c r="D481" s="1201"/>
      <c r="E481" s="1202"/>
      <c r="F481" s="652"/>
      <c r="G481" s="652"/>
      <c r="H481" s="652"/>
      <c r="I481" s="1354"/>
      <c r="J481" s="1234"/>
      <c r="K481" s="1261"/>
      <c r="L481" s="1261"/>
      <c r="M481" s="2143" t="s">
        <v>1219</v>
      </c>
      <c r="N481" s="2143"/>
      <c r="O481" s="2143"/>
      <c r="P481" s="2433"/>
      <c r="Q481" s="2433"/>
      <c r="R481" s="2429"/>
      <c r="S481" s="2429"/>
      <c r="T481" s="2429"/>
      <c r="U481" s="2431" t="s">
        <v>186</v>
      </c>
      <c r="V481" s="2431"/>
      <c r="W481" s="2431"/>
      <c r="X481" s="2431"/>
      <c r="Y481" s="2431"/>
      <c r="Z481" s="2431"/>
      <c r="AA481" s="2431"/>
      <c r="AB481" s="2431"/>
      <c r="AC481" s="2431"/>
      <c r="AD481" s="2431"/>
      <c r="AE481" s="2431"/>
      <c r="AF481" s="2303"/>
      <c r="AG481" s="2303"/>
      <c r="AH481" s="2303"/>
      <c r="AI481" s="2303"/>
      <c r="AJ481" s="2303"/>
      <c r="AK481" s="2303"/>
      <c r="AL481" s="2303"/>
      <c r="AM481" s="2303"/>
      <c r="AN481" s="2303"/>
      <c r="AO481" s="2303"/>
      <c r="AP481" s="2303"/>
      <c r="AQ481" s="2303"/>
      <c r="AR481" s="2297"/>
      <c r="AS481" s="2297"/>
      <c r="AT481" s="2135"/>
      <c r="AU481" s="2135"/>
      <c r="AV481" s="2135"/>
      <c r="AW481" s="2135"/>
      <c r="AX481" s="2135"/>
      <c r="AY481" s="2135"/>
      <c r="AZ481" s="2135"/>
      <c r="BA481" s="2135"/>
      <c r="BB481" s="2135"/>
      <c r="BC481" s="2135"/>
      <c r="BD481" s="2135"/>
      <c r="BE481" s="2135"/>
      <c r="BF481" s="2135"/>
      <c r="BG481" s="2135"/>
      <c r="BH481" s="2135"/>
      <c r="BI481" s="2135"/>
      <c r="BJ481" s="2135"/>
      <c r="BK481" s="2135"/>
      <c r="BL481" s="2135"/>
      <c r="BM481" s="2135"/>
      <c r="BN481" s="2135"/>
      <c r="BO481" s="2135"/>
      <c r="BP481" s="2135"/>
      <c r="BQ481" s="2135"/>
      <c r="BR481" s="2135"/>
      <c r="BS481" s="2354"/>
      <c r="BT481" s="2354"/>
      <c r="BU481" s="2354"/>
      <c r="BV481" s="2354"/>
      <c r="BW481" s="2354"/>
      <c r="BX481" s="2354"/>
      <c r="BY481" s="2354"/>
      <c r="BZ481" s="2297"/>
      <c r="CA481" s="2297"/>
      <c r="CB481" s="2319"/>
      <c r="CC481" s="2320"/>
      <c r="CD481" s="2320"/>
      <c r="CE481" s="2320"/>
      <c r="CF481" s="2320"/>
      <c r="CG481" s="2320"/>
      <c r="CH481" s="2320"/>
      <c r="CI481" s="2320"/>
      <c r="CJ481" s="2320"/>
      <c r="CK481" s="2320"/>
      <c r="CL481" s="2320"/>
      <c r="CM481" s="2320"/>
      <c r="CN481" s="2320"/>
      <c r="CO481" s="2320"/>
      <c r="CP481" s="2320"/>
      <c r="CQ481" s="2320"/>
      <c r="CR481" s="2320"/>
      <c r="CS481" s="2320"/>
      <c r="CT481" s="2320"/>
      <c r="CU481" s="2321"/>
      <c r="CV481" s="2300" t="str">
        <f t="shared" si="568"/>
        <v/>
      </c>
      <c r="CW481" s="2300"/>
      <c r="CX481" s="2300"/>
      <c r="CY481" s="2300"/>
      <c r="CZ481" s="2300"/>
      <c r="DA481" s="2300"/>
      <c r="DC481" s="329" t="str">
        <f t="shared" si="569"/>
        <v/>
      </c>
      <c r="DD481" s="197"/>
      <c r="DF481" s="14"/>
      <c r="DG481" s="14"/>
      <c r="DH481" s="14"/>
      <c r="DI481" s="1596"/>
      <c r="DJ481" s="1170" t="s">
        <v>2749</v>
      </c>
      <c r="DK481" s="1604" t="str">
        <f t="shared" si="570"/>
        <v/>
      </c>
      <c r="DL481" s="437" t="str">
        <f t="shared" si="571"/>
        <v/>
      </c>
      <c r="DM481" s="1128">
        <f t="shared" si="572"/>
        <v>0</v>
      </c>
      <c r="DN481" s="22">
        <f t="shared" si="573"/>
        <v>0</v>
      </c>
      <c r="DO481" s="22">
        <f t="shared" si="574"/>
        <v>0</v>
      </c>
      <c r="DP481" s="264">
        <f t="shared" si="575"/>
        <v>0</v>
      </c>
      <c r="DQ481" s="32" t="s">
        <v>814</v>
      </c>
      <c r="DR481" s="263" t="str">
        <f>IF($U481="",R480,U481)</f>
        <v>上部構造の可動の状況</v>
      </c>
      <c r="DS481" s="23">
        <f t="shared" si="576"/>
        <v>0</v>
      </c>
      <c r="DT481" s="29" t="str">
        <f t="shared" si="577"/>
        <v/>
      </c>
      <c r="DU481" s="242" t="str">
        <f t="shared" si="578"/>
        <v/>
      </c>
      <c r="DV481" s="57" t="str">
        <f>IF($DT481="要是正",MAX($DV$474:DV480)+1,"")</f>
        <v/>
      </c>
      <c r="DW481" s="12" t="str">
        <f t="shared" si="579"/>
        <v/>
      </c>
      <c r="DX481" s="30" t="str">
        <f t="shared" si="580"/>
        <v/>
      </c>
      <c r="DY481" s="13" t="str">
        <f t="shared" si="581"/>
        <v/>
      </c>
      <c r="DZ481" s="121" t="str">
        <f t="shared" si="582"/>
        <v/>
      </c>
      <c r="EA481" s="256" t="str">
        <f t="shared" si="583"/>
        <v/>
      </c>
      <c r="EB481" s="138" t="str">
        <f t="shared" si="584"/>
        <v/>
      </c>
      <c r="EC481" s="131" t="str">
        <f t="shared" si="585"/>
        <v>0</v>
      </c>
      <c r="ED481" s="54" t="str">
        <f t="shared" si="586"/>
        <v/>
      </c>
      <c r="EE481" s="131" t="str">
        <f t="shared" si="642"/>
        <v>0</v>
      </c>
      <c r="EF481" s="37" t="str">
        <f t="shared" si="588"/>
        <v/>
      </c>
      <c r="EG481" s="108" t="str">
        <f t="shared" si="589"/>
        <v/>
      </c>
      <c r="EH481" s="41" t="str">
        <f t="shared" si="590"/>
        <v>0</v>
      </c>
      <c r="EI481" s="54" t="str">
        <f t="shared" si="591"/>
        <v/>
      </c>
      <c r="EJ481" s="131" t="str">
        <f t="shared" si="643"/>
        <v>0</v>
      </c>
      <c r="EK481" s="241" t="str">
        <f t="shared" si="593"/>
        <v/>
      </c>
      <c r="EL481" s="242" t="e">
        <f t="shared" si="594"/>
        <v>#N/A</v>
      </c>
      <c r="EM481" s="57" t="e">
        <f t="shared" si="595"/>
        <v>#N/A</v>
      </c>
      <c r="EN481" s="243" t="e">
        <f t="shared" si="596"/>
        <v>#N/A</v>
      </c>
      <c r="FK481" s="326" t="str">
        <f t="shared" si="597"/>
        <v/>
      </c>
      <c r="FL481" s="326" t="str">
        <f t="shared" si="598"/>
        <v/>
      </c>
      <c r="FM481" s="326" t="str">
        <f t="shared" si="599"/>
        <v/>
      </c>
      <c r="FN481" s="326">
        <f t="shared" si="600"/>
        <v>0</v>
      </c>
      <c r="FO481" s="670" t="str">
        <f t="shared" si="601"/>
        <v/>
      </c>
      <c r="FQ481" s="138" t="str">
        <f t="shared" si="602"/>
        <v/>
      </c>
      <c r="FR481" s="131" t="str">
        <f t="shared" si="603"/>
        <v>0</v>
      </c>
      <c r="FS481" s="54" t="str">
        <f t="shared" si="604"/>
        <v/>
      </c>
      <c r="FT481" s="131" t="str">
        <f t="shared" si="605"/>
        <v>0</v>
      </c>
      <c r="FU481" s="217" t="str">
        <f t="shared" si="606"/>
        <v/>
      </c>
      <c r="FW481" s="667">
        <f t="shared" si="644"/>
        <v>0</v>
      </c>
      <c r="FX481" s="32"/>
      <c r="FY481" s="32"/>
      <c r="FZ481" s="668"/>
      <c r="GA481" s="14"/>
      <c r="GB481" s="658">
        <f t="shared" si="607"/>
        <v>0</v>
      </c>
      <c r="GC481" s="658">
        <f t="shared" si="608"/>
        <v>0</v>
      </c>
      <c r="GD481" s="658">
        <f t="shared" si="609"/>
        <v>0</v>
      </c>
      <c r="GE481" s="658" t="str">
        <f t="shared" si="610"/>
        <v/>
      </c>
      <c r="GF481" s="658" t="str">
        <f t="shared" si="611"/>
        <v/>
      </c>
      <c r="GG481" s="658" t="str">
        <f t="shared" si="612"/>
        <v/>
      </c>
      <c r="GH481" s="658" t="str">
        <f t="shared" si="613"/>
        <v/>
      </c>
      <c r="GI481" s="658" t="str">
        <f t="shared" si="614"/>
        <v/>
      </c>
      <c r="GJ481" s="658" t="str">
        <f t="shared" si="615"/>
        <v/>
      </c>
      <c r="GK481" s="658" t="str">
        <f t="shared" si="616"/>
        <v/>
      </c>
      <c r="GL481" s="658" t="str">
        <f t="shared" si="617"/>
        <v/>
      </c>
      <c r="GM481" s="658" t="str">
        <f t="shared" si="618"/>
        <v/>
      </c>
      <c r="GN481" s="658" t="str">
        <f t="shared" si="619"/>
        <v/>
      </c>
      <c r="GO481" s="658" t="str">
        <f t="shared" si="620"/>
        <v/>
      </c>
      <c r="GP481" s="658" t="str">
        <f t="shared" si="621"/>
        <v/>
      </c>
      <c r="GQ481" s="658" t="str">
        <f t="shared" si="622"/>
        <v/>
      </c>
      <c r="GR481" s="658" t="str">
        <f t="shared" si="623"/>
        <v/>
      </c>
      <c r="GS481" s="658" t="str">
        <f t="shared" si="624"/>
        <v/>
      </c>
      <c r="GT481" s="658">
        <f t="shared" si="546"/>
        <v>0</v>
      </c>
      <c r="GU481" s="658">
        <f t="shared" si="547"/>
        <v>0</v>
      </c>
      <c r="GV481" s="658">
        <f t="shared" si="548"/>
        <v>0</v>
      </c>
      <c r="GW481" s="658" t="b">
        <f t="shared" si="549"/>
        <v>0</v>
      </c>
      <c r="GX481" s="658" t="b">
        <f t="shared" si="550"/>
        <v>0</v>
      </c>
      <c r="GY481" s="658" t="b">
        <f t="shared" si="551"/>
        <v>0</v>
      </c>
      <c r="GZ481" s="658" t="str">
        <f t="shared" si="557"/>
        <v/>
      </c>
      <c r="HB481" s="658" t="str">
        <f t="shared" si="552"/>
        <v/>
      </c>
      <c r="HC481" s="658" t="str">
        <f t="shared" si="625"/>
        <v/>
      </c>
      <c r="HD481" s="658" t="str">
        <f t="shared" si="626"/>
        <v/>
      </c>
      <c r="HE481" s="658" t="str">
        <f t="shared" si="627"/>
        <v/>
      </c>
      <c r="HF481" s="658" t="str">
        <f t="shared" si="628"/>
        <v/>
      </c>
      <c r="HG481" s="658" t="str">
        <f t="shared" si="629"/>
        <v/>
      </c>
      <c r="HH481" s="658" t="str">
        <f t="shared" si="630"/>
        <v/>
      </c>
      <c r="HI481" s="658" t="str">
        <f t="shared" si="631"/>
        <v/>
      </c>
      <c r="HJ481" s="658" t="str">
        <f t="shared" si="632"/>
        <v/>
      </c>
      <c r="HK481" s="658" t="str">
        <f t="shared" si="633"/>
        <v/>
      </c>
      <c r="HL481" s="658" t="str">
        <f t="shared" si="634"/>
        <v/>
      </c>
      <c r="HM481" s="658" t="str">
        <f t="shared" si="635"/>
        <v/>
      </c>
      <c r="HN481" s="658" t="str">
        <f t="shared" si="636"/>
        <v/>
      </c>
      <c r="HO481" s="658" t="str">
        <f t="shared" si="637"/>
        <v/>
      </c>
      <c r="HP481" s="658" t="str">
        <f t="shared" si="638"/>
        <v/>
      </c>
      <c r="HQ481" s="658" t="str">
        <f t="shared" si="639"/>
        <v/>
      </c>
      <c r="HR481" s="658" t="str">
        <f t="shared" si="553"/>
        <v/>
      </c>
      <c r="HT481" s="658">
        <f>LEFT(M481,1)*10000+MID(M481,3,LEN(M481)-3)*100+COUNTIF($M$319:M481,M481)</f>
        <v>60401</v>
      </c>
      <c r="HU481" s="658" t="str">
        <f t="shared" si="554"/>
        <v/>
      </c>
      <c r="HV481" s="658" t="str">
        <f t="shared" si="640"/>
        <v/>
      </c>
      <c r="HW481" s="658" t="str">
        <f t="shared" si="555"/>
        <v/>
      </c>
      <c r="HX481" s="658" t="str">
        <f t="shared" si="641"/>
        <v/>
      </c>
    </row>
    <row r="482" spans="1:232" s="19" customFormat="1" ht="50.1" customHeight="1" x14ac:dyDescent="0.15">
      <c r="A482" s="1201"/>
      <c r="B482" s="1201"/>
      <c r="C482" s="1201"/>
      <c r="D482" s="1201"/>
      <c r="E482" s="1202"/>
      <c r="F482" s="652"/>
      <c r="G482" s="652"/>
      <c r="H482" s="652"/>
      <c r="I482" s="1354"/>
      <c r="J482" s="1234"/>
      <c r="K482" s="1261"/>
      <c r="L482" s="1261"/>
      <c r="M482" s="2143" t="s">
        <v>1220</v>
      </c>
      <c r="N482" s="2143"/>
      <c r="O482" s="2143"/>
      <c r="P482" s="2429" t="s">
        <v>141</v>
      </c>
      <c r="Q482" s="2429"/>
      <c r="R482" s="2429"/>
      <c r="S482" s="2429"/>
      <c r="T482" s="2429"/>
      <c r="U482" s="2429" t="s">
        <v>142</v>
      </c>
      <c r="V482" s="2429"/>
      <c r="W482" s="2429"/>
      <c r="X482" s="2429"/>
      <c r="Y482" s="2429"/>
      <c r="Z482" s="2429"/>
      <c r="AA482" s="2429"/>
      <c r="AB482" s="2429"/>
      <c r="AC482" s="2429"/>
      <c r="AD482" s="2429"/>
      <c r="AE482" s="2429"/>
      <c r="AF482" s="2293"/>
      <c r="AG482" s="2293"/>
      <c r="AH482" s="2293"/>
      <c r="AI482" s="2293"/>
      <c r="AJ482" s="2293"/>
      <c r="AK482" s="2293"/>
      <c r="AL482" s="2293"/>
      <c r="AM482" s="2293"/>
      <c r="AN482" s="2293"/>
      <c r="AO482" s="2293"/>
      <c r="AP482" s="2293"/>
      <c r="AQ482" s="2293"/>
      <c r="AR482" s="2359"/>
      <c r="AS482" s="2359"/>
      <c r="AT482" s="2301"/>
      <c r="AU482" s="2301"/>
      <c r="AV482" s="2301"/>
      <c r="AW482" s="2301"/>
      <c r="AX482" s="2301"/>
      <c r="AY482" s="2301"/>
      <c r="AZ482" s="2301"/>
      <c r="BA482" s="2301"/>
      <c r="BB482" s="2301"/>
      <c r="BC482" s="2301"/>
      <c r="BD482" s="2301"/>
      <c r="BE482" s="2301"/>
      <c r="BF482" s="2301"/>
      <c r="BG482" s="2301"/>
      <c r="BH482" s="2301"/>
      <c r="BI482" s="2301"/>
      <c r="BJ482" s="2301"/>
      <c r="BK482" s="2301"/>
      <c r="BL482" s="2301"/>
      <c r="BM482" s="2301"/>
      <c r="BN482" s="2301"/>
      <c r="BO482" s="2301"/>
      <c r="BP482" s="2301"/>
      <c r="BQ482" s="2301"/>
      <c r="BR482" s="2301"/>
      <c r="BS482" s="2358"/>
      <c r="BT482" s="2358"/>
      <c r="BU482" s="2358"/>
      <c r="BV482" s="2358"/>
      <c r="BW482" s="2358"/>
      <c r="BX482" s="2358"/>
      <c r="BY482" s="2358"/>
      <c r="BZ482" s="2359"/>
      <c r="CA482" s="2359"/>
      <c r="CB482" s="2389"/>
      <c r="CC482" s="2390"/>
      <c r="CD482" s="2390"/>
      <c r="CE482" s="2390"/>
      <c r="CF482" s="2390"/>
      <c r="CG482" s="2390"/>
      <c r="CH482" s="2390"/>
      <c r="CI482" s="2390"/>
      <c r="CJ482" s="2390"/>
      <c r="CK482" s="2390"/>
      <c r="CL482" s="2390"/>
      <c r="CM482" s="2390"/>
      <c r="CN482" s="2390"/>
      <c r="CO482" s="2390"/>
      <c r="CP482" s="2390"/>
      <c r="CQ482" s="2390"/>
      <c r="CR482" s="2390"/>
      <c r="CS482" s="2390"/>
      <c r="CT482" s="2390"/>
      <c r="CU482" s="2391"/>
      <c r="CV482" s="2300" t="str">
        <f t="shared" si="568"/>
        <v/>
      </c>
      <c r="CW482" s="2300"/>
      <c r="CX482" s="2300"/>
      <c r="CY482" s="2300"/>
      <c r="CZ482" s="2300"/>
      <c r="DA482" s="2300"/>
      <c r="DC482" s="329" t="str">
        <f t="shared" si="569"/>
        <v/>
      </c>
      <c r="DD482" s="197"/>
      <c r="DF482" s="14"/>
      <c r="DG482" s="14"/>
      <c r="DH482" s="14"/>
      <c r="DI482" s="1596"/>
      <c r="DJ482" s="1170" t="s">
        <v>2749</v>
      </c>
      <c r="DK482" s="1604" t="str">
        <f t="shared" si="570"/>
        <v/>
      </c>
      <c r="DL482" s="437" t="str">
        <f t="shared" si="571"/>
        <v/>
      </c>
      <c r="DM482" s="1128">
        <f t="shared" si="572"/>
        <v>0</v>
      </c>
      <c r="DN482" s="22">
        <f t="shared" si="573"/>
        <v>0</v>
      </c>
      <c r="DO482" s="22">
        <f t="shared" si="574"/>
        <v>0</v>
      </c>
      <c r="DP482" s="264">
        <f t="shared" si="575"/>
        <v>0</v>
      </c>
      <c r="DQ482" s="32" t="s">
        <v>815</v>
      </c>
      <c r="DR482" s="263" t="str">
        <f>IF($U482="",R482,U482)</f>
        <v>避雷針、避雷導線等の劣化及び損傷の状況</v>
      </c>
      <c r="DS482" s="23">
        <f t="shared" si="576"/>
        <v>0</v>
      </c>
      <c r="DT482" s="29" t="str">
        <f t="shared" si="577"/>
        <v/>
      </c>
      <c r="DU482" s="242" t="str">
        <f t="shared" si="578"/>
        <v/>
      </c>
      <c r="DV482" s="57" t="str">
        <f>IF($DT482="要是正",MAX($DV$474:DV481)+1,"")</f>
        <v/>
      </c>
      <c r="DW482" s="12" t="str">
        <f t="shared" si="579"/>
        <v/>
      </c>
      <c r="DX482" s="30" t="str">
        <f t="shared" si="580"/>
        <v/>
      </c>
      <c r="DY482" s="13" t="str">
        <f t="shared" si="581"/>
        <v/>
      </c>
      <c r="DZ482" s="121" t="str">
        <f t="shared" si="582"/>
        <v/>
      </c>
      <c r="EA482" s="256" t="str">
        <f t="shared" si="583"/>
        <v/>
      </c>
      <c r="EB482" s="138" t="str">
        <f t="shared" si="584"/>
        <v/>
      </c>
      <c r="EC482" s="131" t="str">
        <f t="shared" si="585"/>
        <v>0</v>
      </c>
      <c r="ED482" s="54" t="str">
        <f t="shared" si="586"/>
        <v/>
      </c>
      <c r="EE482" s="131" t="str">
        <f t="shared" si="642"/>
        <v>0</v>
      </c>
      <c r="EF482" s="37" t="str">
        <f t="shared" si="588"/>
        <v/>
      </c>
      <c r="EG482" s="108" t="str">
        <f t="shared" si="589"/>
        <v/>
      </c>
      <c r="EH482" s="41" t="str">
        <f t="shared" si="590"/>
        <v>0</v>
      </c>
      <c r="EI482" s="54" t="str">
        <f t="shared" si="591"/>
        <v/>
      </c>
      <c r="EJ482" s="131" t="str">
        <f t="shared" si="643"/>
        <v>0</v>
      </c>
      <c r="EK482" s="241" t="str">
        <f t="shared" si="593"/>
        <v/>
      </c>
      <c r="EL482" s="242" t="e">
        <f t="shared" si="594"/>
        <v>#N/A</v>
      </c>
      <c r="EM482" s="57" t="e">
        <f t="shared" si="595"/>
        <v>#N/A</v>
      </c>
      <c r="EN482" s="243" t="e">
        <f t="shared" si="596"/>
        <v>#N/A</v>
      </c>
      <c r="FK482" s="326" t="str">
        <f t="shared" si="597"/>
        <v/>
      </c>
      <c r="FL482" s="326" t="str">
        <f t="shared" si="598"/>
        <v/>
      </c>
      <c r="FM482" s="326" t="str">
        <f t="shared" si="599"/>
        <v/>
      </c>
      <c r="FN482" s="326">
        <f t="shared" si="600"/>
        <v>0</v>
      </c>
      <c r="FO482" s="670" t="str">
        <f t="shared" si="601"/>
        <v/>
      </c>
      <c r="FQ482" s="138" t="str">
        <f t="shared" si="602"/>
        <v/>
      </c>
      <c r="FR482" s="131" t="str">
        <f t="shared" si="603"/>
        <v>0</v>
      </c>
      <c r="FS482" s="54" t="str">
        <f t="shared" si="604"/>
        <v/>
      </c>
      <c r="FT482" s="131" t="str">
        <f t="shared" si="605"/>
        <v>0</v>
      </c>
      <c r="FU482" s="217" t="str">
        <f t="shared" si="606"/>
        <v/>
      </c>
      <c r="FW482" s="667">
        <f t="shared" si="644"/>
        <v>0</v>
      </c>
      <c r="FX482" s="32"/>
      <c r="FY482" s="32"/>
      <c r="FZ482" s="668"/>
      <c r="GA482" s="14"/>
      <c r="GB482" s="658">
        <f t="shared" si="607"/>
        <v>0</v>
      </c>
      <c r="GC482" s="658">
        <f t="shared" si="608"/>
        <v>0</v>
      </c>
      <c r="GD482" s="658">
        <f t="shared" si="609"/>
        <v>0</v>
      </c>
      <c r="GE482" s="658" t="str">
        <f t="shared" si="610"/>
        <v/>
      </c>
      <c r="GF482" s="658" t="str">
        <f t="shared" si="611"/>
        <v/>
      </c>
      <c r="GG482" s="658" t="str">
        <f t="shared" si="612"/>
        <v/>
      </c>
      <c r="GH482" s="658" t="str">
        <f t="shared" si="613"/>
        <v/>
      </c>
      <c r="GI482" s="658" t="str">
        <f t="shared" si="614"/>
        <v/>
      </c>
      <c r="GJ482" s="658" t="str">
        <f t="shared" si="615"/>
        <v/>
      </c>
      <c r="GK482" s="658" t="str">
        <f t="shared" si="616"/>
        <v/>
      </c>
      <c r="GL482" s="658" t="str">
        <f t="shared" si="617"/>
        <v/>
      </c>
      <c r="GM482" s="658" t="str">
        <f t="shared" si="618"/>
        <v/>
      </c>
      <c r="GN482" s="658" t="str">
        <f t="shared" si="619"/>
        <v/>
      </c>
      <c r="GO482" s="658" t="str">
        <f t="shared" si="620"/>
        <v/>
      </c>
      <c r="GP482" s="658" t="str">
        <f t="shared" si="621"/>
        <v/>
      </c>
      <c r="GQ482" s="658" t="str">
        <f t="shared" si="622"/>
        <v/>
      </c>
      <c r="GR482" s="658" t="str">
        <f t="shared" si="623"/>
        <v/>
      </c>
      <c r="GS482" s="658" t="str">
        <f t="shared" si="624"/>
        <v/>
      </c>
      <c r="GT482" s="658">
        <f t="shared" si="546"/>
        <v>0</v>
      </c>
      <c r="GU482" s="658">
        <f t="shared" si="547"/>
        <v>0</v>
      </c>
      <c r="GV482" s="658">
        <f t="shared" si="548"/>
        <v>0</v>
      </c>
      <c r="GW482" s="658" t="b">
        <f t="shared" si="549"/>
        <v>0</v>
      </c>
      <c r="GX482" s="658" t="b">
        <f t="shared" si="550"/>
        <v>0</v>
      </c>
      <c r="GY482" s="658" t="b">
        <f t="shared" si="551"/>
        <v>0</v>
      </c>
      <c r="GZ482" s="658" t="str">
        <f t="shared" si="557"/>
        <v/>
      </c>
      <c r="HB482" s="658" t="str">
        <f t="shared" si="552"/>
        <v/>
      </c>
      <c r="HC482" s="658" t="str">
        <f t="shared" si="625"/>
        <v/>
      </c>
      <c r="HD482" s="658" t="str">
        <f t="shared" si="626"/>
        <v/>
      </c>
      <c r="HE482" s="658" t="str">
        <f t="shared" si="627"/>
        <v/>
      </c>
      <c r="HF482" s="658" t="str">
        <f t="shared" si="628"/>
        <v/>
      </c>
      <c r="HG482" s="658" t="str">
        <f t="shared" si="629"/>
        <v/>
      </c>
      <c r="HH482" s="658" t="str">
        <f t="shared" si="630"/>
        <v/>
      </c>
      <c r="HI482" s="658" t="str">
        <f t="shared" si="631"/>
        <v/>
      </c>
      <c r="HJ482" s="658" t="str">
        <f t="shared" si="632"/>
        <v/>
      </c>
      <c r="HK482" s="658" t="str">
        <f t="shared" si="633"/>
        <v/>
      </c>
      <c r="HL482" s="658" t="str">
        <f t="shared" si="634"/>
        <v/>
      </c>
      <c r="HM482" s="658" t="str">
        <f t="shared" si="635"/>
        <v/>
      </c>
      <c r="HN482" s="658" t="str">
        <f t="shared" si="636"/>
        <v/>
      </c>
      <c r="HO482" s="658" t="str">
        <f t="shared" si="637"/>
        <v/>
      </c>
      <c r="HP482" s="658" t="str">
        <f t="shared" si="638"/>
        <v/>
      </c>
      <c r="HQ482" s="658" t="str">
        <f t="shared" si="639"/>
        <v/>
      </c>
      <c r="HR482" s="658" t="str">
        <f t="shared" si="553"/>
        <v/>
      </c>
      <c r="HT482" s="658">
        <f>LEFT(M482,1)*10000+MID(M482,3,LEN(M482)-3)*100+COUNTIF($M$319:M482,M482)</f>
        <v>60501</v>
      </c>
      <c r="HU482" s="658" t="str">
        <f t="shared" si="554"/>
        <v/>
      </c>
      <c r="HV482" s="658" t="str">
        <f t="shared" si="640"/>
        <v/>
      </c>
      <c r="HW482" s="658" t="str">
        <f t="shared" si="555"/>
        <v/>
      </c>
      <c r="HX482" s="658" t="str">
        <f t="shared" si="641"/>
        <v/>
      </c>
    </row>
    <row r="483" spans="1:232" s="19" customFormat="1" ht="50.1" customHeight="1" x14ac:dyDescent="0.15">
      <c r="A483" s="1201"/>
      <c r="B483" s="1201"/>
      <c r="C483" s="1201"/>
      <c r="D483" s="1201"/>
      <c r="E483" s="1202"/>
      <c r="F483" s="652"/>
      <c r="G483" s="652"/>
      <c r="H483" s="652"/>
      <c r="I483" s="1354"/>
      <c r="J483" s="1234"/>
      <c r="K483" s="1261"/>
      <c r="L483" s="1261"/>
      <c r="M483" s="2143" t="s">
        <v>1221</v>
      </c>
      <c r="N483" s="2143"/>
      <c r="O483" s="2143"/>
      <c r="P483" s="2689" t="s">
        <v>143</v>
      </c>
      <c r="Q483" s="2689"/>
      <c r="R483" s="2429" t="s">
        <v>144</v>
      </c>
      <c r="S483" s="2429"/>
      <c r="T483" s="2429"/>
      <c r="U483" s="2438" t="s">
        <v>145</v>
      </c>
      <c r="V483" s="2438"/>
      <c r="W483" s="2438"/>
      <c r="X483" s="2438"/>
      <c r="Y483" s="2438"/>
      <c r="Z483" s="2438"/>
      <c r="AA483" s="2438"/>
      <c r="AB483" s="2438"/>
      <c r="AC483" s="2438"/>
      <c r="AD483" s="2438"/>
      <c r="AE483" s="2438"/>
      <c r="AF483" s="2302"/>
      <c r="AG483" s="2302"/>
      <c r="AH483" s="2302"/>
      <c r="AI483" s="2302"/>
      <c r="AJ483" s="2302"/>
      <c r="AK483" s="2302"/>
      <c r="AL483" s="2302"/>
      <c r="AM483" s="2302"/>
      <c r="AN483" s="2302"/>
      <c r="AO483" s="2302"/>
      <c r="AP483" s="2302"/>
      <c r="AQ483" s="2302"/>
      <c r="AR483" s="2272"/>
      <c r="AS483" s="2272"/>
      <c r="AT483" s="2406"/>
      <c r="AU483" s="2406"/>
      <c r="AV483" s="2406"/>
      <c r="AW483" s="2406"/>
      <c r="AX483" s="2406"/>
      <c r="AY483" s="2406"/>
      <c r="AZ483" s="2406"/>
      <c r="BA483" s="2406"/>
      <c r="BB483" s="2406"/>
      <c r="BC483" s="2406"/>
      <c r="BD483" s="2406"/>
      <c r="BE483" s="2406"/>
      <c r="BF483" s="2406"/>
      <c r="BG483" s="2406"/>
      <c r="BH483" s="2406"/>
      <c r="BI483" s="2406"/>
      <c r="BJ483" s="2406"/>
      <c r="BK483" s="2406"/>
      <c r="BL483" s="2406"/>
      <c r="BM483" s="2406"/>
      <c r="BN483" s="2406"/>
      <c r="BO483" s="2406"/>
      <c r="BP483" s="2406"/>
      <c r="BQ483" s="2406"/>
      <c r="BR483" s="2406"/>
      <c r="BS483" s="2271"/>
      <c r="BT483" s="2271"/>
      <c r="BU483" s="2271"/>
      <c r="BV483" s="2271"/>
      <c r="BW483" s="2271"/>
      <c r="BX483" s="2271"/>
      <c r="BY483" s="2271"/>
      <c r="BZ483" s="2272"/>
      <c r="CA483" s="2272"/>
      <c r="CB483" s="2377"/>
      <c r="CC483" s="2378"/>
      <c r="CD483" s="2378"/>
      <c r="CE483" s="2378"/>
      <c r="CF483" s="2378"/>
      <c r="CG483" s="2378"/>
      <c r="CH483" s="2378"/>
      <c r="CI483" s="2378"/>
      <c r="CJ483" s="2378"/>
      <c r="CK483" s="2378"/>
      <c r="CL483" s="2378"/>
      <c r="CM483" s="2378"/>
      <c r="CN483" s="2378"/>
      <c r="CO483" s="2378"/>
      <c r="CP483" s="2378"/>
      <c r="CQ483" s="2378"/>
      <c r="CR483" s="2378"/>
      <c r="CS483" s="2378"/>
      <c r="CT483" s="2378"/>
      <c r="CU483" s="2379"/>
      <c r="CV483" s="2300" t="str">
        <f t="shared" si="568"/>
        <v/>
      </c>
      <c r="CW483" s="2300"/>
      <c r="CX483" s="2300"/>
      <c r="CY483" s="2300"/>
      <c r="CZ483" s="2300"/>
      <c r="DA483" s="2300"/>
      <c r="DC483" s="329" t="str">
        <f t="shared" si="569"/>
        <v/>
      </c>
      <c r="DD483" s="197"/>
      <c r="DF483" s="14"/>
      <c r="DG483" s="14"/>
      <c r="DH483" s="14"/>
      <c r="DI483" s="1596"/>
      <c r="DJ483" s="1170" t="s">
        <v>2749</v>
      </c>
      <c r="DK483" s="1604" t="str">
        <f t="shared" si="570"/>
        <v/>
      </c>
      <c r="DL483" s="437" t="str">
        <f t="shared" si="571"/>
        <v/>
      </c>
      <c r="DM483" s="1128">
        <f t="shared" si="572"/>
        <v>0</v>
      </c>
      <c r="DN483" s="22">
        <f t="shared" si="573"/>
        <v>0</v>
      </c>
      <c r="DO483" s="22">
        <f t="shared" si="574"/>
        <v>0</v>
      </c>
      <c r="DP483" s="264">
        <f t="shared" si="575"/>
        <v>0</v>
      </c>
      <c r="DQ483" s="32" t="s">
        <v>816</v>
      </c>
      <c r="DR483" s="263" t="str">
        <f>IF($U483="",R483,U483)</f>
        <v>煙突本体及び建築物との接合部の劣化及び損傷の状況</v>
      </c>
      <c r="DS483" s="23">
        <f t="shared" si="576"/>
        <v>0</v>
      </c>
      <c r="DT483" s="29" t="str">
        <f t="shared" si="577"/>
        <v/>
      </c>
      <c r="DU483" s="242" t="str">
        <f t="shared" si="578"/>
        <v/>
      </c>
      <c r="DV483" s="57" t="str">
        <f>IF($DT483="要是正",MAX($DV$474:DV482)+1,"")</f>
        <v/>
      </c>
      <c r="DW483" s="12" t="str">
        <f t="shared" si="579"/>
        <v/>
      </c>
      <c r="DX483" s="30" t="str">
        <f t="shared" si="580"/>
        <v/>
      </c>
      <c r="DY483" s="13" t="str">
        <f t="shared" si="581"/>
        <v/>
      </c>
      <c r="DZ483" s="121" t="str">
        <f t="shared" si="582"/>
        <v/>
      </c>
      <c r="EA483" s="256" t="str">
        <f t="shared" si="583"/>
        <v/>
      </c>
      <c r="EB483" s="138" t="str">
        <f t="shared" si="584"/>
        <v/>
      </c>
      <c r="EC483" s="131" t="str">
        <f t="shared" si="585"/>
        <v>0</v>
      </c>
      <c r="ED483" s="54" t="str">
        <f t="shared" si="586"/>
        <v/>
      </c>
      <c r="EE483" s="131" t="str">
        <f t="shared" si="642"/>
        <v>0</v>
      </c>
      <c r="EF483" s="37" t="str">
        <f t="shared" si="588"/>
        <v/>
      </c>
      <c r="EG483" s="108" t="str">
        <f t="shared" si="589"/>
        <v/>
      </c>
      <c r="EH483" s="41" t="str">
        <f t="shared" si="590"/>
        <v>0</v>
      </c>
      <c r="EI483" s="54" t="str">
        <f t="shared" si="591"/>
        <v/>
      </c>
      <c r="EJ483" s="131" t="str">
        <f t="shared" si="643"/>
        <v>0</v>
      </c>
      <c r="EK483" s="241" t="str">
        <f t="shared" si="593"/>
        <v/>
      </c>
      <c r="EL483" s="242" t="e">
        <f t="shared" si="594"/>
        <v>#N/A</v>
      </c>
      <c r="EM483" s="57" t="e">
        <f t="shared" si="595"/>
        <v>#N/A</v>
      </c>
      <c r="EN483" s="243" t="e">
        <f t="shared" si="596"/>
        <v>#N/A</v>
      </c>
      <c r="FK483" s="326" t="str">
        <f t="shared" si="597"/>
        <v/>
      </c>
      <c r="FL483" s="326" t="str">
        <f t="shared" si="598"/>
        <v/>
      </c>
      <c r="FM483" s="326" t="str">
        <f t="shared" si="599"/>
        <v/>
      </c>
      <c r="FN483" s="326">
        <f t="shared" si="600"/>
        <v>0</v>
      </c>
      <c r="FO483" s="670" t="str">
        <f t="shared" si="601"/>
        <v/>
      </c>
      <c r="FQ483" s="138" t="str">
        <f t="shared" si="602"/>
        <v/>
      </c>
      <c r="FR483" s="131" t="str">
        <f t="shared" si="603"/>
        <v>0</v>
      </c>
      <c r="FS483" s="54" t="str">
        <f t="shared" si="604"/>
        <v/>
      </c>
      <c r="FT483" s="131" t="str">
        <f t="shared" si="605"/>
        <v>0</v>
      </c>
      <c r="FU483" s="217" t="str">
        <f t="shared" si="606"/>
        <v/>
      </c>
      <c r="FW483" s="667">
        <f t="shared" si="644"/>
        <v>0</v>
      </c>
      <c r="FX483" s="32"/>
      <c r="FY483" s="32"/>
      <c r="FZ483" s="668"/>
      <c r="GA483" s="14"/>
      <c r="GB483" s="658">
        <f t="shared" si="607"/>
        <v>0</v>
      </c>
      <c r="GC483" s="658">
        <f t="shared" si="608"/>
        <v>0</v>
      </c>
      <c r="GD483" s="658">
        <f t="shared" si="609"/>
        <v>0</v>
      </c>
      <c r="GE483" s="658" t="str">
        <f t="shared" si="610"/>
        <v/>
      </c>
      <c r="GF483" s="658" t="str">
        <f t="shared" si="611"/>
        <v/>
      </c>
      <c r="GG483" s="658" t="str">
        <f t="shared" si="612"/>
        <v/>
      </c>
      <c r="GH483" s="658" t="str">
        <f t="shared" si="613"/>
        <v/>
      </c>
      <c r="GI483" s="658" t="str">
        <f t="shared" si="614"/>
        <v/>
      </c>
      <c r="GJ483" s="658" t="str">
        <f t="shared" si="615"/>
        <v/>
      </c>
      <c r="GK483" s="658" t="str">
        <f t="shared" si="616"/>
        <v/>
      </c>
      <c r="GL483" s="658" t="str">
        <f t="shared" si="617"/>
        <v/>
      </c>
      <c r="GM483" s="658" t="str">
        <f t="shared" si="618"/>
        <v/>
      </c>
      <c r="GN483" s="658" t="str">
        <f t="shared" si="619"/>
        <v/>
      </c>
      <c r="GO483" s="658" t="str">
        <f t="shared" si="620"/>
        <v/>
      </c>
      <c r="GP483" s="658" t="str">
        <f t="shared" si="621"/>
        <v/>
      </c>
      <c r="GQ483" s="658" t="str">
        <f t="shared" si="622"/>
        <v/>
      </c>
      <c r="GR483" s="658" t="str">
        <f t="shared" si="623"/>
        <v/>
      </c>
      <c r="GS483" s="658" t="str">
        <f t="shared" si="624"/>
        <v/>
      </c>
      <c r="GT483" s="658">
        <f t="shared" si="546"/>
        <v>0</v>
      </c>
      <c r="GU483" s="658">
        <f t="shared" si="547"/>
        <v>0</v>
      </c>
      <c r="GV483" s="658">
        <f t="shared" si="548"/>
        <v>0</v>
      </c>
      <c r="GW483" s="658" t="b">
        <f t="shared" si="549"/>
        <v>0</v>
      </c>
      <c r="GX483" s="658" t="b">
        <f t="shared" si="550"/>
        <v>0</v>
      </c>
      <c r="GY483" s="658" t="b">
        <f t="shared" si="551"/>
        <v>0</v>
      </c>
      <c r="GZ483" s="658" t="str">
        <f t="shared" si="557"/>
        <v/>
      </c>
      <c r="HB483" s="658" t="str">
        <f t="shared" si="552"/>
        <v/>
      </c>
      <c r="HC483" s="658" t="str">
        <f t="shared" si="625"/>
        <v/>
      </c>
      <c r="HD483" s="658" t="str">
        <f t="shared" si="626"/>
        <v/>
      </c>
      <c r="HE483" s="658" t="str">
        <f t="shared" si="627"/>
        <v/>
      </c>
      <c r="HF483" s="658" t="str">
        <f t="shared" si="628"/>
        <v/>
      </c>
      <c r="HG483" s="658" t="str">
        <f t="shared" si="629"/>
        <v/>
      </c>
      <c r="HH483" s="658" t="str">
        <f t="shared" si="630"/>
        <v/>
      </c>
      <c r="HI483" s="658" t="str">
        <f t="shared" si="631"/>
        <v/>
      </c>
      <c r="HJ483" s="658" t="str">
        <f t="shared" si="632"/>
        <v/>
      </c>
      <c r="HK483" s="658" t="str">
        <f t="shared" si="633"/>
        <v/>
      </c>
      <c r="HL483" s="658" t="str">
        <f t="shared" si="634"/>
        <v/>
      </c>
      <c r="HM483" s="658" t="str">
        <f t="shared" si="635"/>
        <v/>
      </c>
      <c r="HN483" s="658" t="str">
        <f t="shared" si="636"/>
        <v/>
      </c>
      <c r="HO483" s="658" t="str">
        <f t="shared" si="637"/>
        <v/>
      </c>
      <c r="HP483" s="658" t="str">
        <f t="shared" si="638"/>
        <v/>
      </c>
      <c r="HQ483" s="658" t="str">
        <f t="shared" si="639"/>
        <v/>
      </c>
      <c r="HR483" s="658" t="str">
        <f t="shared" si="553"/>
        <v/>
      </c>
      <c r="HT483" s="658">
        <f>LEFT(M483,1)*10000+MID(M483,3,LEN(M483)-3)*100+COUNTIF($M$319:M483,M483)</f>
        <v>60601</v>
      </c>
      <c r="HU483" s="658" t="str">
        <f t="shared" si="554"/>
        <v/>
      </c>
      <c r="HV483" s="658" t="str">
        <f t="shared" si="640"/>
        <v/>
      </c>
      <c r="HW483" s="658" t="str">
        <f t="shared" si="555"/>
        <v/>
      </c>
      <c r="HX483" s="658" t="str">
        <f t="shared" si="641"/>
        <v/>
      </c>
    </row>
    <row r="484" spans="1:232" s="19" customFormat="1" ht="50.1" customHeight="1" x14ac:dyDescent="0.15">
      <c r="A484" s="1201"/>
      <c r="B484" s="1201"/>
      <c r="C484" s="1201"/>
      <c r="D484" s="1201"/>
      <c r="E484" s="1202"/>
      <c r="F484" s="652"/>
      <c r="G484" s="652"/>
      <c r="H484" s="652"/>
      <c r="I484" s="1354"/>
      <c r="J484" s="1234"/>
      <c r="K484" s="1261"/>
      <c r="L484" s="1261"/>
      <c r="M484" s="2143" t="s">
        <v>1222</v>
      </c>
      <c r="N484" s="2143"/>
      <c r="O484" s="2143"/>
      <c r="P484" s="2690"/>
      <c r="Q484" s="2690"/>
      <c r="R484" s="2429"/>
      <c r="S484" s="2429"/>
      <c r="T484" s="2429"/>
      <c r="U484" s="2431" t="s">
        <v>146</v>
      </c>
      <c r="V484" s="2431"/>
      <c r="W484" s="2431"/>
      <c r="X484" s="2431"/>
      <c r="Y484" s="2431"/>
      <c r="Z484" s="2431"/>
      <c r="AA484" s="2431"/>
      <c r="AB484" s="2431"/>
      <c r="AC484" s="2431"/>
      <c r="AD484" s="2431"/>
      <c r="AE484" s="2431"/>
      <c r="AF484" s="2303"/>
      <c r="AG484" s="2303"/>
      <c r="AH484" s="2303"/>
      <c r="AI484" s="2303"/>
      <c r="AJ484" s="2303"/>
      <c r="AK484" s="2303"/>
      <c r="AL484" s="2303"/>
      <c r="AM484" s="2303"/>
      <c r="AN484" s="2303"/>
      <c r="AO484" s="2303"/>
      <c r="AP484" s="2303"/>
      <c r="AQ484" s="2303"/>
      <c r="AR484" s="2297"/>
      <c r="AS484" s="2297"/>
      <c r="AT484" s="2135"/>
      <c r="AU484" s="2135"/>
      <c r="AV484" s="2135"/>
      <c r="AW484" s="2135"/>
      <c r="AX484" s="2135"/>
      <c r="AY484" s="2135"/>
      <c r="AZ484" s="2135"/>
      <c r="BA484" s="2135"/>
      <c r="BB484" s="2135"/>
      <c r="BC484" s="2135"/>
      <c r="BD484" s="2135"/>
      <c r="BE484" s="2135"/>
      <c r="BF484" s="2135"/>
      <c r="BG484" s="2135"/>
      <c r="BH484" s="2135"/>
      <c r="BI484" s="2135"/>
      <c r="BJ484" s="2135"/>
      <c r="BK484" s="2135"/>
      <c r="BL484" s="2135"/>
      <c r="BM484" s="2135"/>
      <c r="BN484" s="2135"/>
      <c r="BO484" s="2135"/>
      <c r="BP484" s="2135"/>
      <c r="BQ484" s="2135"/>
      <c r="BR484" s="2135"/>
      <c r="BS484" s="2354"/>
      <c r="BT484" s="2354"/>
      <c r="BU484" s="2354"/>
      <c r="BV484" s="2354"/>
      <c r="BW484" s="2354"/>
      <c r="BX484" s="2354"/>
      <c r="BY484" s="2354"/>
      <c r="BZ484" s="2297"/>
      <c r="CA484" s="2297"/>
      <c r="CB484" s="2319"/>
      <c r="CC484" s="2320"/>
      <c r="CD484" s="2320"/>
      <c r="CE484" s="2320"/>
      <c r="CF484" s="2320"/>
      <c r="CG484" s="2320"/>
      <c r="CH484" s="2320"/>
      <c r="CI484" s="2320"/>
      <c r="CJ484" s="2320"/>
      <c r="CK484" s="2320"/>
      <c r="CL484" s="2320"/>
      <c r="CM484" s="2320"/>
      <c r="CN484" s="2320"/>
      <c r="CO484" s="2320"/>
      <c r="CP484" s="2320"/>
      <c r="CQ484" s="2320"/>
      <c r="CR484" s="2320"/>
      <c r="CS484" s="2320"/>
      <c r="CT484" s="2320"/>
      <c r="CU484" s="2321"/>
      <c r="CV484" s="2300" t="str">
        <f t="shared" si="568"/>
        <v/>
      </c>
      <c r="CW484" s="2300"/>
      <c r="CX484" s="2300"/>
      <c r="CY484" s="2300"/>
      <c r="CZ484" s="2300"/>
      <c r="DA484" s="2300"/>
      <c r="DC484" s="329" t="str">
        <f t="shared" si="569"/>
        <v/>
      </c>
      <c r="DD484" s="197"/>
      <c r="DF484" s="14"/>
      <c r="DG484" s="14"/>
      <c r="DH484" s="14"/>
      <c r="DI484" s="1596"/>
      <c r="DJ484" s="1170" t="s">
        <v>2749</v>
      </c>
      <c r="DK484" s="1604" t="str">
        <f t="shared" si="570"/>
        <v/>
      </c>
      <c r="DL484" s="437" t="str">
        <f t="shared" si="571"/>
        <v/>
      </c>
      <c r="DM484" s="1128">
        <f t="shared" si="572"/>
        <v>0</v>
      </c>
      <c r="DN484" s="22">
        <f t="shared" si="573"/>
        <v>0</v>
      </c>
      <c r="DO484" s="22">
        <f t="shared" si="574"/>
        <v>0</v>
      </c>
      <c r="DP484" s="264">
        <f t="shared" si="575"/>
        <v>0</v>
      </c>
      <c r="DQ484" s="32" t="s">
        <v>817</v>
      </c>
      <c r="DR484" s="263" t="str">
        <f>IF($U484="",R483,U484)</f>
        <v>付帯金物の劣化及び損傷の状況</v>
      </c>
      <c r="DS484" s="23">
        <f t="shared" si="576"/>
        <v>0</v>
      </c>
      <c r="DT484" s="29" t="str">
        <f t="shared" si="577"/>
        <v/>
      </c>
      <c r="DU484" s="242" t="str">
        <f t="shared" si="578"/>
        <v/>
      </c>
      <c r="DV484" s="57" t="str">
        <f>IF($DT484="要是正",MAX($DV$474:DV483)+1,"")</f>
        <v/>
      </c>
      <c r="DW484" s="12" t="str">
        <f t="shared" si="579"/>
        <v/>
      </c>
      <c r="DX484" s="30" t="str">
        <f t="shared" si="580"/>
        <v/>
      </c>
      <c r="DY484" s="13" t="str">
        <f t="shared" si="581"/>
        <v/>
      </c>
      <c r="DZ484" s="121" t="str">
        <f t="shared" si="582"/>
        <v/>
      </c>
      <c r="EA484" s="256" t="str">
        <f t="shared" si="583"/>
        <v/>
      </c>
      <c r="EB484" s="138" t="str">
        <f t="shared" si="584"/>
        <v/>
      </c>
      <c r="EC484" s="131" t="str">
        <f t="shared" si="585"/>
        <v>0</v>
      </c>
      <c r="ED484" s="54" t="str">
        <f t="shared" si="586"/>
        <v/>
      </c>
      <c r="EE484" s="131" t="str">
        <f t="shared" si="642"/>
        <v>0</v>
      </c>
      <c r="EF484" s="37" t="str">
        <f t="shared" si="588"/>
        <v/>
      </c>
      <c r="EG484" s="108" t="str">
        <f t="shared" si="589"/>
        <v/>
      </c>
      <c r="EH484" s="41" t="str">
        <f t="shared" si="590"/>
        <v>0</v>
      </c>
      <c r="EI484" s="54" t="str">
        <f t="shared" si="591"/>
        <v/>
      </c>
      <c r="EJ484" s="131" t="str">
        <f t="shared" si="643"/>
        <v>0</v>
      </c>
      <c r="EK484" s="241" t="str">
        <f t="shared" si="593"/>
        <v/>
      </c>
      <c r="EL484" s="242" t="e">
        <f t="shared" si="594"/>
        <v>#N/A</v>
      </c>
      <c r="EM484" s="57" t="e">
        <f t="shared" si="595"/>
        <v>#N/A</v>
      </c>
      <c r="EN484" s="243" t="e">
        <f t="shared" si="596"/>
        <v>#N/A</v>
      </c>
      <c r="FK484" s="326" t="str">
        <f t="shared" si="597"/>
        <v/>
      </c>
      <c r="FL484" s="326" t="str">
        <f t="shared" si="598"/>
        <v/>
      </c>
      <c r="FM484" s="326" t="str">
        <f t="shared" si="599"/>
        <v/>
      </c>
      <c r="FN484" s="326">
        <f t="shared" si="600"/>
        <v>0</v>
      </c>
      <c r="FO484" s="670" t="str">
        <f t="shared" si="601"/>
        <v/>
      </c>
      <c r="FQ484" s="138" t="str">
        <f t="shared" si="602"/>
        <v/>
      </c>
      <c r="FR484" s="131" t="str">
        <f t="shared" si="603"/>
        <v>0</v>
      </c>
      <c r="FS484" s="54" t="str">
        <f t="shared" si="604"/>
        <v/>
      </c>
      <c r="FT484" s="131" t="str">
        <f t="shared" si="605"/>
        <v>0</v>
      </c>
      <c r="FU484" s="217" t="str">
        <f t="shared" si="606"/>
        <v/>
      </c>
      <c r="FW484" s="667">
        <f t="shared" si="644"/>
        <v>0</v>
      </c>
      <c r="FX484" s="32"/>
      <c r="FY484" s="32"/>
      <c r="FZ484" s="668"/>
      <c r="GA484" s="14"/>
      <c r="GB484" s="658">
        <f t="shared" si="607"/>
        <v>0</v>
      </c>
      <c r="GC484" s="658">
        <f t="shared" si="608"/>
        <v>0</v>
      </c>
      <c r="GD484" s="658">
        <f t="shared" si="609"/>
        <v>0</v>
      </c>
      <c r="GE484" s="658" t="str">
        <f t="shared" si="610"/>
        <v/>
      </c>
      <c r="GF484" s="658" t="str">
        <f t="shared" si="611"/>
        <v/>
      </c>
      <c r="GG484" s="658" t="str">
        <f t="shared" si="612"/>
        <v/>
      </c>
      <c r="GH484" s="658" t="str">
        <f t="shared" si="613"/>
        <v/>
      </c>
      <c r="GI484" s="658" t="str">
        <f t="shared" si="614"/>
        <v/>
      </c>
      <c r="GJ484" s="658" t="str">
        <f t="shared" si="615"/>
        <v/>
      </c>
      <c r="GK484" s="658" t="str">
        <f t="shared" si="616"/>
        <v/>
      </c>
      <c r="GL484" s="658" t="str">
        <f t="shared" si="617"/>
        <v/>
      </c>
      <c r="GM484" s="658" t="str">
        <f t="shared" si="618"/>
        <v/>
      </c>
      <c r="GN484" s="658" t="str">
        <f t="shared" si="619"/>
        <v/>
      </c>
      <c r="GO484" s="658" t="str">
        <f t="shared" si="620"/>
        <v/>
      </c>
      <c r="GP484" s="658" t="str">
        <f t="shared" si="621"/>
        <v/>
      </c>
      <c r="GQ484" s="658" t="str">
        <f t="shared" si="622"/>
        <v/>
      </c>
      <c r="GR484" s="658" t="str">
        <f t="shared" si="623"/>
        <v/>
      </c>
      <c r="GS484" s="658" t="str">
        <f t="shared" si="624"/>
        <v/>
      </c>
      <c r="GT484" s="658">
        <f t="shared" si="546"/>
        <v>0</v>
      </c>
      <c r="GU484" s="658">
        <f t="shared" si="547"/>
        <v>0</v>
      </c>
      <c r="GV484" s="658">
        <f t="shared" si="548"/>
        <v>0</v>
      </c>
      <c r="GW484" s="658" t="b">
        <f t="shared" si="549"/>
        <v>0</v>
      </c>
      <c r="GX484" s="658" t="b">
        <f t="shared" si="550"/>
        <v>0</v>
      </c>
      <c r="GY484" s="658" t="b">
        <f t="shared" si="551"/>
        <v>0</v>
      </c>
      <c r="GZ484" s="658" t="str">
        <f t="shared" si="557"/>
        <v/>
      </c>
      <c r="HB484" s="658" t="str">
        <f t="shared" si="552"/>
        <v/>
      </c>
      <c r="HC484" s="658" t="str">
        <f t="shared" si="625"/>
        <v/>
      </c>
      <c r="HD484" s="658" t="str">
        <f t="shared" si="626"/>
        <v/>
      </c>
      <c r="HE484" s="658" t="str">
        <f t="shared" si="627"/>
        <v/>
      </c>
      <c r="HF484" s="658" t="str">
        <f t="shared" si="628"/>
        <v/>
      </c>
      <c r="HG484" s="658" t="str">
        <f t="shared" si="629"/>
        <v/>
      </c>
      <c r="HH484" s="658" t="str">
        <f t="shared" si="630"/>
        <v/>
      </c>
      <c r="HI484" s="658" t="str">
        <f t="shared" si="631"/>
        <v/>
      </c>
      <c r="HJ484" s="658" t="str">
        <f t="shared" si="632"/>
        <v/>
      </c>
      <c r="HK484" s="658" t="str">
        <f t="shared" si="633"/>
        <v/>
      </c>
      <c r="HL484" s="658" t="str">
        <f t="shared" si="634"/>
        <v/>
      </c>
      <c r="HM484" s="658" t="str">
        <f t="shared" si="635"/>
        <v/>
      </c>
      <c r="HN484" s="658" t="str">
        <f t="shared" si="636"/>
        <v/>
      </c>
      <c r="HO484" s="658" t="str">
        <f t="shared" si="637"/>
        <v/>
      </c>
      <c r="HP484" s="658" t="str">
        <f t="shared" si="638"/>
        <v/>
      </c>
      <c r="HQ484" s="658" t="str">
        <f t="shared" si="639"/>
        <v/>
      </c>
      <c r="HR484" s="658" t="str">
        <f t="shared" si="553"/>
        <v/>
      </c>
      <c r="HT484" s="658">
        <f>LEFT(M484,1)*10000+MID(M484,3,LEN(M484)-3)*100+COUNTIF($M$319:M484,M484)</f>
        <v>60701</v>
      </c>
      <c r="HU484" s="658" t="str">
        <f t="shared" si="554"/>
        <v/>
      </c>
      <c r="HV484" s="658" t="str">
        <f t="shared" si="640"/>
        <v/>
      </c>
      <c r="HW484" s="658" t="str">
        <f t="shared" si="555"/>
        <v/>
      </c>
      <c r="HX484" s="658" t="str">
        <f t="shared" si="641"/>
        <v/>
      </c>
    </row>
    <row r="485" spans="1:232" s="19" customFormat="1" ht="50.1" customHeight="1" x14ac:dyDescent="0.15">
      <c r="A485" s="1201"/>
      <c r="B485" s="1201"/>
      <c r="C485" s="1201"/>
      <c r="D485" s="1201"/>
      <c r="E485" s="1202"/>
      <c r="F485" s="652"/>
      <c r="G485" s="652"/>
      <c r="H485" s="652"/>
      <c r="I485" s="1354"/>
      <c r="J485" s="1234"/>
      <c r="K485" s="1261"/>
      <c r="L485" s="1261"/>
      <c r="M485" s="2143" t="s">
        <v>1223</v>
      </c>
      <c r="N485" s="2143"/>
      <c r="O485" s="2143"/>
      <c r="P485" s="2690"/>
      <c r="Q485" s="2690"/>
      <c r="R485" s="2444" t="s">
        <v>188</v>
      </c>
      <c r="S485" s="2444"/>
      <c r="T485" s="2444"/>
      <c r="U485" s="2438" t="s">
        <v>147</v>
      </c>
      <c r="V485" s="2438"/>
      <c r="W485" s="2438"/>
      <c r="X485" s="2438"/>
      <c r="Y485" s="2438"/>
      <c r="Z485" s="2438"/>
      <c r="AA485" s="2438"/>
      <c r="AB485" s="2438"/>
      <c r="AC485" s="2438"/>
      <c r="AD485" s="2438"/>
      <c r="AE485" s="2438"/>
      <c r="AF485" s="2302"/>
      <c r="AG485" s="2302"/>
      <c r="AH485" s="2302"/>
      <c r="AI485" s="2302"/>
      <c r="AJ485" s="2302"/>
      <c r="AK485" s="2302"/>
      <c r="AL485" s="2302"/>
      <c r="AM485" s="2302"/>
      <c r="AN485" s="2302"/>
      <c r="AO485" s="2302"/>
      <c r="AP485" s="2302"/>
      <c r="AQ485" s="2302"/>
      <c r="AR485" s="2272"/>
      <c r="AS485" s="2272"/>
      <c r="AT485" s="2406"/>
      <c r="AU485" s="2406"/>
      <c r="AV485" s="2406"/>
      <c r="AW485" s="2406"/>
      <c r="AX485" s="2406"/>
      <c r="AY485" s="2406"/>
      <c r="AZ485" s="2406"/>
      <c r="BA485" s="2406"/>
      <c r="BB485" s="2406"/>
      <c r="BC485" s="2406"/>
      <c r="BD485" s="2406"/>
      <c r="BE485" s="2406"/>
      <c r="BF485" s="2406"/>
      <c r="BG485" s="2406"/>
      <c r="BH485" s="2406"/>
      <c r="BI485" s="2406"/>
      <c r="BJ485" s="2406"/>
      <c r="BK485" s="2406"/>
      <c r="BL485" s="2406"/>
      <c r="BM485" s="2406"/>
      <c r="BN485" s="2406"/>
      <c r="BO485" s="2406"/>
      <c r="BP485" s="2406"/>
      <c r="BQ485" s="2406"/>
      <c r="BR485" s="2406"/>
      <c r="BS485" s="2271"/>
      <c r="BT485" s="2271"/>
      <c r="BU485" s="2271"/>
      <c r="BV485" s="2271"/>
      <c r="BW485" s="2271"/>
      <c r="BX485" s="2271"/>
      <c r="BY485" s="2271"/>
      <c r="BZ485" s="2272"/>
      <c r="CA485" s="2272"/>
      <c r="CB485" s="2377"/>
      <c r="CC485" s="2378"/>
      <c r="CD485" s="2378"/>
      <c r="CE485" s="2378"/>
      <c r="CF485" s="2378"/>
      <c r="CG485" s="2378"/>
      <c r="CH485" s="2378"/>
      <c r="CI485" s="2378"/>
      <c r="CJ485" s="2378"/>
      <c r="CK485" s="2378"/>
      <c r="CL485" s="2378"/>
      <c r="CM485" s="2378"/>
      <c r="CN485" s="2378"/>
      <c r="CO485" s="2378"/>
      <c r="CP485" s="2378"/>
      <c r="CQ485" s="2378"/>
      <c r="CR485" s="2378"/>
      <c r="CS485" s="2378"/>
      <c r="CT485" s="2378"/>
      <c r="CU485" s="2379"/>
      <c r="CV485" s="2300" t="str">
        <f t="shared" si="568"/>
        <v/>
      </c>
      <c r="CW485" s="2300"/>
      <c r="CX485" s="2300"/>
      <c r="CY485" s="2300"/>
      <c r="CZ485" s="2300"/>
      <c r="DA485" s="2300"/>
      <c r="DC485" s="329" t="str">
        <f t="shared" si="569"/>
        <v/>
      </c>
      <c r="DD485" s="197"/>
      <c r="DF485" s="14"/>
      <c r="DG485" s="14"/>
      <c r="DH485" s="14"/>
      <c r="DI485" s="1596"/>
      <c r="DJ485" s="1170" t="s">
        <v>2749</v>
      </c>
      <c r="DK485" s="1604" t="str">
        <f t="shared" si="570"/>
        <v/>
      </c>
      <c r="DL485" s="437" t="str">
        <f t="shared" si="571"/>
        <v/>
      </c>
      <c r="DM485" s="1128">
        <f t="shared" si="572"/>
        <v>0</v>
      </c>
      <c r="DN485" s="22">
        <f t="shared" si="573"/>
        <v>0</v>
      </c>
      <c r="DO485" s="22">
        <f t="shared" si="574"/>
        <v>0</v>
      </c>
      <c r="DP485" s="264">
        <f t="shared" si="575"/>
        <v>0</v>
      </c>
      <c r="DQ485" s="32" t="s">
        <v>818</v>
      </c>
      <c r="DR485" s="263" t="str">
        <f>IF($U485="",R485,U485)</f>
        <v>煙突本体の劣化及び損傷の状況</v>
      </c>
      <c r="DS485" s="23">
        <f t="shared" si="576"/>
        <v>0</v>
      </c>
      <c r="DT485" s="29" t="str">
        <f t="shared" si="577"/>
        <v/>
      </c>
      <c r="DU485" s="242" t="str">
        <f t="shared" si="578"/>
        <v/>
      </c>
      <c r="DV485" s="57" t="str">
        <f>IF($DT485="要是正",MAX($DV$474:DV484)+1,"")</f>
        <v/>
      </c>
      <c r="DW485" s="12" t="str">
        <f t="shared" si="579"/>
        <v/>
      </c>
      <c r="DX485" s="30" t="str">
        <f t="shared" si="580"/>
        <v/>
      </c>
      <c r="DY485" s="13" t="str">
        <f t="shared" si="581"/>
        <v/>
      </c>
      <c r="DZ485" s="121" t="str">
        <f t="shared" si="582"/>
        <v/>
      </c>
      <c r="EA485" s="256" t="str">
        <f t="shared" si="583"/>
        <v/>
      </c>
      <c r="EB485" s="138" t="str">
        <f t="shared" si="584"/>
        <v/>
      </c>
      <c r="EC485" s="131" t="str">
        <f t="shared" si="585"/>
        <v>0</v>
      </c>
      <c r="ED485" s="54" t="str">
        <f t="shared" si="586"/>
        <v/>
      </c>
      <c r="EE485" s="131" t="str">
        <f t="shared" si="642"/>
        <v>0</v>
      </c>
      <c r="EF485" s="37" t="str">
        <f t="shared" si="588"/>
        <v/>
      </c>
      <c r="EG485" s="108" t="str">
        <f t="shared" si="589"/>
        <v/>
      </c>
      <c r="EH485" s="41" t="str">
        <f t="shared" si="590"/>
        <v>0</v>
      </c>
      <c r="EI485" s="54" t="str">
        <f t="shared" si="591"/>
        <v/>
      </c>
      <c r="EJ485" s="131" t="str">
        <f t="shared" si="643"/>
        <v>0</v>
      </c>
      <c r="EK485" s="241" t="str">
        <f t="shared" si="593"/>
        <v/>
      </c>
      <c r="EL485" s="242" t="e">
        <f t="shared" si="594"/>
        <v>#N/A</v>
      </c>
      <c r="EM485" s="57" t="e">
        <f t="shared" si="595"/>
        <v>#N/A</v>
      </c>
      <c r="EN485" s="243" t="e">
        <f t="shared" si="596"/>
        <v>#N/A</v>
      </c>
      <c r="FK485" s="326" t="str">
        <f t="shared" si="597"/>
        <v/>
      </c>
      <c r="FL485" s="326" t="str">
        <f t="shared" si="598"/>
        <v/>
      </c>
      <c r="FM485" s="326" t="str">
        <f t="shared" si="599"/>
        <v/>
      </c>
      <c r="FN485" s="326">
        <f t="shared" si="600"/>
        <v>0</v>
      </c>
      <c r="FO485" s="670" t="str">
        <f t="shared" si="601"/>
        <v/>
      </c>
      <c r="FQ485" s="138" t="str">
        <f t="shared" si="602"/>
        <v/>
      </c>
      <c r="FR485" s="131" t="str">
        <f t="shared" si="603"/>
        <v>0</v>
      </c>
      <c r="FS485" s="54" t="str">
        <f t="shared" si="604"/>
        <v/>
      </c>
      <c r="FT485" s="131" t="str">
        <f t="shared" si="605"/>
        <v>0</v>
      </c>
      <c r="FU485" s="217" t="str">
        <f t="shared" si="606"/>
        <v/>
      </c>
      <c r="FW485" s="667">
        <f t="shared" si="644"/>
        <v>0</v>
      </c>
      <c r="FX485" s="32"/>
      <c r="FY485" s="32"/>
      <c r="FZ485" s="668"/>
      <c r="GA485" s="14"/>
      <c r="GB485" s="658">
        <f t="shared" si="607"/>
        <v>0</v>
      </c>
      <c r="GC485" s="658">
        <f t="shared" si="608"/>
        <v>0</v>
      </c>
      <c r="GD485" s="658">
        <f t="shared" si="609"/>
        <v>0</v>
      </c>
      <c r="GE485" s="658" t="str">
        <f t="shared" si="610"/>
        <v/>
      </c>
      <c r="GF485" s="658" t="str">
        <f t="shared" si="611"/>
        <v/>
      </c>
      <c r="GG485" s="658" t="str">
        <f t="shared" si="612"/>
        <v/>
      </c>
      <c r="GH485" s="658" t="str">
        <f t="shared" si="613"/>
        <v/>
      </c>
      <c r="GI485" s="658" t="str">
        <f t="shared" si="614"/>
        <v/>
      </c>
      <c r="GJ485" s="658" t="str">
        <f t="shared" si="615"/>
        <v/>
      </c>
      <c r="GK485" s="658" t="str">
        <f t="shared" si="616"/>
        <v/>
      </c>
      <c r="GL485" s="658" t="str">
        <f t="shared" si="617"/>
        <v/>
      </c>
      <c r="GM485" s="658" t="str">
        <f t="shared" si="618"/>
        <v/>
      </c>
      <c r="GN485" s="658" t="str">
        <f t="shared" si="619"/>
        <v/>
      </c>
      <c r="GO485" s="658" t="str">
        <f t="shared" si="620"/>
        <v/>
      </c>
      <c r="GP485" s="658" t="str">
        <f t="shared" si="621"/>
        <v/>
      </c>
      <c r="GQ485" s="658" t="str">
        <f t="shared" si="622"/>
        <v/>
      </c>
      <c r="GR485" s="658" t="str">
        <f t="shared" si="623"/>
        <v/>
      </c>
      <c r="GS485" s="658" t="str">
        <f t="shared" si="624"/>
        <v/>
      </c>
      <c r="GT485" s="658">
        <f t="shared" si="546"/>
        <v>0</v>
      </c>
      <c r="GU485" s="658">
        <f t="shared" si="547"/>
        <v>0</v>
      </c>
      <c r="GV485" s="658">
        <f t="shared" si="548"/>
        <v>0</v>
      </c>
      <c r="GW485" s="658" t="b">
        <f t="shared" si="549"/>
        <v>0</v>
      </c>
      <c r="GX485" s="658" t="b">
        <f t="shared" si="550"/>
        <v>0</v>
      </c>
      <c r="GY485" s="658" t="b">
        <f t="shared" si="551"/>
        <v>0</v>
      </c>
      <c r="GZ485" s="658" t="str">
        <f t="shared" si="557"/>
        <v/>
      </c>
      <c r="HB485" s="658" t="str">
        <f t="shared" si="552"/>
        <v/>
      </c>
      <c r="HC485" s="658" t="str">
        <f t="shared" si="625"/>
        <v/>
      </c>
      <c r="HD485" s="658" t="str">
        <f t="shared" si="626"/>
        <v/>
      </c>
      <c r="HE485" s="658" t="str">
        <f t="shared" si="627"/>
        <v/>
      </c>
      <c r="HF485" s="658" t="str">
        <f t="shared" si="628"/>
        <v/>
      </c>
      <c r="HG485" s="658" t="str">
        <f t="shared" si="629"/>
        <v/>
      </c>
      <c r="HH485" s="658" t="str">
        <f t="shared" si="630"/>
        <v/>
      </c>
      <c r="HI485" s="658" t="str">
        <f t="shared" si="631"/>
        <v/>
      </c>
      <c r="HJ485" s="658" t="str">
        <f t="shared" si="632"/>
        <v/>
      </c>
      <c r="HK485" s="658" t="str">
        <f t="shared" si="633"/>
        <v/>
      </c>
      <c r="HL485" s="658" t="str">
        <f t="shared" si="634"/>
        <v/>
      </c>
      <c r="HM485" s="658" t="str">
        <f t="shared" si="635"/>
        <v/>
      </c>
      <c r="HN485" s="658" t="str">
        <f t="shared" si="636"/>
        <v/>
      </c>
      <c r="HO485" s="658" t="str">
        <f t="shared" si="637"/>
        <v/>
      </c>
      <c r="HP485" s="658" t="str">
        <f t="shared" si="638"/>
        <v/>
      </c>
      <c r="HQ485" s="658" t="str">
        <f t="shared" si="639"/>
        <v/>
      </c>
      <c r="HR485" s="658" t="str">
        <f t="shared" si="553"/>
        <v/>
      </c>
      <c r="HT485" s="658">
        <f>LEFT(M485,1)*10000+MID(M485,3,LEN(M485)-3)*100+COUNTIF($M$319:M485,M485)</f>
        <v>60801</v>
      </c>
      <c r="HU485" s="658" t="str">
        <f t="shared" si="554"/>
        <v/>
      </c>
      <c r="HV485" s="658" t="str">
        <f t="shared" si="640"/>
        <v/>
      </c>
      <c r="HW485" s="658" t="str">
        <f t="shared" si="555"/>
        <v/>
      </c>
      <c r="HX485" s="658" t="str">
        <f t="shared" si="641"/>
        <v/>
      </c>
    </row>
    <row r="486" spans="1:232" s="19" customFormat="1" ht="50.1" customHeight="1" thickBot="1" x14ac:dyDescent="0.2">
      <c r="A486" s="1201"/>
      <c r="B486" s="1201"/>
      <c r="C486" s="1201"/>
      <c r="D486" s="1201"/>
      <c r="E486" s="1202"/>
      <c r="F486" s="652"/>
      <c r="G486" s="652"/>
      <c r="H486" s="652"/>
      <c r="I486" s="1354"/>
      <c r="J486" s="1234"/>
      <c r="K486" s="1261"/>
      <c r="L486" s="1261"/>
      <c r="M486" s="2650" t="s">
        <v>1224</v>
      </c>
      <c r="N486" s="2650"/>
      <c r="O486" s="2650"/>
      <c r="P486" s="2690"/>
      <c r="Q486" s="2690"/>
      <c r="R486" s="2430"/>
      <c r="S486" s="2430"/>
      <c r="T486" s="2430"/>
      <c r="U486" s="2651" t="s">
        <v>146</v>
      </c>
      <c r="V486" s="2651"/>
      <c r="W486" s="2651"/>
      <c r="X486" s="2651"/>
      <c r="Y486" s="2651"/>
      <c r="Z486" s="2651"/>
      <c r="AA486" s="2651"/>
      <c r="AB486" s="2651"/>
      <c r="AC486" s="2651"/>
      <c r="AD486" s="2651"/>
      <c r="AE486" s="2651"/>
      <c r="AF486" s="2490"/>
      <c r="AG486" s="2490"/>
      <c r="AH486" s="2490"/>
      <c r="AI486" s="2490"/>
      <c r="AJ486" s="2490"/>
      <c r="AK486" s="2490"/>
      <c r="AL486" s="2490"/>
      <c r="AM486" s="2490"/>
      <c r="AN486" s="2490"/>
      <c r="AO486" s="2490"/>
      <c r="AP486" s="2490"/>
      <c r="AQ486" s="2490"/>
      <c r="AR486" s="2456"/>
      <c r="AS486" s="2456"/>
      <c r="AT486" s="2481"/>
      <c r="AU486" s="2481"/>
      <c r="AV486" s="2481"/>
      <c r="AW486" s="2481"/>
      <c r="AX486" s="2481"/>
      <c r="AY486" s="2481"/>
      <c r="AZ486" s="2481"/>
      <c r="BA486" s="2481"/>
      <c r="BB486" s="2481"/>
      <c r="BC486" s="2481"/>
      <c r="BD486" s="2481"/>
      <c r="BE486" s="2481"/>
      <c r="BF486" s="2481"/>
      <c r="BG486" s="2481"/>
      <c r="BH486" s="2481"/>
      <c r="BI486" s="2481"/>
      <c r="BJ486" s="2481"/>
      <c r="BK486" s="2481"/>
      <c r="BL486" s="2481"/>
      <c r="BM486" s="2481"/>
      <c r="BN486" s="2481"/>
      <c r="BO486" s="2481"/>
      <c r="BP486" s="2481"/>
      <c r="BQ486" s="2481"/>
      <c r="BR486" s="2481"/>
      <c r="BS486" s="2482"/>
      <c r="BT486" s="2482"/>
      <c r="BU486" s="2482"/>
      <c r="BV486" s="2482"/>
      <c r="BW486" s="2482"/>
      <c r="BX486" s="2482"/>
      <c r="BY486" s="2482"/>
      <c r="BZ486" s="2456"/>
      <c r="CA486" s="2456"/>
      <c r="CB486" s="2401"/>
      <c r="CC486" s="2402"/>
      <c r="CD486" s="2402"/>
      <c r="CE486" s="2402"/>
      <c r="CF486" s="2402"/>
      <c r="CG486" s="2402"/>
      <c r="CH486" s="2402"/>
      <c r="CI486" s="2402"/>
      <c r="CJ486" s="2402"/>
      <c r="CK486" s="2402"/>
      <c r="CL486" s="2402"/>
      <c r="CM486" s="2402"/>
      <c r="CN486" s="2402"/>
      <c r="CO486" s="2402"/>
      <c r="CP486" s="2402"/>
      <c r="CQ486" s="2402"/>
      <c r="CR486" s="2402"/>
      <c r="CS486" s="2402"/>
      <c r="CT486" s="2402"/>
      <c r="CU486" s="2403"/>
      <c r="CV486" s="2300" t="str">
        <f t="shared" si="568"/>
        <v/>
      </c>
      <c r="CW486" s="2300"/>
      <c r="CX486" s="2300"/>
      <c r="CY486" s="2300"/>
      <c r="CZ486" s="2300"/>
      <c r="DA486" s="2300"/>
      <c r="DC486" s="329" t="str">
        <f t="shared" si="569"/>
        <v/>
      </c>
      <c r="DD486" s="197"/>
      <c r="DF486" s="14"/>
      <c r="DG486" s="14"/>
      <c r="DH486" s="14"/>
      <c r="DI486" s="1596"/>
      <c r="DJ486" s="1170" t="s">
        <v>2749</v>
      </c>
      <c r="DK486" s="1604" t="str">
        <f t="shared" si="570"/>
        <v/>
      </c>
      <c r="DL486" s="437" t="str">
        <f t="shared" si="571"/>
        <v/>
      </c>
      <c r="DM486" s="1129">
        <f t="shared" si="572"/>
        <v>0</v>
      </c>
      <c r="DN486" s="266">
        <f t="shared" si="573"/>
        <v>0</v>
      </c>
      <c r="DO486" s="266">
        <f t="shared" si="574"/>
        <v>0</v>
      </c>
      <c r="DP486" s="267">
        <f t="shared" si="575"/>
        <v>0</v>
      </c>
      <c r="DQ486" s="32" t="s">
        <v>819</v>
      </c>
      <c r="DR486" s="265" t="str">
        <f>IF($U486="",R485,U486)</f>
        <v>付帯金物の劣化及び損傷の状況</v>
      </c>
      <c r="DS486" s="125">
        <f t="shared" si="576"/>
        <v>0</v>
      </c>
      <c r="DT486" s="270" t="str">
        <f t="shared" si="577"/>
        <v/>
      </c>
      <c r="DU486" s="136" t="str">
        <f t="shared" si="578"/>
        <v/>
      </c>
      <c r="DV486" s="137" t="str">
        <f>IF($DT486="要是正",MAX($DV$474:DV485)+1,"")</f>
        <v/>
      </c>
      <c r="DW486" s="272" t="str">
        <f t="shared" si="579"/>
        <v/>
      </c>
      <c r="DX486" s="257" t="str">
        <f t="shared" si="580"/>
        <v/>
      </c>
      <c r="DY486" s="258" t="str">
        <f t="shared" si="581"/>
        <v/>
      </c>
      <c r="DZ486" s="259" t="str">
        <f t="shared" si="582"/>
        <v/>
      </c>
      <c r="EA486" s="256" t="str">
        <f t="shared" si="583"/>
        <v/>
      </c>
      <c r="EB486" s="138" t="str">
        <f t="shared" si="584"/>
        <v/>
      </c>
      <c r="EC486" s="131" t="str">
        <f t="shared" si="585"/>
        <v>0</v>
      </c>
      <c r="ED486" s="54" t="str">
        <f t="shared" si="586"/>
        <v/>
      </c>
      <c r="EE486" s="131" t="str">
        <f t="shared" si="642"/>
        <v>0</v>
      </c>
      <c r="EF486" s="37" t="str">
        <f t="shared" si="588"/>
        <v/>
      </c>
      <c r="EG486" s="108" t="str">
        <f t="shared" si="589"/>
        <v/>
      </c>
      <c r="EH486" s="41" t="str">
        <f t="shared" si="590"/>
        <v>0</v>
      </c>
      <c r="EI486" s="54" t="str">
        <f t="shared" si="591"/>
        <v/>
      </c>
      <c r="EJ486" s="131" t="str">
        <f t="shared" si="643"/>
        <v>0</v>
      </c>
      <c r="EK486" s="241" t="str">
        <f t="shared" si="593"/>
        <v/>
      </c>
      <c r="EL486" s="242" t="e">
        <f t="shared" si="594"/>
        <v>#N/A</v>
      </c>
      <c r="EM486" s="57" t="e">
        <f t="shared" si="595"/>
        <v>#N/A</v>
      </c>
      <c r="EN486" s="243" t="e">
        <f t="shared" si="596"/>
        <v>#N/A</v>
      </c>
      <c r="FK486" s="326" t="str">
        <f t="shared" si="597"/>
        <v/>
      </c>
      <c r="FL486" s="326" t="str">
        <f t="shared" si="598"/>
        <v/>
      </c>
      <c r="FM486" s="326" t="str">
        <f t="shared" si="599"/>
        <v/>
      </c>
      <c r="FN486" s="326">
        <f t="shared" si="600"/>
        <v>0</v>
      </c>
      <c r="FO486" s="670" t="str">
        <f t="shared" si="601"/>
        <v/>
      </c>
      <c r="FQ486" s="138" t="str">
        <f t="shared" si="602"/>
        <v/>
      </c>
      <c r="FR486" s="131" t="str">
        <f t="shared" si="603"/>
        <v>0</v>
      </c>
      <c r="FS486" s="54" t="str">
        <f t="shared" si="604"/>
        <v/>
      </c>
      <c r="FT486" s="131" t="str">
        <f t="shared" si="605"/>
        <v>0</v>
      </c>
      <c r="FU486" s="217" t="str">
        <f t="shared" si="606"/>
        <v/>
      </c>
      <c r="FW486" s="667">
        <f t="shared" si="644"/>
        <v>0</v>
      </c>
      <c r="FX486" s="32"/>
      <c r="FY486" s="32"/>
      <c r="FZ486" s="668"/>
      <c r="GA486" s="14"/>
      <c r="GB486" s="658">
        <f t="shared" si="607"/>
        <v>0</v>
      </c>
      <c r="GC486" s="658">
        <f t="shared" si="608"/>
        <v>0</v>
      </c>
      <c r="GD486" s="658">
        <f t="shared" si="609"/>
        <v>0</v>
      </c>
      <c r="GE486" s="658" t="str">
        <f t="shared" si="610"/>
        <v/>
      </c>
      <c r="GF486" s="658" t="str">
        <f t="shared" si="611"/>
        <v/>
      </c>
      <c r="GG486" s="658" t="str">
        <f t="shared" si="612"/>
        <v/>
      </c>
      <c r="GH486" s="658" t="str">
        <f t="shared" si="613"/>
        <v/>
      </c>
      <c r="GI486" s="658" t="str">
        <f t="shared" si="614"/>
        <v/>
      </c>
      <c r="GJ486" s="658" t="str">
        <f t="shared" si="615"/>
        <v/>
      </c>
      <c r="GK486" s="658" t="str">
        <f t="shared" si="616"/>
        <v/>
      </c>
      <c r="GL486" s="658" t="str">
        <f t="shared" si="617"/>
        <v/>
      </c>
      <c r="GM486" s="658" t="str">
        <f t="shared" si="618"/>
        <v/>
      </c>
      <c r="GN486" s="658" t="str">
        <f t="shared" si="619"/>
        <v/>
      </c>
      <c r="GO486" s="658" t="str">
        <f t="shared" si="620"/>
        <v/>
      </c>
      <c r="GP486" s="658" t="str">
        <f t="shared" si="621"/>
        <v/>
      </c>
      <c r="GQ486" s="658" t="str">
        <f t="shared" si="622"/>
        <v/>
      </c>
      <c r="GR486" s="658" t="str">
        <f t="shared" si="623"/>
        <v/>
      </c>
      <c r="GS486" s="658" t="str">
        <f t="shared" si="624"/>
        <v/>
      </c>
      <c r="GT486" s="658">
        <f t="shared" si="546"/>
        <v>0</v>
      </c>
      <c r="GU486" s="658">
        <f t="shared" si="547"/>
        <v>0</v>
      </c>
      <c r="GV486" s="658">
        <f t="shared" si="548"/>
        <v>0</v>
      </c>
      <c r="GW486" s="658" t="b">
        <f t="shared" si="549"/>
        <v>0</v>
      </c>
      <c r="GX486" s="658" t="b">
        <f t="shared" si="550"/>
        <v>0</v>
      </c>
      <c r="GY486" s="658" t="b">
        <f t="shared" si="551"/>
        <v>0</v>
      </c>
      <c r="GZ486" s="658" t="str">
        <f t="shared" si="557"/>
        <v/>
      </c>
      <c r="HB486" s="658" t="str">
        <f t="shared" si="552"/>
        <v/>
      </c>
      <c r="HC486" s="658" t="str">
        <f t="shared" si="625"/>
        <v/>
      </c>
      <c r="HD486" s="658" t="str">
        <f t="shared" si="626"/>
        <v/>
      </c>
      <c r="HE486" s="658" t="str">
        <f t="shared" si="627"/>
        <v/>
      </c>
      <c r="HF486" s="658" t="str">
        <f t="shared" si="628"/>
        <v/>
      </c>
      <c r="HG486" s="658" t="str">
        <f t="shared" si="629"/>
        <v/>
      </c>
      <c r="HH486" s="658" t="str">
        <f t="shared" si="630"/>
        <v/>
      </c>
      <c r="HI486" s="658" t="str">
        <f t="shared" si="631"/>
        <v/>
      </c>
      <c r="HJ486" s="658" t="str">
        <f t="shared" si="632"/>
        <v/>
      </c>
      <c r="HK486" s="658" t="str">
        <f t="shared" si="633"/>
        <v/>
      </c>
      <c r="HL486" s="658" t="str">
        <f t="shared" si="634"/>
        <v/>
      </c>
      <c r="HM486" s="658" t="str">
        <f t="shared" si="635"/>
        <v/>
      </c>
      <c r="HN486" s="658" t="str">
        <f t="shared" si="636"/>
        <v/>
      </c>
      <c r="HO486" s="658" t="str">
        <f t="shared" si="637"/>
        <v/>
      </c>
      <c r="HP486" s="658" t="str">
        <f t="shared" si="638"/>
        <v/>
      </c>
      <c r="HQ486" s="658" t="str">
        <f t="shared" si="639"/>
        <v/>
      </c>
      <c r="HR486" s="658" t="str">
        <f t="shared" si="553"/>
        <v/>
      </c>
      <c r="HT486" s="658">
        <f>LEFT(M486,1)*10000+MID(M486,3,LEN(M486)-3)*100+COUNTIF($M$319:M486,M486)</f>
        <v>60901</v>
      </c>
      <c r="HU486" s="658" t="str">
        <f t="shared" si="554"/>
        <v/>
      </c>
      <c r="HV486" s="658" t="str">
        <f t="shared" si="640"/>
        <v/>
      </c>
      <c r="HW486" s="658" t="str">
        <f t="shared" si="555"/>
        <v/>
      </c>
      <c r="HX486" s="658" t="str">
        <f t="shared" si="641"/>
        <v/>
      </c>
    </row>
    <row r="487" spans="1:232" s="19" customFormat="1" ht="50.1" hidden="1" customHeight="1" thickBot="1" x14ac:dyDescent="0.2">
      <c r="A487" s="1201"/>
      <c r="B487" s="1201"/>
      <c r="C487" s="1201"/>
      <c r="D487" s="1201"/>
      <c r="E487" s="1202"/>
      <c r="F487" s="652"/>
      <c r="G487" s="652"/>
      <c r="H487" s="652"/>
      <c r="I487" s="1354"/>
      <c r="J487" s="1234"/>
      <c r="K487" s="1261"/>
      <c r="L487" s="1261"/>
      <c r="M487" s="2149" t="s">
        <v>1729</v>
      </c>
      <c r="N487" s="2149"/>
      <c r="O487" s="2149"/>
      <c r="P487" s="2690"/>
      <c r="Q487" s="2690"/>
      <c r="R487" s="2430"/>
      <c r="S487" s="2430"/>
      <c r="T487" s="2430"/>
      <c r="U487" s="2435"/>
      <c r="V487" s="2435"/>
      <c r="W487" s="2435"/>
      <c r="X487" s="2435"/>
      <c r="Y487" s="2435"/>
      <c r="Z487" s="2435"/>
      <c r="AA487" s="2435"/>
      <c r="AB487" s="2435"/>
      <c r="AC487" s="2435"/>
      <c r="AD487" s="2435"/>
      <c r="AE487" s="2435"/>
      <c r="AF487" s="2434"/>
      <c r="AG487" s="2434"/>
      <c r="AH487" s="2434"/>
      <c r="AI487" s="2434"/>
      <c r="AJ487" s="2434"/>
      <c r="AK487" s="2434"/>
      <c r="AL487" s="2434"/>
      <c r="AM487" s="2434"/>
      <c r="AN487" s="2434"/>
      <c r="AO487" s="2434"/>
      <c r="AP487" s="2434"/>
      <c r="AQ487" s="2434"/>
      <c r="AR487" s="2307"/>
      <c r="AS487" s="2307"/>
      <c r="AT487" s="2410"/>
      <c r="AU487" s="2410"/>
      <c r="AV487" s="2410"/>
      <c r="AW487" s="2410"/>
      <c r="AX487" s="2410"/>
      <c r="AY487" s="2410"/>
      <c r="AZ487" s="2410"/>
      <c r="BA487" s="2410"/>
      <c r="BB487" s="2410"/>
      <c r="BC487" s="2410"/>
      <c r="BD487" s="2410"/>
      <c r="BE487" s="2410"/>
      <c r="BF487" s="2410"/>
      <c r="BG487" s="2410"/>
      <c r="BH487" s="2410"/>
      <c r="BI487" s="2410"/>
      <c r="BJ487" s="2410"/>
      <c r="BK487" s="2410"/>
      <c r="BL487" s="2410"/>
      <c r="BM487" s="2410"/>
      <c r="BN487" s="2410"/>
      <c r="BO487" s="2410"/>
      <c r="BP487" s="2410"/>
      <c r="BQ487" s="2410"/>
      <c r="BR487" s="2410"/>
      <c r="BS487" s="2296"/>
      <c r="BT487" s="2296"/>
      <c r="BU487" s="2296"/>
      <c r="BV487" s="2296"/>
      <c r="BW487" s="2296"/>
      <c r="BX487" s="2296"/>
      <c r="BY487" s="2296"/>
      <c r="BZ487" s="2307"/>
      <c r="CA487" s="2307"/>
      <c r="CB487" s="2317"/>
      <c r="CC487" s="2174"/>
      <c r="CD487" s="2174"/>
      <c r="CE487" s="2174"/>
      <c r="CF487" s="2174"/>
      <c r="CG487" s="2174"/>
      <c r="CH487" s="2174"/>
      <c r="CI487" s="2174"/>
      <c r="CJ487" s="2174"/>
      <c r="CK487" s="2174"/>
      <c r="CL487" s="2174"/>
      <c r="CM487" s="2174"/>
      <c r="CN487" s="2174"/>
      <c r="CO487" s="2174"/>
      <c r="CP487" s="2174"/>
      <c r="CQ487" s="2174"/>
      <c r="CR487" s="2174"/>
      <c r="CS487" s="2174"/>
      <c r="CT487" s="2174"/>
      <c r="CU487" s="2318"/>
      <c r="CV487" s="2300" t="str">
        <f t="shared" ref="CV487:CV491" si="645">IF(AND(DT487="要是正",DU487&lt;21),HYPERLINK("#"&amp;EL487&amp;"!"&amp;EM487&amp;":"&amp;EN487&amp;"","関連写真添付"),"")</f>
        <v/>
      </c>
      <c r="CW487" s="2300"/>
      <c r="CX487" s="2300"/>
      <c r="CY487" s="2300"/>
      <c r="CZ487" s="2300"/>
      <c r="DA487" s="2300"/>
      <c r="DC487" s="329" t="str">
        <f t="shared" ref="DC487:DC491" si="646">IF(AND(DU487&lt;&gt;"",DU487&gt;20),"「別途様式を作成、提出してください。」","")</f>
        <v/>
      </c>
      <c r="DD487" s="197"/>
      <c r="DF487" s="14"/>
      <c r="DG487" s="14"/>
      <c r="DH487" s="14"/>
      <c r="DI487" s="1596"/>
      <c r="DJ487" s="1170" t="s">
        <v>2749</v>
      </c>
      <c r="DK487" s="1604" t="str">
        <f t="shared" si="570"/>
        <v/>
      </c>
      <c r="DL487" s="437" t="str">
        <f t="shared" si="571"/>
        <v/>
      </c>
      <c r="DM487" s="1129">
        <f t="shared" si="572"/>
        <v>0</v>
      </c>
      <c r="DN487" s="266">
        <f t="shared" si="573"/>
        <v>0</v>
      </c>
      <c r="DO487" s="266">
        <f t="shared" si="574"/>
        <v>0</v>
      </c>
      <c r="DP487" s="267">
        <f t="shared" si="575"/>
        <v>0</v>
      </c>
      <c r="DQ487" s="32" t="s">
        <v>1752</v>
      </c>
      <c r="DR487" s="265">
        <f>IF($U487="",R487,U487)</f>
        <v>0</v>
      </c>
      <c r="DS487" s="125">
        <f t="shared" si="576"/>
        <v>0</v>
      </c>
      <c r="DT487" s="270" t="str">
        <f t="shared" si="577"/>
        <v/>
      </c>
      <c r="DU487" s="136" t="str">
        <f t="shared" si="578"/>
        <v/>
      </c>
      <c r="DV487" s="137" t="str">
        <f>IF($DT487="要是正",MAX($DV$474:DV486)+1,"")</f>
        <v/>
      </c>
      <c r="DW487" s="272" t="str">
        <f t="shared" si="579"/>
        <v/>
      </c>
      <c r="DX487" s="257" t="str">
        <f t="shared" si="580"/>
        <v/>
      </c>
      <c r="DY487" s="258" t="str">
        <f t="shared" si="581"/>
        <v/>
      </c>
      <c r="DZ487" s="259" t="str">
        <f t="shared" si="582"/>
        <v/>
      </c>
      <c r="EA487" s="256" t="str">
        <f t="shared" si="583"/>
        <v/>
      </c>
      <c r="EB487" s="138" t="str">
        <f t="shared" si="584"/>
        <v/>
      </c>
      <c r="EC487" s="131" t="str">
        <f t="shared" si="585"/>
        <v>0</v>
      </c>
      <c r="ED487" s="54" t="str">
        <f t="shared" si="586"/>
        <v/>
      </c>
      <c r="EE487" s="131" t="str">
        <f t="shared" ref="EE487:EE491" si="647">IF(ED487=1,EC487,"0")</f>
        <v>0</v>
      </c>
      <c r="EF487" s="37" t="str">
        <f t="shared" si="588"/>
        <v/>
      </c>
      <c r="EG487" s="108" t="str">
        <f t="shared" si="589"/>
        <v/>
      </c>
      <c r="EH487" s="41" t="str">
        <f t="shared" si="590"/>
        <v>0</v>
      </c>
      <c r="EI487" s="54" t="str">
        <f t="shared" si="591"/>
        <v/>
      </c>
      <c r="EJ487" s="131" t="str">
        <f t="shared" ref="EJ487:EJ491" si="648">IF(EI487=1,EH487,"0")</f>
        <v>0</v>
      </c>
      <c r="EK487" s="241" t="str">
        <f t="shared" si="593"/>
        <v/>
      </c>
      <c r="EL487" s="242" t="e">
        <f t="shared" ref="EL487:EL491" si="649">VLOOKUP($DU487,$EO$318:$ER$346,2,FALSE)</f>
        <v>#N/A</v>
      </c>
      <c r="EM487" s="57" t="e">
        <f t="shared" ref="EM487:EM491" si="650">VLOOKUP($DU487,$EO$318:$ER$346,3,FALSE)</f>
        <v>#N/A</v>
      </c>
      <c r="EN487" s="243" t="e">
        <f t="shared" ref="EN487:EN491" si="651">VLOOKUP($DU487,$EO$318:$ER$346,4,FALSE)</f>
        <v>#N/A</v>
      </c>
      <c r="FK487" s="326" t="str">
        <f t="shared" si="597"/>
        <v/>
      </c>
      <c r="FL487" s="326" t="str">
        <f t="shared" si="598"/>
        <v/>
      </c>
      <c r="FM487" s="326" t="str">
        <f t="shared" si="599"/>
        <v/>
      </c>
      <c r="FN487" s="326">
        <f t="shared" si="600"/>
        <v>0</v>
      </c>
      <c r="FO487" s="670" t="str">
        <f t="shared" si="601"/>
        <v/>
      </c>
      <c r="FQ487" s="138" t="str">
        <f t="shared" si="602"/>
        <v/>
      </c>
      <c r="FR487" s="131" t="str">
        <f t="shared" si="603"/>
        <v>0</v>
      </c>
      <c r="FS487" s="54" t="str">
        <f t="shared" si="604"/>
        <v/>
      </c>
      <c r="FT487" s="131" t="str">
        <f t="shared" ref="FT487:FT491" si="652">IF(FS487=1,FR487,"0")</f>
        <v>0</v>
      </c>
      <c r="FU487" s="217" t="str">
        <f t="shared" ref="FU487:FU491" si="653">IF(AND(FM487="要是正",AND(FL487=0,DR487="未定")),DR487,"")</f>
        <v/>
      </c>
      <c r="FW487" s="667">
        <f t="shared" si="644"/>
        <v>0</v>
      </c>
      <c r="FX487" s="32"/>
      <c r="FY487" s="32"/>
      <c r="FZ487" s="668"/>
      <c r="GA487" s="14"/>
      <c r="GB487" s="32">
        <f t="shared" si="607"/>
        <v>0</v>
      </c>
      <c r="GC487" s="32">
        <f t="shared" si="608"/>
        <v>0</v>
      </c>
      <c r="GD487" s="19">
        <f t="shared" si="609"/>
        <v>0</v>
      </c>
      <c r="GE487" s="658" t="str">
        <f t="shared" si="610"/>
        <v/>
      </c>
      <c r="GF487" s="658" t="str">
        <f t="shared" si="611"/>
        <v/>
      </c>
      <c r="GG487" s="658" t="str">
        <f t="shared" si="612"/>
        <v/>
      </c>
      <c r="GH487" s="658" t="str">
        <f t="shared" si="613"/>
        <v/>
      </c>
      <c r="GI487" s="658" t="str">
        <f t="shared" si="614"/>
        <v/>
      </c>
      <c r="GJ487" s="658" t="str">
        <f t="shared" si="615"/>
        <v/>
      </c>
      <c r="GK487" s="658" t="str">
        <f t="shared" si="616"/>
        <v/>
      </c>
      <c r="GL487" s="658" t="str">
        <f t="shared" si="617"/>
        <v/>
      </c>
      <c r="GM487" s="658" t="str">
        <f t="shared" si="618"/>
        <v/>
      </c>
      <c r="GN487" s="658" t="str">
        <f t="shared" si="619"/>
        <v/>
      </c>
      <c r="GO487" s="658" t="str">
        <f t="shared" si="620"/>
        <v/>
      </c>
      <c r="GP487" s="658" t="str">
        <f t="shared" si="621"/>
        <v/>
      </c>
      <c r="GQ487" s="658" t="str">
        <f t="shared" si="622"/>
        <v/>
      </c>
      <c r="GR487" s="658" t="str">
        <f t="shared" si="623"/>
        <v/>
      </c>
      <c r="GS487" s="658" t="str">
        <f t="shared" si="624"/>
        <v/>
      </c>
      <c r="GT487" s="658">
        <f t="shared" si="546"/>
        <v>0</v>
      </c>
      <c r="GU487" s="658">
        <f t="shared" si="547"/>
        <v>0</v>
      </c>
      <c r="GV487" s="658">
        <f t="shared" si="548"/>
        <v>0</v>
      </c>
      <c r="GW487" s="658" t="b">
        <f t="shared" si="549"/>
        <v>0</v>
      </c>
      <c r="GX487" s="658" t="b">
        <f t="shared" si="550"/>
        <v>0</v>
      </c>
      <c r="GY487" s="658" t="b">
        <f t="shared" si="551"/>
        <v>0</v>
      </c>
      <c r="GZ487" s="658" t="str">
        <f t="shared" si="557"/>
        <v/>
      </c>
      <c r="HB487" s="658" t="str">
        <f t="shared" si="552"/>
        <v/>
      </c>
      <c r="HC487" s="658" t="str">
        <f t="shared" si="625"/>
        <v/>
      </c>
      <c r="HD487" s="658" t="str">
        <f t="shared" si="626"/>
        <v/>
      </c>
      <c r="HE487" s="658" t="str">
        <f t="shared" si="627"/>
        <v/>
      </c>
      <c r="HF487" s="658" t="str">
        <f t="shared" si="628"/>
        <v/>
      </c>
      <c r="HG487" s="658" t="str">
        <f t="shared" si="629"/>
        <v/>
      </c>
      <c r="HH487" s="658" t="str">
        <f t="shared" si="630"/>
        <v/>
      </c>
      <c r="HI487" s="658" t="str">
        <f t="shared" si="631"/>
        <v/>
      </c>
      <c r="HJ487" s="658" t="str">
        <f t="shared" si="632"/>
        <v/>
      </c>
      <c r="HK487" s="658" t="str">
        <f t="shared" si="633"/>
        <v/>
      </c>
      <c r="HL487" s="658" t="str">
        <f t="shared" si="634"/>
        <v/>
      </c>
      <c r="HM487" s="658" t="str">
        <f t="shared" si="635"/>
        <v/>
      </c>
      <c r="HN487" s="658" t="str">
        <f t="shared" si="636"/>
        <v/>
      </c>
      <c r="HO487" s="658" t="str">
        <f t="shared" si="637"/>
        <v/>
      </c>
      <c r="HP487" s="658" t="str">
        <f t="shared" si="638"/>
        <v/>
      </c>
      <c r="HQ487" s="658" t="str">
        <f t="shared" si="639"/>
        <v/>
      </c>
      <c r="HR487" s="658" t="str">
        <f t="shared" si="553"/>
        <v/>
      </c>
      <c r="HT487" s="658">
        <f>LEFT(M487,1)*10000+MID(M487,3,LEN(M487)-3)*100+COUNTIF($M$319:M487,M487)</f>
        <v>61001</v>
      </c>
      <c r="HU487" s="658" t="str">
        <f t="shared" si="554"/>
        <v/>
      </c>
      <c r="HV487" s="658" t="str">
        <f t="shared" si="640"/>
        <v/>
      </c>
      <c r="HW487" s="658" t="str">
        <f t="shared" si="555"/>
        <v/>
      </c>
      <c r="HX487" s="658" t="str">
        <f t="shared" si="641"/>
        <v/>
      </c>
    </row>
    <row r="488" spans="1:232" s="19" customFormat="1" ht="50.1" hidden="1" customHeight="1" thickBot="1" x14ac:dyDescent="0.2">
      <c r="A488" s="1201"/>
      <c r="B488" s="1201"/>
      <c r="C488" s="1201"/>
      <c r="D488" s="1201"/>
      <c r="E488" s="1202"/>
      <c r="F488" s="652"/>
      <c r="G488" s="652"/>
      <c r="H488" s="652"/>
      <c r="I488" s="1354"/>
      <c r="J488" s="1234"/>
      <c r="K488" s="1261"/>
      <c r="L488" s="1261"/>
      <c r="M488" s="2149" t="s">
        <v>1730</v>
      </c>
      <c r="N488" s="2149"/>
      <c r="O488" s="2149"/>
      <c r="P488" s="2690"/>
      <c r="Q488" s="2690"/>
      <c r="R488" s="2430"/>
      <c r="S488" s="2430"/>
      <c r="T488" s="2430"/>
      <c r="U488" s="2435"/>
      <c r="V488" s="2435"/>
      <c r="W488" s="2435"/>
      <c r="X488" s="2435"/>
      <c r="Y488" s="2435"/>
      <c r="Z488" s="2435"/>
      <c r="AA488" s="2435"/>
      <c r="AB488" s="2435"/>
      <c r="AC488" s="2435"/>
      <c r="AD488" s="2435"/>
      <c r="AE488" s="2435"/>
      <c r="AF488" s="2434"/>
      <c r="AG488" s="2434"/>
      <c r="AH488" s="2434"/>
      <c r="AI488" s="2434"/>
      <c r="AJ488" s="2434"/>
      <c r="AK488" s="2434"/>
      <c r="AL488" s="2434"/>
      <c r="AM488" s="2434"/>
      <c r="AN488" s="2434"/>
      <c r="AO488" s="2434"/>
      <c r="AP488" s="2434"/>
      <c r="AQ488" s="2434"/>
      <c r="AR488" s="2307"/>
      <c r="AS488" s="2307"/>
      <c r="AT488" s="2410"/>
      <c r="AU488" s="2410"/>
      <c r="AV488" s="2410"/>
      <c r="AW488" s="2410"/>
      <c r="AX488" s="2410"/>
      <c r="AY488" s="2410"/>
      <c r="AZ488" s="2410"/>
      <c r="BA488" s="2410"/>
      <c r="BB488" s="2410"/>
      <c r="BC488" s="2410"/>
      <c r="BD488" s="2410"/>
      <c r="BE488" s="2410"/>
      <c r="BF488" s="2410"/>
      <c r="BG488" s="2410"/>
      <c r="BH488" s="2410"/>
      <c r="BI488" s="2410"/>
      <c r="BJ488" s="2410"/>
      <c r="BK488" s="2410"/>
      <c r="BL488" s="2410"/>
      <c r="BM488" s="2410"/>
      <c r="BN488" s="2410"/>
      <c r="BO488" s="2410"/>
      <c r="BP488" s="2410"/>
      <c r="BQ488" s="2410"/>
      <c r="BR488" s="2410"/>
      <c r="BS488" s="2296"/>
      <c r="BT488" s="2296"/>
      <c r="BU488" s="2296"/>
      <c r="BV488" s="2296"/>
      <c r="BW488" s="2296"/>
      <c r="BX488" s="2296"/>
      <c r="BY488" s="2296"/>
      <c r="BZ488" s="2307"/>
      <c r="CA488" s="2307"/>
      <c r="CB488" s="2317"/>
      <c r="CC488" s="2174"/>
      <c r="CD488" s="2174"/>
      <c r="CE488" s="2174"/>
      <c r="CF488" s="2174"/>
      <c r="CG488" s="2174"/>
      <c r="CH488" s="2174"/>
      <c r="CI488" s="2174"/>
      <c r="CJ488" s="2174"/>
      <c r="CK488" s="2174"/>
      <c r="CL488" s="2174"/>
      <c r="CM488" s="2174"/>
      <c r="CN488" s="2174"/>
      <c r="CO488" s="2174"/>
      <c r="CP488" s="2174"/>
      <c r="CQ488" s="2174"/>
      <c r="CR488" s="2174"/>
      <c r="CS488" s="2174"/>
      <c r="CT488" s="2174"/>
      <c r="CU488" s="2318"/>
      <c r="CV488" s="2300" t="str">
        <f t="shared" si="645"/>
        <v/>
      </c>
      <c r="CW488" s="2300"/>
      <c r="CX488" s="2300"/>
      <c r="CY488" s="2300"/>
      <c r="CZ488" s="2300"/>
      <c r="DA488" s="2300"/>
      <c r="DC488" s="329" t="str">
        <f t="shared" si="646"/>
        <v/>
      </c>
      <c r="DD488" s="197"/>
      <c r="DF488" s="14"/>
      <c r="DG488" s="14"/>
      <c r="DH488" s="14"/>
      <c r="DI488" s="1596"/>
      <c r="DJ488" s="1170" t="s">
        <v>2749</v>
      </c>
      <c r="DK488" s="1604" t="str">
        <f t="shared" si="570"/>
        <v/>
      </c>
      <c r="DL488" s="437" t="str">
        <f t="shared" si="571"/>
        <v/>
      </c>
      <c r="DM488" s="1129">
        <f t="shared" si="572"/>
        <v>0</v>
      </c>
      <c r="DN488" s="266">
        <f t="shared" si="573"/>
        <v>0</v>
      </c>
      <c r="DO488" s="266">
        <f t="shared" si="574"/>
        <v>0</v>
      </c>
      <c r="DP488" s="267">
        <f t="shared" si="575"/>
        <v>0</v>
      </c>
      <c r="DQ488" s="32" t="s">
        <v>1753</v>
      </c>
      <c r="DR488" s="265">
        <f>IF($U488="",R488,U488)</f>
        <v>0</v>
      </c>
      <c r="DS488" s="125">
        <f t="shared" si="576"/>
        <v>0</v>
      </c>
      <c r="DT488" s="270" t="str">
        <f t="shared" si="577"/>
        <v/>
      </c>
      <c r="DU488" s="136" t="str">
        <f t="shared" si="578"/>
        <v/>
      </c>
      <c r="DV488" s="137" t="str">
        <f>IF($DT488="要是正",MAX($DV$474:DV487)+1,"")</f>
        <v/>
      </c>
      <c r="DW488" s="272" t="str">
        <f t="shared" si="579"/>
        <v/>
      </c>
      <c r="DX488" s="257" t="str">
        <f t="shared" si="580"/>
        <v/>
      </c>
      <c r="DY488" s="258" t="str">
        <f t="shared" si="581"/>
        <v/>
      </c>
      <c r="DZ488" s="259" t="str">
        <f t="shared" si="582"/>
        <v/>
      </c>
      <c r="EA488" s="256" t="str">
        <f t="shared" si="583"/>
        <v/>
      </c>
      <c r="EB488" s="138" t="str">
        <f t="shared" si="584"/>
        <v/>
      </c>
      <c r="EC488" s="131" t="str">
        <f t="shared" si="585"/>
        <v>0</v>
      </c>
      <c r="ED488" s="54" t="str">
        <f t="shared" si="586"/>
        <v/>
      </c>
      <c r="EE488" s="131" t="str">
        <f t="shared" si="647"/>
        <v>0</v>
      </c>
      <c r="EF488" s="37" t="str">
        <f t="shared" si="588"/>
        <v/>
      </c>
      <c r="EG488" s="108" t="str">
        <f t="shared" si="589"/>
        <v/>
      </c>
      <c r="EH488" s="41" t="str">
        <f t="shared" si="590"/>
        <v>0</v>
      </c>
      <c r="EI488" s="54" t="str">
        <f t="shared" si="591"/>
        <v/>
      </c>
      <c r="EJ488" s="131" t="str">
        <f t="shared" si="648"/>
        <v>0</v>
      </c>
      <c r="EK488" s="241" t="str">
        <f t="shared" si="593"/>
        <v/>
      </c>
      <c r="EL488" s="242" t="e">
        <f t="shared" si="649"/>
        <v>#N/A</v>
      </c>
      <c r="EM488" s="57" t="e">
        <f t="shared" si="650"/>
        <v>#N/A</v>
      </c>
      <c r="EN488" s="243" t="e">
        <f t="shared" si="651"/>
        <v>#N/A</v>
      </c>
      <c r="FK488" s="326" t="str">
        <f t="shared" si="597"/>
        <v/>
      </c>
      <c r="FL488" s="326" t="str">
        <f t="shared" si="598"/>
        <v/>
      </c>
      <c r="FM488" s="326" t="str">
        <f t="shared" si="599"/>
        <v/>
      </c>
      <c r="FN488" s="326">
        <f t="shared" si="600"/>
        <v>0</v>
      </c>
      <c r="FO488" s="670" t="str">
        <f t="shared" si="601"/>
        <v/>
      </c>
      <c r="FQ488" s="138" t="str">
        <f t="shared" si="602"/>
        <v/>
      </c>
      <c r="FR488" s="131" t="str">
        <f t="shared" si="603"/>
        <v>0</v>
      </c>
      <c r="FS488" s="54" t="str">
        <f t="shared" si="604"/>
        <v/>
      </c>
      <c r="FT488" s="131" t="str">
        <f t="shared" si="652"/>
        <v>0</v>
      </c>
      <c r="FU488" s="217" t="str">
        <f t="shared" si="653"/>
        <v/>
      </c>
      <c r="FW488" s="667">
        <f t="shared" si="644"/>
        <v>0</v>
      </c>
      <c r="FX488" s="32"/>
      <c r="FY488" s="32"/>
      <c r="FZ488" s="668"/>
      <c r="GA488" s="14"/>
      <c r="GB488" s="32">
        <f t="shared" si="607"/>
        <v>0</v>
      </c>
      <c r="GC488" s="32">
        <f t="shared" si="608"/>
        <v>0</v>
      </c>
      <c r="GD488" s="19">
        <f t="shared" si="609"/>
        <v>0</v>
      </c>
      <c r="GE488" s="658" t="str">
        <f t="shared" si="610"/>
        <v/>
      </c>
      <c r="GF488" s="658" t="str">
        <f t="shared" si="611"/>
        <v/>
      </c>
      <c r="GG488" s="658" t="str">
        <f t="shared" si="612"/>
        <v/>
      </c>
      <c r="GH488" s="658" t="str">
        <f t="shared" si="613"/>
        <v/>
      </c>
      <c r="GI488" s="658" t="str">
        <f t="shared" si="614"/>
        <v/>
      </c>
      <c r="GJ488" s="658" t="str">
        <f t="shared" si="615"/>
        <v/>
      </c>
      <c r="GK488" s="658" t="str">
        <f t="shared" si="616"/>
        <v/>
      </c>
      <c r="GL488" s="658" t="str">
        <f t="shared" si="617"/>
        <v/>
      </c>
      <c r="GM488" s="658" t="str">
        <f t="shared" si="618"/>
        <v/>
      </c>
      <c r="GN488" s="658" t="str">
        <f t="shared" si="619"/>
        <v/>
      </c>
      <c r="GO488" s="658" t="str">
        <f t="shared" si="620"/>
        <v/>
      </c>
      <c r="GP488" s="658" t="str">
        <f t="shared" si="621"/>
        <v/>
      </c>
      <c r="GQ488" s="658" t="str">
        <f t="shared" si="622"/>
        <v/>
      </c>
      <c r="GR488" s="658" t="str">
        <f t="shared" si="623"/>
        <v/>
      </c>
      <c r="GS488" s="658" t="str">
        <f t="shared" si="624"/>
        <v/>
      </c>
      <c r="GT488" s="658">
        <f t="shared" si="546"/>
        <v>0</v>
      </c>
      <c r="GU488" s="658">
        <f t="shared" si="547"/>
        <v>0</v>
      </c>
      <c r="GV488" s="658">
        <f t="shared" si="548"/>
        <v>0</v>
      </c>
      <c r="GW488" s="658" t="b">
        <f t="shared" si="549"/>
        <v>0</v>
      </c>
      <c r="GX488" s="658" t="b">
        <f t="shared" si="550"/>
        <v>0</v>
      </c>
      <c r="GY488" s="658" t="b">
        <f t="shared" si="551"/>
        <v>0</v>
      </c>
      <c r="GZ488" s="658" t="str">
        <f t="shared" si="557"/>
        <v/>
      </c>
      <c r="HB488" s="658" t="str">
        <f t="shared" si="552"/>
        <v/>
      </c>
      <c r="HC488" s="658" t="str">
        <f t="shared" si="625"/>
        <v/>
      </c>
      <c r="HD488" s="658" t="str">
        <f t="shared" si="626"/>
        <v/>
      </c>
      <c r="HE488" s="658" t="str">
        <f t="shared" si="627"/>
        <v/>
      </c>
      <c r="HF488" s="658" t="str">
        <f t="shared" si="628"/>
        <v/>
      </c>
      <c r="HG488" s="658" t="str">
        <f t="shared" si="629"/>
        <v/>
      </c>
      <c r="HH488" s="658" t="str">
        <f t="shared" si="630"/>
        <v/>
      </c>
      <c r="HI488" s="658" t="str">
        <f t="shared" si="631"/>
        <v/>
      </c>
      <c r="HJ488" s="658" t="str">
        <f t="shared" si="632"/>
        <v/>
      </c>
      <c r="HK488" s="658" t="str">
        <f t="shared" si="633"/>
        <v/>
      </c>
      <c r="HL488" s="658" t="str">
        <f t="shared" si="634"/>
        <v/>
      </c>
      <c r="HM488" s="658" t="str">
        <f t="shared" si="635"/>
        <v/>
      </c>
      <c r="HN488" s="658" t="str">
        <f t="shared" si="636"/>
        <v/>
      </c>
      <c r="HO488" s="658" t="str">
        <f t="shared" si="637"/>
        <v/>
      </c>
      <c r="HP488" s="658" t="str">
        <f t="shared" si="638"/>
        <v/>
      </c>
      <c r="HQ488" s="658" t="str">
        <f t="shared" si="639"/>
        <v/>
      </c>
      <c r="HR488" s="658" t="str">
        <f t="shared" si="553"/>
        <v/>
      </c>
      <c r="HT488" s="658">
        <f>LEFT(M488,1)*10000+MID(M488,3,LEN(M488)-3)*100+COUNTIF($M$319:M488,M488)</f>
        <v>61101</v>
      </c>
      <c r="HU488" s="658" t="str">
        <f t="shared" si="554"/>
        <v/>
      </c>
      <c r="HV488" s="658" t="str">
        <f t="shared" si="640"/>
        <v/>
      </c>
      <c r="HW488" s="658" t="str">
        <f t="shared" si="555"/>
        <v/>
      </c>
      <c r="HX488" s="658" t="str">
        <f t="shared" si="641"/>
        <v/>
      </c>
    </row>
    <row r="489" spans="1:232" s="19" customFormat="1" ht="50.1" hidden="1" customHeight="1" thickBot="1" x14ac:dyDescent="0.2">
      <c r="A489" s="1201"/>
      <c r="B489" s="1201"/>
      <c r="C489" s="1201"/>
      <c r="D489" s="1201"/>
      <c r="E489" s="1202"/>
      <c r="F489" s="652"/>
      <c r="G489" s="652"/>
      <c r="H489" s="652"/>
      <c r="I489" s="1354"/>
      <c r="J489" s="1234"/>
      <c r="K489" s="1261"/>
      <c r="L489" s="1261"/>
      <c r="M489" s="2149" t="s">
        <v>1731</v>
      </c>
      <c r="N489" s="2149"/>
      <c r="O489" s="2149"/>
      <c r="P489" s="2690"/>
      <c r="Q489" s="2690"/>
      <c r="R489" s="2430"/>
      <c r="S489" s="2430"/>
      <c r="T489" s="2430"/>
      <c r="U489" s="2435"/>
      <c r="V489" s="2435"/>
      <c r="W489" s="2435"/>
      <c r="X489" s="2435"/>
      <c r="Y489" s="2435"/>
      <c r="Z489" s="2435"/>
      <c r="AA489" s="2435"/>
      <c r="AB489" s="2435"/>
      <c r="AC489" s="2435"/>
      <c r="AD489" s="2435"/>
      <c r="AE489" s="2435"/>
      <c r="AF489" s="2434"/>
      <c r="AG489" s="2434"/>
      <c r="AH489" s="2434"/>
      <c r="AI489" s="2434"/>
      <c r="AJ489" s="2434"/>
      <c r="AK489" s="2434"/>
      <c r="AL489" s="2434"/>
      <c r="AM489" s="2434"/>
      <c r="AN489" s="2434"/>
      <c r="AO489" s="2434"/>
      <c r="AP489" s="2434"/>
      <c r="AQ489" s="2434"/>
      <c r="AR489" s="2307"/>
      <c r="AS489" s="2307"/>
      <c r="AT489" s="2410"/>
      <c r="AU489" s="2410"/>
      <c r="AV489" s="2410"/>
      <c r="AW489" s="2410"/>
      <c r="AX489" s="2410"/>
      <c r="AY489" s="2410"/>
      <c r="AZ489" s="2410"/>
      <c r="BA489" s="2410"/>
      <c r="BB489" s="2410"/>
      <c r="BC489" s="2410"/>
      <c r="BD489" s="2410"/>
      <c r="BE489" s="2410"/>
      <c r="BF489" s="2410"/>
      <c r="BG489" s="2410"/>
      <c r="BH489" s="2410"/>
      <c r="BI489" s="2410"/>
      <c r="BJ489" s="2410"/>
      <c r="BK489" s="2410"/>
      <c r="BL489" s="2410"/>
      <c r="BM489" s="2410"/>
      <c r="BN489" s="2410"/>
      <c r="BO489" s="2410"/>
      <c r="BP489" s="2410"/>
      <c r="BQ489" s="2410"/>
      <c r="BR489" s="2410"/>
      <c r="BS489" s="2296"/>
      <c r="BT489" s="2296"/>
      <c r="BU489" s="2296"/>
      <c r="BV489" s="2296"/>
      <c r="BW489" s="2296"/>
      <c r="BX489" s="2296"/>
      <c r="BY489" s="2296"/>
      <c r="BZ489" s="2307"/>
      <c r="CA489" s="2307"/>
      <c r="CB489" s="2317"/>
      <c r="CC489" s="2174"/>
      <c r="CD489" s="2174"/>
      <c r="CE489" s="2174"/>
      <c r="CF489" s="2174"/>
      <c r="CG489" s="2174"/>
      <c r="CH489" s="2174"/>
      <c r="CI489" s="2174"/>
      <c r="CJ489" s="2174"/>
      <c r="CK489" s="2174"/>
      <c r="CL489" s="2174"/>
      <c r="CM489" s="2174"/>
      <c r="CN489" s="2174"/>
      <c r="CO489" s="2174"/>
      <c r="CP489" s="2174"/>
      <c r="CQ489" s="2174"/>
      <c r="CR489" s="2174"/>
      <c r="CS489" s="2174"/>
      <c r="CT489" s="2174"/>
      <c r="CU489" s="2318"/>
      <c r="CV489" s="2300" t="str">
        <f t="shared" si="645"/>
        <v/>
      </c>
      <c r="CW489" s="2300"/>
      <c r="CX489" s="2300"/>
      <c r="CY489" s="2300"/>
      <c r="CZ489" s="2300"/>
      <c r="DA489" s="2300"/>
      <c r="DC489" s="329" t="str">
        <f t="shared" si="646"/>
        <v/>
      </c>
      <c r="DD489" s="197"/>
      <c r="DF489" s="14"/>
      <c r="DG489" s="14"/>
      <c r="DH489" s="14"/>
      <c r="DI489" s="1596"/>
      <c r="DJ489" s="1170" t="s">
        <v>2749</v>
      </c>
      <c r="DK489" s="1604" t="str">
        <f t="shared" si="570"/>
        <v/>
      </c>
      <c r="DL489" s="437" t="str">
        <f t="shared" si="571"/>
        <v/>
      </c>
      <c r="DM489" s="1129">
        <f t="shared" si="572"/>
        <v>0</v>
      </c>
      <c r="DN489" s="266">
        <f t="shared" si="573"/>
        <v>0</v>
      </c>
      <c r="DO489" s="266">
        <f t="shared" si="574"/>
        <v>0</v>
      </c>
      <c r="DP489" s="267">
        <f t="shared" si="575"/>
        <v>0</v>
      </c>
      <c r="DQ489" s="32" t="s">
        <v>1754</v>
      </c>
      <c r="DR489" s="265">
        <f>IF($U489="",R489,U489)</f>
        <v>0</v>
      </c>
      <c r="DS489" s="125">
        <f t="shared" si="576"/>
        <v>0</v>
      </c>
      <c r="DT489" s="270" t="str">
        <f t="shared" si="577"/>
        <v/>
      </c>
      <c r="DU489" s="136" t="str">
        <f t="shared" si="578"/>
        <v/>
      </c>
      <c r="DV489" s="137" t="str">
        <f>IF($DT489="要是正",MAX($DV$474:DV488)+1,"")</f>
        <v/>
      </c>
      <c r="DW489" s="272" t="str">
        <f t="shared" si="579"/>
        <v/>
      </c>
      <c r="DX489" s="257" t="str">
        <f t="shared" si="580"/>
        <v/>
      </c>
      <c r="DY489" s="258" t="str">
        <f t="shared" si="581"/>
        <v/>
      </c>
      <c r="DZ489" s="259" t="str">
        <f t="shared" si="582"/>
        <v/>
      </c>
      <c r="EA489" s="256" t="str">
        <f t="shared" si="583"/>
        <v/>
      </c>
      <c r="EB489" s="138" t="str">
        <f t="shared" si="584"/>
        <v/>
      </c>
      <c r="EC489" s="131" t="str">
        <f t="shared" si="585"/>
        <v>0</v>
      </c>
      <c r="ED489" s="54" t="str">
        <f t="shared" si="586"/>
        <v/>
      </c>
      <c r="EE489" s="131" t="str">
        <f t="shared" si="647"/>
        <v>0</v>
      </c>
      <c r="EF489" s="37" t="str">
        <f t="shared" si="588"/>
        <v/>
      </c>
      <c r="EG489" s="108" t="str">
        <f t="shared" si="589"/>
        <v/>
      </c>
      <c r="EH489" s="41" t="str">
        <f t="shared" si="590"/>
        <v>0</v>
      </c>
      <c r="EI489" s="54" t="str">
        <f t="shared" si="591"/>
        <v/>
      </c>
      <c r="EJ489" s="131" t="str">
        <f t="shared" si="648"/>
        <v>0</v>
      </c>
      <c r="EK489" s="241" t="str">
        <f t="shared" si="593"/>
        <v/>
      </c>
      <c r="EL489" s="242" t="e">
        <f t="shared" si="649"/>
        <v>#N/A</v>
      </c>
      <c r="EM489" s="57" t="e">
        <f t="shared" si="650"/>
        <v>#N/A</v>
      </c>
      <c r="EN489" s="243" t="e">
        <f t="shared" si="651"/>
        <v>#N/A</v>
      </c>
      <c r="FK489" s="326" t="str">
        <f t="shared" si="597"/>
        <v/>
      </c>
      <c r="FL489" s="326" t="str">
        <f t="shared" si="598"/>
        <v/>
      </c>
      <c r="FM489" s="326" t="str">
        <f t="shared" si="599"/>
        <v/>
      </c>
      <c r="FN489" s="326">
        <f t="shared" si="600"/>
        <v>0</v>
      </c>
      <c r="FO489" s="670" t="str">
        <f t="shared" si="601"/>
        <v/>
      </c>
      <c r="FQ489" s="138" t="str">
        <f t="shared" si="602"/>
        <v/>
      </c>
      <c r="FR489" s="131" t="str">
        <f t="shared" si="603"/>
        <v>0</v>
      </c>
      <c r="FS489" s="54" t="str">
        <f t="shared" si="604"/>
        <v/>
      </c>
      <c r="FT489" s="131" t="str">
        <f t="shared" si="652"/>
        <v>0</v>
      </c>
      <c r="FU489" s="217" t="str">
        <f t="shared" si="653"/>
        <v/>
      </c>
      <c r="FW489" s="667">
        <f t="shared" si="644"/>
        <v>0</v>
      </c>
      <c r="FX489" s="32"/>
      <c r="FY489" s="32"/>
      <c r="FZ489" s="668"/>
      <c r="GA489" s="14"/>
      <c r="GB489" s="32">
        <f t="shared" si="607"/>
        <v>0</v>
      </c>
      <c r="GC489" s="32">
        <f t="shared" si="608"/>
        <v>0</v>
      </c>
      <c r="GD489" s="19">
        <f t="shared" si="609"/>
        <v>0</v>
      </c>
      <c r="GE489" s="658" t="str">
        <f t="shared" si="610"/>
        <v/>
      </c>
      <c r="GF489" s="658" t="str">
        <f t="shared" si="611"/>
        <v/>
      </c>
      <c r="GG489" s="658" t="str">
        <f t="shared" si="612"/>
        <v/>
      </c>
      <c r="GH489" s="658" t="str">
        <f t="shared" si="613"/>
        <v/>
      </c>
      <c r="GI489" s="658" t="str">
        <f t="shared" si="614"/>
        <v/>
      </c>
      <c r="GJ489" s="658" t="str">
        <f t="shared" si="615"/>
        <v/>
      </c>
      <c r="GK489" s="658" t="str">
        <f t="shared" si="616"/>
        <v/>
      </c>
      <c r="GL489" s="658" t="str">
        <f t="shared" si="617"/>
        <v/>
      </c>
      <c r="GM489" s="658" t="str">
        <f t="shared" si="618"/>
        <v/>
      </c>
      <c r="GN489" s="658" t="str">
        <f t="shared" si="619"/>
        <v/>
      </c>
      <c r="GO489" s="658" t="str">
        <f t="shared" si="620"/>
        <v/>
      </c>
      <c r="GP489" s="658" t="str">
        <f t="shared" si="621"/>
        <v/>
      </c>
      <c r="GQ489" s="658" t="str">
        <f t="shared" si="622"/>
        <v/>
      </c>
      <c r="GR489" s="658" t="str">
        <f t="shared" si="623"/>
        <v/>
      </c>
      <c r="GS489" s="658" t="str">
        <f t="shared" si="624"/>
        <v/>
      </c>
      <c r="GT489" s="658">
        <f t="shared" si="546"/>
        <v>0</v>
      </c>
      <c r="GU489" s="658">
        <f t="shared" si="547"/>
        <v>0</v>
      </c>
      <c r="GV489" s="658">
        <f t="shared" si="548"/>
        <v>0</v>
      </c>
      <c r="GW489" s="658" t="b">
        <f t="shared" si="549"/>
        <v>0</v>
      </c>
      <c r="GX489" s="658" t="b">
        <f t="shared" si="550"/>
        <v>0</v>
      </c>
      <c r="GY489" s="658" t="b">
        <f t="shared" si="551"/>
        <v>0</v>
      </c>
      <c r="GZ489" s="658" t="str">
        <f t="shared" si="557"/>
        <v/>
      </c>
      <c r="HB489" s="658" t="str">
        <f t="shared" si="552"/>
        <v/>
      </c>
      <c r="HC489" s="658" t="str">
        <f t="shared" si="625"/>
        <v/>
      </c>
      <c r="HD489" s="658" t="str">
        <f t="shared" si="626"/>
        <v/>
      </c>
      <c r="HE489" s="658" t="str">
        <f t="shared" si="627"/>
        <v/>
      </c>
      <c r="HF489" s="658" t="str">
        <f t="shared" si="628"/>
        <v/>
      </c>
      <c r="HG489" s="658" t="str">
        <f t="shared" si="629"/>
        <v/>
      </c>
      <c r="HH489" s="658" t="str">
        <f t="shared" si="630"/>
        <v/>
      </c>
      <c r="HI489" s="658" t="str">
        <f t="shared" si="631"/>
        <v/>
      </c>
      <c r="HJ489" s="658" t="str">
        <f t="shared" si="632"/>
        <v/>
      </c>
      <c r="HK489" s="658" t="str">
        <f t="shared" si="633"/>
        <v/>
      </c>
      <c r="HL489" s="658" t="str">
        <f t="shared" si="634"/>
        <v/>
      </c>
      <c r="HM489" s="658" t="str">
        <f t="shared" si="635"/>
        <v/>
      </c>
      <c r="HN489" s="658" t="str">
        <f t="shared" si="636"/>
        <v/>
      </c>
      <c r="HO489" s="658" t="str">
        <f t="shared" si="637"/>
        <v/>
      </c>
      <c r="HP489" s="658" t="str">
        <f t="shared" si="638"/>
        <v/>
      </c>
      <c r="HQ489" s="658" t="str">
        <f t="shared" si="639"/>
        <v/>
      </c>
      <c r="HR489" s="658" t="str">
        <f t="shared" si="553"/>
        <v/>
      </c>
      <c r="HT489" s="658">
        <f>LEFT(M489,1)*10000+MID(M489,3,LEN(M489)-3)*100+COUNTIF($M$319:M489,M489)</f>
        <v>61201</v>
      </c>
      <c r="HU489" s="658" t="str">
        <f t="shared" si="554"/>
        <v/>
      </c>
      <c r="HV489" s="658" t="str">
        <f t="shared" si="640"/>
        <v/>
      </c>
      <c r="HW489" s="658" t="str">
        <f t="shared" si="555"/>
        <v/>
      </c>
      <c r="HX489" s="658" t="str">
        <f t="shared" si="641"/>
        <v/>
      </c>
    </row>
    <row r="490" spans="1:232" s="19" customFormat="1" ht="50.1" hidden="1" customHeight="1" thickBot="1" x14ac:dyDescent="0.2">
      <c r="A490" s="1201"/>
      <c r="B490" s="1201"/>
      <c r="C490" s="1201"/>
      <c r="D490" s="1201"/>
      <c r="E490" s="1202"/>
      <c r="F490" s="652"/>
      <c r="G490" s="652"/>
      <c r="H490" s="652"/>
      <c r="I490" s="1354"/>
      <c r="J490" s="1234"/>
      <c r="K490" s="1261"/>
      <c r="L490" s="1261"/>
      <c r="M490" s="2149" t="s">
        <v>1732</v>
      </c>
      <c r="N490" s="2149"/>
      <c r="O490" s="2149"/>
      <c r="P490" s="2690"/>
      <c r="Q490" s="2690"/>
      <c r="R490" s="2430"/>
      <c r="S490" s="2430"/>
      <c r="T490" s="2430"/>
      <c r="U490" s="2435"/>
      <c r="V490" s="2435"/>
      <c r="W490" s="2435"/>
      <c r="X490" s="2435"/>
      <c r="Y490" s="2435"/>
      <c r="Z490" s="2435"/>
      <c r="AA490" s="2435"/>
      <c r="AB490" s="2435"/>
      <c r="AC490" s="2435"/>
      <c r="AD490" s="2435"/>
      <c r="AE490" s="2435"/>
      <c r="AF490" s="2434"/>
      <c r="AG490" s="2434"/>
      <c r="AH490" s="2434"/>
      <c r="AI490" s="2434"/>
      <c r="AJ490" s="2434"/>
      <c r="AK490" s="2434"/>
      <c r="AL490" s="2434"/>
      <c r="AM490" s="2434"/>
      <c r="AN490" s="2434"/>
      <c r="AO490" s="2434"/>
      <c r="AP490" s="2434"/>
      <c r="AQ490" s="2434"/>
      <c r="AR490" s="2307"/>
      <c r="AS490" s="2307"/>
      <c r="AT490" s="2410"/>
      <c r="AU490" s="2410"/>
      <c r="AV490" s="2410"/>
      <c r="AW490" s="2410"/>
      <c r="AX490" s="2410"/>
      <c r="AY490" s="2410"/>
      <c r="AZ490" s="2410"/>
      <c r="BA490" s="2410"/>
      <c r="BB490" s="2410"/>
      <c r="BC490" s="2410"/>
      <c r="BD490" s="2410"/>
      <c r="BE490" s="2410"/>
      <c r="BF490" s="2410"/>
      <c r="BG490" s="2410"/>
      <c r="BH490" s="2410"/>
      <c r="BI490" s="2410"/>
      <c r="BJ490" s="2410"/>
      <c r="BK490" s="2410"/>
      <c r="BL490" s="2410"/>
      <c r="BM490" s="2410"/>
      <c r="BN490" s="2410"/>
      <c r="BO490" s="2410"/>
      <c r="BP490" s="2410"/>
      <c r="BQ490" s="2410"/>
      <c r="BR490" s="2410"/>
      <c r="BS490" s="2296"/>
      <c r="BT490" s="2296"/>
      <c r="BU490" s="2296"/>
      <c r="BV490" s="2296"/>
      <c r="BW490" s="2296"/>
      <c r="BX490" s="2296"/>
      <c r="BY490" s="2296"/>
      <c r="BZ490" s="2307"/>
      <c r="CA490" s="2307"/>
      <c r="CB490" s="2317"/>
      <c r="CC490" s="2174"/>
      <c r="CD490" s="2174"/>
      <c r="CE490" s="2174"/>
      <c r="CF490" s="2174"/>
      <c r="CG490" s="2174"/>
      <c r="CH490" s="2174"/>
      <c r="CI490" s="2174"/>
      <c r="CJ490" s="2174"/>
      <c r="CK490" s="2174"/>
      <c r="CL490" s="2174"/>
      <c r="CM490" s="2174"/>
      <c r="CN490" s="2174"/>
      <c r="CO490" s="2174"/>
      <c r="CP490" s="2174"/>
      <c r="CQ490" s="2174"/>
      <c r="CR490" s="2174"/>
      <c r="CS490" s="2174"/>
      <c r="CT490" s="2174"/>
      <c r="CU490" s="2318"/>
      <c r="CV490" s="2300" t="str">
        <f t="shared" si="645"/>
        <v/>
      </c>
      <c r="CW490" s="2300"/>
      <c r="CX490" s="2300"/>
      <c r="CY490" s="2300"/>
      <c r="CZ490" s="2300"/>
      <c r="DA490" s="2300"/>
      <c r="DC490" s="329" t="str">
        <f t="shared" si="646"/>
        <v/>
      </c>
      <c r="DD490" s="197"/>
      <c r="DF490" s="14"/>
      <c r="DG490" s="14"/>
      <c r="DH490" s="14"/>
      <c r="DI490" s="1596"/>
      <c r="DJ490" s="1170" t="s">
        <v>2749</v>
      </c>
      <c r="DK490" s="1604" t="str">
        <f t="shared" si="570"/>
        <v/>
      </c>
      <c r="DL490" s="437" t="str">
        <f t="shared" si="571"/>
        <v/>
      </c>
      <c r="DM490" s="1129">
        <f t="shared" si="572"/>
        <v>0</v>
      </c>
      <c r="DN490" s="266">
        <f t="shared" si="573"/>
        <v>0</v>
      </c>
      <c r="DO490" s="266">
        <f t="shared" si="574"/>
        <v>0</v>
      </c>
      <c r="DP490" s="267">
        <f t="shared" si="575"/>
        <v>0</v>
      </c>
      <c r="DQ490" s="32" t="s">
        <v>1755</v>
      </c>
      <c r="DR490" s="265">
        <f>IF($U490="",R490,U490)</f>
        <v>0</v>
      </c>
      <c r="DS490" s="125">
        <f t="shared" si="576"/>
        <v>0</v>
      </c>
      <c r="DT490" s="270" t="str">
        <f t="shared" si="577"/>
        <v/>
      </c>
      <c r="DU490" s="136" t="str">
        <f t="shared" si="578"/>
        <v/>
      </c>
      <c r="DV490" s="137" t="str">
        <f>IF($DT490="要是正",MAX($DV$474:DV489)+1,"")</f>
        <v/>
      </c>
      <c r="DW490" s="272" t="str">
        <f t="shared" si="579"/>
        <v/>
      </c>
      <c r="DX490" s="257" t="str">
        <f t="shared" si="580"/>
        <v/>
      </c>
      <c r="DY490" s="258" t="str">
        <f t="shared" si="581"/>
        <v/>
      </c>
      <c r="DZ490" s="259" t="str">
        <f t="shared" si="582"/>
        <v/>
      </c>
      <c r="EA490" s="256" t="str">
        <f t="shared" si="583"/>
        <v/>
      </c>
      <c r="EB490" s="138" t="str">
        <f t="shared" si="584"/>
        <v/>
      </c>
      <c r="EC490" s="131" t="str">
        <f t="shared" si="585"/>
        <v>0</v>
      </c>
      <c r="ED490" s="54" t="str">
        <f t="shared" si="586"/>
        <v/>
      </c>
      <c r="EE490" s="131" t="str">
        <f t="shared" si="647"/>
        <v>0</v>
      </c>
      <c r="EF490" s="37" t="str">
        <f t="shared" si="588"/>
        <v/>
      </c>
      <c r="EG490" s="108" t="str">
        <f t="shared" si="589"/>
        <v/>
      </c>
      <c r="EH490" s="41" t="str">
        <f t="shared" si="590"/>
        <v>0</v>
      </c>
      <c r="EI490" s="54" t="str">
        <f t="shared" si="591"/>
        <v/>
      </c>
      <c r="EJ490" s="131" t="str">
        <f t="shared" si="648"/>
        <v>0</v>
      </c>
      <c r="EK490" s="241" t="str">
        <f t="shared" si="593"/>
        <v/>
      </c>
      <c r="EL490" s="242" t="e">
        <f t="shared" si="649"/>
        <v>#N/A</v>
      </c>
      <c r="EM490" s="57" t="e">
        <f t="shared" si="650"/>
        <v>#N/A</v>
      </c>
      <c r="EN490" s="243" t="e">
        <f t="shared" si="651"/>
        <v>#N/A</v>
      </c>
      <c r="FK490" s="326" t="str">
        <f t="shared" si="597"/>
        <v/>
      </c>
      <c r="FL490" s="326" t="str">
        <f t="shared" si="598"/>
        <v/>
      </c>
      <c r="FM490" s="326" t="str">
        <f t="shared" si="599"/>
        <v/>
      </c>
      <c r="FN490" s="326">
        <f t="shared" si="600"/>
        <v>0</v>
      </c>
      <c r="FO490" s="670" t="str">
        <f t="shared" si="601"/>
        <v/>
      </c>
      <c r="FQ490" s="138" t="str">
        <f t="shared" si="602"/>
        <v/>
      </c>
      <c r="FR490" s="131" t="str">
        <f t="shared" si="603"/>
        <v>0</v>
      </c>
      <c r="FS490" s="54" t="str">
        <f t="shared" si="604"/>
        <v/>
      </c>
      <c r="FT490" s="131" t="str">
        <f t="shared" si="652"/>
        <v>0</v>
      </c>
      <c r="FU490" s="217" t="str">
        <f t="shared" si="653"/>
        <v/>
      </c>
      <c r="FW490" s="667">
        <f t="shared" si="644"/>
        <v>0</v>
      </c>
      <c r="FX490" s="32"/>
      <c r="FY490" s="32"/>
      <c r="FZ490" s="668"/>
      <c r="GA490" s="14"/>
      <c r="GB490" s="32">
        <f t="shared" si="607"/>
        <v>0</v>
      </c>
      <c r="GC490" s="32">
        <f t="shared" si="608"/>
        <v>0</v>
      </c>
      <c r="GD490" s="19">
        <f t="shared" si="609"/>
        <v>0</v>
      </c>
      <c r="GE490" s="658" t="str">
        <f t="shared" si="610"/>
        <v/>
      </c>
      <c r="GF490" s="658" t="str">
        <f t="shared" si="611"/>
        <v/>
      </c>
      <c r="GG490" s="658" t="str">
        <f t="shared" si="612"/>
        <v/>
      </c>
      <c r="GH490" s="658" t="str">
        <f t="shared" si="613"/>
        <v/>
      </c>
      <c r="GI490" s="658" t="str">
        <f t="shared" si="614"/>
        <v/>
      </c>
      <c r="GJ490" s="658" t="str">
        <f t="shared" si="615"/>
        <v/>
      </c>
      <c r="GK490" s="658" t="str">
        <f t="shared" si="616"/>
        <v/>
      </c>
      <c r="GL490" s="658" t="str">
        <f t="shared" si="617"/>
        <v/>
      </c>
      <c r="GM490" s="658" t="str">
        <f t="shared" si="618"/>
        <v/>
      </c>
      <c r="GN490" s="658" t="str">
        <f t="shared" si="619"/>
        <v/>
      </c>
      <c r="GO490" s="658" t="str">
        <f t="shared" si="620"/>
        <v/>
      </c>
      <c r="GP490" s="658" t="str">
        <f t="shared" si="621"/>
        <v/>
      </c>
      <c r="GQ490" s="658" t="str">
        <f t="shared" si="622"/>
        <v/>
      </c>
      <c r="GR490" s="658" t="str">
        <f t="shared" si="623"/>
        <v/>
      </c>
      <c r="GS490" s="658" t="str">
        <f t="shared" si="624"/>
        <v/>
      </c>
      <c r="GT490" s="658">
        <f t="shared" si="546"/>
        <v>0</v>
      </c>
      <c r="GU490" s="658">
        <f t="shared" si="547"/>
        <v>0</v>
      </c>
      <c r="GV490" s="658">
        <f t="shared" si="548"/>
        <v>0</v>
      </c>
      <c r="GW490" s="658" t="b">
        <f t="shared" si="549"/>
        <v>0</v>
      </c>
      <c r="GX490" s="658" t="b">
        <f t="shared" si="550"/>
        <v>0</v>
      </c>
      <c r="GY490" s="658" t="b">
        <f t="shared" si="551"/>
        <v>0</v>
      </c>
      <c r="GZ490" s="658" t="str">
        <f t="shared" si="557"/>
        <v/>
      </c>
      <c r="HB490" s="658" t="str">
        <f t="shared" si="552"/>
        <v/>
      </c>
      <c r="HC490" s="658" t="str">
        <f t="shared" si="625"/>
        <v/>
      </c>
      <c r="HD490" s="658" t="str">
        <f t="shared" si="626"/>
        <v/>
      </c>
      <c r="HE490" s="658" t="str">
        <f t="shared" si="627"/>
        <v/>
      </c>
      <c r="HF490" s="658" t="str">
        <f t="shared" si="628"/>
        <v/>
      </c>
      <c r="HG490" s="658" t="str">
        <f t="shared" si="629"/>
        <v/>
      </c>
      <c r="HH490" s="658" t="str">
        <f t="shared" si="630"/>
        <v/>
      </c>
      <c r="HI490" s="658" t="str">
        <f t="shared" si="631"/>
        <v/>
      </c>
      <c r="HJ490" s="658" t="str">
        <f t="shared" si="632"/>
        <v/>
      </c>
      <c r="HK490" s="658" t="str">
        <f t="shared" si="633"/>
        <v/>
      </c>
      <c r="HL490" s="658" t="str">
        <f t="shared" si="634"/>
        <v/>
      </c>
      <c r="HM490" s="658" t="str">
        <f t="shared" si="635"/>
        <v/>
      </c>
      <c r="HN490" s="658" t="str">
        <f t="shared" si="636"/>
        <v/>
      </c>
      <c r="HO490" s="658" t="str">
        <f t="shared" si="637"/>
        <v/>
      </c>
      <c r="HP490" s="658" t="str">
        <f t="shared" si="638"/>
        <v/>
      </c>
      <c r="HQ490" s="658" t="str">
        <f t="shared" si="639"/>
        <v/>
      </c>
      <c r="HR490" s="658" t="str">
        <f t="shared" si="553"/>
        <v/>
      </c>
      <c r="HT490" s="658">
        <f>LEFT(M490,1)*10000+MID(M490,3,LEN(M490)-3)*100+COUNTIF($M$319:M490,M490)</f>
        <v>61301</v>
      </c>
      <c r="HU490" s="658" t="str">
        <f t="shared" si="554"/>
        <v/>
      </c>
      <c r="HV490" s="658" t="str">
        <f t="shared" si="640"/>
        <v/>
      </c>
      <c r="HW490" s="658" t="str">
        <f t="shared" si="555"/>
        <v/>
      </c>
      <c r="HX490" s="658" t="str">
        <f t="shared" si="641"/>
        <v/>
      </c>
    </row>
    <row r="491" spans="1:232" s="19" customFormat="1" ht="50.1" hidden="1" customHeight="1" thickBot="1" x14ac:dyDescent="0.2">
      <c r="A491" s="1201"/>
      <c r="B491" s="1201"/>
      <c r="C491" s="1201"/>
      <c r="D491" s="1201"/>
      <c r="E491" s="1202"/>
      <c r="F491" s="652"/>
      <c r="G491" s="652"/>
      <c r="H491" s="652"/>
      <c r="I491" s="1354"/>
      <c r="J491" s="1234"/>
      <c r="K491" s="1261"/>
      <c r="L491" s="1261"/>
      <c r="M491" s="2149" t="s">
        <v>1733</v>
      </c>
      <c r="N491" s="2149"/>
      <c r="O491" s="2149"/>
      <c r="P491" s="2691"/>
      <c r="Q491" s="2691"/>
      <c r="R491" s="2445"/>
      <c r="S491" s="2445"/>
      <c r="T491" s="2445"/>
      <c r="U491" s="2430"/>
      <c r="V491" s="2430"/>
      <c r="W491" s="2430"/>
      <c r="X491" s="2430"/>
      <c r="Y491" s="2430"/>
      <c r="Z491" s="2430"/>
      <c r="AA491" s="2430"/>
      <c r="AB491" s="2430"/>
      <c r="AC491" s="2430"/>
      <c r="AD491" s="2430"/>
      <c r="AE491" s="2430"/>
      <c r="AF491" s="2479"/>
      <c r="AG491" s="2479"/>
      <c r="AH491" s="2479"/>
      <c r="AI491" s="2479"/>
      <c r="AJ491" s="2479"/>
      <c r="AK491" s="2479"/>
      <c r="AL491" s="2479"/>
      <c r="AM491" s="2479"/>
      <c r="AN491" s="2479"/>
      <c r="AO491" s="2479"/>
      <c r="AP491" s="2479"/>
      <c r="AQ491" s="2479"/>
      <c r="AR491" s="2299"/>
      <c r="AS491" s="2299"/>
      <c r="AT491" s="2473"/>
      <c r="AU491" s="2473"/>
      <c r="AV491" s="2473"/>
      <c r="AW491" s="2473"/>
      <c r="AX491" s="2473"/>
      <c r="AY491" s="2473"/>
      <c r="AZ491" s="2473"/>
      <c r="BA491" s="2473"/>
      <c r="BB491" s="2473"/>
      <c r="BC491" s="2473"/>
      <c r="BD491" s="2473"/>
      <c r="BE491" s="2473"/>
      <c r="BF491" s="2473"/>
      <c r="BG491" s="2473"/>
      <c r="BH491" s="2473"/>
      <c r="BI491" s="2473"/>
      <c r="BJ491" s="2473"/>
      <c r="BK491" s="2473"/>
      <c r="BL491" s="2473"/>
      <c r="BM491" s="2473"/>
      <c r="BN491" s="2473"/>
      <c r="BO491" s="2473"/>
      <c r="BP491" s="2473"/>
      <c r="BQ491" s="2473"/>
      <c r="BR491" s="2473"/>
      <c r="BS491" s="2298"/>
      <c r="BT491" s="2298"/>
      <c r="BU491" s="2298"/>
      <c r="BV491" s="2298"/>
      <c r="BW491" s="2298"/>
      <c r="BX491" s="2298"/>
      <c r="BY491" s="2298"/>
      <c r="BZ491" s="2299"/>
      <c r="CA491" s="2299"/>
      <c r="CB491" s="2398"/>
      <c r="CC491" s="2399"/>
      <c r="CD491" s="2399"/>
      <c r="CE491" s="2399"/>
      <c r="CF491" s="2399"/>
      <c r="CG491" s="2399"/>
      <c r="CH491" s="2399"/>
      <c r="CI491" s="2399"/>
      <c r="CJ491" s="2399"/>
      <c r="CK491" s="2399"/>
      <c r="CL491" s="2399"/>
      <c r="CM491" s="2399"/>
      <c r="CN491" s="2399"/>
      <c r="CO491" s="2399"/>
      <c r="CP491" s="2399"/>
      <c r="CQ491" s="2399"/>
      <c r="CR491" s="2399"/>
      <c r="CS491" s="2399"/>
      <c r="CT491" s="2399"/>
      <c r="CU491" s="2400"/>
      <c r="CV491" s="2300" t="str">
        <f t="shared" si="645"/>
        <v/>
      </c>
      <c r="CW491" s="2300"/>
      <c r="CX491" s="2300"/>
      <c r="CY491" s="2300"/>
      <c r="CZ491" s="2300"/>
      <c r="DA491" s="2300"/>
      <c r="DC491" s="329" t="str">
        <f t="shared" si="646"/>
        <v/>
      </c>
      <c r="DD491" s="197"/>
      <c r="DF491" s="14"/>
      <c r="DG491" s="14"/>
      <c r="DH491" s="14"/>
      <c r="DI491" s="1596"/>
      <c r="DJ491" s="1171" t="s">
        <v>2749</v>
      </c>
      <c r="DK491" s="1605" t="str">
        <f t="shared" si="570"/>
        <v/>
      </c>
      <c r="DL491" s="1598" t="str">
        <f t="shared" si="571"/>
        <v/>
      </c>
      <c r="DM491" s="1129">
        <f t="shared" si="572"/>
        <v>0</v>
      </c>
      <c r="DN491" s="266">
        <f t="shared" si="573"/>
        <v>0</v>
      </c>
      <c r="DO491" s="266">
        <f t="shared" si="574"/>
        <v>0</v>
      </c>
      <c r="DP491" s="267">
        <f t="shared" si="575"/>
        <v>0</v>
      </c>
      <c r="DQ491" s="32" t="s">
        <v>1756</v>
      </c>
      <c r="DR491" s="265">
        <f>IF($U491="",R491,U491)</f>
        <v>0</v>
      </c>
      <c r="DS491" s="125">
        <f t="shared" si="576"/>
        <v>0</v>
      </c>
      <c r="DT491" s="270" t="str">
        <f t="shared" si="577"/>
        <v/>
      </c>
      <c r="DU491" s="136" t="str">
        <f t="shared" si="578"/>
        <v/>
      </c>
      <c r="DV491" s="137" t="str">
        <f>IF($DT491="要是正",MAX($DV$474:DV490)+1,"")</f>
        <v/>
      </c>
      <c r="DW491" s="272" t="str">
        <f t="shared" si="579"/>
        <v/>
      </c>
      <c r="DX491" s="257" t="str">
        <f t="shared" si="580"/>
        <v/>
      </c>
      <c r="DY491" s="258" t="str">
        <f t="shared" si="581"/>
        <v/>
      </c>
      <c r="DZ491" s="259" t="str">
        <f t="shared" si="582"/>
        <v/>
      </c>
      <c r="EA491" s="256" t="str">
        <f t="shared" si="583"/>
        <v/>
      </c>
      <c r="EB491" s="138" t="str">
        <f t="shared" si="584"/>
        <v/>
      </c>
      <c r="EC491" s="131" t="str">
        <f t="shared" si="585"/>
        <v>0</v>
      </c>
      <c r="ED491" s="54" t="str">
        <f t="shared" si="586"/>
        <v/>
      </c>
      <c r="EE491" s="131" t="str">
        <f t="shared" si="647"/>
        <v>0</v>
      </c>
      <c r="EF491" s="37" t="str">
        <f t="shared" si="588"/>
        <v/>
      </c>
      <c r="EG491" s="108" t="str">
        <f t="shared" si="589"/>
        <v/>
      </c>
      <c r="EH491" s="41" t="str">
        <f t="shared" si="590"/>
        <v>0</v>
      </c>
      <c r="EI491" s="54" t="str">
        <f t="shared" si="591"/>
        <v/>
      </c>
      <c r="EJ491" s="131" t="str">
        <f t="shared" si="648"/>
        <v>0</v>
      </c>
      <c r="EK491" s="241" t="str">
        <f t="shared" si="593"/>
        <v/>
      </c>
      <c r="EL491" s="242" t="e">
        <f t="shared" si="649"/>
        <v>#N/A</v>
      </c>
      <c r="EM491" s="57" t="e">
        <f t="shared" si="650"/>
        <v>#N/A</v>
      </c>
      <c r="EN491" s="243" t="e">
        <f t="shared" si="651"/>
        <v>#N/A</v>
      </c>
      <c r="FK491" s="326" t="str">
        <f t="shared" si="597"/>
        <v/>
      </c>
      <c r="FL491" s="326" t="str">
        <f t="shared" si="598"/>
        <v/>
      </c>
      <c r="FM491" s="326" t="str">
        <f t="shared" si="599"/>
        <v/>
      </c>
      <c r="FN491" s="326">
        <f t="shared" si="600"/>
        <v>0</v>
      </c>
      <c r="FO491" s="670" t="str">
        <f t="shared" si="601"/>
        <v/>
      </c>
      <c r="FQ491" s="138" t="str">
        <f t="shared" si="602"/>
        <v/>
      </c>
      <c r="FR491" s="131" t="str">
        <f t="shared" si="603"/>
        <v>0</v>
      </c>
      <c r="FS491" s="54" t="str">
        <f t="shared" si="604"/>
        <v/>
      </c>
      <c r="FT491" s="131" t="str">
        <f t="shared" si="652"/>
        <v>0</v>
      </c>
      <c r="FU491" s="217" t="str">
        <f t="shared" si="653"/>
        <v/>
      </c>
      <c r="FW491" s="667">
        <f t="shared" si="644"/>
        <v>0</v>
      </c>
      <c r="FX491" s="32"/>
      <c r="FY491" s="32"/>
      <c r="FZ491" s="668"/>
      <c r="GA491" s="14"/>
      <c r="GB491" s="32">
        <f t="shared" si="607"/>
        <v>0</v>
      </c>
      <c r="GC491" s="32">
        <f t="shared" si="608"/>
        <v>0</v>
      </c>
      <c r="GD491" s="19">
        <f t="shared" si="609"/>
        <v>0</v>
      </c>
      <c r="GE491" s="658" t="str">
        <f t="shared" si="610"/>
        <v/>
      </c>
      <c r="GF491" s="658" t="str">
        <f t="shared" si="611"/>
        <v/>
      </c>
      <c r="GG491" s="658" t="str">
        <f t="shared" si="612"/>
        <v/>
      </c>
      <c r="GH491" s="658" t="str">
        <f t="shared" si="613"/>
        <v/>
      </c>
      <c r="GI491" s="658" t="str">
        <f t="shared" si="614"/>
        <v/>
      </c>
      <c r="GJ491" s="658" t="str">
        <f t="shared" si="615"/>
        <v/>
      </c>
      <c r="GK491" s="658" t="str">
        <f t="shared" si="616"/>
        <v/>
      </c>
      <c r="GL491" s="658" t="str">
        <f t="shared" si="617"/>
        <v/>
      </c>
      <c r="GM491" s="658" t="str">
        <f t="shared" si="618"/>
        <v/>
      </c>
      <c r="GN491" s="658" t="str">
        <f t="shared" si="619"/>
        <v/>
      </c>
      <c r="GO491" s="658" t="str">
        <f t="shared" si="620"/>
        <v/>
      </c>
      <c r="GP491" s="658" t="str">
        <f t="shared" si="621"/>
        <v/>
      </c>
      <c r="GQ491" s="658" t="str">
        <f t="shared" si="622"/>
        <v/>
      </c>
      <c r="GR491" s="658" t="str">
        <f t="shared" si="623"/>
        <v/>
      </c>
      <c r="GS491" s="658" t="str">
        <f t="shared" si="624"/>
        <v/>
      </c>
      <c r="GT491" s="658">
        <f t="shared" si="546"/>
        <v>0</v>
      </c>
      <c r="GU491" s="658">
        <f t="shared" si="547"/>
        <v>0</v>
      </c>
      <c r="GV491" s="658">
        <f t="shared" si="548"/>
        <v>0</v>
      </c>
      <c r="GW491" s="658" t="b">
        <f t="shared" si="549"/>
        <v>0</v>
      </c>
      <c r="GX491" s="658" t="b">
        <f t="shared" si="550"/>
        <v>0</v>
      </c>
      <c r="GY491" s="658" t="b">
        <f t="shared" si="551"/>
        <v>0</v>
      </c>
      <c r="GZ491" s="658" t="str">
        <f t="shared" si="557"/>
        <v/>
      </c>
      <c r="HB491" s="658" t="str">
        <f t="shared" si="552"/>
        <v/>
      </c>
      <c r="HC491" s="658" t="str">
        <f t="shared" si="625"/>
        <v/>
      </c>
      <c r="HD491" s="658" t="str">
        <f t="shared" si="626"/>
        <v/>
      </c>
      <c r="HE491" s="658" t="str">
        <f t="shared" si="627"/>
        <v/>
      </c>
      <c r="HF491" s="658" t="str">
        <f t="shared" si="628"/>
        <v/>
      </c>
      <c r="HG491" s="658" t="str">
        <f t="shared" si="629"/>
        <v/>
      </c>
      <c r="HH491" s="658" t="str">
        <f t="shared" si="630"/>
        <v/>
      </c>
      <c r="HI491" s="658" t="str">
        <f t="shared" si="631"/>
        <v/>
      </c>
      <c r="HJ491" s="658" t="str">
        <f t="shared" si="632"/>
        <v/>
      </c>
      <c r="HK491" s="658" t="str">
        <f t="shared" si="633"/>
        <v/>
      </c>
      <c r="HL491" s="658" t="str">
        <f t="shared" si="634"/>
        <v/>
      </c>
      <c r="HM491" s="658" t="str">
        <f t="shared" si="635"/>
        <v/>
      </c>
      <c r="HN491" s="658" t="str">
        <f t="shared" si="636"/>
        <v/>
      </c>
      <c r="HO491" s="658" t="str">
        <f t="shared" si="637"/>
        <v/>
      </c>
      <c r="HP491" s="658" t="str">
        <f t="shared" si="638"/>
        <v/>
      </c>
      <c r="HQ491" s="658" t="str">
        <f t="shared" si="639"/>
        <v/>
      </c>
      <c r="HR491" s="658" t="str">
        <f t="shared" si="553"/>
        <v/>
      </c>
      <c r="HT491" s="658">
        <f>LEFT(M491,1)*10000+MID(M491,3,LEN(M491)-3)*100+COUNTIF($M$319:M491,M491)</f>
        <v>61401</v>
      </c>
      <c r="HU491" s="658" t="str">
        <f t="shared" si="554"/>
        <v/>
      </c>
      <c r="HV491" s="658" t="str">
        <f t="shared" si="640"/>
        <v/>
      </c>
      <c r="HW491" s="658" t="str">
        <f t="shared" si="555"/>
        <v/>
      </c>
      <c r="HX491" s="658" t="str">
        <f t="shared" si="641"/>
        <v/>
      </c>
    </row>
    <row r="492" spans="1:232" ht="15" customHeight="1" thickBot="1" x14ac:dyDescent="0.2">
      <c r="A492" s="1201"/>
      <c r="B492" s="1201"/>
      <c r="C492" s="1201"/>
      <c r="D492" s="1201"/>
      <c r="E492" s="1202"/>
      <c r="J492" s="1355"/>
      <c r="K492" s="1177"/>
      <c r="L492" s="1177"/>
      <c r="M492" s="1356"/>
      <c r="N492" s="1356"/>
      <c r="O492" s="1356"/>
      <c r="P492" s="1356"/>
      <c r="Q492" s="1356"/>
      <c r="R492" s="1356"/>
      <c r="S492" s="1356"/>
      <c r="T492" s="1356"/>
      <c r="U492" s="1356"/>
      <c r="V492" s="1356"/>
      <c r="W492" s="1356"/>
      <c r="X492" s="1356"/>
      <c r="Y492" s="1356"/>
      <c r="Z492" s="1356"/>
      <c r="AA492" s="1356"/>
      <c r="AB492" s="1356"/>
      <c r="AC492" s="1356"/>
      <c r="AD492" s="1356"/>
      <c r="AE492" s="1251"/>
      <c r="AF492" s="1251"/>
      <c r="AG492" s="1251"/>
      <c r="AH492" s="1251"/>
      <c r="AI492" s="1251"/>
      <c r="AJ492" s="1251"/>
      <c r="AK492" s="1251"/>
      <c r="AL492" s="1251"/>
      <c r="AM492" s="1251"/>
      <c r="AN492" s="1251"/>
      <c r="AO492" s="1251"/>
      <c r="AP492" s="1251"/>
      <c r="AQ492" s="1251"/>
      <c r="AR492" s="1186"/>
      <c r="AS492" s="1186"/>
      <c r="AT492" s="1251"/>
      <c r="AU492" s="1251"/>
      <c r="AV492" s="1251"/>
      <c r="AW492" s="1251"/>
      <c r="AX492" s="1251"/>
      <c r="AY492" s="1251"/>
      <c r="AZ492" s="1251"/>
      <c r="BA492" s="1251"/>
      <c r="BB492" s="1251"/>
      <c r="BC492" s="1251"/>
      <c r="BD492" s="1251"/>
      <c r="BE492" s="1251"/>
      <c r="BF492" s="1251"/>
      <c r="BG492" s="1251"/>
      <c r="BH492" s="1251"/>
      <c r="BI492" s="1251"/>
      <c r="BJ492" s="1251"/>
      <c r="BK492" s="1251"/>
      <c r="BL492" s="1251"/>
      <c r="BM492" s="1251"/>
      <c r="BN492" s="1251"/>
      <c r="BO492" s="1251"/>
      <c r="BP492" s="1251"/>
      <c r="BQ492" s="1251"/>
      <c r="BR492" s="1251"/>
      <c r="BS492" s="1186"/>
      <c r="BT492" s="1186"/>
      <c r="BU492" s="1186"/>
      <c r="BV492" s="1186"/>
      <c r="BW492" s="1186"/>
      <c r="BX492" s="1186"/>
      <c r="BY492" s="419"/>
      <c r="BZ492" s="419"/>
      <c r="CA492" s="419"/>
      <c r="CB492" s="1182"/>
      <c r="CC492" s="1182"/>
      <c r="CD492" s="1182"/>
      <c r="CE492" s="1182"/>
      <c r="CF492" s="1182"/>
      <c r="CG492" s="1182"/>
      <c r="CH492" s="1182"/>
      <c r="CI492" s="1182"/>
      <c r="CJ492" s="1182"/>
      <c r="CK492" s="1182"/>
      <c r="CL492" s="1182"/>
      <c r="CM492" s="1182"/>
      <c r="CN492" s="1182"/>
      <c r="CO492" s="1182"/>
      <c r="CP492" s="1182"/>
      <c r="CQ492" s="1182"/>
      <c r="CR492" s="1182"/>
      <c r="CS492" s="1182"/>
      <c r="CT492" s="1182"/>
      <c r="CU492" s="1183"/>
      <c r="CV492" s="2300"/>
      <c r="CW492" s="2300"/>
      <c r="CX492" s="2300"/>
      <c r="CY492" s="2300"/>
      <c r="CZ492" s="2300"/>
      <c r="DA492" s="2300"/>
      <c r="DC492" s="329" t="str">
        <f t="shared" si="569"/>
        <v/>
      </c>
      <c r="DD492" s="197"/>
      <c r="DE492" s="16"/>
      <c r="DF492" s="16"/>
      <c r="DG492" s="16"/>
      <c r="DH492" s="16"/>
      <c r="DI492" s="1593"/>
      <c r="DJ492" s="1172"/>
      <c r="DK492" s="1606"/>
      <c r="DL492" s="1991" t="s">
        <v>3417</v>
      </c>
      <c r="DM492" s="99">
        <f>SUM(DM478:DM491)</f>
        <v>0</v>
      </c>
      <c r="DN492" s="99">
        <f>SUM(DN478:DN491)</f>
        <v>0</v>
      </c>
      <c r="DO492" s="99">
        <f>SUM(DO478:DO491)</f>
        <v>0</v>
      </c>
      <c r="DP492" s="99">
        <f>SUM(DP478:DP491)</f>
        <v>0</v>
      </c>
      <c r="DU492" s="277"/>
      <c r="DW492" s="2070"/>
      <c r="DX492" s="2918" t="s">
        <v>1619</v>
      </c>
      <c r="DY492" s="2050"/>
      <c r="DZ492" s="72"/>
      <c r="EA492" s="2073"/>
      <c r="EB492" s="673"/>
      <c r="EC492" s="133"/>
      <c r="ED492" s="111">
        <f>COUNTIF(ED478:ED491,"1")</f>
        <v>0</v>
      </c>
      <c r="EE492" s="110" t="str">
        <f t="array" ref="EE492">INDEX(EE478:EE491,MATCH(MIN(ABS(EE478:EE491-$DP$4)),ABS(EE478:EE491-$DP$4),0))</f>
        <v>0</v>
      </c>
      <c r="EF492" s="111">
        <f>COUNTIF(EF478:EF491,"未定")</f>
        <v>0</v>
      </c>
      <c r="EG492" s="109"/>
      <c r="EH492" s="133"/>
      <c r="EI492" s="111">
        <f>COUNTIF(EI478:EI491,"1")</f>
        <v>0</v>
      </c>
      <c r="EJ492" s="110" t="str">
        <f t="array" ref="EJ492">INDEX(EJ478:EJ491,MATCH(MIN(ABS(EJ478:EJ491-$DP$4)),ABS(EJ478:EJ491-$DP$4),0))</f>
        <v>0</v>
      </c>
      <c r="EK492" s="288">
        <f>COUNTIF(EK478:EK491,"未定")</f>
        <v>0</v>
      </c>
      <c r="EL492" s="674"/>
      <c r="EM492" s="11"/>
      <c r="EN492" s="675"/>
      <c r="FK492" s="351"/>
      <c r="FL492" s="351"/>
      <c r="FM492" s="351"/>
      <c r="FN492" s="351"/>
      <c r="FO492" s="670"/>
      <c r="FQ492" s="673"/>
      <c r="FR492" s="133"/>
      <c r="FS492" s="111">
        <f>COUNTIF(FS478:FS491,"1")</f>
        <v>0</v>
      </c>
      <c r="FT492" s="110" t="str">
        <f t="array" ref="FT492">INDEX(FT478:FT491,MATCH(MIN(ABS(FT478:FT491-$DP$4)),ABS(FT478:FT491-$DP$4),0))</f>
        <v>0</v>
      </c>
      <c r="FU492" s="218">
        <f>COUNTIF(FU478:FU491,"未定")</f>
        <v>0</v>
      </c>
      <c r="FV492" s="73"/>
      <c r="FW492" s="667">
        <f t="shared" si="644"/>
        <v>0</v>
      </c>
      <c r="FX492" s="11"/>
      <c r="FY492" s="11"/>
      <c r="FZ492" s="671"/>
      <c r="GB492" s="658">
        <f t="shared" ref="GB492" si="654">IF(SUM(GB478:GB491)&gt;0,1,0)</f>
        <v>0</v>
      </c>
      <c r="GC492" s="658">
        <f t="shared" ref="GC492" si="655">IF(SUM(GC478:GC491)&gt;0,1,0)</f>
        <v>0</v>
      </c>
      <c r="GD492" s="658">
        <f>IF(SUM(GD478:GD491)&gt;0,1,0)</f>
        <v>0</v>
      </c>
      <c r="GE492" s="660"/>
      <c r="GF492" s="660"/>
      <c r="GG492" s="660"/>
      <c r="GH492" s="660"/>
      <c r="GI492" s="660"/>
      <c r="GJ492" s="660"/>
      <c r="GK492" s="660"/>
      <c r="GL492" s="660"/>
      <c r="GM492" s="660"/>
      <c r="GN492" s="660"/>
      <c r="GO492" s="660"/>
      <c r="GP492" s="660"/>
      <c r="GQ492" s="660"/>
      <c r="GR492" s="660"/>
      <c r="GS492" s="660"/>
      <c r="GT492" s="658">
        <f t="shared" ref="GT492:GU492" si="656">IF(SUM(GT478:GT491)&gt;0,1,0)</f>
        <v>0</v>
      </c>
      <c r="GU492" s="658">
        <f t="shared" si="656"/>
        <v>0</v>
      </c>
      <c r="GV492" s="658">
        <f>IF(SUM(GV478:GV491)&gt;0,1,0)</f>
        <v>0</v>
      </c>
      <c r="GW492" s="658" t="b">
        <f t="shared" si="549"/>
        <v>0</v>
      </c>
      <c r="GX492" s="658" t="b">
        <f t="shared" si="550"/>
        <v>0</v>
      </c>
      <c r="GY492" s="658" t="b">
        <f t="shared" si="551"/>
        <v>0</v>
      </c>
      <c r="GZ492" s="658" t="str">
        <f t="shared" si="557"/>
        <v/>
      </c>
      <c r="HB492" s="660"/>
      <c r="HC492" s="660"/>
      <c r="HD492" s="660"/>
      <c r="HE492" s="660"/>
      <c r="HF492" s="660"/>
      <c r="HG492" s="660"/>
      <c r="HH492" s="660"/>
      <c r="HI492" s="660"/>
      <c r="HJ492" s="660"/>
      <c r="HK492" s="660"/>
      <c r="HL492" s="660"/>
      <c r="HM492" s="660"/>
      <c r="HN492" s="660"/>
      <c r="HO492" s="660"/>
      <c r="HP492" s="660"/>
      <c r="HQ492" s="660"/>
      <c r="HR492" s="660"/>
      <c r="HT492" s="1133"/>
      <c r="HU492" s="1133"/>
      <c r="HV492" s="1133"/>
      <c r="HW492" s="1133"/>
      <c r="HX492" s="1133"/>
    </row>
    <row r="493" spans="1:232" ht="15" customHeight="1" thickBot="1" x14ac:dyDescent="0.2">
      <c r="A493" s="1201"/>
      <c r="B493" s="1201"/>
      <c r="C493" s="1201"/>
      <c r="D493" s="1201"/>
      <c r="E493" s="1202"/>
      <c r="I493" s="1962"/>
      <c r="J493" s="1355"/>
      <c r="K493" s="1959"/>
      <c r="L493" s="1959"/>
      <c r="M493" s="1965"/>
      <c r="N493" s="1965"/>
      <c r="O493" s="1965"/>
      <c r="P493" s="1965"/>
      <c r="Q493" s="1965"/>
      <c r="R493" s="1965"/>
      <c r="S493" s="1965"/>
      <c r="T493" s="1965"/>
      <c r="U493" s="1965"/>
      <c r="V493" s="1965"/>
      <c r="W493" s="1965"/>
      <c r="X493" s="1965"/>
      <c r="Y493" s="1965"/>
      <c r="Z493" s="1965"/>
      <c r="AA493" s="1965"/>
      <c r="AB493" s="1965"/>
      <c r="AC493" s="1965"/>
      <c r="AD493" s="1965"/>
      <c r="AE493" s="1967"/>
      <c r="AF493" s="1967"/>
      <c r="AG493" s="1967"/>
      <c r="AH493" s="1967"/>
      <c r="AI493" s="1967"/>
      <c r="AJ493" s="1967"/>
      <c r="AK493" s="1967"/>
      <c r="AL493" s="1967"/>
      <c r="AM493" s="1967"/>
      <c r="AN493" s="1967"/>
      <c r="AO493" s="1967"/>
      <c r="AP493" s="1967"/>
      <c r="AQ493" s="1967"/>
      <c r="AR493" s="1961"/>
      <c r="AS493" s="1961"/>
      <c r="AT493" s="1967"/>
      <c r="AU493" s="1967"/>
      <c r="AV493" s="1967"/>
      <c r="AW493" s="1967"/>
      <c r="AX493" s="1967"/>
      <c r="AY493" s="1967"/>
      <c r="AZ493" s="1967"/>
      <c r="BA493" s="1967"/>
      <c r="BB493" s="1967"/>
      <c r="BC493" s="1967"/>
      <c r="BD493" s="1967"/>
      <c r="BE493" s="1967"/>
      <c r="BF493" s="1967"/>
      <c r="BG493" s="1967"/>
      <c r="BH493" s="1967"/>
      <c r="BI493" s="1967"/>
      <c r="BJ493" s="1967"/>
      <c r="BK493" s="1967"/>
      <c r="BL493" s="1967"/>
      <c r="BM493" s="1967"/>
      <c r="BN493" s="1967"/>
      <c r="BO493" s="1967"/>
      <c r="BP493" s="1967"/>
      <c r="BQ493" s="1967"/>
      <c r="BR493" s="1967"/>
      <c r="BS493" s="1961"/>
      <c r="BT493" s="1961"/>
      <c r="BU493" s="1961"/>
      <c r="BV493" s="1961"/>
      <c r="BW493" s="1961"/>
      <c r="BX493" s="1961"/>
      <c r="BY493" s="1960"/>
      <c r="BZ493" s="1960"/>
      <c r="CA493" s="1960"/>
      <c r="CB493" s="1959"/>
      <c r="CC493" s="1959"/>
      <c r="CD493" s="1959"/>
      <c r="CE493" s="1959"/>
      <c r="CF493" s="1959"/>
      <c r="CG493" s="1959"/>
      <c r="CH493" s="1959"/>
      <c r="CI493" s="1959"/>
      <c r="CJ493" s="1959"/>
      <c r="CK493" s="1959"/>
      <c r="CL493" s="1959"/>
      <c r="CM493" s="1959"/>
      <c r="CN493" s="1959"/>
      <c r="CO493" s="1959"/>
      <c r="CP493" s="1959"/>
      <c r="CQ493" s="1959"/>
      <c r="CR493" s="1959"/>
      <c r="CS493" s="1959"/>
      <c r="CT493" s="1959"/>
      <c r="CU493" s="1963"/>
      <c r="CV493" s="1964"/>
      <c r="CW493" s="1964"/>
      <c r="CX493" s="1964"/>
      <c r="CY493" s="1964"/>
      <c r="CZ493" s="1964"/>
      <c r="DA493" s="1964"/>
      <c r="DC493" s="329"/>
      <c r="DD493" s="197"/>
      <c r="DE493" s="16"/>
      <c r="DF493" s="16"/>
      <c r="DG493" s="16"/>
      <c r="DH493" s="16"/>
      <c r="DI493" s="1593"/>
      <c r="DJ493" s="1997"/>
      <c r="DK493" s="1998"/>
      <c r="DL493" s="2058" t="s">
        <v>3420</v>
      </c>
      <c r="DM493" s="1623" t="str">
        <f>IF(AND(DN493="",DO493="",DP493="",DM515&lt;&gt;0),"レ","")</f>
        <v/>
      </c>
      <c r="DN493" s="1623" t="str">
        <f>IF(AND(DO493="",DP493="",DN515&lt;&gt;0),"レ","")</f>
        <v/>
      </c>
      <c r="DO493" s="1623" t="str">
        <f>IF(DO515&lt;&gt;0,"レ","")</f>
        <v/>
      </c>
      <c r="DP493" s="1623" t="str">
        <f>IF(AND(DO493="",DP515&lt;&gt;0),"レ","")</f>
        <v/>
      </c>
      <c r="DU493" s="277"/>
      <c r="DW493" s="2058" t="s">
        <v>3420</v>
      </c>
      <c r="DX493" s="2918"/>
      <c r="DY493" s="2072" t="str">
        <f>SUBSTITUTE(TRIM(DY497&amp;"　"&amp;DY498&amp;"　"&amp;DY499&amp;"　"&amp;DY500&amp;"　"&amp;DY501&amp;"　"&amp;DY502&amp;"　"&amp;DY503&amp;"　"&amp;DY504&amp;"　"&amp;DY505&amp;"　"&amp;DY506&amp;"　"&amp;DY507&amp;"　"&amp;DY508),"　",", ")&amp;HR536</f>
        <v/>
      </c>
      <c r="DZ493" s="72"/>
      <c r="EA493" s="72"/>
      <c r="EB493" s="2085" t="str">
        <f>IF(COUNTIF(ED497:ED508,1)&gt;0,"レ","")</f>
        <v/>
      </c>
      <c r="EC493" s="2000"/>
      <c r="ED493" s="2087" t="str">
        <f>IF(EB493="レ",YEAR(EE515)-VLOOKUP(EE515,$DS$6:$DV$9,4,TRUE),"")</f>
        <v/>
      </c>
      <c r="EE493" s="2087" t="str">
        <f>IF(EB493="レ",MONTH(EE515),IF(AND(DO493="レ",EF493="レ",EF515=0),"",IF(AND(DO493="レ",EF493="レ",EF515&gt;0),"","")))</f>
        <v/>
      </c>
      <c r="EF493" s="2088" t="str">
        <f>IF(EB493="",IF(OR(EF515&gt;0,DO493="レ"),"レ",""),"")</f>
        <v/>
      </c>
      <c r="EG493" s="2091" t="str">
        <f>IF(AND(COUNTIF(DT497:DT508,"要是正")=0,COUNTIF(EI497:EI508,1)&gt;0),"レ","")</f>
        <v/>
      </c>
      <c r="EH493" s="2000"/>
      <c r="EI493" s="2087" t="str">
        <f>IF(EG493="レ",YEAR(EJ515)-VLOOKUP(EJ515,$DS$6:$DV$9,4,TRUE),"")</f>
        <v/>
      </c>
      <c r="EJ493" s="2093" t="str">
        <f>IF(EG493="レ",MONTH(EJ515),IF(AND(DP493="レ",EK493="レ",EK515=0),"",IF(AND(DP493="レ",EK493="レ",EK515&gt;0),"","")))</f>
        <v/>
      </c>
      <c r="EK493" s="2088" t="str">
        <f>IF(EG493="",IF(OR(EK515&gt;0,DP493="レ"),"レ",""),"")</f>
        <v/>
      </c>
      <c r="EL493" s="674"/>
      <c r="EM493" s="11"/>
      <c r="EN493" s="675"/>
      <c r="FK493" s="351"/>
      <c r="FL493" s="351"/>
      <c r="FM493" s="351"/>
      <c r="FN493" s="351"/>
      <c r="FO493" s="670"/>
      <c r="FQ493" s="674"/>
      <c r="FR493" s="2000"/>
      <c r="FS493" s="2001"/>
      <c r="FT493" s="2002"/>
      <c r="FU493" s="2005"/>
      <c r="FV493" s="73"/>
      <c r="FW493" s="667"/>
      <c r="FX493" s="11"/>
      <c r="FY493" s="11"/>
      <c r="FZ493" s="671"/>
      <c r="GB493" s="1134"/>
      <c r="GC493" s="1134"/>
      <c r="GD493" s="1134"/>
      <c r="GE493" s="1134"/>
      <c r="GF493" s="1134"/>
      <c r="GG493" s="1134"/>
      <c r="GH493" s="1134"/>
      <c r="GI493" s="1134"/>
      <c r="GJ493" s="1134"/>
      <c r="GK493" s="1134"/>
      <c r="GL493" s="1134"/>
      <c r="GM493" s="1134"/>
      <c r="GN493" s="1134"/>
      <c r="GO493" s="1134"/>
      <c r="GP493" s="1134"/>
      <c r="GQ493" s="1134"/>
      <c r="GR493" s="1134"/>
      <c r="GS493" s="1134"/>
      <c r="GT493" s="1134"/>
      <c r="GU493" s="1134"/>
      <c r="GV493" s="1134"/>
      <c r="GW493" s="1134"/>
      <c r="GX493" s="1134"/>
      <c r="GY493" s="1134"/>
      <c r="GZ493" s="1134"/>
      <c r="HB493" s="1134"/>
      <c r="HC493" s="1134"/>
      <c r="HD493" s="1134"/>
      <c r="HE493" s="1134"/>
      <c r="HF493" s="1134"/>
      <c r="HG493" s="1134"/>
      <c r="HH493" s="1134"/>
      <c r="HI493" s="1134"/>
      <c r="HJ493" s="1134"/>
      <c r="HK493" s="1134"/>
      <c r="HL493" s="1134"/>
      <c r="HM493" s="1134"/>
      <c r="HN493" s="1134"/>
      <c r="HO493" s="1134"/>
      <c r="HP493" s="1134"/>
      <c r="HQ493" s="1134"/>
      <c r="HR493" s="1134"/>
      <c r="HT493" s="1134"/>
      <c r="HU493" s="1134"/>
      <c r="HV493" s="1134"/>
      <c r="HW493" s="1134"/>
      <c r="HX493" s="1134"/>
    </row>
    <row r="494" spans="1:232" s="19" customFormat="1" ht="35.1" customHeight="1" thickBot="1" x14ac:dyDescent="0.55000000000000004">
      <c r="A494" s="1201"/>
      <c r="B494" s="1201"/>
      <c r="C494" s="1201"/>
      <c r="D494" s="1201"/>
      <c r="E494" s="1202"/>
      <c r="F494" s="652"/>
      <c r="G494" s="652"/>
      <c r="H494" s="652"/>
      <c r="I494" s="1354"/>
      <c r="J494" s="1234"/>
      <c r="K494" s="1261"/>
      <c r="L494" s="1261"/>
      <c r="M494" s="2450" t="s">
        <v>2833</v>
      </c>
      <c r="N494" s="2450"/>
      <c r="O494" s="2450"/>
      <c r="P494" s="2450"/>
      <c r="Q494" s="2450"/>
      <c r="R494" s="2450"/>
      <c r="S494" s="2450"/>
      <c r="T494" s="2450"/>
      <c r="U494" s="2450"/>
      <c r="V494" s="2450"/>
      <c r="W494" s="2450"/>
      <c r="X494" s="2450"/>
      <c r="Y494" s="2450"/>
      <c r="Z494" s="2450"/>
      <c r="AA494" s="2450"/>
      <c r="AB494" s="2450"/>
      <c r="AC494" s="2450"/>
      <c r="AD494" s="2450"/>
      <c r="AE494" s="2450"/>
      <c r="AF494" s="2450"/>
      <c r="AG494" s="2450"/>
      <c r="AH494" s="2450"/>
      <c r="AI494" s="2450"/>
      <c r="AJ494" s="2450"/>
      <c r="AK494" s="2450"/>
      <c r="AL494" s="2450"/>
      <c r="AM494" s="2450"/>
      <c r="AN494" s="2450"/>
      <c r="AO494" s="2450"/>
      <c r="AP494" s="2450"/>
      <c r="AQ494" s="2450"/>
      <c r="AR494" s="2450"/>
      <c r="AS494" s="2450"/>
      <c r="AT494" s="2450"/>
      <c r="AU494" s="2450"/>
      <c r="AV494" s="2450"/>
      <c r="AW494" s="2450"/>
      <c r="AX494" s="2450"/>
      <c r="AY494" s="2450"/>
      <c r="AZ494" s="2450"/>
      <c r="BA494" s="2450"/>
      <c r="BB494" s="2450"/>
      <c r="BC494" s="2450"/>
      <c r="BD494" s="2450"/>
      <c r="BE494" s="2450"/>
      <c r="BF494" s="2450"/>
      <c r="BG494" s="2450"/>
      <c r="BH494" s="2450"/>
      <c r="BI494" s="2450"/>
      <c r="BJ494" s="2450"/>
      <c r="BK494" s="2450"/>
      <c r="BL494" s="2450"/>
      <c r="BM494" s="2450"/>
      <c r="BN494" s="2450"/>
      <c r="BO494" s="2450"/>
      <c r="BP494" s="2450"/>
      <c r="BQ494" s="2450"/>
      <c r="BR494" s="2450"/>
      <c r="BS494" s="2450"/>
      <c r="BT494" s="2450"/>
      <c r="BU494" s="2450"/>
      <c r="BV494" s="2450"/>
      <c r="BW494" s="2450"/>
      <c r="BX494" s="2450"/>
      <c r="BY494" s="2450"/>
      <c r="BZ494" s="2450"/>
      <c r="CA494" s="2450"/>
      <c r="CB494" s="2450"/>
      <c r="CC494" s="2450"/>
      <c r="CD494" s="2450"/>
      <c r="CE494" s="2450"/>
      <c r="CF494" s="2450"/>
      <c r="CG494" s="2450"/>
      <c r="CH494" s="2450"/>
      <c r="CI494" s="2450"/>
      <c r="CJ494" s="2450"/>
      <c r="CK494" s="2450"/>
      <c r="CL494" s="2450"/>
      <c r="CM494" s="2450"/>
      <c r="CN494" s="2450"/>
      <c r="CO494" s="2450"/>
      <c r="CP494" s="2450"/>
      <c r="CQ494" s="2450"/>
      <c r="CR494" s="2450"/>
      <c r="CS494" s="2450"/>
      <c r="CT494" s="2450"/>
      <c r="CU494" s="2451"/>
      <c r="CV494" s="2300" t="str">
        <f>IF(AND(DT494="要是正",DU494&lt;21),HYPERLINK("#"&amp;EL494&amp;"!"&amp;EM494&amp;":"&amp;EN494&amp;"","関連写真添付"),"")</f>
        <v/>
      </c>
      <c r="CW494" s="2300"/>
      <c r="CX494" s="2300"/>
      <c r="CY494" s="2300"/>
      <c r="CZ494" s="2300"/>
      <c r="DA494" s="2300"/>
      <c r="DC494" s="329"/>
      <c r="DD494" s="197"/>
      <c r="DF494" s="14"/>
      <c r="DG494" s="14"/>
      <c r="DH494" s="14"/>
      <c r="DI494" s="1596"/>
      <c r="DJ494" s="1157"/>
      <c r="DK494" s="1608"/>
      <c r="DL494" s="2058" t="s">
        <v>3421</v>
      </c>
      <c r="DM494" s="1623" t="str">
        <f>IF(AND(DN494="",DO494="",DP494="",DM516&lt;&gt;0),"レ","")</f>
        <v/>
      </c>
      <c r="DN494" s="1623" t="str">
        <f>IF(AND(DO494="",DP494="",DN516&lt;&gt;0),"レ","")</f>
        <v/>
      </c>
      <c r="DO494" s="1623" t="str">
        <f>IF(DO516&lt;&gt;0,"レ","")</f>
        <v/>
      </c>
      <c r="DP494" s="1623" t="str">
        <f>IF(AND(DO494="",DP516&lt;&gt;0),"レ","")</f>
        <v/>
      </c>
      <c r="DQ494" s="25"/>
      <c r="DR494" s="25"/>
      <c r="DS494" s="25"/>
      <c r="DT494" s="24"/>
      <c r="DU494" s="57"/>
      <c r="DV494" s="24"/>
      <c r="DW494" s="2058" t="s">
        <v>3421</v>
      </c>
      <c r="DX494" s="2404"/>
      <c r="DY494" s="2051" t="str">
        <f>SUBSTITUTE(TRIM(DY509&amp;"　"&amp;DY510&amp;"　"&amp;DY511&amp;"　"&amp;DY512&amp;"　"&amp;DY513&amp;"　"&amp;DY514),"　",", ")&amp;HS536</f>
        <v/>
      </c>
      <c r="DZ494" s="2370" t="s">
        <v>1625</v>
      </c>
      <c r="EA494" s="2371"/>
      <c r="EB494" s="2086" t="str">
        <f>IF(COUNTIF(ED509:ED514,1)&gt;0,"レ","")</f>
        <v/>
      </c>
      <c r="EC494" s="202"/>
      <c r="ED494" s="2089" t="str">
        <f>IF(EB494="レ",YEAR(EE516)-VLOOKUP(EE516,$DS$6:$DV$9,4,TRUE),"")</f>
        <v/>
      </c>
      <c r="EE494" s="2089" t="str">
        <f>IF(EB494="レ",MONTH(EE516),IF(AND(DO494="レ",EF494="レ",EF516=0),"",IF(AND(DO494="レ",EF494="レ",EF516&gt;0),"","")))</f>
        <v/>
      </c>
      <c r="EF494" s="2090" t="str">
        <f>IF(EB494="",IF(OR(EF516&gt;0,DO494="レ"),"レ",""),"")</f>
        <v/>
      </c>
      <c r="EG494" s="2092" t="str">
        <f>IF(AND(COUNTIF(DT509:DT514,"要是正")=0,COUNTIF(EI509:EI514,1)&gt;0),"レ","")</f>
        <v/>
      </c>
      <c r="EH494" s="306"/>
      <c r="EI494" s="2083" t="str">
        <f>IF(EG494="レ",YEAR(EJ516)-VLOOKUP(EJ516,$DS$6:$DV$9,4,TRUE),"")</f>
        <v/>
      </c>
      <c r="EJ494" s="2083" t="str">
        <f>IF(EG494="レ",MONTH(EJ516),IF(AND(DP494="レ",EK494="レ",EK516=0),"",IF(AND(DP494="レ",EK494="レ",EK516&gt;0),"","")))</f>
        <v/>
      </c>
      <c r="EK494" s="2094" t="str">
        <f>IF(EG494="",IF(OR(EK516&gt;0,DP494="レ"),"レ",""),"")</f>
        <v/>
      </c>
      <c r="EL494" s="242"/>
      <c r="EM494" s="57"/>
      <c r="EN494" s="243"/>
      <c r="EO494" s="15"/>
      <c r="EP494" s="15"/>
      <c r="EQ494" s="15"/>
      <c r="ER494" s="15"/>
      <c r="ES494" s="15"/>
      <c r="ET494" s="15"/>
      <c r="EU494" s="15"/>
      <c r="EV494" s="15"/>
      <c r="EW494" s="15"/>
      <c r="EX494" s="15"/>
      <c r="EY494" s="15"/>
      <c r="EZ494" s="15"/>
      <c r="FA494" s="15"/>
      <c r="FB494" s="15"/>
      <c r="FC494" s="15"/>
      <c r="FD494" s="15"/>
      <c r="FE494" s="15"/>
      <c r="FF494" s="15"/>
      <c r="FG494" s="15"/>
      <c r="FH494" s="15"/>
      <c r="FI494" s="15"/>
      <c r="FK494" s="351"/>
      <c r="FL494" s="351"/>
      <c r="FM494" s="351"/>
      <c r="FN494" s="351"/>
      <c r="FO494" s="670"/>
      <c r="FQ494" s="134" t="str">
        <f>IF(COUNTIF(FS497:FS514,1)&gt;0,"レ","")</f>
        <v/>
      </c>
      <c r="FR494" s="202"/>
      <c r="FS494" s="135" t="str">
        <f>IF(FQ494="レ",TEXT(FT515,"ee"),"")</f>
        <v/>
      </c>
      <c r="FT494" s="135" t="str">
        <f>IF(FQ494="レ",MONTH(FT515),IF(AND(FH494="レ",FU494="レ",FU515=0),"",IF(AND(FH494="レ",FU494="レ",FU515&gt;0),"未定","")))</f>
        <v/>
      </c>
      <c r="FU494" s="200" t="str">
        <f>IF(FQ494="",IF(OR(FU515&gt;0,FH494="レ"),"レ",""),"")</f>
        <v/>
      </c>
      <c r="FW494" s="667">
        <f t="shared" ref="FW494:FW515" si="657">IF(AF494="△既存不適格",AT494&amp;"(既存不適格)",AT494)</f>
        <v>0</v>
      </c>
      <c r="FX494" s="32"/>
      <c r="FY494" s="32"/>
      <c r="FZ494" s="668"/>
      <c r="GA494" s="14"/>
      <c r="GB494" s="32"/>
      <c r="GC494" s="32"/>
      <c r="GE494" s="32"/>
      <c r="GF494" s="32"/>
      <c r="GG494" s="32"/>
      <c r="GH494" s="32"/>
      <c r="GI494" s="32"/>
      <c r="GJ494" s="32"/>
      <c r="GK494" s="32"/>
      <c r="GL494" s="32"/>
      <c r="GM494" s="32"/>
      <c r="GN494" s="32"/>
      <c r="GO494" s="32"/>
      <c r="GP494" s="32"/>
      <c r="GQ494" s="32"/>
      <c r="GR494" s="32"/>
      <c r="GS494" s="32"/>
      <c r="GT494" s="32"/>
      <c r="GU494" s="32"/>
      <c r="GV494" s="32"/>
      <c r="GW494" s="32"/>
      <c r="GX494" s="32"/>
      <c r="GY494" s="32"/>
      <c r="HB494" s="32"/>
      <c r="HC494" s="32"/>
      <c r="HD494" s="32"/>
      <c r="HE494" s="32"/>
      <c r="HF494" s="32"/>
      <c r="HG494" s="32"/>
      <c r="HH494" s="32"/>
      <c r="HI494" s="32"/>
      <c r="HJ494" s="32"/>
      <c r="HK494" s="32"/>
      <c r="HL494" s="32"/>
      <c r="HM494" s="32"/>
      <c r="HN494" s="32"/>
      <c r="HO494" s="32"/>
      <c r="HP494" s="32"/>
      <c r="HQ494" s="32"/>
      <c r="HR494" s="32"/>
      <c r="HT494" s="1134"/>
      <c r="HU494" s="1134"/>
      <c r="HV494" s="1134"/>
      <c r="HW494" s="1134"/>
      <c r="HX494" s="1134"/>
    </row>
    <row r="495" spans="1:232" s="19" customFormat="1" ht="36" customHeight="1" thickBot="1" x14ac:dyDescent="0.2">
      <c r="A495" s="1201"/>
      <c r="B495" s="1201"/>
      <c r="C495" s="1201"/>
      <c r="D495" s="1201"/>
      <c r="E495" s="1202"/>
      <c r="F495" s="652"/>
      <c r="G495" s="652"/>
      <c r="H495" s="652"/>
      <c r="I495" s="1351"/>
      <c r="J495" s="1260"/>
      <c r="K495" s="1261"/>
      <c r="L495" s="1261"/>
      <c r="M495" s="2387" t="s">
        <v>31</v>
      </c>
      <c r="N495" s="2387"/>
      <c r="O495" s="2387"/>
      <c r="P495" s="2387" t="s">
        <v>32</v>
      </c>
      <c r="Q495" s="2387"/>
      <c r="R495" s="2387"/>
      <c r="S495" s="2387"/>
      <c r="T495" s="2387"/>
      <c r="U495" s="2387"/>
      <c r="V495" s="2387"/>
      <c r="W495" s="2387"/>
      <c r="X495" s="2387"/>
      <c r="Y495" s="2387"/>
      <c r="Z495" s="2387"/>
      <c r="AA495" s="2387"/>
      <c r="AB495" s="2387"/>
      <c r="AC495" s="2387"/>
      <c r="AD495" s="2387"/>
      <c r="AE495" s="2387"/>
      <c r="AF495" s="2387" t="s">
        <v>33</v>
      </c>
      <c r="AG495" s="2387"/>
      <c r="AH495" s="2387"/>
      <c r="AI495" s="2387"/>
      <c r="AJ495" s="2387"/>
      <c r="AK495" s="2387"/>
      <c r="AL495" s="2387"/>
      <c r="AM495" s="2387"/>
      <c r="AN495" s="2387"/>
      <c r="AO495" s="2387"/>
      <c r="AP495" s="2387"/>
      <c r="AQ495" s="2387"/>
      <c r="AR495" s="2387" t="s">
        <v>716</v>
      </c>
      <c r="AS495" s="2387"/>
      <c r="AT495" s="2388" t="s">
        <v>149</v>
      </c>
      <c r="AU495" s="2388"/>
      <c r="AV495" s="2388"/>
      <c r="AW495" s="2388"/>
      <c r="AX495" s="2388"/>
      <c r="AY495" s="2388"/>
      <c r="AZ495" s="2388"/>
      <c r="BA495" s="2388"/>
      <c r="BB495" s="2388"/>
      <c r="BC495" s="2388"/>
      <c r="BD495" s="2388" t="s">
        <v>187</v>
      </c>
      <c r="BE495" s="2388"/>
      <c r="BF495" s="2388"/>
      <c r="BG495" s="2388"/>
      <c r="BH495" s="2388"/>
      <c r="BI495" s="2388"/>
      <c r="BJ495" s="2388"/>
      <c r="BK495" s="2388"/>
      <c r="BL495" s="2388"/>
      <c r="BM495" s="2388"/>
      <c r="BN495" s="2388"/>
      <c r="BO495" s="2388"/>
      <c r="BP495" s="2388"/>
      <c r="BQ495" s="2388"/>
      <c r="BR495" s="2388"/>
      <c r="BS495" s="2387" t="s">
        <v>352</v>
      </c>
      <c r="BT495" s="2388"/>
      <c r="BU495" s="2388"/>
      <c r="BV495" s="2388"/>
      <c r="BW495" s="2388"/>
      <c r="BX495" s="2388"/>
      <c r="BY495" s="2388"/>
      <c r="BZ495" s="2388"/>
      <c r="CA495" s="2388"/>
      <c r="CB495" s="2363" t="s">
        <v>1919</v>
      </c>
      <c r="CC495" s="2363"/>
      <c r="CD495" s="2363"/>
      <c r="CE495" s="2363"/>
      <c r="CF495" s="2363"/>
      <c r="CG495" s="2363"/>
      <c r="CH495" s="2363"/>
      <c r="CI495" s="2363"/>
      <c r="CJ495" s="2363"/>
      <c r="CK495" s="2363"/>
      <c r="CL495" s="2363"/>
      <c r="CM495" s="2363"/>
      <c r="CN495" s="2363"/>
      <c r="CO495" s="2363"/>
      <c r="CP495" s="2363"/>
      <c r="CQ495" s="2363"/>
      <c r="CR495" s="2363"/>
      <c r="CS495" s="2363"/>
      <c r="CT495" s="2363"/>
      <c r="CU495" s="2364"/>
      <c r="CV495" s="421"/>
      <c r="CW495" s="421"/>
      <c r="CX495" s="20"/>
      <c r="CY495" s="20"/>
      <c r="CZ495" s="20"/>
      <c r="DA495" s="20"/>
      <c r="DB495" s="20"/>
      <c r="DC495" s="15"/>
      <c r="DD495" s="197"/>
      <c r="DE495" s="14"/>
      <c r="DF495" s="14"/>
      <c r="DG495" s="14"/>
      <c r="DH495" s="14"/>
      <c r="DI495" s="1596"/>
      <c r="DJ495" s="1157"/>
      <c r="DK495" s="1608"/>
      <c r="DL495" s="2058"/>
      <c r="DM495" s="2068"/>
      <c r="DN495" s="2069"/>
      <c r="DO495" s="2069"/>
      <c r="DP495" s="2069"/>
      <c r="DQ495" s="14"/>
      <c r="DR495" s="14"/>
      <c r="DU495" s="197"/>
      <c r="DV495" s="197"/>
      <c r="DW495" s="2052"/>
      <c r="DX495" s="2404"/>
      <c r="DY495" s="2294" t="s">
        <v>872</v>
      </c>
      <c r="DZ495" s="2290" t="s">
        <v>187</v>
      </c>
      <c r="EA495" s="2372" t="s">
        <v>1605</v>
      </c>
      <c r="EB495" s="2262" t="s">
        <v>24</v>
      </c>
      <c r="EC495" s="2263"/>
      <c r="ED495" s="2263"/>
      <c r="EE495" s="2263"/>
      <c r="EF495" s="2263"/>
      <c r="EG495" s="2314" t="s">
        <v>891</v>
      </c>
      <c r="EH495" s="2315"/>
      <c r="EI495" s="2315"/>
      <c r="EJ495" s="2315"/>
      <c r="EK495" s="2316"/>
      <c r="EL495" s="2304" t="s">
        <v>898</v>
      </c>
      <c r="EM495" s="2305"/>
      <c r="EN495" s="2306"/>
      <c r="EO495" s="2281"/>
      <c r="EP495" s="2281"/>
      <c r="EQ495" s="2281"/>
      <c r="ER495" s="2281"/>
      <c r="ES495" s="15"/>
      <c r="ET495" s="2281"/>
      <c r="EU495" s="2281"/>
      <c r="EV495" s="2281"/>
      <c r="EW495" s="2281"/>
      <c r="EX495" s="2281"/>
      <c r="EY495" s="2265"/>
      <c r="EZ495" s="2265"/>
      <c r="FA495" s="2265"/>
      <c r="FB495" s="2265"/>
      <c r="FC495" s="2265"/>
      <c r="FD495" s="2265"/>
      <c r="FE495" s="2265"/>
      <c r="FF495" s="2265"/>
      <c r="FG495" s="2265"/>
      <c r="FH495" s="2265"/>
      <c r="FI495" s="31"/>
      <c r="FJ495" s="20"/>
      <c r="FK495" s="2283" t="s">
        <v>1108</v>
      </c>
      <c r="FL495" s="2284"/>
      <c r="FM495" s="2284"/>
      <c r="FN495" s="2284"/>
      <c r="FO495" s="2285"/>
      <c r="FQ495" s="2262" t="s">
        <v>24</v>
      </c>
      <c r="FR495" s="2263"/>
      <c r="FS495" s="2263"/>
      <c r="FT495" s="2263"/>
      <c r="FU495" s="2264"/>
      <c r="FW495" s="667" t="str">
        <f t="shared" si="657"/>
        <v>指摘の具体的内容等</v>
      </c>
      <c r="FX495" s="32"/>
      <c r="FY495" s="32"/>
      <c r="FZ495" s="668"/>
      <c r="GA495" s="14"/>
      <c r="GB495" s="32"/>
      <c r="GC495" s="32"/>
      <c r="GE495" s="32"/>
      <c r="GF495" s="32"/>
      <c r="GG495" s="32"/>
      <c r="GH495" s="32"/>
      <c r="GI495" s="32"/>
      <c r="GJ495" s="32"/>
      <c r="GK495" s="32"/>
      <c r="GL495" s="32"/>
      <c r="GM495" s="32"/>
      <c r="GN495" s="32"/>
      <c r="GO495" s="32"/>
      <c r="GP495" s="32"/>
      <c r="GQ495" s="32"/>
      <c r="GR495" s="32"/>
      <c r="GS495" s="32"/>
      <c r="GT495" s="32"/>
      <c r="GU495" s="32"/>
      <c r="GV495" s="73"/>
      <c r="GW495" s="32"/>
      <c r="GX495" s="32"/>
      <c r="GY495" s="32"/>
      <c r="HB495" s="32"/>
      <c r="HC495" s="32"/>
      <c r="HD495" s="32"/>
      <c r="HE495" s="32"/>
      <c r="HF495" s="32"/>
      <c r="HG495" s="32"/>
      <c r="HH495" s="32"/>
      <c r="HI495" s="32"/>
      <c r="HJ495" s="32"/>
      <c r="HK495" s="32"/>
      <c r="HL495" s="32"/>
      <c r="HM495" s="32"/>
      <c r="HN495" s="32"/>
      <c r="HO495" s="32"/>
      <c r="HP495" s="32"/>
      <c r="HQ495" s="32"/>
      <c r="HR495" s="32"/>
      <c r="HS495" s="73"/>
      <c r="HT495" s="1134"/>
      <c r="HU495" s="1134"/>
      <c r="HV495" s="1134"/>
      <c r="HW495" s="1134"/>
      <c r="HX495" s="1134"/>
    </row>
    <row r="496" spans="1:232" s="19" customFormat="1" ht="36" customHeight="1" thickBot="1" x14ac:dyDescent="0.2">
      <c r="A496" s="1201"/>
      <c r="B496" s="1201"/>
      <c r="C496" s="1201"/>
      <c r="D496" s="1201"/>
      <c r="E496" s="1202"/>
      <c r="F496" s="652"/>
      <c r="G496" s="652"/>
      <c r="H496" s="652"/>
      <c r="I496" s="1351"/>
      <c r="J496" s="1260"/>
      <c r="K496" s="1261"/>
      <c r="L496" s="1261"/>
      <c r="M496" s="2289"/>
      <c r="N496" s="2289"/>
      <c r="O496" s="2289"/>
      <c r="P496" s="2289"/>
      <c r="Q496" s="2289"/>
      <c r="R496" s="2289"/>
      <c r="S496" s="2289"/>
      <c r="T496" s="2289"/>
      <c r="U496" s="2289"/>
      <c r="V496" s="2289"/>
      <c r="W496" s="2289"/>
      <c r="X496" s="2289"/>
      <c r="Y496" s="2289"/>
      <c r="Z496" s="2289"/>
      <c r="AA496" s="2289"/>
      <c r="AB496" s="2289"/>
      <c r="AC496" s="2289"/>
      <c r="AD496" s="2289"/>
      <c r="AE496" s="2289"/>
      <c r="AF496" s="2289"/>
      <c r="AG496" s="2289"/>
      <c r="AH496" s="2289"/>
      <c r="AI496" s="2289"/>
      <c r="AJ496" s="2289"/>
      <c r="AK496" s="2289"/>
      <c r="AL496" s="2289"/>
      <c r="AM496" s="2289"/>
      <c r="AN496" s="2289"/>
      <c r="AO496" s="2289"/>
      <c r="AP496" s="2289"/>
      <c r="AQ496" s="2289"/>
      <c r="AR496" s="2289"/>
      <c r="AS496" s="2289"/>
      <c r="AT496" s="2386"/>
      <c r="AU496" s="2386"/>
      <c r="AV496" s="2386"/>
      <c r="AW496" s="2386"/>
      <c r="AX496" s="2386"/>
      <c r="AY496" s="2386"/>
      <c r="AZ496" s="2386"/>
      <c r="BA496" s="2386"/>
      <c r="BB496" s="2386"/>
      <c r="BC496" s="2386"/>
      <c r="BD496" s="2386"/>
      <c r="BE496" s="2386"/>
      <c r="BF496" s="2386"/>
      <c r="BG496" s="2386"/>
      <c r="BH496" s="2386"/>
      <c r="BI496" s="2386"/>
      <c r="BJ496" s="2386"/>
      <c r="BK496" s="2386"/>
      <c r="BL496" s="2386"/>
      <c r="BM496" s="2386"/>
      <c r="BN496" s="2386"/>
      <c r="BO496" s="2386"/>
      <c r="BP496" s="2386"/>
      <c r="BQ496" s="2386"/>
      <c r="BR496" s="2386"/>
      <c r="BS496" s="2289" t="s">
        <v>827</v>
      </c>
      <c r="BT496" s="2289"/>
      <c r="BU496" s="2289"/>
      <c r="BV496" s="2289" t="s">
        <v>348</v>
      </c>
      <c r="BW496" s="2289"/>
      <c r="BX496" s="2289"/>
      <c r="BY496" s="2289" t="s">
        <v>1314</v>
      </c>
      <c r="BZ496" s="2386"/>
      <c r="CA496" s="2386"/>
      <c r="CB496" s="2365"/>
      <c r="CC496" s="2365"/>
      <c r="CD496" s="2365"/>
      <c r="CE496" s="2365"/>
      <c r="CF496" s="2365"/>
      <c r="CG496" s="2365"/>
      <c r="CH496" s="2365"/>
      <c r="CI496" s="2365"/>
      <c r="CJ496" s="2365"/>
      <c r="CK496" s="2365"/>
      <c r="CL496" s="2365"/>
      <c r="CM496" s="2365"/>
      <c r="CN496" s="2365"/>
      <c r="CO496" s="2365"/>
      <c r="CP496" s="2365"/>
      <c r="CQ496" s="2365"/>
      <c r="CR496" s="2365"/>
      <c r="CS496" s="2365"/>
      <c r="CT496" s="2365"/>
      <c r="CU496" s="2366"/>
      <c r="CV496" s="421"/>
      <c r="CW496" s="421"/>
      <c r="CX496" s="20"/>
      <c r="CY496" s="20"/>
      <c r="CZ496" s="20"/>
      <c r="DA496" s="20"/>
      <c r="DB496" s="20"/>
      <c r="DC496" s="15"/>
      <c r="DD496" s="197"/>
      <c r="DE496" s="14"/>
      <c r="DF496" s="14"/>
      <c r="DG496" s="14"/>
      <c r="DH496" s="14"/>
      <c r="DI496" s="1596"/>
      <c r="DJ496" s="1169" t="s">
        <v>2752</v>
      </c>
      <c r="DK496" s="1599" t="s">
        <v>2751</v>
      </c>
      <c r="DL496" s="269" t="s">
        <v>2753</v>
      </c>
      <c r="DM496" s="281" t="s">
        <v>325</v>
      </c>
      <c r="DN496" s="261" t="s">
        <v>326</v>
      </c>
      <c r="DO496" s="261" t="s">
        <v>327</v>
      </c>
      <c r="DP496" s="262" t="s">
        <v>328</v>
      </c>
      <c r="DQ496" s="98" t="s">
        <v>825</v>
      </c>
      <c r="DR496" s="260" t="s">
        <v>718</v>
      </c>
      <c r="DS496" s="283" t="s">
        <v>717</v>
      </c>
      <c r="DT496" s="269" t="s">
        <v>710</v>
      </c>
      <c r="DU496" s="271" t="s">
        <v>881</v>
      </c>
      <c r="DV496" s="291" t="s">
        <v>873</v>
      </c>
      <c r="DW496" s="2053" t="s">
        <v>660</v>
      </c>
      <c r="DX496" s="2405"/>
      <c r="DY496" s="2295"/>
      <c r="DZ496" s="2291"/>
      <c r="EA496" s="2373"/>
      <c r="EB496" s="139" t="s">
        <v>910</v>
      </c>
      <c r="EC496" s="132" t="s">
        <v>909</v>
      </c>
      <c r="ED496" s="132" t="s">
        <v>903</v>
      </c>
      <c r="EE496" s="119" t="s">
        <v>904</v>
      </c>
      <c r="EF496" s="120" t="s">
        <v>905</v>
      </c>
      <c r="EG496" s="118" t="s">
        <v>901</v>
      </c>
      <c r="EH496" s="119" t="s">
        <v>902</v>
      </c>
      <c r="EI496" s="132" t="s">
        <v>903</v>
      </c>
      <c r="EJ496" s="119" t="s">
        <v>904</v>
      </c>
      <c r="EK496" s="216" t="s">
        <v>905</v>
      </c>
      <c r="EL496" s="127" t="s">
        <v>336</v>
      </c>
      <c r="EM496" s="23" t="s">
        <v>658</v>
      </c>
      <c r="EN496" s="124" t="s">
        <v>659</v>
      </c>
      <c r="EO496" s="15"/>
      <c r="EP496" s="185"/>
      <c r="EQ496" s="185"/>
      <c r="ER496" s="185"/>
      <c r="ES496" s="181"/>
      <c r="ET496" s="15"/>
      <c r="EU496" s="181"/>
      <c r="EV496" s="181"/>
      <c r="EW496" s="181"/>
      <c r="EX496" s="181"/>
      <c r="EY496" s="182"/>
      <c r="EZ496" s="182"/>
      <c r="FA496" s="182"/>
      <c r="FB496" s="182"/>
      <c r="FC496" s="182"/>
      <c r="FD496" s="182"/>
      <c r="FE496" s="182"/>
      <c r="FF496" s="182"/>
      <c r="FG496" s="182"/>
      <c r="FH496" s="182"/>
      <c r="FI496" s="31"/>
      <c r="FJ496" s="20"/>
      <c r="FK496" s="2286"/>
      <c r="FL496" s="2287"/>
      <c r="FM496" s="2287"/>
      <c r="FN496" s="2287"/>
      <c r="FO496" s="2288"/>
      <c r="FQ496" s="139" t="s">
        <v>910</v>
      </c>
      <c r="FR496" s="132" t="s">
        <v>909</v>
      </c>
      <c r="FS496" s="132" t="s">
        <v>903</v>
      </c>
      <c r="FT496" s="119" t="s">
        <v>904</v>
      </c>
      <c r="FU496" s="216" t="s">
        <v>905</v>
      </c>
      <c r="FW496" s="667">
        <f t="shared" si="657"/>
        <v>0</v>
      </c>
      <c r="FX496" s="32"/>
      <c r="FY496" s="32"/>
      <c r="FZ496" s="668"/>
      <c r="GA496" s="14"/>
      <c r="GB496" s="32"/>
      <c r="GC496" s="32"/>
      <c r="GE496" s="672"/>
      <c r="GF496" s="672"/>
      <c r="GG496" s="672"/>
      <c r="GH496" s="672"/>
      <c r="GI496" s="672"/>
      <c r="GJ496" s="672"/>
      <c r="GK496" s="672"/>
      <c r="GL496" s="672"/>
      <c r="GM496" s="672"/>
      <c r="GN496" s="672"/>
      <c r="GO496" s="672"/>
      <c r="GP496" s="672"/>
      <c r="GQ496" s="672"/>
      <c r="GR496" s="672"/>
      <c r="GS496" s="672"/>
      <c r="GT496" s="672"/>
      <c r="GU496" s="672"/>
      <c r="GV496" s="672"/>
      <c r="GW496" s="32"/>
      <c r="GX496" s="32"/>
      <c r="GY496" s="32"/>
      <c r="HB496" s="672"/>
      <c r="HC496" s="672"/>
      <c r="HD496" s="672"/>
      <c r="HE496" s="672"/>
      <c r="HF496" s="672"/>
      <c r="HG496" s="672"/>
      <c r="HH496" s="672"/>
      <c r="HI496" s="672"/>
      <c r="HJ496" s="672"/>
      <c r="HK496" s="672"/>
      <c r="HL496" s="672"/>
      <c r="HM496" s="672"/>
      <c r="HN496" s="672"/>
      <c r="HO496" s="672"/>
      <c r="HP496" s="672"/>
      <c r="HQ496" s="672"/>
      <c r="HR496" s="672"/>
      <c r="HT496" s="1135"/>
      <c r="HU496" s="1135"/>
      <c r="HV496" s="1135"/>
      <c r="HW496" s="1135"/>
      <c r="HX496" s="1135"/>
    </row>
    <row r="497" spans="1:232" s="19" customFormat="1" ht="102" customHeight="1" x14ac:dyDescent="0.15">
      <c r="A497" s="1201"/>
      <c r="B497" s="1201"/>
      <c r="C497" s="1201"/>
      <c r="D497" s="1201"/>
      <c r="E497" s="1202"/>
      <c r="F497" s="652"/>
      <c r="G497" s="652"/>
      <c r="H497" s="652"/>
      <c r="I497" s="1354"/>
      <c r="J497" s="1234"/>
      <c r="K497" s="1261"/>
      <c r="L497" s="1261"/>
      <c r="M497" s="2143" t="s">
        <v>1225</v>
      </c>
      <c r="N497" s="2143"/>
      <c r="O497" s="2143"/>
      <c r="P497" s="2686" t="s">
        <v>3068</v>
      </c>
      <c r="Q497" s="2686"/>
      <c r="R497" s="2686"/>
      <c r="S497" s="2686"/>
      <c r="T497" s="2686"/>
      <c r="U497" s="2438" t="s">
        <v>3066</v>
      </c>
      <c r="V497" s="2438"/>
      <c r="W497" s="2438"/>
      <c r="X497" s="2438"/>
      <c r="Y497" s="2438"/>
      <c r="Z497" s="2438"/>
      <c r="AA497" s="2438"/>
      <c r="AB497" s="2438"/>
      <c r="AC497" s="2438"/>
      <c r="AD497" s="2438"/>
      <c r="AE497" s="2438"/>
      <c r="AF497" s="2302"/>
      <c r="AG497" s="2302"/>
      <c r="AH497" s="2302"/>
      <c r="AI497" s="2302"/>
      <c r="AJ497" s="2302"/>
      <c r="AK497" s="2302"/>
      <c r="AL497" s="2302"/>
      <c r="AM497" s="2302"/>
      <c r="AN497" s="2302"/>
      <c r="AO497" s="2302"/>
      <c r="AP497" s="2302"/>
      <c r="AQ497" s="2302"/>
      <c r="AR497" s="2272"/>
      <c r="AS497" s="2272"/>
      <c r="AT497" s="2406"/>
      <c r="AU497" s="2406"/>
      <c r="AV497" s="2406"/>
      <c r="AW497" s="2406"/>
      <c r="AX497" s="2406"/>
      <c r="AY497" s="2406"/>
      <c r="AZ497" s="2406"/>
      <c r="BA497" s="2406"/>
      <c r="BB497" s="2406"/>
      <c r="BC497" s="2406"/>
      <c r="BD497" s="2406"/>
      <c r="BE497" s="2406"/>
      <c r="BF497" s="2406"/>
      <c r="BG497" s="2406"/>
      <c r="BH497" s="2406"/>
      <c r="BI497" s="2406"/>
      <c r="BJ497" s="2406"/>
      <c r="BK497" s="2406"/>
      <c r="BL497" s="2406"/>
      <c r="BM497" s="2406"/>
      <c r="BN497" s="2406"/>
      <c r="BO497" s="2406"/>
      <c r="BP497" s="2406"/>
      <c r="BQ497" s="2406"/>
      <c r="BR497" s="2406"/>
      <c r="BS497" s="2271"/>
      <c r="BT497" s="2271"/>
      <c r="BU497" s="2271"/>
      <c r="BV497" s="2271"/>
      <c r="BW497" s="2271"/>
      <c r="BX497" s="2271"/>
      <c r="BY497" s="2271"/>
      <c r="BZ497" s="2272"/>
      <c r="CA497" s="2272"/>
      <c r="CB497" s="2895" t="s">
        <v>3320</v>
      </c>
      <c r="CC497" s="2591"/>
      <c r="CD497" s="2591"/>
      <c r="CE497" s="2591"/>
      <c r="CF497" s="2591"/>
      <c r="CG497" s="2591"/>
      <c r="CH497" s="2591"/>
      <c r="CI497" s="2591"/>
      <c r="CJ497" s="2591"/>
      <c r="CK497" s="2591"/>
      <c r="CL497" s="2591"/>
      <c r="CM497" s="2591"/>
      <c r="CN497" s="2591"/>
      <c r="CO497" s="2591"/>
      <c r="CP497" s="2591"/>
      <c r="CQ497" s="2591"/>
      <c r="CR497" s="2591"/>
      <c r="CS497" s="2591"/>
      <c r="CT497" s="2591"/>
      <c r="CU497" s="2896"/>
      <c r="CV497" s="2300" t="str">
        <f t="shared" ref="CV497:CV510" si="658">IF(AND(DT497="要是正",DU497&lt;21),HYPERLINK("#"&amp;EL497&amp;"!"&amp;EM497&amp;":"&amp;EN497&amp;"","関連写真添付"),"")</f>
        <v/>
      </c>
      <c r="CW497" s="2300"/>
      <c r="CX497" s="2300"/>
      <c r="CY497" s="2300"/>
      <c r="CZ497" s="2300"/>
      <c r="DA497" s="2300"/>
      <c r="DC497" s="329" t="str">
        <f t="shared" ref="DC497:DC510" si="659">IF(AND(DU497&lt;&gt;"",DU497&gt;20),"「別途様式を作成、提出してください。」","")</f>
        <v/>
      </c>
      <c r="DD497" s="197"/>
      <c r="DF497" s="14"/>
      <c r="DG497" s="14"/>
      <c r="DH497" s="14"/>
      <c r="DI497" s="1596"/>
      <c r="DJ497" s="1170" t="s">
        <v>2749</v>
      </c>
      <c r="DK497" s="1604" t="str">
        <f t="shared" ref="DK497:DK514" si="660">IF(DS497=2,DATE(VLOOKUP(DJ497,$DU$6:$DV$9,2,FALSE)+BS497,BV497,1),"")</f>
        <v/>
      </c>
      <c r="DL497" s="437" t="str">
        <f t="shared" ref="DL497:DL514" si="661">IF(DS497=2,DJ497&amp;BS497&amp;"."&amp;BV497,"")</f>
        <v/>
      </c>
      <c r="DM497" s="1128">
        <f t="shared" ref="DM497:DM514" si="662">COUNTIFS(AF497,"―対象外")</f>
        <v>0</v>
      </c>
      <c r="DN497" s="22">
        <f t="shared" ref="DN497:DN514" si="663">COUNTIFS(AF497,"○指摘なし")</f>
        <v>0</v>
      </c>
      <c r="DO497" s="22">
        <f t="shared" ref="DO497:DO514" si="664">COUNTIFS(AF497,"×要是正（既存不適格以外）")</f>
        <v>0</v>
      </c>
      <c r="DP497" s="264">
        <f t="shared" ref="DP497:DP514" si="665">COUNTIFS(AF497,"△既存不適格")</f>
        <v>0</v>
      </c>
      <c r="DQ497" s="32" t="s">
        <v>820</v>
      </c>
      <c r="DR497" s="263" t="str">
        <f t="shared" ref="DR497:DR514" si="666">IF($U497="",R497,U497)</f>
        <v>各階の主要な随閉防火設備（人の通行の用に供する部分に設けるものに限る。）の昭和４８年建設省告示第２５６３号第１第二号イに規定する基準についての適合の状況</v>
      </c>
      <c r="DS497" s="23">
        <f t="shared" ref="DS497:DS514" si="667">COUNTA(BS497:BX497)</f>
        <v>0</v>
      </c>
      <c r="DT497" s="29" t="str">
        <f t="shared" ref="DT497:DT514" si="668">IF(AF497="×要是正（既存不適格以外）","要是正","")&amp;IF(AF497="△既存不適格","既存不適格","")</f>
        <v/>
      </c>
      <c r="DU497" s="57" t="str">
        <f t="shared" ref="DU497:DU514" si="669">IF(HV497="","",HV497)</f>
        <v/>
      </c>
      <c r="DV497" s="57" t="str">
        <f>IF($DT497="要是正",MAX($DV$492:DV494)+1,"")</f>
        <v/>
      </c>
      <c r="DW497" s="12" t="str">
        <f t="shared" ref="DW497:DW514" si="670">IF(OR(AF497="×要是正（既存不適格以外）",AF497="△既存不適格"),DQ497,"")</f>
        <v/>
      </c>
      <c r="DX497" s="30" t="str">
        <f t="shared" ref="DX497:DX514" si="671">IF(OR($DT497="要是正",$DT497="既存不適格"),$DR497,"")</f>
        <v/>
      </c>
      <c r="DY497" s="2054" t="str">
        <f t="shared" ref="DY497:DY514" si="672">IF($DT497="要是正",IF(AT497="","",DQ497 &amp;" " &amp; AT497),"")</f>
        <v/>
      </c>
      <c r="DZ497" s="46" t="str">
        <f t="shared" ref="DZ497:DZ514" si="673">IF($DT497="要是正",IF(BD497="","",BD497),"")</f>
        <v/>
      </c>
      <c r="EA497" s="205" t="str">
        <f t="shared" ref="EA497:EA514" si="674">IF(BY497="未定","未定",IF(FR497="0","",IF(BY497="予定","("&amp;DL497&amp;")",IF(BY497="改善済",DL497,DL497))))</f>
        <v/>
      </c>
      <c r="EB497" s="138" t="str">
        <f t="shared" ref="EB497:EB514" si="675">IF(OR(DT497="要是正",DT497="既存不適格"),IF(OR(DS497&lt;2,BY497&lt;&gt;"予定"),"",DK497),"")</f>
        <v/>
      </c>
      <c r="EC497" s="131" t="str">
        <f t="shared" ref="EC497:EC514" si="676">IF(EB497="","0",EB497)</f>
        <v>0</v>
      </c>
      <c r="ED497" s="54" t="str">
        <f t="shared" ref="ED497:ED514" si="677">IF(DT497="要是正",IF(AND(BY497="予定",DS497=2),1,IF(BY497="改善済",2,"")),"")</f>
        <v/>
      </c>
      <c r="EE497" s="131" t="str">
        <f t="shared" ref="EE497" si="678">IF(ED497=1,EC497,"0")</f>
        <v>0</v>
      </c>
      <c r="EF497" s="37" t="str">
        <f t="shared" ref="EF497:EF514" si="679">IF(AND(DT497="要是正",AND(DS497=0,BY497="未定")),BY497,"")</f>
        <v/>
      </c>
      <c r="EG497" s="108" t="str">
        <f t="shared" ref="EG497:EG514" si="680">IF(DT497="既存不適格",IF(OR(DS497&lt;2,BY497&lt;&gt;"予定"),"",DK497),"")</f>
        <v/>
      </c>
      <c r="EH497" s="41" t="str">
        <f t="shared" ref="EH497:EH514" si="681">IF(EG497="","0",EG497)</f>
        <v>0</v>
      </c>
      <c r="EI497" s="54" t="str">
        <f t="shared" ref="EI497:EI514" si="682">IF(DT497="既存不適格",IF(AND(BY497="予定",DS497=2),1,IF(BY497="改善済",2,"")),"")</f>
        <v/>
      </c>
      <c r="EJ497" s="131" t="str">
        <f t="shared" ref="EJ497" si="683">IF(EI497=1,EH497,"0")</f>
        <v>0</v>
      </c>
      <c r="EK497" s="217" t="str">
        <f t="shared" ref="EK497:EK514" si="684">IF(AND(DT497="既存不適格",AND(DS497=0,BY497="未定")),BY497,"")</f>
        <v/>
      </c>
      <c r="EL497" s="242" t="e">
        <f t="shared" ref="EL497:EL510" si="685">VLOOKUP($DU497,$EO$318:$ER$346,2,FALSE)</f>
        <v>#N/A</v>
      </c>
      <c r="EM497" s="57" t="e">
        <f t="shared" ref="EM497:EM510" si="686">VLOOKUP($DU497,$EO$318:$ER$346,3,FALSE)</f>
        <v>#N/A</v>
      </c>
      <c r="EN497" s="243" t="e">
        <f t="shared" ref="EN497:EN510" si="687">VLOOKUP($DU497,$EO$318:$ER$346,4,FALSE)</f>
        <v>#N/A</v>
      </c>
      <c r="EO497" s="15"/>
      <c r="EP497" s="15"/>
      <c r="EQ497" s="15"/>
      <c r="ER497" s="15"/>
      <c r="ES497" s="15"/>
      <c r="ET497" s="15"/>
      <c r="EU497" s="15"/>
      <c r="EV497" s="15"/>
      <c r="EW497" s="15"/>
      <c r="EX497" s="15"/>
      <c r="EY497" s="15"/>
      <c r="EZ497" s="15"/>
      <c r="FA497" s="15"/>
      <c r="FB497" s="15"/>
      <c r="FC497" s="15"/>
      <c r="FD497" s="15"/>
      <c r="FE497" s="15"/>
      <c r="FF497" s="15"/>
      <c r="FG497" s="15"/>
      <c r="FH497" s="15"/>
      <c r="FI497" s="15"/>
      <c r="FK497" s="326" t="str">
        <f t="shared" ref="FK497:FK514" si="688">IF($AF497="○指摘なし","○",IF($AF497="―対象外","―",""))</f>
        <v/>
      </c>
      <c r="FL497" s="326" t="str">
        <f t="shared" ref="FL497:FL514" si="689">IF(OR($AF497="×要是正（既存不適格以外）",$AF497="△既存不適格"),"○",IF($AF497="―対象外","―",""))</f>
        <v/>
      </c>
      <c r="FM497" s="326" t="str">
        <f t="shared" ref="FM497:FM514" si="690">IF($AF497="△既存不適格","○",IF($AF497="―対象外","―",""))</f>
        <v/>
      </c>
      <c r="FN497" s="326">
        <f t="shared" ref="FN497:FN514" si="691">IF($AF497="―対象外","―",AR497)</f>
        <v>0</v>
      </c>
      <c r="FO497" s="670" t="str">
        <f>IF($AF497="―対象外","○","")</f>
        <v/>
      </c>
      <c r="FQ497" s="138" t="str">
        <f t="shared" ref="FQ497:FQ514" si="692">IF(NOT(OR(BY497="未定",BY497="")),DK497,"")</f>
        <v/>
      </c>
      <c r="FR497" s="131" t="str">
        <f t="shared" ref="FR497:FR514" si="693">IF(FQ497="","0",FQ497)</f>
        <v>0</v>
      </c>
      <c r="FS497" s="54" t="str">
        <f t="shared" ref="FS497:FS514" si="694">IF(OR(BY497="予定",BY497="改善済"),1,"")</f>
        <v/>
      </c>
      <c r="FT497" s="131" t="str">
        <f t="shared" ref="FT497:FT510" si="695">IF(FS497=1,FR497,"0")</f>
        <v>0</v>
      </c>
      <c r="FU497" s="217" t="str">
        <f t="shared" ref="FU497:FU510" si="696">IF(AND(FM497="要是正",AND(FL497=0,DR497="未定")),DR497,"")</f>
        <v/>
      </c>
      <c r="FW497" s="667">
        <f t="shared" si="657"/>
        <v>0</v>
      </c>
      <c r="FX497" s="32"/>
      <c r="FY497" s="32"/>
      <c r="FZ497" s="668"/>
      <c r="GA497" s="14"/>
      <c r="GB497" s="658">
        <f t="shared" ref="GB497:GB514" si="697">IF(BY497="予定",1,0)</f>
        <v>0</v>
      </c>
      <c r="GC497" s="658">
        <f t="shared" ref="GC497:GC514" si="698">IF(BY497="改善済",1,0)</f>
        <v>0</v>
      </c>
      <c r="GD497" s="658">
        <f t="shared" ref="GD497:GD514" si="699">IF(BY497="未定",1,0)</f>
        <v>0</v>
      </c>
      <c r="GE497" s="658" t="str">
        <f t="shared" ref="GE497:GE514" si="700">IF(GE$318=$M497,$BY$520,"")</f>
        <v/>
      </c>
      <c r="GF497" s="658" t="str">
        <f t="shared" ref="GF497:GF514" si="701">IF(GF$318=$M497,$BY$521,"")</f>
        <v/>
      </c>
      <c r="GG497" s="658" t="str">
        <f t="shared" ref="GG497:GG514" si="702">IF(GG$318=$M497,$BY$522,"")</f>
        <v/>
      </c>
      <c r="GH497" s="658" t="str">
        <f t="shared" ref="GH497:GH514" si="703">IF(GH$318=$M497,$BY$523,"")</f>
        <v/>
      </c>
      <c r="GI497" s="658" t="str">
        <f t="shared" ref="GI497:GI514" si="704">IF(GI$318=$M497,$BY$524,"")</f>
        <v/>
      </c>
      <c r="GJ497" s="658" t="str">
        <f t="shared" ref="GJ497:GJ514" si="705">IF(GJ$318=$M497,$BY$525,"")</f>
        <v/>
      </c>
      <c r="GK497" s="658" t="str">
        <f t="shared" ref="GK497:GK514" si="706">IF(GK$318=$M497,$BY$526,"")</f>
        <v/>
      </c>
      <c r="GL497" s="658" t="str">
        <f t="shared" ref="GL497:GL514" si="707">IF(GL$318=$M497,$BY$527,"")</f>
        <v/>
      </c>
      <c r="GM497" s="658" t="str">
        <f t="shared" ref="GM497:GM514" si="708">IF(GM$318=$M497,$BY$528,"")</f>
        <v/>
      </c>
      <c r="GN497" s="658" t="str">
        <f t="shared" ref="GN497:GN514" si="709">IF(GN$318=$M497,$BY$529,"")</f>
        <v/>
      </c>
      <c r="GO497" s="658" t="str">
        <f t="shared" ref="GO497:GO514" si="710">IF(GO$318=$M497,$BY$530,"")</f>
        <v/>
      </c>
      <c r="GP497" s="658" t="str">
        <f t="shared" ref="GP497:GP514" si="711">IF(GP$318=$M497,$BY$531,"")</f>
        <v/>
      </c>
      <c r="GQ497" s="658" t="str">
        <f t="shared" ref="GQ497:GQ514" si="712">IF(GQ$318=$M497,$BY$532,"")</f>
        <v/>
      </c>
      <c r="GR497" s="658" t="str">
        <f t="shared" ref="GR497:GR514" si="713">IF(GR$318=$M497,$BY$533,"")</f>
        <v/>
      </c>
      <c r="GS497" s="658" t="str">
        <f t="shared" ref="GS497:GS514" si="714">IF(GS$318=$M497,$BY$534,"")</f>
        <v/>
      </c>
      <c r="GT497" s="658">
        <f t="shared" si="546"/>
        <v>0</v>
      </c>
      <c r="GU497" s="658">
        <f t="shared" si="547"/>
        <v>0</v>
      </c>
      <c r="GV497" s="658">
        <f t="shared" si="548"/>
        <v>0</v>
      </c>
      <c r="GW497" s="658" t="b">
        <f t="shared" si="549"/>
        <v>0</v>
      </c>
      <c r="GX497" s="658" t="b">
        <f t="shared" si="550"/>
        <v>0</v>
      </c>
      <c r="GY497" s="658" t="b">
        <f t="shared" si="551"/>
        <v>0</v>
      </c>
      <c r="GZ497" s="658" t="str">
        <f t="shared" si="557"/>
        <v/>
      </c>
      <c r="HB497" s="658" t="str">
        <f t="shared" si="552"/>
        <v/>
      </c>
      <c r="HC497" s="658" t="str">
        <f t="shared" ref="HC497:HC514" si="715">IF(HC$318=$M497,$FW$520&amp;", ","")</f>
        <v/>
      </c>
      <c r="HD497" s="658" t="str">
        <f t="shared" ref="HD497:HD514" si="716">IF(HD$318=$M497,$FW$521&amp;", ","")</f>
        <v/>
      </c>
      <c r="HE497" s="658" t="str">
        <f t="shared" ref="HE497:HE514" si="717">IF(HE$318=$M497,$FW$522&amp;", ","")</f>
        <v/>
      </c>
      <c r="HF497" s="658" t="str">
        <f t="shared" ref="HF497:HF514" si="718">IF(HF$318=$M497,$FW$523&amp;", ","")</f>
        <v/>
      </c>
      <c r="HG497" s="658" t="str">
        <f t="shared" ref="HG497:HG514" si="719">IF(HG$318=$M497,$FW$524&amp;", ","")</f>
        <v/>
      </c>
      <c r="HH497" s="658" t="str">
        <f t="shared" ref="HH497:HH514" si="720">IF(HH$318=$M497,$FW$525&amp;", ","")</f>
        <v/>
      </c>
      <c r="HI497" s="658" t="str">
        <f t="shared" ref="HI497:HI514" si="721">IF(HI$318=$M497,$FW$526&amp;", ","")</f>
        <v/>
      </c>
      <c r="HJ497" s="658" t="str">
        <f t="shared" ref="HJ497:HJ514" si="722">IF(HJ$318=$M497,$FW$527&amp;", ","")</f>
        <v/>
      </c>
      <c r="HK497" s="658" t="str">
        <f t="shared" ref="HK497:HK514" si="723">IF(HK$318=$M497,$FW$528&amp;", ","")</f>
        <v/>
      </c>
      <c r="HL497" s="658" t="str">
        <f t="shared" ref="HL497:HL514" si="724">IF(HL$318=$M497,$FW$529&amp;", ","")</f>
        <v/>
      </c>
      <c r="HM497" s="658" t="str">
        <f t="shared" ref="HM497:HM514" si="725">IF(HM$318=$M497,$FW$530&amp;", ","")</f>
        <v/>
      </c>
      <c r="HN497" s="658" t="str">
        <f t="shared" ref="HN497:HN514" si="726">IF(HN$318=$M497,$FW$531&amp;", ","")</f>
        <v/>
      </c>
      <c r="HO497" s="658" t="str">
        <f t="shared" ref="HO497:HO514" si="727">IF(HO$318=$M497,$FW$532&amp;", ","")</f>
        <v/>
      </c>
      <c r="HP497" s="658" t="str">
        <f t="shared" ref="HP497:HP514" si="728">IF(HP$318=$M497,$FW$533&amp;", ","")</f>
        <v/>
      </c>
      <c r="HQ497" s="658" t="str">
        <f t="shared" ref="HQ497:HQ514" si="729">IF(HQ$318=$M497,$FW$534&amp;", ","")</f>
        <v/>
      </c>
      <c r="HR497" s="658" t="str">
        <f t="shared" si="553"/>
        <v/>
      </c>
      <c r="HT497" s="658">
        <f>LEFT(M497,1)*10000+MID(M497,3,LEN(M497)-3)*100+COUNTIF($M$319:M497,M497)</f>
        <v>70101</v>
      </c>
      <c r="HU497" s="658" t="str">
        <f t="shared" si="554"/>
        <v/>
      </c>
      <c r="HV497" s="658" t="str">
        <f t="shared" ref="HV497:HV514" si="730">IF(HU497="","",RANK(HU497,HU$319:HU$534,1))</f>
        <v/>
      </c>
      <c r="HW497" s="658" t="str">
        <f t="shared" si="555"/>
        <v/>
      </c>
      <c r="HX497" s="658" t="str">
        <f t="shared" ref="HX497:HX514" si="731">IF(HW497="","",RANK(HW497,HW$319:HW$534,1))</f>
        <v/>
      </c>
    </row>
    <row r="498" spans="1:232" s="19" customFormat="1" ht="99" customHeight="1" x14ac:dyDescent="0.15">
      <c r="A498" s="1201"/>
      <c r="B498" s="1201"/>
      <c r="C498" s="1201"/>
      <c r="D498" s="1201"/>
      <c r="E498" s="1202"/>
      <c r="F498" s="652"/>
      <c r="G498" s="652"/>
      <c r="H498" s="652"/>
      <c r="I498" s="1354"/>
      <c r="J498" s="1234"/>
      <c r="K498" s="1261"/>
      <c r="L498" s="1261"/>
      <c r="M498" s="2143" t="s">
        <v>1226</v>
      </c>
      <c r="N498" s="2143"/>
      <c r="O498" s="2143"/>
      <c r="P498" s="2687"/>
      <c r="Q498" s="2687"/>
      <c r="R498" s="2687"/>
      <c r="S498" s="2687"/>
      <c r="T498" s="2687"/>
      <c r="U498" s="2435" t="s">
        <v>3050</v>
      </c>
      <c r="V498" s="2435"/>
      <c r="W498" s="2435"/>
      <c r="X498" s="2435"/>
      <c r="Y498" s="2435"/>
      <c r="Z498" s="2435"/>
      <c r="AA498" s="2435"/>
      <c r="AB498" s="2435"/>
      <c r="AC498" s="2435"/>
      <c r="AD498" s="2435"/>
      <c r="AE498" s="2435"/>
      <c r="AF498" s="2282"/>
      <c r="AG498" s="2282"/>
      <c r="AH498" s="2282"/>
      <c r="AI498" s="2282"/>
      <c r="AJ498" s="2282"/>
      <c r="AK498" s="2282"/>
      <c r="AL498" s="2282"/>
      <c r="AM498" s="2282"/>
      <c r="AN498" s="2282"/>
      <c r="AO498" s="2282"/>
      <c r="AP498" s="2282"/>
      <c r="AQ498" s="2282"/>
      <c r="AR498" s="2667"/>
      <c r="AS498" s="2151"/>
      <c r="AT498" s="2292"/>
      <c r="AU498" s="2292"/>
      <c r="AV498" s="2292"/>
      <c r="AW498" s="2292"/>
      <c r="AX498" s="2292"/>
      <c r="AY498" s="2292"/>
      <c r="AZ498" s="2292"/>
      <c r="BA498" s="2292"/>
      <c r="BB498" s="2292"/>
      <c r="BC498" s="2292"/>
      <c r="BD498" s="2292"/>
      <c r="BE498" s="2292"/>
      <c r="BF498" s="2292"/>
      <c r="BG498" s="2292"/>
      <c r="BH498" s="2292"/>
      <c r="BI498" s="2292"/>
      <c r="BJ498" s="2292"/>
      <c r="BK498" s="2292"/>
      <c r="BL498" s="2292"/>
      <c r="BM498" s="2292"/>
      <c r="BN498" s="2292"/>
      <c r="BO498" s="2292"/>
      <c r="BP498" s="2292"/>
      <c r="BQ498" s="2292"/>
      <c r="BR498" s="2292"/>
      <c r="BS498" s="2269"/>
      <c r="BT498" s="2269"/>
      <c r="BU498" s="2269"/>
      <c r="BV498" s="2269"/>
      <c r="BW498" s="2269"/>
      <c r="BX498" s="2269"/>
      <c r="BY498" s="2269"/>
      <c r="BZ498" s="2151"/>
      <c r="CA498" s="2151"/>
      <c r="CB498" s="2897"/>
      <c r="CC498" s="2592"/>
      <c r="CD498" s="2592"/>
      <c r="CE498" s="2592"/>
      <c r="CF498" s="2592"/>
      <c r="CG498" s="2592"/>
      <c r="CH498" s="2592"/>
      <c r="CI498" s="2592"/>
      <c r="CJ498" s="2592"/>
      <c r="CK498" s="2592"/>
      <c r="CL498" s="2592"/>
      <c r="CM498" s="2592"/>
      <c r="CN498" s="2592"/>
      <c r="CO498" s="2592"/>
      <c r="CP498" s="2592"/>
      <c r="CQ498" s="2592"/>
      <c r="CR498" s="2592"/>
      <c r="CS498" s="2592"/>
      <c r="CT498" s="2592"/>
      <c r="CU498" s="2898"/>
      <c r="CV498" s="2300" t="str">
        <f t="shared" si="658"/>
        <v/>
      </c>
      <c r="CW498" s="2300"/>
      <c r="CX498" s="2300"/>
      <c r="CY498" s="2300"/>
      <c r="CZ498" s="2300"/>
      <c r="DA498" s="2300"/>
      <c r="DC498" s="329" t="str">
        <f t="shared" si="659"/>
        <v/>
      </c>
      <c r="DD498" s="197"/>
      <c r="DF498" s="14"/>
      <c r="DG498" s="14"/>
      <c r="DH498" s="14"/>
      <c r="DI498" s="1596"/>
      <c r="DJ498" s="1170" t="s">
        <v>2749</v>
      </c>
      <c r="DK498" s="1604" t="str">
        <f t="shared" si="660"/>
        <v/>
      </c>
      <c r="DL498" s="437" t="str">
        <f t="shared" si="661"/>
        <v/>
      </c>
      <c r="DM498" s="1128">
        <f t="shared" si="662"/>
        <v>0</v>
      </c>
      <c r="DN498" s="22">
        <f t="shared" si="663"/>
        <v>0</v>
      </c>
      <c r="DO498" s="22">
        <f t="shared" si="664"/>
        <v>0</v>
      </c>
      <c r="DP498" s="264">
        <f t="shared" si="665"/>
        <v>0</v>
      </c>
      <c r="DQ498" s="32" t="s">
        <v>821</v>
      </c>
      <c r="DR498" s="263" t="str">
        <f t="shared" si="666"/>
        <v>煙又は熱を感知し自動的に閉鎖又は作動させる装置の設置の状況</v>
      </c>
      <c r="DS498" s="23">
        <f t="shared" si="667"/>
        <v>0</v>
      </c>
      <c r="DT498" s="29" t="str">
        <f t="shared" si="668"/>
        <v/>
      </c>
      <c r="DU498" s="57" t="str">
        <f t="shared" si="669"/>
        <v/>
      </c>
      <c r="DV498" s="57" t="str">
        <f>IF($DT498="要是正",MAX($DV$492:DV497)+1,"")</f>
        <v/>
      </c>
      <c r="DW498" s="12" t="str">
        <f t="shared" si="670"/>
        <v/>
      </c>
      <c r="DX498" s="30" t="str">
        <f t="shared" si="671"/>
        <v/>
      </c>
      <c r="DY498" s="2054" t="str">
        <f t="shared" si="672"/>
        <v/>
      </c>
      <c r="DZ498" s="46" t="str">
        <f t="shared" si="673"/>
        <v/>
      </c>
      <c r="EA498" s="205" t="str">
        <f t="shared" si="674"/>
        <v/>
      </c>
      <c r="EB498" s="138" t="str">
        <f t="shared" si="675"/>
        <v/>
      </c>
      <c r="EC498" s="131" t="str">
        <f t="shared" si="676"/>
        <v>0</v>
      </c>
      <c r="ED498" s="54" t="str">
        <f t="shared" si="677"/>
        <v/>
      </c>
      <c r="EE498" s="131" t="str">
        <f t="shared" ref="EE498:EE510" si="732">IF(ED498=1,EC498,"0")</f>
        <v>0</v>
      </c>
      <c r="EF498" s="37" t="str">
        <f t="shared" si="679"/>
        <v/>
      </c>
      <c r="EG498" s="108" t="str">
        <f t="shared" si="680"/>
        <v/>
      </c>
      <c r="EH498" s="41" t="str">
        <f t="shared" si="681"/>
        <v>0</v>
      </c>
      <c r="EI498" s="54" t="str">
        <f t="shared" si="682"/>
        <v/>
      </c>
      <c r="EJ498" s="131" t="str">
        <f t="shared" ref="EJ498:EJ510" si="733">IF(EI498=1,EH498,"0")</f>
        <v>0</v>
      </c>
      <c r="EK498" s="217" t="str">
        <f t="shared" si="684"/>
        <v/>
      </c>
      <c r="EL498" s="242" t="e">
        <f t="shared" si="685"/>
        <v>#N/A</v>
      </c>
      <c r="EM498" s="57" t="e">
        <f t="shared" si="686"/>
        <v>#N/A</v>
      </c>
      <c r="EN498" s="243" t="e">
        <f t="shared" si="687"/>
        <v>#N/A</v>
      </c>
      <c r="FK498" s="326" t="str">
        <f t="shared" si="688"/>
        <v/>
      </c>
      <c r="FL498" s="326" t="str">
        <f t="shared" si="689"/>
        <v/>
      </c>
      <c r="FM498" s="326" t="str">
        <f t="shared" si="690"/>
        <v/>
      </c>
      <c r="FN498" s="326">
        <f t="shared" si="691"/>
        <v>0</v>
      </c>
      <c r="FO498" s="670" t="str">
        <f>IF($AF498="―対象外","○","")</f>
        <v/>
      </c>
      <c r="FQ498" s="138" t="str">
        <f t="shared" si="692"/>
        <v/>
      </c>
      <c r="FR498" s="131" t="str">
        <f t="shared" si="693"/>
        <v>0</v>
      </c>
      <c r="FS498" s="54" t="str">
        <f t="shared" si="694"/>
        <v/>
      </c>
      <c r="FT498" s="131" t="str">
        <f t="shared" si="695"/>
        <v>0</v>
      </c>
      <c r="FU498" s="217" t="str">
        <f t="shared" si="696"/>
        <v/>
      </c>
      <c r="FW498" s="667">
        <f t="shared" si="657"/>
        <v>0</v>
      </c>
      <c r="FX498" s="32"/>
      <c r="FY498" s="32"/>
      <c r="FZ498" s="668"/>
      <c r="GA498" s="14"/>
      <c r="GB498" s="658">
        <f t="shared" si="697"/>
        <v>0</v>
      </c>
      <c r="GC498" s="658">
        <f t="shared" si="698"/>
        <v>0</v>
      </c>
      <c r="GD498" s="658">
        <f t="shared" si="699"/>
        <v>0</v>
      </c>
      <c r="GE498" s="658" t="str">
        <f t="shared" si="700"/>
        <v/>
      </c>
      <c r="GF498" s="658" t="str">
        <f t="shared" si="701"/>
        <v/>
      </c>
      <c r="GG498" s="658" t="str">
        <f t="shared" si="702"/>
        <v/>
      </c>
      <c r="GH498" s="658" t="str">
        <f t="shared" si="703"/>
        <v/>
      </c>
      <c r="GI498" s="658" t="str">
        <f t="shared" si="704"/>
        <v/>
      </c>
      <c r="GJ498" s="658" t="str">
        <f t="shared" si="705"/>
        <v/>
      </c>
      <c r="GK498" s="658" t="str">
        <f t="shared" si="706"/>
        <v/>
      </c>
      <c r="GL498" s="658" t="str">
        <f t="shared" si="707"/>
        <v/>
      </c>
      <c r="GM498" s="658" t="str">
        <f t="shared" si="708"/>
        <v/>
      </c>
      <c r="GN498" s="658" t="str">
        <f t="shared" si="709"/>
        <v/>
      </c>
      <c r="GO498" s="658" t="str">
        <f t="shared" si="710"/>
        <v/>
      </c>
      <c r="GP498" s="658" t="str">
        <f t="shared" si="711"/>
        <v/>
      </c>
      <c r="GQ498" s="658" t="str">
        <f t="shared" si="712"/>
        <v/>
      </c>
      <c r="GR498" s="658" t="str">
        <f t="shared" si="713"/>
        <v/>
      </c>
      <c r="GS498" s="658" t="str">
        <f t="shared" si="714"/>
        <v/>
      </c>
      <c r="GT498" s="658">
        <f t="shared" si="546"/>
        <v>0</v>
      </c>
      <c r="GU498" s="658">
        <f t="shared" si="547"/>
        <v>0</v>
      </c>
      <c r="GV498" s="658">
        <f t="shared" si="548"/>
        <v>0</v>
      </c>
      <c r="GW498" s="658" t="b">
        <f t="shared" si="549"/>
        <v>0</v>
      </c>
      <c r="GX498" s="658" t="b">
        <f t="shared" si="550"/>
        <v>0</v>
      </c>
      <c r="GY498" s="658" t="b">
        <f t="shared" si="551"/>
        <v>0</v>
      </c>
      <c r="GZ498" s="658" t="str">
        <f t="shared" si="557"/>
        <v/>
      </c>
      <c r="HB498" s="658" t="str">
        <f t="shared" si="552"/>
        <v/>
      </c>
      <c r="HC498" s="658" t="str">
        <f t="shared" si="715"/>
        <v/>
      </c>
      <c r="HD498" s="658" t="str">
        <f t="shared" si="716"/>
        <v/>
      </c>
      <c r="HE498" s="658" t="str">
        <f t="shared" si="717"/>
        <v/>
      </c>
      <c r="HF498" s="658" t="str">
        <f t="shared" si="718"/>
        <v/>
      </c>
      <c r="HG498" s="658" t="str">
        <f t="shared" si="719"/>
        <v/>
      </c>
      <c r="HH498" s="658" t="str">
        <f t="shared" si="720"/>
        <v/>
      </c>
      <c r="HI498" s="658" t="str">
        <f t="shared" si="721"/>
        <v/>
      </c>
      <c r="HJ498" s="658" t="str">
        <f t="shared" si="722"/>
        <v/>
      </c>
      <c r="HK498" s="658" t="str">
        <f t="shared" si="723"/>
        <v/>
      </c>
      <c r="HL498" s="658" t="str">
        <f t="shared" si="724"/>
        <v/>
      </c>
      <c r="HM498" s="658" t="str">
        <f t="shared" si="725"/>
        <v/>
      </c>
      <c r="HN498" s="658" t="str">
        <f t="shared" si="726"/>
        <v/>
      </c>
      <c r="HO498" s="658" t="str">
        <f t="shared" si="727"/>
        <v/>
      </c>
      <c r="HP498" s="658" t="str">
        <f t="shared" si="728"/>
        <v/>
      </c>
      <c r="HQ498" s="658" t="str">
        <f t="shared" si="729"/>
        <v/>
      </c>
      <c r="HR498" s="658" t="str">
        <f t="shared" si="553"/>
        <v/>
      </c>
      <c r="HT498" s="658">
        <f>LEFT(M498,1)*10000+MID(M498,3,LEN(M498)-3)*100+COUNTIF($M$319:M498,M498)</f>
        <v>70201</v>
      </c>
      <c r="HU498" s="658" t="str">
        <f t="shared" si="554"/>
        <v/>
      </c>
      <c r="HV498" s="658" t="str">
        <f t="shared" si="730"/>
        <v/>
      </c>
      <c r="HW498" s="658" t="str">
        <f t="shared" si="555"/>
        <v/>
      </c>
      <c r="HX498" s="658" t="str">
        <f t="shared" si="731"/>
        <v/>
      </c>
    </row>
    <row r="499" spans="1:232" s="19" customFormat="1" ht="54.75" customHeight="1" x14ac:dyDescent="0.15">
      <c r="A499" s="1201"/>
      <c r="B499" s="1201"/>
      <c r="C499" s="1201"/>
      <c r="D499" s="1201"/>
      <c r="E499" s="1202"/>
      <c r="F499" s="652"/>
      <c r="G499" s="652"/>
      <c r="H499" s="652"/>
      <c r="I499" s="1354"/>
      <c r="J499" s="1234"/>
      <c r="K499" s="1261"/>
      <c r="L499" s="1261"/>
      <c r="M499" s="2143" t="s">
        <v>1227</v>
      </c>
      <c r="N499" s="2143"/>
      <c r="O499" s="2143"/>
      <c r="P499" s="2687"/>
      <c r="Q499" s="2687"/>
      <c r="R499" s="2687"/>
      <c r="S499" s="2687"/>
      <c r="T499" s="2687"/>
      <c r="U499" s="2435" t="s">
        <v>3358</v>
      </c>
      <c r="V499" s="2435"/>
      <c r="W499" s="2435"/>
      <c r="X499" s="2435"/>
      <c r="Y499" s="2435"/>
      <c r="Z499" s="2435"/>
      <c r="AA499" s="2435"/>
      <c r="AB499" s="2435"/>
      <c r="AC499" s="2435"/>
      <c r="AD499" s="2435"/>
      <c r="AE499" s="2435"/>
      <c r="AF499" s="2282"/>
      <c r="AG499" s="2282"/>
      <c r="AH499" s="2282"/>
      <c r="AI499" s="2282"/>
      <c r="AJ499" s="2282"/>
      <c r="AK499" s="2282"/>
      <c r="AL499" s="2282"/>
      <c r="AM499" s="2282"/>
      <c r="AN499" s="2282"/>
      <c r="AO499" s="2282"/>
      <c r="AP499" s="2282"/>
      <c r="AQ499" s="2282"/>
      <c r="AR499" s="2667"/>
      <c r="AS499" s="2151"/>
      <c r="AT499" s="2292"/>
      <c r="AU499" s="2292"/>
      <c r="AV499" s="2292"/>
      <c r="AW499" s="2292"/>
      <c r="AX499" s="2292"/>
      <c r="AY499" s="2292"/>
      <c r="AZ499" s="2292"/>
      <c r="BA499" s="2292"/>
      <c r="BB499" s="2292"/>
      <c r="BC499" s="2292"/>
      <c r="BD499" s="2292"/>
      <c r="BE499" s="2292"/>
      <c r="BF499" s="2292"/>
      <c r="BG499" s="2292"/>
      <c r="BH499" s="2292"/>
      <c r="BI499" s="2292"/>
      <c r="BJ499" s="2292"/>
      <c r="BK499" s="2292"/>
      <c r="BL499" s="2292"/>
      <c r="BM499" s="2292"/>
      <c r="BN499" s="2292"/>
      <c r="BO499" s="2292"/>
      <c r="BP499" s="2292"/>
      <c r="BQ499" s="2292"/>
      <c r="BR499" s="2292"/>
      <c r="BS499" s="2269"/>
      <c r="BT499" s="2269"/>
      <c r="BU499" s="2269"/>
      <c r="BV499" s="2269"/>
      <c r="BW499" s="2269"/>
      <c r="BX499" s="2269"/>
      <c r="BY499" s="2269"/>
      <c r="BZ499" s="2151"/>
      <c r="CA499" s="2151"/>
      <c r="CB499" s="2484" t="str">
        <f>IF(AB287="無","【注】　「２１ 設備（法第12条第三関係など）」欄で、随閉防火設備は「無」と記載されています。",IF(AB289="対象","【注】　「２１ 設備（法第12条第三関係など）」欄で、防火設備の定期報告が「対象」と記載されています。",""))</f>
        <v/>
      </c>
      <c r="CC499" s="2485"/>
      <c r="CD499" s="2485"/>
      <c r="CE499" s="2485"/>
      <c r="CF499" s="2485"/>
      <c r="CG499" s="2485"/>
      <c r="CH499" s="2485"/>
      <c r="CI499" s="2485"/>
      <c r="CJ499" s="2485"/>
      <c r="CK499" s="2485"/>
      <c r="CL499" s="2485"/>
      <c r="CM499" s="2485"/>
      <c r="CN499" s="2485"/>
      <c r="CO499" s="2485"/>
      <c r="CP499" s="2485"/>
      <c r="CQ499" s="2485"/>
      <c r="CR499" s="2485"/>
      <c r="CS499" s="2485"/>
      <c r="CT499" s="2485"/>
      <c r="CU499" s="2486"/>
      <c r="CV499" s="2300" t="str">
        <f t="shared" si="658"/>
        <v/>
      </c>
      <c r="CW499" s="2300"/>
      <c r="CX499" s="2300"/>
      <c r="CY499" s="2300"/>
      <c r="CZ499" s="2300"/>
      <c r="DA499" s="2300"/>
      <c r="DC499" s="329" t="str">
        <f t="shared" si="659"/>
        <v/>
      </c>
      <c r="DD499" s="197"/>
      <c r="DF499" s="14"/>
      <c r="DG499" s="14"/>
      <c r="DH499" s="14"/>
      <c r="DI499" s="1596"/>
      <c r="DJ499" s="1170" t="s">
        <v>2749</v>
      </c>
      <c r="DK499" s="1604" t="str">
        <f t="shared" si="660"/>
        <v/>
      </c>
      <c r="DL499" s="437" t="str">
        <f t="shared" si="661"/>
        <v/>
      </c>
      <c r="DM499" s="1128">
        <f t="shared" si="662"/>
        <v>0</v>
      </c>
      <c r="DN499" s="22">
        <f t="shared" si="663"/>
        <v>0</v>
      </c>
      <c r="DO499" s="22">
        <f t="shared" si="664"/>
        <v>0</v>
      </c>
      <c r="DP499" s="264">
        <f t="shared" si="665"/>
        <v>0</v>
      </c>
      <c r="DQ499" s="1134" t="s">
        <v>822</v>
      </c>
      <c r="DR499" s="263" t="str">
        <f t="shared" si="666"/>
        <v>本体、枠及び金物の劣化及び損傷の状況</v>
      </c>
      <c r="DS499" s="23">
        <f t="shared" si="667"/>
        <v>0</v>
      </c>
      <c r="DT499" s="29" t="str">
        <f t="shared" si="668"/>
        <v/>
      </c>
      <c r="DU499" s="57" t="str">
        <f t="shared" ref="DU499:DU500" si="734">IF(HV499="","",HV499)</f>
        <v/>
      </c>
      <c r="DV499" s="57" t="str">
        <f>IF($DT499="要是正",MAX($DV$492:DV498)+1,"")</f>
        <v/>
      </c>
      <c r="DW499" s="12" t="str">
        <f t="shared" si="670"/>
        <v/>
      </c>
      <c r="DX499" s="30" t="str">
        <f t="shared" si="671"/>
        <v/>
      </c>
      <c r="DY499" s="2054" t="str">
        <f t="shared" si="672"/>
        <v/>
      </c>
      <c r="DZ499" s="46" t="str">
        <f t="shared" si="673"/>
        <v/>
      </c>
      <c r="EA499" s="205" t="str">
        <f t="shared" si="674"/>
        <v/>
      </c>
      <c r="EB499" s="138" t="str">
        <f t="shared" si="675"/>
        <v/>
      </c>
      <c r="EC499" s="131" t="str">
        <f t="shared" si="676"/>
        <v>0</v>
      </c>
      <c r="ED499" s="54" t="str">
        <f t="shared" si="677"/>
        <v/>
      </c>
      <c r="EE499" s="131" t="str">
        <f t="shared" si="732"/>
        <v>0</v>
      </c>
      <c r="EF499" s="37" t="str">
        <f t="shared" si="679"/>
        <v/>
      </c>
      <c r="EG499" s="108" t="str">
        <f t="shared" si="680"/>
        <v/>
      </c>
      <c r="EH499" s="41" t="str">
        <f t="shared" si="681"/>
        <v>0</v>
      </c>
      <c r="EI499" s="54" t="str">
        <f t="shared" si="682"/>
        <v/>
      </c>
      <c r="EJ499" s="131" t="str">
        <f t="shared" si="733"/>
        <v>0</v>
      </c>
      <c r="EK499" s="217" t="str">
        <f t="shared" si="684"/>
        <v/>
      </c>
      <c r="EL499" s="242" t="e">
        <f t="shared" si="685"/>
        <v>#N/A</v>
      </c>
      <c r="EM499" s="57" t="e">
        <f t="shared" si="686"/>
        <v>#N/A</v>
      </c>
      <c r="EN499" s="243" t="e">
        <f t="shared" si="687"/>
        <v>#N/A</v>
      </c>
      <c r="FK499" s="326" t="str">
        <f t="shared" si="688"/>
        <v/>
      </c>
      <c r="FL499" s="326" t="str">
        <f t="shared" si="689"/>
        <v/>
      </c>
      <c r="FM499" s="326" t="str">
        <f t="shared" si="690"/>
        <v/>
      </c>
      <c r="FN499" s="326">
        <f t="shared" si="691"/>
        <v>0</v>
      </c>
      <c r="FO499" s="670" t="str">
        <f>IF($AF499="―対象外","○","")</f>
        <v/>
      </c>
      <c r="FQ499" s="138" t="str">
        <f t="shared" si="692"/>
        <v/>
      </c>
      <c r="FR499" s="131" t="str">
        <f t="shared" si="693"/>
        <v>0</v>
      </c>
      <c r="FS499" s="54" t="str">
        <f t="shared" si="694"/>
        <v/>
      </c>
      <c r="FT499" s="131" t="str">
        <f t="shared" si="695"/>
        <v>0</v>
      </c>
      <c r="FU499" s="217" t="str">
        <f t="shared" si="696"/>
        <v/>
      </c>
      <c r="FW499" s="667">
        <f t="shared" si="657"/>
        <v>0</v>
      </c>
      <c r="FX499" s="32"/>
      <c r="FY499" s="32"/>
      <c r="FZ499" s="668"/>
      <c r="GA499" s="14"/>
      <c r="GB499" s="658">
        <f t="shared" si="697"/>
        <v>0</v>
      </c>
      <c r="GC499" s="658">
        <f t="shared" si="698"/>
        <v>0</v>
      </c>
      <c r="GD499" s="658">
        <f t="shared" si="699"/>
        <v>0</v>
      </c>
      <c r="GE499" s="658" t="str">
        <f t="shared" si="700"/>
        <v/>
      </c>
      <c r="GF499" s="658" t="str">
        <f t="shared" si="701"/>
        <v/>
      </c>
      <c r="GG499" s="658" t="str">
        <f t="shared" si="702"/>
        <v/>
      </c>
      <c r="GH499" s="658" t="str">
        <f t="shared" si="703"/>
        <v/>
      </c>
      <c r="GI499" s="658" t="str">
        <f t="shared" si="704"/>
        <v/>
      </c>
      <c r="GJ499" s="658" t="str">
        <f t="shared" si="705"/>
        <v/>
      </c>
      <c r="GK499" s="658" t="str">
        <f t="shared" si="706"/>
        <v/>
      </c>
      <c r="GL499" s="658" t="str">
        <f t="shared" si="707"/>
        <v/>
      </c>
      <c r="GM499" s="658" t="str">
        <f t="shared" si="708"/>
        <v/>
      </c>
      <c r="GN499" s="658" t="str">
        <f t="shared" si="709"/>
        <v/>
      </c>
      <c r="GO499" s="658" t="str">
        <f t="shared" si="710"/>
        <v/>
      </c>
      <c r="GP499" s="658" t="str">
        <f t="shared" si="711"/>
        <v/>
      </c>
      <c r="GQ499" s="658" t="str">
        <f t="shared" si="712"/>
        <v/>
      </c>
      <c r="GR499" s="658" t="str">
        <f t="shared" si="713"/>
        <v/>
      </c>
      <c r="GS499" s="658" t="str">
        <f t="shared" si="714"/>
        <v/>
      </c>
      <c r="GT499" s="658">
        <f t="shared" si="546"/>
        <v>0</v>
      </c>
      <c r="GU499" s="658">
        <f t="shared" si="547"/>
        <v>0</v>
      </c>
      <c r="GV499" s="658">
        <f t="shared" si="548"/>
        <v>0</v>
      </c>
      <c r="GW499" s="658" t="b">
        <f t="shared" si="549"/>
        <v>0</v>
      </c>
      <c r="GX499" s="658" t="b">
        <f t="shared" si="550"/>
        <v>0</v>
      </c>
      <c r="GY499" s="658" t="b">
        <f t="shared" si="551"/>
        <v>0</v>
      </c>
      <c r="GZ499" s="658" t="str">
        <f t="shared" si="557"/>
        <v/>
      </c>
      <c r="HB499" s="658" t="str">
        <f t="shared" si="552"/>
        <v/>
      </c>
      <c r="HC499" s="658" t="str">
        <f t="shared" si="715"/>
        <v/>
      </c>
      <c r="HD499" s="658" t="str">
        <f t="shared" si="716"/>
        <v/>
      </c>
      <c r="HE499" s="658" t="str">
        <f t="shared" si="717"/>
        <v/>
      </c>
      <c r="HF499" s="658" t="str">
        <f t="shared" si="718"/>
        <v/>
      </c>
      <c r="HG499" s="658" t="str">
        <f t="shared" si="719"/>
        <v/>
      </c>
      <c r="HH499" s="658" t="str">
        <f t="shared" si="720"/>
        <v/>
      </c>
      <c r="HI499" s="658" t="str">
        <f t="shared" si="721"/>
        <v/>
      </c>
      <c r="HJ499" s="658" t="str">
        <f t="shared" si="722"/>
        <v/>
      </c>
      <c r="HK499" s="658" t="str">
        <f t="shared" si="723"/>
        <v/>
      </c>
      <c r="HL499" s="658" t="str">
        <f t="shared" si="724"/>
        <v/>
      </c>
      <c r="HM499" s="658" t="str">
        <f t="shared" si="725"/>
        <v/>
      </c>
      <c r="HN499" s="658" t="str">
        <f t="shared" si="726"/>
        <v/>
      </c>
      <c r="HO499" s="658" t="str">
        <f t="shared" si="727"/>
        <v/>
      </c>
      <c r="HP499" s="658" t="str">
        <f t="shared" si="728"/>
        <v/>
      </c>
      <c r="HQ499" s="658" t="str">
        <f t="shared" si="729"/>
        <v/>
      </c>
      <c r="HR499" s="658" t="str">
        <f t="shared" si="553"/>
        <v/>
      </c>
      <c r="HT499" s="658">
        <f>LEFT(M499,1)*10000+MID(M499,3,LEN(M499)-3)*100+COUNTIF($M$319:M499,M499)</f>
        <v>70301</v>
      </c>
      <c r="HU499" s="658" t="str">
        <f t="shared" si="554"/>
        <v/>
      </c>
      <c r="HV499" s="658" t="str">
        <f t="shared" si="730"/>
        <v/>
      </c>
      <c r="HW499" s="658" t="str">
        <f t="shared" si="555"/>
        <v/>
      </c>
      <c r="HX499" s="658" t="str">
        <f t="shared" si="731"/>
        <v/>
      </c>
    </row>
    <row r="500" spans="1:232" s="19" customFormat="1" ht="50.1" customHeight="1" x14ac:dyDescent="0.15">
      <c r="A500" s="1201"/>
      <c r="B500" s="1201"/>
      <c r="C500" s="1201"/>
      <c r="D500" s="1201"/>
      <c r="E500" s="1202"/>
      <c r="F500" s="652"/>
      <c r="G500" s="652"/>
      <c r="H500" s="652"/>
      <c r="I500" s="1354"/>
      <c r="J500" s="1234"/>
      <c r="K500" s="1261"/>
      <c r="L500" s="1261"/>
      <c r="M500" s="2143" t="s">
        <v>1228</v>
      </c>
      <c r="N500" s="2143"/>
      <c r="O500" s="2143"/>
      <c r="P500" s="2687"/>
      <c r="Q500" s="2687"/>
      <c r="R500" s="2687"/>
      <c r="S500" s="2687"/>
      <c r="T500" s="2687"/>
      <c r="U500" s="2435" t="s">
        <v>3051</v>
      </c>
      <c r="V500" s="2435"/>
      <c r="W500" s="2435"/>
      <c r="X500" s="2435"/>
      <c r="Y500" s="2435"/>
      <c r="Z500" s="2435"/>
      <c r="AA500" s="2435"/>
      <c r="AB500" s="2435"/>
      <c r="AC500" s="2435"/>
      <c r="AD500" s="2435"/>
      <c r="AE500" s="2435"/>
      <c r="AF500" s="2282"/>
      <c r="AG500" s="2282"/>
      <c r="AH500" s="2282"/>
      <c r="AI500" s="2282"/>
      <c r="AJ500" s="2282"/>
      <c r="AK500" s="2282"/>
      <c r="AL500" s="2282"/>
      <c r="AM500" s="2282"/>
      <c r="AN500" s="2282"/>
      <c r="AO500" s="2282"/>
      <c r="AP500" s="2282"/>
      <c r="AQ500" s="2282"/>
      <c r="AR500" s="2667"/>
      <c r="AS500" s="2151"/>
      <c r="AT500" s="2292"/>
      <c r="AU500" s="2292"/>
      <c r="AV500" s="2292"/>
      <c r="AW500" s="2292"/>
      <c r="AX500" s="2292"/>
      <c r="AY500" s="2292"/>
      <c r="AZ500" s="2292"/>
      <c r="BA500" s="2292"/>
      <c r="BB500" s="2292"/>
      <c r="BC500" s="2292"/>
      <c r="BD500" s="2292"/>
      <c r="BE500" s="2292"/>
      <c r="BF500" s="2292"/>
      <c r="BG500" s="2292"/>
      <c r="BH500" s="2292"/>
      <c r="BI500" s="2292"/>
      <c r="BJ500" s="2292"/>
      <c r="BK500" s="2292"/>
      <c r="BL500" s="2292"/>
      <c r="BM500" s="2292"/>
      <c r="BN500" s="2292"/>
      <c r="BO500" s="2292"/>
      <c r="BP500" s="2292"/>
      <c r="BQ500" s="2292"/>
      <c r="BR500" s="2292"/>
      <c r="BS500" s="2269"/>
      <c r="BT500" s="2269"/>
      <c r="BU500" s="2269"/>
      <c r="BV500" s="2269"/>
      <c r="BW500" s="2269"/>
      <c r="BX500" s="2269"/>
      <c r="BY500" s="2269"/>
      <c r="BZ500" s="2151"/>
      <c r="CA500" s="2151"/>
      <c r="CB500" s="2892" t="str">
        <f>IF(AB287="無","→7(1)～(5)は「―対象外」を選択してください。",IF(AB289="対象","→7(1)～(5)は「―対象外」を選択してください。（防火設備の定期検査報告で報告してください。）",""))</f>
        <v/>
      </c>
      <c r="CC500" s="2893"/>
      <c r="CD500" s="2893"/>
      <c r="CE500" s="2893"/>
      <c r="CF500" s="2893"/>
      <c r="CG500" s="2893"/>
      <c r="CH500" s="2893"/>
      <c r="CI500" s="2893"/>
      <c r="CJ500" s="2893"/>
      <c r="CK500" s="2893"/>
      <c r="CL500" s="2893"/>
      <c r="CM500" s="2893"/>
      <c r="CN500" s="2893"/>
      <c r="CO500" s="2893"/>
      <c r="CP500" s="2893"/>
      <c r="CQ500" s="2893"/>
      <c r="CR500" s="2893"/>
      <c r="CS500" s="2893"/>
      <c r="CT500" s="2893"/>
      <c r="CU500" s="2894"/>
      <c r="CV500" s="2300" t="str">
        <f t="shared" si="658"/>
        <v/>
      </c>
      <c r="CW500" s="2300"/>
      <c r="CX500" s="2300"/>
      <c r="CY500" s="2300"/>
      <c r="CZ500" s="2300"/>
      <c r="DA500" s="2300"/>
      <c r="DC500" s="329" t="str">
        <f t="shared" si="659"/>
        <v/>
      </c>
      <c r="DD500" s="197"/>
      <c r="DF500" s="14"/>
      <c r="DG500" s="14"/>
      <c r="DH500" s="14"/>
      <c r="DI500" s="1596"/>
      <c r="DJ500" s="1170" t="s">
        <v>2749</v>
      </c>
      <c r="DK500" s="1604" t="str">
        <f t="shared" si="660"/>
        <v/>
      </c>
      <c r="DL500" s="437" t="str">
        <f t="shared" si="661"/>
        <v/>
      </c>
      <c r="DM500" s="1128">
        <f t="shared" si="662"/>
        <v>0</v>
      </c>
      <c r="DN500" s="22">
        <f t="shared" si="663"/>
        <v>0</v>
      </c>
      <c r="DO500" s="22">
        <f t="shared" si="664"/>
        <v>0</v>
      </c>
      <c r="DP500" s="264">
        <f t="shared" si="665"/>
        <v>0</v>
      </c>
      <c r="DQ500" s="1134" t="s">
        <v>823</v>
      </c>
      <c r="DR500" s="263" t="str">
        <f t="shared" si="666"/>
        <v>各階の主要な随閉防火設備の閉鎖又は作動の状況</v>
      </c>
      <c r="DS500" s="23">
        <f t="shared" si="667"/>
        <v>0</v>
      </c>
      <c r="DT500" s="29" t="str">
        <f t="shared" si="668"/>
        <v/>
      </c>
      <c r="DU500" s="57" t="str">
        <f t="shared" si="734"/>
        <v/>
      </c>
      <c r="DV500" s="57" t="str">
        <f>IF($DT500="要是正",MAX($DV$492:DV499)+1,"")</f>
        <v/>
      </c>
      <c r="DW500" s="12" t="str">
        <f t="shared" si="670"/>
        <v/>
      </c>
      <c r="DX500" s="30" t="str">
        <f t="shared" si="671"/>
        <v/>
      </c>
      <c r="DY500" s="2054" t="str">
        <f t="shared" si="672"/>
        <v/>
      </c>
      <c r="DZ500" s="46" t="str">
        <f t="shared" si="673"/>
        <v/>
      </c>
      <c r="EA500" s="205" t="str">
        <f t="shared" si="674"/>
        <v/>
      </c>
      <c r="EB500" s="138" t="str">
        <f t="shared" si="675"/>
        <v/>
      </c>
      <c r="EC500" s="131" t="str">
        <f t="shared" si="676"/>
        <v>0</v>
      </c>
      <c r="ED500" s="54" t="str">
        <f t="shared" si="677"/>
        <v/>
      </c>
      <c r="EE500" s="131" t="str">
        <f t="shared" si="732"/>
        <v>0</v>
      </c>
      <c r="EF500" s="37" t="str">
        <f t="shared" si="679"/>
        <v/>
      </c>
      <c r="EG500" s="108" t="str">
        <f t="shared" si="680"/>
        <v/>
      </c>
      <c r="EH500" s="41" t="str">
        <f t="shared" si="681"/>
        <v>0</v>
      </c>
      <c r="EI500" s="54" t="str">
        <f t="shared" si="682"/>
        <v/>
      </c>
      <c r="EJ500" s="131" t="str">
        <f t="shared" si="733"/>
        <v>0</v>
      </c>
      <c r="EK500" s="217" t="str">
        <f t="shared" si="684"/>
        <v/>
      </c>
      <c r="EL500" s="242" t="e">
        <f t="shared" si="685"/>
        <v>#N/A</v>
      </c>
      <c r="EM500" s="57" t="e">
        <f t="shared" si="686"/>
        <v>#N/A</v>
      </c>
      <c r="EN500" s="243" t="e">
        <f t="shared" si="687"/>
        <v>#N/A</v>
      </c>
      <c r="FK500" s="326" t="str">
        <f t="shared" si="688"/>
        <v/>
      </c>
      <c r="FL500" s="326" t="str">
        <f t="shared" si="689"/>
        <v/>
      </c>
      <c r="FM500" s="326" t="str">
        <f t="shared" si="690"/>
        <v/>
      </c>
      <c r="FN500" s="326">
        <f t="shared" si="691"/>
        <v>0</v>
      </c>
      <c r="FO500" s="670" t="str">
        <f>IF($AF500="―対象外","○","")</f>
        <v/>
      </c>
      <c r="FQ500" s="138" t="str">
        <f t="shared" si="692"/>
        <v/>
      </c>
      <c r="FR500" s="131" t="str">
        <f t="shared" si="693"/>
        <v>0</v>
      </c>
      <c r="FS500" s="54" t="str">
        <f t="shared" si="694"/>
        <v/>
      </c>
      <c r="FT500" s="131" t="str">
        <f t="shared" si="695"/>
        <v>0</v>
      </c>
      <c r="FU500" s="217" t="str">
        <f t="shared" si="696"/>
        <v/>
      </c>
      <c r="FW500" s="667">
        <f t="shared" si="657"/>
        <v>0</v>
      </c>
      <c r="FX500" s="32"/>
      <c r="FY500" s="32"/>
      <c r="FZ500" s="668"/>
      <c r="GA500" s="14"/>
      <c r="GB500" s="658">
        <f t="shared" si="697"/>
        <v>0</v>
      </c>
      <c r="GC500" s="658">
        <f t="shared" si="698"/>
        <v>0</v>
      </c>
      <c r="GD500" s="658">
        <f t="shared" si="699"/>
        <v>0</v>
      </c>
      <c r="GE500" s="658" t="str">
        <f t="shared" si="700"/>
        <v/>
      </c>
      <c r="GF500" s="658" t="str">
        <f t="shared" si="701"/>
        <v/>
      </c>
      <c r="GG500" s="658" t="str">
        <f t="shared" si="702"/>
        <v/>
      </c>
      <c r="GH500" s="658" t="str">
        <f t="shared" si="703"/>
        <v/>
      </c>
      <c r="GI500" s="658" t="str">
        <f t="shared" si="704"/>
        <v/>
      </c>
      <c r="GJ500" s="658" t="str">
        <f t="shared" si="705"/>
        <v/>
      </c>
      <c r="GK500" s="658" t="str">
        <f t="shared" si="706"/>
        <v/>
      </c>
      <c r="GL500" s="658" t="str">
        <f t="shared" si="707"/>
        <v/>
      </c>
      <c r="GM500" s="658" t="str">
        <f t="shared" si="708"/>
        <v/>
      </c>
      <c r="GN500" s="658" t="str">
        <f t="shared" si="709"/>
        <v/>
      </c>
      <c r="GO500" s="658" t="str">
        <f t="shared" si="710"/>
        <v/>
      </c>
      <c r="GP500" s="658" t="str">
        <f t="shared" si="711"/>
        <v/>
      </c>
      <c r="GQ500" s="658" t="str">
        <f t="shared" si="712"/>
        <v/>
      </c>
      <c r="GR500" s="658" t="str">
        <f t="shared" si="713"/>
        <v/>
      </c>
      <c r="GS500" s="658" t="str">
        <f t="shared" si="714"/>
        <v/>
      </c>
      <c r="GT500" s="658">
        <f t="shared" si="546"/>
        <v>0</v>
      </c>
      <c r="GU500" s="658">
        <f t="shared" si="547"/>
        <v>0</v>
      </c>
      <c r="GV500" s="658">
        <f t="shared" si="548"/>
        <v>0</v>
      </c>
      <c r="GW500" s="658" t="b">
        <f t="shared" si="549"/>
        <v>0</v>
      </c>
      <c r="GX500" s="658" t="b">
        <f t="shared" si="550"/>
        <v>0</v>
      </c>
      <c r="GY500" s="658" t="b">
        <f t="shared" si="551"/>
        <v>0</v>
      </c>
      <c r="GZ500" s="658" t="str">
        <f t="shared" si="557"/>
        <v/>
      </c>
      <c r="HB500" s="658" t="str">
        <f t="shared" si="552"/>
        <v/>
      </c>
      <c r="HC500" s="658" t="str">
        <f t="shared" si="715"/>
        <v/>
      </c>
      <c r="HD500" s="658" t="str">
        <f t="shared" si="716"/>
        <v/>
      </c>
      <c r="HE500" s="658" t="str">
        <f t="shared" si="717"/>
        <v/>
      </c>
      <c r="HF500" s="658" t="str">
        <f t="shared" si="718"/>
        <v/>
      </c>
      <c r="HG500" s="658" t="str">
        <f t="shared" si="719"/>
        <v/>
      </c>
      <c r="HH500" s="658" t="str">
        <f t="shared" si="720"/>
        <v/>
      </c>
      <c r="HI500" s="658" t="str">
        <f t="shared" si="721"/>
        <v/>
      </c>
      <c r="HJ500" s="658" t="str">
        <f t="shared" si="722"/>
        <v/>
      </c>
      <c r="HK500" s="658" t="str">
        <f t="shared" si="723"/>
        <v/>
      </c>
      <c r="HL500" s="658" t="str">
        <f t="shared" si="724"/>
        <v/>
      </c>
      <c r="HM500" s="658" t="str">
        <f t="shared" si="725"/>
        <v/>
      </c>
      <c r="HN500" s="658" t="str">
        <f t="shared" si="726"/>
        <v/>
      </c>
      <c r="HO500" s="658" t="str">
        <f t="shared" si="727"/>
        <v/>
      </c>
      <c r="HP500" s="658" t="str">
        <f t="shared" si="728"/>
        <v/>
      </c>
      <c r="HQ500" s="658" t="str">
        <f t="shared" si="729"/>
        <v/>
      </c>
      <c r="HR500" s="658" t="str">
        <f t="shared" si="553"/>
        <v/>
      </c>
      <c r="HT500" s="658">
        <f>LEFT(M500,1)*10000+MID(M500,3,LEN(M500)-3)*100+COUNTIF($M$319:M500,M500)</f>
        <v>70401</v>
      </c>
      <c r="HU500" s="658" t="str">
        <f t="shared" si="554"/>
        <v/>
      </c>
      <c r="HV500" s="658" t="str">
        <f t="shared" si="730"/>
        <v/>
      </c>
      <c r="HW500" s="658" t="str">
        <f t="shared" si="555"/>
        <v/>
      </c>
      <c r="HX500" s="658" t="str">
        <f t="shared" si="731"/>
        <v/>
      </c>
    </row>
    <row r="501" spans="1:232" s="19" customFormat="1" ht="66" customHeight="1" x14ac:dyDescent="0.15">
      <c r="A501" s="1201"/>
      <c r="B501" s="1201"/>
      <c r="C501" s="1201"/>
      <c r="D501" s="1201"/>
      <c r="E501" s="1202"/>
      <c r="F501" s="652"/>
      <c r="G501" s="652"/>
      <c r="H501" s="652"/>
      <c r="I501" s="1354"/>
      <c r="J501" s="1234"/>
      <c r="K501" s="1261"/>
      <c r="L501" s="1261"/>
      <c r="M501" s="2650" t="s">
        <v>1229</v>
      </c>
      <c r="N501" s="2650"/>
      <c r="O501" s="2650"/>
      <c r="P501" s="2687"/>
      <c r="Q501" s="2687"/>
      <c r="R501" s="2687"/>
      <c r="S501" s="2687"/>
      <c r="T501" s="2687"/>
      <c r="U501" s="2651" t="s">
        <v>3052</v>
      </c>
      <c r="V501" s="2651"/>
      <c r="W501" s="2651"/>
      <c r="X501" s="2651"/>
      <c r="Y501" s="2651"/>
      <c r="Z501" s="2651"/>
      <c r="AA501" s="2651"/>
      <c r="AB501" s="2651"/>
      <c r="AC501" s="2651"/>
      <c r="AD501" s="2651"/>
      <c r="AE501" s="2651"/>
      <c r="AF501" s="2490"/>
      <c r="AG501" s="2490"/>
      <c r="AH501" s="2490"/>
      <c r="AI501" s="2490"/>
      <c r="AJ501" s="2490"/>
      <c r="AK501" s="2490"/>
      <c r="AL501" s="2490"/>
      <c r="AM501" s="2490"/>
      <c r="AN501" s="2490"/>
      <c r="AO501" s="2490"/>
      <c r="AP501" s="2490"/>
      <c r="AQ501" s="2490"/>
      <c r="AR501" s="2927"/>
      <c r="AS501" s="2456"/>
      <c r="AT501" s="2481"/>
      <c r="AU501" s="2481"/>
      <c r="AV501" s="2481"/>
      <c r="AW501" s="2481"/>
      <c r="AX501" s="2481"/>
      <c r="AY501" s="2481"/>
      <c r="AZ501" s="2481"/>
      <c r="BA501" s="2481"/>
      <c r="BB501" s="2481"/>
      <c r="BC501" s="2481"/>
      <c r="BD501" s="2481"/>
      <c r="BE501" s="2481"/>
      <c r="BF501" s="2481"/>
      <c r="BG501" s="2481"/>
      <c r="BH501" s="2481"/>
      <c r="BI501" s="2481"/>
      <c r="BJ501" s="2481"/>
      <c r="BK501" s="2481"/>
      <c r="BL501" s="2481"/>
      <c r="BM501" s="2481"/>
      <c r="BN501" s="2481"/>
      <c r="BO501" s="2481"/>
      <c r="BP501" s="2481"/>
      <c r="BQ501" s="2481"/>
      <c r="BR501" s="2481"/>
      <c r="BS501" s="2482"/>
      <c r="BT501" s="2482"/>
      <c r="BU501" s="2482"/>
      <c r="BV501" s="2482"/>
      <c r="BW501" s="2482"/>
      <c r="BX501" s="2482"/>
      <c r="BY501" s="2482"/>
      <c r="BZ501" s="2456"/>
      <c r="CA501" s="2456"/>
      <c r="CB501" s="1841"/>
      <c r="CC501" s="1842"/>
      <c r="CD501" s="1842"/>
      <c r="CE501" s="1842"/>
      <c r="CF501" s="1842"/>
      <c r="CG501" s="1842"/>
      <c r="CH501" s="1842"/>
      <c r="CI501" s="1842"/>
      <c r="CJ501" s="1842"/>
      <c r="CK501" s="1842"/>
      <c r="CL501" s="1842"/>
      <c r="CM501" s="1842"/>
      <c r="CN501" s="1842"/>
      <c r="CO501" s="1842"/>
      <c r="CP501" s="1842"/>
      <c r="CQ501" s="1842"/>
      <c r="CR501" s="1842"/>
      <c r="CS501" s="1842"/>
      <c r="CT501" s="1842"/>
      <c r="CU501" s="1843"/>
      <c r="CV501" s="2300" t="str">
        <f t="shared" si="658"/>
        <v/>
      </c>
      <c r="CW501" s="2300"/>
      <c r="CX501" s="2300"/>
      <c r="CY501" s="2300"/>
      <c r="CZ501" s="2300"/>
      <c r="DA501" s="2300"/>
      <c r="DC501" s="329" t="str">
        <f t="shared" si="659"/>
        <v/>
      </c>
      <c r="DD501" s="197"/>
      <c r="DF501" s="14"/>
      <c r="DG501" s="14"/>
      <c r="DH501" s="14"/>
      <c r="DI501" s="1596"/>
      <c r="DJ501" s="1170" t="s">
        <v>2749</v>
      </c>
      <c r="DK501" s="1604" t="str">
        <f t="shared" si="660"/>
        <v/>
      </c>
      <c r="DL501" s="437" t="str">
        <f t="shared" si="661"/>
        <v/>
      </c>
      <c r="DM501" s="1128">
        <f t="shared" si="662"/>
        <v>0</v>
      </c>
      <c r="DN501" s="22">
        <f t="shared" si="663"/>
        <v>0</v>
      </c>
      <c r="DO501" s="22">
        <f t="shared" si="664"/>
        <v>0</v>
      </c>
      <c r="DP501" s="264">
        <f t="shared" si="665"/>
        <v>0</v>
      </c>
      <c r="DQ501" s="32" t="s">
        <v>824</v>
      </c>
      <c r="DR501" s="263" t="str">
        <f t="shared" si="666"/>
        <v>閉鎖又は作動の障害となる物品の放置並びに照明器具及び懸垂物等の状況</v>
      </c>
      <c r="DS501" s="23">
        <f t="shared" si="667"/>
        <v>0</v>
      </c>
      <c r="DT501" s="29" t="str">
        <f t="shared" si="668"/>
        <v/>
      </c>
      <c r="DU501" s="57" t="str">
        <f t="shared" si="669"/>
        <v/>
      </c>
      <c r="DV501" s="57" t="str">
        <f>IF($DT501="要是正",MAX($DV$492:DV500)+1,"")</f>
        <v/>
      </c>
      <c r="DW501" s="12" t="str">
        <f t="shared" si="670"/>
        <v/>
      </c>
      <c r="DX501" s="30" t="str">
        <f t="shared" si="671"/>
        <v/>
      </c>
      <c r="DY501" s="2054" t="str">
        <f t="shared" si="672"/>
        <v/>
      </c>
      <c r="DZ501" s="46" t="str">
        <f t="shared" si="673"/>
        <v/>
      </c>
      <c r="EA501" s="205" t="str">
        <f t="shared" si="674"/>
        <v/>
      </c>
      <c r="EB501" s="138" t="str">
        <f t="shared" si="675"/>
        <v/>
      </c>
      <c r="EC501" s="131" t="str">
        <f t="shared" si="676"/>
        <v>0</v>
      </c>
      <c r="ED501" s="54" t="str">
        <f t="shared" si="677"/>
        <v/>
      </c>
      <c r="EE501" s="131" t="str">
        <f t="shared" si="732"/>
        <v>0</v>
      </c>
      <c r="EF501" s="37" t="str">
        <f t="shared" si="679"/>
        <v/>
      </c>
      <c r="EG501" s="108" t="str">
        <f t="shared" si="680"/>
        <v/>
      </c>
      <c r="EH501" s="41" t="str">
        <f t="shared" si="681"/>
        <v>0</v>
      </c>
      <c r="EI501" s="54" t="str">
        <f t="shared" si="682"/>
        <v/>
      </c>
      <c r="EJ501" s="131" t="str">
        <f t="shared" si="733"/>
        <v>0</v>
      </c>
      <c r="EK501" s="217" t="str">
        <f t="shared" si="684"/>
        <v/>
      </c>
      <c r="EL501" s="242" t="e">
        <f t="shared" si="685"/>
        <v>#N/A</v>
      </c>
      <c r="EM501" s="57" t="e">
        <f t="shared" si="686"/>
        <v>#N/A</v>
      </c>
      <c r="EN501" s="243" t="e">
        <f t="shared" si="687"/>
        <v>#N/A</v>
      </c>
      <c r="FK501" s="326" t="str">
        <f t="shared" si="688"/>
        <v/>
      </c>
      <c r="FL501" s="326" t="str">
        <f t="shared" si="689"/>
        <v/>
      </c>
      <c r="FM501" s="326" t="str">
        <f t="shared" si="690"/>
        <v/>
      </c>
      <c r="FN501" s="326">
        <f t="shared" si="691"/>
        <v>0</v>
      </c>
      <c r="FO501" s="670" t="str">
        <f>IF($AF501="―対象外","○","")</f>
        <v/>
      </c>
      <c r="FQ501" s="138" t="str">
        <f t="shared" si="692"/>
        <v/>
      </c>
      <c r="FR501" s="131" t="str">
        <f t="shared" si="693"/>
        <v>0</v>
      </c>
      <c r="FS501" s="54" t="str">
        <f t="shared" si="694"/>
        <v/>
      </c>
      <c r="FT501" s="131" t="str">
        <f t="shared" si="695"/>
        <v>0</v>
      </c>
      <c r="FU501" s="217" t="str">
        <f t="shared" si="696"/>
        <v/>
      </c>
      <c r="FW501" s="667">
        <f t="shared" si="657"/>
        <v>0</v>
      </c>
      <c r="FX501" s="32"/>
      <c r="FY501" s="32"/>
      <c r="FZ501" s="668"/>
      <c r="GA501" s="14"/>
      <c r="GB501" s="658">
        <f t="shared" si="697"/>
        <v>0</v>
      </c>
      <c r="GC501" s="658">
        <f t="shared" si="698"/>
        <v>0</v>
      </c>
      <c r="GD501" s="658">
        <f t="shared" si="699"/>
        <v>0</v>
      </c>
      <c r="GE501" s="658" t="str">
        <f t="shared" si="700"/>
        <v/>
      </c>
      <c r="GF501" s="658" t="str">
        <f t="shared" si="701"/>
        <v/>
      </c>
      <c r="GG501" s="658" t="str">
        <f t="shared" si="702"/>
        <v/>
      </c>
      <c r="GH501" s="658" t="str">
        <f t="shared" si="703"/>
        <v/>
      </c>
      <c r="GI501" s="658" t="str">
        <f t="shared" si="704"/>
        <v/>
      </c>
      <c r="GJ501" s="658" t="str">
        <f t="shared" si="705"/>
        <v/>
      </c>
      <c r="GK501" s="658" t="str">
        <f t="shared" si="706"/>
        <v/>
      </c>
      <c r="GL501" s="658" t="str">
        <f t="shared" si="707"/>
        <v/>
      </c>
      <c r="GM501" s="658" t="str">
        <f t="shared" si="708"/>
        <v/>
      </c>
      <c r="GN501" s="658" t="str">
        <f t="shared" si="709"/>
        <v/>
      </c>
      <c r="GO501" s="658" t="str">
        <f t="shared" si="710"/>
        <v/>
      </c>
      <c r="GP501" s="658" t="str">
        <f t="shared" si="711"/>
        <v/>
      </c>
      <c r="GQ501" s="658" t="str">
        <f t="shared" si="712"/>
        <v/>
      </c>
      <c r="GR501" s="658" t="str">
        <f t="shared" si="713"/>
        <v/>
      </c>
      <c r="GS501" s="658" t="str">
        <f t="shared" si="714"/>
        <v/>
      </c>
      <c r="GT501" s="658">
        <f t="shared" si="546"/>
        <v>0</v>
      </c>
      <c r="GU501" s="658">
        <f t="shared" si="547"/>
        <v>0</v>
      </c>
      <c r="GV501" s="658">
        <f t="shared" si="548"/>
        <v>0</v>
      </c>
      <c r="GW501" s="658" t="b">
        <f t="shared" si="549"/>
        <v>0</v>
      </c>
      <c r="GX501" s="658" t="b">
        <f t="shared" si="550"/>
        <v>0</v>
      </c>
      <c r="GY501" s="658" t="b">
        <f t="shared" si="551"/>
        <v>0</v>
      </c>
      <c r="GZ501" s="658" t="str">
        <f t="shared" si="557"/>
        <v/>
      </c>
      <c r="HB501" s="658" t="str">
        <f t="shared" si="552"/>
        <v/>
      </c>
      <c r="HC501" s="658" t="str">
        <f t="shared" si="715"/>
        <v/>
      </c>
      <c r="HD501" s="658" t="str">
        <f t="shared" si="716"/>
        <v/>
      </c>
      <c r="HE501" s="658" t="str">
        <f t="shared" si="717"/>
        <v/>
      </c>
      <c r="HF501" s="658" t="str">
        <f t="shared" si="718"/>
        <v/>
      </c>
      <c r="HG501" s="658" t="str">
        <f t="shared" si="719"/>
        <v/>
      </c>
      <c r="HH501" s="658" t="str">
        <f t="shared" si="720"/>
        <v/>
      </c>
      <c r="HI501" s="658" t="str">
        <f t="shared" si="721"/>
        <v/>
      </c>
      <c r="HJ501" s="658" t="str">
        <f t="shared" si="722"/>
        <v/>
      </c>
      <c r="HK501" s="658" t="str">
        <f t="shared" si="723"/>
        <v/>
      </c>
      <c r="HL501" s="658" t="str">
        <f t="shared" si="724"/>
        <v/>
      </c>
      <c r="HM501" s="658" t="str">
        <f t="shared" si="725"/>
        <v/>
      </c>
      <c r="HN501" s="658" t="str">
        <f t="shared" si="726"/>
        <v/>
      </c>
      <c r="HO501" s="658" t="str">
        <f t="shared" si="727"/>
        <v/>
      </c>
      <c r="HP501" s="658" t="str">
        <f t="shared" si="728"/>
        <v/>
      </c>
      <c r="HQ501" s="658" t="str">
        <f t="shared" si="729"/>
        <v/>
      </c>
      <c r="HR501" s="658" t="str">
        <f t="shared" si="553"/>
        <v/>
      </c>
      <c r="HT501" s="658">
        <f>LEFT(M501,1)*10000+MID(M501,3,LEN(M501)-3)*100+COUNTIF($M$319:M501,M501)</f>
        <v>70501</v>
      </c>
      <c r="HU501" s="658" t="str">
        <f t="shared" si="554"/>
        <v/>
      </c>
      <c r="HV501" s="658" t="str">
        <f t="shared" si="730"/>
        <v/>
      </c>
      <c r="HW501" s="658" t="str">
        <f t="shared" si="555"/>
        <v/>
      </c>
      <c r="HX501" s="658" t="str">
        <f t="shared" si="731"/>
        <v/>
      </c>
    </row>
    <row r="502" spans="1:232" s="19" customFormat="1" ht="87" customHeight="1" x14ac:dyDescent="0.15">
      <c r="A502" s="1201"/>
      <c r="B502" s="1201"/>
      <c r="C502" s="1201"/>
      <c r="D502" s="1201"/>
      <c r="E502" s="1202"/>
      <c r="F502" s="652"/>
      <c r="G502" s="652"/>
      <c r="H502" s="652"/>
      <c r="I502" s="1354"/>
      <c r="J502" s="1234"/>
      <c r="K502" s="1261"/>
      <c r="L502" s="1261"/>
      <c r="M502" s="2143" t="s">
        <v>1285</v>
      </c>
      <c r="N502" s="2143"/>
      <c r="O502" s="2143"/>
      <c r="P502" s="2686" t="s">
        <v>3067</v>
      </c>
      <c r="Q502" s="2686"/>
      <c r="R502" s="2686"/>
      <c r="S502" s="2686"/>
      <c r="T502" s="2686"/>
      <c r="U502" s="2438" t="s">
        <v>3061</v>
      </c>
      <c r="V502" s="2683"/>
      <c r="W502" s="2683"/>
      <c r="X502" s="2683"/>
      <c r="Y502" s="2683"/>
      <c r="Z502" s="2683"/>
      <c r="AA502" s="2683"/>
      <c r="AB502" s="2683"/>
      <c r="AC502" s="2683"/>
      <c r="AD502" s="2683"/>
      <c r="AE502" s="2683"/>
      <c r="AF502" s="2466"/>
      <c r="AG502" s="2466"/>
      <c r="AH502" s="2466"/>
      <c r="AI502" s="2466"/>
      <c r="AJ502" s="2466"/>
      <c r="AK502" s="2466"/>
      <c r="AL502" s="2466"/>
      <c r="AM502" s="2466"/>
      <c r="AN502" s="2466"/>
      <c r="AO502" s="2466"/>
      <c r="AP502" s="2466"/>
      <c r="AQ502" s="2467"/>
      <c r="AR502" s="2138"/>
      <c r="AS502" s="2138"/>
      <c r="AT502" s="2406"/>
      <c r="AU502" s="2406"/>
      <c r="AV502" s="2406"/>
      <c r="AW502" s="2406"/>
      <c r="AX502" s="2406"/>
      <c r="AY502" s="2406"/>
      <c r="AZ502" s="2406"/>
      <c r="BA502" s="2406"/>
      <c r="BB502" s="2406"/>
      <c r="BC502" s="2406"/>
      <c r="BD502" s="2406"/>
      <c r="BE502" s="2406"/>
      <c r="BF502" s="2406"/>
      <c r="BG502" s="2406"/>
      <c r="BH502" s="2406"/>
      <c r="BI502" s="2406"/>
      <c r="BJ502" s="2406"/>
      <c r="BK502" s="2406"/>
      <c r="BL502" s="2406"/>
      <c r="BM502" s="2406"/>
      <c r="BN502" s="2406"/>
      <c r="BO502" s="2406"/>
      <c r="BP502" s="2406"/>
      <c r="BQ502" s="2406"/>
      <c r="BR502" s="2406"/>
      <c r="BS502" s="2271"/>
      <c r="BT502" s="2271"/>
      <c r="BU502" s="2271"/>
      <c r="BV502" s="2271"/>
      <c r="BW502" s="2271"/>
      <c r="BX502" s="2271"/>
      <c r="BY502" s="2271"/>
      <c r="BZ502" s="2272"/>
      <c r="CA502" s="2272"/>
      <c r="CB502" s="2899" t="s">
        <v>3323</v>
      </c>
      <c r="CC502" s="2900"/>
      <c r="CD502" s="2900"/>
      <c r="CE502" s="2900"/>
      <c r="CF502" s="2900"/>
      <c r="CG502" s="2900"/>
      <c r="CH502" s="2900"/>
      <c r="CI502" s="2900"/>
      <c r="CJ502" s="2900"/>
      <c r="CK502" s="2900"/>
      <c r="CL502" s="2900"/>
      <c r="CM502" s="2900"/>
      <c r="CN502" s="2900"/>
      <c r="CO502" s="2900"/>
      <c r="CP502" s="2900"/>
      <c r="CQ502" s="2900"/>
      <c r="CR502" s="2900"/>
      <c r="CS502" s="2900"/>
      <c r="CT502" s="2900"/>
      <c r="CU502" s="2901"/>
      <c r="CV502" s="2300" t="str">
        <f t="shared" si="658"/>
        <v/>
      </c>
      <c r="CW502" s="2300"/>
      <c r="CX502" s="2300"/>
      <c r="CY502" s="2300"/>
      <c r="CZ502" s="2300"/>
      <c r="DA502" s="2300"/>
      <c r="DC502" s="329" t="str">
        <f t="shared" si="659"/>
        <v/>
      </c>
      <c r="DD502" s="197"/>
      <c r="DF502" s="14"/>
      <c r="DG502" s="14"/>
      <c r="DH502" s="14"/>
      <c r="DI502" s="1596"/>
      <c r="DJ502" s="1170" t="s">
        <v>2749</v>
      </c>
      <c r="DK502" s="1604" t="str">
        <f t="shared" si="660"/>
        <v/>
      </c>
      <c r="DL502" s="437" t="str">
        <f t="shared" si="661"/>
        <v/>
      </c>
      <c r="DM502" s="1128">
        <f t="shared" si="662"/>
        <v>0</v>
      </c>
      <c r="DN502" s="22">
        <f t="shared" si="663"/>
        <v>0</v>
      </c>
      <c r="DO502" s="22">
        <f t="shared" si="664"/>
        <v>0</v>
      </c>
      <c r="DP502" s="264">
        <f t="shared" si="665"/>
        <v>0</v>
      </c>
      <c r="DQ502" s="32" t="s">
        <v>1285</v>
      </c>
      <c r="DR502" s="263" t="str">
        <f t="shared" si="666"/>
        <v>防火扉（人の通行の用に供する部分に設けるものに限る。）の昭和４８年建設省告示第２５６３号第１第一号に規定する基準についての適合の状況</v>
      </c>
      <c r="DS502" s="23">
        <f t="shared" si="667"/>
        <v>0</v>
      </c>
      <c r="DT502" s="29" t="str">
        <f t="shared" si="668"/>
        <v/>
      </c>
      <c r="DU502" s="57" t="str">
        <f t="shared" si="669"/>
        <v/>
      </c>
      <c r="DV502" s="57" t="str">
        <f>IF($DT502="要是正",MAX($DV$492:DV501)+1,"")</f>
        <v/>
      </c>
      <c r="DW502" s="12" t="str">
        <f t="shared" si="670"/>
        <v/>
      </c>
      <c r="DX502" s="30" t="str">
        <f t="shared" si="671"/>
        <v/>
      </c>
      <c r="DY502" s="2054" t="str">
        <f t="shared" si="672"/>
        <v/>
      </c>
      <c r="DZ502" s="46" t="str">
        <f t="shared" si="673"/>
        <v/>
      </c>
      <c r="EA502" s="205" t="str">
        <f t="shared" si="674"/>
        <v/>
      </c>
      <c r="EB502" s="138" t="str">
        <f t="shared" si="675"/>
        <v/>
      </c>
      <c r="EC502" s="131" t="str">
        <f t="shared" si="676"/>
        <v>0</v>
      </c>
      <c r="ED502" s="54" t="str">
        <f t="shared" si="677"/>
        <v/>
      </c>
      <c r="EE502" s="131" t="str">
        <f t="shared" si="732"/>
        <v>0</v>
      </c>
      <c r="EF502" s="37" t="str">
        <f t="shared" si="679"/>
        <v/>
      </c>
      <c r="EG502" s="108" t="str">
        <f t="shared" si="680"/>
        <v/>
      </c>
      <c r="EH502" s="41" t="str">
        <f t="shared" si="681"/>
        <v>0</v>
      </c>
      <c r="EI502" s="54" t="str">
        <f t="shared" si="682"/>
        <v/>
      </c>
      <c r="EJ502" s="131" t="str">
        <f t="shared" si="733"/>
        <v>0</v>
      </c>
      <c r="EK502" s="217" t="str">
        <f t="shared" si="684"/>
        <v/>
      </c>
      <c r="EL502" s="242" t="e">
        <f t="shared" si="685"/>
        <v>#N/A</v>
      </c>
      <c r="EM502" s="57" t="e">
        <f t="shared" si="686"/>
        <v>#N/A</v>
      </c>
      <c r="EN502" s="243" t="e">
        <f t="shared" si="687"/>
        <v>#N/A</v>
      </c>
      <c r="FK502" s="326" t="str">
        <f t="shared" si="688"/>
        <v/>
      </c>
      <c r="FL502" s="326" t="str">
        <f t="shared" si="689"/>
        <v/>
      </c>
      <c r="FM502" s="326" t="str">
        <f t="shared" si="690"/>
        <v/>
      </c>
      <c r="FN502" s="326">
        <f t="shared" si="691"/>
        <v>0</v>
      </c>
      <c r="FO502" s="670"/>
      <c r="FQ502" s="138" t="str">
        <f t="shared" si="692"/>
        <v/>
      </c>
      <c r="FR502" s="131" t="str">
        <f t="shared" si="693"/>
        <v>0</v>
      </c>
      <c r="FS502" s="54" t="str">
        <f t="shared" si="694"/>
        <v/>
      </c>
      <c r="FT502" s="131" t="str">
        <f t="shared" si="695"/>
        <v>0</v>
      </c>
      <c r="FU502" s="217" t="str">
        <f t="shared" si="696"/>
        <v/>
      </c>
      <c r="FW502" s="667">
        <f t="shared" si="657"/>
        <v>0</v>
      </c>
      <c r="FX502" s="32"/>
      <c r="FY502" s="32"/>
      <c r="FZ502" s="668"/>
      <c r="GA502" s="14"/>
      <c r="GB502" s="658">
        <f t="shared" si="697"/>
        <v>0</v>
      </c>
      <c r="GC502" s="658">
        <f t="shared" si="698"/>
        <v>0</v>
      </c>
      <c r="GD502" s="658">
        <f t="shared" si="699"/>
        <v>0</v>
      </c>
      <c r="GE502" s="658" t="str">
        <f t="shared" si="700"/>
        <v/>
      </c>
      <c r="GF502" s="658" t="str">
        <f t="shared" si="701"/>
        <v/>
      </c>
      <c r="GG502" s="658" t="str">
        <f t="shared" si="702"/>
        <v/>
      </c>
      <c r="GH502" s="658" t="str">
        <f t="shared" si="703"/>
        <v/>
      </c>
      <c r="GI502" s="658" t="str">
        <f t="shared" si="704"/>
        <v/>
      </c>
      <c r="GJ502" s="658" t="str">
        <f t="shared" si="705"/>
        <v/>
      </c>
      <c r="GK502" s="658" t="str">
        <f t="shared" si="706"/>
        <v/>
      </c>
      <c r="GL502" s="658" t="str">
        <f t="shared" si="707"/>
        <v/>
      </c>
      <c r="GM502" s="658" t="str">
        <f t="shared" si="708"/>
        <v/>
      </c>
      <c r="GN502" s="658" t="str">
        <f t="shared" si="709"/>
        <v/>
      </c>
      <c r="GO502" s="658" t="str">
        <f t="shared" si="710"/>
        <v/>
      </c>
      <c r="GP502" s="658" t="str">
        <f t="shared" si="711"/>
        <v/>
      </c>
      <c r="GQ502" s="658" t="str">
        <f t="shared" si="712"/>
        <v/>
      </c>
      <c r="GR502" s="658" t="str">
        <f t="shared" si="713"/>
        <v/>
      </c>
      <c r="GS502" s="658" t="str">
        <f t="shared" si="714"/>
        <v/>
      </c>
      <c r="GT502" s="658">
        <f t="shared" ref="GT502:GT514" si="735">IF(COUNTIF(GE502:GS502,"予定")&gt;0,1,0)</f>
        <v>0</v>
      </c>
      <c r="GU502" s="658">
        <f t="shared" ref="GU502:GU514" si="736">IF(COUNTIF(GE502:GS502,"改善済")&gt;0,1,0)</f>
        <v>0</v>
      </c>
      <c r="GV502" s="658">
        <f t="shared" ref="GV502:GV514" si="737">IF(COUNTIF(GE502:GS502,"未定")&gt;0,1,0)</f>
        <v>0</v>
      </c>
      <c r="GW502" s="658" t="b">
        <f t="shared" ref="GW502:GW514" si="738">(GB502+GT502)&gt;0</f>
        <v>0</v>
      </c>
      <c r="GX502" s="658" t="b">
        <f t="shared" ref="GX502:GX514" si="739">(GC502+GU502)&gt;0</f>
        <v>0</v>
      </c>
      <c r="GY502" s="658" t="b">
        <f t="shared" ref="GY502:GY514" si="740">(GD502+GV502)&gt;0</f>
        <v>0</v>
      </c>
      <c r="GZ502" s="658" t="str">
        <f t="shared" si="557"/>
        <v/>
      </c>
      <c r="HB502" s="658" t="str">
        <f t="shared" si="552"/>
        <v/>
      </c>
      <c r="HC502" s="658" t="str">
        <f t="shared" si="715"/>
        <v/>
      </c>
      <c r="HD502" s="658" t="str">
        <f t="shared" si="716"/>
        <v/>
      </c>
      <c r="HE502" s="658" t="str">
        <f t="shared" si="717"/>
        <v/>
      </c>
      <c r="HF502" s="658" t="str">
        <f t="shared" si="718"/>
        <v/>
      </c>
      <c r="HG502" s="658" t="str">
        <f t="shared" si="719"/>
        <v/>
      </c>
      <c r="HH502" s="658" t="str">
        <f t="shared" si="720"/>
        <v/>
      </c>
      <c r="HI502" s="658" t="str">
        <f t="shared" si="721"/>
        <v/>
      </c>
      <c r="HJ502" s="658" t="str">
        <f t="shared" si="722"/>
        <v/>
      </c>
      <c r="HK502" s="658" t="str">
        <f t="shared" si="723"/>
        <v/>
      </c>
      <c r="HL502" s="658" t="str">
        <f t="shared" si="724"/>
        <v/>
      </c>
      <c r="HM502" s="658" t="str">
        <f t="shared" si="725"/>
        <v/>
      </c>
      <c r="HN502" s="658" t="str">
        <f t="shared" si="726"/>
        <v/>
      </c>
      <c r="HO502" s="658" t="str">
        <f t="shared" si="727"/>
        <v/>
      </c>
      <c r="HP502" s="658" t="str">
        <f t="shared" si="728"/>
        <v/>
      </c>
      <c r="HQ502" s="658" t="str">
        <f t="shared" si="729"/>
        <v/>
      </c>
      <c r="HR502" s="658" t="str">
        <f t="shared" si="553"/>
        <v/>
      </c>
      <c r="HT502" s="658">
        <f>LEFT(M502,1)*10000+MID(M502,3,LEN(M502)-3)*100+COUNTIF($M$319:M502,M502)</f>
        <v>70601</v>
      </c>
      <c r="HU502" s="658" t="str">
        <f t="shared" si="554"/>
        <v/>
      </c>
      <c r="HV502" s="658" t="str">
        <f t="shared" si="730"/>
        <v/>
      </c>
      <c r="HW502" s="658" t="str">
        <f t="shared" si="555"/>
        <v/>
      </c>
      <c r="HX502" s="658" t="str">
        <f t="shared" si="731"/>
        <v/>
      </c>
    </row>
    <row r="503" spans="1:232" s="19" customFormat="1" ht="50.1" customHeight="1" x14ac:dyDescent="0.15">
      <c r="A503" s="1201"/>
      <c r="B503" s="1201"/>
      <c r="C503" s="1201"/>
      <c r="D503" s="1201"/>
      <c r="E503" s="1202"/>
      <c r="F503" s="652"/>
      <c r="G503" s="652"/>
      <c r="H503" s="652"/>
      <c r="I503" s="1354"/>
      <c r="J503" s="1234"/>
      <c r="K503" s="1574"/>
      <c r="L503" s="1574"/>
      <c r="M503" s="2143" t="s">
        <v>1286</v>
      </c>
      <c r="N503" s="2143"/>
      <c r="O503" s="2143"/>
      <c r="P503" s="2687"/>
      <c r="Q503" s="2687"/>
      <c r="R503" s="2687"/>
      <c r="S503" s="2687"/>
      <c r="T503" s="2687"/>
      <c r="U503" s="2435" t="s">
        <v>3053</v>
      </c>
      <c r="V503" s="2435"/>
      <c r="W503" s="2435"/>
      <c r="X503" s="2435"/>
      <c r="Y503" s="2435"/>
      <c r="Z503" s="2435"/>
      <c r="AA503" s="2435"/>
      <c r="AB503" s="2435"/>
      <c r="AC503" s="2435"/>
      <c r="AD503" s="2435"/>
      <c r="AE503" s="2435"/>
      <c r="AF503" s="2282"/>
      <c r="AG503" s="2282"/>
      <c r="AH503" s="2282"/>
      <c r="AI503" s="2282"/>
      <c r="AJ503" s="2282"/>
      <c r="AK503" s="2282"/>
      <c r="AL503" s="2282"/>
      <c r="AM503" s="2282"/>
      <c r="AN503" s="2282"/>
      <c r="AO503" s="2282"/>
      <c r="AP503" s="2282"/>
      <c r="AQ503" s="2282"/>
      <c r="AR503" s="2667"/>
      <c r="AS503" s="2151"/>
      <c r="AT503" s="2292"/>
      <c r="AU503" s="2292"/>
      <c r="AV503" s="2292"/>
      <c r="AW503" s="2292"/>
      <c r="AX503" s="2292"/>
      <c r="AY503" s="2292"/>
      <c r="AZ503" s="2292"/>
      <c r="BA503" s="2292"/>
      <c r="BB503" s="2292"/>
      <c r="BC503" s="2292"/>
      <c r="BD503" s="2292"/>
      <c r="BE503" s="2292"/>
      <c r="BF503" s="2292"/>
      <c r="BG503" s="2292"/>
      <c r="BH503" s="2292"/>
      <c r="BI503" s="2292"/>
      <c r="BJ503" s="2292"/>
      <c r="BK503" s="2292"/>
      <c r="BL503" s="2292"/>
      <c r="BM503" s="2292"/>
      <c r="BN503" s="2292"/>
      <c r="BO503" s="2292"/>
      <c r="BP503" s="2292"/>
      <c r="BQ503" s="2292"/>
      <c r="BR503" s="2292"/>
      <c r="BS503" s="2269"/>
      <c r="BT503" s="2269"/>
      <c r="BU503" s="2269"/>
      <c r="BV503" s="2269"/>
      <c r="BW503" s="2269"/>
      <c r="BX503" s="2269"/>
      <c r="BY503" s="2269"/>
      <c r="BZ503" s="2151"/>
      <c r="CA503" s="2151"/>
      <c r="CB503" s="2881"/>
      <c r="CC503" s="2868"/>
      <c r="CD503" s="2868"/>
      <c r="CE503" s="2868"/>
      <c r="CF503" s="2868"/>
      <c r="CG503" s="2868"/>
      <c r="CH503" s="2868"/>
      <c r="CI503" s="2868"/>
      <c r="CJ503" s="2868"/>
      <c r="CK503" s="2868"/>
      <c r="CL503" s="2868"/>
      <c r="CM503" s="2868"/>
      <c r="CN503" s="2868"/>
      <c r="CO503" s="2868"/>
      <c r="CP503" s="2868"/>
      <c r="CQ503" s="2868"/>
      <c r="CR503" s="2868"/>
      <c r="CS503" s="2868"/>
      <c r="CT503" s="2868"/>
      <c r="CU503" s="2882"/>
      <c r="CV503" s="2300" t="str">
        <f t="shared" ref="CV503:CV506" si="741">IF(AND(DT503="要是正",DU503&lt;21),HYPERLINK("#"&amp;EL503&amp;"!"&amp;EM503&amp;":"&amp;EN503&amp;"","関連写真添付"),"")</f>
        <v/>
      </c>
      <c r="CW503" s="2300"/>
      <c r="CX503" s="2300"/>
      <c r="CY503" s="2300"/>
      <c r="CZ503" s="2300"/>
      <c r="DA503" s="2300"/>
      <c r="DC503" s="329"/>
      <c r="DD503" s="197"/>
      <c r="DF503" s="14"/>
      <c r="DG503" s="14"/>
      <c r="DH503" s="14"/>
      <c r="DI503" s="1596"/>
      <c r="DJ503" s="1170" t="s">
        <v>2749</v>
      </c>
      <c r="DK503" s="1604" t="str">
        <f t="shared" si="660"/>
        <v/>
      </c>
      <c r="DL503" s="437" t="str">
        <f t="shared" si="661"/>
        <v/>
      </c>
      <c r="DM503" s="1128">
        <f t="shared" si="662"/>
        <v>0</v>
      </c>
      <c r="DN503" s="22">
        <f t="shared" si="663"/>
        <v>0</v>
      </c>
      <c r="DO503" s="22">
        <f t="shared" si="664"/>
        <v>0</v>
      </c>
      <c r="DP503" s="264">
        <f t="shared" si="665"/>
        <v>0</v>
      </c>
      <c r="DQ503" s="1134" t="s">
        <v>1286</v>
      </c>
      <c r="DR503" s="263" t="str">
        <f t="shared" si="666"/>
        <v>扉、枠及び金物の劣化及び損傷の状況</v>
      </c>
      <c r="DS503" s="23">
        <f t="shared" si="667"/>
        <v>0</v>
      </c>
      <c r="DT503" s="29" t="str">
        <f t="shared" si="668"/>
        <v/>
      </c>
      <c r="DU503" s="57" t="str">
        <f t="shared" ref="DU503:DU506" si="742">IF(HV503="","",HV503)</f>
        <v/>
      </c>
      <c r="DV503" s="57" t="str">
        <f>IF($DT503="要是正",MAX($DV$492:DV502)+1,"")</f>
        <v/>
      </c>
      <c r="DW503" s="12" t="str">
        <f t="shared" si="670"/>
        <v/>
      </c>
      <c r="DX503" s="30" t="str">
        <f t="shared" si="671"/>
        <v/>
      </c>
      <c r="DY503" s="2054" t="str">
        <f t="shared" si="672"/>
        <v/>
      </c>
      <c r="DZ503" s="46" t="str">
        <f t="shared" si="673"/>
        <v/>
      </c>
      <c r="EA503" s="205" t="str">
        <f t="shared" si="674"/>
        <v/>
      </c>
      <c r="EB503" s="138" t="str">
        <f t="shared" si="675"/>
        <v/>
      </c>
      <c r="EC503" s="131" t="str">
        <f t="shared" ref="EC503:EC506" si="743">IF(EB503="","0",EB503)</f>
        <v>0</v>
      </c>
      <c r="ED503" s="54" t="str">
        <f t="shared" si="677"/>
        <v/>
      </c>
      <c r="EE503" s="131" t="str">
        <f t="shared" ref="EE503:EE506" si="744">IF(ED503=1,EC503,"0")</f>
        <v>0</v>
      </c>
      <c r="EF503" s="37" t="str">
        <f t="shared" si="679"/>
        <v/>
      </c>
      <c r="EG503" s="108" t="str">
        <f t="shared" si="680"/>
        <v/>
      </c>
      <c r="EH503" s="41" t="str">
        <f t="shared" ref="EH503:EH506" si="745">IF(EG503="","0",EG503)</f>
        <v>0</v>
      </c>
      <c r="EI503" s="54" t="str">
        <f t="shared" si="682"/>
        <v/>
      </c>
      <c r="EJ503" s="131" t="str">
        <f t="shared" ref="EJ503:EJ506" si="746">IF(EI503=1,EH503,"0")</f>
        <v>0</v>
      </c>
      <c r="EK503" s="217" t="str">
        <f t="shared" si="684"/>
        <v/>
      </c>
      <c r="EL503" s="242" t="e">
        <f t="shared" si="685"/>
        <v>#N/A</v>
      </c>
      <c r="EM503" s="57" t="e">
        <f t="shared" si="686"/>
        <v>#N/A</v>
      </c>
      <c r="EN503" s="243" t="e">
        <f t="shared" si="687"/>
        <v>#N/A</v>
      </c>
      <c r="FK503" s="326" t="str">
        <f t="shared" si="688"/>
        <v/>
      </c>
      <c r="FL503" s="326" t="str">
        <f t="shared" si="689"/>
        <v/>
      </c>
      <c r="FM503" s="326" t="str">
        <f t="shared" si="690"/>
        <v/>
      </c>
      <c r="FN503" s="326">
        <f t="shared" si="691"/>
        <v>0</v>
      </c>
      <c r="FO503" s="670"/>
      <c r="FQ503" s="138" t="str">
        <f t="shared" si="692"/>
        <v/>
      </c>
      <c r="FR503" s="131" t="str">
        <f t="shared" ref="FR503:FR506" si="747">IF(FQ503="","0",FQ503)</f>
        <v>0</v>
      </c>
      <c r="FS503" s="54" t="str">
        <f t="shared" si="694"/>
        <v/>
      </c>
      <c r="FT503" s="131" t="str">
        <f t="shared" ref="FT503:FT506" si="748">IF(FS503=1,FR503,"0")</f>
        <v>0</v>
      </c>
      <c r="FU503" s="217" t="str">
        <f t="shared" ref="FU503:FU506" si="749">IF(AND(FM503="要是正",AND(FL503=0,DR503="未定")),DR503,"")</f>
        <v/>
      </c>
      <c r="FW503" s="667">
        <f t="shared" si="657"/>
        <v>0</v>
      </c>
      <c r="FX503" s="1134"/>
      <c r="FY503" s="1134"/>
      <c r="FZ503" s="668"/>
      <c r="GA503" s="14"/>
      <c r="GB503" s="658">
        <f t="shared" si="697"/>
        <v>0</v>
      </c>
      <c r="GC503" s="658">
        <f t="shared" si="698"/>
        <v>0</v>
      </c>
      <c r="GD503" s="658">
        <f t="shared" si="699"/>
        <v>0</v>
      </c>
      <c r="GE503" s="658" t="str">
        <f t="shared" si="700"/>
        <v/>
      </c>
      <c r="GF503" s="658" t="str">
        <f t="shared" si="701"/>
        <v/>
      </c>
      <c r="GG503" s="658" t="str">
        <f t="shared" si="702"/>
        <v/>
      </c>
      <c r="GH503" s="658" t="str">
        <f t="shared" si="703"/>
        <v/>
      </c>
      <c r="GI503" s="658" t="str">
        <f t="shared" si="704"/>
        <v/>
      </c>
      <c r="GJ503" s="658" t="str">
        <f t="shared" si="705"/>
        <v/>
      </c>
      <c r="GK503" s="658" t="str">
        <f t="shared" si="706"/>
        <v/>
      </c>
      <c r="GL503" s="658" t="str">
        <f t="shared" si="707"/>
        <v/>
      </c>
      <c r="GM503" s="658" t="str">
        <f t="shared" si="708"/>
        <v/>
      </c>
      <c r="GN503" s="658" t="str">
        <f t="shared" si="709"/>
        <v/>
      </c>
      <c r="GO503" s="658" t="str">
        <f t="shared" si="710"/>
        <v/>
      </c>
      <c r="GP503" s="658" t="str">
        <f t="shared" si="711"/>
        <v/>
      </c>
      <c r="GQ503" s="658" t="str">
        <f t="shared" si="712"/>
        <v/>
      </c>
      <c r="GR503" s="658" t="str">
        <f t="shared" si="713"/>
        <v/>
      </c>
      <c r="GS503" s="658" t="str">
        <f t="shared" si="714"/>
        <v/>
      </c>
      <c r="GT503" s="658">
        <f t="shared" ref="GT503:GT506" si="750">IF(COUNTIF(GE503:GS503,"予定")&gt;0,1,0)</f>
        <v>0</v>
      </c>
      <c r="GU503" s="658">
        <f t="shared" ref="GU503:GU506" si="751">IF(COUNTIF(GE503:GS503,"改善済")&gt;0,1,0)</f>
        <v>0</v>
      </c>
      <c r="GV503" s="658">
        <f t="shared" ref="GV503:GV506" si="752">IF(COUNTIF(GE503:GS503,"未定")&gt;0,1,0)</f>
        <v>0</v>
      </c>
      <c r="GW503" s="658" t="b">
        <f t="shared" ref="GW503:GW506" si="753">(GB503+GT503)&gt;0</f>
        <v>0</v>
      </c>
      <c r="GX503" s="658" t="b">
        <f t="shared" ref="GX503:GX506" si="754">(GC503+GU503)&gt;0</f>
        <v>0</v>
      </c>
      <c r="GY503" s="658" t="b">
        <f t="shared" ref="GY503:GY506" si="755">(GD503+GV503)&gt;0</f>
        <v>0</v>
      </c>
      <c r="GZ503" s="658" t="str">
        <f t="shared" ref="GZ503:GZ506" si="756">IF(GW503,"有",IF(GY503,"無",""))&amp;IF(GX503,IF(OR(GW503,GY503),"（一部改善済）","改善済"),"")</f>
        <v/>
      </c>
      <c r="HB503" s="658" t="str">
        <f t="shared" ref="HB503:HB506" si="757">IF(FW503=0,"",FW503&amp;", ")</f>
        <v/>
      </c>
      <c r="HC503" s="658" t="str">
        <f t="shared" si="715"/>
        <v/>
      </c>
      <c r="HD503" s="658" t="str">
        <f t="shared" si="716"/>
        <v/>
      </c>
      <c r="HE503" s="658" t="str">
        <f t="shared" si="717"/>
        <v/>
      </c>
      <c r="HF503" s="658" t="str">
        <f t="shared" si="718"/>
        <v/>
      </c>
      <c r="HG503" s="658" t="str">
        <f t="shared" si="719"/>
        <v/>
      </c>
      <c r="HH503" s="658" t="str">
        <f t="shared" si="720"/>
        <v/>
      </c>
      <c r="HI503" s="658" t="str">
        <f t="shared" si="721"/>
        <v/>
      </c>
      <c r="HJ503" s="658" t="str">
        <f t="shared" si="722"/>
        <v/>
      </c>
      <c r="HK503" s="658" t="str">
        <f t="shared" si="723"/>
        <v/>
      </c>
      <c r="HL503" s="658" t="str">
        <f t="shared" si="724"/>
        <v/>
      </c>
      <c r="HM503" s="658" t="str">
        <f t="shared" si="725"/>
        <v/>
      </c>
      <c r="HN503" s="658" t="str">
        <f t="shared" si="726"/>
        <v/>
      </c>
      <c r="HO503" s="658" t="str">
        <f t="shared" si="727"/>
        <v/>
      </c>
      <c r="HP503" s="658" t="str">
        <f t="shared" si="728"/>
        <v/>
      </c>
      <c r="HQ503" s="658" t="str">
        <f t="shared" si="729"/>
        <v/>
      </c>
      <c r="HR503" s="658" t="str">
        <f t="shared" ref="HR503:HR506" si="758">CONCATENATE(HB503,HC503,HD503,HE503,HF503,HG503,HH503,HI503,HJ503,HK503,HL503,HM503,HN503,HO503,HP503,HQ503)</f>
        <v/>
      </c>
      <c r="HT503" s="658">
        <f>LEFT(M503,1)*10000+MID(M503,3,LEN(M503)-3)*100+COUNTIF($M$319:M503,M503)</f>
        <v>70701</v>
      </c>
      <c r="HU503" s="658" t="str">
        <f t="shared" si="554"/>
        <v/>
      </c>
      <c r="HV503" s="658" t="str">
        <f t="shared" si="730"/>
        <v/>
      </c>
      <c r="HW503" s="658" t="str">
        <f t="shared" si="555"/>
        <v/>
      </c>
      <c r="HX503" s="658" t="str">
        <f t="shared" si="731"/>
        <v/>
      </c>
    </row>
    <row r="504" spans="1:232" s="19" customFormat="1" ht="50.1" customHeight="1" x14ac:dyDescent="0.15">
      <c r="A504" s="1201"/>
      <c r="B504" s="1201"/>
      <c r="C504" s="1201"/>
      <c r="D504" s="1201"/>
      <c r="E504" s="1202"/>
      <c r="F504" s="652"/>
      <c r="G504" s="652"/>
      <c r="H504" s="652"/>
      <c r="I504" s="1354"/>
      <c r="J504" s="1234"/>
      <c r="K504" s="1574"/>
      <c r="L504" s="1574"/>
      <c r="M504" s="2143" t="s">
        <v>1287</v>
      </c>
      <c r="N504" s="2143"/>
      <c r="O504" s="2143"/>
      <c r="P504" s="2687"/>
      <c r="Q504" s="2687"/>
      <c r="R504" s="2687"/>
      <c r="S504" s="2687"/>
      <c r="T504" s="2687"/>
      <c r="U504" s="2435" t="s">
        <v>3054</v>
      </c>
      <c r="V504" s="2435"/>
      <c r="W504" s="2435"/>
      <c r="X504" s="2435"/>
      <c r="Y504" s="2435"/>
      <c r="Z504" s="2435"/>
      <c r="AA504" s="2435"/>
      <c r="AB504" s="2435"/>
      <c r="AC504" s="2435"/>
      <c r="AD504" s="2435"/>
      <c r="AE504" s="2435"/>
      <c r="AF504" s="2282"/>
      <c r="AG504" s="2282"/>
      <c r="AH504" s="2282"/>
      <c r="AI504" s="2282"/>
      <c r="AJ504" s="2282"/>
      <c r="AK504" s="2282"/>
      <c r="AL504" s="2282"/>
      <c r="AM504" s="2282"/>
      <c r="AN504" s="2282"/>
      <c r="AO504" s="2282"/>
      <c r="AP504" s="2282"/>
      <c r="AQ504" s="2282"/>
      <c r="AR504" s="2667"/>
      <c r="AS504" s="2151"/>
      <c r="AT504" s="2491"/>
      <c r="AU504" s="2492"/>
      <c r="AV504" s="2492"/>
      <c r="AW504" s="2492"/>
      <c r="AX504" s="2492"/>
      <c r="AY504" s="2492"/>
      <c r="AZ504" s="2492"/>
      <c r="BA504" s="2492"/>
      <c r="BB504" s="2492"/>
      <c r="BC504" s="2493"/>
      <c r="BD504" s="2292"/>
      <c r="BE504" s="2292"/>
      <c r="BF504" s="2292"/>
      <c r="BG504" s="2292"/>
      <c r="BH504" s="2292"/>
      <c r="BI504" s="2292"/>
      <c r="BJ504" s="2292"/>
      <c r="BK504" s="2292"/>
      <c r="BL504" s="2292"/>
      <c r="BM504" s="2292"/>
      <c r="BN504" s="2292"/>
      <c r="BO504" s="2292"/>
      <c r="BP504" s="2292"/>
      <c r="BQ504" s="2292"/>
      <c r="BR504" s="2292"/>
      <c r="BS504" s="2269"/>
      <c r="BT504" s="2269"/>
      <c r="BU504" s="2269"/>
      <c r="BV504" s="2269"/>
      <c r="BW504" s="2269"/>
      <c r="BX504" s="2269"/>
      <c r="BY504" s="2269"/>
      <c r="BZ504" s="2151"/>
      <c r="CA504" s="2151"/>
      <c r="CB504" s="2881"/>
      <c r="CC504" s="2868"/>
      <c r="CD504" s="2868"/>
      <c r="CE504" s="2868"/>
      <c r="CF504" s="2868"/>
      <c r="CG504" s="2868"/>
      <c r="CH504" s="2868"/>
      <c r="CI504" s="2868"/>
      <c r="CJ504" s="2868"/>
      <c r="CK504" s="2868"/>
      <c r="CL504" s="2868"/>
      <c r="CM504" s="2868"/>
      <c r="CN504" s="2868"/>
      <c r="CO504" s="2868"/>
      <c r="CP504" s="2868"/>
      <c r="CQ504" s="2868"/>
      <c r="CR504" s="2868"/>
      <c r="CS504" s="2868"/>
      <c r="CT504" s="2868"/>
      <c r="CU504" s="2882"/>
      <c r="CV504" s="2300" t="str">
        <f t="shared" si="741"/>
        <v/>
      </c>
      <c r="CW504" s="2300"/>
      <c r="CX504" s="2300"/>
      <c r="CY504" s="2300"/>
      <c r="CZ504" s="2300"/>
      <c r="DA504" s="2300"/>
      <c r="DC504" s="329"/>
      <c r="DD504" s="197"/>
      <c r="DF504" s="14"/>
      <c r="DG504" s="14"/>
      <c r="DH504" s="14"/>
      <c r="DI504" s="1596"/>
      <c r="DJ504" s="1170" t="s">
        <v>2749</v>
      </c>
      <c r="DK504" s="1604" t="str">
        <f t="shared" si="660"/>
        <v/>
      </c>
      <c r="DL504" s="437" t="str">
        <f t="shared" si="661"/>
        <v/>
      </c>
      <c r="DM504" s="1128">
        <f t="shared" si="662"/>
        <v>0</v>
      </c>
      <c r="DN504" s="22">
        <f t="shared" si="663"/>
        <v>0</v>
      </c>
      <c r="DO504" s="22">
        <f t="shared" si="664"/>
        <v>0</v>
      </c>
      <c r="DP504" s="264">
        <f t="shared" si="665"/>
        <v>0</v>
      </c>
      <c r="DQ504" s="1134" t="s">
        <v>1287</v>
      </c>
      <c r="DR504" s="263" t="str">
        <f t="shared" si="666"/>
        <v>閉鎖又は作動の障害となる物品の放置並びに照明器具及び懸垂物等の状況</v>
      </c>
      <c r="DS504" s="23">
        <f t="shared" si="667"/>
        <v>0</v>
      </c>
      <c r="DT504" s="29" t="str">
        <f t="shared" si="668"/>
        <v/>
      </c>
      <c r="DU504" s="57" t="str">
        <f t="shared" si="742"/>
        <v/>
      </c>
      <c r="DV504" s="57" t="str">
        <f>IF($DT504="要是正",MAX($DV$492:DV503)+1,"")</f>
        <v/>
      </c>
      <c r="DW504" s="12" t="str">
        <f t="shared" si="670"/>
        <v/>
      </c>
      <c r="DX504" s="30" t="str">
        <f t="shared" si="671"/>
        <v/>
      </c>
      <c r="DY504" s="2054" t="str">
        <f t="shared" si="672"/>
        <v/>
      </c>
      <c r="DZ504" s="46" t="str">
        <f t="shared" si="673"/>
        <v/>
      </c>
      <c r="EA504" s="205" t="str">
        <f t="shared" si="674"/>
        <v/>
      </c>
      <c r="EB504" s="138" t="str">
        <f t="shared" si="675"/>
        <v/>
      </c>
      <c r="EC504" s="131" t="str">
        <f t="shared" si="743"/>
        <v>0</v>
      </c>
      <c r="ED504" s="54" t="str">
        <f t="shared" si="677"/>
        <v/>
      </c>
      <c r="EE504" s="131" t="str">
        <f t="shared" si="744"/>
        <v>0</v>
      </c>
      <c r="EF504" s="37" t="str">
        <f t="shared" si="679"/>
        <v/>
      </c>
      <c r="EG504" s="108" t="str">
        <f t="shared" si="680"/>
        <v/>
      </c>
      <c r="EH504" s="41" t="str">
        <f t="shared" si="745"/>
        <v>0</v>
      </c>
      <c r="EI504" s="54" t="str">
        <f t="shared" si="682"/>
        <v/>
      </c>
      <c r="EJ504" s="131" t="str">
        <f t="shared" si="746"/>
        <v>0</v>
      </c>
      <c r="EK504" s="217" t="str">
        <f t="shared" si="684"/>
        <v/>
      </c>
      <c r="EL504" s="242" t="e">
        <f t="shared" si="685"/>
        <v>#N/A</v>
      </c>
      <c r="EM504" s="57" t="e">
        <f t="shared" si="686"/>
        <v>#N/A</v>
      </c>
      <c r="EN504" s="243" t="e">
        <f t="shared" si="687"/>
        <v>#N/A</v>
      </c>
      <c r="FK504" s="326" t="str">
        <f t="shared" si="688"/>
        <v/>
      </c>
      <c r="FL504" s="326" t="str">
        <f t="shared" si="689"/>
        <v/>
      </c>
      <c r="FM504" s="326" t="str">
        <f t="shared" si="690"/>
        <v/>
      </c>
      <c r="FN504" s="326">
        <f t="shared" si="691"/>
        <v>0</v>
      </c>
      <c r="FO504" s="670"/>
      <c r="FQ504" s="138" t="str">
        <f t="shared" si="692"/>
        <v/>
      </c>
      <c r="FR504" s="131" t="str">
        <f t="shared" si="747"/>
        <v>0</v>
      </c>
      <c r="FS504" s="54" t="str">
        <f t="shared" si="694"/>
        <v/>
      </c>
      <c r="FT504" s="131" t="str">
        <f t="shared" si="748"/>
        <v>0</v>
      </c>
      <c r="FU504" s="217" t="str">
        <f t="shared" si="749"/>
        <v/>
      </c>
      <c r="FW504" s="667">
        <f t="shared" si="657"/>
        <v>0</v>
      </c>
      <c r="FX504" s="1134"/>
      <c r="FY504" s="1134"/>
      <c r="FZ504" s="668"/>
      <c r="GA504" s="14"/>
      <c r="GB504" s="658">
        <f t="shared" si="697"/>
        <v>0</v>
      </c>
      <c r="GC504" s="658">
        <f t="shared" si="698"/>
        <v>0</v>
      </c>
      <c r="GD504" s="658">
        <f t="shared" si="699"/>
        <v>0</v>
      </c>
      <c r="GE504" s="658" t="str">
        <f t="shared" si="700"/>
        <v/>
      </c>
      <c r="GF504" s="658" t="str">
        <f t="shared" si="701"/>
        <v/>
      </c>
      <c r="GG504" s="658" t="str">
        <f t="shared" si="702"/>
        <v/>
      </c>
      <c r="GH504" s="658" t="str">
        <f t="shared" si="703"/>
        <v/>
      </c>
      <c r="GI504" s="658" t="str">
        <f t="shared" si="704"/>
        <v/>
      </c>
      <c r="GJ504" s="658" t="str">
        <f t="shared" si="705"/>
        <v/>
      </c>
      <c r="GK504" s="658" t="str">
        <f t="shared" si="706"/>
        <v/>
      </c>
      <c r="GL504" s="658" t="str">
        <f t="shared" si="707"/>
        <v/>
      </c>
      <c r="GM504" s="658" t="str">
        <f t="shared" si="708"/>
        <v/>
      </c>
      <c r="GN504" s="658" t="str">
        <f t="shared" si="709"/>
        <v/>
      </c>
      <c r="GO504" s="658" t="str">
        <f t="shared" si="710"/>
        <v/>
      </c>
      <c r="GP504" s="658" t="str">
        <f t="shared" si="711"/>
        <v/>
      </c>
      <c r="GQ504" s="658" t="str">
        <f t="shared" si="712"/>
        <v/>
      </c>
      <c r="GR504" s="658" t="str">
        <f t="shared" si="713"/>
        <v/>
      </c>
      <c r="GS504" s="658" t="str">
        <f t="shared" si="714"/>
        <v/>
      </c>
      <c r="GT504" s="658">
        <f t="shared" si="750"/>
        <v>0</v>
      </c>
      <c r="GU504" s="658">
        <f t="shared" si="751"/>
        <v>0</v>
      </c>
      <c r="GV504" s="658">
        <f t="shared" si="752"/>
        <v>0</v>
      </c>
      <c r="GW504" s="658" t="b">
        <f t="shared" si="753"/>
        <v>0</v>
      </c>
      <c r="GX504" s="658" t="b">
        <f t="shared" si="754"/>
        <v>0</v>
      </c>
      <c r="GY504" s="658" t="b">
        <f t="shared" si="755"/>
        <v>0</v>
      </c>
      <c r="GZ504" s="658" t="str">
        <f t="shared" si="756"/>
        <v/>
      </c>
      <c r="HB504" s="658" t="str">
        <f t="shared" si="757"/>
        <v/>
      </c>
      <c r="HC504" s="658" t="str">
        <f t="shared" si="715"/>
        <v/>
      </c>
      <c r="HD504" s="658" t="str">
        <f t="shared" si="716"/>
        <v/>
      </c>
      <c r="HE504" s="658" t="str">
        <f t="shared" si="717"/>
        <v/>
      </c>
      <c r="HF504" s="658" t="str">
        <f t="shared" si="718"/>
        <v/>
      </c>
      <c r="HG504" s="658" t="str">
        <f t="shared" si="719"/>
        <v/>
      </c>
      <c r="HH504" s="658" t="str">
        <f t="shared" si="720"/>
        <v/>
      </c>
      <c r="HI504" s="658" t="str">
        <f t="shared" si="721"/>
        <v/>
      </c>
      <c r="HJ504" s="658" t="str">
        <f t="shared" si="722"/>
        <v/>
      </c>
      <c r="HK504" s="658" t="str">
        <f t="shared" si="723"/>
        <v/>
      </c>
      <c r="HL504" s="658" t="str">
        <f t="shared" si="724"/>
        <v/>
      </c>
      <c r="HM504" s="658" t="str">
        <f t="shared" si="725"/>
        <v/>
      </c>
      <c r="HN504" s="658" t="str">
        <f t="shared" si="726"/>
        <v/>
      </c>
      <c r="HO504" s="658" t="str">
        <f t="shared" si="727"/>
        <v/>
      </c>
      <c r="HP504" s="658" t="str">
        <f t="shared" si="728"/>
        <v/>
      </c>
      <c r="HQ504" s="658" t="str">
        <f t="shared" si="729"/>
        <v/>
      </c>
      <c r="HR504" s="658" t="str">
        <f t="shared" si="758"/>
        <v/>
      </c>
      <c r="HT504" s="658">
        <f>LEFT(M504,1)*10000+MID(M504,3,LEN(M504)-3)*100+COUNTIF($M$319:M504,M504)</f>
        <v>70801</v>
      </c>
      <c r="HU504" s="658" t="str">
        <f t="shared" si="554"/>
        <v/>
      </c>
      <c r="HV504" s="658" t="str">
        <f t="shared" si="730"/>
        <v/>
      </c>
      <c r="HW504" s="658" t="str">
        <f t="shared" si="555"/>
        <v/>
      </c>
      <c r="HX504" s="658" t="str">
        <f t="shared" si="731"/>
        <v/>
      </c>
    </row>
    <row r="505" spans="1:232" s="19" customFormat="1" ht="50.1" customHeight="1" x14ac:dyDescent="0.15">
      <c r="A505" s="1201"/>
      <c r="B505" s="1201"/>
      <c r="C505" s="1201"/>
      <c r="D505" s="1201"/>
      <c r="E505" s="1202"/>
      <c r="F505" s="652"/>
      <c r="G505" s="652"/>
      <c r="H505" s="652"/>
      <c r="I505" s="1354"/>
      <c r="J505" s="1234"/>
      <c r="K505" s="1574"/>
      <c r="L505" s="1574"/>
      <c r="M505" s="2143" t="s">
        <v>1288</v>
      </c>
      <c r="N505" s="2143"/>
      <c r="O505" s="2143"/>
      <c r="P505" s="2687"/>
      <c r="Q505" s="2687"/>
      <c r="R505" s="2687"/>
      <c r="S505" s="2687"/>
      <c r="T505" s="2687"/>
      <c r="U505" s="2435" t="s">
        <v>3055</v>
      </c>
      <c r="V505" s="2435"/>
      <c r="W505" s="2435"/>
      <c r="X505" s="2435"/>
      <c r="Y505" s="2435"/>
      <c r="Z505" s="2435"/>
      <c r="AA505" s="2435"/>
      <c r="AB505" s="2435"/>
      <c r="AC505" s="2435"/>
      <c r="AD505" s="2435"/>
      <c r="AE505" s="2435"/>
      <c r="AF505" s="2282"/>
      <c r="AG505" s="2282"/>
      <c r="AH505" s="2282"/>
      <c r="AI505" s="2282"/>
      <c r="AJ505" s="2282"/>
      <c r="AK505" s="2282"/>
      <c r="AL505" s="2282"/>
      <c r="AM505" s="2282"/>
      <c r="AN505" s="2282"/>
      <c r="AO505" s="2282"/>
      <c r="AP505" s="2282"/>
      <c r="AQ505" s="2282"/>
      <c r="AR505" s="2667"/>
      <c r="AS505" s="2151"/>
      <c r="AT505" s="2292"/>
      <c r="AU505" s="2292"/>
      <c r="AV505" s="2292"/>
      <c r="AW505" s="2292"/>
      <c r="AX505" s="2292"/>
      <c r="AY505" s="2292"/>
      <c r="AZ505" s="2292"/>
      <c r="BA505" s="2292"/>
      <c r="BB505" s="2292"/>
      <c r="BC505" s="2292"/>
      <c r="BD505" s="2292"/>
      <c r="BE505" s="2292"/>
      <c r="BF505" s="2292"/>
      <c r="BG505" s="2292"/>
      <c r="BH505" s="2292"/>
      <c r="BI505" s="2292"/>
      <c r="BJ505" s="2292"/>
      <c r="BK505" s="2292"/>
      <c r="BL505" s="2292"/>
      <c r="BM505" s="2292"/>
      <c r="BN505" s="2292"/>
      <c r="BO505" s="2292"/>
      <c r="BP505" s="2292"/>
      <c r="BQ505" s="2292"/>
      <c r="BR505" s="2292"/>
      <c r="BS505" s="2269"/>
      <c r="BT505" s="2269"/>
      <c r="BU505" s="2269"/>
      <c r="BV505" s="2269"/>
      <c r="BW505" s="2269"/>
      <c r="BX505" s="2269"/>
      <c r="BY505" s="2269"/>
      <c r="BZ505" s="2151"/>
      <c r="CA505" s="2151"/>
      <c r="CB505" s="2881"/>
      <c r="CC505" s="2868"/>
      <c r="CD505" s="2868"/>
      <c r="CE505" s="2868"/>
      <c r="CF505" s="2868"/>
      <c r="CG505" s="2868"/>
      <c r="CH505" s="2868"/>
      <c r="CI505" s="2868"/>
      <c r="CJ505" s="2868"/>
      <c r="CK505" s="2868"/>
      <c r="CL505" s="2868"/>
      <c r="CM505" s="2868"/>
      <c r="CN505" s="2868"/>
      <c r="CO505" s="2868"/>
      <c r="CP505" s="2868"/>
      <c r="CQ505" s="2868"/>
      <c r="CR505" s="2868"/>
      <c r="CS505" s="2868"/>
      <c r="CT505" s="2868"/>
      <c r="CU505" s="2882"/>
      <c r="CV505" s="2300" t="str">
        <f t="shared" si="741"/>
        <v/>
      </c>
      <c r="CW505" s="2300"/>
      <c r="CX505" s="2300"/>
      <c r="CY505" s="2300"/>
      <c r="CZ505" s="2300"/>
      <c r="DA505" s="2300"/>
      <c r="DC505" s="329"/>
      <c r="DD505" s="197"/>
      <c r="DF505" s="14"/>
      <c r="DG505" s="14"/>
      <c r="DH505" s="14"/>
      <c r="DI505" s="1596"/>
      <c r="DJ505" s="1170" t="s">
        <v>2749</v>
      </c>
      <c r="DK505" s="1604" t="str">
        <f t="shared" si="660"/>
        <v/>
      </c>
      <c r="DL505" s="437" t="str">
        <f t="shared" si="661"/>
        <v/>
      </c>
      <c r="DM505" s="1128">
        <f t="shared" si="662"/>
        <v>0</v>
      </c>
      <c r="DN505" s="22">
        <f t="shared" si="663"/>
        <v>0</v>
      </c>
      <c r="DO505" s="22">
        <f t="shared" si="664"/>
        <v>0</v>
      </c>
      <c r="DP505" s="264">
        <f t="shared" si="665"/>
        <v>0</v>
      </c>
      <c r="DQ505" s="1134" t="s">
        <v>1288</v>
      </c>
      <c r="DR505" s="263" t="str">
        <f t="shared" si="666"/>
        <v>扉の取付けの状況</v>
      </c>
      <c r="DS505" s="23">
        <f t="shared" si="667"/>
        <v>0</v>
      </c>
      <c r="DT505" s="29" t="str">
        <f t="shared" si="668"/>
        <v/>
      </c>
      <c r="DU505" s="57" t="str">
        <f t="shared" si="742"/>
        <v/>
      </c>
      <c r="DV505" s="57" t="str">
        <f>IF($DT505="要是正",MAX($DV$492:DV504)+1,"")</f>
        <v/>
      </c>
      <c r="DW505" s="12" t="str">
        <f t="shared" si="670"/>
        <v/>
      </c>
      <c r="DX505" s="30" t="str">
        <f t="shared" si="671"/>
        <v/>
      </c>
      <c r="DY505" s="2054" t="str">
        <f t="shared" si="672"/>
        <v/>
      </c>
      <c r="DZ505" s="46" t="str">
        <f t="shared" si="673"/>
        <v/>
      </c>
      <c r="EA505" s="205" t="str">
        <f t="shared" si="674"/>
        <v/>
      </c>
      <c r="EB505" s="138" t="str">
        <f t="shared" si="675"/>
        <v/>
      </c>
      <c r="EC505" s="131" t="str">
        <f t="shared" si="743"/>
        <v>0</v>
      </c>
      <c r="ED505" s="54" t="str">
        <f t="shared" si="677"/>
        <v/>
      </c>
      <c r="EE505" s="131" t="str">
        <f t="shared" si="744"/>
        <v>0</v>
      </c>
      <c r="EF505" s="37" t="str">
        <f t="shared" si="679"/>
        <v/>
      </c>
      <c r="EG505" s="108" t="str">
        <f t="shared" si="680"/>
        <v/>
      </c>
      <c r="EH505" s="41" t="str">
        <f t="shared" si="745"/>
        <v>0</v>
      </c>
      <c r="EI505" s="54" t="str">
        <f t="shared" si="682"/>
        <v/>
      </c>
      <c r="EJ505" s="131" t="str">
        <f t="shared" si="746"/>
        <v>0</v>
      </c>
      <c r="EK505" s="217" t="str">
        <f t="shared" si="684"/>
        <v/>
      </c>
      <c r="EL505" s="242" t="e">
        <f t="shared" si="685"/>
        <v>#N/A</v>
      </c>
      <c r="EM505" s="57" t="e">
        <f t="shared" si="686"/>
        <v>#N/A</v>
      </c>
      <c r="EN505" s="243" t="e">
        <f t="shared" si="687"/>
        <v>#N/A</v>
      </c>
      <c r="FK505" s="326" t="str">
        <f t="shared" si="688"/>
        <v/>
      </c>
      <c r="FL505" s="326" t="str">
        <f t="shared" si="689"/>
        <v/>
      </c>
      <c r="FM505" s="326" t="str">
        <f t="shared" si="690"/>
        <v/>
      </c>
      <c r="FN505" s="326">
        <f t="shared" si="691"/>
        <v>0</v>
      </c>
      <c r="FO505" s="670"/>
      <c r="FQ505" s="138" t="str">
        <f t="shared" si="692"/>
        <v/>
      </c>
      <c r="FR505" s="131" t="str">
        <f t="shared" si="747"/>
        <v>0</v>
      </c>
      <c r="FS505" s="54" t="str">
        <f t="shared" si="694"/>
        <v/>
      </c>
      <c r="FT505" s="131" t="str">
        <f t="shared" si="748"/>
        <v>0</v>
      </c>
      <c r="FU505" s="217" t="str">
        <f t="shared" si="749"/>
        <v/>
      </c>
      <c r="FW505" s="667">
        <f t="shared" si="657"/>
        <v>0</v>
      </c>
      <c r="FX505" s="1134"/>
      <c r="FY505" s="1134"/>
      <c r="FZ505" s="668"/>
      <c r="GA505" s="14"/>
      <c r="GB505" s="658">
        <f t="shared" si="697"/>
        <v>0</v>
      </c>
      <c r="GC505" s="658">
        <f t="shared" si="698"/>
        <v>0</v>
      </c>
      <c r="GD505" s="658">
        <f t="shared" si="699"/>
        <v>0</v>
      </c>
      <c r="GE505" s="658" t="str">
        <f t="shared" si="700"/>
        <v/>
      </c>
      <c r="GF505" s="658" t="str">
        <f t="shared" si="701"/>
        <v/>
      </c>
      <c r="GG505" s="658" t="str">
        <f t="shared" si="702"/>
        <v/>
      </c>
      <c r="GH505" s="658" t="str">
        <f t="shared" si="703"/>
        <v/>
      </c>
      <c r="GI505" s="658" t="str">
        <f t="shared" si="704"/>
        <v/>
      </c>
      <c r="GJ505" s="658" t="str">
        <f t="shared" si="705"/>
        <v/>
      </c>
      <c r="GK505" s="658" t="str">
        <f t="shared" si="706"/>
        <v/>
      </c>
      <c r="GL505" s="658" t="str">
        <f t="shared" si="707"/>
        <v/>
      </c>
      <c r="GM505" s="658" t="str">
        <f t="shared" si="708"/>
        <v/>
      </c>
      <c r="GN505" s="658" t="str">
        <f t="shared" si="709"/>
        <v/>
      </c>
      <c r="GO505" s="658" t="str">
        <f t="shared" si="710"/>
        <v/>
      </c>
      <c r="GP505" s="658" t="str">
        <f t="shared" si="711"/>
        <v/>
      </c>
      <c r="GQ505" s="658" t="str">
        <f t="shared" si="712"/>
        <v/>
      </c>
      <c r="GR505" s="658" t="str">
        <f t="shared" si="713"/>
        <v/>
      </c>
      <c r="GS505" s="658" t="str">
        <f t="shared" si="714"/>
        <v/>
      </c>
      <c r="GT505" s="658">
        <f t="shared" si="750"/>
        <v>0</v>
      </c>
      <c r="GU505" s="658">
        <f t="shared" si="751"/>
        <v>0</v>
      </c>
      <c r="GV505" s="658">
        <f t="shared" si="752"/>
        <v>0</v>
      </c>
      <c r="GW505" s="658" t="b">
        <f t="shared" si="753"/>
        <v>0</v>
      </c>
      <c r="GX505" s="658" t="b">
        <f t="shared" si="754"/>
        <v>0</v>
      </c>
      <c r="GY505" s="658" t="b">
        <f t="shared" si="755"/>
        <v>0</v>
      </c>
      <c r="GZ505" s="658" t="str">
        <f t="shared" si="756"/>
        <v/>
      </c>
      <c r="HB505" s="658" t="str">
        <f t="shared" si="757"/>
        <v/>
      </c>
      <c r="HC505" s="658" t="str">
        <f t="shared" si="715"/>
        <v/>
      </c>
      <c r="HD505" s="658" t="str">
        <f t="shared" si="716"/>
        <v/>
      </c>
      <c r="HE505" s="658" t="str">
        <f t="shared" si="717"/>
        <v/>
      </c>
      <c r="HF505" s="658" t="str">
        <f t="shared" si="718"/>
        <v/>
      </c>
      <c r="HG505" s="658" t="str">
        <f t="shared" si="719"/>
        <v/>
      </c>
      <c r="HH505" s="658" t="str">
        <f t="shared" si="720"/>
        <v/>
      </c>
      <c r="HI505" s="658" t="str">
        <f t="shared" si="721"/>
        <v/>
      </c>
      <c r="HJ505" s="658" t="str">
        <f t="shared" si="722"/>
        <v/>
      </c>
      <c r="HK505" s="658" t="str">
        <f t="shared" si="723"/>
        <v/>
      </c>
      <c r="HL505" s="658" t="str">
        <f t="shared" si="724"/>
        <v/>
      </c>
      <c r="HM505" s="658" t="str">
        <f t="shared" si="725"/>
        <v/>
      </c>
      <c r="HN505" s="658" t="str">
        <f t="shared" si="726"/>
        <v/>
      </c>
      <c r="HO505" s="658" t="str">
        <f t="shared" si="727"/>
        <v/>
      </c>
      <c r="HP505" s="658" t="str">
        <f t="shared" si="728"/>
        <v/>
      </c>
      <c r="HQ505" s="658" t="str">
        <f t="shared" si="729"/>
        <v/>
      </c>
      <c r="HR505" s="658" t="str">
        <f t="shared" si="758"/>
        <v/>
      </c>
      <c r="HT505" s="658">
        <f>LEFT(M505,1)*10000+MID(M505,3,LEN(M505)-3)*100+COUNTIF($M$319:M505,M505)</f>
        <v>70901</v>
      </c>
      <c r="HU505" s="658" t="str">
        <f t="shared" si="554"/>
        <v/>
      </c>
      <c r="HV505" s="658" t="str">
        <f t="shared" si="730"/>
        <v/>
      </c>
      <c r="HW505" s="658" t="str">
        <f t="shared" si="555"/>
        <v/>
      </c>
      <c r="HX505" s="658" t="str">
        <f t="shared" si="731"/>
        <v/>
      </c>
    </row>
    <row r="506" spans="1:232" s="19" customFormat="1" ht="50.1" customHeight="1" x14ac:dyDescent="0.15">
      <c r="A506" s="1201"/>
      <c r="B506" s="1201"/>
      <c r="C506" s="1201"/>
      <c r="D506" s="1201"/>
      <c r="E506" s="1202"/>
      <c r="F506" s="652"/>
      <c r="G506" s="652"/>
      <c r="H506" s="652"/>
      <c r="I506" s="1354"/>
      <c r="J506" s="1234"/>
      <c r="K506" s="1574"/>
      <c r="L506" s="1574"/>
      <c r="M506" s="2143" t="s">
        <v>1289</v>
      </c>
      <c r="N506" s="2143"/>
      <c r="O506" s="2143"/>
      <c r="P506" s="2688"/>
      <c r="Q506" s="2688"/>
      <c r="R506" s="2688"/>
      <c r="S506" s="2688"/>
      <c r="T506" s="2688"/>
      <c r="U506" s="2435" t="s">
        <v>3056</v>
      </c>
      <c r="V506" s="2435"/>
      <c r="W506" s="2435"/>
      <c r="X506" s="2435"/>
      <c r="Y506" s="2435"/>
      <c r="Z506" s="2435"/>
      <c r="AA506" s="2435"/>
      <c r="AB506" s="2435"/>
      <c r="AC506" s="2435"/>
      <c r="AD506" s="2435"/>
      <c r="AE506" s="2435"/>
      <c r="AF506" s="2282"/>
      <c r="AG506" s="2282"/>
      <c r="AH506" s="2282"/>
      <c r="AI506" s="2282"/>
      <c r="AJ506" s="2282"/>
      <c r="AK506" s="2282"/>
      <c r="AL506" s="2282"/>
      <c r="AM506" s="2282"/>
      <c r="AN506" s="2282"/>
      <c r="AO506" s="2282"/>
      <c r="AP506" s="2282"/>
      <c r="AQ506" s="2282"/>
      <c r="AR506" s="2667"/>
      <c r="AS506" s="2151"/>
      <c r="AT506" s="2292"/>
      <c r="AU506" s="2292"/>
      <c r="AV506" s="2292"/>
      <c r="AW506" s="2292"/>
      <c r="AX506" s="2292"/>
      <c r="AY506" s="2292"/>
      <c r="AZ506" s="2292"/>
      <c r="BA506" s="2292"/>
      <c r="BB506" s="2292"/>
      <c r="BC506" s="2292"/>
      <c r="BD506" s="2292"/>
      <c r="BE506" s="2292"/>
      <c r="BF506" s="2292"/>
      <c r="BG506" s="2292"/>
      <c r="BH506" s="2292"/>
      <c r="BI506" s="2292"/>
      <c r="BJ506" s="2292"/>
      <c r="BK506" s="2292"/>
      <c r="BL506" s="2292"/>
      <c r="BM506" s="2292"/>
      <c r="BN506" s="2292"/>
      <c r="BO506" s="2292"/>
      <c r="BP506" s="2292"/>
      <c r="BQ506" s="2292"/>
      <c r="BR506" s="2292"/>
      <c r="BS506" s="2269"/>
      <c r="BT506" s="2269"/>
      <c r="BU506" s="2269"/>
      <c r="BV506" s="2269"/>
      <c r="BW506" s="2269"/>
      <c r="BX506" s="2269"/>
      <c r="BY506" s="2269"/>
      <c r="BZ506" s="2151"/>
      <c r="CA506" s="2151"/>
      <c r="CB506" s="2392"/>
      <c r="CC506" s="2393"/>
      <c r="CD506" s="2393"/>
      <c r="CE506" s="2393"/>
      <c r="CF506" s="2393"/>
      <c r="CG506" s="2393"/>
      <c r="CH506" s="2393"/>
      <c r="CI506" s="2393"/>
      <c r="CJ506" s="2393"/>
      <c r="CK506" s="2393"/>
      <c r="CL506" s="2393"/>
      <c r="CM506" s="2393"/>
      <c r="CN506" s="2393"/>
      <c r="CO506" s="2393"/>
      <c r="CP506" s="2393"/>
      <c r="CQ506" s="2393"/>
      <c r="CR506" s="2393"/>
      <c r="CS506" s="2393"/>
      <c r="CT506" s="2393"/>
      <c r="CU506" s="2394"/>
      <c r="CV506" s="2300" t="str">
        <f t="shared" si="741"/>
        <v/>
      </c>
      <c r="CW506" s="2300"/>
      <c r="CX506" s="2300"/>
      <c r="CY506" s="2300"/>
      <c r="CZ506" s="2300"/>
      <c r="DA506" s="2300"/>
      <c r="DC506" s="329"/>
      <c r="DD506" s="197"/>
      <c r="DF506" s="14"/>
      <c r="DG506" s="14"/>
      <c r="DH506" s="14"/>
      <c r="DI506" s="1596"/>
      <c r="DJ506" s="1170" t="s">
        <v>2749</v>
      </c>
      <c r="DK506" s="1604" t="str">
        <f t="shared" si="660"/>
        <v/>
      </c>
      <c r="DL506" s="437" t="str">
        <f t="shared" si="661"/>
        <v/>
      </c>
      <c r="DM506" s="1128">
        <f t="shared" si="662"/>
        <v>0</v>
      </c>
      <c r="DN506" s="22">
        <f t="shared" si="663"/>
        <v>0</v>
      </c>
      <c r="DO506" s="22">
        <f t="shared" si="664"/>
        <v>0</v>
      </c>
      <c r="DP506" s="264">
        <f t="shared" si="665"/>
        <v>0</v>
      </c>
      <c r="DQ506" s="1134" t="s">
        <v>1289</v>
      </c>
      <c r="DR506" s="263" t="str">
        <f t="shared" si="666"/>
        <v>固定の状況</v>
      </c>
      <c r="DS506" s="23">
        <f t="shared" si="667"/>
        <v>0</v>
      </c>
      <c r="DT506" s="29" t="str">
        <f t="shared" si="668"/>
        <v/>
      </c>
      <c r="DU506" s="57" t="str">
        <f t="shared" si="742"/>
        <v/>
      </c>
      <c r="DV506" s="57" t="str">
        <f>IF($DT506="要是正",MAX($DV$492:DV505)+1,"")</f>
        <v/>
      </c>
      <c r="DW506" s="12" t="str">
        <f t="shared" si="670"/>
        <v/>
      </c>
      <c r="DX506" s="30" t="str">
        <f t="shared" si="671"/>
        <v/>
      </c>
      <c r="DY506" s="2054" t="str">
        <f t="shared" si="672"/>
        <v/>
      </c>
      <c r="DZ506" s="46" t="str">
        <f t="shared" si="673"/>
        <v/>
      </c>
      <c r="EA506" s="205" t="str">
        <f t="shared" si="674"/>
        <v/>
      </c>
      <c r="EB506" s="138" t="str">
        <f t="shared" si="675"/>
        <v/>
      </c>
      <c r="EC506" s="131" t="str">
        <f t="shared" si="743"/>
        <v>0</v>
      </c>
      <c r="ED506" s="54" t="str">
        <f t="shared" si="677"/>
        <v/>
      </c>
      <c r="EE506" s="131" t="str">
        <f t="shared" si="744"/>
        <v>0</v>
      </c>
      <c r="EF506" s="37" t="str">
        <f t="shared" si="679"/>
        <v/>
      </c>
      <c r="EG506" s="108" t="str">
        <f t="shared" si="680"/>
        <v/>
      </c>
      <c r="EH506" s="41" t="str">
        <f t="shared" si="745"/>
        <v>0</v>
      </c>
      <c r="EI506" s="54" t="str">
        <f t="shared" si="682"/>
        <v/>
      </c>
      <c r="EJ506" s="131" t="str">
        <f t="shared" si="746"/>
        <v>0</v>
      </c>
      <c r="EK506" s="217" t="str">
        <f t="shared" si="684"/>
        <v/>
      </c>
      <c r="EL506" s="242" t="e">
        <f t="shared" si="685"/>
        <v>#N/A</v>
      </c>
      <c r="EM506" s="57" t="e">
        <f t="shared" si="686"/>
        <v>#N/A</v>
      </c>
      <c r="EN506" s="243" t="e">
        <f t="shared" si="687"/>
        <v>#N/A</v>
      </c>
      <c r="FK506" s="326" t="str">
        <f t="shared" si="688"/>
        <v/>
      </c>
      <c r="FL506" s="326" t="str">
        <f t="shared" si="689"/>
        <v/>
      </c>
      <c r="FM506" s="326" t="str">
        <f t="shared" si="690"/>
        <v/>
      </c>
      <c r="FN506" s="326">
        <f t="shared" si="691"/>
        <v>0</v>
      </c>
      <c r="FO506" s="670"/>
      <c r="FQ506" s="138" t="str">
        <f t="shared" si="692"/>
        <v/>
      </c>
      <c r="FR506" s="131" t="str">
        <f t="shared" si="747"/>
        <v>0</v>
      </c>
      <c r="FS506" s="54" t="str">
        <f t="shared" si="694"/>
        <v/>
      </c>
      <c r="FT506" s="131" t="str">
        <f t="shared" si="748"/>
        <v>0</v>
      </c>
      <c r="FU506" s="217" t="str">
        <f t="shared" si="749"/>
        <v/>
      </c>
      <c r="FW506" s="667">
        <f t="shared" si="657"/>
        <v>0</v>
      </c>
      <c r="FX506" s="1134"/>
      <c r="FY506" s="1134"/>
      <c r="FZ506" s="668"/>
      <c r="GA506" s="14"/>
      <c r="GB506" s="658">
        <f t="shared" si="697"/>
        <v>0</v>
      </c>
      <c r="GC506" s="658">
        <f t="shared" si="698"/>
        <v>0</v>
      </c>
      <c r="GD506" s="658">
        <f t="shared" si="699"/>
        <v>0</v>
      </c>
      <c r="GE506" s="658" t="str">
        <f t="shared" si="700"/>
        <v/>
      </c>
      <c r="GF506" s="658" t="str">
        <f t="shared" si="701"/>
        <v/>
      </c>
      <c r="GG506" s="658" t="str">
        <f t="shared" si="702"/>
        <v/>
      </c>
      <c r="GH506" s="658" t="str">
        <f t="shared" si="703"/>
        <v/>
      </c>
      <c r="GI506" s="658" t="str">
        <f t="shared" si="704"/>
        <v/>
      </c>
      <c r="GJ506" s="658" t="str">
        <f t="shared" si="705"/>
        <v/>
      </c>
      <c r="GK506" s="658" t="str">
        <f t="shared" si="706"/>
        <v/>
      </c>
      <c r="GL506" s="658" t="str">
        <f t="shared" si="707"/>
        <v/>
      </c>
      <c r="GM506" s="658" t="str">
        <f t="shared" si="708"/>
        <v/>
      </c>
      <c r="GN506" s="658" t="str">
        <f t="shared" si="709"/>
        <v/>
      </c>
      <c r="GO506" s="658" t="str">
        <f t="shared" si="710"/>
        <v/>
      </c>
      <c r="GP506" s="658" t="str">
        <f t="shared" si="711"/>
        <v/>
      </c>
      <c r="GQ506" s="658" t="str">
        <f t="shared" si="712"/>
        <v/>
      </c>
      <c r="GR506" s="658" t="str">
        <f t="shared" si="713"/>
        <v/>
      </c>
      <c r="GS506" s="658" t="str">
        <f t="shared" si="714"/>
        <v/>
      </c>
      <c r="GT506" s="658">
        <f t="shared" si="750"/>
        <v>0</v>
      </c>
      <c r="GU506" s="658">
        <f t="shared" si="751"/>
        <v>0</v>
      </c>
      <c r="GV506" s="658">
        <f t="shared" si="752"/>
        <v>0</v>
      </c>
      <c r="GW506" s="658" t="b">
        <f t="shared" si="753"/>
        <v>0</v>
      </c>
      <c r="GX506" s="658" t="b">
        <f t="shared" si="754"/>
        <v>0</v>
      </c>
      <c r="GY506" s="658" t="b">
        <f t="shared" si="755"/>
        <v>0</v>
      </c>
      <c r="GZ506" s="658" t="str">
        <f t="shared" si="756"/>
        <v/>
      </c>
      <c r="HB506" s="658" t="str">
        <f t="shared" si="757"/>
        <v/>
      </c>
      <c r="HC506" s="658" t="str">
        <f t="shared" si="715"/>
        <v/>
      </c>
      <c r="HD506" s="658" t="str">
        <f t="shared" si="716"/>
        <v/>
      </c>
      <c r="HE506" s="658" t="str">
        <f t="shared" si="717"/>
        <v/>
      </c>
      <c r="HF506" s="658" t="str">
        <f t="shared" si="718"/>
        <v/>
      </c>
      <c r="HG506" s="658" t="str">
        <f t="shared" si="719"/>
        <v/>
      </c>
      <c r="HH506" s="658" t="str">
        <f t="shared" si="720"/>
        <v/>
      </c>
      <c r="HI506" s="658" t="str">
        <f t="shared" si="721"/>
        <v/>
      </c>
      <c r="HJ506" s="658" t="str">
        <f t="shared" si="722"/>
        <v/>
      </c>
      <c r="HK506" s="658" t="str">
        <f t="shared" si="723"/>
        <v/>
      </c>
      <c r="HL506" s="658" t="str">
        <f t="shared" si="724"/>
        <v/>
      </c>
      <c r="HM506" s="658" t="str">
        <f t="shared" si="725"/>
        <v/>
      </c>
      <c r="HN506" s="658" t="str">
        <f t="shared" si="726"/>
        <v/>
      </c>
      <c r="HO506" s="658" t="str">
        <f t="shared" si="727"/>
        <v/>
      </c>
      <c r="HP506" s="658" t="str">
        <f t="shared" si="728"/>
        <v/>
      </c>
      <c r="HQ506" s="658" t="str">
        <f t="shared" si="729"/>
        <v/>
      </c>
      <c r="HR506" s="658" t="str">
        <f t="shared" si="758"/>
        <v/>
      </c>
      <c r="HT506" s="658">
        <f>LEFT(M506,1)*10000+MID(M506,3,LEN(M506)-3)*100+COUNTIF($M$319:M506,M506)</f>
        <v>71001</v>
      </c>
      <c r="HU506" s="658" t="str">
        <f t="shared" si="554"/>
        <v/>
      </c>
      <c r="HV506" s="658" t="str">
        <f t="shared" si="730"/>
        <v/>
      </c>
      <c r="HW506" s="658" t="str">
        <f t="shared" si="555"/>
        <v/>
      </c>
      <c r="HX506" s="658" t="str">
        <f t="shared" si="731"/>
        <v/>
      </c>
    </row>
    <row r="507" spans="1:232" s="19" customFormat="1" ht="50.1" customHeight="1" x14ac:dyDescent="0.15">
      <c r="A507" s="1201"/>
      <c r="B507" s="1201"/>
      <c r="C507" s="1201"/>
      <c r="D507" s="1201"/>
      <c r="E507" s="1202"/>
      <c r="F507" s="652"/>
      <c r="G507" s="652"/>
      <c r="H507" s="652"/>
      <c r="I507" s="1354"/>
      <c r="J507" s="1234"/>
      <c r="K507" s="1261"/>
      <c r="L507" s="1261"/>
      <c r="M507" s="2143" t="s">
        <v>1765</v>
      </c>
      <c r="N507" s="2143"/>
      <c r="O507" s="2143"/>
      <c r="P507" s="2444" t="s">
        <v>3060</v>
      </c>
      <c r="Q507" s="2444"/>
      <c r="R507" s="2444"/>
      <c r="S507" s="2444"/>
      <c r="T507" s="2444"/>
      <c r="U507" s="2444" t="s">
        <v>108</v>
      </c>
      <c r="V507" s="2661"/>
      <c r="W507" s="2661"/>
      <c r="X507" s="2661"/>
      <c r="Y507" s="2661"/>
      <c r="Z507" s="2661"/>
      <c r="AA507" s="2661"/>
      <c r="AB507" s="2661"/>
      <c r="AC507" s="2661"/>
      <c r="AD507" s="2661"/>
      <c r="AE507" s="2661"/>
      <c r="AF507" s="2681"/>
      <c r="AG507" s="2681"/>
      <c r="AH507" s="2681"/>
      <c r="AI507" s="2681"/>
      <c r="AJ507" s="2681"/>
      <c r="AK507" s="2681"/>
      <c r="AL507" s="2681"/>
      <c r="AM507" s="2681"/>
      <c r="AN507" s="2681"/>
      <c r="AO507" s="2681"/>
      <c r="AP507" s="2681"/>
      <c r="AQ507" s="2682"/>
      <c r="AR507" s="2923"/>
      <c r="AS507" s="2923"/>
      <c r="AT507" s="2483"/>
      <c r="AU507" s="2483"/>
      <c r="AV507" s="2483"/>
      <c r="AW507" s="2483"/>
      <c r="AX507" s="2483"/>
      <c r="AY507" s="2483"/>
      <c r="AZ507" s="2483"/>
      <c r="BA507" s="2483"/>
      <c r="BB507" s="2483"/>
      <c r="BC507" s="2483"/>
      <c r="BD507" s="2483"/>
      <c r="BE507" s="2483"/>
      <c r="BF507" s="2483"/>
      <c r="BG507" s="2483"/>
      <c r="BH507" s="2483"/>
      <c r="BI507" s="2483"/>
      <c r="BJ507" s="2483"/>
      <c r="BK507" s="2483"/>
      <c r="BL507" s="2483"/>
      <c r="BM507" s="2483"/>
      <c r="BN507" s="2483"/>
      <c r="BO507" s="2483"/>
      <c r="BP507" s="2483"/>
      <c r="BQ507" s="2483"/>
      <c r="BR507" s="2483"/>
      <c r="BS507" s="2668"/>
      <c r="BT507" s="2668"/>
      <c r="BU507" s="2668"/>
      <c r="BV507" s="2668"/>
      <c r="BW507" s="2668"/>
      <c r="BX507" s="2668"/>
      <c r="BY507" s="2668"/>
      <c r="BZ507" s="2669"/>
      <c r="CA507" s="2669"/>
      <c r="CB507" s="2905"/>
      <c r="CC507" s="2906"/>
      <c r="CD507" s="2906"/>
      <c r="CE507" s="2906"/>
      <c r="CF507" s="2906"/>
      <c r="CG507" s="2906"/>
      <c r="CH507" s="2906"/>
      <c r="CI507" s="2906"/>
      <c r="CJ507" s="2906"/>
      <c r="CK507" s="2906"/>
      <c r="CL507" s="2906"/>
      <c r="CM507" s="2906"/>
      <c r="CN507" s="2906"/>
      <c r="CO507" s="2906"/>
      <c r="CP507" s="2906"/>
      <c r="CQ507" s="2906"/>
      <c r="CR507" s="2906"/>
      <c r="CS507" s="2906"/>
      <c r="CT507" s="2906"/>
      <c r="CU507" s="2907"/>
      <c r="CV507" s="2300" t="str">
        <f t="shared" si="658"/>
        <v/>
      </c>
      <c r="CW507" s="2300"/>
      <c r="CX507" s="2300"/>
      <c r="CY507" s="2300"/>
      <c r="CZ507" s="2300"/>
      <c r="DA507" s="2300"/>
      <c r="DC507" s="329" t="str">
        <f t="shared" si="659"/>
        <v/>
      </c>
      <c r="DD507" s="197"/>
      <c r="DF507" s="14"/>
      <c r="DG507" s="14"/>
      <c r="DH507" s="14"/>
      <c r="DI507" s="1596"/>
      <c r="DJ507" s="1170" t="s">
        <v>2749</v>
      </c>
      <c r="DK507" s="1604" t="str">
        <f t="shared" si="660"/>
        <v/>
      </c>
      <c r="DL507" s="437" t="str">
        <f t="shared" si="661"/>
        <v/>
      </c>
      <c r="DM507" s="1128">
        <f t="shared" si="662"/>
        <v>0</v>
      </c>
      <c r="DN507" s="22">
        <f t="shared" si="663"/>
        <v>0</v>
      </c>
      <c r="DO507" s="22">
        <f t="shared" si="664"/>
        <v>0</v>
      </c>
      <c r="DP507" s="264">
        <f t="shared" si="665"/>
        <v>0</v>
      </c>
      <c r="DQ507" s="1134" t="s">
        <v>1765</v>
      </c>
      <c r="DR507" s="263" t="str">
        <f t="shared" si="666"/>
        <v>換気設備の作動の状況</v>
      </c>
      <c r="DS507" s="23">
        <f t="shared" si="667"/>
        <v>0</v>
      </c>
      <c r="DT507" s="29" t="str">
        <f t="shared" si="668"/>
        <v/>
      </c>
      <c r="DU507" s="57" t="str">
        <f t="shared" si="669"/>
        <v/>
      </c>
      <c r="DV507" s="57" t="str">
        <f>IF($DT507="要是正",MAX($DV$492:DV502)+1,"")</f>
        <v/>
      </c>
      <c r="DW507" s="12" t="str">
        <f t="shared" si="670"/>
        <v/>
      </c>
      <c r="DX507" s="30" t="str">
        <f t="shared" si="671"/>
        <v/>
      </c>
      <c r="DY507" s="2054" t="str">
        <f t="shared" si="672"/>
        <v/>
      </c>
      <c r="DZ507" s="46" t="str">
        <f t="shared" si="673"/>
        <v/>
      </c>
      <c r="EA507" s="205" t="str">
        <f t="shared" si="674"/>
        <v/>
      </c>
      <c r="EB507" s="138" t="str">
        <f t="shared" si="675"/>
        <v/>
      </c>
      <c r="EC507" s="131" t="str">
        <f t="shared" si="676"/>
        <v>0</v>
      </c>
      <c r="ED507" s="54" t="str">
        <f t="shared" si="677"/>
        <v/>
      </c>
      <c r="EE507" s="131" t="str">
        <f t="shared" si="732"/>
        <v>0</v>
      </c>
      <c r="EF507" s="37" t="str">
        <f t="shared" si="679"/>
        <v/>
      </c>
      <c r="EG507" s="108" t="str">
        <f t="shared" si="680"/>
        <v/>
      </c>
      <c r="EH507" s="41" t="str">
        <f t="shared" si="681"/>
        <v>0</v>
      </c>
      <c r="EI507" s="54" t="str">
        <f t="shared" si="682"/>
        <v/>
      </c>
      <c r="EJ507" s="131" t="str">
        <f t="shared" si="733"/>
        <v>0</v>
      </c>
      <c r="EK507" s="217" t="str">
        <f t="shared" si="684"/>
        <v/>
      </c>
      <c r="EL507" s="242" t="e">
        <f t="shared" si="685"/>
        <v>#N/A</v>
      </c>
      <c r="EM507" s="57" t="e">
        <f t="shared" si="686"/>
        <v>#N/A</v>
      </c>
      <c r="EN507" s="243" t="e">
        <f t="shared" si="687"/>
        <v>#N/A</v>
      </c>
      <c r="FK507" s="326" t="str">
        <f t="shared" si="688"/>
        <v/>
      </c>
      <c r="FL507" s="326" t="str">
        <f t="shared" si="689"/>
        <v/>
      </c>
      <c r="FM507" s="326" t="str">
        <f t="shared" si="690"/>
        <v/>
      </c>
      <c r="FN507" s="326">
        <f t="shared" si="691"/>
        <v>0</v>
      </c>
      <c r="FO507" s="670"/>
      <c r="FQ507" s="138" t="str">
        <f t="shared" si="692"/>
        <v/>
      </c>
      <c r="FR507" s="131" t="str">
        <f t="shared" si="693"/>
        <v>0</v>
      </c>
      <c r="FS507" s="54" t="str">
        <f t="shared" si="694"/>
        <v/>
      </c>
      <c r="FT507" s="131" t="str">
        <f t="shared" si="695"/>
        <v>0</v>
      </c>
      <c r="FU507" s="217" t="str">
        <f t="shared" si="696"/>
        <v/>
      </c>
      <c r="FW507" s="667">
        <f t="shared" si="657"/>
        <v>0</v>
      </c>
      <c r="FX507" s="32"/>
      <c r="FY507" s="32"/>
      <c r="FZ507" s="668"/>
      <c r="GA507" s="14"/>
      <c r="GB507" s="658">
        <f t="shared" si="697"/>
        <v>0</v>
      </c>
      <c r="GC507" s="658">
        <f t="shared" si="698"/>
        <v>0</v>
      </c>
      <c r="GD507" s="658">
        <f t="shared" si="699"/>
        <v>0</v>
      </c>
      <c r="GE507" s="658" t="str">
        <f t="shared" si="700"/>
        <v/>
      </c>
      <c r="GF507" s="658" t="str">
        <f t="shared" si="701"/>
        <v/>
      </c>
      <c r="GG507" s="658" t="str">
        <f t="shared" si="702"/>
        <v/>
      </c>
      <c r="GH507" s="658" t="str">
        <f t="shared" si="703"/>
        <v/>
      </c>
      <c r="GI507" s="658" t="str">
        <f t="shared" si="704"/>
        <v/>
      </c>
      <c r="GJ507" s="658" t="str">
        <f t="shared" si="705"/>
        <v/>
      </c>
      <c r="GK507" s="658" t="str">
        <f t="shared" si="706"/>
        <v/>
      </c>
      <c r="GL507" s="658" t="str">
        <f t="shared" si="707"/>
        <v/>
      </c>
      <c r="GM507" s="658" t="str">
        <f t="shared" si="708"/>
        <v/>
      </c>
      <c r="GN507" s="658" t="str">
        <f t="shared" si="709"/>
        <v/>
      </c>
      <c r="GO507" s="658" t="str">
        <f t="shared" si="710"/>
        <v/>
      </c>
      <c r="GP507" s="658" t="str">
        <f t="shared" si="711"/>
        <v/>
      </c>
      <c r="GQ507" s="658" t="str">
        <f t="shared" si="712"/>
        <v/>
      </c>
      <c r="GR507" s="658" t="str">
        <f t="shared" si="713"/>
        <v/>
      </c>
      <c r="GS507" s="658" t="str">
        <f t="shared" si="714"/>
        <v/>
      </c>
      <c r="GT507" s="658">
        <f t="shared" si="735"/>
        <v>0</v>
      </c>
      <c r="GU507" s="658">
        <f t="shared" si="736"/>
        <v>0</v>
      </c>
      <c r="GV507" s="658">
        <f t="shared" si="737"/>
        <v>0</v>
      </c>
      <c r="GW507" s="658" t="b">
        <f t="shared" si="738"/>
        <v>0</v>
      </c>
      <c r="GX507" s="658" t="b">
        <f t="shared" si="739"/>
        <v>0</v>
      </c>
      <c r="GY507" s="658" t="b">
        <f t="shared" si="740"/>
        <v>0</v>
      </c>
      <c r="GZ507" s="658" t="str">
        <f t="shared" si="557"/>
        <v/>
      </c>
      <c r="HB507" s="658" t="str">
        <f t="shared" si="552"/>
        <v/>
      </c>
      <c r="HC507" s="658" t="str">
        <f t="shared" si="715"/>
        <v/>
      </c>
      <c r="HD507" s="658" t="str">
        <f t="shared" si="716"/>
        <v/>
      </c>
      <c r="HE507" s="658" t="str">
        <f t="shared" si="717"/>
        <v/>
      </c>
      <c r="HF507" s="658" t="str">
        <f t="shared" si="718"/>
        <v/>
      </c>
      <c r="HG507" s="658" t="str">
        <f t="shared" si="719"/>
        <v/>
      </c>
      <c r="HH507" s="658" t="str">
        <f t="shared" si="720"/>
        <v/>
      </c>
      <c r="HI507" s="658" t="str">
        <f t="shared" si="721"/>
        <v/>
      </c>
      <c r="HJ507" s="658" t="str">
        <f t="shared" si="722"/>
        <v/>
      </c>
      <c r="HK507" s="658" t="str">
        <f t="shared" si="723"/>
        <v/>
      </c>
      <c r="HL507" s="658" t="str">
        <f t="shared" si="724"/>
        <v/>
      </c>
      <c r="HM507" s="658" t="str">
        <f t="shared" si="725"/>
        <v/>
      </c>
      <c r="HN507" s="658" t="str">
        <f t="shared" si="726"/>
        <v/>
      </c>
      <c r="HO507" s="658" t="str">
        <f t="shared" si="727"/>
        <v/>
      </c>
      <c r="HP507" s="658" t="str">
        <f t="shared" si="728"/>
        <v/>
      </c>
      <c r="HQ507" s="658" t="str">
        <f t="shared" si="729"/>
        <v/>
      </c>
      <c r="HR507" s="658" t="str">
        <f t="shared" si="553"/>
        <v/>
      </c>
      <c r="HT507" s="658">
        <f>LEFT(M507,1)*10000+MID(M507,3,LEN(M507)-3)*100+COUNTIF($M$319:M507,M507)</f>
        <v>71101</v>
      </c>
      <c r="HU507" s="658" t="str">
        <f t="shared" si="554"/>
        <v/>
      </c>
      <c r="HV507" s="658" t="str">
        <f t="shared" si="730"/>
        <v/>
      </c>
      <c r="HW507" s="658" t="str">
        <f t="shared" si="555"/>
        <v/>
      </c>
      <c r="HX507" s="658" t="str">
        <f t="shared" si="731"/>
        <v/>
      </c>
    </row>
    <row r="508" spans="1:232" s="19" customFormat="1" ht="50.1" customHeight="1" x14ac:dyDescent="0.15">
      <c r="A508" s="1201"/>
      <c r="B508" s="1201"/>
      <c r="C508" s="1201"/>
      <c r="D508" s="1201"/>
      <c r="E508" s="1202"/>
      <c r="F508" s="652"/>
      <c r="G508" s="652"/>
      <c r="H508" s="652"/>
      <c r="I508" s="1354"/>
      <c r="J508" s="1234"/>
      <c r="K508" s="1261"/>
      <c r="L508" s="1261"/>
      <c r="M508" s="2143" t="s">
        <v>1766</v>
      </c>
      <c r="N508" s="2143"/>
      <c r="O508" s="2143"/>
      <c r="P508" s="2445"/>
      <c r="Q508" s="2445"/>
      <c r="R508" s="2445"/>
      <c r="S508" s="2445"/>
      <c r="T508" s="2445"/>
      <c r="U508" s="2431" t="s">
        <v>2836</v>
      </c>
      <c r="V508" s="2677"/>
      <c r="W508" s="2677"/>
      <c r="X508" s="2677"/>
      <c r="Y508" s="2677"/>
      <c r="Z508" s="2677"/>
      <c r="AA508" s="2677"/>
      <c r="AB508" s="2677"/>
      <c r="AC508" s="2677"/>
      <c r="AD508" s="2677"/>
      <c r="AE508" s="2677"/>
      <c r="AF508" s="2469"/>
      <c r="AG508" s="2469"/>
      <c r="AH508" s="2469"/>
      <c r="AI508" s="2469"/>
      <c r="AJ508" s="2469"/>
      <c r="AK508" s="2469"/>
      <c r="AL508" s="2469"/>
      <c r="AM508" s="2469"/>
      <c r="AN508" s="2469"/>
      <c r="AO508" s="2469"/>
      <c r="AP508" s="2469"/>
      <c r="AQ508" s="2470"/>
      <c r="AR508" s="2347"/>
      <c r="AS508" s="2347"/>
      <c r="AT508" s="2135"/>
      <c r="AU508" s="2135"/>
      <c r="AV508" s="2135"/>
      <c r="AW508" s="2135"/>
      <c r="AX508" s="2135"/>
      <c r="AY508" s="2135"/>
      <c r="AZ508" s="2135"/>
      <c r="BA508" s="2135"/>
      <c r="BB508" s="2135"/>
      <c r="BC508" s="2135"/>
      <c r="BD508" s="2135"/>
      <c r="BE508" s="2135"/>
      <c r="BF508" s="2135"/>
      <c r="BG508" s="2135"/>
      <c r="BH508" s="2135"/>
      <c r="BI508" s="2135"/>
      <c r="BJ508" s="2135"/>
      <c r="BK508" s="2135"/>
      <c r="BL508" s="2135"/>
      <c r="BM508" s="2135"/>
      <c r="BN508" s="2135"/>
      <c r="BO508" s="2135"/>
      <c r="BP508" s="2135"/>
      <c r="BQ508" s="2135"/>
      <c r="BR508" s="2135"/>
      <c r="BS508" s="2354"/>
      <c r="BT508" s="2354"/>
      <c r="BU508" s="2354"/>
      <c r="BV508" s="2354"/>
      <c r="BW508" s="2354"/>
      <c r="BX508" s="2354"/>
      <c r="BY508" s="2354"/>
      <c r="BZ508" s="2297"/>
      <c r="CA508" s="2297"/>
      <c r="CB508" s="2887"/>
      <c r="CC508" s="2888"/>
      <c r="CD508" s="2888"/>
      <c r="CE508" s="2888"/>
      <c r="CF508" s="2888"/>
      <c r="CG508" s="2888"/>
      <c r="CH508" s="2888"/>
      <c r="CI508" s="2888"/>
      <c r="CJ508" s="2888"/>
      <c r="CK508" s="2888"/>
      <c r="CL508" s="2888"/>
      <c r="CM508" s="2888"/>
      <c r="CN508" s="2888"/>
      <c r="CO508" s="2888"/>
      <c r="CP508" s="2888"/>
      <c r="CQ508" s="2888"/>
      <c r="CR508" s="2888"/>
      <c r="CS508" s="2888"/>
      <c r="CT508" s="2888"/>
      <c r="CU508" s="2889"/>
      <c r="CV508" s="2300" t="str">
        <f t="shared" si="658"/>
        <v/>
      </c>
      <c r="CW508" s="2300"/>
      <c r="CX508" s="2300"/>
      <c r="CY508" s="2300"/>
      <c r="CZ508" s="2300"/>
      <c r="DA508" s="2300"/>
      <c r="DC508" s="329" t="str">
        <f t="shared" si="659"/>
        <v/>
      </c>
      <c r="DD508" s="197"/>
      <c r="DF508" s="14"/>
      <c r="DG508" s="14"/>
      <c r="DH508" s="14"/>
      <c r="DI508" s="1596"/>
      <c r="DJ508" s="1170" t="s">
        <v>2749</v>
      </c>
      <c r="DK508" s="1604" t="str">
        <f t="shared" si="660"/>
        <v/>
      </c>
      <c r="DL508" s="437" t="str">
        <f t="shared" si="661"/>
        <v/>
      </c>
      <c r="DM508" s="1128">
        <f t="shared" si="662"/>
        <v>0</v>
      </c>
      <c r="DN508" s="22">
        <f t="shared" si="663"/>
        <v>0</v>
      </c>
      <c r="DO508" s="22">
        <f t="shared" si="664"/>
        <v>0</v>
      </c>
      <c r="DP508" s="264">
        <f t="shared" si="665"/>
        <v>0</v>
      </c>
      <c r="DQ508" s="1134" t="s">
        <v>1766</v>
      </c>
      <c r="DR508" s="263" t="str">
        <f t="shared" si="666"/>
        <v>換気の妨げとなる物品の放置の状況</v>
      </c>
      <c r="DS508" s="23">
        <f t="shared" si="667"/>
        <v>0</v>
      </c>
      <c r="DT508" s="29" t="str">
        <f t="shared" si="668"/>
        <v/>
      </c>
      <c r="DU508" s="57" t="str">
        <f t="shared" si="669"/>
        <v/>
      </c>
      <c r="DV508" s="57" t="str">
        <f>IF($DT508="要是正",MAX($DV$492:DV507)+1,"")</f>
        <v/>
      </c>
      <c r="DW508" s="12" t="str">
        <f t="shared" si="670"/>
        <v/>
      </c>
      <c r="DX508" s="30" t="str">
        <f t="shared" si="671"/>
        <v/>
      </c>
      <c r="DY508" s="2054" t="str">
        <f t="shared" si="672"/>
        <v/>
      </c>
      <c r="DZ508" s="46" t="str">
        <f t="shared" si="673"/>
        <v/>
      </c>
      <c r="EA508" s="205" t="str">
        <f t="shared" si="674"/>
        <v/>
      </c>
      <c r="EB508" s="138" t="str">
        <f t="shared" si="675"/>
        <v/>
      </c>
      <c r="EC508" s="131" t="str">
        <f t="shared" si="676"/>
        <v>0</v>
      </c>
      <c r="ED508" s="54" t="str">
        <f t="shared" si="677"/>
        <v/>
      </c>
      <c r="EE508" s="131" t="str">
        <f t="shared" si="732"/>
        <v>0</v>
      </c>
      <c r="EF508" s="37" t="str">
        <f t="shared" si="679"/>
        <v/>
      </c>
      <c r="EG508" s="108" t="str">
        <f t="shared" si="680"/>
        <v/>
      </c>
      <c r="EH508" s="41" t="str">
        <f t="shared" si="681"/>
        <v>0</v>
      </c>
      <c r="EI508" s="54" t="str">
        <f t="shared" si="682"/>
        <v/>
      </c>
      <c r="EJ508" s="131" t="str">
        <f t="shared" si="733"/>
        <v>0</v>
      </c>
      <c r="EK508" s="217" t="str">
        <f t="shared" si="684"/>
        <v/>
      </c>
      <c r="EL508" s="242" t="e">
        <f t="shared" si="685"/>
        <v>#N/A</v>
      </c>
      <c r="EM508" s="57" t="e">
        <f t="shared" si="686"/>
        <v>#N/A</v>
      </c>
      <c r="EN508" s="243" t="e">
        <f t="shared" si="687"/>
        <v>#N/A</v>
      </c>
      <c r="FK508" s="326" t="str">
        <f t="shared" si="688"/>
        <v/>
      </c>
      <c r="FL508" s="326" t="str">
        <f t="shared" si="689"/>
        <v/>
      </c>
      <c r="FM508" s="326" t="str">
        <f t="shared" si="690"/>
        <v/>
      </c>
      <c r="FN508" s="326">
        <f t="shared" si="691"/>
        <v>0</v>
      </c>
      <c r="FO508" s="670"/>
      <c r="FQ508" s="138" t="str">
        <f t="shared" si="692"/>
        <v/>
      </c>
      <c r="FR508" s="131" t="str">
        <f t="shared" si="693"/>
        <v>0</v>
      </c>
      <c r="FS508" s="54" t="str">
        <f t="shared" si="694"/>
        <v/>
      </c>
      <c r="FT508" s="131" t="str">
        <f t="shared" si="695"/>
        <v>0</v>
      </c>
      <c r="FU508" s="217" t="str">
        <f t="shared" si="696"/>
        <v/>
      </c>
      <c r="FW508" s="667">
        <f t="shared" si="657"/>
        <v>0</v>
      </c>
      <c r="FX508" s="32"/>
      <c r="FY508" s="32"/>
      <c r="FZ508" s="668"/>
      <c r="GA508" s="14"/>
      <c r="GB508" s="658">
        <f t="shared" si="697"/>
        <v>0</v>
      </c>
      <c r="GC508" s="658">
        <f t="shared" si="698"/>
        <v>0</v>
      </c>
      <c r="GD508" s="658">
        <f t="shared" si="699"/>
        <v>0</v>
      </c>
      <c r="GE508" s="658" t="str">
        <f t="shared" si="700"/>
        <v/>
      </c>
      <c r="GF508" s="658" t="str">
        <f t="shared" si="701"/>
        <v/>
      </c>
      <c r="GG508" s="658" t="str">
        <f t="shared" si="702"/>
        <v/>
      </c>
      <c r="GH508" s="658" t="str">
        <f t="shared" si="703"/>
        <v/>
      </c>
      <c r="GI508" s="658" t="str">
        <f t="shared" si="704"/>
        <v/>
      </c>
      <c r="GJ508" s="658" t="str">
        <f t="shared" si="705"/>
        <v/>
      </c>
      <c r="GK508" s="658" t="str">
        <f t="shared" si="706"/>
        <v/>
      </c>
      <c r="GL508" s="658" t="str">
        <f t="shared" si="707"/>
        <v/>
      </c>
      <c r="GM508" s="658" t="str">
        <f t="shared" si="708"/>
        <v/>
      </c>
      <c r="GN508" s="658" t="str">
        <f t="shared" si="709"/>
        <v/>
      </c>
      <c r="GO508" s="658" t="str">
        <f t="shared" si="710"/>
        <v/>
      </c>
      <c r="GP508" s="658" t="str">
        <f t="shared" si="711"/>
        <v/>
      </c>
      <c r="GQ508" s="658" t="str">
        <f t="shared" si="712"/>
        <v/>
      </c>
      <c r="GR508" s="658" t="str">
        <f t="shared" si="713"/>
        <v/>
      </c>
      <c r="GS508" s="658" t="str">
        <f t="shared" si="714"/>
        <v/>
      </c>
      <c r="GT508" s="658">
        <f t="shared" si="735"/>
        <v>0</v>
      </c>
      <c r="GU508" s="658">
        <f t="shared" si="736"/>
        <v>0</v>
      </c>
      <c r="GV508" s="658">
        <f t="shared" si="737"/>
        <v>0</v>
      </c>
      <c r="GW508" s="658" t="b">
        <f t="shared" si="738"/>
        <v>0</v>
      </c>
      <c r="GX508" s="658" t="b">
        <f t="shared" si="739"/>
        <v>0</v>
      </c>
      <c r="GY508" s="658" t="b">
        <f t="shared" si="740"/>
        <v>0</v>
      </c>
      <c r="GZ508" s="658" t="str">
        <f t="shared" si="557"/>
        <v/>
      </c>
      <c r="HB508" s="658" t="str">
        <f t="shared" ref="HB508:HB514" si="759">IF(FW508=0,"",FW508&amp;", ")</f>
        <v/>
      </c>
      <c r="HC508" s="658" t="str">
        <f t="shared" si="715"/>
        <v/>
      </c>
      <c r="HD508" s="658" t="str">
        <f t="shared" si="716"/>
        <v/>
      </c>
      <c r="HE508" s="658" t="str">
        <f t="shared" si="717"/>
        <v/>
      </c>
      <c r="HF508" s="658" t="str">
        <f t="shared" si="718"/>
        <v/>
      </c>
      <c r="HG508" s="658" t="str">
        <f t="shared" si="719"/>
        <v/>
      </c>
      <c r="HH508" s="658" t="str">
        <f t="shared" si="720"/>
        <v/>
      </c>
      <c r="HI508" s="658" t="str">
        <f t="shared" si="721"/>
        <v/>
      </c>
      <c r="HJ508" s="658" t="str">
        <f t="shared" si="722"/>
        <v/>
      </c>
      <c r="HK508" s="658" t="str">
        <f t="shared" si="723"/>
        <v/>
      </c>
      <c r="HL508" s="658" t="str">
        <f t="shared" si="724"/>
        <v/>
      </c>
      <c r="HM508" s="658" t="str">
        <f t="shared" si="725"/>
        <v/>
      </c>
      <c r="HN508" s="658" t="str">
        <f t="shared" si="726"/>
        <v/>
      </c>
      <c r="HO508" s="658" t="str">
        <f t="shared" si="727"/>
        <v/>
      </c>
      <c r="HP508" s="658" t="str">
        <f t="shared" si="728"/>
        <v/>
      </c>
      <c r="HQ508" s="658" t="str">
        <f t="shared" si="729"/>
        <v/>
      </c>
      <c r="HR508" s="658" t="str">
        <f t="shared" ref="HR508:HR514" si="760">CONCATENATE(HB508,HC508,HD508,HE508,HF508,HG508,HH508,HI508,HJ508,HK508,HL508,HM508,HN508,HO508,HP508,HQ508)</f>
        <v/>
      </c>
      <c r="HT508" s="658">
        <f>LEFT(M508,1)*10000+MID(M508,3,LEN(M508)-3)*100+COUNTIF($M$319:M508,M508)</f>
        <v>71201</v>
      </c>
      <c r="HU508" s="658" t="str">
        <f t="shared" ref="HU508:HU534" si="761">IF($DT508="要是正",$HT508,"")</f>
        <v/>
      </c>
      <c r="HV508" s="658" t="str">
        <f t="shared" si="730"/>
        <v/>
      </c>
      <c r="HW508" s="658" t="str">
        <f t="shared" ref="HW508:HW534" si="762">IF(OR($DT508="要是正",$DT508="既存不適格"),$HT508,"")</f>
        <v/>
      </c>
      <c r="HX508" s="658" t="str">
        <f t="shared" si="731"/>
        <v/>
      </c>
    </row>
    <row r="509" spans="1:232" s="19" customFormat="1" ht="50.1" customHeight="1" x14ac:dyDescent="0.15">
      <c r="A509" s="1201"/>
      <c r="B509" s="1201"/>
      <c r="C509" s="1201"/>
      <c r="D509" s="1201"/>
      <c r="E509" s="1202"/>
      <c r="F509" s="652"/>
      <c r="G509" s="652"/>
      <c r="H509" s="652"/>
      <c r="I509" s="1354"/>
      <c r="J509" s="1234"/>
      <c r="K509" s="1261"/>
      <c r="L509" s="1261"/>
      <c r="M509" s="2143" t="s">
        <v>1767</v>
      </c>
      <c r="N509" s="2143"/>
      <c r="O509" s="2143"/>
      <c r="P509" s="2480" t="s">
        <v>2835</v>
      </c>
      <c r="Q509" s="2480"/>
      <c r="R509" s="2480"/>
      <c r="S509" s="2480"/>
      <c r="T509" s="2480"/>
      <c r="U509" s="2444" t="s">
        <v>2837</v>
      </c>
      <c r="V509" s="2661"/>
      <c r="W509" s="2661"/>
      <c r="X509" s="2661"/>
      <c r="Y509" s="2661"/>
      <c r="Z509" s="2661"/>
      <c r="AA509" s="2661"/>
      <c r="AB509" s="2661"/>
      <c r="AC509" s="2661"/>
      <c r="AD509" s="2661"/>
      <c r="AE509" s="2661"/>
      <c r="AF509" s="2672"/>
      <c r="AG509" s="2672"/>
      <c r="AH509" s="2672"/>
      <c r="AI509" s="2672"/>
      <c r="AJ509" s="2672"/>
      <c r="AK509" s="2672"/>
      <c r="AL509" s="2672"/>
      <c r="AM509" s="2672"/>
      <c r="AN509" s="2672"/>
      <c r="AO509" s="2672"/>
      <c r="AP509" s="2672"/>
      <c r="AQ509" s="2673"/>
      <c r="AR509" s="2190"/>
      <c r="AS509" s="2190"/>
      <c r="AT509" s="2487"/>
      <c r="AU509" s="2487"/>
      <c r="AV509" s="2487"/>
      <c r="AW509" s="2487"/>
      <c r="AX509" s="2487"/>
      <c r="AY509" s="2487"/>
      <c r="AZ509" s="2487"/>
      <c r="BA509" s="2487"/>
      <c r="BB509" s="2487"/>
      <c r="BC509" s="2487"/>
      <c r="BD509" s="2487"/>
      <c r="BE509" s="2487"/>
      <c r="BF509" s="2487"/>
      <c r="BG509" s="2487"/>
      <c r="BH509" s="2487"/>
      <c r="BI509" s="2487"/>
      <c r="BJ509" s="2487"/>
      <c r="BK509" s="2487"/>
      <c r="BL509" s="2487"/>
      <c r="BM509" s="2487"/>
      <c r="BN509" s="2487"/>
      <c r="BO509" s="2487"/>
      <c r="BP509" s="2487"/>
      <c r="BQ509" s="2487"/>
      <c r="BR509" s="2487"/>
      <c r="BS509" s="2489"/>
      <c r="BT509" s="2489"/>
      <c r="BU509" s="2489"/>
      <c r="BV509" s="2489"/>
      <c r="BW509" s="2489"/>
      <c r="BX509" s="2489"/>
      <c r="BY509" s="2489"/>
      <c r="BZ509" s="2919"/>
      <c r="CA509" s="2919"/>
      <c r="CB509" s="2398"/>
      <c r="CC509" s="2399"/>
      <c r="CD509" s="2399"/>
      <c r="CE509" s="2399"/>
      <c r="CF509" s="2399"/>
      <c r="CG509" s="2399"/>
      <c r="CH509" s="2399"/>
      <c r="CI509" s="2399"/>
      <c r="CJ509" s="2399"/>
      <c r="CK509" s="2399"/>
      <c r="CL509" s="2399"/>
      <c r="CM509" s="2399"/>
      <c r="CN509" s="2399"/>
      <c r="CO509" s="2399"/>
      <c r="CP509" s="2399"/>
      <c r="CQ509" s="2399"/>
      <c r="CR509" s="2399"/>
      <c r="CS509" s="2399"/>
      <c r="CT509" s="2399"/>
      <c r="CU509" s="2400"/>
      <c r="CV509" s="2300" t="str">
        <f t="shared" si="658"/>
        <v/>
      </c>
      <c r="CW509" s="2300"/>
      <c r="CX509" s="2300"/>
      <c r="CY509" s="2300"/>
      <c r="CZ509" s="2300"/>
      <c r="DA509" s="2300"/>
      <c r="DC509" s="329" t="str">
        <f t="shared" si="659"/>
        <v/>
      </c>
      <c r="DD509" s="197"/>
      <c r="DF509" s="14"/>
      <c r="DG509" s="14"/>
      <c r="DH509" s="14"/>
      <c r="DI509" s="1596"/>
      <c r="DJ509" s="1170" t="s">
        <v>2749</v>
      </c>
      <c r="DK509" s="1604" t="str">
        <f t="shared" si="660"/>
        <v/>
      </c>
      <c r="DL509" s="437" t="str">
        <f t="shared" si="661"/>
        <v/>
      </c>
      <c r="DM509" s="1128">
        <f t="shared" si="662"/>
        <v>0</v>
      </c>
      <c r="DN509" s="22">
        <f t="shared" si="663"/>
        <v>0</v>
      </c>
      <c r="DO509" s="22">
        <f t="shared" si="664"/>
        <v>0</v>
      </c>
      <c r="DP509" s="264">
        <f t="shared" si="665"/>
        <v>0</v>
      </c>
      <c r="DQ509" s="1134" t="s">
        <v>1767</v>
      </c>
      <c r="DR509" s="263" t="str">
        <f t="shared" si="666"/>
        <v>可動式防煙壁の作動の状況</v>
      </c>
      <c r="DS509" s="23">
        <f t="shared" si="667"/>
        <v>0</v>
      </c>
      <c r="DT509" s="29" t="str">
        <f t="shared" si="668"/>
        <v/>
      </c>
      <c r="DU509" s="57" t="str">
        <f t="shared" si="669"/>
        <v/>
      </c>
      <c r="DV509" s="57" t="str">
        <f>IF($DT509="要是正",MAX($DV$492:DV508)+1,"")</f>
        <v/>
      </c>
      <c r="DW509" s="12" t="str">
        <f t="shared" si="670"/>
        <v/>
      </c>
      <c r="DX509" s="30" t="str">
        <f t="shared" si="671"/>
        <v/>
      </c>
      <c r="DY509" s="2074" t="str">
        <f t="shared" si="672"/>
        <v/>
      </c>
      <c r="DZ509" s="46" t="str">
        <f t="shared" si="673"/>
        <v/>
      </c>
      <c r="EA509" s="205" t="str">
        <f t="shared" si="674"/>
        <v/>
      </c>
      <c r="EB509" s="138" t="str">
        <f t="shared" si="675"/>
        <v/>
      </c>
      <c r="EC509" s="131" t="str">
        <f t="shared" si="676"/>
        <v>0</v>
      </c>
      <c r="ED509" s="54" t="str">
        <f t="shared" si="677"/>
        <v/>
      </c>
      <c r="EE509" s="131" t="str">
        <f t="shared" si="732"/>
        <v>0</v>
      </c>
      <c r="EF509" s="37" t="str">
        <f t="shared" si="679"/>
        <v/>
      </c>
      <c r="EG509" s="108" t="str">
        <f t="shared" si="680"/>
        <v/>
      </c>
      <c r="EH509" s="41" t="str">
        <f t="shared" si="681"/>
        <v>0</v>
      </c>
      <c r="EI509" s="54" t="str">
        <f t="shared" si="682"/>
        <v/>
      </c>
      <c r="EJ509" s="131" t="str">
        <f t="shared" si="733"/>
        <v>0</v>
      </c>
      <c r="EK509" s="217" t="str">
        <f t="shared" si="684"/>
        <v/>
      </c>
      <c r="EL509" s="242" t="e">
        <f t="shared" si="685"/>
        <v>#N/A</v>
      </c>
      <c r="EM509" s="57" t="e">
        <f t="shared" si="686"/>
        <v>#N/A</v>
      </c>
      <c r="EN509" s="243" t="e">
        <f t="shared" si="687"/>
        <v>#N/A</v>
      </c>
      <c r="FK509" s="326" t="str">
        <f t="shared" si="688"/>
        <v/>
      </c>
      <c r="FL509" s="326" t="str">
        <f t="shared" si="689"/>
        <v/>
      </c>
      <c r="FM509" s="326" t="str">
        <f t="shared" si="690"/>
        <v/>
      </c>
      <c r="FN509" s="326">
        <f t="shared" si="691"/>
        <v>0</v>
      </c>
      <c r="FO509" s="670"/>
      <c r="FQ509" s="138" t="str">
        <f t="shared" si="692"/>
        <v/>
      </c>
      <c r="FR509" s="131" t="str">
        <f t="shared" si="693"/>
        <v>0</v>
      </c>
      <c r="FS509" s="54" t="str">
        <f t="shared" si="694"/>
        <v/>
      </c>
      <c r="FT509" s="131" t="str">
        <f t="shared" si="695"/>
        <v>0</v>
      </c>
      <c r="FU509" s="217" t="str">
        <f t="shared" si="696"/>
        <v/>
      </c>
      <c r="FW509" s="667">
        <f t="shared" si="657"/>
        <v>0</v>
      </c>
      <c r="FX509" s="32"/>
      <c r="FY509" s="32"/>
      <c r="FZ509" s="668"/>
      <c r="GA509" s="14"/>
      <c r="GB509" s="658">
        <f t="shared" si="697"/>
        <v>0</v>
      </c>
      <c r="GC509" s="658">
        <f t="shared" si="698"/>
        <v>0</v>
      </c>
      <c r="GD509" s="658">
        <f t="shared" si="699"/>
        <v>0</v>
      </c>
      <c r="GE509" s="658" t="str">
        <f t="shared" si="700"/>
        <v/>
      </c>
      <c r="GF509" s="658" t="str">
        <f t="shared" si="701"/>
        <v/>
      </c>
      <c r="GG509" s="658" t="str">
        <f t="shared" si="702"/>
        <v/>
      </c>
      <c r="GH509" s="658" t="str">
        <f t="shared" si="703"/>
        <v/>
      </c>
      <c r="GI509" s="658" t="str">
        <f t="shared" si="704"/>
        <v/>
      </c>
      <c r="GJ509" s="658" t="str">
        <f t="shared" si="705"/>
        <v/>
      </c>
      <c r="GK509" s="658" t="str">
        <f t="shared" si="706"/>
        <v/>
      </c>
      <c r="GL509" s="658" t="str">
        <f t="shared" si="707"/>
        <v/>
      </c>
      <c r="GM509" s="658" t="str">
        <f t="shared" si="708"/>
        <v/>
      </c>
      <c r="GN509" s="658" t="str">
        <f t="shared" si="709"/>
        <v/>
      </c>
      <c r="GO509" s="658" t="str">
        <f t="shared" si="710"/>
        <v/>
      </c>
      <c r="GP509" s="658" t="str">
        <f t="shared" si="711"/>
        <v/>
      </c>
      <c r="GQ509" s="658" t="str">
        <f t="shared" si="712"/>
        <v/>
      </c>
      <c r="GR509" s="658" t="str">
        <f t="shared" si="713"/>
        <v/>
      </c>
      <c r="GS509" s="658" t="str">
        <f t="shared" si="714"/>
        <v/>
      </c>
      <c r="GT509" s="658">
        <f t="shared" si="735"/>
        <v>0</v>
      </c>
      <c r="GU509" s="658">
        <f t="shared" si="736"/>
        <v>0</v>
      </c>
      <c r="GV509" s="658">
        <f t="shared" si="737"/>
        <v>0</v>
      </c>
      <c r="GW509" s="658" t="b">
        <f t="shared" si="738"/>
        <v>0</v>
      </c>
      <c r="GX509" s="658" t="b">
        <f t="shared" si="739"/>
        <v>0</v>
      </c>
      <c r="GY509" s="658" t="b">
        <f t="shared" si="740"/>
        <v>0</v>
      </c>
      <c r="GZ509" s="658" t="str">
        <f t="shared" si="557"/>
        <v/>
      </c>
      <c r="HB509" s="658" t="str">
        <f t="shared" si="759"/>
        <v/>
      </c>
      <c r="HC509" s="658" t="str">
        <f t="shared" si="715"/>
        <v/>
      </c>
      <c r="HD509" s="658" t="str">
        <f t="shared" si="716"/>
        <v/>
      </c>
      <c r="HE509" s="658" t="str">
        <f t="shared" si="717"/>
        <v/>
      </c>
      <c r="HF509" s="658" t="str">
        <f t="shared" si="718"/>
        <v/>
      </c>
      <c r="HG509" s="658" t="str">
        <f t="shared" si="719"/>
        <v/>
      </c>
      <c r="HH509" s="658" t="str">
        <f t="shared" si="720"/>
        <v/>
      </c>
      <c r="HI509" s="658" t="str">
        <f t="shared" si="721"/>
        <v/>
      </c>
      <c r="HJ509" s="658" t="str">
        <f t="shared" si="722"/>
        <v/>
      </c>
      <c r="HK509" s="658" t="str">
        <f t="shared" si="723"/>
        <v/>
      </c>
      <c r="HL509" s="658" t="str">
        <f t="shared" si="724"/>
        <v/>
      </c>
      <c r="HM509" s="658" t="str">
        <f t="shared" si="725"/>
        <v/>
      </c>
      <c r="HN509" s="658" t="str">
        <f t="shared" si="726"/>
        <v/>
      </c>
      <c r="HO509" s="658" t="str">
        <f t="shared" si="727"/>
        <v/>
      </c>
      <c r="HP509" s="658" t="str">
        <f t="shared" si="728"/>
        <v/>
      </c>
      <c r="HQ509" s="658" t="str">
        <f t="shared" si="729"/>
        <v/>
      </c>
      <c r="HR509" s="658" t="str">
        <f t="shared" si="760"/>
        <v/>
      </c>
      <c r="HT509" s="658">
        <f>LEFT(M509,1)*10000+MID(M509,3,LEN(M509)-3)*100+COUNTIF($M$319:M509,M509)</f>
        <v>71301</v>
      </c>
      <c r="HU509" s="658" t="str">
        <f t="shared" si="761"/>
        <v/>
      </c>
      <c r="HV509" s="658" t="str">
        <f t="shared" si="730"/>
        <v/>
      </c>
      <c r="HW509" s="658" t="str">
        <f t="shared" si="762"/>
        <v/>
      </c>
      <c r="HX509" s="658" t="str">
        <f t="shared" si="731"/>
        <v/>
      </c>
    </row>
    <row r="510" spans="1:232" s="19" customFormat="1" ht="108" customHeight="1" thickBot="1" x14ac:dyDescent="0.2">
      <c r="A510" s="1201"/>
      <c r="B510" s="1201"/>
      <c r="C510" s="1201"/>
      <c r="D510" s="1201"/>
      <c r="E510" s="1202"/>
      <c r="F510" s="652"/>
      <c r="G510" s="652"/>
      <c r="H510" s="652"/>
      <c r="I510" s="1354"/>
      <c r="J510" s="1234"/>
      <c r="K510" s="1261"/>
      <c r="L510" s="1261"/>
      <c r="M510" s="2143" t="s">
        <v>1768</v>
      </c>
      <c r="N510" s="2143"/>
      <c r="O510" s="2143"/>
      <c r="P510" s="2480" t="s">
        <v>3062</v>
      </c>
      <c r="Q510" s="2480"/>
      <c r="R510" s="2480"/>
      <c r="S510" s="2480"/>
      <c r="T510" s="2480"/>
      <c r="U510" s="2429" t="s">
        <v>2838</v>
      </c>
      <c r="V510" s="2659"/>
      <c r="W510" s="2659"/>
      <c r="X510" s="2659"/>
      <c r="Y510" s="2659"/>
      <c r="Z510" s="2659"/>
      <c r="AA510" s="2659"/>
      <c r="AB510" s="2659"/>
      <c r="AC510" s="2659"/>
      <c r="AD510" s="2659"/>
      <c r="AE510" s="2659"/>
      <c r="AF510" s="2681"/>
      <c r="AG510" s="2681"/>
      <c r="AH510" s="2681"/>
      <c r="AI510" s="2681"/>
      <c r="AJ510" s="2681"/>
      <c r="AK510" s="2681"/>
      <c r="AL510" s="2681"/>
      <c r="AM510" s="2681"/>
      <c r="AN510" s="2681"/>
      <c r="AO510" s="2681"/>
      <c r="AP510" s="2681"/>
      <c r="AQ510" s="2682"/>
      <c r="AR510" s="2923"/>
      <c r="AS510" s="2923"/>
      <c r="AT510" s="2483"/>
      <c r="AU510" s="2483"/>
      <c r="AV510" s="2483"/>
      <c r="AW510" s="2483"/>
      <c r="AX510" s="2483"/>
      <c r="AY510" s="2483"/>
      <c r="AZ510" s="2483"/>
      <c r="BA510" s="2483"/>
      <c r="BB510" s="2483"/>
      <c r="BC510" s="2483"/>
      <c r="BD510" s="2483"/>
      <c r="BE510" s="2483"/>
      <c r="BF510" s="2483"/>
      <c r="BG510" s="2483"/>
      <c r="BH510" s="2483"/>
      <c r="BI510" s="2483"/>
      <c r="BJ510" s="2483"/>
      <c r="BK510" s="2483"/>
      <c r="BL510" s="2483"/>
      <c r="BM510" s="2483"/>
      <c r="BN510" s="2483"/>
      <c r="BO510" s="2483"/>
      <c r="BP510" s="2483"/>
      <c r="BQ510" s="2483"/>
      <c r="BR510" s="2483"/>
      <c r="BS510" s="2668"/>
      <c r="BT510" s="2668"/>
      <c r="BU510" s="2668"/>
      <c r="BV510" s="2668"/>
      <c r="BW510" s="2668"/>
      <c r="BX510" s="2668"/>
      <c r="BY510" s="2668"/>
      <c r="BZ510" s="2669"/>
      <c r="CA510" s="2669"/>
      <c r="CB510" s="2924" t="str">
        <f>IF(AB282="無","【注】　「２１ 設備（法第12条第三関係など）」欄で、建築設備は「無」と記載されています。",IF(AB286="対象","【注】　「２１ 設備（法第12条第三関係など）」欄で、建築設備の定期報告が「対象」と記載されています。",""))</f>
        <v/>
      </c>
      <c r="CC510" s="2925"/>
      <c r="CD510" s="2925"/>
      <c r="CE510" s="2925"/>
      <c r="CF510" s="2925"/>
      <c r="CG510" s="2925"/>
      <c r="CH510" s="2925"/>
      <c r="CI510" s="2925"/>
      <c r="CJ510" s="2925"/>
      <c r="CK510" s="2925"/>
      <c r="CL510" s="2925"/>
      <c r="CM510" s="2925"/>
      <c r="CN510" s="2925"/>
      <c r="CO510" s="2925"/>
      <c r="CP510" s="2925"/>
      <c r="CQ510" s="2925"/>
      <c r="CR510" s="2925"/>
      <c r="CS510" s="2925"/>
      <c r="CT510" s="2925"/>
      <c r="CU510" s="2926"/>
      <c r="CV510" s="2300" t="str">
        <f t="shared" si="658"/>
        <v/>
      </c>
      <c r="CW510" s="2300"/>
      <c r="CX510" s="2300"/>
      <c r="CY510" s="2300"/>
      <c r="CZ510" s="2300"/>
      <c r="DA510" s="2300"/>
      <c r="DC510" s="329" t="str">
        <f t="shared" si="659"/>
        <v/>
      </c>
      <c r="DD510" s="197"/>
      <c r="DF510" s="14"/>
      <c r="DG510" s="14"/>
      <c r="DH510" s="14"/>
      <c r="DI510" s="1596"/>
      <c r="DJ510" s="1170" t="s">
        <v>2749</v>
      </c>
      <c r="DK510" s="1604" t="str">
        <f t="shared" si="660"/>
        <v/>
      </c>
      <c r="DL510" s="437" t="str">
        <f t="shared" si="661"/>
        <v/>
      </c>
      <c r="DM510" s="1129">
        <f t="shared" si="662"/>
        <v>0</v>
      </c>
      <c r="DN510" s="266">
        <f t="shared" si="663"/>
        <v>0</v>
      </c>
      <c r="DO510" s="266">
        <f t="shared" si="664"/>
        <v>0</v>
      </c>
      <c r="DP510" s="267">
        <f t="shared" si="665"/>
        <v>0</v>
      </c>
      <c r="DQ510" s="1134" t="s">
        <v>1768</v>
      </c>
      <c r="DR510" s="265" t="str">
        <f t="shared" si="666"/>
        <v>排煙設備の作動の状況</v>
      </c>
      <c r="DS510" s="125">
        <f t="shared" si="667"/>
        <v>0</v>
      </c>
      <c r="DT510" s="270" t="str">
        <f t="shared" si="668"/>
        <v/>
      </c>
      <c r="DU510" s="57" t="str">
        <f t="shared" si="669"/>
        <v/>
      </c>
      <c r="DV510" s="57" t="str">
        <f>IF($DT510="要是正",MAX($DV$492:DV509)+1,"")</f>
        <v/>
      </c>
      <c r="DW510" s="12" t="str">
        <f t="shared" si="670"/>
        <v/>
      </c>
      <c r="DX510" s="300" t="str">
        <f t="shared" si="671"/>
        <v/>
      </c>
      <c r="DY510" s="2055" t="str">
        <f t="shared" si="672"/>
        <v/>
      </c>
      <c r="DZ510" s="315" t="str">
        <f t="shared" si="673"/>
        <v/>
      </c>
      <c r="EA510" s="205" t="str">
        <f t="shared" si="674"/>
        <v/>
      </c>
      <c r="EB510" s="138" t="str">
        <f t="shared" si="675"/>
        <v/>
      </c>
      <c r="EC510" s="131" t="str">
        <f t="shared" si="676"/>
        <v>0</v>
      </c>
      <c r="ED510" s="54" t="str">
        <f t="shared" si="677"/>
        <v/>
      </c>
      <c r="EE510" s="131" t="str">
        <f t="shared" si="732"/>
        <v>0</v>
      </c>
      <c r="EF510" s="37" t="str">
        <f t="shared" si="679"/>
        <v/>
      </c>
      <c r="EG510" s="247" t="str">
        <f t="shared" si="680"/>
        <v/>
      </c>
      <c r="EH510" s="248" t="str">
        <f t="shared" si="681"/>
        <v>0</v>
      </c>
      <c r="EI510" s="249" t="str">
        <f t="shared" si="682"/>
        <v/>
      </c>
      <c r="EJ510" s="250" t="str">
        <f t="shared" si="733"/>
        <v>0</v>
      </c>
      <c r="EK510" s="251" t="str">
        <f t="shared" si="684"/>
        <v/>
      </c>
      <c r="EL510" s="136" t="e">
        <f t="shared" si="685"/>
        <v>#N/A</v>
      </c>
      <c r="EM510" s="137" t="e">
        <f t="shared" si="686"/>
        <v>#N/A</v>
      </c>
      <c r="EN510" s="244" t="e">
        <f t="shared" si="687"/>
        <v>#N/A</v>
      </c>
      <c r="FK510" s="326" t="str">
        <f t="shared" si="688"/>
        <v/>
      </c>
      <c r="FL510" s="326" t="str">
        <f t="shared" si="689"/>
        <v/>
      </c>
      <c r="FM510" s="326" t="str">
        <f t="shared" si="690"/>
        <v/>
      </c>
      <c r="FN510" s="326">
        <f t="shared" si="691"/>
        <v>0</v>
      </c>
      <c r="FO510" s="670"/>
      <c r="FQ510" s="138" t="str">
        <f t="shared" si="692"/>
        <v/>
      </c>
      <c r="FR510" s="131" t="str">
        <f t="shared" si="693"/>
        <v>0</v>
      </c>
      <c r="FS510" s="54" t="str">
        <f t="shared" si="694"/>
        <v/>
      </c>
      <c r="FT510" s="131" t="str">
        <f t="shared" si="695"/>
        <v>0</v>
      </c>
      <c r="FU510" s="217" t="str">
        <f t="shared" si="696"/>
        <v/>
      </c>
      <c r="FW510" s="667">
        <f t="shared" si="657"/>
        <v>0</v>
      </c>
      <c r="FX510" s="32"/>
      <c r="FY510" s="32"/>
      <c r="FZ510" s="668"/>
      <c r="GA510" s="14"/>
      <c r="GB510" s="658">
        <f t="shared" si="697"/>
        <v>0</v>
      </c>
      <c r="GC510" s="658">
        <f t="shared" si="698"/>
        <v>0</v>
      </c>
      <c r="GD510" s="658">
        <f t="shared" si="699"/>
        <v>0</v>
      </c>
      <c r="GE510" s="658" t="str">
        <f t="shared" si="700"/>
        <v/>
      </c>
      <c r="GF510" s="658" t="str">
        <f t="shared" si="701"/>
        <v/>
      </c>
      <c r="GG510" s="658" t="str">
        <f t="shared" si="702"/>
        <v/>
      </c>
      <c r="GH510" s="658" t="str">
        <f t="shared" si="703"/>
        <v/>
      </c>
      <c r="GI510" s="658" t="str">
        <f t="shared" si="704"/>
        <v/>
      </c>
      <c r="GJ510" s="658" t="str">
        <f t="shared" si="705"/>
        <v/>
      </c>
      <c r="GK510" s="658" t="str">
        <f t="shared" si="706"/>
        <v/>
      </c>
      <c r="GL510" s="658" t="str">
        <f t="shared" si="707"/>
        <v/>
      </c>
      <c r="GM510" s="658" t="str">
        <f t="shared" si="708"/>
        <v/>
      </c>
      <c r="GN510" s="658" t="str">
        <f t="shared" si="709"/>
        <v/>
      </c>
      <c r="GO510" s="658" t="str">
        <f t="shared" si="710"/>
        <v/>
      </c>
      <c r="GP510" s="658" t="str">
        <f t="shared" si="711"/>
        <v/>
      </c>
      <c r="GQ510" s="658" t="str">
        <f t="shared" si="712"/>
        <v/>
      </c>
      <c r="GR510" s="658" t="str">
        <f t="shared" si="713"/>
        <v/>
      </c>
      <c r="GS510" s="658" t="str">
        <f t="shared" si="714"/>
        <v/>
      </c>
      <c r="GT510" s="658">
        <f t="shared" si="735"/>
        <v>0</v>
      </c>
      <c r="GU510" s="658">
        <f t="shared" si="736"/>
        <v>0</v>
      </c>
      <c r="GV510" s="658">
        <f t="shared" si="737"/>
        <v>0</v>
      </c>
      <c r="GW510" s="658" t="b">
        <f t="shared" si="738"/>
        <v>0</v>
      </c>
      <c r="GX510" s="658" t="b">
        <f t="shared" si="739"/>
        <v>0</v>
      </c>
      <c r="GY510" s="658" t="b">
        <f t="shared" si="740"/>
        <v>0</v>
      </c>
      <c r="GZ510" s="658" t="str">
        <f t="shared" si="557"/>
        <v/>
      </c>
      <c r="HB510" s="658" t="str">
        <f t="shared" si="759"/>
        <v/>
      </c>
      <c r="HC510" s="658" t="str">
        <f t="shared" si="715"/>
        <v/>
      </c>
      <c r="HD510" s="658" t="str">
        <f t="shared" si="716"/>
        <v/>
      </c>
      <c r="HE510" s="658" t="str">
        <f t="shared" si="717"/>
        <v/>
      </c>
      <c r="HF510" s="658" t="str">
        <f t="shared" si="718"/>
        <v/>
      </c>
      <c r="HG510" s="658" t="str">
        <f t="shared" si="719"/>
        <v/>
      </c>
      <c r="HH510" s="658" t="str">
        <f t="shared" si="720"/>
        <v/>
      </c>
      <c r="HI510" s="658" t="str">
        <f t="shared" si="721"/>
        <v/>
      </c>
      <c r="HJ510" s="658" t="str">
        <f t="shared" si="722"/>
        <v/>
      </c>
      <c r="HK510" s="658" t="str">
        <f t="shared" si="723"/>
        <v/>
      </c>
      <c r="HL510" s="658" t="str">
        <f t="shared" si="724"/>
        <v/>
      </c>
      <c r="HM510" s="658" t="str">
        <f t="shared" si="725"/>
        <v/>
      </c>
      <c r="HN510" s="658" t="str">
        <f t="shared" si="726"/>
        <v/>
      </c>
      <c r="HO510" s="658" t="str">
        <f t="shared" si="727"/>
        <v/>
      </c>
      <c r="HP510" s="658" t="str">
        <f t="shared" si="728"/>
        <v/>
      </c>
      <c r="HQ510" s="658" t="str">
        <f t="shared" si="729"/>
        <v/>
      </c>
      <c r="HR510" s="658" t="str">
        <f t="shared" si="760"/>
        <v/>
      </c>
      <c r="HT510" s="658">
        <f>LEFT(M510,1)*10000+MID(M510,3,LEN(M510)-3)*100+COUNTIF($M$319:M510,M510)</f>
        <v>71401</v>
      </c>
      <c r="HU510" s="658" t="str">
        <f t="shared" si="761"/>
        <v/>
      </c>
      <c r="HV510" s="658" t="str">
        <f t="shared" si="730"/>
        <v/>
      </c>
      <c r="HW510" s="658" t="str">
        <f t="shared" si="762"/>
        <v/>
      </c>
      <c r="HX510" s="658" t="str">
        <f t="shared" si="731"/>
        <v/>
      </c>
    </row>
    <row r="511" spans="1:232" s="19" customFormat="1" ht="51.75" customHeight="1" thickBot="1" x14ac:dyDescent="0.2">
      <c r="A511" s="1201"/>
      <c r="B511" s="1201"/>
      <c r="C511" s="1201"/>
      <c r="D511" s="1201"/>
      <c r="E511" s="1202"/>
      <c r="F511" s="652"/>
      <c r="G511" s="652"/>
      <c r="H511" s="652"/>
      <c r="I511" s="1354"/>
      <c r="J511" s="1234"/>
      <c r="K511" s="1261"/>
      <c r="L511" s="1261"/>
      <c r="M511" s="2143" t="s">
        <v>1769</v>
      </c>
      <c r="N511" s="2143"/>
      <c r="O511" s="2143"/>
      <c r="P511" s="2480" t="s">
        <v>127</v>
      </c>
      <c r="Q511" s="2480"/>
      <c r="R511" s="2480"/>
      <c r="S511" s="2480"/>
      <c r="T511" s="2480"/>
      <c r="U511" s="2445" t="s">
        <v>3063</v>
      </c>
      <c r="V511" s="2660"/>
      <c r="W511" s="2660"/>
      <c r="X511" s="2660"/>
      <c r="Y511" s="2660"/>
      <c r="Z511" s="2660"/>
      <c r="AA511" s="2660"/>
      <c r="AB511" s="2660"/>
      <c r="AC511" s="2660"/>
      <c r="AD511" s="2660"/>
      <c r="AE511" s="2660"/>
      <c r="AF511" s="2441"/>
      <c r="AG511" s="2441"/>
      <c r="AH511" s="2441"/>
      <c r="AI511" s="2441"/>
      <c r="AJ511" s="2441"/>
      <c r="AK511" s="2441"/>
      <c r="AL511" s="2441"/>
      <c r="AM511" s="2441"/>
      <c r="AN511" s="2441"/>
      <c r="AO511" s="2441"/>
      <c r="AP511" s="2441"/>
      <c r="AQ511" s="2442"/>
      <c r="AR511" s="2692"/>
      <c r="AS511" s="2692"/>
      <c r="AT511" s="2301"/>
      <c r="AU511" s="2301"/>
      <c r="AV511" s="2301"/>
      <c r="AW511" s="2301"/>
      <c r="AX511" s="2301"/>
      <c r="AY511" s="2301"/>
      <c r="AZ511" s="2301"/>
      <c r="BA511" s="2301"/>
      <c r="BB511" s="2301"/>
      <c r="BC511" s="2301"/>
      <c r="BD511" s="2301"/>
      <c r="BE511" s="2301"/>
      <c r="BF511" s="2301"/>
      <c r="BG511" s="2301"/>
      <c r="BH511" s="2301"/>
      <c r="BI511" s="2301"/>
      <c r="BJ511" s="2301"/>
      <c r="BK511" s="2301"/>
      <c r="BL511" s="2301"/>
      <c r="BM511" s="2301"/>
      <c r="BN511" s="2301"/>
      <c r="BO511" s="2301"/>
      <c r="BP511" s="2301"/>
      <c r="BQ511" s="2301"/>
      <c r="BR511" s="2301"/>
      <c r="BS511" s="2358"/>
      <c r="BT511" s="2358"/>
      <c r="BU511" s="2358"/>
      <c r="BV511" s="2358"/>
      <c r="BW511" s="2358"/>
      <c r="BX511" s="2358"/>
      <c r="BY511" s="2358"/>
      <c r="BZ511" s="2359"/>
      <c r="CA511" s="2359"/>
      <c r="CB511" s="2914" t="str">
        <f>IF(AB282="無","→7(14)～(18)は「―対象外」を選択してください。",IF(AB286="対象","→7(14)～(18)は「―対象外」を選択してください。（当該設備がある場合は、建築設備の定期検査報告で報告してください。）",""))</f>
        <v/>
      </c>
      <c r="CC511" s="2915"/>
      <c r="CD511" s="2915"/>
      <c r="CE511" s="2915"/>
      <c r="CF511" s="2915"/>
      <c r="CG511" s="2915"/>
      <c r="CH511" s="2915"/>
      <c r="CI511" s="2915"/>
      <c r="CJ511" s="2915"/>
      <c r="CK511" s="2915"/>
      <c r="CL511" s="2915"/>
      <c r="CM511" s="2915"/>
      <c r="CN511" s="2915"/>
      <c r="CO511" s="2915"/>
      <c r="CP511" s="2915"/>
      <c r="CQ511" s="2915"/>
      <c r="CR511" s="2915"/>
      <c r="CS511" s="2915"/>
      <c r="CT511" s="2915"/>
      <c r="CU511" s="2916"/>
      <c r="CV511" s="2300" t="str">
        <f t="shared" ref="CV511:CV514" si="763">IF(AND(DT511="要是正",DU511&lt;21),HYPERLINK("#"&amp;EL511&amp;"!"&amp;EM511&amp;":"&amp;EN511&amp;"","関連写真添付"),"")</f>
        <v/>
      </c>
      <c r="CW511" s="2300"/>
      <c r="CX511" s="2300"/>
      <c r="CY511" s="2300"/>
      <c r="CZ511" s="2300"/>
      <c r="DA511" s="2300"/>
      <c r="DC511" s="329" t="str">
        <f t="shared" ref="DC511:DC514" si="764">IF(AND(DU511&lt;&gt;"",DU511&gt;20),"「別途様式を作成、提出してください。」","")</f>
        <v/>
      </c>
      <c r="DD511" s="197"/>
      <c r="DF511" s="14"/>
      <c r="DG511" s="14"/>
      <c r="DH511" s="14"/>
      <c r="DI511" s="1596"/>
      <c r="DJ511" s="1170" t="s">
        <v>2749</v>
      </c>
      <c r="DK511" s="1604" t="str">
        <f t="shared" si="660"/>
        <v/>
      </c>
      <c r="DL511" s="437" t="str">
        <f t="shared" si="661"/>
        <v/>
      </c>
      <c r="DM511" s="1129">
        <f t="shared" si="662"/>
        <v>0</v>
      </c>
      <c r="DN511" s="266">
        <f t="shared" si="663"/>
        <v>0</v>
      </c>
      <c r="DO511" s="266">
        <f t="shared" si="664"/>
        <v>0</v>
      </c>
      <c r="DP511" s="267">
        <f t="shared" si="665"/>
        <v>0</v>
      </c>
      <c r="DQ511" s="1134" t="s">
        <v>1769</v>
      </c>
      <c r="DR511" s="265" t="str">
        <f t="shared" si="666"/>
        <v>階段室又は令123条第3項第1号に規定する付室の排煙設備の作動の状況</v>
      </c>
      <c r="DS511" s="125">
        <f t="shared" si="667"/>
        <v>0</v>
      </c>
      <c r="DT511" s="270" t="str">
        <f t="shared" si="668"/>
        <v/>
      </c>
      <c r="DU511" s="57" t="str">
        <f t="shared" si="669"/>
        <v/>
      </c>
      <c r="DV511" s="57" t="str">
        <f>IF($DT511="要是正",MAX($DV$492:DV510)+1,"")</f>
        <v/>
      </c>
      <c r="DW511" s="12" t="str">
        <f t="shared" si="670"/>
        <v/>
      </c>
      <c r="DX511" s="300" t="str">
        <f t="shared" si="671"/>
        <v/>
      </c>
      <c r="DY511" s="2055" t="str">
        <f t="shared" si="672"/>
        <v/>
      </c>
      <c r="DZ511" s="315" t="str">
        <f t="shared" si="673"/>
        <v/>
      </c>
      <c r="EA511" s="205" t="str">
        <f t="shared" si="674"/>
        <v/>
      </c>
      <c r="EB511" s="138" t="str">
        <f t="shared" si="675"/>
        <v/>
      </c>
      <c r="EC511" s="131" t="str">
        <f t="shared" si="676"/>
        <v>0</v>
      </c>
      <c r="ED511" s="54" t="str">
        <f t="shared" si="677"/>
        <v/>
      </c>
      <c r="EE511" s="131" t="str">
        <f t="shared" ref="EE511:EE514" si="765">IF(ED511=1,EC511,"0")</f>
        <v>0</v>
      </c>
      <c r="EF511" s="37" t="str">
        <f t="shared" si="679"/>
        <v/>
      </c>
      <c r="EG511" s="247" t="str">
        <f t="shared" si="680"/>
        <v/>
      </c>
      <c r="EH511" s="248" t="str">
        <f t="shared" si="681"/>
        <v>0</v>
      </c>
      <c r="EI511" s="249" t="str">
        <f t="shared" si="682"/>
        <v/>
      </c>
      <c r="EJ511" s="250" t="str">
        <f t="shared" ref="EJ511:EJ514" si="766">IF(EI511=1,EH511,"0")</f>
        <v>0</v>
      </c>
      <c r="EK511" s="251" t="str">
        <f t="shared" si="684"/>
        <v/>
      </c>
      <c r="EL511" s="136" t="e">
        <f t="shared" ref="EL511:EL514" si="767">VLOOKUP($DU511,$EO$318:$ER$346,2,FALSE)</f>
        <v>#N/A</v>
      </c>
      <c r="EM511" s="137" t="e">
        <f t="shared" ref="EM511:EM514" si="768">VLOOKUP($DU511,$EO$318:$ER$346,3,FALSE)</f>
        <v>#N/A</v>
      </c>
      <c r="EN511" s="244" t="e">
        <f t="shared" ref="EN511:EN514" si="769">VLOOKUP($DU511,$EO$318:$ER$346,4,FALSE)</f>
        <v>#N/A</v>
      </c>
      <c r="FK511" s="326" t="str">
        <f t="shared" si="688"/>
        <v/>
      </c>
      <c r="FL511" s="326" t="str">
        <f t="shared" si="689"/>
        <v/>
      </c>
      <c r="FM511" s="326" t="str">
        <f t="shared" si="690"/>
        <v/>
      </c>
      <c r="FN511" s="326">
        <f t="shared" si="691"/>
        <v>0</v>
      </c>
      <c r="FO511" s="670"/>
      <c r="FQ511" s="138" t="str">
        <f t="shared" si="692"/>
        <v/>
      </c>
      <c r="FR511" s="131" t="str">
        <f t="shared" si="693"/>
        <v>0</v>
      </c>
      <c r="FS511" s="54" t="str">
        <f t="shared" si="694"/>
        <v/>
      </c>
      <c r="FT511" s="131" t="str">
        <f t="shared" ref="FT511:FT514" si="770">IF(FS511=1,FR511,"0")</f>
        <v>0</v>
      </c>
      <c r="FU511" s="217" t="str">
        <f t="shared" ref="FU511:FU514" si="771">IF(AND(FM511="要是正",AND(FL511=0,DR511="未定")),DR511,"")</f>
        <v/>
      </c>
      <c r="FW511" s="667">
        <f t="shared" si="657"/>
        <v>0</v>
      </c>
      <c r="FX511" s="32"/>
      <c r="FY511" s="32"/>
      <c r="FZ511" s="668"/>
      <c r="GA511" s="14"/>
      <c r="GB511" s="658">
        <f t="shared" si="697"/>
        <v>0</v>
      </c>
      <c r="GC511" s="658">
        <f t="shared" si="698"/>
        <v>0</v>
      </c>
      <c r="GD511" s="658">
        <f t="shared" si="699"/>
        <v>0</v>
      </c>
      <c r="GE511" s="658" t="str">
        <f t="shared" si="700"/>
        <v/>
      </c>
      <c r="GF511" s="658" t="str">
        <f t="shared" si="701"/>
        <v/>
      </c>
      <c r="GG511" s="658" t="str">
        <f t="shared" si="702"/>
        <v/>
      </c>
      <c r="GH511" s="658" t="str">
        <f t="shared" si="703"/>
        <v/>
      </c>
      <c r="GI511" s="658" t="str">
        <f t="shared" si="704"/>
        <v/>
      </c>
      <c r="GJ511" s="658" t="str">
        <f t="shared" si="705"/>
        <v/>
      </c>
      <c r="GK511" s="658" t="str">
        <f t="shared" si="706"/>
        <v/>
      </c>
      <c r="GL511" s="658" t="str">
        <f t="shared" si="707"/>
        <v/>
      </c>
      <c r="GM511" s="658" t="str">
        <f t="shared" si="708"/>
        <v/>
      </c>
      <c r="GN511" s="658" t="str">
        <f t="shared" si="709"/>
        <v/>
      </c>
      <c r="GO511" s="658" t="str">
        <f t="shared" si="710"/>
        <v/>
      </c>
      <c r="GP511" s="658" t="str">
        <f t="shared" si="711"/>
        <v/>
      </c>
      <c r="GQ511" s="658" t="str">
        <f t="shared" si="712"/>
        <v/>
      </c>
      <c r="GR511" s="658" t="str">
        <f t="shared" si="713"/>
        <v/>
      </c>
      <c r="GS511" s="658" t="str">
        <f t="shared" si="714"/>
        <v/>
      </c>
      <c r="GT511" s="658">
        <f t="shared" si="735"/>
        <v>0</v>
      </c>
      <c r="GU511" s="658">
        <f t="shared" si="736"/>
        <v>0</v>
      </c>
      <c r="GV511" s="658">
        <f t="shared" si="737"/>
        <v>0</v>
      </c>
      <c r="GW511" s="658" t="b">
        <f t="shared" si="738"/>
        <v>0</v>
      </c>
      <c r="GX511" s="658" t="b">
        <f t="shared" si="739"/>
        <v>0</v>
      </c>
      <c r="GY511" s="658" t="b">
        <f t="shared" si="740"/>
        <v>0</v>
      </c>
      <c r="GZ511" s="658" t="str">
        <f t="shared" si="557"/>
        <v/>
      </c>
      <c r="HB511" s="658" t="str">
        <f t="shared" si="759"/>
        <v/>
      </c>
      <c r="HC511" s="658" t="str">
        <f t="shared" si="715"/>
        <v/>
      </c>
      <c r="HD511" s="658" t="str">
        <f t="shared" si="716"/>
        <v/>
      </c>
      <c r="HE511" s="658" t="str">
        <f t="shared" si="717"/>
        <v/>
      </c>
      <c r="HF511" s="658" t="str">
        <f t="shared" si="718"/>
        <v/>
      </c>
      <c r="HG511" s="658" t="str">
        <f t="shared" si="719"/>
        <v/>
      </c>
      <c r="HH511" s="658" t="str">
        <f t="shared" si="720"/>
        <v/>
      </c>
      <c r="HI511" s="658" t="str">
        <f t="shared" si="721"/>
        <v/>
      </c>
      <c r="HJ511" s="658" t="str">
        <f t="shared" si="722"/>
        <v/>
      </c>
      <c r="HK511" s="658" t="str">
        <f t="shared" si="723"/>
        <v/>
      </c>
      <c r="HL511" s="658" t="str">
        <f t="shared" si="724"/>
        <v/>
      </c>
      <c r="HM511" s="658" t="str">
        <f t="shared" si="725"/>
        <v/>
      </c>
      <c r="HN511" s="658" t="str">
        <f t="shared" si="726"/>
        <v/>
      </c>
      <c r="HO511" s="658" t="str">
        <f t="shared" si="727"/>
        <v/>
      </c>
      <c r="HP511" s="658" t="str">
        <f t="shared" si="728"/>
        <v/>
      </c>
      <c r="HQ511" s="658" t="str">
        <f t="shared" si="729"/>
        <v/>
      </c>
      <c r="HR511" s="658" t="str">
        <f t="shared" si="760"/>
        <v/>
      </c>
      <c r="HT511" s="658">
        <f>LEFT(M511,1)*10000+MID(M511,3,LEN(M511)-3)*100+COUNTIF($M$319:M511,M511)</f>
        <v>71501</v>
      </c>
      <c r="HU511" s="658" t="str">
        <f t="shared" si="761"/>
        <v/>
      </c>
      <c r="HV511" s="658" t="str">
        <f t="shared" si="730"/>
        <v/>
      </c>
      <c r="HW511" s="658" t="str">
        <f t="shared" si="762"/>
        <v/>
      </c>
      <c r="HX511" s="658" t="str">
        <f t="shared" si="731"/>
        <v/>
      </c>
    </row>
    <row r="512" spans="1:232" s="19" customFormat="1" ht="66" customHeight="1" thickBot="1" x14ac:dyDescent="0.2">
      <c r="A512" s="1201"/>
      <c r="B512" s="1201"/>
      <c r="C512" s="1201"/>
      <c r="D512" s="1201"/>
      <c r="E512" s="1202"/>
      <c r="F512" s="652"/>
      <c r="G512" s="652"/>
      <c r="H512" s="652"/>
      <c r="I512" s="1354"/>
      <c r="J512" s="1234"/>
      <c r="K512" s="1261"/>
      <c r="L512" s="1261"/>
      <c r="M512" s="2143" t="s">
        <v>3057</v>
      </c>
      <c r="N512" s="2143"/>
      <c r="O512" s="2143"/>
      <c r="P512" s="2480" t="s">
        <v>2834</v>
      </c>
      <c r="Q512" s="2480"/>
      <c r="R512" s="2480"/>
      <c r="S512" s="2480"/>
      <c r="T512" s="2480"/>
      <c r="U512" s="2429" t="s">
        <v>3064</v>
      </c>
      <c r="V512" s="2659"/>
      <c r="W512" s="2659"/>
      <c r="X512" s="2659"/>
      <c r="Y512" s="2659"/>
      <c r="Z512" s="2659"/>
      <c r="AA512" s="2659"/>
      <c r="AB512" s="2659"/>
      <c r="AC512" s="2659"/>
      <c r="AD512" s="2659"/>
      <c r="AE512" s="2659"/>
      <c r="AF512" s="2441"/>
      <c r="AG512" s="2441"/>
      <c r="AH512" s="2441"/>
      <c r="AI512" s="2441"/>
      <c r="AJ512" s="2441"/>
      <c r="AK512" s="2441"/>
      <c r="AL512" s="2441"/>
      <c r="AM512" s="2441"/>
      <c r="AN512" s="2441"/>
      <c r="AO512" s="2441"/>
      <c r="AP512" s="2441"/>
      <c r="AQ512" s="2442"/>
      <c r="AR512" s="2692"/>
      <c r="AS512" s="2692"/>
      <c r="AT512" s="2301"/>
      <c r="AU512" s="2301"/>
      <c r="AV512" s="2301"/>
      <c r="AW512" s="2301"/>
      <c r="AX512" s="2301"/>
      <c r="AY512" s="2301"/>
      <c r="AZ512" s="2301"/>
      <c r="BA512" s="2301"/>
      <c r="BB512" s="2301"/>
      <c r="BC512" s="2301"/>
      <c r="BD512" s="2301"/>
      <c r="BE512" s="2301"/>
      <c r="BF512" s="2301"/>
      <c r="BG512" s="2301"/>
      <c r="BH512" s="2301"/>
      <c r="BI512" s="2301"/>
      <c r="BJ512" s="2301"/>
      <c r="BK512" s="2301"/>
      <c r="BL512" s="2301"/>
      <c r="BM512" s="2301"/>
      <c r="BN512" s="2301"/>
      <c r="BO512" s="2301"/>
      <c r="BP512" s="2301"/>
      <c r="BQ512" s="2301"/>
      <c r="BR512" s="2301"/>
      <c r="BS512" s="2358"/>
      <c r="BT512" s="2358"/>
      <c r="BU512" s="2358"/>
      <c r="BV512" s="2358"/>
      <c r="BW512" s="2358"/>
      <c r="BX512" s="2358"/>
      <c r="BY512" s="2358"/>
      <c r="BZ512" s="2359"/>
      <c r="CA512" s="2359"/>
      <c r="CB512" s="2398"/>
      <c r="CC512" s="2399"/>
      <c r="CD512" s="2399"/>
      <c r="CE512" s="2399"/>
      <c r="CF512" s="2399"/>
      <c r="CG512" s="2399"/>
      <c r="CH512" s="2399"/>
      <c r="CI512" s="2399"/>
      <c r="CJ512" s="2399"/>
      <c r="CK512" s="2399"/>
      <c r="CL512" s="2399"/>
      <c r="CM512" s="2399"/>
      <c r="CN512" s="2399"/>
      <c r="CO512" s="2399"/>
      <c r="CP512" s="2399"/>
      <c r="CQ512" s="2399"/>
      <c r="CR512" s="2399"/>
      <c r="CS512" s="2399"/>
      <c r="CT512" s="2399"/>
      <c r="CU512" s="2400"/>
      <c r="CV512" s="2300" t="str">
        <f t="shared" si="763"/>
        <v/>
      </c>
      <c r="CW512" s="2300"/>
      <c r="CX512" s="2300"/>
      <c r="CY512" s="2300"/>
      <c r="CZ512" s="2300"/>
      <c r="DA512" s="2300"/>
      <c r="DC512" s="329" t="str">
        <f t="shared" si="764"/>
        <v/>
      </c>
      <c r="DD512" s="197"/>
      <c r="DF512" s="14"/>
      <c r="DG512" s="14"/>
      <c r="DH512" s="14"/>
      <c r="DI512" s="1596"/>
      <c r="DJ512" s="1170" t="s">
        <v>2749</v>
      </c>
      <c r="DK512" s="1604" t="str">
        <f t="shared" si="660"/>
        <v/>
      </c>
      <c r="DL512" s="437" t="str">
        <f t="shared" si="661"/>
        <v/>
      </c>
      <c r="DM512" s="1129">
        <f t="shared" si="662"/>
        <v>0</v>
      </c>
      <c r="DN512" s="266">
        <f t="shared" si="663"/>
        <v>0</v>
      </c>
      <c r="DO512" s="266">
        <f t="shared" si="664"/>
        <v>0</v>
      </c>
      <c r="DP512" s="267">
        <f t="shared" si="665"/>
        <v>0</v>
      </c>
      <c r="DQ512" s="1134" t="s">
        <v>3057</v>
      </c>
      <c r="DR512" s="265" t="str">
        <f t="shared" si="666"/>
        <v>昇降路又は令129条の13の3第3項に規定する乗降ロビーの排煙設備の作動の状況</v>
      </c>
      <c r="DS512" s="125">
        <f t="shared" si="667"/>
        <v>0</v>
      </c>
      <c r="DT512" s="270" t="str">
        <f t="shared" si="668"/>
        <v/>
      </c>
      <c r="DU512" s="57" t="str">
        <f t="shared" si="669"/>
        <v/>
      </c>
      <c r="DV512" s="57" t="str">
        <f>IF($DT512="要是正",MAX($DV$492:DV511)+1,"")</f>
        <v/>
      </c>
      <c r="DW512" s="12" t="str">
        <f t="shared" si="670"/>
        <v/>
      </c>
      <c r="DX512" s="300" t="str">
        <f t="shared" si="671"/>
        <v/>
      </c>
      <c r="DY512" s="2055" t="str">
        <f t="shared" si="672"/>
        <v/>
      </c>
      <c r="DZ512" s="315" t="str">
        <f t="shared" si="673"/>
        <v/>
      </c>
      <c r="EA512" s="205" t="str">
        <f t="shared" si="674"/>
        <v/>
      </c>
      <c r="EB512" s="138" t="str">
        <f t="shared" si="675"/>
        <v/>
      </c>
      <c r="EC512" s="131" t="str">
        <f t="shared" si="676"/>
        <v>0</v>
      </c>
      <c r="ED512" s="54" t="str">
        <f t="shared" si="677"/>
        <v/>
      </c>
      <c r="EE512" s="131" t="str">
        <f t="shared" si="765"/>
        <v>0</v>
      </c>
      <c r="EF512" s="37" t="str">
        <f t="shared" si="679"/>
        <v/>
      </c>
      <c r="EG512" s="247" t="str">
        <f t="shared" si="680"/>
        <v/>
      </c>
      <c r="EH512" s="248" t="str">
        <f t="shared" si="681"/>
        <v>0</v>
      </c>
      <c r="EI512" s="249" t="str">
        <f t="shared" si="682"/>
        <v/>
      </c>
      <c r="EJ512" s="250" t="str">
        <f t="shared" si="766"/>
        <v>0</v>
      </c>
      <c r="EK512" s="251" t="str">
        <f t="shared" si="684"/>
        <v/>
      </c>
      <c r="EL512" s="136" t="e">
        <f t="shared" si="767"/>
        <v>#N/A</v>
      </c>
      <c r="EM512" s="137" t="e">
        <f t="shared" si="768"/>
        <v>#N/A</v>
      </c>
      <c r="EN512" s="244" t="e">
        <f t="shared" si="769"/>
        <v>#N/A</v>
      </c>
      <c r="FK512" s="326" t="str">
        <f t="shared" si="688"/>
        <v/>
      </c>
      <c r="FL512" s="326" t="str">
        <f t="shared" si="689"/>
        <v/>
      </c>
      <c r="FM512" s="326" t="str">
        <f t="shared" si="690"/>
        <v/>
      </c>
      <c r="FN512" s="326">
        <f t="shared" si="691"/>
        <v>0</v>
      </c>
      <c r="FO512" s="670"/>
      <c r="FQ512" s="138" t="str">
        <f t="shared" si="692"/>
        <v/>
      </c>
      <c r="FR512" s="131" t="str">
        <f t="shared" si="693"/>
        <v>0</v>
      </c>
      <c r="FS512" s="54" t="str">
        <f t="shared" si="694"/>
        <v/>
      </c>
      <c r="FT512" s="131" t="str">
        <f t="shared" si="770"/>
        <v>0</v>
      </c>
      <c r="FU512" s="217" t="str">
        <f t="shared" si="771"/>
        <v/>
      </c>
      <c r="FW512" s="667">
        <f t="shared" si="657"/>
        <v>0</v>
      </c>
      <c r="FX512" s="32"/>
      <c r="FY512" s="32"/>
      <c r="FZ512" s="668"/>
      <c r="GA512" s="14"/>
      <c r="GB512" s="658">
        <f t="shared" si="697"/>
        <v>0</v>
      </c>
      <c r="GC512" s="658">
        <f t="shared" si="698"/>
        <v>0</v>
      </c>
      <c r="GD512" s="658">
        <f t="shared" si="699"/>
        <v>0</v>
      </c>
      <c r="GE512" s="658" t="str">
        <f t="shared" si="700"/>
        <v/>
      </c>
      <c r="GF512" s="658" t="str">
        <f t="shared" si="701"/>
        <v/>
      </c>
      <c r="GG512" s="658" t="str">
        <f t="shared" si="702"/>
        <v/>
      </c>
      <c r="GH512" s="658" t="str">
        <f t="shared" si="703"/>
        <v/>
      </c>
      <c r="GI512" s="658" t="str">
        <f t="shared" si="704"/>
        <v/>
      </c>
      <c r="GJ512" s="658" t="str">
        <f t="shared" si="705"/>
        <v/>
      </c>
      <c r="GK512" s="658" t="str">
        <f t="shared" si="706"/>
        <v/>
      </c>
      <c r="GL512" s="658" t="str">
        <f t="shared" si="707"/>
        <v/>
      </c>
      <c r="GM512" s="658" t="str">
        <f t="shared" si="708"/>
        <v/>
      </c>
      <c r="GN512" s="658" t="str">
        <f t="shared" si="709"/>
        <v/>
      </c>
      <c r="GO512" s="658" t="str">
        <f t="shared" si="710"/>
        <v/>
      </c>
      <c r="GP512" s="658" t="str">
        <f t="shared" si="711"/>
        <v/>
      </c>
      <c r="GQ512" s="658" t="str">
        <f t="shared" si="712"/>
        <v/>
      </c>
      <c r="GR512" s="658" t="str">
        <f t="shared" si="713"/>
        <v/>
      </c>
      <c r="GS512" s="658" t="str">
        <f t="shared" si="714"/>
        <v/>
      </c>
      <c r="GT512" s="658">
        <f t="shared" si="735"/>
        <v>0</v>
      </c>
      <c r="GU512" s="658">
        <f t="shared" si="736"/>
        <v>0</v>
      </c>
      <c r="GV512" s="658">
        <f t="shared" si="737"/>
        <v>0</v>
      </c>
      <c r="GW512" s="658" t="b">
        <f t="shared" si="738"/>
        <v>0</v>
      </c>
      <c r="GX512" s="658" t="b">
        <f t="shared" si="739"/>
        <v>0</v>
      </c>
      <c r="GY512" s="658" t="b">
        <f t="shared" si="740"/>
        <v>0</v>
      </c>
      <c r="GZ512" s="658" t="str">
        <f t="shared" si="557"/>
        <v/>
      </c>
      <c r="HB512" s="658" t="str">
        <f t="shared" si="759"/>
        <v/>
      </c>
      <c r="HC512" s="658" t="str">
        <f t="shared" si="715"/>
        <v/>
      </c>
      <c r="HD512" s="658" t="str">
        <f t="shared" si="716"/>
        <v/>
      </c>
      <c r="HE512" s="658" t="str">
        <f t="shared" si="717"/>
        <v/>
      </c>
      <c r="HF512" s="658" t="str">
        <f t="shared" si="718"/>
        <v/>
      </c>
      <c r="HG512" s="658" t="str">
        <f t="shared" si="719"/>
        <v/>
      </c>
      <c r="HH512" s="658" t="str">
        <f t="shared" si="720"/>
        <v/>
      </c>
      <c r="HI512" s="658" t="str">
        <f t="shared" si="721"/>
        <v/>
      </c>
      <c r="HJ512" s="658" t="str">
        <f t="shared" si="722"/>
        <v/>
      </c>
      <c r="HK512" s="658" t="str">
        <f t="shared" si="723"/>
        <v/>
      </c>
      <c r="HL512" s="658" t="str">
        <f t="shared" si="724"/>
        <v/>
      </c>
      <c r="HM512" s="658" t="str">
        <f t="shared" si="725"/>
        <v/>
      </c>
      <c r="HN512" s="658" t="str">
        <f t="shared" si="726"/>
        <v/>
      </c>
      <c r="HO512" s="658" t="str">
        <f t="shared" si="727"/>
        <v/>
      </c>
      <c r="HP512" s="658" t="str">
        <f t="shared" si="728"/>
        <v/>
      </c>
      <c r="HQ512" s="658" t="str">
        <f t="shared" si="729"/>
        <v/>
      </c>
      <c r="HR512" s="658" t="str">
        <f t="shared" si="760"/>
        <v/>
      </c>
      <c r="HT512" s="658">
        <f>LEFT(M512,1)*10000+MID(M512,3,LEN(M512)-3)*100+COUNTIF($M$319:M512,M512)</f>
        <v>71601</v>
      </c>
      <c r="HU512" s="658" t="str">
        <f t="shared" si="761"/>
        <v/>
      </c>
      <c r="HV512" s="658" t="str">
        <f t="shared" si="730"/>
        <v/>
      </c>
      <c r="HW512" s="658" t="str">
        <f t="shared" si="762"/>
        <v/>
      </c>
      <c r="HX512" s="658" t="str">
        <f t="shared" si="731"/>
        <v/>
      </c>
    </row>
    <row r="513" spans="1:232" s="19" customFormat="1" ht="50.1" customHeight="1" thickBot="1" x14ac:dyDescent="0.2">
      <c r="A513" s="1201"/>
      <c r="B513" s="1201"/>
      <c r="C513" s="1201"/>
      <c r="D513" s="1201"/>
      <c r="E513" s="1202"/>
      <c r="F513" s="652"/>
      <c r="G513" s="652"/>
      <c r="H513" s="652"/>
      <c r="I513" s="1354"/>
      <c r="J513" s="1234"/>
      <c r="K513" s="1261"/>
      <c r="L513" s="1261"/>
      <c r="M513" s="2143" t="s">
        <v>3058</v>
      </c>
      <c r="N513" s="2143"/>
      <c r="O513" s="2143"/>
      <c r="P513" s="2686" t="s">
        <v>3065</v>
      </c>
      <c r="Q513" s="2686"/>
      <c r="R513" s="2686"/>
      <c r="S513" s="2686"/>
      <c r="T513" s="2686"/>
      <c r="U513" s="2438" t="s">
        <v>2839</v>
      </c>
      <c r="V513" s="2683"/>
      <c r="W513" s="2683"/>
      <c r="X513" s="2683"/>
      <c r="Y513" s="2683"/>
      <c r="Z513" s="2683"/>
      <c r="AA513" s="2683"/>
      <c r="AB513" s="2683"/>
      <c r="AC513" s="2683"/>
      <c r="AD513" s="2683"/>
      <c r="AE513" s="2683"/>
      <c r="AF513" s="2466"/>
      <c r="AG513" s="2466"/>
      <c r="AH513" s="2466"/>
      <c r="AI513" s="2466"/>
      <c r="AJ513" s="2466"/>
      <c r="AK513" s="2466"/>
      <c r="AL513" s="2466"/>
      <c r="AM513" s="2466"/>
      <c r="AN513" s="2466"/>
      <c r="AO513" s="2466"/>
      <c r="AP513" s="2466"/>
      <c r="AQ513" s="2467"/>
      <c r="AR513" s="2138"/>
      <c r="AS513" s="2138"/>
      <c r="AT513" s="2406"/>
      <c r="AU513" s="2406"/>
      <c r="AV513" s="2406"/>
      <c r="AW513" s="2406"/>
      <c r="AX513" s="2406"/>
      <c r="AY513" s="2406"/>
      <c r="AZ513" s="2406"/>
      <c r="BA513" s="2406"/>
      <c r="BB513" s="2406"/>
      <c r="BC513" s="2406"/>
      <c r="BD513" s="2406"/>
      <c r="BE513" s="2406"/>
      <c r="BF513" s="2406"/>
      <c r="BG513" s="2406"/>
      <c r="BH513" s="2406"/>
      <c r="BI513" s="2406"/>
      <c r="BJ513" s="2406"/>
      <c r="BK513" s="2406"/>
      <c r="BL513" s="2406"/>
      <c r="BM513" s="2406"/>
      <c r="BN513" s="2406"/>
      <c r="BO513" s="2406"/>
      <c r="BP513" s="2406"/>
      <c r="BQ513" s="2406"/>
      <c r="BR513" s="2406"/>
      <c r="BS513" s="2271"/>
      <c r="BT513" s="2271"/>
      <c r="BU513" s="2271"/>
      <c r="BV513" s="2271"/>
      <c r="BW513" s="2271"/>
      <c r="BX513" s="2271"/>
      <c r="BY513" s="2271"/>
      <c r="BZ513" s="2272"/>
      <c r="CA513" s="2272"/>
      <c r="CB513" s="2398"/>
      <c r="CC513" s="2399"/>
      <c r="CD513" s="2399"/>
      <c r="CE513" s="2399"/>
      <c r="CF513" s="2399"/>
      <c r="CG513" s="2399"/>
      <c r="CH513" s="2399"/>
      <c r="CI513" s="2399"/>
      <c r="CJ513" s="2399"/>
      <c r="CK513" s="2399"/>
      <c r="CL513" s="2399"/>
      <c r="CM513" s="2399"/>
      <c r="CN513" s="2399"/>
      <c r="CO513" s="2399"/>
      <c r="CP513" s="2399"/>
      <c r="CQ513" s="2399"/>
      <c r="CR513" s="2399"/>
      <c r="CS513" s="2399"/>
      <c r="CT513" s="2399"/>
      <c r="CU513" s="2400"/>
      <c r="CV513" s="2300" t="str">
        <f t="shared" si="763"/>
        <v/>
      </c>
      <c r="CW513" s="2300"/>
      <c r="CX513" s="2300"/>
      <c r="CY513" s="2300"/>
      <c r="CZ513" s="2300"/>
      <c r="DA513" s="2300"/>
      <c r="DC513" s="329" t="str">
        <f t="shared" si="764"/>
        <v/>
      </c>
      <c r="DD513" s="197"/>
      <c r="DF513" s="14"/>
      <c r="DG513" s="14"/>
      <c r="DH513" s="14"/>
      <c r="DI513" s="1596"/>
      <c r="DJ513" s="1170" t="s">
        <v>2749</v>
      </c>
      <c r="DK513" s="1604" t="str">
        <f t="shared" si="660"/>
        <v/>
      </c>
      <c r="DL513" s="437" t="str">
        <f t="shared" si="661"/>
        <v/>
      </c>
      <c r="DM513" s="1129">
        <f t="shared" si="662"/>
        <v>0</v>
      </c>
      <c r="DN513" s="266">
        <f t="shared" si="663"/>
        <v>0</v>
      </c>
      <c r="DO513" s="266">
        <f t="shared" si="664"/>
        <v>0</v>
      </c>
      <c r="DP513" s="267">
        <f t="shared" si="665"/>
        <v>0</v>
      </c>
      <c r="DQ513" s="1134" t="s">
        <v>3058</v>
      </c>
      <c r="DR513" s="265" t="str">
        <f t="shared" si="666"/>
        <v>非常用の照明装置の作動の状況</v>
      </c>
      <c r="DS513" s="125">
        <f t="shared" si="667"/>
        <v>0</v>
      </c>
      <c r="DT513" s="270" t="str">
        <f t="shared" si="668"/>
        <v/>
      </c>
      <c r="DU513" s="57" t="str">
        <f t="shared" si="669"/>
        <v/>
      </c>
      <c r="DV513" s="57" t="str">
        <f>IF($DT513="要是正",MAX($DV$492:DV512)+1,"")</f>
        <v/>
      </c>
      <c r="DW513" s="12" t="str">
        <f t="shared" si="670"/>
        <v/>
      </c>
      <c r="DX513" s="300" t="str">
        <f t="shared" si="671"/>
        <v/>
      </c>
      <c r="DY513" s="2055" t="str">
        <f t="shared" si="672"/>
        <v/>
      </c>
      <c r="DZ513" s="315" t="str">
        <f t="shared" si="673"/>
        <v/>
      </c>
      <c r="EA513" s="205" t="str">
        <f t="shared" si="674"/>
        <v/>
      </c>
      <c r="EB513" s="138" t="str">
        <f t="shared" si="675"/>
        <v/>
      </c>
      <c r="EC513" s="131" t="str">
        <f t="shared" si="676"/>
        <v>0</v>
      </c>
      <c r="ED513" s="54" t="str">
        <f t="shared" si="677"/>
        <v/>
      </c>
      <c r="EE513" s="131" t="str">
        <f t="shared" si="765"/>
        <v>0</v>
      </c>
      <c r="EF513" s="37" t="str">
        <f t="shared" si="679"/>
        <v/>
      </c>
      <c r="EG513" s="247" t="str">
        <f t="shared" si="680"/>
        <v/>
      </c>
      <c r="EH513" s="248" t="str">
        <f t="shared" si="681"/>
        <v>0</v>
      </c>
      <c r="EI513" s="249" t="str">
        <f t="shared" si="682"/>
        <v/>
      </c>
      <c r="EJ513" s="250" t="str">
        <f t="shared" si="766"/>
        <v>0</v>
      </c>
      <c r="EK513" s="251" t="str">
        <f t="shared" si="684"/>
        <v/>
      </c>
      <c r="EL513" s="136" t="e">
        <f t="shared" si="767"/>
        <v>#N/A</v>
      </c>
      <c r="EM513" s="137" t="e">
        <f t="shared" si="768"/>
        <v>#N/A</v>
      </c>
      <c r="EN513" s="244" t="e">
        <f t="shared" si="769"/>
        <v>#N/A</v>
      </c>
      <c r="FK513" s="326" t="str">
        <f t="shared" si="688"/>
        <v/>
      </c>
      <c r="FL513" s="326" t="str">
        <f t="shared" si="689"/>
        <v/>
      </c>
      <c r="FM513" s="326" t="str">
        <f t="shared" si="690"/>
        <v/>
      </c>
      <c r="FN513" s="326">
        <f t="shared" si="691"/>
        <v>0</v>
      </c>
      <c r="FO513" s="670"/>
      <c r="FQ513" s="138" t="str">
        <f t="shared" si="692"/>
        <v/>
      </c>
      <c r="FR513" s="131" t="str">
        <f t="shared" si="693"/>
        <v>0</v>
      </c>
      <c r="FS513" s="54" t="str">
        <f t="shared" si="694"/>
        <v/>
      </c>
      <c r="FT513" s="131" t="str">
        <f t="shared" si="770"/>
        <v>0</v>
      </c>
      <c r="FU513" s="217" t="str">
        <f t="shared" si="771"/>
        <v/>
      </c>
      <c r="FW513" s="667">
        <f t="shared" si="657"/>
        <v>0</v>
      </c>
      <c r="FX513" s="32"/>
      <c r="FY513" s="32"/>
      <c r="FZ513" s="668"/>
      <c r="GA513" s="14"/>
      <c r="GB513" s="658">
        <f t="shared" si="697"/>
        <v>0</v>
      </c>
      <c r="GC513" s="658">
        <f t="shared" si="698"/>
        <v>0</v>
      </c>
      <c r="GD513" s="658">
        <f t="shared" si="699"/>
        <v>0</v>
      </c>
      <c r="GE513" s="658" t="str">
        <f t="shared" si="700"/>
        <v/>
      </c>
      <c r="GF513" s="658" t="str">
        <f t="shared" si="701"/>
        <v/>
      </c>
      <c r="GG513" s="658" t="str">
        <f t="shared" si="702"/>
        <v/>
      </c>
      <c r="GH513" s="658" t="str">
        <f t="shared" si="703"/>
        <v/>
      </c>
      <c r="GI513" s="658" t="str">
        <f t="shared" si="704"/>
        <v/>
      </c>
      <c r="GJ513" s="658" t="str">
        <f t="shared" si="705"/>
        <v/>
      </c>
      <c r="GK513" s="658" t="str">
        <f t="shared" si="706"/>
        <v/>
      </c>
      <c r="GL513" s="658" t="str">
        <f t="shared" si="707"/>
        <v/>
      </c>
      <c r="GM513" s="658" t="str">
        <f t="shared" si="708"/>
        <v/>
      </c>
      <c r="GN513" s="658" t="str">
        <f t="shared" si="709"/>
        <v/>
      </c>
      <c r="GO513" s="658" t="str">
        <f t="shared" si="710"/>
        <v/>
      </c>
      <c r="GP513" s="658" t="str">
        <f t="shared" si="711"/>
        <v/>
      </c>
      <c r="GQ513" s="658" t="str">
        <f t="shared" si="712"/>
        <v/>
      </c>
      <c r="GR513" s="658" t="str">
        <f t="shared" si="713"/>
        <v/>
      </c>
      <c r="GS513" s="658" t="str">
        <f t="shared" si="714"/>
        <v/>
      </c>
      <c r="GT513" s="658">
        <f t="shared" si="735"/>
        <v>0</v>
      </c>
      <c r="GU513" s="658">
        <f t="shared" si="736"/>
        <v>0</v>
      </c>
      <c r="GV513" s="658">
        <f t="shared" si="737"/>
        <v>0</v>
      </c>
      <c r="GW513" s="658" t="b">
        <f t="shared" si="738"/>
        <v>0</v>
      </c>
      <c r="GX513" s="658" t="b">
        <f t="shared" si="739"/>
        <v>0</v>
      </c>
      <c r="GY513" s="658" t="b">
        <f t="shared" si="740"/>
        <v>0</v>
      </c>
      <c r="GZ513" s="658" t="str">
        <f t="shared" si="557"/>
        <v/>
      </c>
      <c r="HB513" s="658" t="str">
        <f t="shared" si="759"/>
        <v/>
      </c>
      <c r="HC513" s="658" t="str">
        <f t="shared" si="715"/>
        <v/>
      </c>
      <c r="HD513" s="658" t="str">
        <f t="shared" si="716"/>
        <v/>
      </c>
      <c r="HE513" s="658" t="str">
        <f t="shared" si="717"/>
        <v/>
      </c>
      <c r="HF513" s="658" t="str">
        <f t="shared" si="718"/>
        <v/>
      </c>
      <c r="HG513" s="658" t="str">
        <f t="shared" si="719"/>
        <v/>
      </c>
      <c r="HH513" s="658" t="str">
        <f t="shared" si="720"/>
        <v/>
      </c>
      <c r="HI513" s="658" t="str">
        <f t="shared" si="721"/>
        <v/>
      </c>
      <c r="HJ513" s="658" t="str">
        <f t="shared" si="722"/>
        <v/>
      </c>
      <c r="HK513" s="658" t="str">
        <f t="shared" si="723"/>
        <v/>
      </c>
      <c r="HL513" s="658" t="str">
        <f t="shared" si="724"/>
        <v/>
      </c>
      <c r="HM513" s="658" t="str">
        <f t="shared" si="725"/>
        <v/>
      </c>
      <c r="HN513" s="658" t="str">
        <f t="shared" si="726"/>
        <v/>
      </c>
      <c r="HO513" s="658" t="str">
        <f t="shared" si="727"/>
        <v/>
      </c>
      <c r="HP513" s="658" t="str">
        <f t="shared" si="728"/>
        <v/>
      </c>
      <c r="HQ513" s="658" t="str">
        <f t="shared" si="729"/>
        <v/>
      </c>
      <c r="HR513" s="658" t="str">
        <f t="shared" si="760"/>
        <v/>
      </c>
      <c r="HT513" s="658">
        <f>LEFT(M513,1)*10000+MID(M513,3,LEN(M513)-3)*100+COUNTIF($M$319:M513,M513)</f>
        <v>71701</v>
      </c>
      <c r="HU513" s="658" t="str">
        <f t="shared" si="761"/>
        <v/>
      </c>
      <c r="HV513" s="658" t="str">
        <f t="shared" si="730"/>
        <v/>
      </c>
      <c r="HW513" s="658" t="str">
        <f t="shared" si="762"/>
        <v/>
      </c>
      <c r="HX513" s="658" t="str">
        <f t="shared" si="731"/>
        <v/>
      </c>
    </row>
    <row r="514" spans="1:232" s="19" customFormat="1" ht="50.1" customHeight="1" thickBot="1" x14ac:dyDescent="0.2">
      <c r="A514" s="1201"/>
      <c r="B514" s="1201"/>
      <c r="C514" s="1201"/>
      <c r="D514" s="1201"/>
      <c r="E514" s="1202"/>
      <c r="F514" s="652"/>
      <c r="G514" s="652"/>
      <c r="H514" s="652"/>
      <c r="I514" s="1354"/>
      <c r="J514" s="1234"/>
      <c r="K514" s="1261"/>
      <c r="L514" s="1261"/>
      <c r="M514" s="2143" t="s">
        <v>3059</v>
      </c>
      <c r="N514" s="2143"/>
      <c r="O514" s="2143"/>
      <c r="P514" s="2687"/>
      <c r="Q514" s="2687"/>
      <c r="R514" s="2687"/>
      <c r="S514" s="2687"/>
      <c r="T514" s="2687"/>
      <c r="U514" s="2445" t="s">
        <v>2840</v>
      </c>
      <c r="V514" s="2660"/>
      <c r="W514" s="2660"/>
      <c r="X514" s="2660"/>
      <c r="Y514" s="2660"/>
      <c r="Z514" s="2660"/>
      <c r="AA514" s="2660"/>
      <c r="AB514" s="2660"/>
      <c r="AC514" s="2660"/>
      <c r="AD514" s="2660"/>
      <c r="AE514" s="2660"/>
      <c r="AF514" s="2672"/>
      <c r="AG514" s="2672"/>
      <c r="AH514" s="2672"/>
      <c r="AI514" s="2672"/>
      <c r="AJ514" s="2672"/>
      <c r="AK514" s="2672"/>
      <c r="AL514" s="2672"/>
      <c r="AM514" s="2672"/>
      <c r="AN514" s="2672"/>
      <c r="AO514" s="2672"/>
      <c r="AP514" s="2672"/>
      <c r="AQ514" s="2673"/>
      <c r="AR514" s="2190"/>
      <c r="AS514" s="2190"/>
      <c r="AT514" s="2432"/>
      <c r="AU514" s="2432"/>
      <c r="AV514" s="2432"/>
      <c r="AW514" s="2432"/>
      <c r="AX514" s="2432"/>
      <c r="AY514" s="2432"/>
      <c r="AZ514" s="2432"/>
      <c r="BA514" s="2432"/>
      <c r="BB514" s="2432"/>
      <c r="BC514" s="2432"/>
      <c r="BD514" s="2432"/>
      <c r="BE514" s="2432"/>
      <c r="BF514" s="2432"/>
      <c r="BG514" s="2432"/>
      <c r="BH514" s="2432"/>
      <c r="BI514" s="2432"/>
      <c r="BJ514" s="2432"/>
      <c r="BK514" s="2432"/>
      <c r="BL514" s="2432"/>
      <c r="BM514" s="2432"/>
      <c r="BN514" s="2432"/>
      <c r="BO514" s="2432"/>
      <c r="BP514" s="2432"/>
      <c r="BQ514" s="2432"/>
      <c r="BR514" s="2432"/>
      <c r="BS514" s="2270"/>
      <c r="BT514" s="2270"/>
      <c r="BU514" s="2270"/>
      <c r="BV514" s="2270"/>
      <c r="BW514" s="2270"/>
      <c r="BX514" s="2270"/>
      <c r="BY514" s="2270"/>
      <c r="BZ514" s="2152"/>
      <c r="CA514" s="2152"/>
      <c r="CB514" s="2736"/>
      <c r="CC514" s="2737"/>
      <c r="CD514" s="2737"/>
      <c r="CE514" s="2737"/>
      <c r="CF514" s="2737"/>
      <c r="CG514" s="2737"/>
      <c r="CH514" s="2737"/>
      <c r="CI514" s="2737"/>
      <c r="CJ514" s="2737"/>
      <c r="CK514" s="2737"/>
      <c r="CL514" s="2737"/>
      <c r="CM514" s="2737"/>
      <c r="CN514" s="2737"/>
      <c r="CO514" s="2737"/>
      <c r="CP514" s="2737"/>
      <c r="CQ514" s="2737"/>
      <c r="CR514" s="2737"/>
      <c r="CS514" s="2737"/>
      <c r="CT514" s="2737"/>
      <c r="CU514" s="2738"/>
      <c r="CV514" s="2300" t="str">
        <f t="shared" si="763"/>
        <v/>
      </c>
      <c r="CW514" s="2300"/>
      <c r="CX514" s="2300"/>
      <c r="CY514" s="2300"/>
      <c r="CZ514" s="2300"/>
      <c r="DA514" s="2300"/>
      <c r="DC514" s="329" t="str">
        <f t="shared" si="764"/>
        <v/>
      </c>
      <c r="DD514" s="197"/>
      <c r="DF514" s="14"/>
      <c r="DG514" s="14"/>
      <c r="DH514" s="14"/>
      <c r="DI514" s="1596"/>
      <c r="DJ514" s="1170" t="s">
        <v>2749</v>
      </c>
      <c r="DK514" s="1604" t="str">
        <f t="shared" si="660"/>
        <v/>
      </c>
      <c r="DL514" s="437" t="str">
        <f t="shared" si="661"/>
        <v/>
      </c>
      <c r="DM514" s="1129">
        <f t="shared" si="662"/>
        <v>0</v>
      </c>
      <c r="DN514" s="266">
        <f t="shared" si="663"/>
        <v>0</v>
      </c>
      <c r="DO514" s="266">
        <f t="shared" si="664"/>
        <v>0</v>
      </c>
      <c r="DP514" s="267">
        <f t="shared" si="665"/>
        <v>0</v>
      </c>
      <c r="DQ514" s="1134" t="s">
        <v>3059</v>
      </c>
      <c r="DR514" s="265" t="str">
        <f t="shared" si="666"/>
        <v>照明の妨げとなる物品の放置の状況</v>
      </c>
      <c r="DS514" s="125">
        <f t="shared" si="667"/>
        <v>0</v>
      </c>
      <c r="DT514" s="270" t="str">
        <f t="shared" si="668"/>
        <v/>
      </c>
      <c r="DU514" s="57" t="str">
        <f t="shared" si="669"/>
        <v/>
      </c>
      <c r="DV514" s="57" t="str">
        <f>IF($DT514="要是正",MAX($DV$492:DV513)+1,"")</f>
        <v/>
      </c>
      <c r="DW514" s="12" t="str">
        <f t="shared" si="670"/>
        <v/>
      </c>
      <c r="DX514" s="300" t="str">
        <f t="shared" si="671"/>
        <v/>
      </c>
      <c r="DY514" s="2055" t="str">
        <f t="shared" si="672"/>
        <v/>
      </c>
      <c r="DZ514" s="315" t="str">
        <f t="shared" si="673"/>
        <v/>
      </c>
      <c r="EA514" s="205" t="str">
        <f t="shared" si="674"/>
        <v/>
      </c>
      <c r="EB514" s="138" t="str">
        <f t="shared" si="675"/>
        <v/>
      </c>
      <c r="EC514" s="131" t="str">
        <f t="shared" si="676"/>
        <v>0</v>
      </c>
      <c r="ED514" s="54" t="str">
        <f t="shared" si="677"/>
        <v/>
      </c>
      <c r="EE514" s="131" t="str">
        <f t="shared" si="765"/>
        <v>0</v>
      </c>
      <c r="EF514" s="37" t="str">
        <f t="shared" si="679"/>
        <v/>
      </c>
      <c r="EG514" s="247" t="str">
        <f t="shared" si="680"/>
        <v/>
      </c>
      <c r="EH514" s="248" t="str">
        <f t="shared" si="681"/>
        <v>0</v>
      </c>
      <c r="EI514" s="249" t="str">
        <f t="shared" si="682"/>
        <v/>
      </c>
      <c r="EJ514" s="250" t="str">
        <f t="shared" si="766"/>
        <v>0</v>
      </c>
      <c r="EK514" s="251" t="str">
        <f t="shared" si="684"/>
        <v/>
      </c>
      <c r="EL514" s="136" t="e">
        <f t="shared" si="767"/>
        <v>#N/A</v>
      </c>
      <c r="EM514" s="137" t="e">
        <f t="shared" si="768"/>
        <v>#N/A</v>
      </c>
      <c r="EN514" s="244" t="e">
        <f t="shared" si="769"/>
        <v>#N/A</v>
      </c>
      <c r="FK514" s="326" t="str">
        <f t="shared" si="688"/>
        <v/>
      </c>
      <c r="FL514" s="326" t="str">
        <f t="shared" si="689"/>
        <v/>
      </c>
      <c r="FM514" s="326" t="str">
        <f t="shared" si="690"/>
        <v/>
      </c>
      <c r="FN514" s="326">
        <f t="shared" si="691"/>
        <v>0</v>
      </c>
      <c r="FO514" s="670"/>
      <c r="FQ514" s="138" t="str">
        <f t="shared" si="692"/>
        <v/>
      </c>
      <c r="FR514" s="131" t="str">
        <f t="shared" si="693"/>
        <v>0</v>
      </c>
      <c r="FS514" s="54" t="str">
        <f t="shared" si="694"/>
        <v/>
      </c>
      <c r="FT514" s="131" t="str">
        <f t="shared" si="770"/>
        <v>0</v>
      </c>
      <c r="FU514" s="217" t="str">
        <f t="shared" si="771"/>
        <v/>
      </c>
      <c r="FW514" s="667">
        <f t="shared" si="657"/>
        <v>0</v>
      </c>
      <c r="FX514" s="32"/>
      <c r="FY514" s="32"/>
      <c r="FZ514" s="668"/>
      <c r="GA514" s="14"/>
      <c r="GB514" s="658">
        <f t="shared" si="697"/>
        <v>0</v>
      </c>
      <c r="GC514" s="658">
        <f t="shared" si="698"/>
        <v>0</v>
      </c>
      <c r="GD514" s="658">
        <f t="shared" si="699"/>
        <v>0</v>
      </c>
      <c r="GE514" s="658" t="str">
        <f t="shared" si="700"/>
        <v/>
      </c>
      <c r="GF514" s="658" t="str">
        <f t="shared" si="701"/>
        <v/>
      </c>
      <c r="GG514" s="658" t="str">
        <f t="shared" si="702"/>
        <v/>
      </c>
      <c r="GH514" s="658" t="str">
        <f t="shared" si="703"/>
        <v/>
      </c>
      <c r="GI514" s="658" t="str">
        <f t="shared" si="704"/>
        <v/>
      </c>
      <c r="GJ514" s="658" t="str">
        <f t="shared" si="705"/>
        <v/>
      </c>
      <c r="GK514" s="658" t="str">
        <f t="shared" si="706"/>
        <v/>
      </c>
      <c r="GL514" s="658" t="str">
        <f t="shared" si="707"/>
        <v/>
      </c>
      <c r="GM514" s="658" t="str">
        <f t="shared" si="708"/>
        <v/>
      </c>
      <c r="GN514" s="658" t="str">
        <f t="shared" si="709"/>
        <v/>
      </c>
      <c r="GO514" s="658" t="str">
        <f t="shared" si="710"/>
        <v/>
      </c>
      <c r="GP514" s="658" t="str">
        <f t="shared" si="711"/>
        <v/>
      </c>
      <c r="GQ514" s="658" t="str">
        <f t="shared" si="712"/>
        <v/>
      </c>
      <c r="GR514" s="658" t="str">
        <f t="shared" si="713"/>
        <v/>
      </c>
      <c r="GS514" s="658" t="str">
        <f t="shared" si="714"/>
        <v/>
      </c>
      <c r="GT514" s="658">
        <f t="shared" si="735"/>
        <v>0</v>
      </c>
      <c r="GU514" s="658">
        <f t="shared" si="736"/>
        <v>0</v>
      </c>
      <c r="GV514" s="658">
        <f t="shared" si="737"/>
        <v>0</v>
      </c>
      <c r="GW514" s="658" t="b">
        <f t="shared" si="738"/>
        <v>0</v>
      </c>
      <c r="GX514" s="658" t="b">
        <f t="shared" si="739"/>
        <v>0</v>
      </c>
      <c r="GY514" s="658" t="b">
        <f t="shared" si="740"/>
        <v>0</v>
      </c>
      <c r="GZ514" s="658" t="str">
        <f t="shared" si="557"/>
        <v/>
      </c>
      <c r="HB514" s="658" t="str">
        <f t="shared" si="759"/>
        <v/>
      </c>
      <c r="HC514" s="658" t="str">
        <f t="shared" si="715"/>
        <v/>
      </c>
      <c r="HD514" s="658" t="str">
        <f t="shared" si="716"/>
        <v/>
      </c>
      <c r="HE514" s="658" t="str">
        <f t="shared" si="717"/>
        <v/>
      </c>
      <c r="HF514" s="658" t="str">
        <f t="shared" si="718"/>
        <v/>
      </c>
      <c r="HG514" s="658" t="str">
        <f t="shared" si="719"/>
        <v/>
      </c>
      <c r="HH514" s="658" t="str">
        <f t="shared" si="720"/>
        <v/>
      </c>
      <c r="HI514" s="658" t="str">
        <f t="shared" si="721"/>
        <v/>
      </c>
      <c r="HJ514" s="658" t="str">
        <f t="shared" si="722"/>
        <v/>
      </c>
      <c r="HK514" s="658" t="str">
        <f t="shared" si="723"/>
        <v/>
      </c>
      <c r="HL514" s="658" t="str">
        <f t="shared" si="724"/>
        <v/>
      </c>
      <c r="HM514" s="658" t="str">
        <f t="shared" si="725"/>
        <v/>
      </c>
      <c r="HN514" s="658" t="str">
        <f t="shared" si="726"/>
        <v/>
      </c>
      <c r="HO514" s="658" t="str">
        <f t="shared" si="727"/>
        <v/>
      </c>
      <c r="HP514" s="658" t="str">
        <f t="shared" si="728"/>
        <v/>
      </c>
      <c r="HQ514" s="658" t="str">
        <f t="shared" si="729"/>
        <v/>
      </c>
      <c r="HR514" s="658" t="str">
        <f t="shared" si="760"/>
        <v/>
      </c>
      <c r="HT514" s="658">
        <f>LEFT(M514,1)*10000+MID(M514,3,LEN(M514)-3)*100+COUNTIF($M$319:M514,M514)</f>
        <v>71801</v>
      </c>
      <c r="HU514" s="658" t="str">
        <f t="shared" si="761"/>
        <v/>
      </c>
      <c r="HV514" s="658" t="str">
        <f t="shared" si="730"/>
        <v/>
      </c>
      <c r="HW514" s="658" t="str">
        <f t="shared" si="762"/>
        <v/>
      </c>
      <c r="HX514" s="658" t="str">
        <f t="shared" si="731"/>
        <v/>
      </c>
    </row>
    <row r="515" spans="1:232" ht="15" customHeight="1" thickBot="1" x14ac:dyDescent="0.2">
      <c r="A515" s="1201"/>
      <c r="B515" s="1201"/>
      <c r="C515" s="1201"/>
      <c r="D515" s="1201"/>
      <c r="E515" s="1202"/>
      <c r="J515" s="1355"/>
      <c r="K515" s="1177"/>
      <c r="L515" s="1177"/>
      <c r="M515" s="1356"/>
      <c r="N515" s="1356"/>
      <c r="O515" s="1356"/>
      <c r="P515" s="1356"/>
      <c r="Q515" s="1356"/>
      <c r="R515" s="1356"/>
      <c r="S515" s="1356"/>
      <c r="T515" s="1356"/>
      <c r="U515" s="1356"/>
      <c r="V515" s="1356"/>
      <c r="W515" s="1356"/>
      <c r="X515" s="1356"/>
      <c r="Y515" s="1356"/>
      <c r="Z515" s="1356"/>
      <c r="AA515" s="1356"/>
      <c r="AB515" s="1356"/>
      <c r="AC515" s="1356"/>
      <c r="AD515" s="1356"/>
      <c r="AE515" s="1251"/>
      <c r="AF515" s="1251"/>
      <c r="AG515" s="1251"/>
      <c r="AH515" s="1251"/>
      <c r="AI515" s="1251"/>
      <c r="AJ515" s="1251"/>
      <c r="AK515" s="1251"/>
      <c r="AL515" s="1251"/>
      <c r="AM515" s="1251"/>
      <c r="AN515" s="1251"/>
      <c r="AO515" s="1251"/>
      <c r="AP515" s="1251"/>
      <c r="AQ515" s="1251"/>
      <c r="AR515" s="1186"/>
      <c r="AS515" s="1186"/>
      <c r="AT515" s="1251"/>
      <c r="AU515" s="1251"/>
      <c r="AV515" s="1251"/>
      <c r="AW515" s="1251"/>
      <c r="AX515" s="1251"/>
      <c r="AY515" s="1251"/>
      <c r="AZ515" s="1251"/>
      <c r="BA515" s="1251"/>
      <c r="BB515" s="1251"/>
      <c r="BC515" s="1251"/>
      <c r="BD515" s="1251"/>
      <c r="BE515" s="1251"/>
      <c r="BF515" s="1251"/>
      <c r="BG515" s="1251"/>
      <c r="BH515" s="1251"/>
      <c r="BI515" s="1251"/>
      <c r="BJ515" s="1251"/>
      <c r="BK515" s="1251"/>
      <c r="BL515" s="1251"/>
      <c r="BM515" s="1251"/>
      <c r="BN515" s="1251"/>
      <c r="BO515" s="1251"/>
      <c r="BP515" s="1251"/>
      <c r="BQ515" s="1251"/>
      <c r="BR515" s="1251"/>
      <c r="BS515" s="1186"/>
      <c r="BT515" s="1186"/>
      <c r="BU515" s="1186"/>
      <c r="BV515" s="1186"/>
      <c r="BW515" s="1186"/>
      <c r="BX515" s="1186"/>
      <c r="BY515" s="419"/>
      <c r="BZ515" s="419"/>
      <c r="CA515" s="419"/>
      <c r="CB515" s="1182"/>
      <c r="CC515" s="1182"/>
      <c r="CD515" s="1182"/>
      <c r="CE515" s="1182"/>
      <c r="CF515" s="1182"/>
      <c r="CG515" s="1182"/>
      <c r="CH515" s="1182"/>
      <c r="CI515" s="1182"/>
      <c r="CJ515" s="1182"/>
      <c r="CK515" s="1182"/>
      <c r="CL515" s="1182"/>
      <c r="CM515" s="1182"/>
      <c r="CN515" s="1182"/>
      <c r="CO515" s="1182"/>
      <c r="CP515" s="1182"/>
      <c r="CQ515" s="1182"/>
      <c r="CR515" s="1182"/>
      <c r="CS515" s="1182"/>
      <c r="CT515" s="1182"/>
      <c r="CU515" s="1183"/>
      <c r="CV515" s="2300"/>
      <c r="CW515" s="2300"/>
      <c r="CX515" s="2300"/>
      <c r="CY515" s="2300"/>
      <c r="CZ515" s="2300"/>
      <c r="DA515" s="2300"/>
      <c r="DC515" s="329"/>
      <c r="DD515" s="197"/>
      <c r="DE515" s="16"/>
      <c r="DF515" s="16"/>
      <c r="DG515" s="16"/>
      <c r="DH515" s="16"/>
      <c r="DI515" s="1593"/>
      <c r="DJ515" s="1172"/>
      <c r="DK515" s="1606"/>
      <c r="DL515" s="1991" t="s">
        <v>3418</v>
      </c>
      <c r="DM515" s="99">
        <f>SUM(DM497:DM508)</f>
        <v>0</v>
      </c>
      <c r="DN515" s="99">
        <f t="shared" ref="DN515:DP515" si="772">SUM(DN497:DN508)</f>
        <v>0</v>
      </c>
      <c r="DO515" s="99">
        <f t="shared" si="772"/>
        <v>0</v>
      </c>
      <c r="DP515" s="99">
        <f t="shared" si="772"/>
        <v>0</v>
      </c>
      <c r="DX515" s="2754" t="s">
        <v>1619</v>
      </c>
      <c r="DY515" s="466" t="s">
        <v>1621</v>
      </c>
      <c r="DZ515" s="316"/>
      <c r="EA515" s="317"/>
      <c r="EB515" s="1992" t="s">
        <v>3424</v>
      </c>
      <c r="EC515" s="133"/>
      <c r="ED515" s="111">
        <f>COUNTIF(ED497:ED508,"1")</f>
        <v>0</v>
      </c>
      <c r="EE515" s="110" t="str" cm="1">
        <f t="array" ref="EE515">INDEX(EE497:EE508,MATCH(MIN(ABS(EE497:EE508-$DP$4)),ABS(EE497:EE508-$DP$4),0))</f>
        <v>0</v>
      </c>
      <c r="EF515" s="111">
        <f>COUNTIF(EF497:EF508,"未定")</f>
        <v>0</v>
      </c>
      <c r="EG515" s="109"/>
      <c r="EH515" s="133"/>
      <c r="EI515" s="111">
        <f>COUNTIF(EI497:EI508,"1")</f>
        <v>0</v>
      </c>
      <c r="EJ515" s="110" t="str" cm="1">
        <f t="array" ref="EJ515">INDEX(EJ497:EJ508,MATCH(MIN(ABS(EJ497:EJ508-$DP$4)),ABS(EJ497:EJ508-$DP$4),0))</f>
        <v>0</v>
      </c>
      <c r="EK515" s="111">
        <f>COUNTIF(EK497:EK508,"未定")</f>
        <v>0</v>
      </c>
      <c r="FK515" s="351"/>
      <c r="FL515" s="351"/>
      <c r="FM515" s="351"/>
      <c r="FN515" s="351"/>
      <c r="FO515" s="670"/>
      <c r="FQ515" s="11"/>
      <c r="FR515" s="133"/>
      <c r="FS515" s="111">
        <f>COUNTIF(FS497:FS514,"1")</f>
        <v>0</v>
      </c>
      <c r="FT515" s="110" t="str">
        <f t="array" ref="FT515">INDEX(FT497:FT514,MATCH(MIN(ABS(FT497:FT514-$DP$4)),ABS(FT497:FT514-$DP$4),0))</f>
        <v>0</v>
      </c>
      <c r="FU515" s="218">
        <f>COUNTIF(FU497:FU514,"未定")</f>
        <v>0</v>
      </c>
      <c r="FV515" s="73"/>
      <c r="FW515" s="667">
        <f t="shared" si="657"/>
        <v>0</v>
      </c>
      <c r="FX515" s="11"/>
      <c r="FY515" s="11"/>
      <c r="FZ515" s="671"/>
      <c r="GB515" s="658">
        <f>IF(SUM(GB497:GB514)&gt;0,1,0)</f>
        <v>0</v>
      </c>
      <c r="GC515" s="658">
        <f>IF(SUM(GC497:GC514)&gt;0,1,0)</f>
        <v>0</v>
      </c>
      <c r="GD515" s="658">
        <f>IF(SUM(GD497:GD514)&gt;0,1,0)</f>
        <v>0</v>
      </c>
      <c r="GE515" s="660"/>
      <c r="GF515" s="660"/>
      <c r="GG515" s="660"/>
      <c r="GH515" s="660"/>
      <c r="GI515" s="660"/>
      <c r="GJ515" s="660"/>
      <c r="GK515" s="660"/>
      <c r="GL515" s="660"/>
      <c r="GM515" s="660"/>
      <c r="GN515" s="660"/>
      <c r="GO515" s="660"/>
      <c r="GP515" s="660"/>
      <c r="GQ515" s="660"/>
      <c r="GR515" s="660"/>
      <c r="GS515" s="660"/>
      <c r="GT515" s="658">
        <f>IF(SUM(GT497:GT514)&gt;0,1,0)</f>
        <v>0</v>
      </c>
      <c r="GU515" s="658">
        <f>IF(SUM(GU497:GU514)&gt;0,1,0)</f>
        <v>0</v>
      </c>
      <c r="GV515" s="658">
        <f>IF(SUM(GV497:GV514)&gt;0,1,0)</f>
        <v>0</v>
      </c>
      <c r="GW515" s="658" t="b">
        <f t="shared" ref="GW515" si="773">(GB515+GT515)&gt;0</f>
        <v>0</v>
      </c>
      <c r="GX515" s="658" t="b">
        <f t="shared" ref="GX515" si="774">(GC515+GU515)&gt;0</f>
        <v>0</v>
      </c>
      <c r="GY515" s="658" t="b">
        <f t="shared" ref="GY515" si="775">(GD515+GV515)&gt;0</f>
        <v>0</v>
      </c>
      <c r="GZ515" s="658" t="str">
        <f t="shared" si="557"/>
        <v/>
      </c>
      <c r="HB515" s="660"/>
      <c r="HC515" s="660"/>
      <c r="HD515" s="660"/>
      <c r="HE515" s="660"/>
      <c r="HF515" s="660"/>
      <c r="HG515" s="660"/>
      <c r="HH515" s="660"/>
      <c r="HI515" s="660"/>
      <c r="HJ515" s="660"/>
      <c r="HK515" s="660"/>
      <c r="HL515" s="660"/>
      <c r="HM515" s="660"/>
      <c r="HN515" s="660"/>
      <c r="HO515" s="660"/>
      <c r="HP515" s="660"/>
      <c r="HQ515" s="660"/>
      <c r="HR515" s="660"/>
      <c r="HT515" s="1133"/>
      <c r="HU515" s="1133"/>
      <c r="HV515" s="1133"/>
      <c r="HW515" s="1133"/>
      <c r="HX515" s="1133"/>
    </row>
    <row r="516" spans="1:232" ht="15" customHeight="1" thickBot="1" x14ac:dyDescent="0.2">
      <c r="A516" s="1201"/>
      <c r="B516" s="1201"/>
      <c r="C516" s="1201"/>
      <c r="D516" s="1201"/>
      <c r="E516" s="1202"/>
      <c r="I516" s="1955"/>
      <c r="J516" s="1355"/>
      <c r="K516" s="1950"/>
      <c r="L516" s="1950"/>
      <c r="M516" s="1957"/>
      <c r="N516" s="1957"/>
      <c r="O516" s="1957"/>
      <c r="P516" s="1957"/>
      <c r="Q516" s="1957"/>
      <c r="R516" s="1957"/>
      <c r="S516" s="1957"/>
      <c r="T516" s="1957"/>
      <c r="U516" s="1957"/>
      <c r="V516" s="1957"/>
      <c r="W516" s="1957"/>
      <c r="X516" s="1957"/>
      <c r="Y516" s="1957"/>
      <c r="Z516" s="1957"/>
      <c r="AA516" s="1957"/>
      <c r="AB516" s="1957"/>
      <c r="AC516" s="1957"/>
      <c r="AD516" s="1957"/>
      <c r="AE516" s="1952"/>
      <c r="AF516" s="1952"/>
      <c r="AG516" s="1952"/>
      <c r="AH516" s="1952"/>
      <c r="AI516" s="1952"/>
      <c r="AJ516" s="1952"/>
      <c r="AK516" s="1952"/>
      <c r="AL516" s="1952"/>
      <c r="AM516" s="1952"/>
      <c r="AN516" s="1952"/>
      <c r="AO516" s="1952"/>
      <c r="AP516" s="1952"/>
      <c r="AQ516" s="1952"/>
      <c r="AR516" s="1956"/>
      <c r="AS516" s="1956"/>
      <c r="AT516" s="1952"/>
      <c r="AU516" s="1952"/>
      <c r="AV516" s="1952"/>
      <c r="AW516" s="1952"/>
      <c r="AX516" s="1952"/>
      <c r="AY516" s="1952"/>
      <c r="AZ516" s="1952"/>
      <c r="BA516" s="1952"/>
      <c r="BB516" s="1952"/>
      <c r="BC516" s="1952"/>
      <c r="BD516" s="1952"/>
      <c r="BE516" s="1952"/>
      <c r="BF516" s="1952"/>
      <c r="BG516" s="1952"/>
      <c r="BH516" s="1952"/>
      <c r="BI516" s="1952"/>
      <c r="BJ516" s="1952"/>
      <c r="BK516" s="1952"/>
      <c r="BL516" s="1952"/>
      <c r="BM516" s="1952"/>
      <c r="BN516" s="1952"/>
      <c r="BO516" s="1952"/>
      <c r="BP516" s="1952"/>
      <c r="BQ516" s="1952"/>
      <c r="BR516" s="1952"/>
      <c r="BS516" s="1956"/>
      <c r="BT516" s="1956"/>
      <c r="BU516" s="1956"/>
      <c r="BV516" s="1956"/>
      <c r="BW516" s="1956"/>
      <c r="BX516" s="1956"/>
      <c r="BY516" s="1954"/>
      <c r="BZ516" s="1954"/>
      <c r="CA516" s="1954"/>
      <c r="CB516" s="1950"/>
      <c r="CC516" s="1950"/>
      <c r="CD516" s="1950"/>
      <c r="CE516" s="1950"/>
      <c r="CF516" s="1950"/>
      <c r="CG516" s="1950"/>
      <c r="CH516" s="1950"/>
      <c r="CI516" s="1950"/>
      <c r="CJ516" s="1950"/>
      <c r="CK516" s="1950"/>
      <c r="CL516" s="1950"/>
      <c r="CM516" s="1950"/>
      <c r="CN516" s="1950"/>
      <c r="CO516" s="1950"/>
      <c r="CP516" s="1950"/>
      <c r="CQ516" s="1950"/>
      <c r="CR516" s="1950"/>
      <c r="CS516" s="1950"/>
      <c r="CT516" s="1950"/>
      <c r="CU516" s="1958"/>
      <c r="CV516" s="1953"/>
      <c r="CW516" s="1953"/>
      <c r="CX516" s="1953"/>
      <c r="CY516" s="1953"/>
      <c r="CZ516" s="1953"/>
      <c r="DA516" s="1953"/>
      <c r="DC516" s="329"/>
      <c r="DD516" s="197"/>
      <c r="DE516" s="16"/>
      <c r="DF516" s="16"/>
      <c r="DG516" s="16"/>
      <c r="DH516" s="16"/>
      <c r="DI516" s="1593"/>
      <c r="DJ516" s="1997"/>
      <c r="DK516" s="1998"/>
      <c r="DL516" s="2058" t="s">
        <v>3419</v>
      </c>
      <c r="DM516" s="99">
        <f>SUM(DM509:DM514)</f>
        <v>0</v>
      </c>
      <c r="DN516" s="99">
        <f>SUM(DN509:DN514)</f>
        <v>0</v>
      </c>
      <c r="DO516" s="99">
        <f>SUM(DO509:DO514)</f>
        <v>0</v>
      </c>
      <c r="DP516" s="99">
        <f>SUM(DP509:DP514)</f>
        <v>0</v>
      </c>
      <c r="DX516" s="2917"/>
      <c r="DY516" s="1999"/>
      <c r="DZ516" s="316"/>
      <c r="EA516" s="317"/>
      <c r="EB516" s="1992" t="s">
        <v>3425</v>
      </c>
      <c r="EC516" s="2000"/>
      <c r="ED516" s="2001">
        <f>COUNTIF(ED509:ED514,"1")</f>
        <v>0</v>
      </c>
      <c r="EE516" s="2002" t="str" cm="1">
        <f t="array" ref="EE516">INDEX(EE509:EE514,MATCH(MIN(ABS(EE509:EE514-$DP$4)),ABS(EE509:EE514-$DP$4),0))</f>
        <v>0</v>
      </c>
      <c r="EF516" s="2003">
        <f>COUNTIF(EF509:EF514,"未定")</f>
        <v>0</v>
      </c>
      <c r="EG516" s="2004"/>
      <c r="EH516" s="2000"/>
      <c r="EI516" s="2001">
        <f>COUNTIF(EI509:EI514,"1")</f>
        <v>0</v>
      </c>
      <c r="EJ516" s="2002" t="str" cm="1">
        <f t="array" ref="EJ516">INDEX(EJ509:EJ514,MATCH(MIN(ABS(EJ509:EJ514-$DP$4)),ABS(EJ509:EJ514-$DP$4),0))</f>
        <v>0</v>
      </c>
      <c r="EK516" s="2003">
        <f>COUNTIF(EK509:EK514,"未定")</f>
        <v>0</v>
      </c>
      <c r="FK516" s="351"/>
      <c r="FL516" s="351"/>
      <c r="FM516" s="351"/>
      <c r="FN516" s="351"/>
      <c r="FO516" s="670"/>
      <c r="FQ516" s="11"/>
      <c r="FR516" s="2000"/>
      <c r="FS516" s="2001"/>
      <c r="FT516" s="2002"/>
      <c r="FU516" s="2005"/>
      <c r="FV516" s="73"/>
      <c r="FW516" s="667"/>
      <c r="FX516" s="11"/>
      <c r="FY516" s="11"/>
      <c r="FZ516" s="671"/>
      <c r="GB516" s="1134"/>
      <c r="GC516" s="1134"/>
      <c r="GD516" s="1134"/>
      <c r="GE516" s="1134"/>
      <c r="GF516" s="1134"/>
      <c r="GG516" s="1134"/>
      <c r="GH516" s="1134"/>
      <c r="GI516" s="1134"/>
      <c r="GJ516" s="1134"/>
      <c r="GK516" s="1134"/>
      <c r="GL516" s="1134"/>
      <c r="GM516" s="1134"/>
      <c r="GN516" s="1134"/>
      <c r="GO516" s="1134"/>
      <c r="GP516" s="1134"/>
      <c r="GQ516" s="1134"/>
      <c r="GR516" s="1134"/>
      <c r="GS516" s="1134"/>
      <c r="GT516" s="1134"/>
      <c r="GU516" s="1134"/>
      <c r="GV516" s="1134"/>
      <c r="GW516" s="1134"/>
      <c r="GX516" s="1134"/>
      <c r="GY516" s="1134"/>
      <c r="GZ516" s="1134"/>
      <c r="HB516" s="1134"/>
      <c r="HC516" s="1134"/>
      <c r="HD516" s="1134"/>
      <c r="HE516" s="1134"/>
      <c r="HF516" s="1134"/>
      <c r="HG516" s="1134"/>
      <c r="HH516" s="1134"/>
      <c r="HI516" s="1134"/>
      <c r="HJ516" s="1134"/>
      <c r="HK516" s="1134"/>
      <c r="HL516" s="1134"/>
      <c r="HM516" s="1134"/>
      <c r="HN516" s="1134"/>
      <c r="HO516" s="1134"/>
      <c r="HP516" s="1134"/>
      <c r="HQ516" s="1134"/>
      <c r="HR516" s="1134"/>
      <c r="HT516" s="1134"/>
      <c r="HU516" s="1134"/>
      <c r="HV516" s="1134"/>
      <c r="HW516" s="1134"/>
      <c r="HX516" s="1134"/>
    </row>
    <row r="517" spans="1:232" s="19" customFormat="1" ht="34.5" customHeight="1" thickBot="1" x14ac:dyDescent="0.55000000000000004">
      <c r="A517" s="1201"/>
      <c r="B517" s="1201"/>
      <c r="C517" s="1201"/>
      <c r="D517" s="1201"/>
      <c r="E517" s="1202"/>
      <c r="F517" s="652"/>
      <c r="G517" s="652"/>
      <c r="H517" s="652"/>
      <c r="I517" s="1351"/>
      <c r="J517" s="1260"/>
      <c r="K517" s="1261"/>
      <c r="L517" s="1261"/>
      <c r="M517" s="2684" t="s">
        <v>2841</v>
      </c>
      <c r="N517" s="2684"/>
      <c r="O517" s="2684"/>
      <c r="P517" s="2684"/>
      <c r="Q517" s="2684"/>
      <c r="R517" s="2684"/>
      <c r="S517" s="2684"/>
      <c r="T517" s="2684"/>
      <c r="U517" s="2684"/>
      <c r="V517" s="2684"/>
      <c r="W517" s="2684"/>
      <c r="X517" s="2684"/>
      <c r="Y517" s="2684"/>
      <c r="Z517" s="2684"/>
      <c r="AA517" s="2684"/>
      <c r="AB517" s="2684"/>
      <c r="AC517" s="2684"/>
      <c r="AD517" s="2684"/>
      <c r="AE517" s="2684"/>
      <c r="AF517" s="2684"/>
      <c r="AG517" s="2684"/>
      <c r="AH517" s="2684"/>
      <c r="AI517" s="2684"/>
      <c r="AJ517" s="2684"/>
      <c r="AK517" s="2684"/>
      <c r="AL517" s="2684"/>
      <c r="AM517" s="2684"/>
      <c r="AN517" s="2684"/>
      <c r="AO517" s="2684"/>
      <c r="AP517" s="2684"/>
      <c r="AQ517" s="2684"/>
      <c r="AR517" s="2684"/>
      <c r="AS517" s="2684"/>
      <c r="AT517" s="2684"/>
      <c r="AU517" s="2684"/>
      <c r="AV517" s="2684"/>
      <c r="AW517" s="2684"/>
      <c r="AX517" s="2684"/>
      <c r="AY517" s="2684"/>
      <c r="AZ517" s="2684"/>
      <c r="BA517" s="2684"/>
      <c r="BB517" s="2684"/>
      <c r="BC517" s="2684"/>
      <c r="BD517" s="2684"/>
      <c r="BE517" s="2684"/>
      <c r="BF517" s="2684"/>
      <c r="BG517" s="2684"/>
      <c r="BH517" s="2684"/>
      <c r="BI517" s="2684"/>
      <c r="BJ517" s="2684"/>
      <c r="BK517" s="2684"/>
      <c r="BL517" s="2684"/>
      <c r="BM517" s="2684"/>
      <c r="BN517" s="2684"/>
      <c r="BO517" s="2684"/>
      <c r="BP517" s="2684"/>
      <c r="BQ517" s="2684"/>
      <c r="BR517" s="2684"/>
      <c r="BS517" s="2684"/>
      <c r="BT517" s="2684"/>
      <c r="BU517" s="2684"/>
      <c r="BV517" s="2684"/>
      <c r="BW517" s="2684"/>
      <c r="BX517" s="2684"/>
      <c r="BY517" s="2684"/>
      <c r="BZ517" s="2684"/>
      <c r="CA517" s="2684"/>
      <c r="CB517" s="2684"/>
      <c r="CC517" s="2684"/>
      <c r="CD517" s="2684"/>
      <c r="CE517" s="2684"/>
      <c r="CF517" s="2684"/>
      <c r="CG517" s="2684"/>
      <c r="CH517" s="2684"/>
      <c r="CI517" s="2684"/>
      <c r="CJ517" s="2684"/>
      <c r="CK517" s="2684"/>
      <c r="CL517" s="2684"/>
      <c r="CM517" s="2684"/>
      <c r="CN517" s="2684"/>
      <c r="CO517" s="2684"/>
      <c r="CP517" s="2684"/>
      <c r="CQ517" s="2684"/>
      <c r="CR517" s="2684"/>
      <c r="CS517" s="2684"/>
      <c r="CT517" s="2684"/>
      <c r="CU517" s="2685"/>
      <c r="CV517" s="2300"/>
      <c r="CW517" s="2300"/>
      <c r="CX517" s="2300"/>
      <c r="CY517" s="2300"/>
      <c r="CZ517" s="2300"/>
      <c r="DA517" s="2300"/>
      <c r="DB517" s="20"/>
      <c r="DC517" s="329"/>
      <c r="DD517" s="197"/>
      <c r="DE517" s="14"/>
      <c r="DF517" s="14"/>
      <c r="DG517" s="14"/>
      <c r="DH517" s="14"/>
      <c r="DI517" s="1596"/>
      <c r="DJ517" s="1157"/>
      <c r="DK517" s="1608"/>
      <c r="DL517" s="2058" t="s">
        <v>3433</v>
      </c>
      <c r="DM517" s="2075" t="str">
        <f>IF(AND(DN517="",DO517="",DP517="",DM535&lt;&gt;0),"レ","")</f>
        <v/>
      </c>
      <c r="DN517" s="2075" t="str">
        <f>IF(AND(DO517="",DP517="",DN535&lt;&gt;0),"レ","")</f>
        <v/>
      </c>
      <c r="DO517" s="2075" t="str">
        <f>IF(DO535&lt;&gt;0,"レ","")</f>
        <v/>
      </c>
      <c r="DP517" s="2075" t="str">
        <f>IF(AND(DO517="",DP535&lt;&gt;0),"レ","")</f>
        <v/>
      </c>
      <c r="DQ517" s="25"/>
      <c r="DR517" s="76"/>
      <c r="DS517" s="76"/>
      <c r="DT517" s="76"/>
      <c r="DU517" s="25"/>
      <c r="DV517" s="25"/>
      <c r="DW517" s="199" t="s">
        <v>1603</v>
      </c>
      <c r="DX517" s="2885"/>
      <c r="DY517" s="42" t="str">
        <f>SUBSTITUTE(TRIM(DY520&amp;"　"&amp;DY521&amp;"　"&amp;DY522&amp;"　"&amp;DY523&amp;"　"&amp;DY524&amp;"　"&amp;DY525&amp;"　"&amp;DY526&amp;"　"&amp;DY527&amp;"　"&amp;DY528&amp;"　"&amp;DY529&amp;"　"&amp;DY530&amp;"　"&amp;DY531&amp;"　"&amp;DY532&amp;"　"&amp;DY533&amp;"　"&amp;DY534),"　",",")</f>
        <v/>
      </c>
      <c r="DZ517" s="2370" t="s">
        <v>1625</v>
      </c>
      <c r="EA517" s="2371"/>
      <c r="EB517" s="2082" t="str">
        <f>IF(COUNTIF(ED520:ED534,1)&gt;0,"レ","")</f>
        <v/>
      </c>
      <c r="EC517" s="306"/>
      <c r="ED517" s="2083" t="str">
        <f>IF(EB517="レ",YEAR(EE535)-VLOOKUP(EE535,$DS$6:$DV$9,4,TRUE),"")</f>
        <v/>
      </c>
      <c r="EE517" s="2083" t="str">
        <f>IF(EB517="レ",MONTH(EE535),IF(AND(DO517="レ",EF517="レ",EF535=0),"",IF(AND(DO517="レ",EF517="レ",EF535&gt;0),"","")))</f>
        <v/>
      </c>
      <c r="EF517" s="2084" t="str">
        <f>IF(EB517="",IF(OR(EF535&gt;0,DO517="レ"),"レ",""),"")</f>
        <v/>
      </c>
      <c r="EG517" s="2092" t="str">
        <f>IF(AND(COUNTIF(DT520:DT534,"要是正")=0,COUNTIF(EI520:EI534,1)&gt;0),"レ","")</f>
        <v/>
      </c>
      <c r="EH517" s="306"/>
      <c r="EI517" s="2083" t="str">
        <f>IF(EG517="レ",YEAR(EJ535)-VLOOKUP(EJ535,$DS$6:$DV$9,4,TRUE),"")</f>
        <v/>
      </c>
      <c r="EJ517" s="2083" t="str">
        <f>IF(EG517="レ",MONTH(EJ535),IF(AND(DP517="レ",EK517="レ",EK535=0),"",IF(AND(DP517="レ",EK517="レ",EK535&gt;0),"","")))</f>
        <v/>
      </c>
      <c r="EK517" s="2084" t="str">
        <f>IF(EG517="",IF(OR(EK535&gt;0,DP517="レ"),"レ",""),"")</f>
        <v/>
      </c>
      <c r="EO517" s="15"/>
      <c r="EP517" s="15"/>
      <c r="EQ517" s="15"/>
      <c r="ER517" s="15"/>
      <c r="ES517" s="15"/>
      <c r="ET517" s="15"/>
      <c r="EU517" s="15"/>
      <c r="EV517" s="15"/>
      <c r="EW517" s="15"/>
      <c r="EX517" s="15"/>
      <c r="EY517" s="15"/>
      <c r="EZ517" s="15"/>
      <c r="FA517" s="15"/>
      <c r="FB517" s="15"/>
      <c r="FC517" s="15"/>
      <c r="FD517" s="15"/>
      <c r="FE517" s="15"/>
      <c r="FF517" s="15"/>
      <c r="FG517" s="15"/>
      <c r="FH517" s="15"/>
      <c r="FI517" s="15"/>
      <c r="FK517" s="351"/>
      <c r="FL517" s="351"/>
      <c r="FM517" s="351"/>
      <c r="FN517" s="351"/>
      <c r="FO517" s="670"/>
      <c r="FQ517" s="134" t="str">
        <f>IF(COUNTIF(FS520:FS534,1)&gt;0,"レ","")</f>
        <v/>
      </c>
      <c r="FR517" s="202"/>
      <c r="FS517" s="135" t="str">
        <f>IF(FQ517="レ",TEXT(FT535,"ee"),"")</f>
        <v/>
      </c>
      <c r="FT517" s="135" t="str">
        <f>IF(FQ517="レ",MONTH(FT535),IF(AND(FH517="レ",FU517="レ",FU535=0),"",IF(AND(FH517="レ",FU517="レ",FU535&gt;0),"未定","")))</f>
        <v/>
      </c>
      <c r="FU517" s="200" t="str">
        <f>IF(FQ517="",IF(OR(FU535&gt;0,FH517="レ"),"レ",""),"")</f>
        <v/>
      </c>
      <c r="FW517" s="667">
        <f t="shared" ref="FW517:FW535" si="776">IF(AF517="△既存不適格",AT517&amp;"(既存不適格)",AT517)</f>
        <v>0</v>
      </c>
      <c r="FX517" s="32"/>
      <c r="FY517" s="32"/>
      <c r="FZ517" s="668"/>
      <c r="GA517" s="14"/>
      <c r="GB517" s="1620" t="s">
        <v>3380</v>
      </c>
      <c r="GL517" s="1975" t="s">
        <v>3379</v>
      </c>
      <c r="HF517" s="1975" t="s">
        <v>3400</v>
      </c>
      <c r="HK517" s="1975" t="s">
        <v>3397</v>
      </c>
      <c r="HL517" s="676"/>
      <c r="HS517" s="32"/>
      <c r="HT517" s="1134"/>
      <c r="HU517" s="1134"/>
      <c r="HV517" s="1134"/>
      <c r="HW517" s="1134"/>
      <c r="HX517" s="1134"/>
    </row>
    <row r="518" spans="1:232" s="19" customFormat="1" ht="36" customHeight="1" thickBot="1" x14ac:dyDescent="0.2">
      <c r="A518" s="1201"/>
      <c r="B518" s="1201"/>
      <c r="C518" s="1201"/>
      <c r="D518" s="1201"/>
      <c r="E518" s="1202"/>
      <c r="F518" s="652"/>
      <c r="G518" s="652"/>
      <c r="H518" s="652"/>
      <c r="I518" s="1351"/>
      <c r="J518" s="1260"/>
      <c r="K518" s="1261"/>
      <c r="L518" s="1261"/>
      <c r="M518" s="2387" t="s">
        <v>31</v>
      </c>
      <c r="N518" s="2387"/>
      <c r="O518" s="2387"/>
      <c r="P518" s="2387" t="s">
        <v>32</v>
      </c>
      <c r="Q518" s="2387"/>
      <c r="R518" s="2387"/>
      <c r="S518" s="2387"/>
      <c r="T518" s="2387"/>
      <c r="U518" s="2387"/>
      <c r="V518" s="2387"/>
      <c r="W518" s="2387"/>
      <c r="X518" s="2387"/>
      <c r="Y518" s="2387"/>
      <c r="Z518" s="2387"/>
      <c r="AA518" s="2387"/>
      <c r="AB518" s="2387"/>
      <c r="AC518" s="2387"/>
      <c r="AD518" s="2387"/>
      <c r="AE518" s="2387"/>
      <c r="AF518" s="2387" t="s">
        <v>33</v>
      </c>
      <c r="AG518" s="2387"/>
      <c r="AH518" s="2387"/>
      <c r="AI518" s="2387"/>
      <c r="AJ518" s="2387"/>
      <c r="AK518" s="2387"/>
      <c r="AL518" s="2387"/>
      <c r="AM518" s="2387"/>
      <c r="AN518" s="2387"/>
      <c r="AO518" s="2387"/>
      <c r="AP518" s="2387"/>
      <c r="AQ518" s="2387"/>
      <c r="AR518" s="2387" t="s">
        <v>716</v>
      </c>
      <c r="AS518" s="2387"/>
      <c r="AT518" s="2388" t="s">
        <v>149</v>
      </c>
      <c r="AU518" s="2388"/>
      <c r="AV518" s="2388"/>
      <c r="AW518" s="2388"/>
      <c r="AX518" s="2388"/>
      <c r="AY518" s="2388"/>
      <c r="AZ518" s="2388"/>
      <c r="BA518" s="2388"/>
      <c r="BB518" s="2388"/>
      <c r="BC518" s="2388"/>
      <c r="BD518" s="2388" t="s">
        <v>187</v>
      </c>
      <c r="BE518" s="2388"/>
      <c r="BF518" s="2388"/>
      <c r="BG518" s="2388"/>
      <c r="BH518" s="2388"/>
      <c r="BI518" s="2388"/>
      <c r="BJ518" s="2388"/>
      <c r="BK518" s="2388"/>
      <c r="BL518" s="2388"/>
      <c r="BM518" s="2388"/>
      <c r="BN518" s="2388"/>
      <c r="BO518" s="2388"/>
      <c r="BP518" s="2388"/>
      <c r="BQ518" s="2388"/>
      <c r="BR518" s="2388"/>
      <c r="BS518" s="2387" t="s">
        <v>352</v>
      </c>
      <c r="BT518" s="2388"/>
      <c r="BU518" s="2388"/>
      <c r="BV518" s="2388"/>
      <c r="BW518" s="2388"/>
      <c r="BX518" s="2388"/>
      <c r="BY518" s="2388"/>
      <c r="BZ518" s="2388"/>
      <c r="CA518" s="2388"/>
      <c r="CB518" s="2363" t="s">
        <v>1919</v>
      </c>
      <c r="CC518" s="2363"/>
      <c r="CD518" s="2363"/>
      <c r="CE518" s="2363"/>
      <c r="CF518" s="2363"/>
      <c r="CG518" s="2363"/>
      <c r="CH518" s="2363"/>
      <c r="CI518" s="2363"/>
      <c r="CJ518" s="2363"/>
      <c r="CK518" s="2363"/>
      <c r="CL518" s="2363"/>
      <c r="CM518" s="2363"/>
      <c r="CN518" s="2363"/>
      <c r="CO518" s="2363"/>
      <c r="CP518" s="2363"/>
      <c r="CQ518" s="2363"/>
      <c r="CR518" s="2363"/>
      <c r="CS518" s="2363"/>
      <c r="CT518" s="2363"/>
      <c r="CU518" s="2364"/>
      <c r="CV518" s="421"/>
      <c r="CW518" s="421"/>
      <c r="CX518" s="20"/>
      <c r="CY518" s="20"/>
      <c r="CZ518" s="20"/>
      <c r="DA518" s="20"/>
      <c r="DB518" s="20"/>
      <c r="DC518" s="15"/>
      <c r="DD518" s="197"/>
      <c r="DE518" s="14"/>
      <c r="DF518" s="14"/>
      <c r="DG518" s="14"/>
      <c r="DH518" s="14"/>
      <c r="DI518" s="1596"/>
      <c r="DJ518" s="1157"/>
      <c r="DK518" s="1608"/>
      <c r="DL518" s="14"/>
      <c r="DM518" s="72"/>
      <c r="DN518" s="14"/>
      <c r="DO518" s="14"/>
      <c r="DP518" s="14"/>
      <c r="DQ518" s="14"/>
      <c r="DR518" s="14"/>
      <c r="DU518" s="197"/>
      <c r="DV518" s="197"/>
      <c r="DW518" s="197"/>
      <c r="DX518" s="2885"/>
      <c r="DY518" s="2890" t="s">
        <v>872</v>
      </c>
      <c r="DZ518" s="2290" t="s">
        <v>187</v>
      </c>
      <c r="EA518" s="2372" t="s">
        <v>1605</v>
      </c>
      <c r="EB518" s="2312" t="s">
        <v>24</v>
      </c>
      <c r="EC518" s="2312"/>
      <c r="ED518" s="2312"/>
      <c r="EE518" s="2312"/>
      <c r="EF518" s="2313"/>
      <c r="EG518" s="2314" t="s">
        <v>891</v>
      </c>
      <c r="EH518" s="2315"/>
      <c r="EI518" s="2315"/>
      <c r="EJ518" s="2315"/>
      <c r="EK518" s="2316"/>
      <c r="EL518" s="2304" t="s">
        <v>898</v>
      </c>
      <c r="EM518" s="2305"/>
      <c r="EN518" s="2306"/>
      <c r="EO518" s="2281"/>
      <c r="EP518" s="2281"/>
      <c r="EQ518" s="2281"/>
      <c r="ER518" s="2281"/>
      <c r="FB518" s="677"/>
      <c r="FC518" s="677"/>
      <c r="FD518" s="677"/>
      <c r="FE518" s="677"/>
      <c r="FF518" s="677"/>
      <c r="FG518" s="677"/>
      <c r="FH518" s="677"/>
      <c r="FI518" s="677"/>
      <c r="FJ518" s="20"/>
      <c r="FK518" s="2283" t="s">
        <v>1108</v>
      </c>
      <c r="FL518" s="2284"/>
      <c r="FM518" s="2284"/>
      <c r="FN518" s="2284"/>
      <c r="FO518" s="2285"/>
      <c r="FQ518" s="2262" t="s">
        <v>24</v>
      </c>
      <c r="FR518" s="2263"/>
      <c r="FS518" s="2263"/>
      <c r="FT518" s="2263"/>
      <c r="FU518" s="2264"/>
      <c r="FW518" s="667" t="str">
        <f t="shared" si="776"/>
        <v>指摘の具体的内容等</v>
      </c>
      <c r="FX518" s="32"/>
      <c r="FY518" s="32"/>
      <c r="FZ518" s="668"/>
      <c r="GA518" s="14"/>
      <c r="GB518" s="2006" t="s">
        <v>1825</v>
      </c>
      <c r="GC518" s="2007"/>
      <c r="GD518" s="2007"/>
      <c r="GE518" s="2007"/>
      <c r="GF518" s="2007"/>
      <c r="GG518" s="2007"/>
      <c r="GH518" s="2008"/>
      <c r="GI518" s="2008"/>
      <c r="GJ518" s="2009"/>
      <c r="GK518" s="2012"/>
      <c r="GL518" s="2010"/>
      <c r="GM518" s="1979" t="s">
        <v>1827</v>
      </c>
      <c r="GN518" s="1979"/>
      <c r="GO518" s="1979"/>
      <c r="GP518" s="1979"/>
      <c r="GQ518" s="1979"/>
      <c r="GR518" s="1980"/>
      <c r="GS518" s="1980"/>
      <c r="GT518" s="1980"/>
      <c r="GU518" s="1981"/>
      <c r="GV518" s="1993" t="s">
        <v>3385</v>
      </c>
      <c r="GW518" s="1994"/>
      <c r="GX518" s="1994"/>
      <c r="GY518" s="1994"/>
      <c r="GZ518" s="1994"/>
      <c r="HA518" s="1994"/>
      <c r="HB518" s="1994"/>
      <c r="HC518" s="1995"/>
      <c r="HD518" s="1996"/>
      <c r="HE518" s="73"/>
      <c r="HF518" s="678" t="s">
        <v>1110</v>
      </c>
      <c r="HG518" s="680"/>
      <c r="HH518" s="680"/>
      <c r="HI518" s="681"/>
      <c r="HK518" s="682"/>
      <c r="HL518" s="2037" t="s">
        <v>2154</v>
      </c>
      <c r="HM518" s="2038"/>
      <c r="HN518" s="2038"/>
      <c r="HO518" s="2038"/>
      <c r="HP518" s="2038"/>
      <c r="HQ518" s="2038"/>
      <c r="HR518" s="2038"/>
      <c r="HS518" s="2039"/>
      <c r="HT518" s="1134"/>
      <c r="HU518" s="1134"/>
      <c r="HV518" s="1134"/>
      <c r="HW518" s="1134"/>
      <c r="HX518" s="1134"/>
    </row>
    <row r="519" spans="1:232" s="19" customFormat="1" ht="36" customHeight="1" thickBot="1" x14ac:dyDescent="0.2">
      <c r="A519" s="1201"/>
      <c r="B519" s="1201"/>
      <c r="C519" s="1201"/>
      <c r="D519" s="1201"/>
      <c r="E519" s="1202"/>
      <c r="F519" s="652"/>
      <c r="G519" s="652"/>
      <c r="H519" s="652"/>
      <c r="I519" s="1351"/>
      <c r="J519" s="1260"/>
      <c r="K519" s="1261"/>
      <c r="L519" s="1261"/>
      <c r="M519" s="2289"/>
      <c r="N519" s="2289"/>
      <c r="O519" s="2289"/>
      <c r="P519" s="2289"/>
      <c r="Q519" s="2289"/>
      <c r="R519" s="2289"/>
      <c r="S519" s="2289"/>
      <c r="T519" s="2289"/>
      <c r="U519" s="2289"/>
      <c r="V519" s="2289"/>
      <c r="W519" s="2289"/>
      <c r="X519" s="2289"/>
      <c r="Y519" s="2289"/>
      <c r="Z519" s="2289"/>
      <c r="AA519" s="2289"/>
      <c r="AB519" s="2289"/>
      <c r="AC519" s="2289"/>
      <c r="AD519" s="2289"/>
      <c r="AE519" s="2289"/>
      <c r="AF519" s="2289"/>
      <c r="AG519" s="2289"/>
      <c r="AH519" s="2289"/>
      <c r="AI519" s="2289"/>
      <c r="AJ519" s="2289"/>
      <c r="AK519" s="2289"/>
      <c r="AL519" s="2289"/>
      <c r="AM519" s="2289"/>
      <c r="AN519" s="2289"/>
      <c r="AO519" s="2289"/>
      <c r="AP519" s="2289"/>
      <c r="AQ519" s="2289"/>
      <c r="AR519" s="2289"/>
      <c r="AS519" s="2289"/>
      <c r="AT519" s="2386"/>
      <c r="AU519" s="2386"/>
      <c r="AV519" s="2386"/>
      <c r="AW519" s="2386"/>
      <c r="AX519" s="2386"/>
      <c r="AY519" s="2386"/>
      <c r="AZ519" s="2386"/>
      <c r="BA519" s="2386"/>
      <c r="BB519" s="2386"/>
      <c r="BC519" s="2386"/>
      <c r="BD519" s="2386"/>
      <c r="BE519" s="2386"/>
      <c r="BF519" s="2386"/>
      <c r="BG519" s="2386"/>
      <c r="BH519" s="2386"/>
      <c r="BI519" s="2386"/>
      <c r="BJ519" s="2386"/>
      <c r="BK519" s="2386"/>
      <c r="BL519" s="2386"/>
      <c r="BM519" s="2386"/>
      <c r="BN519" s="2386"/>
      <c r="BO519" s="2386"/>
      <c r="BP519" s="2386"/>
      <c r="BQ519" s="2386"/>
      <c r="BR519" s="2386"/>
      <c r="BS519" s="2289" t="s">
        <v>827</v>
      </c>
      <c r="BT519" s="2289"/>
      <c r="BU519" s="2289"/>
      <c r="BV519" s="2289" t="s">
        <v>348</v>
      </c>
      <c r="BW519" s="2289"/>
      <c r="BX519" s="2289"/>
      <c r="BY519" s="2289" t="s">
        <v>1314</v>
      </c>
      <c r="BZ519" s="2386"/>
      <c r="CA519" s="2386"/>
      <c r="CB519" s="2365"/>
      <c r="CC519" s="2365"/>
      <c r="CD519" s="2365"/>
      <c r="CE519" s="2365"/>
      <c r="CF519" s="2365"/>
      <c r="CG519" s="2365"/>
      <c r="CH519" s="2365"/>
      <c r="CI519" s="2365"/>
      <c r="CJ519" s="2365"/>
      <c r="CK519" s="2365"/>
      <c r="CL519" s="2365"/>
      <c r="CM519" s="2365"/>
      <c r="CN519" s="2365"/>
      <c r="CO519" s="2365"/>
      <c r="CP519" s="2365"/>
      <c r="CQ519" s="2365"/>
      <c r="CR519" s="2365"/>
      <c r="CS519" s="2365"/>
      <c r="CT519" s="2365"/>
      <c r="CU519" s="2366"/>
      <c r="CV519" s="421"/>
      <c r="CW519" s="421"/>
      <c r="CX519" s="20"/>
      <c r="CY519" s="20"/>
      <c r="CZ519" s="20"/>
      <c r="DA519" s="20"/>
      <c r="DB519" s="20"/>
      <c r="DC519" s="15"/>
      <c r="DD519" s="197"/>
      <c r="DE519" s="14"/>
      <c r="DF519" s="14"/>
      <c r="DG519" s="14"/>
      <c r="DH519" s="14"/>
      <c r="DI519" s="1596"/>
      <c r="DJ519" s="1169" t="s">
        <v>2752</v>
      </c>
      <c r="DK519" s="1599" t="s">
        <v>2751</v>
      </c>
      <c r="DL519" s="269" t="s">
        <v>2753</v>
      </c>
      <c r="DM519" s="281" t="s">
        <v>325</v>
      </c>
      <c r="DN519" s="261" t="s">
        <v>326</v>
      </c>
      <c r="DO519" s="261" t="s">
        <v>327</v>
      </c>
      <c r="DP519" s="262" t="s">
        <v>328</v>
      </c>
      <c r="DQ519" s="98" t="s">
        <v>825</v>
      </c>
      <c r="DR519" s="260" t="s">
        <v>718</v>
      </c>
      <c r="DS519" s="283" t="s">
        <v>717</v>
      </c>
      <c r="DT519" s="269" t="s">
        <v>710</v>
      </c>
      <c r="DU519" s="271" t="s">
        <v>881</v>
      </c>
      <c r="DV519" s="291" t="s">
        <v>873</v>
      </c>
      <c r="DW519" s="311" t="s">
        <v>660</v>
      </c>
      <c r="DX519" s="2886"/>
      <c r="DY519" s="2891"/>
      <c r="DZ519" s="2291"/>
      <c r="EA519" s="2373"/>
      <c r="EB519" s="312" t="s">
        <v>910</v>
      </c>
      <c r="EC519" s="132" t="s">
        <v>909</v>
      </c>
      <c r="ED519" s="132" t="s">
        <v>903</v>
      </c>
      <c r="EE519" s="119" t="s">
        <v>904</v>
      </c>
      <c r="EF519" s="216" t="s">
        <v>905</v>
      </c>
      <c r="EG519" s="118" t="s">
        <v>901</v>
      </c>
      <c r="EH519" s="119" t="s">
        <v>902</v>
      </c>
      <c r="EI519" s="132" t="s">
        <v>903</v>
      </c>
      <c r="EJ519" s="119" t="s">
        <v>904</v>
      </c>
      <c r="EK519" s="216" t="s">
        <v>905</v>
      </c>
      <c r="EL519" s="127" t="s">
        <v>336</v>
      </c>
      <c r="EM519" s="23" t="s">
        <v>658</v>
      </c>
      <c r="EN519" s="124" t="s">
        <v>659</v>
      </c>
      <c r="EO519" s="15"/>
      <c r="EP519" s="185"/>
      <c r="EQ519" s="185"/>
      <c r="ER519" s="185"/>
      <c r="FB519" s="677"/>
      <c r="FC519" s="677"/>
      <c r="FD519" s="677"/>
      <c r="FE519" s="677"/>
      <c r="FF519" s="677"/>
      <c r="FG519" s="677"/>
      <c r="FH519" s="677"/>
      <c r="FI519" s="677"/>
      <c r="FJ519" s="20"/>
      <c r="FK519" s="2286"/>
      <c r="FL519" s="2287"/>
      <c r="FM519" s="2287"/>
      <c r="FN519" s="2287"/>
      <c r="FO519" s="2288"/>
      <c r="FQ519" s="139" t="s">
        <v>910</v>
      </c>
      <c r="FR519" s="132" t="s">
        <v>909</v>
      </c>
      <c r="FS519" s="132" t="s">
        <v>903</v>
      </c>
      <c r="FT519" s="119" t="s">
        <v>904</v>
      </c>
      <c r="FU519" s="216" t="s">
        <v>905</v>
      </c>
      <c r="FW519" s="667">
        <f t="shared" si="776"/>
        <v>0</v>
      </c>
      <c r="FX519" s="32"/>
      <c r="FY519" s="32"/>
      <c r="FZ519" s="668"/>
      <c r="GA519" s="14"/>
      <c r="GB519" s="1976" t="s">
        <v>1826</v>
      </c>
      <c r="GC519" s="1977">
        <v>1</v>
      </c>
      <c r="GD519" s="1977">
        <v>2</v>
      </c>
      <c r="GE519" s="1977">
        <v>3</v>
      </c>
      <c r="GF519" s="1977">
        <v>4</v>
      </c>
      <c r="GG519" s="1977">
        <v>5</v>
      </c>
      <c r="GH519" s="1977">
        <v>6</v>
      </c>
      <c r="GI519" s="1987" t="s">
        <v>3381</v>
      </c>
      <c r="GJ519" s="1988" t="s">
        <v>3382</v>
      </c>
      <c r="GK519" s="2013"/>
      <c r="GL519" s="2011"/>
      <c r="GM519" s="1977">
        <v>1</v>
      </c>
      <c r="GN519" s="1977">
        <v>2</v>
      </c>
      <c r="GO519" s="1977">
        <v>3</v>
      </c>
      <c r="GP519" s="1977">
        <v>4</v>
      </c>
      <c r="GQ519" s="1977">
        <v>5</v>
      </c>
      <c r="GR519" s="1977">
        <v>6</v>
      </c>
      <c r="GS519" s="1987" t="s">
        <v>3381</v>
      </c>
      <c r="GT519" s="1988" t="s">
        <v>3382</v>
      </c>
      <c r="GU519" s="1978" t="s">
        <v>2166</v>
      </c>
      <c r="GV519" s="1976">
        <v>1</v>
      </c>
      <c r="GW519" s="1977">
        <v>2</v>
      </c>
      <c r="GX519" s="1977">
        <v>3</v>
      </c>
      <c r="GY519" s="1977">
        <v>4</v>
      </c>
      <c r="GZ519" s="1977">
        <v>5</v>
      </c>
      <c r="HA519" s="1977">
        <v>6</v>
      </c>
      <c r="HB519" s="1987" t="s">
        <v>3381</v>
      </c>
      <c r="HC519" s="1988" t="s">
        <v>3382</v>
      </c>
      <c r="HD519" s="1978" t="s">
        <v>2167</v>
      </c>
      <c r="HE519" s="73"/>
      <c r="HF519" s="684">
        <v>4</v>
      </c>
      <c r="HG519" s="685"/>
      <c r="HH519" s="686"/>
      <c r="HI519" s="687" t="s">
        <v>2162</v>
      </c>
      <c r="HJ519" s="21"/>
      <c r="HK519" s="688"/>
      <c r="HL519" s="2032">
        <v>1</v>
      </c>
      <c r="HM519" s="2032">
        <v>2</v>
      </c>
      <c r="HN519" s="2032">
        <v>3</v>
      </c>
      <c r="HO519" s="2032">
        <v>4</v>
      </c>
      <c r="HP519" s="2032">
        <v>5</v>
      </c>
      <c r="HQ519" s="2032">
        <v>6</v>
      </c>
      <c r="HR519" s="1988" t="s">
        <v>3381</v>
      </c>
      <c r="HS519" s="2042" t="s">
        <v>3382</v>
      </c>
      <c r="HT519" s="1135"/>
      <c r="HU519" s="1135"/>
      <c r="HV519" s="1135"/>
      <c r="HW519" s="1135"/>
      <c r="HX519" s="1135"/>
    </row>
    <row r="520" spans="1:232" s="19" customFormat="1" ht="60" customHeight="1" x14ac:dyDescent="0.15">
      <c r="A520" s="1201"/>
      <c r="B520" s="1201"/>
      <c r="C520" s="1201"/>
      <c r="D520" s="1201"/>
      <c r="E520" s="1202"/>
      <c r="F520" s="652"/>
      <c r="G520" s="652"/>
      <c r="H520" s="652"/>
      <c r="I520" s="1351"/>
      <c r="J520" s="1260"/>
      <c r="K520" s="1261"/>
      <c r="L520" s="1261"/>
      <c r="M520" s="2678"/>
      <c r="N520" s="2679"/>
      <c r="O520" s="2680"/>
      <c r="P520" s="2647" t="str">
        <f t="shared" ref="P520:P534" si="777">IFERROR(VLOOKUP(M520,$DQ$319:$DR$514,2,FALSE),"")</f>
        <v/>
      </c>
      <c r="Q520" s="2648"/>
      <c r="R520" s="2648"/>
      <c r="S520" s="2648"/>
      <c r="T520" s="2648"/>
      <c r="U520" s="2648"/>
      <c r="V520" s="2648"/>
      <c r="W520" s="2648"/>
      <c r="X520" s="2648"/>
      <c r="Y520" s="2648"/>
      <c r="Z520" s="2648"/>
      <c r="AA520" s="2648"/>
      <c r="AB520" s="2648"/>
      <c r="AC520" s="2648"/>
      <c r="AD520" s="2648"/>
      <c r="AE520" s="2649"/>
      <c r="AF520" s="2488"/>
      <c r="AG520" s="2293"/>
      <c r="AH520" s="2293"/>
      <c r="AI520" s="2293"/>
      <c r="AJ520" s="2293"/>
      <c r="AK520" s="2293"/>
      <c r="AL520" s="2293"/>
      <c r="AM520" s="2293"/>
      <c r="AN520" s="2293"/>
      <c r="AO520" s="2293"/>
      <c r="AP520" s="2293"/>
      <c r="AQ520" s="2293"/>
      <c r="AR520" s="2359"/>
      <c r="AS520" s="2359"/>
      <c r="AT520" s="2928"/>
      <c r="AU520" s="2928"/>
      <c r="AV520" s="2928"/>
      <c r="AW520" s="2928"/>
      <c r="AX520" s="2928"/>
      <c r="AY520" s="2928"/>
      <c r="AZ520" s="2928"/>
      <c r="BA520" s="2928"/>
      <c r="BB520" s="2928"/>
      <c r="BC520" s="2928"/>
      <c r="BD520" s="2928"/>
      <c r="BE520" s="2928"/>
      <c r="BF520" s="2928"/>
      <c r="BG520" s="2928"/>
      <c r="BH520" s="2928"/>
      <c r="BI520" s="2928"/>
      <c r="BJ520" s="2928"/>
      <c r="BK520" s="2928"/>
      <c r="BL520" s="2928"/>
      <c r="BM520" s="2928"/>
      <c r="BN520" s="2928"/>
      <c r="BO520" s="2928"/>
      <c r="BP520" s="2928"/>
      <c r="BQ520" s="2928"/>
      <c r="BR520" s="2928"/>
      <c r="BS520" s="2359"/>
      <c r="BT520" s="2359"/>
      <c r="BU520" s="2359"/>
      <c r="BV520" s="2359"/>
      <c r="BW520" s="2359"/>
      <c r="BX520" s="2359"/>
      <c r="BY520" s="2359"/>
      <c r="BZ520" s="2359"/>
      <c r="CA520" s="2359"/>
      <c r="CB520" s="2710" t="s">
        <v>2168</v>
      </c>
      <c r="CC520" s="2711"/>
      <c r="CD520" s="2711"/>
      <c r="CE520" s="2711"/>
      <c r="CF520" s="2711"/>
      <c r="CG520" s="2711"/>
      <c r="CH520" s="2711"/>
      <c r="CI520" s="2711"/>
      <c r="CJ520" s="2711"/>
      <c r="CK520" s="2711"/>
      <c r="CL520" s="2711"/>
      <c r="CM520" s="2711"/>
      <c r="CN520" s="2711"/>
      <c r="CO520" s="2711"/>
      <c r="CP520" s="2711"/>
      <c r="CQ520" s="2711"/>
      <c r="CR520" s="2711"/>
      <c r="CS520" s="2711"/>
      <c r="CT520" s="2711"/>
      <c r="CU520" s="2712"/>
      <c r="CV520" s="2300" t="str">
        <f t="shared" ref="CV520:CV528" si="778">IF(AND(DT520="要是正",DU520&lt;21),HYPERLINK("#"&amp;EL520&amp;"!"&amp;EM520&amp;":"&amp;EN520&amp;"","関連写真添付"),"")</f>
        <v/>
      </c>
      <c r="CW520" s="2300"/>
      <c r="CX520" s="2300"/>
      <c r="CY520" s="2300"/>
      <c r="CZ520" s="2300"/>
      <c r="DA520" s="2300"/>
      <c r="DB520" s="31"/>
      <c r="DC520" s="329" t="str">
        <f t="shared" ref="DC520:DC529" si="779">IF(AND(DU520&lt;&gt;"",DU520&gt;20),"「別途様式を作成、提出してください。」","")</f>
        <v/>
      </c>
      <c r="DD520" s="197"/>
      <c r="DE520" s="14"/>
      <c r="DF520" s="14"/>
      <c r="DG520" s="14"/>
      <c r="DH520" s="14"/>
      <c r="DI520" s="1596"/>
      <c r="DJ520" s="1170" t="s">
        <v>2749</v>
      </c>
      <c r="DK520" s="1604" t="str">
        <f t="shared" ref="DK520:DK534" si="780">IF(DS520=2,DATE(VLOOKUP(DJ520,$DU$6:$DV$9,2,FALSE)+BS520,BV520,1),"")</f>
        <v/>
      </c>
      <c r="DL520" s="437" t="str">
        <f t="shared" ref="DL520:DL534" si="781">IF(DS520=2,DJ520&amp;BS520&amp;"."&amp;BV520,"")</f>
        <v/>
      </c>
      <c r="DM520" s="1128">
        <f t="shared" ref="DM520:DM534" si="782">COUNTIFS(AF520,"―対象外")</f>
        <v>0</v>
      </c>
      <c r="DN520" s="22">
        <f t="shared" ref="DN520:DN534" si="783">COUNTIFS(AF520,"○指摘なし")</f>
        <v>0</v>
      </c>
      <c r="DO520" s="22">
        <f t="shared" ref="DO520:DO534" si="784">COUNTIFS(AF520,"×要是正（既存不適格以外）")</f>
        <v>0</v>
      </c>
      <c r="DP520" s="264">
        <f t="shared" ref="DP520:DP534" si="785">COUNTIFS(AF520,"△既存不適格")</f>
        <v>0</v>
      </c>
      <c r="DQ520" s="32">
        <f t="shared" ref="DQ520:DQ534" si="786">M520</f>
        <v>0</v>
      </c>
      <c r="DR520" s="263" t="str">
        <f t="shared" ref="DR520:DR534" si="787">P520</f>
        <v/>
      </c>
      <c r="DS520" s="23">
        <f t="shared" ref="DS520:DS534" si="788">COUNTA(BS520:BX520)</f>
        <v>0</v>
      </c>
      <c r="DT520" s="29" t="str">
        <f t="shared" ref="DT520:DT534" si="789">IF(AF520="×要是正（既存不適格以外）","要是正","")&amp;IF(AF520="△既存不適格","既存不適格","")</f>
        <v/>
      </c>
      <c r="DU520" s="57" t="str">
        <f t="shared" ref="DU520:DU534" si="790">IF(HV520="","",HV520)</f>
        <v/>
      </c>
      <c r="DV520" s="57" t="str">
        <f>IF($DT520="要是正",MAX($DV$515:DV517)+1,"")</f>
        <v/>
      </c>
      <c r="DW520" s="12" t="str">
        <f t="shared" ref="DW520:DW534" si="791">IF(OR(AF520="×要是正（既存不適格以外）",AF520="△既存不適格"),DQ520,"")</f>
        <v/>
      </c>
      <c r="DX520" s="30" t="str">
        <f>IF(OR($DT520="要是正",$DT520="既存不適格"),$DR520,"")</f>
        <v/>
      </c>
      <c r="DY520" s="13" t="str">
        <f t="shared" ref="DY520:DY534" si="792">IF($DT520="要是正",IF(AT520="","",DQ520 &amp;" " &amp; AT520),"")</f>
        <v/>
      </c>
      <c r="DZ520" s="46" t="str">
        <f t="shared" ref="DZ520:DZ534" si="793">IF($DT520="要是正",IF(BD520="","",BD520),"")</f>
        <v/>
      </c>
      <c r="EA520" s="256" t="str">
        <f t="shared" ref="EA520:EA534" si="794">IF(BY520="未定","未定",IF(FR520="0","",IF(BY520="予定","("&amp;DL520&amp;")",IF(BY520="改善済",DL520,DL520))))</f>
        <v/>
      </c>
      <c r="EB520" s="313" t="str">
        <f t="shared" ref="EB520:EB534" si="795">IF(OR(DT520="要是正",DT520="既存不適格"),IF(OR(DS520&lt;2,BY520&lt;&gt;"予定"),"",DK520),"")</f>
        <v/>
      </c>
      <c r="EC520" s="131" t="str">
        <f t="shared" ref="EC520:EC534" si="796">IF(EB520="","0",EB520)</f>
        <v>0</v>
      </c>
      <c r="ED520" s="54" t="str">
        <f t="shared" ref="ED520:ED534" si="797">IF(DT520="要是正",IF(AND(BY520="予定",DS520=2),1,IF(BY520="改善済",2,"")),"")</f>
        <v/>
      </c>
      <c r="EE520" s="131" t="str">
        <f t="shared" ref="EE520" si="798">IF(ED520=1,EC520,"0")</f>
        <v>0</v>
      </c>
      <c r="EF520" s="217" t="str">
        <f t="shared" ref="EF520:EF534" si="799">IF(AND(DT520="要是正",AND(DS520=0,BY520="未定")),BY520,"")</f>
        <v/>
      </c>
      <c r="EG520" s="108" t="str">
        <f t="shared" ref="EG520:EG534" si="800">IF(DT520="既存不適格",IF(OR(DS520&lt;2,BY520&lt;&gt;"予定"),"",DK520),"")</f>
        <v/>
      </c>
      <c r="EH520" s="41" t="str">
        <f t="shared" ref="EH520:EH534" si="801">IF(EG520="","0",EG520)</f>
        <v>0</v>
      </c>
      <c r="EI520" s="54" t="str">
        <f t="shared" ref="EI520:EI534" si="802">IF(DT520="既存不適格",IF(AND(BY520="予定",DS520=2),1,IF(BY520="改善済",2,"")),"")</f>
        <v/>
      </c>
      <c r="EJ520" s="131" t="str">
        <f t="shared" ref="EJ520" si="803">IF(EI520=1,EH520,"0")</f>
        <v>0</v>
      </c>
      <c r="EK520" s="217" t="str">
        <f t="shared" ref="EK520:EK534" si="804">IF(AND(DT520="既存不適格",AND(DS520=0,BY520="未定")),BY520,"")</f>
        <v/>
      </c>
      <c r="EL520" s="242" t="e">
        <f t="shared" ref="EL520:EL529" si="805">VLOOKUP($DU520,$EO$318:$ER$346,2,FALSE)</f>
        <v>#N/A</v>
      </c>
      <c r="EM520" s="57" t="e">
        <f t="shared" ref="EM520:EM529" si="806">VLOOKUP($DU520,$EO$318:$ER$346,3,FALSE)</f>
        <v>#N/A</v>
      </c>
      <c r="EN520" s="243" t="e">
        <f t="shared" ref="EN520:EN529" si="807">VLOOKUP($DU520,$EO$318:$ER$346,4,FALSE)</f>
        <v>#N/A</v>
      </c>
      <c r="EO520" s="15"/>
      <c r="EP520" s="15"/>
      <c r="EQ520" s="15"/>
      <c r="ER520" s="15"/>
      <c r="FB520" s="677"/>
      <c r="FC520" s="677"/>
      <c r="FD520" s="677"/>
      <c r="FE520" s="677"/>
      <c r="FF520" s="677"/>
      <c r="FG520" s="677"/>
      <c r="FH520" s="677"/>
      <c r="FI520" s="677"/>
      <c r="FK520" s="326" t="str">
        <f>IF($AF520="○指摘なし","○",IF($AF520="―対象外","―",""))</f>
        <v/>
      </c>
      <c r="FL520" s="326" t="str">
        <f>IF(OR($AF520="×要是正（既存不適格以外）",$AF520="△既存不適格"),"○","")</f>
        <v/>
      </c>
      <c r="FM520" s="326" t="str">
        <f>IF($AF520="△既存不適格","○","")</f>
        <v/>
      </c>
      <c r="FN520" s="326">
        <f t="shared" ref="FN520:FN534" si="808">AR520</f>
        <v>0</v>
      </c>
      <c r="FO520" s="670" t="str">
        <f>IF($AF520="―対象外","○","")</f>
        <v/>
      </c>
      <c r="FQ520" s="138" t="str">
        <f t="shared" ref="FQ520:FQ534" si="809">IF(NOT(OR(BY520="未定",BY520="")),DK520,"")</f>
        <v/>
      </c>
      <c r="FR520" s="131" t="str">
        <f t="shared" ref="FR520:FR534" si="810">IF(FQ520="","0",FQ520)</f>
        <v>0</v>
      </c>
      <c r="FS520" s="54" t="str">
        <f t="shared" ref="FS520:FS534" si="811">IF(OR(BY520="予定",BY520="改善済"),1,"")</f>
        <v/>
      </c>
      <c r="FT520" s="131" t="str">
        <f t="shared" ref="FT520:FT529" si="812">IF(FS520=1,FR520,"0")</f>
        <v>0</v>
      </c>
      <c r="FU520" s="217" t="str">
        <f t="shared" ref="FU520:FU529" si="813">IF(AND(FM520="要是正",AND(FL520=0,DR520="未定")),DR520,"")</f>
        <v/>
      </c>
      <c r="FW520" s="667">
        <f t="shared" si="776"/>
        <v>0</v>
      </c>
      <c r="FX520" s="32"/>
      <c r="FY520" s="32"/>
      <c r="FZ520" s="668"/>
      <c r="GA520" s="14"/>
      <c r="GB520" s="689" t="b">
        <f t="shared" ref="GB520:GB534" si="814">M520=""</f>
        <v>1</v>
      </c>
      <c r="GC520" s="690" t="b">
        <f t="shared" ref="GC520:GH534" si="815">IF(VALUE(LEFT($DQ520,1))=GC$519,TRUE)</f>
        <v>0</v>
      </c>
      <c r="GD520" s="690" t="b">
        <f t="shared" si="815"/>
        <v>0</v>
      </c>
      <c r="GE520" s="690" t="b">
        <f t="shared" si="815"/>
        <v>0</v>
      </c>
      <c r="GF520" s="690" t="b">
        <f t="shared" si="815"/>
        <v>0</v>
      </c>
      <c r="GG520" s="690" t="b">
        <f t="shared" si="815"/>
        <v>0</v>
      </c>
      <c r="GH520" s="690" t="b">
        <f t="shared" si="815"/>
        <v>0</v>
      </c>
      <c r="GI520" s="690" t="b">
        <f>IF(OR($M520="7(1)",$M520="7(2)",$M520="7(3)",$M520="7(4)",$M520="7(5)",$M520="7(6)",$M520="7(7)",$M520="7(8)",$M520="7(9)",$M520="7(10)",$M520="7(11)",$M520="7(12)",),TRUE)</f>
        <v>0</v>
      </c>
      <c r="GJ520" s="692" t="b">
        <f>IF(OR($M520="7(13)",$M520="7(14)",$M520="7(15)",$M520="7(16)",$M520="7(17)",$M520="7(18)"),TRUE)</f>
        <v>0</v>
      </c>
      <c r="GK520" s="2012"/>
      <c r="GL520" s="653"/>
      <c r="GM520" s="690">
        <f>IF(GC520,$DO520,0)</f>
        <v>0</v>
      </c>
      <c r="GN520" s="690">
        <f>IF(GD520,$DO520,0)</f>
        <v>0</v>
      </c>
      <c r="GO520" s="690">
        <f t="shared" ref="GO520:GO534" si="816">IF(GE520,$DO520,0)</f>
        <v>0</v>
      </c>
      <c r="GP520" s="690">
        <f t="shared" ref="GP520:GP534" si="817">IF(GF520,$DO520,0)</f>
        <v>0</v>
      </c>
      <c r="GQ520" s="690">
        <f t="shared" ref="GQ520:GQ534" si="818">IF(GG520,$DO520,0)</f>
        <v>0</v>
      </c>
      <c r="GR520" s="690">
        <f t="shared" ref="GR520:GR534" si="819">IF(GH520,$DO520,0)</f>
        <v>0</v>
      </c>
      <c r="GS520" s="690">
        <f>IF(GI520,$DO520,0)</f>
        <v>0</v>
      </c>
      <c r="GT520" s="692">
        <f>IF(GJ520,$DO520,0)</f>
        <v>0</v>
      </c>
      <c r="GU520" s="693"/>
      <c r="GV520" s="689" t="str">
        <f t="shared" ref="GV520:GV534" si="820">IF(GC520,$ED520,"")</f>
        <v/>
      </c>
      <c r="GW520" s="690" t="str">
        <f t="shared" ref="GW520:GW534" si="821">IF(GD520,$ED520,"")</f>
        <v/>
      </c>
      <c r="GX520" s="690" t="str">
        <f t="shared" ref="GX520:GX534" si="822">IF(GE520,$ED520,"")</f>
        <v/>
      </c>
      <c r="GY520" s="690" t="str">
        <f t="shared" ref="GY520:GY534" si="823">IF(GF520,$ED520,"")</f>
        <v/>
      </c>
      <c r="GZ520" s="690" t="str">
        <f t="shared" ref="GZ520:GZ534" si="824">IF(GG520,$ED520,"")</f>
        <v/>
      </c>
      <c r="HA520" s="690" t="str">
        <f t="shared" ref="HA520:HA534" si="825">IF(GH520,$ED520,"")</f>
        <v/>
      </c>
      <c r="HB520" s="690" t="str">
        <f>IF(GI520,$ED520,"")</f>
        <v/>
      </c>
      <c r="HC520" s="690" t="str">
        <f t="shared" ref="HC520:HC534" si="826">IF(GJ520,$ED520,"")</f>
        <v/>
      </c>
      <c r="HD520" s="693"/>
      <c r="HE520" s="73"/>
      <c r="HF520" s="694" t="str">
        <f t="shared" ref="HF520:HF534" si="827">IF(GF520,IF(DT520="既存不適格",IF(AT520="","",DQ520 &amp;" " &amp; AT520),""),"")</f>
        <v/>
      </c>
      <c r="HG520" s="695" t="s">
        <v>2155</v>
      </c>
      <c r="HH520" s="696" t="str">
        <f>INDEX($M$382:$M$431,MATCH(HG520,$U$382:$U$431,0))</f>
        <v>4(42)</v>
      </c>
      <c r="HI520" s="697" t="str">
        <f>IF(HF520&lt;&gt;"",IF(ISERROR(MATCH(DQ520,$HH$520:$HH$523,0)),"",", "&amp;HF520&amp;"（既存不適格）"),"")</f>
        <v/>
      </c>
      <c r="HK520" s="698"/>
      <c r="HL520" s="699" t="str">
        <f>IF(GM520=1,", "&amp;$DY520,"")</f>
        <v/>
      </c>
      <c r="HM520" s="699" t="str">
        <f t="shared" ref="HM520:HM534" si="828">IF(GN520=1,", "&amp;$DY520,"")</f>
        <v/>
      </c>
      <c r="HN520" s="699" t="str">
        <f t="shared" ref="HN520:HN534" si="829">IF(GO520=1,", "&amp;$DY520,"")</f>
        <v/>
      </c>
      <c r="HO520" s="699" t="str">
        <f t="shared" ref="HO520:HO534" si="830">IF(GP520=1,", "&amp;$DY520,"")</f>
        <v/>
      </c>
      <c r="HP520" s="699" t="str">
        <f t="shared" ref="HP520:HP534" si="831">IF(GQ520=1,", "&amp;$DY520,"")</f>
        <v/>
      </c>
      <c r="HQ520" s="699" t="str">
        <f t="shared" ref="HQ520:HQ534" si="832">IF(GR520=1,", "&amp;$DY520,"")</f>
        <v/>
      </c>
      <c r="HR520" s="2040" t="str">
        <f>IF(GS520=1,", "&amp;$DY520,"")</f>
        <v/>
      </c>
      <c r="HS520" s="696" t="str">
        <f>IF(GT520=1,", "&amp;$DY520,"")</f>
        <v/>
      </c>
      <c r="HT520" s="657" t="e">
        <f>LEFT(M520,1)*10000+MID(M520,3,LEN(M520)-3)*100+COUNTIF($M$319:M520,M520)</f>
        <v>#VALUE!</v>
      </c>
      <c r="HU520" s="658" t="str">
        <f t="shared" si="761"/>
        <v/>
      </c>
      <c r="HV520" s="658" t="str">
        <f t="shared" ref="HV520:HV534" si="833">IF(HU520="","",RANK(HU520,HU$319:HU$534,1))</f>
        <v/>
      </c>
      <c r="HW520" s="658" t="str">
        <f t="shared" si="762"/>
        <v/>
      </c>
      <c r="HX520" s="658" t="str">
        <f t="shared" ref="HX520:HX534" si="834">IF(HW520="","",RANK(HW520,HW$319:HW$534,1))</f>
        <v/>
      </c>
    </row>
    <row r="521" spans="1:232" s="19" customFormat="1" ht="60" customHeight="1" x14ac:dyDescent="0.15">
      <c r="A521" s="1201"/>
      <c r="B521" s="1201"/>
      <c r="C521" s="1201"/>
      <c r="D521" s="1201"/>
      <c r="E521" s="1202"/>
      <c r="F521" s="652"/>
      <c r="G521" s="652"/>
      <c r="H521" s="652"/>
      <c r="I521" s="1351"/>
      <c r="J521" s="1260"/>
      <c r="K521" s="1261"/>
      <c r="L521" s="1261"/>
      <c r="M521" s="2645"/>
      <c r="N521" s="2645"/>
      <c r="O521" s="2646"/>
      <c r="P521" s="2647" t="str">
        <f t="shared" si="777"/>
        <v/>
      </c>
      <c r="Q521" s="2648"/>
      <c r="R521" s="2648"/>
      <c r="S521" s="2648"/>
      <c r="T521" s="2648"/>
      <c r="U521" s="2648"/>
      <c r="V521" s="2648"/>
      <c r="W521" s="2648"/>
      <c r="X521" s="2648"/>
      <c r="Y521" s="2648"/>
      <c r="Z521" s="2648"/>
      <c r="AA521" s="2648"/>
      <c r="AB521" s="2648"/>
      <c r="AC521" s="2648"/>
      <c r="AD521" s="2648"/>
      <c r="AE521" s="2649"/>
      <c r="AF521" s="2674"/>
      <c r="AG521" s="2675"/>
      <c r="AH521" s="2675"/>
      <c r="AI521" s="2675"/>
      <c r="AJ521" s="2675"/>
      <c r="AK521" s="2675"/>
      <c r="AL521" s="2675"/>
      <c r="AM521" s="2675"/>
      <c r="AN521" s="2675"/>
      <c r="AO521" s="2675"/>
      <c r="AP521" s="2675"/>
      <c r="AQ521" s="2676"/>
      <c r="AR521" s="2359"/>
      <c r="AS521" s="2359"/>
      <c r="AT521" s="2928"/>
      <c r="AU521" s="2928"/>
      <c r="AV521" s="2928"/>
      <c r="AW521" s="2928"/>
      <c r="AX521" s="2928"/>
      <c r="AY521" s="2928"/>
      <c r="AZ521" s="2928"/>
      <c r="BA521" s="2928"/>
      <c r="BB521" s="2928"/>
      <c r="BC521" s="2928"/>
      <c r="BD521" s="2928"/>
      <c r="BE521" s="2928"/>
      <c r="BF521" s="2928"/>
      <c r="BG521" s="2928"/>
      <c r="BH521" s="2928"/>
      <c r="BI521" s="2928"/>
      <c r="BJ521" s="2928"/>
      <c r="BK521" s="2928"/>
      <c r="BL521" s="2928"/>
      <c r="BM521" s="2928"/>
      <c r="BN521" s="2928"/>
      <c r="BO521" s="2928"/>
      <c r="BP521" s="2928"/>
      <c r="BQ521" s="2928"/>
      <c r="BR521" s="2928"/>
      <c r="BS521" s="2359"/>
      <c r="BT521" s="2359"/>
      <c r="BU521" s="2359"/>
      <c r="BV521" s="2359"/>
      <c r="BW521" s="2359"/>
      <c r="BX521" s="2359"/>
      <c r="BY521" s="2359"/>
      <c r="BZ521" s="2359"/>
      <c r="CA521" s="2359"/>
      <c r="CB521" s="2942"/>
      <c r="CC521" s="2943"/>
      <c r="CD521" s="2943"/>
      <c r="CE521" s="2943"/>
      <c r="CF521" s="2943"/>
      <c r="CG521" s="2943"/>
      <c r="CH521" s="2943"/>
      <c r="CI521" s="2943"/>
      <c r="CJ521" s="2943"/>
      <c r="CK521" s="2943"/>
      <c r="CL521" s="2943"/>
      <c r="CM521" s="2943"/>
      <c r="CN521" s="2943"/>
      <c r="CO521" s="2943"/>
      <c r="CP521" s="2943"/>
      <c r="CQ521" s="2943"/>
      <c r="CR521" s="2943"/>
      <c r="CS521" s="2943"/>
      <c r="CT521" s="2943"/>
      <c r="CU521" s="2944"/>
      <c r="CV521" s="2300" t="str">
        <f t="shared" si="778"/>
        <v/>
      </c>
      <c r="CW521" s="2300"/>
      <c r="CX521" s="2300"/>
      <c r="CY521" s="2300"/>
      <c r="CZ521" s="2300"/>
      <c r="DA521" s="2300"/>
      <c r="DB521" s="31"/>
      <c r="DC521" s="329" t="str">
        <f t="shared" si="779"/>
        <v/>
      </c>
      <c r="DD521" s="197"/>
      <c r="DE521" s="14"/>
      <c r="DF521" s="14"/>
      <c r="DG521" s="14"/>
      <c r="DH521" s="14"/>
      <c r="DI521" s="1596"/>
      <c r="DJ521" s="1170" t="s">
        <v>2749</v>
      </c>
      <c r="DK521" s="1604" t="str">
        <f t="shared" si="780"/>
        <v/>
      </c>
      <c r="DL521" s="437" t="str">
        <f t="shared" si="781"/>
        <v/>
      </c>
      <c r="DM521" s="1128">
        <f t="shared" si="782"/>
        <v>0</v>
      </c>
      <c r="DN521" s="22">
        <f t="shared" si="783"/>
        <v>0</v>
      </c>
      <c r="DO521" s="22">
        <f t="shared" si="784"/>
        <v>0</v>
      </c>
      <c r="DP521" s="264">
        <f t="shared" si="785"/>
        <v>0</v>
      </c>
      <c r="DQ521" s="32">
        <f t="shared" si="786"/>
        <v>0</v>
      </c>
      <c r="DR521" s="263" t="str">
        <f t="shared" si="787"/>
        <v/>
      </c>
      <c r="DS521" s="23">
        <f t="shared" si="788"/>
        <v>0</v>
      </c>
      <c r="DT521" s="29" t="str">
        <f t="shared" si="789"/>
        <v/>
      </c>
      <c r="DU521" s="57" t="str">
        <f t="shared" si="790"/>
        <v/>
      </c>
      <c r="DV521" s="57" t="str">
        <f>IF($DT521="要是正",MAX($DV$515:DV520)+1,"")</f>
        <v/>
      </c>
      <c r="DW521" s="12" t="str">
        <f t="shared" si="791"/>
        <v/>
      </c>
      <c r="DX521" s="30" t="str">
        <f t="shared" ref="DX521:DX534" si="835">IF(OR($DT521="要是正",$DT521="既存不適格"),$DR521,"")</f>
        <v/>
      </c>
      <c r="DY521" s="13" t="str">
        <f t="shared" si="792"/>
        <v/>
      </c>
      <c r="DZ521" s="46" t="str">
        <f t="shared" si="793"/>
        <v/>
      </c>
      <c r="EA521" s="256" t="str">
        <f t="shared" si="794"/>
        <v/>
      </c>
      <c r="EB521" s="313" t="str">
        <f t="shared" si="795"/>
        <v/>
      </c>
      <c r="EC521" s="131" t="str">
        <f t="shared" si="796"/>
        <v>0</v>
      </c>
      <c r="ED521" s="54" t="str">
        <f t="shared" si="797"/>
        <v/>
      </c>
      <c r="EE521" s="131" t="str">
        <f t="shared" ref="EE521:EE529" si="836">IF(ED521=1,EC521,"0")</f>
        <v>0</v>
      </c>
      <c r="EF521" s="217" t="str">
        <f t="shared" si="799"/>
        <v/>
      </c>
      <c r="EG521" s="108" t="str">
        <f t="shared" si="800"/>
        <v/>
      </c>
      <c r="EH521" s="41" t="str">
        <f t="shared" si="801"/>
        <v>0</v>
      </c>
      <c r="EI521" s="54" t="str">
        <f t="shared" si="802"/>
        <v/>
      </c>
      <c r="EJ521" s="131" t="str">
        <f t="shared" ref="EJ521:EJ529" si="837">IF(EI521=1,EH521,"0")</f>
        <v>0</v>
      </c>
      <c r="EK521" s="217" t="str">
        <f t="shared" si="804"/>
        <v/>
      </c>
      <c r="EL521" s="242" t="e">
        <f t="shared" si="805"/>
        <v>#N/A</v>
      </c>
      <c r="EM521" s="57" t="e">
        <f t="shared" si="806"/>
        <v>#N/A</v>
      </c>
      <c r="EN521" s="243" t="e">
        <f t="shared" si="807"/>
        <v>#N/A</v>
      </c>
      <c r="FB521" s="677"/>
      <c r="FC521" s="677"/>
      <c r="FD521" s="677"/>
      <c r="FE521" s="677"/>
      <c r="FF521" s="677"/>
      <c r="FG521" s="677"/>
      <c r="FH521" s="677"/>
      <c r="FI521" s="677"/>
      <c r="FK521" s="326" t="str">
        <f>IF($AF521="○指摘なし","○","")</f>
        <v/>
      </c>
      <c r="FL521" s="326" t="str">
        <f>IF(OR($AF521="×要是正（既存不適格以外）",$AF521="△既存不適格"),"○","")</f>
        <v/>
      </c>
      <c r="FM521" s="326" t="str">
        <f>IF($AF521="△既存不適格","○","")</f>
        <v/>
      </c>
      <c r="FN521" s="326">
        <f t="shared" si="808"/>
        <v>0</v>
      </c>
      <c r="FO521" s="670" t="str">
        <f>IF($AF521="―対象外","○","")</f>
        <v/>
      </c>
      <c r="FQ521" s="138" t="str">
        <f t="shared" si="809"/>
        <v/>
      </c>
      <c r="FR521" s="131" t="str">
        <f t="shared" si="810"/>
        <v>0</v>
      </c>
      <c r="FS521" s="54" t="str">
        <f t="shared" si="811"/>
        <v/>
      </c>
      <c r="FT521" s="131" t="str">
        <f t="shared" si="812"/>
        <v>0</v>
      </c>
      <c r="FU521" s="217" t="str">
        <f t="shared" si="813"/>
        <v/>
      </c>
      <c r="FW521" s="667">
        <f t="shared" si="776"/>
        <v>0</v>
      </c>
      <c r="FX521" s="32"/>
      <c r="FY521" s="32"/>
      <c r="FZ521" s="668"/>
      <c r="GA521" s="14"/>
      <c r="GB521" s="700" t="b">
        <f t="shared" si="814"/>
        <v>1</v>
      </c>
      <c r="GC521" s="701" t="b">
        <f t="shared" si="815"/>
        <v>0</v>
      </c>
      <c r="GD521" s="701" t="b">
        <f t="shared" si="815"/>
        <v>0</v>
      </c>
      <c r="GE521" s="701" t="b">
        <f t="shared" si="815"/>
        <v>0</v>
      </c>
      <c r="GF521" s="701" t="b">
        <f t="shared" si="815"/>
        <v>0</v>
      </c>
      <c r="GG521" s="701" t="b">
        <f t="shared" si="815"/>
        <v>0</v>
      </c>
      <c r="GH521" s="701" t="b">
        <f t="shared" si="815"/>
        <v>0</v>
      </c>
      <c r="GI521" s="701" t="b">
        <f t="shared" ref="GI521:GI534" si="838">IF(OR($M521="7(1)",$M521="7(2)",$M521="7(3)",$M521="7(4)",$M521="7(5)",$M521="7(6)",$M521="7(7)",$M521="7(8)",$M521="7(9)",$M521="7(10)",$M521="7(11)",$M521="7(12)",),TRUE)</f>
        <v>0</v>
      </c>
      <c r="GJ521" s="1989" t="b">
        <f t="shared" ref="GJ521:GJ534" si="839">IF(OR($M521="7(13)",$M521="7(14)",$M521="7(15)",$M521="7(16)",$M521="7(17)",$M521="7(18)"),TRUE)</f>
        <v>0</v>
      </c>
      <c r="GL521" s="691"/>
      <c r="GM521" s="701">
        <f t="shared" ref="GM521:GM534" si="840">IF(GC521,$DO521,0)</f>
        <v>0</v>
      </c>
      <c r="GN521" s="701">
        <f t="shared" ref="GN521:GN534" si="841">IF(GD521,$DO521,0)</f>
        <v>0</v>
      </c>
      <c r="GO521" s="701">
        <f t="shared" si="816"/>
        <v>0</v>
      </c>
      <c r="GP521" s="701">
        <f t="shared" si="817"/>
        <v>0</v>
      </c>
      <c r="GQ521" s="701">
        <f t="shared" si="818"/>
        <v>0</v>
      </c>
      <c r="GR521" s="701">
        <f t="shared" si="819"/>
        <v>0</v>
      </c>
      <c r="GS521" s="701">
        <f t="shared" ref="GS521:GS534" si="842">IF(GI521,$DO521,0)</f>
        <v>0</v>
      </c>
      <c r="GT521" s="702">
        <f t="shared" ref="GT521:GT534" si="843">IF(GJ521,$DO521,0)</f>
        <v>0</v>
      </c>
      <c r="GU521" s="703"/>
      <c r="GV521" s="700" t="str">
        <f t="shared" si="820"/>
        <v/>
      </c>
      <c r="GW521" s="701" t="str">
        <f t="shared" si="821"/>
        <v/>
      </c>
      <c r="GX521" s="701" t="str">
        <f t="shared" si="822"/>
        <v/>
      </c>
      <c r="GY521" s="701" t="str">
        <f t="shared" si="823"/>
        <v/>
      </c>
      <c r="GZ521" s="701" t="str">
        <f t="shared" si="824"/>
        <v/>
      </c>
      <c r="HA521" s="701" t="str">
        <f t="shared" si="825"/>
        <v/>
      </c>
      <c r="HB521" s="701" t="str">
        <f t="shared" ref="HB521:HB534" si="844">IF(GI521,$ED521,"")</f>
        <v/>
      </c>
      <c r="HC521" s="701" t="str">
        <f t="shared" si="826"/>
        <v/>
      </c>
      <c r="HD521" s="703"/>
      <c r="HE521" s="73"/>
      <c r="HF521" s="694" t="str">
        <f t="shared" si="827"/>
        <v/>
      </c>
      <c r="HG521" s="704" t="s">
        <v>2156</v>
      </c>
      <c r="HH521" s="705" t="str">
        <f>INDEX($M$382:$M$431,MATCH(HG521,$U$382:$U$431,0))</f>
        <v>4(43)</v>
      </c>
      <c r="HI521" s="697" t="str">
        <f t="shared" ref="HI521:HI534" si="845">IF(HF521&lt;&gt;"",IF(ISERROR(MATCH(DQ521,$HH$520:$HH$523,0)),"",", "&amp;HF521&amp;"（既存不適格）"),"")</f>
        <v/>
      </c>
      <c r="HK521" s="698"/>
      <c r="HL521" s="706" t="str">
        <f t="shared" ref="HL521:HL534" si="846">IF(GM521=1,", "&amp;$DY521,"")</f>
        <v/>
      </c>
      <c r="HM521" s="706" t="str">
        <f t="shared" si="828"/>
        <v/>
      </c>
      <c r="HN521" s="706" t="str">
        <f t="shared" si="829"/>
        <v/>
      </c>
      <c r="HO521" s="706" t="str">
        <f t="shared" si="830"/>
        <v/>
      </c>
      <c r="HP521" s="706" t="str">
        <f t="shared" si="831"/>
        <v/>
      </c>
      <c r="HQ521" s="706" t="str">
        <f t="shared" si="832"/>
        <v/>
      </c>
      <c r="HR521" s="1966" t="str">
        <f t="shared" ref="HR521:HR534" si="847">IF(GS521=1,", "&amp;$DY521,"")</f>
        <v/>
      </c>
      <c r="HS521" s="705" t="str">
        <f t="shared" ref="HS521:HS534" si="848">IF(GT521=1,", "&amp;$DY521,"")</f>
        <v/>
      </c>
      <c r="HT521" s="657" t="e">
        <f>LEFT(M521,1)*10000+MID(M521,3,LEN(M521)-3)*100+COUNTIF($M$319:M521,M521)</f>
        <v>#VALUE!</v>
      </c>
      <c r="HU521" s="658" t="str">
        <f t="shared" si="761"/>
        <v/>
      </c>
      <c r="HV521" s="658" t="str">
        <f t="shared" si="833"/>
        <v/>
      </c>
      <c r="HW521" s="658" t="str">
        <f t="shared" si="762"/>
        <v/>
      </c>
      <c r="HX521" s="658" t="str">
        <f t="shared" si="834"/>
        <v/>
      </c>
    </row>
    <row r="522" spans="1:232" s="19" customFormat="1" ht="60" customHeight="1" x14ac:dyDescent="0.15">
      <c r="A522" s="1201"/>
      <c r="B522" s="1201"/>
      <c r="C522" s="1201"/>
      <c r="D522" s="1201"/>
      <c r="E522" s="1202"/>
      <c r="F522" s="652"/>
      <c r="G522" s="652"/>
      <c r="H522" s="652"/>
      <c r="I522" s="1351"/>
      <c r="J522" s="1260"/>
      <c r="K522" s="1261"/>
      <c r="L522" s="1261"/>
      <c r="M522" s="2645"/>
      <c r="N522" s="2645"/>
      <c r="O522" s="2646"/>
      <c r="P522" s="2647" t="str">
        <f t="shared" si="777"/>
        <v/>
      </c>
      <c r="Q522" s="2648"/>
      <c r="R522" s="2648"/>
      <c r="S522" s="2648"/>
      <c r="T522" s="2648"/>
      <c r="U522" s="2648"/>
      <c r="V522" s="2648"/>
      <c r="W522" s="2648"/>
      <c r="X522" s="2648"/>
      <c r="Y522" s="2648"/>
      <c r="Z522" s="2648"/>
      <c r="AA522" s="2648"/>
      <c r="AB522" s="2648"/>
      <c r="AC522" s="2648"/>
      <c r="AD522" s="2648"/>
      <c r="AE522" s="2649"/>
      <c r="AF522" s="2488"/>
      <c r="AG522" s="2293"/>
      <c r="AH522" s="2293"/>
      <c r="AI522" s="2293"/>
      <c r="AJ522" s="2293"/>
      <c r="AK522" s="2293"/>
      <c r="AL522" s="2293"/>
      <c r="AM522" s="2293"/>
      <c r="AN522" s="2293"/>
      <c r="AO522" s="2293"/>
      <c r="AP522" s="2293"/>
      <c r="AQ522" s="2293"/>
      <c r="AR522" s="2359"/>
      <c r="AS522" s="2359"/>
      <c r="AT522" s="2928"/>
      <c r="AU522" s="2928"/>
      <c r="AV522" s="2928"/>
      <c r="AW522" s="2928"/>
      <c r="AX522" s="2928"/>
      <c r="AY522" s="2928"/>
      <c r="AZ522" s="2928"/>
      <c r="BA522" s="2928"/>
      <c r="BB522" s="2928"/>
      <c r="BC522" s="2928"/>
      <c r="BD522" s="2928"/>
      <c r="BE522" s="2928"/>
      <c r="BF522" s="2928"/>
      <c r="BG522" s="2928"/>
      <c r="BH522" s="2928"/>
      <c r="BI522" s="2928"/>
      <c r="BJ522" s="2928"/>
      <c r="BK522" s="2928"/>
      <c r="BL522" s="2928"/>
      <c r="BM522" s="2928"/>
      <c r="BN522" s="2928"/>
      <c r="BO522" s="2928"/>
      <c r="BP522" s="2928"/>
      <c r="BQ522" s="2928"/>
      <c r="BR522" s="2928"/>
      <c r="BS522" s="2359"/>
      <c r="BT522" s="2359"/>
      <c r="BU522" s="2359"/>
      <c r="BV522" s="2359"/>
      <c r="BW522" s="2359"/>
      <c r="BX522" s="2359"/>
      <c r="BY522" s="2359"/>
      <c r="BZ522" s="2359"/>
      <c r="CA522" s="2359"/>
      <c r="CB522" s="2670"/>
      <c r="CC522" s="2144"/>
      <c r="CD522" s="2144"/>
      <c r="CE522" s="2144"/>
      <c r="CF522" s="2144"/>
      <c r="CG522" s="2144"/>
      <c r="CH522" s="2144"/>
      <c r="CI522" s="2144"/>
      <c r="CJ522" s="2144"/>
      <c r="CK522" s="2144"/>
      <c r="CL522" s="2144"/>
      <c r="CM522" s="2144"/>
      <c r="CN522" s="2144"/>
      <c r="CO522" s="2144"/>
      <c r="CP522" s="2144"/>
      <c r="CQ522" s="2144"/>
      <c r="CR522" s="2144"/>
      <c r="CS522" s="2144"/>
      <c r="CT522" s="2144"/>
      <c r="CU522" s="2671"/>
      <c r="CV522" s="2300" t="str">
        <f t="shared" si="778"/>
        <v/>
      </c>
      <c r="CW522" s="2300"/>
      <c r="CX522" s="2300"/>
      <c r="CY522" s="2300"/>
      <c r="CZ522" s="2300"/>
      <c r="DA522" s="2300"/>
      <c r="DB522" s="31"/>
      <c r="DC522" s="329" t="str">
        <f t="shared" si="779"/>
        <v/>
      </c>
      <c r="DD522" s="197"/>
      <c r="DE522" s="14"/>
      <c r="DF522" s="14"/>
      <c r="DG522" s="14"/>
      <c r="DH522" s="14"/>
      <c r="DI522" s="1596"/>
      <c r="DJ522" s="1170" t="s">
        <v>2749</v>
      </c>
      <c r="DK522" s="1604" t="str">
        <f t="shared" si="780"/>
        <v/>
      </c>
      <c r="DL522" s="437" t="str">
        <f t="shared" si="781"/>
        <v/>
      </c>
      <c r="DM522" s="1128">
        <f t="shared" si="782"/>
        <v>0</v>
      </c>
      <c r="DN522" s="22">
        <f t="shared" si="783"/>
        <v>0</v>
      </c>
      <c r="DO522" s="22">
        <f t="shared" si="784"/>
        <v>0</v>
      </c>
      <c r="DP522" s="264">
        <f t="shared" si="785"/>
        <v>0</v>
      </c>
      <c r="DQ522" s="32">
        <f t="shared" si="786"/>
        <v>0</v>
      </c>
      <c r="DR522" s="263" t="str">
        <f t="shared" si="787"/>
        <v/>
      </c>
      <c r="DS522" s="23">
        <f t="shared" si="788"/>
        <v>0</v>
      </c>
      <c r="DT522" s="29" t="str">
        <f t="shared" si="789"/>
        <v/>
      </c>
      <c r="DU522" s="57" t="str">
        <f t="shared" si="790"/>
        <v/>
      </c>
      <c r="DV522" s="57" t="str">
        <f>IF($DT522="要是正",MAX($DV$515:DV521)+1,"")</f>
        <v/>
      </c>
      <c r="DW522" s="12" t="str">
        <f t="shared" si="791"/>
        <v/>
      </c>
      <c r="DX522" s="30" t="str">
        <f t="shared" si="835"/>
        <v/>
      </c>
      <c r="DY522" s="13" t="str">
        <f t="shared" si="792"/>
        <v/>
      </c>
      <c r="DZ522" s="46" t="str">
        <f t="shared" si="793"/>
        <v/>
      </c>
      <c r="EA522" s="256" t="str">
        <f t="shared" si="794"/>
        <v/>
      </c>
      <c r="EB522" s="313" t="str">
        <f t="shared" si="795"/>
        <v/>
      </c>
      <c r="EC522" s="131" t="str">
        <f t="shared" si="796"/>
        <v>0</v>
      </c>
      <c r="ED522" s="54" t="str">
        <f t="shared" si="797"/>
        <v/>
      </c>
      <c r="EE522" s="131" t="str">
        <f t="shared" si="836"/>
        <v>0</v>
      </c>
      <c r="EF522" s="217" t="str">
        <f t="shared" si="799"/>
        <v/>
      </c>
      <c r="EG522" s="108" t="str">
        <f t="shared" si="800"/>
        <v/>
      </c>
      <c r="EH522" s="41" t="str">
        <f t="shared" si="801"/>
        <v>0</v>
      </c>
      <c r="EI522" s="54" t="str">
        <f t="shared" si="802"/>
        <v/>
      </c>
      <c r="EJ522" s="131" t="str">
        <f t="shared" si="837"/>
        <v>0</v>
      </c>
      <c r="EK522" s="217" t="str">
        <f t="shared" si="804"/>
        <v/>
      </c>
      <c r="EL522" s="242" t="e">
        <f t="shared" si="805"/>
        <v>#N/A</v>
      </c>
      <c r="EM522" s="57" t="e">
        <f t="shared" si="806"/>
        <v>#N/A</v>
      </c>
      <c r="EN522" s="243" t="e">
        <f t="shared" si="807"/>
        <v>#N/A</v>
      </c>
      <c r="FB522" s="677"/>
      <c r="FC522" s="677"/>
      <c r="FD522" s="677"/>
      <c r="FE522" s="677"/>
      <c r="FF522" s="677"/>
      <c r="FG522" s="677"/>
      <c r="FH522" s="677"/>
      <c r="FI522" s="677"/>
      <c r="FK522" s="326" t="str">
        <f t="shared" ref="FK522:FK534" si="849">IF($AF522="○指摘なし","○","")</f>
        <v/>
      </c>
      <c r="FL522" s="326" t="str">
        <f t="shared" ref="FL522:FL534" si="850">IF(OR($AF522="×要是正（既存不適格以外）",$AF522="△既存不適格"),"○","")</f>
        <v/>
      </c>
      <c r="FM522" s="326" t="str">
        <f t="shared" ref="FM522:FM534" si="851">IF($AF522="△既存不適格","○","")</f>
        <v/>
      </c>
      <c r="FN522" s="326">
        <f t="shared" si="808"/>
        <v>0</v>
      </c>
      <c r="FO522" s="670" t="str">
        <f t="shared" ref="FO522:FO534" si="852">IF($AF522="―対象外","○","")</f>
        <v/>
      </c>
      <c r="FQ522" s="138" t="str">
        <f t="shared" si="809"/>
        <v/>
      </c>
      <c r="FR522" s="131" t="str">
        <f t="shared" si="810"/>
        <v>0</v>
      </c>
      <c r="FS522" s="54" t="str">
        <f t="shared" si="811"/>
        <v/>
      </c>
      <c r="FT522" s="131" t="str">
        <f t="shared" si="812"/>
        <v>0</v>
      </c>
      <c r="FU522" s="217" t="str">
        <f t="shared" si="813"/>
        <v/>
      </c>
      <c r="FW522" s="667">
        <f t="shared" si="776"/>
        <v>0</v>
      </c>
      <c r="FX522" s="32"/>
      <c r="FY522" s="32"/>
      <c r="FZ522" s="668"/>
      <c r="GA522" s="14"/>
      <c r="GB522" s="700" t="b">
        <f t="shared" si="814"/>
        <v>1</v>
      </c>
      <c r="GC522" s="701" t="b">
        <f t="shared" si="815"/>
        <v>0</v>
      </c>
      <c r="GD522" s="701" t="b">
        <f t="shared" si="815"/>
        <v>0</v>
      </c>
      <c r="GE522" s="701" t="b">
        <f t="shared" si="815"/>
        <v>0</v>
      </c>
      <c r="GF522" s="701" t="b">
        <f t="shared" si="815"/>
        <v>0</v>
      </c>
      <c r="GG522" s="701" t="b">
        <f t="shared" si="815"/>
        <v>0</v>
      </c>
      <c r="GH522" s="701" t="b">
        <f t="shared" si="815"/>
        <v>0</v>
      </c>
      <c r="GI522" s="701" t="b">
        <f t="shared" si="838"/>
        <v>0</v>
      </c>
      <c r="GJ522" s="1989" t="b">
        <f t="shared" si="839"/>
        <v>0</v>
      </c>
      <c r="GL522" s="691"/>
      <c r="GM522" s="701">
        <f t="shared" si="840"/>
        <v>0</v>
      </c>
      <c r="GN522" s="701">
        <f t="shared" si="841"/>
        <v>0</v>
      </c>
      <c r="GO522" s="701">
        <f t="shared" si="816"/>
        <v>0</v>
      </c>
      <c r="GP522" s="701">
        <f t="shared" si="817"/>
        <v>0</v>
      </c>
      <c r="GQ522" s="701">
        <f t="shared" si="818"/>
        <v>0</v>
      </c>
      <c r="GR522" s="701">
        <f t="shared" si="819"/>
        <v>0</v>
      </c>
      <c r="GS522" s="701">
        <f t="shared" si="842"/>
        <v>0</v>
      </c>
      <c r="GT522" s="702">
        <f t="shared" si="843"/>
        <v>0</v>
      </c>
      <c r="GU522" s="703"/>
      <c r="GV522" s="700" t="str">
        <f t="shared" si="820"/>
        <v/>
      </c>
      <c r="GW522" s="701" t="str">
        <f t="shared" si="821"/>
        <v/>
      </c>
      <c r="GX522" s="701" t="str">
        <f t="shared" si="822"/>
        <v/>
      </c>
      <c r="GY522" s="701" t="str">
        <f t="shared" si="823"/>
        <v/>
      </c>
      <c r="GZ522" s="701" t="str">
        <f t="shared" si="824"/>
        <v/>
      </c>
      <c r="HA522" s="701" t="str">
        <f t="shared" si="825"/>
        <v/>
      </c>
      <c r="HB522" s="701" t="str">
        <f t="shared" si="844"/>
        <v/>
      </c>
      <c r="HC522" s="701" t="str">
        <f t="shared" si="826"/>
        <v/>
      </c>
      <c r="HD522" s="703"/>
      <c r="HE522" s="73"/>
      <c r="HF522" s="694" t="str">
        <f t="shared" si="827"/>
        <v/>
      </c>
      <c r="HG522" s="704" t="s">
        <v>2157</v>
      </c>
      <c r="HH522" s="705" t="str">
        <f>INDEX($M$382:$M$431,MATCH(HG522,$U$382:$U$431,0))</f>
        <v>4(44)</v>
      </c>
      <c r="HI522" s="697" t="str">
        <f t="shared" si="845"/>
        <v/>
      </c>
      <c r="HK522" s="698"/>
      <c r="HL522" s="706" t="str">
        <f t="shared" si="846"/>
        <v/>
      </c>
      <c r="HM522" s="706" t="str">
        <f t="shared" si="828"/>
        <v/>
      </c>
      <c r="HN522" s="706" t="str">
        <f t="shared" si="829"/>
        <v/>
      </c>
      <c r="HO522" s="706" t="str">
        <f t="shared" si="830"/>
        <v/>
      </c>
      <c r="HP522" s="706" t="str">
        <f t="shared" si="831"/>
        <v/>
      </c>
      <c r="HQ522" s="706" t="str">
        <f t="shared" si="832"/>
        <v/>
      </c>
      <c r="HR522" s="1966" t="str">
        <f t="shared" si="847"/>
        <v/>
      </c>
      <c r="HS522" s="705" t="str">
        <f t="shared" si="848"/>
        <v/>
      </c>
      <c r="HT522" s="657" t="e">
        <f>LEFT(M522,1)*10000+MID(M522,3,LEN(M522)-3)*100+COUNTIF($M$319:M522,M522)</f>
        <v>#VALUE!</v>
      </c>
      <c r="HU522" s="658" t="str">
        <f t="shared" si="761"/>
        <v/>
      </c>
      <c r="HV522" s="658" t="str">
        <f t="shared" si="833"/>
        <v/>
      </c>
      <c r="HW522" s="658" t="str">
        <f t="shared" si="762"/>
        <v/>
      </c>
      <c r="HX522" s="658" t="str">
        <f t="shared" si="834"/>
        <v/>
      </c>
    </row>
    <row r="523" spans="1:232" s="19" customFormat="1" ht="60" customHeight="1" thickBot="1" x14ac:dyDescent="0.2">
      <c r="A523" s="1201"/>
      <c r="B523" s="1201"/>
      <c r="C523" s="1201"/>
      <c r="D523" s="1201"/>
      <c r="E523" s="1202"/>
      <c r="F523" s="652"/>
      <c r="G523" s="652"/>
      <c r="H523" s="652"/>
      <c r="I523" s="1351"/>
      <c r="J523" s="1260"/>
      <c r="K523" s="1261"/>
      <c r="L523" s="1261"/>
      <c r="M523" s="2645"/>
      <c r="N523" s="2645"/>
      <c r="O523" s="2646"/>
      <c r="P523" s="2647" t="str">
        <f t="shared" si="777"/>
        <v/>
      </c>
      <c r="Q523" s="2648"/>
      <c r="R523" s="2648"/>
      <c r="S523" s="2648"/>
      <c r="T523" s="2648"/>
      <c r="U523" s="2648"/>
      <c r="V523" s="2648"/>
      <c r="W523" s="2648"/>
      <c r="X523" s="2648"/>
      <c r="Y523" s="2648"/>
      <c r="Z523" s="2648"/>
      <c r="AA523" s="2648"/>
      <c r="AB523" s="2648"/>
      <c r="AC523" s="2648"/>
      <c r="AD523" s="2648"/>
      <c r="AE523" s="2649"/>
      <c r="AF523" s="2488"/>
      <c r="AG523" s="2293"/>
      <c r="AH523" s="2293"/>
      <c r="AI523" s="2293"/>
      <c r="AJ523" s="2293"/>
      <c r="AK523" s="2293"/>
      <c r="AL523" s="2293"/>
      <c r="AM523" s="2293"/>
      <c r="AN523" s="2293"/>
      <c r="AO523" s="2293"/>
      <c r="AP523" s="2293"/>
      <c r="AQ523" s="2293"/>
      <c r="AR523" s="2359"/>
      <c r="AS523" s="2359"/>
      <c r="AT523" s="2928"/>
      <c r="AU523" s="2928"/>
      <c r="AV523" s="2928"/>
      <c r="AW523" s="2928"/>
      <c r="AX523" s="2928"/>
      <c r="AY523" s="2928"/>
      <c r="AZ523" s="2928"/>
      <c r="BA523" s="2928"/>
      <c r="BB523" s="2928"/>
      <c r="BC523" s="2928"/>
      <c r="BD523" s="2928"/>
      <c r="BE523" s="2928"/>
      <c r="BF523" s="2928"/>
      <c r="BG523" s="2928"/>
      <c r="BH523" s="2928"/>
      <c r="BI523" s="2928"/>
      <c r="BJ523" s="2928"/>
      <c r="BK523" s="2928"/>
      <c r="BL523" s="2928"/>
      <c r="BM523" s="2928"/>
      <c r="BN523" s="2928"/>
      <c r="BO523" s="2928"/>
      <c r="BP523" s="2928"/>
      <c r="BQ523" s="2928"/>
      <c r="BR523" s="2928"/>
      <c r="BS523" s="2359"/>
      <c r="BT523" s="2359"/>
      <c r="BU523" s="2359"/>
      <c r="BV523" s="2359"/>
      <c r="BW523" s="2359"/>
      <c r="BX523" s="2359"/>
      <c r="BY523" s="2359"/>
      <c r="BZ523" s="2359"/>
      <c r="CA523" s="2359"/>
      <c r="CB523" s="2670"/>
      <c r="CC523" s="2144"/>
      <c r="CD523" s="2144"/>
      <c r="CE523" s="2144"/>
      <c r="CF523" s="2144"/>
      <c r="CG523" s="2144"/>
      <c r="CH523" s="2144"/>
      <c r="CI523" s="2144"/>
      <c r="CJ523" s="2144"/>
      <c r="CK523" s="2144"/>
      <c r="CL523" s="2144"/>
      <c r="CM523" s="2144"/>
      <c r="CN523" s="2144"/>
      <c r="CO523" s="2144"/>
      <c r="CP523" s="2144"/>
      <c r="CQ523" s="2144"/>
      <c r="CR523" s="2144"/>
      <c r="CS523" s="2144"/>
      <c r="CT523" s="2144"/>
      <c r="CU523" s="2671"/>
      <c r="CV523" s="2300" t="str">
        <f t="shared" si="778"/>
        <v/>
      </c>
      <c r="CW523" s="2300"/>
      <c r="CX523" s="2300"/>
      <c r="CY523" s="2300"/>
      <c r="CZ523" s="2300"/>
      <c r="DA523" s="2300"/>
      <c r="DB523" s="31"/>
      <c r="DC523" s="329" t="str">
        <f t="shared" si="779"/>
        <v/>
      </c>
      <c r="DD523" s="197"/>
      <c r="DE523" s="14"/>
      <c r="DF523" s="14"/>
      <c r="DG523" s="14"/>
      <c r="DH523" s="14"/>
      <c r="DI523" s="1596"/>
      <c r="DJ523" s="1170" t="s">
        <v>2749</v>
      </c>
      <c r="DK523" s="1604" t="str">
        <f t="shared" si="780"/>
        <v/>
      </c>
      <c r="DL523" s="437" t="str">
        <f t="shared" si="781"/>
        <v/>
      </c>
      <c r="DM523" s="1128">
        <f t="shared" si="782"/>
        <v>0</v>
      </c>
      <c r="DN523" s="22">
        <f t="shared" si="783"/>
        <v>0</v>
      </c>
      <c r="DO523" s="22">
        <f t="shared" si="784"/>
        <v>0</v>
      </c>
      <c r="DP523" s="264">
        <f t="shared" si="785"/>
        <v>0</v>
      </c>
      <c r="DQ523" s="32">
        <f t="shared" si="786"/>
        <v>0</v>
      </c>
      <c r="DR523" s="263" t="str">
        <f t="shared" si="787"/>
        <v/>
      </c>
      <c r="DS523" s="23">
        <f t="shared" si="788"/>
        <v>0</v>
      </c>
      <c r="DT523" s="29" t="str">
        <f t="shared" si="789"/>
        <v/>
      </c>
      <c r="DU523" s="57" t="str">
        <f t="shared" si="790"/>
        <v/>
      </c>
      <c r="DV523" s="57" t="str">
        <f>IF($DT523="要是正",MAX($DV$515:DV522)+1,"")</f>
        <v/>
      </c>
      <c r="DW523" s="12" t="str">
        <f t="shared" si="791"/>
        <v/>
      </c>
      <c r="DX523" s="30" t="str">
        <f t="shared" si="835"/>
        <v/>
      </c>
      <c r="DY523" s="13" t="str">
        <f t="shared" si="792"/>
        <v/>
      </c>
      <c r="DZ523" s="46" t="str">
        <f t="shared" si="793"/>
        <v/>
      </c>
      <c r="EA523" s="256" t="str">
        <f t="shared" si="794"/>
        <v/>
      </c>
      <c r="EB523" s="313" t="str">
        <f t="shared" si="795"/>
        <v/>
      </c>
      <c r="EC523" s="131" t="str">
        <f t="shared" si="796"/>
        <v>0</v>
      </c>
      <c r="ED523" s="54" t="str">
        <f t="shared" si="797"/>
        <v/>
      </c>
      <c r="EE523" s="131" t="str">
        <f t="shared" si="836"/>
        <v>0</v>
      </c>
      <c r="EF523" s="217" t="str">
        <f t="shared" si="799"/>
        <v/>
      </c>
      <c r="EG523" s="108" t="str">
        <f t="shared" si="800"/>
        <v/>
      </c>
      <c r="EH523" s="41" t="str">
        <f t="shared" si="801"/>
        <v>0</v>
      </c>
      <c r="EI523" s="54" t="str">
        <f t="shared" si="802"/>
        <v/>
      </c>
      <c r="EJ523" s="131" t="str">
        <f t="shared" si="837"/>
        <v>0</v>
      </c>
      <c r="EK523" s="217" t="str">
        <f t="shared" si="804"/>
        <v/>
      </c>
      <c r="EL523" s="242" t="e">
        <f t="shared" si="805"/>
        <v>#N/A</v>
      </c>
      <c r="EM523" s="57" t="e">
        <f t="shared" si="806"/>
        <v>#N/A</v>
      </c>
      <c r="EN523" s="243" t="e">
        <f t="shared" si="807"/>
        <v>#N/A</v>
      </c>
      <c r="FB523" s="677"/>
      <c r="FC523" s="677"/>
      <c r="FD523" s="677"/>
      <c r="FE523" s="677"/>
      <c r="FF523" s="677"/>
      <c r="FG523" s="677"/>
      <c r="FH523" s="677"/>
      <c r="FI523" s="677"/>
      <c r="FK523" s="326" t="str">
        <f t="shared" si="849"/>
        <v/>
      </c>
      <c r="FL523" s="326" t="str">
        <f t="shared" si="850"/>
        <v/>
      </c>
      <c r="FM523" s="326" t="str">
        <f t="shared" si="851"/>
        <v/>
      </c>
      <c r="FN523" s="326">
        <f t="shared" si="808"/>
        <v>0</v>
      </c>
      <c r="FO523" s="670" t="str">
        <f t="shared" si="852"/>
        <v/>
      </c>
      <c r="FQ523" s="138" t="str">
        <f t="shared" si="809"/>
        <v/>
      </c>
      <c r="FR523" s="131" t="str">
        <f t="shared" si="810"/>
        <v>0</v>
      </c>
      <c r="FS523" s="54" t="str">
        <f t="shared" si="811"/>
        <v/>
      </c>
      <c r="FT523" s="131" t="str">
        <f t="shared" si="812"/>
        <v>0</v>
      </c>
      <c r="FU523" s="217" t="str">
        <f t="shared" si="813"/>
        <v/>
      </c>
      <c r="FW523" s="667">
        <f t="shared" si="776"/>
        <v>0</v>
      </c>
      <c r="FX523" s="32"/>
      <c r="FY523" s="32"/>
      <c r="FZ523" s="668"/>
      <c r="GA523" s="14"/>
      <c r="GB523" s="700" t="b">
        <f t="shared" si="814"/>
        <v>1</v>
      </c>
      <c r="GC523" s="701" t="b">
        <f t="shared" si="815"/>
        <v>0</v>
      </c>
      <c r="GD523" s="701" t="b">
        <f t="shared" si="815"/>
        <v>0</v>
      </c>
      <c r="GE523" s="701" t="b">
        <f t="shared" si="815"/>
        <v>0</v>
      </c>
      <c r="GF523" s="701" t="b">
        <f t="shared" si="815"/>
        <v>0</v>
      </c>
      <c r="GG523" s="701" t="b">
        <f t="shared" si="815"/>
        <v>0</v>
      </c>
      <c r="GH523" s="701" t="b">
        <f t="shared" si="815"/>
        <v>0</v>
      </c>
      <c r="GI523" s="701" t="b">
        <f t="shared" si="838"/>
        <v>0</v>
      </c>
      <c r="GJ523" s="1989" t="b">
        <f t="shared" si="839"/>
        <v>0</v>
      </c>
      <c r="GL523" s="691"/>
      <c r="GM523" s="701">
        <f t="shared" si="840"/>
        <v>0</v>
      </c>
      <c r="GN523" s="701">
        <f t="shared" si="841"/>
        <v>0</v>
      </c>
      <c r="GO523" s="701">
        <f t="shared" si="816"/>
        <v>0</v>
      </c>
      <c r="GP523" s="701">
        <f t="shared" si="817"/>
        <v>0</v>
      </c>
      <c r="GQ523" s="701">
        <f t="shared" si="818"/>
        <v>0</v>
      </c>
      <c r="GR523" s="701">
        <f t="shared" si="819"/>
        <v>0</v>
      </c>
      <c r="GS523" s="701">
        <f t="shared" si="842"/>
        <v>0</v>
      </c>
      <c r="GT523" s="702">
        <f t="shared" si="843"/>
        <v>0</v>
      </c>
      <c r="GU523" s="703"/>
      <c r="GV523" s="700" t="str">
        <f t="shared" si="820"/>
        <v/>
      </c>
      <c r="GW523" s="701" t="str">
        <f t="shared" si="821"/>
        <v/>
      </c>
      <c r="GX523" s="701" t="str">
        <f t="shared" si="822"/>
        <v/>
      </c>
      <c r="GY523" s="701" t="str">
        <f t="shared" si="823"/>
        <v/>
      </c>
      <c r="GZ523" s="701" t="str">
        <f t="shared" si="824"/>
        <v/>
      </c>
      <c r="HA523" s="701" t="str">
        <f t="shared" si="825"/>
        <v/>
      </c>
      <c r="HB523" s="701" t="str">
        <f t="shared" si="844"/>
        <v/>
      </c>
      <c r="HC523" s="701" t="str">
        <f t="shared" si="826"/>
        <v/>
      </c>
      <c r="HD523" s="703"/>
      <c r="HE523" s="73"/>
      <c r="HF523" s="694" t="str">
        <f t="shared" si="827"/>
        <v/>
      </c>
      <c r="HG523" s="707" t="s">
        <v>2158</v>
      </c>
      <c r="HH523" s="708" t="str">
        <f>INDEX($M$382:$M$431,MATCH(HG523,$U$382:$U$431,0))</f>
        <v>4(45)</v>
      </c>
      <c r="HI523" s="697" t="str">
        <f t="shared" si="845"/>
        <v/>
      </c>
      <c r="HK523" s="698"/>
      <c r="HL523" s="706" t="str">
        <f t="shared" si="846"/>
        <v/>
      </c>
      <c r="HM523" s="706" t="str">
        <f t="shared" si="828"/>
        <v/>
      </c>
      <c r="HN523" s="706" t="str">
        <f t="shared" si="829"/>
        <v/>
      </c>
      <c r="HO523" s="706" t="str">
        <f t="shared" si="830"/>
        <v/>
      </c>
      <c r="HP523" s="706" t="str">
        <f t="shared" si="831"/>
        <v/>
      </c>
      <c r="HQ523" s="706" t="str">
        <f t="shared" si="832"/>
        <v/>
      </c>
      <c r="HR523" s="1966" t="str">
        <f t="shared" si="847"/>
        <v/>
      </c>
      <c r="HS523" s="705" t="str">
        <f t="shared" si="848"/>
        <v/>
      </c>
      <c r="HT523" s="657" t="e">
        <f>LEFT(M523,1)*10000+MID(M523,3,LEN(M523)-3)*100+COUNTIF($M$319:M523,M523)</f>
        <v>#VALUE!</v>
      </c>
      <c r="HU523" s="658" t="str">
        <f t="shared" si="761"/>
        <v/>
      </c>
      <c r="HV523" s="658" t="str">
        <f t="shared" si="833"/>
        <v/>
      </c>
      <c r="HW523" s="658" t="str">
        <f t="shared" si="762"/>
        <v/>
      </c>
      <c r="HX523" s="658" t="str">
        <f t="shared" si="834"/>
        <v/>
      </c>
    </row>
    <row r="524" spans="1:232" s="19" customFormat="1" ht="60" customHeight="1" x14ac:dyDescent="0.15">
      <c r="A524" s="1201"/>
      <c r="B524" s="1201"/>
      <c r="C524" s="1201"/>
      <c r="D524" s="1201"/>
      <c r="E524" s="1202"/>
      <c r="F524" s="652"/>
      <c r="G524" s="652"/>
      <c r="H524" s="652"/>
      <c r="I524" s="1351"/>
      <c r="J524" s="1260"/>
      <c r="K524" s="1261"/>
      <c r="L524" s="1261"/>
      <c r="M524" s="2645"/>
      <c r="N524" s="2645"/>
      <c r="O524" s="2646"/>
      <c r="P524" s="2647" t="str">
        <f t="shared" si="777"/>
        <v/>
      </c>
      <c r="Q524" s="2648"/>
      <c r="R524" s="2648"/>
      <c r="S524" s="2648"/>
      <c r="T524" s="2648"/>
      <c r="U524" s="2648"/>
      <c r="V524" s="2648"/>
      <c r="W524" s="2648"/>
      <c r="X524" s="2648"/>
      <c r="Y524" s="2648"/>
      <c r="Z524" s="2648"/>
      <c r="AA524" s="2648"/>
      <c r="AB524" s="2648"/>
      <c r="AC524" s="2648"/>
      <c r="AD524" s="2648"/>
      <c r="AE524" s="2649"/>
      <c r="AF524" s="2488"/>
      <c r="AG524" s="2293"/>
      <c r="AH524" s="2293"/>
      <c r="AI524" s="2293"/>
      <c r="AJ524" s="2293"/>
      <c r="AK524" s="2293"/>
      <c r="AL524" s="2293"/>
      <c r="AM524" s="2293"/>
      <c r="AN524" s="2293"/>
      <c r="AO524" s="2293"/>
      <c r="AP524" s="2293"/>
      <c r="AQ524" s="2293"/>
      <c r="AR524" s="2359"/>
      <c r="AS524" s="2359"/>
      <c r="AT524" s="2928"/>
      <c r="AU524" s="2928"/>
      <c r="AV524" s="2928"/>
      <c r="AW524" s="2928"/>
      <c r="AX524" s="2928"/>
      <c r="AY524" s="2928"/>
      <c r="AZ524" s="2928"/>
      <c r="BA524" s="2928"/>
      <c r="BB524" s="2928"/>
      <c r="BC524" s="2928"/>
      <c r="BD524" s="2928"/>
      <c r="BE524" s="2928"/>
      <c r="BF524" s="2928"/>
      <c r="BG524" s="2928"/>
      <c r="BH524" s="2928"/>
      <c r="BI524" s="2928"/>
      <c r="BJ524" s="2928"/>
      <c r="BK524" s="2928"/>
      <c r="BL524" s="2928"/>
      <c r="BM524" s="2928"/>
      <c r="BN524" s="2928"/>
      <c r="BO524" s="2928"/>
      <c r="BP524" s="2928"/>
      <c r="BQ524" s="2928"/>
      <c r="BR524" s="2928"/>
      <c r="BS524" s="2359"/>
      <c r="BT524" s="2359"/>
      <c r="BU524" s="2359"/>
      <c r="BV524" s="2359"/>
      <c r="BW524" s="2359"/>
      <c r="BX524" s="2359"/>
      <c r="BY524" s="2359"/>
      <c r="BZ524" s="2359"/>
      <c r="CA524" s="2359"/>
      <c r="CB524" s="2670"/>
      <c r="CC524" s="2144"/>
      <c r="CD524" s="2144"/>
      <c r="CE524" s="2144"/>
      <c r="CF524" s="2144"/>
      <c r="CG524" s="2144"/>
      <c r="CH524" s="2144"/>
      <c r="CI524" s="2144"/>
      <c r="CJ524" s="2144"/>
      <c r="CK524" s="2144"/>
      <c r="CL524" s="2144"/>
      <c r="CM524" s="2144"/>
      <c r="CN524" s="2144"/>
      <c r="CO524" s="2144"/>
      <c r="CP524" s="2144"/>
      <c r="CQ524" s="2144"/>
      <c r="CR524" s="2144"/>
      <c r="CS524" s="2144"/>
      <c r="CT524" s="2144"/>
      <c r="CU524" s="2671"/>
      <c r="CV524" s="2300" t="str">
        <f t="shared" si="778"/>
        <v/>
      </c>
      <c r="CW524" s="2300"/>
      <c r="CX524" s="2300"/>
      <c r="CY524" s="2300"/>
      <c r="CZ524" s="2300"/>
      <c r="DA524" s="2300"/>
      <c r="DB524" s="31"/>
      <c r="DC524" s="329" t="str">
        <f t="shared" si="779"/>
        <v/>
      </c>
      <c r="DD524" s="197"/>
      <c r="DE524" s="14"/>
      <c r="DF524" s="14"/>
      <c r="DG524" s="14"/>
      <c r="DH524" s="14"/>
      <c r="DI524" s="1596"/>
      <c r="DJ524" s="1170" t="s">
        <v>2749</v>
      </c>
      <c r="DK524" s="1604" t="str">
        <f t="shared" si="780"/>
        <v/>
      </c>
      <c r="DL524" s="437" t="str">
        <f t="shared" si="781"/>
        <v/>
      </c>
      <c r="DM524" s="1128">
        <f t="shared" si="782"/>
        <v>0</v>
      </c>
      <c r="DN524" s="22">
        <f t="shared" si="783"/>
        <v>0</v>
      </c>
      <c r="DO524" s="22">
        <f t="shared" si="784"/>
        <v>0</v>
      </c>
      <c r="DP524" s="264">
        <f t="shared" si="785"/>
        <v>0</v>
      </c>
      <c r="DQ524" s="32">
        <f t="shared" si="786"/>
        <v>0</v>
      </c>
      <c r="DR524" s="263" t="str">
        <f t="shared" si="787"/>
        <v/>
      </c>
      <c r="DS524" s="23">
        <f t="shared" si="788"/>
        <v>0</v>
      </c>
      <c r="DT524" s="29" t="str">
        <f t="shared" si="789"/>
        <v/>
      </c>
      <c r="DU524" s="57" t="str">
        <f t="shared" si="790"/>
        <v/>
      </c>
      <c r="DV524" s="57" t="str">
        <f>IF($DT524="要是正",MAX($DV$515:DV523)+1,"")</f>
        <v/>
      </c>
      <c r="DW524" s="12" t="str">
        <f t="shared" si="791"/>
        <v/>
      </c>
      <c r="DX524" s="30" t="str">
        <f t="shared" si="835"/>
        <v/>
      </c>
      <c r="DY524" s="13" t="str">
        <f t="shared" si="792"/>
        <v/>
      </c>
      <c r="DZ524" s="46" t="str">
        <f t="shared" si="793"/>
        <v/>
      </c>
      <c r="EA524" s="256" t="str">
        <f t="shared" si="794"/>
        <v/>
      </c>
      <c r="EB524" s="313" t="str">
        <f t="shared" si="795"/>
        <v/>
      </c>
      <c r="EC524" s="131" t="str">
        <f t="shared" si="796"/>
        <v>0</v>
      </c>
      <c r="ED524" s="54" t="str">
        <f t="shared" si="797"/>
        <v/>
      </c>
      <c r="EE524" s="131" t="str">
        <f t="shared" si="836"/>
        <v>0</v>
      </c>
      <c r="EF524" s="217" t="str">
        <f t="shared" si="799"/>
        <v/>
      </c>
      <c r="EG524" s="108" t="str">
        <f t="shared" si="800"/>
        <v/>
      </c>
      <c r="EH524" s="41" t="str">
        <f t="shared" si="801"/>
        <v>0</v>
      </c>
      <c r="EI524" s="54" t="str">
        <f t="shared" si="802"/>
        <v/>
      </c>
      <c r="EJ524" s="131" t="str">
        <f t="shared" si="837"/>
        <v>0</v>
      </c>
      <c r="EK524" s="217" t="str">
        <f t="shared" si="804"/>
        <v/>
      </c>
      <c r="EL524" s="242" t="e">
        <f t="shared" si="805"/>
        <v>#N/A</v>
      </c>
      <c r="EM524" s="57" t="e">
        <f t="shared" si="806"/>
        <v>#N/A</v>
      </c>
      <c r="EN524" s="243" t="e">
        <f t="shared" si="807"/>
        <v>#N/A</v>
      </c>
      <c r="FB524" s="677"/>
      <c r="FC524" s="677"/>
      <c r="FD524" s="677"/>
      <c r="FE524" s="677"/>
      <c r="FF524" s="677"/>
      <c r="FG524" s="677"/>
      <c r="FH524" s="677"/>
      <c r="FI524" s="677"/>
      <c r="FK524" s="326" t="str">
        <f t="shared" si="849"/>
        <v/>
      </c>
      <c r="FL524" s="326" t="str">
        <f t="shared" si="850"/>
        <v/>
      </c>
      <c r="FM524" s="326" t="str">
        <f t="shared" si="851"/>
        <v/>
      </c>
      <c r="FN524" s="326">
        <f t="shared" si="808"/>
        <v>0</v>
      </c>
      <c r="FO524" s="670" t="str">
        <f t="shared" si="852"/>
        <v/>
      </c>
      <c r="FQ524" s="138" t="str">
        <f t="shared" si="809"/>
        <v/>
      </c>
      <c r="FR524" s="131" t="str">
        <f t="shared" si="810"/>
        <v>0</v>
      </c>
      <c r="FS524" s="54" t="str">
        <f t="shared" si="811"/>
        <v/>
      </c>
      <c r="FT524" s="131" t="str">
        <f t="shared" si="812"/>
        <v>0</v>
      </c>
      <c r="FU524" s="217" t="str">
        <f t="shared" si="813"/>
        <v/>
      </c>
      <c r="FW524" s="667">
        <f t="shared" si="776"/>
        <v>0</v>
      </c>
      <c r="FX524" s="32"/>
      <c r="FY524" s="32"/>
      <c r="FZ524" s="668"/>
      <c r="GA524" s="14"/>
      <c r="GB524" s="700" t="b">
        <f t="shared" si="814"/>
        <v>1</v>
      </c>
      <c r="GC524" s="701" t="b">
        <f t="shared" si="815"/>
        <v>0</v>
      </c>
      <c r="GD524" s="701" t="b">
        <f t="shared" si="815"/>
        <v>0</v>
      </c>
      <c r="GE524" s="701" t="b">
        <f t="shared" si="815"/>
        <v>0</v>
      </c>
      <c r="GF524" s="701" t="b">
        <f t="shared" si="815"/>
        <v>0</v>
      </c>
      <c r="GG524" s="701" t="b">
        <f t="shared" si="815"/>
        <v>0</v>
      </c>
      <c r="GH524" s="701" t="b">
        <f t="shared" si="815"/>
        <v>0</v>
      </c>
      <c r="GI524" s="701" t="b">
        <f t="shared" si="838"/>
        <v>0</v>
      </c>
      <c r="GJ524" s="1989" t="b">
        <f t="shared" si="839"/>
        <v>0</v>
      </c>
      <c r="GL524" s="691"/>
      <c r="GM524" s="701">
        <f t="shared" si="840"/>
        <v>0</v>
      </c>
      <c r="GN524" s="701">
        <f t="shared" si="841"/>
        <v>0</v>
      </c>
      <c r="GO524" s="701">
        <f t="shared" si="816"/>
        <v>0</v>
      </c>
      <c r="GP524" s="701">
        <f t="shared" si="817"/>
        <v>0</v>
      </c>
      <c r="GQ524" s="701">
        <f t="shared" si="818"/>
        <v>0</v>
      </c>
      <c r="GR524" s="701">
        <f t="shared" si="819"/>
        <v>0</v>
      </c>
      <c r="GS524" s="701">
        <f t="shared" si="842"/>
        <v>0</v>
      </c>
      <c r="GT524" s="702">
        <f t="shared" si="843"/>
        <v>0</v>
      </c>
      <c r="GU524" s="703"/>
      <c r="GV524" s="700" t="str">
        <f t="shared" si="820"/>
        <v/>
      </c>
      <c r="GW524" s="701" t="str">
        <f t="shared" si="821"/>
        <v/>
      </c>
      <c r="GX524" s="701" t="str">
        <f t="shared" si="822"/>
        <v/>
      </c>
      <c r="GY524" s="701" t="str">
        <f t="shared" si="823"/>
        <v/>
      </c>
      <c r="GZ524" s="701" t="str">
        <f t="shared" si="824"/>
        <v/>
      </c>
      <c r="HA524" s="701" t="str">
        <f t="shared" si="825"/>
        <v/>
      </c>
      <c r="HB524" s="701" t="str">
        <f t="shared" si="844"/>
        <v/>
      </c>
      <c r="HC524" s="701" t="str">
        <f t="shared" si="826"/>
        <v/>
      </c>
      <c r="HD524" s="703"/>
      <c r="HE524" s="73"/>
      <c r="HF524" s="709" t="str">
        <f t="shared" si="827"/>
        <v/>
      </c>
      <c r="HG524" s="32"/>
      <c r="HH524" s="683"/>
      <c r="HI524" s="705" t="str">
        <f t="shared" si="845"/>
        <v/>
      </c>
      <c r="HK524" s="698"/>
      <c r="HL524" s="706" t="str">
        <f t="shared" si="846"/>
        <v/>
      </c>
      <c r="HM524" s="706" t="str">
        <f t="shared" si="828"/>
        <v/>
      </c>
      <c r="HN524" s="706" t="str">
        <f t="shared" si="829"/>
        <v/>
      </c>
      <c r="HO524" s="706" t="str">
        <f t="shared" si="830"/>
        <v/>
      </c>
      <c r="HP524" s="706" t="str">
        <f t="shared" si="831"/>
        <v/>
      </c>
      <c r="HQ524" s="706" t="str">
        <f t="shared" si="832"/>
        <v/>
      </c>
      <c r="HR524" s="1966" t="str">
        <f t="shared" si="847"/>
        <v/>
      </c>
      <c r="HS524" s="705" t="str">
        <f t="shared" si="848"/>
        <v/>
      </c>
      <c r="HT524" s="657" t="e">
        <f>LEFT(M524,1)*10000+MID(M524,3,LEN(M524)-3)*100+COUNTIF($M$319:M524,M524)</f>
        <v>#VALUE!</v>
      </c>
      <c r="HU524" s="658" t="str">
        <f t="shared" si="761"/>
        <v/>
      </c>
      <c r="HV524" s="658" t="str">
        <f t="shared" si="833"/>
        <v/>
      </c>
      <c r="HW524" s="658" t="str">
        <f t="shared" si="762"/>
        <v/>
      </c>
      <c r="HX524" s="658" t="str">
        <f t="shared" si="834"/>
        <v/>
      </c>
    </row>
    <row r="525" spans="1:232" s="19" customFormat="1" ht="60" customHeight="1" x14ac:dyDescent="0.15">
      <c r="A525" s="1201"/>
      <c r="B525" s="1201"/>
      <c r="C525" s="1201"/>
      <c r="D525" s="1201"/>
      <c r="E525" s="1202"/>
      <c r="F525" s="652"/>
      <c r="G525" s="652"/>
      <c r="H525" s="652"/>
      <c r="I525" s="1351"/>
      <c r="J525" s="1260"/>
      <c r="K525" s="1261"/>
      <c r="L525" s="1261"/>
      <c r="M525" s="2645"/>
      <c r="N525" s="2645"/>
      <c r="O525" s="2646"/>
      <c r="P525" s="2647" t="str">
        <f t="shared" si="777"/>
        <v/>
      </c>
      <c r="Q525" s="2648"/>
      <c r="R525" s="2648"/>
      <c r="S525" s="2648"/>
      <c r="T525" s="2648"/>
      <c r="U525" s="2648"/>
      <c r="V525" s="2648"/>
      <c r="W525" s="2648"/>
      <c r="X525" s="2648"/>
      <c r="Y525" s="2648"/>
      <c r="Z525" s="2648"/>
      <c r="AA525" s="2648"/>
      <c r="AB525" s="2648"/>
      <c r="AC525" s="2648"/>
      <c r="AD525" s="2648"/>
      <c r="AE525" s="2649"/>
      <c r="AF525" s="2488"/>
      <c r="AG525" s="2293"/>
      <c r="AH525" s="2293"/>
      <c r="AI525" s="2293"/>
      <c r="AJ525" s="2293"/>
      <c r="AK525" s="2293"/>
      <c r="AL525" s="2293"/>
      <c r="AM525" s="2293"/>
      <c r="AN525" s="2293"/>
      <c r="AO525" s="2293"/>
      <c r="AP525" s="2293"/>
      <c r="AQ525" s="2293"/>
      <c r="AR525" s="2359"/>
      <c r="AS525" s="2359"/>
      <c r="AT525" s="2928"/>
      <c r="AU525" s="2928"/>
      <c r="AV525" s="2928"/>
      <c r="AW525" s="2928"/>
      <c r="AX525" s="2928"/>
      <c r="AY525" s="2928"/>
      <c r="AZ525" s="2928"/>
      <c r="BA525" s="2928"/>
      <c r="BB525" s="2928"/>
      <c r="BC525" s="2928"/>
      <c r="BD525" s="2928"/>
      <c r="BE525" s="2928"/>
      <c r="BF525" s="2928"/>
      <c r="BG525" s="2928"/>
      <c r="BH525" s="2928"/>
      <c r="BI525" s="2928"/>
      <c r="BJ525" s="2928"/>
      <c r="BK525" s="2928"/>
      <c r="BL525" s="2928"/>
      <c r="BM525" s="2928"/>
      <c r="BN525" s="2928"/>
      <c r="BO525" s="2928"/>
      <c r="BP525" s="2928"/>
      <c r="BQ525" s="2928"/>
      <c r="BR525" s="2928"/>
      <c r="BS525" s="2359"/>
      <c r="BT525" s="2359"/>
      <c r="BU525" s="2359"/>
      <c r="BV525" s="2359"/>
      <c r="BW525" s="2359"/>
      <c r="BX525" s="2359"/>
      <c r="BY525" s="2359"/>
      <c r="BZ525" s="2359"/>
      <c r="CA525" s="2359"/>
      <c r="CB525" s="2670"/>
      <c r="CC525" s="2144"/>
      <c r="CD525" s="2144"/>
      <c r="CE525" s="2144"/>
      <c r="CF525" s="2144"/>
      <c r="CG525" s="2144"/>
      <c r="CH525" s="2144"/>
      <c r="CI525" s="2144"/>
      <c r="CJ525" s="2144"/>
      <c r="CK525" s="2144"/>
      <c r="CL525" s="2144"/>
      <c r="CM525" s="2144"/>
      <c r="CN525" s="2144"/>
      <c r="CO525" s="2144"/>
      <c r="CP525" s="2144"/>
      <c r="CQ525" s="2144"/>
      <c r="CR525" s="2144"/>
      <c r="CS525" s="2144"/>
      <c r="CT525" s="2144"/>
      <c r="CU525" s="2671"/>
      <c r="CV525" s="2300" t="str">
        <f t="shared" si="778"/>
        <v/>
      </c>
      <c r="CW525" s="2300"/>
      <c r="CX525" s="2300"/>
      <c r="CY525" s="2300"/>
      <c r="CZ525" s="2300"/>
      <c r="DA525" s="2300"/>
      <c r="DB525" s="31"/>
      <c r="DC525" s="329" t="str">
        <f t="shared" si="779"/>
        <v/>
      </c>
      <c r="DD525" s="197"/>
      <c r="DE525" s="14"/>
      <c r="DF525" s="14"/>
      <c r="DG525" s="14"/>
      <c r="DH525" s="14"/>
      <c r="DI525" s="1596"/>
      <c r="DJ525" s="1170" t="s">
        <v>2749</v>
      </c>
      <c r="DK525" s="1604" t="str">
        <f t="shared" si="780"/>
        <v/>
      </c>
      <c r="DL525" s="437" t="str">
        <f t="shared" si="781"/>
        <v/>
      </c>
      <c r="DM525" s="1128">
        <f t="shared" si="782"/>
        <v>0</v>
      </c>
      <c r="DN525" s="22">
        <f t="shared" si="783"/>
        <v>0</v>
      </c>
      <c r="DO525" s="22">
        <f t="shared" si="784"/>
        <v>0</v>
      </c>
      <c r="DP525" s="264">
        <f t="shared" si="785"/>
        <v>0</v>
      </c>
      <c r="DQ525" s="32">
        <f t="shared" si="786"/>
        <v>0</v>
      </c>
      <c r="DR525" s="263" t="str">
        <f t="shared" si="787"/>
        <v/>
      </c>
      <c r="DS525" s="23">
        <f t="shared" si="788"/>
        <v>0</v>
      </c>
      <c r="DT525" s="29" t="str">
        <f t="shared" si="789"/>
        <v/>
      </c>
      <c r="DU525" s="57" t="str">
        <f t="shared" si="790"/>
        <v/>
      </c>
      <c r="DV525" s="57" t="str">
        <f>IF($DT525="要是正",MAX($DV$515:DV524)+1,"")</f>
        <v/>
      </c>
      <c r="DW525" s="12" t="str">
        <f t="shared" si="791"/>
        <v/>
      </c>
      <c r="DX525" s="30" t="str">
        <f t="shared" si="835"/>
        <v/>
      </c>
      <c r="DY525" s="13" t="str">
        <f t="shared" si="792"/>
        <v/>
      </c>
      <c r="DZ525" s="46" t="str">
        <f t="shared" si="793"/>
        <v/>
      </c>
      <c r="EA525" s="256" t="str">
        <f t="shared" si="794"/>
        <v/>
      </c>
      <c r="EB525" s="313" t="str">
        <f t="shared" si="795"/>
        <v/>
      </c>
      <c r="EC525" s="131" t="str">
        <f t="shared" si="796"/>
        <v>0</v>
      </c>
      <c r="ED525" s="54" t="str">
        <f t="shared" si="797"/>
        <v/>
      </c>
      <c r="EE525" s="131" t="str">
        <f t="shared" si="836"/>
        <v>0</v>
      </c>
      <c r="EF525" s="217" t="str">
        <f t="shared" si="799"/>
        <v/>
      </c>
      <c r="EG525" s="108" t="str">
        <f t="shared" si="800"/>
        <v/>
      </c>
      <c r="EH525" s="41" t="str">
        <f t="shared" si="801"/>
        <v>0</v>
      </c>
      <c r="EI525" s="54" t="str">
        <f t="shared" si="802"/>
        <v/>
      </c>
      <c r="EJ525" s="131" t="str">
        <f t="shared" si="837"/>
        <v>0</v>
      </c>
      <c r="EK525" s="217" t="str">
        <f t="shared" si="804"/>
        <v/>
      </c>
      <c r="EL525" s="242" t="e">
        <f t="shared" si="805"/>
        <v>#N/A</v>
      </c>
      <c r="EM525" s="57" t="e">
        <f t="shared" si="806"/>
        <v>#N/A</v>
      </c>
      <c r="EN525" s="243" t="e">
        <f t="shared" si="807"/>
        <v>#N/A</v>
      </c>
      <c r="FB525" s="677"/>
      <c r="FC525" s="677"/>
      <c r="FD525" s="677"/>
      <c r="FE525" s="677"/>
      <c r="FF525" s="677"/>
      <c r="FG525" s="677"/>
      <c r="FH525" s="677"/>
      <c r="FI525" s="677"/>
      <c r="FK525" s="326" t="str">
        <f t="shared" si="849"/>
        <v/>
      </c>
      <c r="FL525" s="326" t="str">
        <f t="shared" si="850"/>
        <v/>
      </c>
      <c r="FM525" s="326" t="str">
        <f t="shared" si="851"/>
        <v/>
      </c>
      <c r="FN525" s="326">
        <f t="shared" si="808"/>
        <v>0</v>
      </c>
      <c r="FO525" s="670" t="str">
        <f t="shared" si="852"/>
        <v/>
      </c>
      <c r="FQ525" s="138" t="str">
        <f t="shared" si="809"/>
        <v/>
      </c>
      <c r="FR525" s="131" t="str">
        <f t="shared" si="810"/>
        <v>0</v>
      </c>
      <c r="FS525" s="54" t="str">
        <f t="shared" si="811"/>
        <v/>
      </c>
      <c r="FT525" s="131" t="str">
        <f t="shared" si="812"/>
        <v>0</v>
      </c>
      <c r="FU525" s="217" t="str">
        <f t="shared" si="813"/>
        <v/>
      </c>
      <c r="FW525" s="667">
        <f t="shared" si="776"/>
        <v>0</v>
      </c>
      <c r="FX525" s="32"/>
      <c r="FY525" s="32"/>
      <c r="FZ525" s="668"/>
      <c r="GA525" s="14"/>
      <c r="GB525" s="700" t="b">
        <f t="shared" si="814"/>
        <v>1</v>
      </c>
      <c r="GC525" s="701" t="b">
        <f t="shared" si="815"/>
        <v>0</v>
      </c>
      <c r="GD525" s="701" t="b">
        <f t="shared" si="815"/>
        <v>0</v>
      </c>
      <c r="GE525" s="701" t="b">
        <f t="shared" si="815"/>
        <v>0</v>
      </c>
      <c r="GF525" s="701" t="b">
        <f t="shared" si="815"/>
        <v>0</v>
      </c>
      <c r="GG525" s="701" t="b">
        <f t="shared" si="815"/>
        <v>0</v>
      </c>
      <c r="GH525" s="701" t="b">
        <f t="shared" si="815"/>
        <v>0</v>
      </c>
      <c r="GI525" s="701" t="b">
        <f t="shared" si="838"/>
        <v>0</v>
      </c>
      <c r="GJ525" s="1989" t="b">
        <f t="shared" si="839"/>
        <v>0</v>
      </c>
      <c r="GL525" s="691"/>
      <c r="GM525" s="701">
        <f t="shared" si="840"/>
        <v>0</v>
      </c>
      <c r="GN525" s="701">
        <f t="shared" si="841"/>
        <v>0</v>
      </c>
      <c r="GO525" s="701">
        <f t="shared" si="816"/>
        <v>0</v>
      </c>
      <c r="GP525" s="701">
        <f t="shared" si="817"/>
        <v>0</v>
      </c>
      <c r="GQ525" s="701">
        <f t="shared" si="818"/>
        <v>0</v>
      </c>
      <c r="GR525" s="701">
        <f t="shared" si="819"/>
        <v>0</v>
      </c>
      <c r="GS525" s="701">
        <f t="shared" si="842"/>
        <v>0</v>
      </c>
      <c r="GT525" s="702">
        <f t="shared" si="843"/>
        <v>0</v>
      </c>
      <c r="GU525" s="703"/>
      <c r="GV525" s="700" t="str">
        <f t="shared" si="820"/>
        <v/>
      </c>
      <c r="GW525" s="701" t="str">
        <f t="shared" si="821"/>
        <v/>
      </c>
      <c r="GX525" s="701" t="str">
        <f t="shared" si="822"/>
        <v/>
      </c>
      <c r="GY525" s="701" t="str">
        <f t="shared" si="823"/>
        <v/>
      </c>
      <c r="GZ525" s="701" t="str">
        <f t="shared" si="824"/>
        <v/>
      </c>
      <c r="HA525" s="701" t="str">
        <f t="shared" si="825"/>
        <v/>
      </c>
      <c r="HB525" s="701" t="str">
        <f t="shared" si="844"/>
        <v/>
      </c>
      <c r="HC525" s="701" t="str">
        <f t="shared" si="826"/>
        <v/>
      </c>
      <c r="HD525" s="703"/>
      <c r="HE525" s="73"/>
      <c r="HF525" s="709" t="str">
        <f t="shared" si="827"/>
        <v/>
      </c>
      <c r="HG525" s="32"/>
      <c r="HH525" s="683"/>
      <c r="HI525" s="705" t="str">
        <f t="shared" si="845"/>
        <v/>
      </c>
      <c r="HK525" s="698"/>
      <c r="HL525" s="706" t="str">
        <f t="shared" si="846"/>
        <v/>
      </c>
      <c r="HM525" s="706" t="str">
        <f t="shared" si="828"/>
        <v/>
      </c>
      <c r="HN525" s="706" t="str">
        <f t="shared" si="829"/>
        <v/>
      </c>
      <c r="HO525" s="706" t="str">
        <f t="shared" si="830"/>
        <v/>
      </c>
      <c r="HP525" s="706" t="str">
        <f t="shared" si="831"/>
        <v/>
      </c>
      <c r="HQ525" s="706" t="str">
        <f t="shared" si="832"/>
        <v/>
      </c>
      <c r="HR525" s="1966" t="str">
        <f t="shared" si="847"/>
        <v/>
      </c>
      <c r="HS525" s="705" t="str">
        <f t="shared" si="848"/>
        <v/>
      </c>
      <c r="HT525" s="657" t="e">
        <f>LEFT(M525,1)*10000+MID(M525,3,LEN(M525)-3)*100+COUNTIF($M$319:M525,M525)</f>
        <v>#VALUE!</v>
      </c>
      <c r="HU525" s="658" t="str">
        <f t="shared" si="761"/>
        <v/>
      </c>
      <c r="HV525" s="658" t="str">
        <f t="shared" si="833"/>
        <v/>
      </c>
      <c r="HW525" s="658" t="str">
        <f t="shared" si="762"/>
        <v/>
      </c>
      <c r="HX525" s="658" t="str">
        <f t="shared" si="834"/>
        <v/>
      </c>
    </row>
    <row r="526" spans="1:232" s="19" customFormat="1" ht="60" customHeight="1" x14ac:dyDescent="0.15">
      <c r="A526" s="1201"/>
      <c r="B526" s="1201"/>
      <c r="C526" s="1201"/>
      <c r="D526" s="1201"/>
      <c r="E526" s="1202"/>
      <c r="F526" s="652"/>
      <c r="G526" s="652"/>
      <c r="H526" s="652"/>
      <c r="I526" s="1351"/>
      <c r="J526" s="1260"/>
      <c r="K526" s="1261"/>
      <c r="L526" s="1261"/>
      <c r="M526" s="2645"/>
      <c r="N526" s="2645"/>
      <c r="O526" s="2646"/>
      <c r="P526" s="2647" t="str">
        <f t="shared" si="777"/>
        <v/>
      </c>
      <c r="Q526" s="2648"/>
      <c r="R526" s="2648"/>
      <c r="S526" s="2648"/>
      <c r="T526" s="2648"/>
      <c r="U526" s="2648"/>
      <c r="V526" s="2648"/>
      <c r="W526" s="2648"/>
      <c r="X526" s="2648"/>
      <c r="Y526" s="2648"/>
      <c r="Z526" s="2648"/>
      <c r="AA526" s="2648"/>
      <c r="AB526" s="2648"/>
      <c r="AC526" s="2648"/>
      <c r="AD526" s="2648"/>
      <c r="AE526" s="2649"/>
      <c r="AF526" s="2488"/>
      <c r="AG526" s="2293"/>
      <c r="AH526" s="2293"/>
      <c r="AI526" s="2293"/>
      <c r="AJ526" s="2293"/>
      <c r="AK526" s="2293"/>
      <c r="AL526" s="2293"/>
      <c r="AM526" s="2293"/>
      <c r="AN526" s="2293"/>
      <c r="AO526" s="2293"/>
      <c r="AP526" s="2293"/>
      <c r="AQ526" s="2293"/>
      <c r="AR526" s="2359"/>
      <c r="AS526" s="2359"/>
      <c r="AT526" s="2928"/>
      <c r="AU526" s="2928"/>
      <c r="AV526" s="2928"/>
      <c r="AW526" s="2928"/>
      <c r="AX526" s="2928"/>
      <c r="AY526" s="2928"/>
      <c r="AZ526" s="2928"/>
      <c r="BA526" s="2928"/>
      <c r="BB526" s="2928"/>
      <c r="BC526" s="2928"/>
      <c r="BD526" s="2928"/>
      <c r="BE526" s="2928"/>
      <c r="BF526" s="2928"/>
      <c r="BG526" s="2928"/>
      <c r="BH526" s="2928"/>
      <c r="BI526" s="2928"/>
      <c r="BJ526" s="2928"/>
      <c r="BK526" s="2928"/>
      <c r="BL526" s="2928"/>
      <c r="BM526" s="2928"/>
      <c r="BN526" s="2928"/>
      <c r="BO526" s="2928"/>
      <c r="BP526" s="2928"/>
      <c r="BQ526" s="2928"/>
      <c r="BR526" s="2928"/>
      <c r="BS526" s="2359"/>
      <c r="BT526" s="2359"/>
      <c r="BU526" s="2359"/>
      <c r="BV526" s="2359"/>
      <c r="BW526" s="2359"/>
      <c r="BX526" s="2359"/>
      <c r="BY526" s="2359"/>
      <c r="BZ526" s="2359"/>
      <c r="CA526" s="2359"/>
      <c r="CB526" s="2670"/>
      <c r="CC526" s="2144"/>
      <c r="CD526" s="2144"/>
      <c r="CE526" s="2144"/>
      <c r="CF526" s="2144"/>
      <c r="CG526" s="2144"/>
      <c r="CH526" s="2144"/>
      <c r="CI526" s="2144"/>
      <c r="CJ526" s="2144"/>
      <c r="CK526" s="2144"/>
      <c r="CL526" s="2144"/>
      <c r="CM526" s="2144"/>
      <c r="CN526" s="2144"/>
      <c r="CO526" s="2144"/>
      <c r="CP526" s="2144"/>
      <c r="CQ526" s="2144"/>
      <c r="CR526" s="2144"/>
      <c r="CS526" s="2144"/>
      <c r="CT526" s="2144"/>
      <c r="CU526" s="2671"/>
      <c r="CV526" s="2300" t="str">
        <f t="shared" si="778"/>
        <v/>
      </c>
      <c r="CW526" s="2300"/>
      <c r="CX526" s="2300"/>
      <c r="CY526" s="2300"/>
      <c r="CZ526" s="2300"/>
      <c r="DA526" s="2300"/>
      <c r="DB526" s="31"/>
      <c r="DC526" s="329" t="str">
        <f t="shared" si="779"/>
        <v/>
      </c>
      <c r="DD526" s="197"/>
      <c r="DE526" s="14"/>
      <c r="DF526" s="14"/>
      <c r="DG526" s="14"/>
      <c r="DH526" s="14"/>
      <c r="DI526" s="1596"/>
      <c r="DJ526" s="1170" t="s">
        <v>2749</v>
      </c>
      <c r="DK526" s="1604" t="str">
        <f t="shared" si="780"/>
        <v/>
      </c>
      <c r="DL526" s="437" t="str">
        <f t="shared" si="781"/>
        <v/>
      </c>
      <c r="DM526" s="1128">
        <f t="shared" si="782"/>
        <v>0</v>
      </c>
      <c r="DN526" s="22">
        <f t="shared" si="783"/>
        <v>0</v>
      </c>
      <c r="DO526" s="22">
        <f t="shared" si="784"/>
        <v>0</v>
      </c>
      <c r="DP526" s="264">
        <f t="shared" si="785"/>
        <v>0</v>
      </c>
      <c r="DQ526" s="32">
        <f t="shared" si="786"/>
        <v>0</v>
      </c>
      <c r="DR526" s="263" t="str">
        <f t="shared" si="787"/>
        <v/>
      </c>
      <c r="DS526" s="23">
        <f t="shared" si="788"/>
        <v>0</v>
      </c>
      <c r="DT526" s="29" t="str">
        <f t="shared" si="789"/>
        <v/>
      </c>
      <c r="DU526" s="57" t="str">
        <f t="shared" si="790"/>
        <v/>
      </c>
      <c r="DV526" s="57" t="str">
        <f>IF($DT526="要是正",MAX($DV$515:DV525)+1,"")</f>
        <v/>
      </c>
      <c r="DW526" s="12" t="str">
        <f t="shared" si="791"/>
        <v/>
      </c>
      <c r="DX526" s="30" t="str">
        <f t="shared" si="835"/>
        <v/>
      </c>
      <c r="DY526" s="13" t="str">
        <f t="shared" si="792"/>
        <v/>
      </c>
      <c r="DZ526" s="46" t="str">
        <f t="shared" si="793"/>
        <v/>
      </c>
      <c r="EA526" s="256" t="str">
        <f t="shared" si="794"/>
        <v/>
      </c>
      <c r="EB526" s="313" t="str">
        <f t="shared" si="795"/>
        <v/>
      </c>
      <c r="EC526" s="131" t="str">
        <f t="shared" si="796"/>
        <v>0</v>
      </c>
      <c r="ED526" s="54" t="str">
        <f t="shared" si="797"/>
        <v/>
      </c>
      <c r="EE526" s="131" t="str">
        <f t="shared" si="836"/>
        <v>0</v>
      </c>
      <c r="EF526" s="217" t="str">
        <f t="shared" si="799"/>
        <v/>
      </c>
      <c r="EG526" s="108" t="str">
        <f t="shared" si="800"/>
        <v/>
      </c>
      <c r="EH526" s="41" t="str">
        <f t="shared" si="801"/>
        <v>0</v>
      </c>
      <c r="EI526" s="54" t="str">
        <f t="shared" si="802"/>
        <v/>
      </c>
      <c r="EJ526" s="131" t="str">
        <f t="shared" si="837"/>
        <v>0</v>
      </c>
      <c r="EK526" s="217" t="str">
        <f t="shared" si="804"/>
        <v/>
      </c>
      <c r="EL526" s="242" t="e">
        <f t="shared" si="805"/>
        <v>#N/A</v>
      </c>
      <c r="EM526" s="57" t="e">
        <f t="shared" si="806"/>
        <v>#N/A</v>
      </c>
      <c r="EN526" s="243" t="e">
        <f t="shared" si="807"/>
        <v>#N/A</v>
      </c>
      <c r="FB526" s="677"/>
      <c r="FC526" s="677"/>
      <c r="FD526" s="677"/>
      <c r="FE526" s="677"/>
      <c r="FF526" s="677"/>
      <c r="FG526" s="677"/>
      <c r="FH526" s="677"/>
      <c r="FI526" s="677"/>
      <c r="FK526" s="326" t="str">
        <f t="shared" si="849"/>
        <v/>
      </c>
      <c r="FL526" s="326" t="str">
        <f t="shared" si="850"/>
        <v/>
      </c>
      <c r="FM526" s="326" t="str">
        <f t="shared" si="851"/>
        <v/>
      </c>
      <c r="FN526" s="326">
        <f t="shared" si="808"/>
        <v>0</v>
      </c>
      <c r="FO526" s="670" t="str">
        <f t="shared" si="852"/>
        <v/>
      </c>
      <c r="FQ526" s="138" t="str">
        <f t="shared" si="809"/>
        <v/>
      </c>
      <c r="FR526" s="131" t="str">
        <f t="shared" si="810"/>
        <v>0</v>
      </c>
      <c r="FS526" s="54" t="str">
        <f t="shared" si="811"/>
        <v/>
      </c>
      <c r="FT526" s="131" t="str">
        <f t="shared" si="812"/>
        <v>0</v>
      </c>
      <c r="FU526" s="217" t="str">
        <f t="shared" si="813"/>
        <v/>
      </c>
      <c r="FW526" s="667">
        <f t="shared" si="776"/>
        <v>0</v>
      </c>
      <c r="FX526" s="32"/>
      <c r="FY526" s="32"/>
      <c r="FZ526" s="668"/>
      <c r="GA526" s="14"/>
      <c r="GB526" s="700" t="b">
        <f t="shared" si="814"/>
        <v>1</v>
      </c>
      <c r="GC526" s="701" t="b">
        <f t="shared" si="815"/>
        <v>0</v>
      </c>
      <c r="GD526" s="701" t="b">
        <f t="shared" si="815"/>
        <v>0</v>
      </c>
      <c r="GE526" s="701" t="b">
        <f t="shared" si="815"/>
        <v>0</v>
      </c>
      <c r="GF526" s="701" t="b">
        <f t="shared" si="815"/>
        <v>0</v>
      </c>
      <c r="GG526" s="701" t="b">
        <f t="shared" si="815"/>
        <v>0</v>
      </c>
      <c r="GH526" s="701" t="b">
        <f t="shared" si="815"/>
        <v>0</v>
      </c>
      <c r="GI526" s="701" t="b">
        <f t="shared" si="838"/>
        <v>0</v>
      </c>
      <c r="GJ526" s="1989" t="b">
        <f t="shared" si="839"/>
        <v>0</v>
      </c>
      <c r="GL526" s="691"/>
      <c r="GM526" s="701">
        <f t="shared" si="840"/>
        <v>0</v>
      </c>
      <c r="GN526" s="701">
        <f t="shared" si="841"/>
        <v>0</v>
      </c>
      <c r="GO526" s="701">
        <f t="shared" si="816"/>
        <v>0</v>
      </c>
      <c r="GP526" s="701">
        <f t="shared" si="817"/>
        <v>0</v>
      </c>
      <c r="GQ526" s="701">
        <f t="shared" si="818"/>
        <v>0</v>
      </c>
      <c r="GR526" s="701">
        <f t="shared" si="819"/>
        <v>0</v>
      </c>
      <c r="GS526" s="701">
        <f t="shared" si="842"/>
        <v>0</v>
      </c>
      <c r="GT526" s="702">
        <f t="shared" si="843"/>
        <v>0</v>
      </c>
      <c r="GU526" s="703"/>
      <c r="GV526" s="700" t="str">
        <f t="shared" si="820"/>
        <v/>
      </c>
      <c r="GW526" s="701" t="str">
        <f t="shared" si="821"/>
        <v/>
      </c>
      <c r="GX526" s="701" t="str">
        <f t="shared" si="822"/>
        <v/>
      </c>
      <c r="GY526" s="701" t="str">
        <f t="shared" si="823"/>
        <v/>
      </c>
      <c r="GZ526" s="701" t="str">
        <f t="shared" si="824"/>
        <v/>
      </c>
      <c r="HA526" s="701" t="str">
        <f t="shared" si="825"/>
        <v/>
      </c>
      <c r="HB526" s="701" t="str">
        <f t="shared" si="844"/>
        <v/>
      </c>
      <c r="HC526" s="701" t="str">
        <f t="shared" si="826"/>
        <v/>
      </c>
      <c r="HD526" s="703"/>
      <c r="HE526" s="73"/>
      <c r="HF526" s="709" t="str">
        <f t="shared" si="827"/>
        <v/>
      </c>
      <c r="HG526" s="32"/>
      <c r="HH526" s="683"/>
      <c r="HI526" s="705" t="str">
        <f t="shared" si="845"/>
        <v/>
      </c>
      <c r="HK526" s="698"/>
      <c r="HL526" s="706" t="str">
        <f t="shared" si="846"/>
        <v/>
      </c>
      <c r="HM526" s="706" t="str">
        <f t="shared" si="828"/>
        <v/>
      </c>
      <c r="HN526" s="706" t="str">
        <f t="shared" si="829"/>
        <v/>
      </c>
      <c r="HO526" s="706" t="str">
        <f t="shared" si="830"/>
        <v/>
      </c>
      <c r="HP526" s="706" t="str">
        <f t="shared" si="831"/>
        <v/>
      </c>
      <c r="HQ526" s="706" t="str">
        <f t="shared" si="832"/>
        <v/>
      </c>
      <c r="HR526" s="1966" t="str">
        <f t="shared" si="847"/>
        <v/>
      </c>
      <c r="HS526" s="705" t="str">
        <f t="shared" si="848"/>
        <v/>
      </c>
      <c r="HT526" s="657" t="e">
        <f>LEFT(M526,1)*10000+MID(M526,3,LEN(M526)-3)*100+COUNTIF($M$319:M526,M526)</f>
        <v>#VALUE!</v>
      </c>
      <c r="HU526" s="658" t="str">
        <f t="shared" si="761"/>
        <v/>
      </c>
      <c r="HV526" s="658" t="str">
        <f t="shared" si="833"/>
        <v/>
      </c>
      <c r="HW526" s="658" t="str">
        <f t="shared" si="762"/>
        <v/>
      </c>
      <c r="HX526" s="658" t="str">
        <f t="shared" si="834"/>
        <v/>
      </c>
    </row>
    <row r="527" spans="1:232" s="19" customFormat="1" ht="60" customHeight="1" x14ac:dyDescent="0.15">
      <c r="A527" s="1201"/>
      <c r="B527" s="1201"/>
      <c r="C527" s="1201"/>
      <c r="D527" s="1201"/>
      <c r="E527" s="1202"/>
      <c r="F527" s="652"/>
      <c r="G527" s="652"/>
      <c r="H527" s="652"/>
      <c r="I527" s="1351"/>
      <c r="J527" s="1260"/>
      <c r="K527" s="1261"/>
      <c r="L527" s="1261"/>
      <c r="M527" s="2645"/>
      <c r="N527" s="2645"/>
      <c r="O527" s="2646"/>
      <c r="P527" s="2647" t="str">
        <f t="shared" si="777"/>
        <v/>
      </c>
      <c r="Q527" s="2648"/>
      <c r="R527" s="2648"/>
      <c r="S527" s="2648"/>
      <c r="T527" s="2648"/>
      <c r="U527" s="2648"/>
      <c r="V527" s="2648"/>
      <c r="W527" s="2648"/>
      <c r="X527" s="2648"/>
      <c r="Y527" s="2648"/>
      <c r="Z527" s="2648"/>
      <c r="AA527" s="2648"/>
      <c r="AB527" s="2648"/>
      <c r="AC527" s="2648"/>
      <c r="AD527" s="2648"/>
      <c r="AE527" s="2649"/>
      <c r="AF527" s="2488"/>
      <c r="AG527" s="2293"/>
      <c r="AH527" s="2293"/>
      <c r="AI527" s="2293"/>
      <c r="AJ527" s="2293"/>
      <c r="AK527" s="2293"/>
      <c r="AL527" s="2293"/>
      <c r="AM527" s="2293"/>
      <c r="AN527" s="2293"/>
      <c r="AO527" s="2293"/>
      <c r="AP527" s="2293"/>
      <c r="AQ527" s="2293"/>
      <c r="AR527" s="2359"/>
      <c r="AS527" s="2359"/>
      <c r="AT527" s="2928"/>
      <c r="AU527" s="2928"/>
      <c r="AV527" s="2928"/>
      <c r="AW527" s="2928"/>
      <c r="AX527" s="2928"/>
      <c r="AY527" s="2928"/>
      <c r="AZ527" s="2928"/>
      <c r="BA527" s="2928"/>
      <c r="BB527" s="2928"/>
      <c r="BC527" s="2928"/>
      <c r="BD527" s="2928"/>
      <c r="BE527" s="2928"/>
      <c r="BF527" s="2928"/>
      <c r="BG527" s="2928"/>
      <c r="BH527" s="2928"/>
      <c r="BI527" s="2928"/>
      <c r="BJ527" s="2928"/>
      <c r="BK527" s="2928"/>
      <c r="BL527" s="2928"/>
      <c r="BM527" s="2928"/>
      <c r="BN527" s="2928"/>
      <c r="BO527" s="2928"/>
      <c r="BP527" s="2928"/>
      <c r="BQ527" s="2928"/>
      <c r="BR527" s="2928"/>
      <c r="BS527" s="2359"/>
      <c r="BT527" s="2359"/>
      <c r="BU527" s="2359"/>
      <c r="BV527" s="2359"/>
      <c r="BW527" s="2359"/>
      <c r="BX527" s="2359"/>
      <c r="BY527" s="2359"/>
      <c r="BZ527" s="2359"/>
      <c r="CA527" s="2359"/>
      <c r="CB527" s="2670"/>
      <c r="CC527" s="2144"/>
      <c r="CD527" s="2144"/>
      <c r="CE527" s="2144"/>
      <c r="CF527" s="2144"/>
      <c r="CG527" s="2144"/>
      <c r="CH527" s="2144"/>
      <c r="CI527" s="2144"/>
      <c r="CJ527" s="2144"/>
      <c r="CK527" s="2144"/>
      <c r="CL527" s="2144"/>
      <c r="CM527" s="2144"/>
      <c r="CN527" s="2144"/>
      <c r="CO527" s="2144"/>
      <c r="CP527" s="2144"/>
      <c r="CQ527" s="2144"/>
      <c r="CR527" s="2144"/>
      <c r="CS527" s="2144"/>
      <c r="CT527" s="2144"/>
      <c r="CU527" s="2671"/>
      <c r="CV527" s="2300" t="str">
        <f t="shared" si="778"/>
        <v/>
      </c>
      <c r="CW527" s="2300"/>
      <c r="CX527" s="2300"/>
      <c r="CY527" s="2300"/>
      <c r="CZ527" s="2300"/>
      <c r="DA527" s="2300"/>
      <c r="DB527" s="31"/>
      <c r="DC527" s="329" t="str">
        <f t="shared" si="779"/>
        <v/>
      </c>
      <c r="DD527" s="197"/>
      <c r="DE527" s="14"/>
      <c r="DF527" s="14"/>
      <c r="DG527" s="14"/>
      <c r="DH527" s="14"/>
      <c r="DI527" s="1596"/>
      <c r="DJ527" s="1170" t="s">
        <v>2749</v>
      </c>
      <c r="DK527" s="1604" t="str">
        <f t="shared" si="780"/>
        <v/>
      </c>
      <c r="DL527" s="437" t="str">
        <f t="shared" si="781"/>
        <v/>
      </c>
      <c r="DM527" s="1128">
        <f t="shared" si="782"/>
        <v>0</v>
      </c>
      <c r="DN527" s="22">
        <f t="shared" si="783"/>
        <v>0</v>
      </c>
      <c r="DO527" s="22">
        <f t="shared" si="784"/>
        <v>0</v>
      </c>
      <c r="DP527" s="264">
        <f t="shared" si="785"/>
        <v>0</v>
      </c>
      <c r="DQ527" s="32">
        <f t="shared" si="786"/>
        <v>0</v>
      </c>
      <c r="DR527" s="263" t="str">
        <f t="shared" si="787"/>
        <v/>
      </c>
      <c r="DS527" s="23">
        <f t="shared" si="788"/>
        <v>0</v>
      </c>
      <c r="DT527" s="29" t="str">
        <f t="shared" si="789"/>
        <v/>
      </c>
      <c r="DU527" s="57" t="str">
        <f t="shared" si="790"/>
        <v/>
      </c>
      <c r="DV527" s="57" t="str">
        <f>IF($DT527="要是正",MAX($DV$515:DV526)+1,"")</f>
        <v/>
      </c>
      <c r="DW527" s="12" t="str">
        <f t="shared" si="791"/>
        <v/>
      </c>
      <c r="DX527" s="30" t="str">
        <f t="shared" si="835"/>
        <v/>
      </c>
      <c r="DY527" s="13" t="str">
        <f t="shared" si="792"/>
        <v/>
      </c>
      <c r="DZ527" s="46" t="str">
        <f t="shared" si="793"/>
        <v/>
      </c>
      <c r="EA527" s="256" t="str">
        <f t="shared" si="794"/>
        <v/>
      </c>
      <c r="EB527" s="313" t="str">
        <f t="shared" si="795"/>
        <v/>
      </c>
      <c r="EC527" s="131" t="str">
        <f t="shared" si="796"/>
        <v>0</v>
      </c>
      <c r="ED527" s="54" t="str">
        <f t="shared" si="797"/>
        <v/>
      </c>
      <c r="EE527" s="131" t="str">
        <f t="shared" si="836"/>
        <v>0</v>
      </c>
      <c r="EF527" s="217" t="str">
        <f t="shared" si="799"/>
        <v/>
      </c>
      <c r="EG527" s="108" t="str">
        <f t="shared" si="800"/>
        <v/>
      </c>
      <c r="EH527" s="41" t="str">
        <f t="shared" si="801"/>
        <v>0</v>
      </c>
      <c r="EI527" s="54" t="str">
        <f t="shared" si="802"/>
        <v/>
      </c>
      <c r="EJ527" s="131" t="str">
        <f t="shared" si="837"/>
        <v>0</v>
      </c>
      <c r="EK527" s="217" t="str">
        <f t="shared" si="804"/>
        <v/>
      </c>
      <c r="EL527" s="242" t="e">
        <f t="shared" si="805"/>
        <v>#N/A</v>
      </c>
      <c r="EM527" s="57" t="e">
        <f t="shared" si="806"/>
        <v>#N/A</v>
      </c>
      <c r="EN527" s="243" t="e">
        <f t="shared" si="807"/>
        <v>#N/A</v>
      </c>
      <c r="FB527" s="677"/>
      <c r="FC527" s="677"/>
      <c r="FD527" s="677"/>
      <c r="FE527" s="677"/>
      <c r="FF527" s="677"/>
      <c r="FG527" s="677"/>
      <c r="FH527" s="677"/>
      <c r="FI527" s="677"/>
      <c r="FK527" s="326" t="str">
        <f t="shared" si="849"/>
        <v/>
      </c>
      <c r="FL527" s="326" t="str">
        <f t="shared" si="850"/>
        <v/>
      </c>
      <c r="FM527" s="326" t="str">
        <f t="shared" si="851"/>
        <v/>
      </c>
      <c r="FN527" s="326">
        <f t="shared" si="808"/>
        <v>0</v>
      </c>
      <c r="FO527" s="670" t="str">
        <f t="shared" si="852"/>
        <v/>
      </c>
      <c r="FQ527" s="138" t="str">
        <f t="shared" si="809"/>
        <v/>
      </c>
      <c r="FR527" s="131" t="str">
        <f t="shared" si="810"/>
        <v>0</v>
      </c>
      <c r="FS527" s="54" t="str">
        <f t="shared" si="811"/>
        <v/>
      </c>
      <c r="FT527" s="131" t="str">
        <f t="shared" si="812"/>
        <v>0</v>
      </c>
      <c r="FU527" s="217" t="str">
        <f t="shared" si="813"/>
        <v/>
      </c>
      <c r="FW527" s="667">
        <f t="shared" si="776"/>
        <v>0</v>
      </c>
      <c r="FX527" s="32"/>
      <c r="FY527" s="32"/>
      <c r="FZ527" s="668"/>
      <c r="GA527" s="14"/>
      <c r="GB527" s="700" t="b">
        <f t="shared" si="814"/>
        <v>1</v>
      </c>
      <c r="GC527" s="701" t="b">
        <f t="shared" si="815"/>
        <v>0</v>
      </c>
      <c r="GD527" s="701" t="b">
        <f t="shared" si="815"/>
        <v>0</v>
      </c>
      <c r="GE527" s="701" t="b">
        <f t="shared" si="815"/>
        <v>0</v>
      </c>
      <c r="GF527" s="701" t="b">
        <f t="shared" si="815"/>
        <v>0</v>
      </c>
      <c r="GG527" s="701" t="b">
        <f t="shared" si="815"/>
        <v>0</v>
      </c>
      <c r="GH527" s="701" t="b">
        <f t="shared" si="815"/>
        <v>0</v>
      </c>
      <c r="GI527" s="701" t="b">
        <f t="shared" si="838"/>
        <v>0</v>
      </c>
      <c r="GJ527" s="1989" t="b">
        <f t="shared" si="839"/>
        <v>0</v>
      </c>
      <c r="GL527" s="691"/>
      <c r="GM527" s="701">
        <f t="shared" si="840"/>
        <v>0</v>
      </c>
      <c r="GN527" s="701">
        <f t="shared" si="841"/>
        <v>0</v>
      </c>
      <c r="GO527" s="701">
        <f t="shared" si="816"/>
        <v>0</v>
      </c>
      <c r="GP527" s="701">
        <f t="shared" si="817"/>
        <v>0</v>
      </c>
      <c r="GQ527" s="701">
        <f t="shared" si="818"/>
        <v>0</v>
      </c>
      <c r="GR527" s="701">
        <f t="shared" si="819"/>
        <v>0</v>
      </c>
      <c r="GS527" s="701">
        <f t="shared" si="842"/>
        <v>0</v>
      </c>
      <c r="GT527" s="702">
        <f t="shared" si="843"/>
        <v>0</v>
      </c>
      <c r="GU527" s="703"/>
      <c r="GV527" s="700" t="str">
        <f t="shared" si="820"/>
        <v/>
      </c>
      <c r="GW527" s="701" t="str">
        <f t="shared" si="821"/>
        <v/>
      </c>
      <c r="GX527" s="701" t="str">
        <f t="shared" si="822"/>
        <v/>
      </c>
      <c r="GY527" s="701" t="str">
        <f t="shared" si="823"/>
        <v/>
      </c>
      <c r="GZ527" s="701" t="str">
        <f t="shared" si="824"/>
        <v/>
      </c>
      <c r="HA527" s="701" t="str">
        <f t="shared" si="825"/>
        <v/>
      </c>
      <c r="HB527" s="701" t="str">
        <f t="shared" si="844"/>
        <v/>
      </c>
      <c r="HC527" s="701" t="str">
        <f t="shared" si="826"/>
        <v/>
      </c>
      <c r="HD527" s="703"/>
      <c r="HE527" s="73"/>
      <c r="HF527" s="709" t="str">
        <f t="shared" si="827"/>
        <v/>
      </c>
      <c r="HG527" s="32"/>
      <c r="HH527" s="683"/>
      <c r="HI527" s="705" t="str">
        <f t="shared" si="845"/>
        <v/>
      </c>
      <c r="HK527" s="698"/>
      <c r="HL527" s="706" t="str">
        <f t="shared" si="846"/>
        <v/>
      </c>
      <c r="HM527" s="706" t="str">
        <f t="shared" si="828"/>
        <v/>
      </c>
      <c r="HN527" s="706" t="str">
        <f t="shared" si="829"/>
        <v/>
      </c>
      <c r="HO527" s="706" t="str">
        <f t="shared" si="830"/>
        <v/>
      </c>
      <c r="HP527" s="706" t="str">
        <f t="shared" si="831"/>
        <v/>
      </c>
      <c r="HQ527" s="706" t="str">
        <f t="shared" si="832"/>
        <v/>
      </c>
      <c r="HR527" s="1966" t="str">
        <f t="shared" si="847"/>
        <v/>
      </c>
      <c r="HS527" s="705" t="str">
        <f t="shared" si="848"/>
        <v/>
      </c>
      <c r="HT527" s="657" t="e">
        <f>LEFT(M527,1)*10000+MID(M527,3,LEN(M527)-3)*100+COUNTIF($M$319:M527,M527)</f>
        <v>#VALUE!</v>
      </c>
      <c r="HU527" s="658" t="str">
        <f t="shared" si="761"/>
        <v/>
      </c>
      <c r="HV527" s="658" t="str">
        <f t="shared" si="833"/>
        <v/>
      </c>
      <c r="HW527" s="658" t="str">
        <f t="shared" si="762"/>
        <v/>
      </c>
      <c r="HX527" s="658" t="str">
        <f t="shared" si="834"/>
        <v/>
      </c>
    </row>
    <row r="528" spans="1:232" s="19" customFormat="1" ht="60" customHeight="1" x14ac:dyDescent="0.15">
      <c r="A528" s="1201"/>
      <c r="B528" s="1201"/>
      <c r="C528" s="1201"/>
      <c r="D528" s="1201"/>
      <c r="E528" s="1202"/>
      <c r="F528" s="652"/>
      <c r="G528" s="652"/>
      <c r="H528" s="652"/>
      <c r="I528" s="1351"/>
      <c r="J528" s="1260"/>
      <c r="K528" s="1261"/>
      <c r="L528" s="1261"/>
      <c r="M528" s="2645"/>
      <c r="N528" s="2645"/>
      <c r="O528" s="2646"/>
      <c r="P528" s="2647" t="str">
        <f t="shared" si="777"/>
        <v/>
      </c>
      <c r="Q528" s="2648"/>
      <c r="R528" s="2648"/>
      <c r="S528" s="2648"/>
      <c r="T528" s="2648"/>
      <c r="U528" s="2648"/>
      <c r="V528" s="2648"/>
      <c r="W528" s="2648"/>
      <c r="X528" s="2648"/>
      <c r="Y528" s="2648"/>
      <c r="Z528" s="2648"/>
      <c r="AA528" s="2648"/>
      <c r="AB528" s="2648"/>
      <c r="AC528" s="2648"/>
      <c r="AD528" s="2648"/>
      <c r="AE528" s="2649"/>
      <c r="AF528" s="2488"/>
      <c r="AG528" s="2293"/>
      <c r="AH528" s="2293"/>
      <c r="AI528" s="2293"/>
      <c r="AJ528" s="2293"/>
      <c r="AK528" s="2293"/>
      <c r="AL528" s="2293"/>
      <c r="AM528" s="2293"/>
      <c r="AN528" s="2293"/>
      <c r="AO528" s="2293"/>
      <c r="AP528" s="2293"/>
      <c r="AQ528" s="2293"/>
      <c r="AR528" s="2359"/>
      <c r="AS528" s="2359"/>
      <c r="AT528" s="2928"/>
      <c r="AU528" s="2928"/>
      <c r="AV528" s="2928"/>
      <c r="AW528" s="2928"/>
      <c r="AX528" s="2928"/>
      <c r="AY528" s="2928"/>
      <c r="AZ528" s="2928"/>
      <c r="BA528" s="2928"/>
      <c r="BB528" s="2928"/>
      <c r="BC528" s="2928"/>
      <c r="BD528" s="2928"/>
      <c r="BE528" s="2928"/>
      <c r="BF528" s="2928"/>
      <c r="BG528" s="2928"/>
      <c r="BH528" s="2928"/>
      <c r="BI528" s="2928"/>
      <c r="BJ528" s="2928"/>
      <c r="BK528" s="2928"/>
      <c r="BL528" s="2928"/>
      <c r="BM528" s="2928"/>
      <c r="BN528" s="2928"/>
      <c r="BO528" s="2928"/>
      <c r="BP528" s="2928"/>
      <c r="BQ528" s="2928"/>
      <c r="BR528" s="2928"/>
      <c r="BS528" s="2359"/>
      <c r="BT528" s="2359"/>
      <c r="BU528" s="2359"/>
      <c r="BV528" s="2359"/>
      <c r="BW528" s="2359"/>
      <c r="BX528" s="2359"/>
      <c r="BY528" s="2359"/>
      <c r="BZ528" s="2359"/>
      <c r="CA528" s="2359"/>
      <c r="CB528" s="2670"/>
      <c r="CC528" s="2144"/>
      <c r="CD528" s="2144"/>
      <c r="CE528" s="2144"/>
      <c r="CF528" s="2144"/>
      <c r="CG528" s="2144"/>
      <c r="CH528" s="2144"/>
      <c r="CI528" s="2144"/>
      <c r="CJ528" s="2144"/>
      <c r="CK528" s="2144"/>
      <c r="CL528" s="2144"/>
      <c r="CM528" s="2144"/>
      <c r="CN528" s="2144"/>
      <c r="CO528" s="2144"/>
      <c r="CP528" s="2144"/>
      <c r="CQ528" s="2144"/>
      <c r="CR528" s="2144"/>
      <c r="CS528" s="2144"/>
      <c r="CT528" s="2144"/>
      <c r="CU528" s="2671"/>
      <c r="CV528" s="2300" t="str">
        <f t="shared" si="778"/>
        <v/>
      </c>
      <c r="CW528" s="2300"/>
      <c r="CX528" s="2300"/>
      <c r="CY528" s="2300"/>
      <c r="CZ528" s="2300"/>
      <c r="DA528" s="2300"/>
      <c r="DB528" s="31"/>
      <c r="DC528" s="329" t="str">
        <f t="shared" si="779"/>
        <v/>
      </c>
      <c r="DD528" s="197"/>
      <c r="DE528" s="14"/>
      <c r="DF528" s="14"/>
      <c r="DG528" s="14"/>
      <c r="DH528" s="14"/>
      <c r="DI528" s="1596"/>
      <c r="DJ528" s="1170" t="s">
        <v>2749</v>
      </c>
      <c r="DK528" s="1604" t="str">
        <f t="shared" si="780"/>
        <v/>
      </c>
      <c r="DL528" s="437" t="str">
        <f t="shared" si="781"/>
        <v/>
      </c>
      <c r="DM528" s="1128">
        <f t="shared" si="782"/>
        <v>0</v>
      </c>
      <c r="DN528" s="22">
        <f t="shared" si="783"/>
        <v>0</v>
      </c>
      <c r="DO528" s="22">
        <f t="shared" si="784"/>
        <v>0</v>
      </c>
      <c r="DP528" s="264">
        <f t="shared" si="785"/>
        <v>0</v>
      </c>
      <c r="DQ528" s="32">
        <f t="shared" si="786"/>
        <v>0</v>
      </c>
      <c r="DR528" s="263" t="str">
        <f t="shared" si="787"/>
        <v/>
      </c>
      <c r="DS528" s="23">
        <f t="shared" si="788"/>
        <v>0</v>
      </c>
      <c r="DT528" s="29" t="str">
        <f t="shared" si="789"/>
        <v/>
      </c>
      <c r="DU528" s="57" t="str">
        <f t="shared" si="790"/>
        <v/>
      </c>
      <c r="DV528" s="57" t="str">
        <f>IF($DT528="要是正",MAX($DV$515:DV527)+1,"")</f>
        <v/>
      </c>
      <c r="DW528" s="12" t="str">
        <f t="shared" si="791"/>
        <v/>
      </c>
      <c r="DX528" s="30" t="str">
        <f t="shared" si="835"/>
        <v/>
      </c>
      <c r="DY528" s="13" t="str">
        <f t="shared" si="792"/>
        <v/>
      </c>
      <c r="DZ528" s="46" t="str">
        <f t="shared" si="793"/>
        <v/>
      </c>
      <c r="EA528" s="256" t="str">
        <f t="shared" si="794"/>
        <v/>
      </c>
      <c r="EB528" s="313" t="str">
        <f t="shared" si="795"/>
        <v/>
      </c>
      <c r="EC528" s="131" t="str">
        <f t="shared" si="796"/>
        <v>0</v>
      </c>
      <c r="ED528" s="54" t="str">
        <f t="shared" si="797"/>
        <v/>
      </c>
      <c r="EE528" s="131" t="str">
        <f t="shared" si="836"/>
        <v>0</v>
      </c>
      <c r="EF528" s="217" t="str">
        <f t="shared" si="799"/>
        <v/>
      </c>
      <c r="EG528" s="108" t="str">
        <f t="shared" si="800"/>
        <v/>
      </c>
      <c r="EH528" s="41" t="str">
        <f t="shared" si="801"/>
        <v>0</v>
      </c>
      <c r="EI528" s="54" t="str">
        <f t="shared" si="802"/>
        <v/>
      </c>
      <c r="EJ528" s="131" t="str">
        <f t="shared" si="837"/>
        <v>0</v>
      </c>
      <c r="EK528" s="217" t="str">
        <f t="shared" si="804"/>
        <v/>
      </c>
      <c r="EL528" s="242" t="e">
        <f t="shared" si="805"/>
        <v>#N/A</v>
      </c>
      <c r="EM528" s="57" t="e">
        <f t="shared" si="806"/>
        <v>#N/A</v>
      </c>
      <c r="EN528" s="243" t="e">
        <f t="shared" si="807"/>
        <v>#N/A</v>
      </c>
      <c r="FB528" s="677"/>
      <c r="FC528" s="677"/>
      <c r="FD528" s="677"/>
      <c r="FE528" s="677"/>
      <c r="FF528" s="677"/>
      <c r="FG528" s="677"/>
      <c r="FH528" s="677"/>
      <c r="FI528" s="677"/>
      <c r="FK528" s="326" t="str">
        <f t="shared" si="849"/>
        <v/>
      </c>
      <c r="FL528" s="326" t="str">
        <f t="shared" si="850"/>
        <v/>
      </c>
      <c r="FM528" s="326" t="str">
        <f t="shared" si="851"/>
        <v/>
      </c>
      <c r="FN528" s="326">
        <f t="shared" si="808"/>
        <v>0</v>
      </c>
      <c r="FO528" s="670" t="str">
        <f t="shared" si="852"/>
        <v/>
      </c>
      <c r="FQ528" s="138" t="str">
        <f t="shared" si="809"/>
        <v/>
      </c>
      <c r="FR528" s="131" t="str">
        <f t="shared" si="810"/>
        <v>0</v>
      </c>
      <c r="FS528" s="54" t="str">
        <f t="shared" si="811"/>
        <v/>
      </c>
      <c r="FT528" s="131" t="str">
        <f t="shared" si="812"/>
        <v>0</v>
      </c>
      <c r="FU528" s="217" t="str">
        <f t="shared" si="813"/>
        <v/>
      </c>
      <c r="FW528" s="667">
        <f t="shared" si="776"/>
        <v>0</v>
      </c>
      <c r="FX528" s="32"/>
      <c r="FY528" s="32"/>
      <c r="FZ528" s="668"/>
      <c r="GA528" s="14"/>
      <c r="GB528" s="700" t="b">
        <f t="shared" si="814"/>
        <v>1</v>
      </c>
      <c r="GC528" s="701" t="b">
        <f t="shared" si="815"/>
        <v>0</v>
      </c>
      <c r="GD528" s="701" t="b">
        <f t="shared" si="815"/>
        <v>0</v>
      </c>
      <c r="GE528" s="701" t="b">
        <f t="shared" si="815"/>
        <v>0</v>
      </c>
      <c r="GF528" s="701" t="b">
        <f t="shared" si="815"/>
        <v>0</v>
      </c>
      <c r="GG528" s="701" t="b">
        <f t="shared" si="815"/>
        <v>0</v>
      </c>
      <c r="GH528" s="701" t="b">
        <f t="shared" si="815"/>
        <v>0</v>
      </c>
      <c r="GI528" s="701" t="b">
        <f t="shared" si="838"/>
        <v>0</v>
      </c>
      <c r="GJ528" s="1989" t="b">
        <f t="shared" si="839"/>
        <v>0</v>
      </c>
      <c r="GL528" s="691"/>
      <c r="GM528" s="701">
        <f t="shared" si="840"/>
        <v>0</v>
      </c>
      <c r="GN528" s="701">
        <f t="shared" si="841"/>
        <v>0</v>
      </c>
      <c r="GO528" s="701">
        <f t="shared" si="816"/>
        <v>0</v>
      </c>
      <c r="GP528" s="701">
        <f t="shared" si="817"/>
        <v>0</v>
      </c>
      <c r="GQ528" s="701">
        <f t="shared" si="818"/>
        <v>0</v>
      </c>
      <c r="GR528" s="701">
        <f t="shared" si="819"/>
        <v>0</v>
      </c>
      <c r="GS528" s="701">
        <f t="shared" si="842"/>
        <v>0</v>
      </c>
      <c r="GT528" s="702">
        <f t="shared" si="843"/>
        <v>0</v>
      </c>
      <c r="GU528" s="703"/>
      <c r="GV528" s="700" t="str">
        <f t="shared" si="820"/>
        <v/>
      </c>
      <c r="GW528" s="701" t="str">
        <f t="shared" si="821"/>
        <v/>
      </c>
      <c r="GX528" s="701" t="str">
        <f t="shared" si="822"/>
        <v/>
      </c>
      <c r="GY528" s="701" t="str">
        <f t="shared" si="823"/>
        <v/>
      </c>
      <c r="GZ528" s="701" t="str">
        <f t="shared" si="824"/>
        <v/>
      </c>
      <c r="HA528" s="701" t="str">
        <f t="shared" si="825"/>
        <v/>
      </c>
      <c r="HB528" s="701" t="str">
        <f t="shared" si="844"/>
        <v/>
      </c>
      <c r="HC528" s="701" t="str">
        <f t="shared" si="826"/>
        <v/>
      </c>
      <c r="HD528" s="703"/>
      <c r="HE528" s="73"/>
      <c r="HF528" s="709" t="str">
        <f t="shared" si="827"/>
        <v/>
      </c>
      <c r="HG528" s="32"/>
      <c r="HH528" s="683"/>
      <c r="HI528" s="705" t="str">
        <f t="shared" si="845"/>
        <v/>
      </c>
      <c r="HK528" s="698"/>
      <c r="HL528" s="706" t="str">
        <f t="shared" si="846"/>
        <v/>
      </c>
      <c r="HM528" s="706" t="str">
        <f t="shared" si="828"/>
        <v/>
      </c>
      <c r="HN528" s="706" t="str">
        <f t="shared" si="829"/>
        <v/>
      </c>
      <c r="HO528" s="706" t="str">
        <f t="shared" si="830"/>
        <v/>
      </c>
      <c r="HP528" s="706" t="str">
        <f t="shared" si="831"/>
        <v/>
      </c>
      <c r="HQ528" s="706" t="str">
        <f t="shared" si="832"/>
        <v/>
      </c>
      <c r="HR528" s="1966" t="str">
        <f t="shared" si="847"/>
        <v/>
      </c>
      <c r="HS528" s="705" t="str">
        <f t="shared" si="848"/>
        <v/>
      </c>
      <c r="HT528" s="657" t="e">
        <f>LEFT(M528,1)*10000+MID(M528,3,LEN(M528)-3)*100+COUNTIF($M$319:M528,M528)</f>
        <v>#VALUE!</v>
      </c>
      <c r="HU528" s="658" t="str">
        <f t="shared" si="761"/>
        <v/>
      </c>
      <c r="HV528" s="658" t="str">
        <f t="shared" si="833"/>
        <v/>
      </c>
      <c r="HW528" s="658" t="str">
        <f t="shared" si="762"/>
        <v/>
      </c>
      <c r="HX528" s="658" t="str">
        <f t="shared" si="834"/>
        <v/>
      </c>
    </row>
    <row r="529" spans="1:232" s="19" customFormat="1" ht="60" customHeight="1" thickBot="1" x14ac:dyDescent="0.2">
      <c r="A529" s="1201"/>
      <c r="B529" s="1201"/>
      <c r="C529" s="1201"/>
      <c r="D529" s="1201"/>
      <c r="E529" s="1202"/>
      <c r="F529" s="652"/>
      <c r="G529" s="652"/>
      <c r="H529" s="652"/>
      <c r="I529" s="1351"/>
      <c r="J529" s="1260"/>
      <c r="K529" s="1261"/>
      <c r="L529" s="1261"/>
      <c r="M529" s="2645"/>
      <c r="N529" s="2645"/>
      <c r="O529" s="2646"/>
      <c r="P529" s="2647" t="str">
        <f t="shared" si="777"/>
        <v/>
      </c>
      <c r="Q529" s="2648"/>
      <c r="R529" s="2648"/>
      <c r="S529" s="2648"/>
      <c r="T529" s="2648"/>
      <c r="U529" s="2648"/>
      <c r="V529" s="2648"/>
      <c r="W529" s="2648"/>
      <c r="X529" s="2648"/>
      <c r="Y529" s="2648"/>
      <c r="Z529" s="2648"/>
      <c r="AA529" s="2648"/>
      <c r="AB529" s="2648"/>
      <c r="AC529" s="2648"/>
      <c r="AD529" s="2648"/>
      <c r="AE529" s="2649"/>
      <c r="AF529" s="2488"/>
      <c r="AG529" s="2293"/>
      <c r="AH529" s="2293"/>
      <c r="AI529" s="2293"/>
      <c r="AJ529" s="2293"/>
      <c r="AK529" s="2293"/>
      <c r="AL529" s="2293"/>
      <c r="AM529" s="2293"/>
      <c r="AN529" s="2293"/>
      <c r="AO529" s="2293"/>
      <c r="AP529" s="2293"/>
      <c r="AQ529" s="2293"/>
      <c r="AR529" s="2359"/>
      <c r="AS529" s="2359"/>
      <c r="AT529" s="2928"/>
      <c r="AU529" s="2928"/>
      <c r="AV529" s="2928"/>
      <c r="AW529" s="2928"/>
      <c r="AX529" s="2928"/>
      <c r="AY529" s="2928"/>
      <c r="AZ529" s="2928"/>
      <c r="BA529" s="2928"/>
      <c r="BB529" s="2928"/>
      <c r="BC529" s="2928"/>
      <c r="BD529" s="2928"/>
      <c r="BE529" s="2928"/>
      <c r="BF529" s="2928"/>
      <c r="BG529" s="2928"/>
      <c r="BH529" s="2928"/>
      <c r="BI529" s="2928"/>
      <c r="BJ529" s="2928"/>
      <c r="BK529" s="2928"/>
      <c r="BL529" s="2928"/>
      <c r="BM529" s="2928"/>
      <c r="BN529" s="2928"/>
      <c r="BO529" s="2928"/>
      <c r="BP529" s="2928"/>
      <c r="BQ529" s="2928"/>
      <c r="BR529" s="2928"/>
      <c r="BS529" s="2359"/>
      <c r="BT529" s="2359"/>
      <c r="BU529" s="2359"/>
      <c r="BV529" s="2359"/>
      <c r="BW529" s="2359"/>
      <c r="BX529" s="2359"/>
      <c r="BY529" s="2359"/>
      <c r="BZ529" s="2359"/>
      <c r="CA529" s="2359"/>
      <c r="CB529" s="2670"/>
      <c r="CC529" s="2144"/>
      <c r="CD529" s="2144"/>
      <c r="CE529" s="2144"/>
      <c r="CF529" s="2144"/>
      <c r="CG529" s="2144"/>
      <c r="CH529" s="2144"/>
      <c r="CI529" s="2144"/>
      <c r="CJ529" s="2144"/>
      <c r="CK529" s="2144"/>
      <c r="CL529" s="2144"/>
      <c r="CM529" s="2144"/>
      <c r="CN529" s="2144"/>
      <c r="CO529" s="2144"/>
      <c r="CP529" s="2144"/>
      <c r="CQ529" s="2144"/>
      <c r="CR529" s="2144"/>
      <c r="CS529" s="2144"/>
      <c r="CT529" s="2144"/>
      <c r="CU529" s="2671"/>
      <c r="CV529" s="2300" t="s">
        <v>1764</v>
      </c>
      <c r="CW529" s="2300"/>
      <c r="CX529" s="2300"/>
      <c r="CY529" s="2300"/>
      <c r="CZ529" s="2300"/>
      <c r="DA529" s="2300"/>
      <c r="DB529" s="31"/>
      <c r="DC529" s="329" t="str">
        <f t="shared" si="779"/>
        <v/>
      </c>
      <c r="DD529" s="197"/>
      <c r="DE529" s="14"/>
      <c r="DF529" s="14"/>
      <c r="DG529" s="14"/>
      <c r="DH529" s="14"/>
      <c r="DI529" s="1596"/>
      <c r="DJ529" s="1170" t="s">
        <v>2749</v>
      </c>
      <c r="DK529" s="1604" t="str">
        <f t="shared" si="780"/>
        <v/>
      </c>
      <c r="DL529" s="437" t="str">
        <f t="shared" si="781"/>
        <v/>
      </c>
      <c r="DM529" s="1129">
        <f t="shared" si="782"/>
        <v>0</v>
      </c>
      <c r="DN529" s="266">
        <f t="shared" si="783"/>
        <v>0</v>
      </c>
      <c r="DO529" s="266">
        <f t="shared" si="784"/>
        <v>0</v>
      </c>
      <c r="DP529" s="267">
        <f t="shared" si="785"/>
        <v>0</v>
      </c>
      <c r="DQ529" s="32">
        <f t="shared" si="786"/>
        <v>0</v>
      </c>
      <c r="DR529" s="265" t="str">
        <f t="shared" si="787"/>
        <v/>
      </c>
      <c r="DS529" s="125">
        <f t="shared" si="788"/>
        <v>0</v>
      </c>
      <c r="DT529" s="270" t="str">
        <f t="shared" si="789"/>
        <v/>
      </c>
      <c r="DU529" s="136" t="str">
        <f t="shared" si="790"/>
        <v/>
      </c>
      <c r="DV529" s="137" t="str">
        <f>IF($DT529="要是正",MAX($DV$515:DV528)+1,"")</f>
        <v/>
      </c>
      <c r="DW529" s="272" t="str">
        <f t="shared" si="791"/>
        <v/>
      </c>
      <c r="DX529" s="257" t="str">
        <f t="shared" si="835"/>
        <v/>
      </c>
      <c r="DY529" s="258" t="str">
        <f t="shared" si="792"/>
        <v/>
      </c>
      <c r="DZ529" s="318" t="str">
        <f t="shared" si="793"/>
        <v/>
      </c>
      <c r="EA529" s="256" t="str">
        <f t="shared" si="794"/>
        <v/>
      </c>
      <c r="EB529" s="314" t="str">
        <f t="shared" si="795"/>
        <v/>
      </c>
      <c r="EC529" s="250" t="str">
        <f t="shared" si="796"/>
        <v>0</v>
      </c>
      <c r="ED529" s="249" t="str">
        <f t="shared" si="797"/>
        <v/>
      </c>
      <c r="EE529" s="250" t="str">
        <f t="shared" si="836"/>
        <v>0</v>
      </c>
      <c r="EF529" s="251" t="str">
        <f t="shared" si="799"/>
        <v/>
      </c>
      <c r="EG529" s="247" t="str">
        <f t="shared" si="800"/>
        <v/>
      </c>
      <c r="EH529" s="248" t="str">
        <f t="shared" si="801"/>
        <v>0</v>
      </c>
      <c r="EI529" s="249" t="str">
        <f t="shared" si="802"/>
        <v/>
      </c>
      <c r="EJ529" s="250" t="str">
        <f t="shared" si="837"/>
        <v>0</v>
      </c>
      <c r="EK529" s="251" t="str">
        <f t="shared" si="804"/>
        <v/>
      </c>
      <c r="EL529" s="136" t="e">
        <f t="shared" si="805"/>
        <v>#N/A</v>
      </c>
      <c r="EM529" s="137" t="e">
        <f t="shared" si="806"/>
        <v>#N/A</v>
      </c>
      <c r="EN529" s="244" t="e">
        <f t="shared" si="807"/>
        <v>#N/A</v>
      </c>
      <c r="FB529" s="677"/>
      <c r="FC529" s="677"/>
      <c r="FD529" s="677"/>
      <c r="FE529" s="677"/>
      <c r="FF529" s="677"/>
      <c r="FG529" s="677"/>
      <c r="FH529" s="677"/>
      <c r="FI529" s="677"/>
      <c r="FK529" s="326" t="str">
        <f t="shared" si="849"/>
        <v/>
      </c>
      <c r="FL529" s="326" t="str">
        <f t="shared" si="850"/>
        <v/>
      </c>
      <c r="FM529" s="326" t="str">
        <f t="shared" si="851"/>
        <v/>
      </c>
      <c r="FN529" s="326">
        <f t="shared" si="808"/>
        <v>0</v>
      </c>
      <c r="FO529" s="670" t="str">
        <f t="shared" si="852"/>
        <v/>
      </c>
      <c r="FQ529" s="138" t="str">
        <f t="shared" si="809"/>
        <v/>
      </c>
      <c r="FR529" s="131" t="str">
        <f t="shared" si="810"/>
        <v>0</v>
      </c>
      <c r="FS529" s="54" t="str">
        <f t="shared" si="811"/>
        <v/>
      </c>
      <c r="FT529" s="131" t="str">
        <f t="shared" si="812"/>
        <v>0</v>
      </c>
      <c r="FU529" s="217" t="str">
        <f t="shared" si="813"/>
        <v/>
      </c>
      <c r="FW529" s="667">
        <f t="shared" si="776"/>
        <v>0</v>
      </c>
      <c r="FX529" s="32"/>
      <c r="FY529" s="32"/>
      <c r="FZ529" s="668"/>
      <c r="GA529" s="14"/>
      <c r="GB529" s="700" t="b">
        <f t="shared" si="814"/>
        <v>1</v>
      </c>
      <c r="GC529" s="701" t="b">
        <f t="shared" si="815"/>
        <v>0</v>
      </c>
      <c r="GD529" s="701" t="b">
        <f t="shared" si="815"/>
        <v>0</v>
      </c>
      <c r="GE529" s="701" t="b">
        <f t="shared" si="815"/>
        <v>0</v>
      </c>
      <c r="GF529" s="701" t="b">
        <f t="shared" si="815"/>
        <v>0</v>
      </c>
      <c r="GG529" s="701" t="b">
        <f t="shared" si="815"/>
        <v>0</v>
      </c>
      <c r="GH529" s="701" t="b">
        <f t="shared" si="815"/>
        <v>0</v>
      </c>
      <c r="GI529" s="701" t="b">
        <f t="shared" si="838"/>
        <v>0</v>
      </c>
      <c r="GJ529" s="1989" t="b">
        <f t="shared" si="839"/>
        <v>0</v>
      </c>
      <c r="GL529" s="691"/>
      <c r="GM529" s="701">
        <f t="shared" si="840"/>
        <v>0</v>
      </c>
      <c r="GN529" s="701">
        <f t="shared" si="841"/>
        <v>0</v>
      </c>
      <c r="GO529" s="701">
        <f t="shared" si="816"/>
        <v>0</v>
      </c>
      <c r="GP529" s="701">
        <f t="shared" si="817"/>
        <v>0</v>
      </c>
      <c r="GQ529" s="701">
        <f t="shared" si="818"/>
        <v>0</v>
      </c>
      <c r="GR529" s="701">
        <f t="shared" si="819"/>
        <v>0</v>
      </c>
      <c r="GS529" s="701">
        <f t="shared" si="842"/>
        <v>0</v>
      </c>
      <c r="GT529" s="702">
        <f t="shared" si="843"/>
        <v>0</v>
      </c>
      <c r="GU529" s="703"/>
      <c r="GV529" s="700" t="str">
        <f t="shared" si="820"/>
        <v/>
      </c>
      <c r="GW529" s="701" t="str">
        <f t="shared" si="821"/>
        <v/>
      </c>
      <c r="GX529" s="701" t="str">
        <f t="shared" si="822"/>
        <v/>
      </c>
      <c r="GY529" s="701" t="str">
        <f t="shared" si="823"/>
        <v/>
      </c>
      <c r="GZ529" s="701" t="str">
        <f t="shared" si="824"/>
        <v/>
      </c>
      <c r="HA529" s="701" t="str">
        <f t="shared" si="825"/>
        <v/>
      </c>
      <c r="HB529" s="701" t="str">
        <f t="shared" si="844"/>
        <v/>
      </c>
      <c r="HC529" s="701" t="str">
        <f t="shared" si="826"/>
        <v/>
      </c>
      <c r="HD529" s="703"/>
      <c r="HE529" s="73"/>
      <c r="HF529" s="709" t="str">
        <f t="shared" si="827"/>
        <v/>
      </c>
      <c r="HG529" s="32"/>
      <c r="HH529" s="683"/>
      <c r="HI529" s="705" t="str">
        <f t="shared" si="845"/>
        <v/>
      </c>
      <c r="HK529" s="698"/>
      <c r="HL529" s="706" t="str">
        <f t="shared" si="846"/>
        <v/>
      </c>
      <c r="HM529" s="706" t="str">
        <f t="shared" si="828"/>
        <v/>
      </c>
      <c r="HN529" s="706" t="str">
        <f t="shared" si="829"/>
        <v/>
      </c>
      <c r="HO529" s="706" t="str">
        <f t="shared" si="830"/>
        <v/>
      </c>
      <c r="HP529" s="706" t="str">
        <f t="shared" si="831"/>
        <v/>
      </c>
      <c r="HQ529" s="706" t="str">
        <f t="shared" si="832"/>
        <v/>
      </c>
      <c r="HR529" s="1966" t="str">
        <f t="shared" si="847"/>
        <v/>
      </c>
      <c r="HS529" s="705" t="str">
        <f t="shared" si="848"/>
        <v/>
      </c>
      <c r="HT529" s="657" t="e">
        <f>LEFT(M529,1)*10000+MID(M529,3,LEN(M529)-3)*100+COUNTIF($M$319:M529,M529)</f>
        <v>#VALUE!</v>
      </c>
      <c r="HU529" s="658" t="str">
        <f t="shared" si="761"/>
        <v/>
      </c>
      <c r="HV529" s="658" t="str">
        <f t="shared" si="833"/>
        <v/>
      </c>
      <c r="HW529" s="658" t="str">
        <f t="shared" si="762"/>
        <v/>
      </c>
      <c r="HX529" s="658" t="str">
        <f t="shared" si="834"/>
        <v/>
      </c>
    </row>
    <row r="530" spans="1:232" s="19" customFormat="1" ht="60" customHeight="1" thickBot="1" x14ac:dyDescent="0.2">
      <c r="A530" s="1201"/>
      <c r="B530" s="1201"/>
      <c r="C530" s="1201"/>
      <c r="D530" s="1201"/>
      <c r="E530" s="1202"/>
      <c r="F530" s="652"/>
      <c r="G530" s="652"/>
      <c r="H530" s="652"/>
      <c r="I530" s="1351"/>
      <c r="J530" s="1260"/>
      <c r="K530" s="1261"/>
      <c r="L530" s="1261"/>
      <c r="M530" s="2645"/>
      <c r="N530" s="2645"/>
      <c r="O530" s="2646"/>
      <c r="P530" s="2647" t="str">
        <f t="shared" si="777"/>
        <v/>
      </c>
      <c r="Q530" s="2648"/>
      <c r="R530" s="2648"/>
      <c r="S530" s="2648"/>
      <c r="T530" s="2648"/>
      <c r="U530" s="2648"/>
      <c r="V530" s="2648"/>
      <c r="W530" s="2648"/>
      <c r="X530" s="2648"/>
      <c r="Y530" s="2648"/>
      <c r="Z530" s="2648"/>
      <c r="AA530" s="2648"/>
      <c r="AB530" s="2648"/>
      <c r="AC530" s="2648"/>
      <c r="AD530" s="2648"/>
      <c r="AE530" s="2649"/>
      <c r="AF530" s="2488"/>
      <c r="AG530" s="2293"/>
      <c r="AH530" s="2293"/>
      <c r="AI530" s="2293"/>
      <c r="AJ530" s="2293"/>
      <c r="AK530" s="2293"/>
      <c r="AL530" s="2293"/>
      <c r="AM530" s="2293"/>
      <c r="AN530" s="2293"/>
      <c r="AO530" s="2293"/>
      <c r="AP530" s="2293"/>
      <c r="AQ530" s="2293"/>
      <c r="AR530" s="2359"/>
      <c r="AS530" s="2359"/>
      <c r="AT530" s="2928"/>
      <c r="AU530" s="2928"/>
      <c r="AV530" s="2928"/>
      <c r="AW530" s="2928"/>
      <c r="AX530" s="2928"/>
      <c r="AY530" s="2928"/>
      <c r="AZ530" s="2928"/>
      <c r="BA530" s="2928"/>
      <c r="BB530" s="2928"/>
      <c r="BC530" s="2928"/>
      <c r="BD530" s="2928"/>
      <c r="BE530" s="2928"/>
      <c r="BF530" s="2928"/>
      <c r="BG530" s="2928"/>
      <c r="BH530" s="2928"/>
      <c r="BI530" s="2928"/>
      <c r="BJ530" s="2928"/>
      <c r="BK530" s="2928"/>
      <c r="BL530" s="2928"/>
      <c r="BM530" s="2928"/>
      <c r="BN530" s="2928"/>
      <c r="BO530" s="2928"/>
      <c r="BP530" s="2928"/>
      <c r="BQ530" s="2928"/>
      <c r="BR530" s="2928"/>
      <c r="BS530" s="2359"/>
      <c r="BT530" s="2359"/>
      <c r="BU530" s="2359"/>
      <c r="BV530" s="2359"/>
      <c r="BW530" s="2359"/>
      <c r="BX530" s="2359"/>
      <c r="BY530" s="2359"/>
      <c r="BZ530" s="2359"/>
      <c r="CA530" s="2359"/>
      <c r="CB530" s="2670"/>
      <c r="CC530" s="2144"/>
      <c r="CD530" s="2144"/>
      <c r="CE530" s="2144"/>
      <c r="CF530" s="2144"/>
      <c r="CG530" s="2144"/>
      <c r="CH530" s="2144"/>
      <c r="CI530" s="2144"/>
      <c r="CJ530" s="2144"/>
      <c r="CK530" s="2144"/>
      <c r="CL530" s="2144"/>
      <c r="CM530" s="2144"/>
      <c r="CN530" s="2144"/>
      <c r="CO530" s="2144"/>
      <c r="CP530" s="2144"/>
      <c r="CQ530" s="2144"/>
      <c r="CR530" s="2144"/>
      <c r="CS530" s="2144"/>
      <c r="CT530" s="2144"/>
      <c r="CU530" s="2671"/>
      <c r="CV530" s="2300" t="str">
        <f t="shared" ref="CV530:CV534" si="853">IF(AND(DT530="要是正",DU530&lt;21),HYPERLINK("#"&amp;EL530&amp;"!"&amp;EM530&amp;":"&amp;EN530&amp;"","関連写真添付"),"")</f>
        <v/>
      </c>
      <c r="CW530" s="2300"/>
      <c r="CX530" s="2300"/>
      <c r="CY530" s="2300"/>
      <c r="CZ530" s="2300"/>
      <c r="DA530" s="2300"/>
      <c r="DB530" s="31"/>
      <c r="DC530" s="329" t="str">
        <f t="shared" ref="DC530:DC534" si="854">IF(AND(DU530&lt;&gt;"",DU530&gt;20),"「別途様式を作成、提出してください。」","")</f>
        <v/>
      </c>
      <c r="DD530" s="197"/>
      <c r="DE530" s="14"/>
      <c r="DF530" s="14"/>
      <c r="DG530" s="14"/>
      <c r="DH530" s="14"/>
      <c r="DI530" s="1596"/>
      <c r="DJ530" s="1170" t="s">
        <v>2749</v>
      </c>
      <c r="DK530" s="1604" t="str">
        <f t="shared" si="780"/>
        <v/>
      </c>
      <c r="DL530" s="437" t="str">
        <f t="shared" si="781"/>
        <v/>
      </c>
      <c r="DM530" s="1129">
        <f t="shared" si="782"/>
        <v>0</v>
      </c>
      <c r="DN530" s="266">
        <f t="shared" si="783"/>
        <v>0</v>
      </c>
      <c r="DO530" s="266">
        <f t="shared" si="784"/>
        <v>0</v>
      </c>
      <c r="DP530" s="267">
        <f t="shared" si="785"/>
        <v>0</v>
      </c>
      <c r="DQ530" s="32">
        <f t="shared" si="786"/>
        <v>0</v>
      </c>
      <c r="DR530" s="265" t="str">
        <f t="shared" si="787"/>
        <v/>
      </c>
      <c r="DS530" s="125">
        <f t="shared" si="788"/>
        <v>0</v>
      </c>
      <c r="DT530" s="270" t="str">
        <f t="shared" si="789"/>
        <v/>
      </c>
      <c r="DU530" s="136" t="str">
        <f t="shared" si="790"/>
        <v/>
      </c>
      <c r="DV530" s="137" t="str">
        <f>IF($DT530="要是正",MAX($DV$515:DV529)+1,"")</f>
        <v/>
      </c>
      <c r="DW530" s="272" t="str">
        <f t="shared" si="791"/>
        <v/>
      </c>
      <c r="DX530" s="257" t="str">
        <f t="shared" si="835"/>
        <v/>
      </c>
      <c r="DY530" s="258" t="str">
        <f t="shared" si="792"/>
        <v/>
      </c>
      <c r="DZ530" s="318" t="str">
        <f t="shared" si="793"/>
        <v/>
      </c>
      <c r="EA530" s="256" t="str">
        <f t="shared" si="794"/>
        <v/>
      </c>
      <c r="EB530" s="314" t="str">
        <f t="shared" si="795"/>
        <v/>
      </c>
      <c r="EC530" s="250" t="str">
        <f t="shared" si="796"/>
        <v>0</v>
      </c>
      <c r="ED530" s="249" t="str">
        <f t="shared" si="797"/>
        <v/>
      </c>
      <c r="EE530" s="250" t="str">
        <f t="shared" ref="EE530:EE534" si="855">IF(ED530=1,EC530,"0")</f>
        <v>0</v>
      </c>
      <c r="EF530" s="251" t="str">
        <f t="shared" si="799"/>
        <v/>
      </c>
      <c r="EG530" s="247" t="str">
        <f t="shared" si="800"/>
        <v/>
      </c>
      <c r="EH530" s="248" t="str">
        <f t="shared" si="801"/>
        <v>0</v>
      </c>
      <c r="EI530" s="249" t="str">
        <f t="shared" si="802"/>
        <v/>
      </c>
      <c r="EJ530" s="250" t="str">
        <f t="shared" ref="EJ530:EJ534" si="856">IF(EI530=1,EH530,"0")</f>
        <v>0</v>
      </c>
      <c r="EK530" s="251" t="str">
        <f t="shared" si="804"/>
        <v/>
      </c>
      <c r="EL530" s="136" t="e">
        <f t="shared" ref="EL530:EL534" si="857">VLOOKUP($DU530,$EO$318:$ER$346,2,FALSE)</f>
        <v>#N/A</v>
      </c>
      <c r="EM530" s="137" t="e">
        <f t="shared" ref="EM530:EM534" si="858">VLOOKUP($DU530,$EO$318:$ER$346,3,FALSE)</f>
        <v>#N/A</v>
      </c>
      <c r="EN530" s="244" t="e">
        <f t="shared" ref="EN530:EN534" si="859">VLOOKUP($DU530,$EO$318:$ER$346,4,FALSE)</f>
        <v>#N/A</v>
      </c>
      <c r="FB530" s="677"/>
      <c r="FC530" s="677"/>
      <c r="FD530" s="677"/>
      <c r="FE530" s="677"/>
      <c r="FF530" s="677"/>
      <c r="FG530" s="677"/>
      <c r="FH530" s="677"/>
      <c r="FI530" s="677"/>
      <c r="FK530" s="326" t="str">
        <f t="shared" si="849"/>
        <v/>
      </c>
      <c r="FL530" s="326" t="str">
        <f t="shared" si="850"/>
        <v/>
      </c>
      <c r="FM530" s="326" t="str">
        <f t="shared" si="851"/>
        <v/>
      </c>
      <c r="FN530" s="326">
        <f t="shared" si="808"/>
        <v>0</v>
      </c>
      <c r="FO530" s="670" t="str">
        <f t="shared" si="852"/>
        <v/>
      </c>
      <c r="FQ530" s="138" t="str">
        <f t="shared" si="809"/>
        <v/>
      </c>
      <c r="FR530" s="131" t="str">
        <f t="shared" si="810"/>
        <v>0</v>
      </c>
      <c r="FS530" s="54" t="str">
        <f t="shared" si="811"/>
        <v/>
      </c>
      <c r="FT530" s="131" t="str">
        <f t="shared" ref="FT530:FT534" si="860">IF(FS530=1,FR530,"0")</f>
        <v>0</v>
      </c>
      <c r="FU530" s="217" t="str">
        <f t="shared" ref="FU530:FU534" si="861">IF(AND(FM530="要是正",AND(FL530=0,DR530="未定")),DR530,"")</f>
        <v/>
      </c>
      <c r="FW530" s="667">
        <f t="shared" si="776"/>
        <v>0</v>
      </c>
      <c r="FX530" s="32"/>
      <c r="FY530" s="32"/>
      <c r="FZ530" s="668"/>
      <c r="GA530" s="14"/>
      <c r="GB530" s="700" t="b">
        <f t="shared" si="814"/>
        <v>1</v>
      </c>
      <c r="GC530" s="701" t="b">
        <f t="shared" si="815"/>
        <v>0</v>
      </c>
      <c r="GD530" s="701" t="b">
        <f t="shared" si="815"/>
        <v>0</v>
      </c>
      <c r="GE530" s="701" t="b">
        <f t="shared" si="815"/>
        <v>0</v>
      </c>
      <c r="GF530" s="701" t="b">
        <f t="shared" si="815"/>
        <v>0</v>
      </c>
      <c r="GG530" s="701" t="b">
        <f t="shared" si="815"/>
        <v>0</v>
      </c>
      <c r="GH530" s="701" t="b">
        <f t="shared" si="815"/>
        <v>0</v>
      </c>
      <c r="GI530" s="701" t="b">
        <f t="shared" si="838"/>
        <v>0</v>
      </c>
      <c r="GJ530" s="1989" t="b">
        <f t="shared" si="839"/>
        <v>0</v>
      </c>
      <c r="GL530" s="691"/>
      <c r="GM530" s="701">
        <f t="shared" si="840"/>
        <v>0</v>
      </c>
      <c r="GN530" s="701">
        <f t="shared" si="841"/>
        <v>0</v>
      </c>
      <c r="GO530" s="701">
        <f t="shared" si="816"/>
        <v>0</v>
      </c>
      <c r="GP530" s="701">
        <f t="shared" si="817"/>
        <v>0</v>
      </c>
      <c r="GQ530" s="701">
        <f t="shared" si="818"/>
        <v>0</v>
      </c>
      <c r="GR530" s="701">
        <f t="shared" si="819"/>
        <v>0</v>
      </c>
      <c r="GS530" s="701">
        <f t="shared" si="842"/>
        <v>0</v>
      </c>
      <c r="GT530" s="702">
        <f t="shared" si="843"/>
        <v>0</v>
      </c>
      <c r="GU530" s="703"/>
      <c r="GV530" s="700" t="str">
        <f t="shared" si="820"/>
        <v/>
      </c>
      <c r="GW530" s="701" t="str">
        <f t="shared" si="821"/>
        <v/>
      </c>
      <c r="GX530" s="701" t="str">
        <f t="shared" si="822"/>
        <v/>
      </c>
      <c r="GY530" s="701" t="str">
        <f t="shared" si="823"/>
        <v/>
      </c>
      <c r="GZ530" s="701" t="str">
        <f t="shared" si="824"/>
        <v/>
      </c>
      <c r="HA530" s="701" t="str">
        <f t="shared" si="825"/>
        <v/>
      </c>
      <c r="HB530" s="701" t="str">
        <f t="shared" si="844"/>
        <v/>
      </c>
      <c r="HC530" s="701" t="str">
        <f t="shared" si="826"/>
        <v/>
      </c>
      <c r="HD530" s="703"/>
      <c r="HE530" s="73"/>
      <c r="HF530" s="709" t="str">
        <f t="shared" si="827"/>
        <v/>
      </c>
      <c r="HG530" s="32"/>
      <c r="HH530" s="683"/>
      <c r="HI530" s="705" t="str">
        <f t="shared" si="845"/>
        <v/>
      </c>
      <c r="HK530" s="698"/>
      <c r="HL530" s="706" t="str">
        <f t="shared" si="846"/>
        <v/>
      </c>
      <c r="HM530" s="706" t="str">
        <f t="shared" si="828"/>
        <v/>
      </c>
      <c r="HN530" s="706" t="str">
        <f t="shared" si="829"/>
        <v/>
      </c>
      <c r="HO530" s="706" t="str">
        <f t="shared" si="830"/>
        <v/>
      </c>
      <c r="HP530" s="706" t="str">
        <f t="shared" si="831"/>
        <v/>
      </c>
      <c r="HQ530" s="706" t="str">
        <f t="shared" si="832"/>
        <v/>
      </c>
      <c r="HR530" s="1966" t="str">
        <f t="shared" si="847"/>
        <v/>
      </c>
      <c r="HS530" s="705" t="str">
        <f t="shared" si="848"/>
        <v/>
      </c>
      <c r="HT530" s="657" t="e">
        <f>LEFT(M530,1)*10000+MID(M530,3,LEN(M530)-3)*100+COUNTIF($M$319:M530,M530)</f>
        <v>#VALUE!</v>
      </c>
      <c r="HU530" s="658" t="str">
        <f t="shared" si="761"/>
        <v/>
      </c>
      <c r="HV530" s="658" t="str">
        <f t="shared" si="833"/>
        <v/>
      </c>
      <c r="HW530" s="658" t="str">
        <f t="shared" si="762"/>
        <v/>
      </c>
      <c r="HX530" s="658" t="str">
        <f t="shared" si="834"/>
        <v/>
      </c>
    </row>
    <row r="531" spans="1:232" s="19" customFormat="1" ht="60" customHeight="1" thickBot="1" x14ac:dyDescent="0.2">
      <c r="A531" s="1201"/>
      <c r="B531" s="1201"/>
      <c r="C531" s="1201"/>
      <c r="D531" s="1201"/>
      <c r="E531" s="1202"/>
      <c r="F531" s="652"/>
      <c r="G531" s="652"/>
      <c r="H531" s="652"/>
      <c r="I531" s="1351"/>
      <c r="J531" s="1260"/>
      <c r="K531" s="1261"/>
      <c r="L531" s="1261"/>
      <c r="M531" s="2645"/>
      <c r="N531" s="2645"/>
      <c r="O531" s="2646"/>
      <c r="P531" s="2647" t="str">
        <f t="shared" si="777"/>
        <v/>
      </c>
      <c r="Q531" s="2648"/>
      <c r="R531" s="2648"/>
      <c r="S531" s="2648"/>
      <c r="T531" s="2648"/>
      <c r="U531" s="2648"/>
      <c r="V531" s="2648"/>
      <c r="W531" s="2648"/>
      <c r="X531" s="2648"/>
      <c r="Y531" s="2648"/>
      <c r="Z531" s="2648"/>
      <c r="AA531" s="2648"/>
      <c r="AB531" s="2648"/>
      <c r="AC531" s="2648"/>
      <c r="AD531" s="2648"/>
      <c r="AE531" s="2649"/>
      <c r="AF531" s="2488"/>
      <c r="AG531" s="2293"/>
      <c r="AH531" s="2293"/>
      <c r="AI531" s="2293"/>
      <c r="AJ531" s="2293"/>
      <c r="AK531" s="2293"/>
      <c r="AL531" s="2293"/>
      <c r="AM531" s="2293"/>
      <c r="AN531" s="2293"/>
      <c r="AO531" s="2293"/>
      <c r="AP531" s="2293"/>
      <c r="AQ531" s="2293"/>
      <c r="AR531" s="2359"/>
      <c r="AS531" s="2359"/>
      <c r="AT531" s="2928"/>
      <c r="AU531" s="2928"/>
      <c r="AV531" s="2928"/>
      <c r="AW531" s="2928"/>
      <c r="AX531" s="2928"/>
      <c r="AY531" s="2928"/>
      <c r="AZ531" s="2928"/>
      <c r="BA531" s="2928"/>
      <c r="BB531" s="2928"/>
      <c r="BC531" s="2928"/>
      <c r="BD531" s="2928"/>
      <c r="BE531" s="2928"/>
      <c r="BF531" s="2928"/>
      <c r="BG531" s="2928"/>
      <c r="BH531" s="2928"/>
      <c r="BI531" s="2928"/>
      <c r="BJ531" s="2928"/>
      <c r="BK531" s="2928"/>
      <c r="BL531" s="2928"/>
      <c r="BM531" s="2928"/>
      <c r="BN531" s="2928"/>
      <c r="BO531" s="2928"/>
      <c r="BP531" s="2928"/>
      <c r="BQ531" s="2928"/>
      <c r="BR531" s="2928"/>
      <c r="BS531" s="2359"/>
      <c r="BT531" s="2359"/>
      <c r="BU531" s="2359"/>
      <c r="BV531" s="2359"/>
      <c r="BW531" s="2359"/>
      <c r="BX531" s="2359"/>
      <c r="BY531" s="2359"/>
      <c r="BZ531" s="2359"/>
      <c r="CA531" s="2359"/>
      <c r="CB531" s="2670"/>
      <c r="CC531" s="2144"/>
      <c r="CD531" s="2144"/>
      <c r="CE531" s="2144"/>
      <c r="CF531" s="2144"/>
      <c r="CG531" s="2144"/>
      <c r="CH531" s="2144"/>
      <c r="CI531" s="2144"/>
      <c r="CJ531" s="2144"/>
      <c r="CK531" s="2144"/>
      <c r="CL531" s="2144"/>
      <c r="CM531" s="2144"/>
      <c r="CN531" s="2144"/>
      <c r="CO531" s="2144"/>
      <c r="CP531" s="2144"/>
      <c r="CQ531" s="2144"/>
      <c r="CR531" s="2144"/>
      <c r="CS531" s="2144"/>
      <c r="CT531" s="2144"/>
      <c r="CU531" s="2671"/>
      <c r="CV531" s="2300" t="str">
        <f t="shared" si="853"/>
        <v/>
      </c>
      <c r="CW531" s="2300"/>
      <c r="CX531" s="2300"/>
      <c r="CY531" s="2300"/>
      <c r="CZ531" s="2300"/>
      <c r="DA531" s="2300"/>
      <c r="DB531" s="31"/>
      <c r="DC531" s="329" t="str">
        <f t="shared" si="854"/>
        <v/>
      </c>
      <c r="DD531" s="197"/>
      <c r="DE531" s="14"/>
      <c r="DF531" s="14"/>
      <c r="DG531" s="14"/>
      <c r="DH531" s="14"/>
      <c r="DI531" s="1596"/>
      <c r="DJ531" s="1170" t="s">
        <v>2749</v>
      </c>
      <c r="DK531" s="1604" t="str">
        <f t="shared" si="780"/>
        <v/>
      </c>
      <c r="DL531" s="437" t="str">
        <f t="shared" si="781"/>
        <v/>
      </c>
      <c r="DM531" s="1129">
        <f t="shared" si="782"/>
        <v>0</v>
      </c>
      <c r="DN531" s="266">
        <f t="shared" si="783"/>
        <v>0</v>
      </c>
      <c r="DO531" s="266">
        <f t="shared" si="784"/>
        <v>0</v>
      </c>
      <c r="DP531" s="267">
        <f t="shared" si="785"/>
        <v>0</v>
      </c>
      <c r="DQ531" s="32">
        <f t="shared" si="786"/>
        <v>0</v>
      </c>
      <c r="DR531" s="265" t="str">
        <f t="shared" si="787"/>
        <v/>
      </c>
      <c r="DS531" s="125">
        <f t="shared" si="788"/>
        <v>0</v>
      </c>
      <c r="DT531" s="270" t="str">
        <f t="shared" si="789"/>
        <v/>
      </c>
      <c r="DU531" s="136" t="str">
        <f t="shared" si="790"/>
        <v/>
      </c>
      <c r="DV531" s="137" t="str">
        <f>IF($DT531="要是正",MAX($DV$515:DV530)+1,"")</f>
        <v/>
      </c>
      <c r="DW531" s="272" t="str">
        <f t="shared" si="791"/>
        <v/>
      </c>
      <c r="DX531" s="257" t="str">
        <f t="shared" si="835"/>
        <v/>
      </c>
      <c r="DY531" s="258" t="str">
        <f t="shared" si="792"/>
        <v/>
      </c>
      <c r="DZ531" s="318" t="str">
        <f t="shared" si="793"/>
        <v/>
      </c>
      <c r="EA531" s="256" t="str">
        <f t="shared" si="794"/>
        <v/>
      </c>
      <c r="EB531" s="314" t="str">
        <f t="shared" si="795"/>
        <v/>
      </c>
      <c r="EC531" s="250" t="str">
        <f t="shared" si="796"/>
        <v>0</v>
      </c>
      <c r="ED531" s="249" t="str">
        <f t="shared" si="797"/>
        <v/>
      </c>
      <c r="EE531" s="250" t="str">
        <f t="shared" si="855"/>
        <v>0</v>
      </c>
      <c r="EF531" s="251" t="str">
        <f t="shared" si="799"/>
        <v/>
      </c>
      <c r="EG531" s="247" t="str">
        <f t="shared" si="800"/>
        <v/>
      </c>
      <c r="EH531" s="248" t="str">
        <f t="shared" si="801"/>
        <v>0</v>
      </c>
      <c r="EI531" s="249" t="str">
        <f t="shared" si="802"/>
        <v/>
      </c>
      <c r="EJ531" s="250" t="str">
        <f t="shared" si="856"/>
        <v>0</v>
      </c>
      <c r="EK531" s="251" t="str">
        <f t="shared" si="804"/>
        <v/>
      </c>
      <c r="EL531" s="136" t="e">
        <f t="shared" si="857"/>
        <v>#N/A</v>
      </c>
      <c r="EM531" s="137" t="e">
        <f t="shared" si="858"/>
        <v>#N/A</v>
      </c>
      <c r="EN531" s="244" t="e">
        <f t="shared" si="859"/>
        <v>#N/A</v>
      </c>
      <c r="FB531" s="677"/>
      <c r="FC531" s="677"/>
      <c r="FD531" s="677"/>
      <c r="FE531" s="677"/>
      <c r="FF531" s="677"/>
      <c r="FG531" s="677"/>
      <c r="FH531" s="677"/>
      <c r="FI531" s="677"/>
      <c r="FK531" s="326" t="str">
        <f t="shared" si="849"/>
        <v/>
      </c>
      <c r="FL531" s="326" t="str">
        <f t="shared" si="850"/>
        <v/>
      </c>
      <c r="FM531" s="326" t="str">
        <f t="shared" si="851"/>
        <v/>
      </c>
      <c r="FN531" s="326">
        <f t="shared" si="808"/>
        <v>0</v>
      </c>
      <c r="FO531" s="670" t="str">
        <f t="shared" si="852"/>
        <v/>
      </c>
      <c r="FQ531" s="138" t="str">
        <f t="shared" si="809"/>
        <v/>
      </c>
      <c r="FR531" s="131" t="str">
        <f t="shared" si="810"/>
        <v>0</v>
      </c>
      <c r="FS531" s="54" t="str">
        <f t="shared" si="811"/>
        <v/>
      </c>
      <c r="FT531" s="131" t="str">
        <f t="shared" si="860"/>
        <v>0</v>
      </c>
      <c r="FU531" s="217" t="str">
        <f t="shared" si="861"/>
        <v/>
      </c>
      <c r="FW531" s="667">
        <f t="shared" si="776"/>
        <v>0</v>
      </c>
      <c r="FX531" s="32"/>
      <c r="FY531" s="32"/>
      <c r="FZ531" s="668"/>
      <c r="GA531" s="14"/>
      <c r="GB531" s="700" t="b">
        <f t="shared" si="814"/>
        <v>1</v>
      </c>
      <c r="GC531" s="701" t="b">
        <f t="shared" si="815"/>
        <v>0</v>
      </c>
      <c r="GD531" s="701" t="b">
        <f t="shared" si="815"/>
        <v>0</v>
      </c>
      <c r="GE531" s="701" t="b">
        <f t="shared" si="815"/>
        <v>0</v>
      </c>
      <c r="GF531" s="701" t="b">
        <f t="shared" si="815"/>
        <v>0</v>
      </c>
      <c r="GG531" s="701" t="b">
        <f t="shared" si="815"/>
        <v>0</v>
      </c>
      <c r="GH531" s="701" t="b">
        <f t="shared" si="815"/>
        <v>0</v>
      </c>
      <c r="GI531" s="701" t="b">
        <f t="shared" si="838"/>
        <v>0</v>
      </c>
      <c r="GJ531" s="1989" t="b">
        <f t="shared" si="839"/>
        <v>0</v>
      </c>
      <c r="GL531" s="691"/>
      <c r="GM531" s="701">
        <f t="shared" si="840"/>
        <v>0</v>
      </c>
      <c r="GN531" s="701">
        <f t="shared" si="841"/>
        <v>0</v>
      </c>
      <c r="GO531" s="701">
        <f t="shared" si="816"/>
        <v>0</v>
      </c>
      <c r="GP531" s="701">
        <f t="shared" si="817"/>
        <v>0</v>
      </c>
      <c r="GQ531" s="701">
        <f t="shared" si="818"/>
        <v>0</v>
      </c>
      <c r="GR531" s="701">
        <f t="shared" si="819"/>
        <v>0</v>
      </c>
      <c r="GS531" s="701">
        <f t="shared" si="842"/>
        <v>0</v>
      </c>
      <c r="GT531" s="702">
        <f t="shared" si="843"/>
        <v>0</v>
      </c>
      <c r="GU531" s="703"/>
      <c r="GV531" s="700" t="str">
        <f t="shared" si="820"/>
        <v/>
      </c>
      <c r="GW531" s="701" t="str">
        <f t="shared" si="821"/>
        <v/>
      </c>
      <c r="GX531" s="701" t="str">
        <f t="shared" si="822"/>
        <v/>
      </c>
      <c r="GY531" s="701" t="str">
        <f t="shared" si="823"/>
        <v/>
      </c>
      <c r="GZ531" s="701" t="str">
        <f t="shared" si="824"/>
        <v/>
      </c>
      <c r="HA531" s="701" t="str">
        <f t="shared" si="825"/>
        <v/>
      </c>
      <c r="HB531" s="701" t="str">
        <f t="shared" si="844"/>
        <v/>
      </c>
      <c r="HC531" s="701" t="str">
        <f t="shared" si="826"/>
        <v/>
      </c>
      <c r="HD531" s="703"/>
      <c r="HE531" s="73"/>
      <c r="HF531" s="709" t="str">
        <f t="shared" si="827"/>
        <v/>
      </c>
      <c r="HG531" s="32"/>
      <c r="HH531" s="683"/>
      <c r="HI531" s="705" t="str">
        <f t="shared" si="845"/>
        <v/>
      </c>
      <c r="HK531" s="698"/>
      <c r="HL531" s="706" t="str">
        <f t="shared" si="846"/>
        <v/>
      </c>
      <c r="HM531" s="706" t="str">
        <f t="shared" si="828"/>
        <v/>
      </c>
      <c r="HN531" s="706" t="str">
        <f t="shared" si="829"/>
        <v/>
      </c>
      <c r="HO531" s="706" t="str">
        <f t="shared" si="830"/>
        <v/>
      </c>
      <c r="HP531" s="706" t="str">
        <f t="shared" si="831"/>
        <v/>
      </c>
      <c r="HQ531" s="706" t="str">
        <f t="shared" si="832"/>
        <v/>
      </c>
      <c r="HR531" s="1966" t="str">
        <f t="shared" si="847"/>
        <v/>
      </c>
      <c r="HS531" s="705" t="str">
        <f t="shared" si="848"/>
        <v/>
      </c>
      <c r="HT531" s="657" t="e">
        <f>LEFT(M531,1)*10000+MID(M531,3,LEN(M531)-3)*100+COUNTIF($M$319:M531,M531)</f>
        <v>#VALUE!</v>
      </c>
      <c r="HU531" s="658" t="str">
        <f t="shared" si="761"/>
        <v/>
      </c>
      <c r="HV531" s="658" t="str">
        <f t="shared" si="833"/>
        <v/>
      </c>
      <c r="HW531" s="658" t="str">
        <f t="shared" si="762"/>
        <v/>
      </c>
      <c r="HX531" s="658" t="str">
        <f t="shared" si="834"/>
        <v/>
      </c>
    </row>
    <row r="532" spans="1:232" s="19" customFormat="1" ht="60" customHeight="1" thickBot="1" x14ac:dyDescent="0.2">
      <c r="A532" s="1201"/>
      <c r="B532" s="1201"/>
      <c r="C532" s="1201"/>
      <c r="D532" s="1201"/>
      <c r="E532" s="1202"/>
      <c r="F532" s="652"/>
      <c r="G532" s="652"/>
      <c r="H532" s="652"/>
      <c r="I532" s="1351"/>
      <c r="J532" s="1260"/>
      <c r="K532" s="1261"/>
      <c r="L532" s="1261"/>
      <c r="M532" s="2645"/>
      <c r="N532" s="2645"/>
      <c r="O532" s="2646"/>
      <c r="P532" s="2647" t="str">
        <f t="shared" si="777"/>
        <v/>
      </c>
      <c r="Q532" s="2648"/>
      <c r="R532" s="2648"/>
      <c r="S532" s="2648"/>
      <c r="T532" s="2648"/>
      <c r="U532" s="2648"/>
      <c r="V532" s="2648"/>
      <c r="W532" s="2648"/>
      <c r="X532" s="2648"/>
      <c r="Y532" s="2648"/>
      <c r="Z532" s="2648"/>
      <c r="AA532" s="2648"/>
      <c r="AB532" s="2648"/>
      <c r="AC532" s="2648"/>
      <c r="AD532" s="2648"/>
      <c r="AE532" s="2649"/>
      <c r="AF532" s="2488"/>
      <c r="AG532" s="2293"/>
      <c r="AH532" s="2293"/>
      <c r="AI532" s="2293"/>
      <c r="AJ532" s="2293"/>
      <c r="AK532" s="2293"/>
      <c r="AL532" s="2293"/>
      <c r="AM532" s="2293"/>
      <c r="AN532" s="2293"/>
      <c r="AO532" s="2293"/>
      <c r="AP532" s="2293"/>
      <c r="AQ532" s="2293"/>
      <c r="AR532" s="2359"/>
      <c r="AS532" s="2359"/>
      <c r="AT532" s="2928"/>
      <c r="AU532" s="2928"/>
      <c r="AV532" s="2928"/>
      <c r="AW532" s="2928"/>
      <c r="AX532" s="2928"/>
      <c r="AY532" s="2928"/>
      <c r="AZ532" s="2928"/>
      <c r="BA532" s="2928"/>
      <c r="BB532" s="2928"/>
      <c r="BC532" s="2928"/>
      <c r="BD532" s="2928"/>
      <c r="BE532" s="2928"/>
      <c r="BF532" s="2928"/>
      <c r="BG532" s="2928"/>
      <c r="BH532" s="2928"/>
      <c r="BI532" s="2928"/>
      <c r="BJ532" s="2928"/>
      <c r="BK532" s="2928"/>
      <c r="BL532" s="2928"/>
      <c r="BM532" s="2928"/>
      <c r="BN532" s="2928"/>
      <c r="BO532" s="2928"/>
      <c r="BP532" s="2928"/>
      <c r="BQ532" s="2928"/>
      <c r="BR532" s="2928"/>
      <c r="BS532" s="2359"/>
      <c r="BT532" s="2359"/>
      <c r="BU532" s="2359"/>
      <c r="BV532" s="2359"/>
      <c r="BW532" s="2359"/>
      <c r="BX532" s="2359"/>
      <c r="BY532" s="2359"/>
      <c r="BZ532" s="2359"/>
      <c r="CA532" s="2359"/>
      <c r="CB532" s="2670"/>
      <c r="CC532" s="2144"/>
      <c r="CD532" s="2144"/>
      <c r="CE532" s="2144"/>
      <c r="CF532" s="2144"/>
      <c r="CG532" s="2144"/>
      <c r="CH532" s="2144"/>
      <c r="CI532" s="2144"/>
      <c r="CJ532" s="2144"/>
      <c r="CK532" s="2144"/>
      <c r="CL532" s="2144"/>
      <c r="CM532" s="2144"/>
      <c r="CN532" s="2144"/>
      <c r="CO532" s="2144"/>
      <c r="CP532" s="2144"/>
      <c r="CQ532" s="2144"/>
      <c r="CR532" s="2144"/>
      <c r="CS532" s="2144"/>
      <c r="CT532" s="2144"/>
      <c r="CU532" s="2671"/>
      <c r="CV532" s="2300" t="str">
        <f t="shared" si="853"/>
        <v/>
      </c>
      <c r="CW532" s="2300"/>
      <c r="CX532" s="2300"/>
      <c r="CY532" s="2300"/>
      <c r="CZ532" s="2300"/>
      <c r="DA532" s="2300"/>
      <c r="DB532" s="31"/>
      <c r="DC532" s="329" t="str">
        <f t="shared" si="854"/>
        <v/>
      </c>
      <c r="DD532" s="197"/>
      <c r="DE532" s="14"/>
      <c r="DF532" s="14"/>
      <c r="DG532" s="14"/>
      <c r="DH532" s="14"/>
      <c r="DI532" s="1596"/>
      <c r="DJ532" s="1170" t="s">
        <v>2749</v>
      </c>
      <c r="DK532" s="1604" t="str">
        <f t="shared" si="780"/>
        <v/>
      </c>
      <c r="DL532" s="437" t="str">
        <f t="shared" si="781"/>
        <v/>
      </c>
      <c r="DM532" s="1129">
        <f t="shared" si="782"/>
        <v>0</v>
      </c>
      <c r="DN532" s="266">
        <f t="shared" si="783"/>
        <v>0</v>
      </c>
      <c r="DO532" s="266">
        <f t="shared" si="784"/>
        <v>0</v>
      </c>
      <c r="DP532" s="267">
        <f t="shared" si="785"/>
        <v>0</v>
      </c>
      <c r="DQ532" s="32">
        <f t="shared" si="786"/>
        <v>0</v>
      </c>
      <c r="DR532" s="265" t="str">
        <f t="shared" si="787"/>
        <v/>
      </c>
      <c r="DS532" s="125">
        <f t="shared" si="788"/>
        <v>0</v>
      </c>
      <c r="DT532" s="270" t="str">
        <f t="shared" si="789"/>
        <v/>
      </c>
      <c r="DU532" s="136" t="str">
        <f t="shared" si="790"/>
        <v/>
      </c>
      <c r="DV532" s="137" t="str">
        <f>IF($DT532="要是正",MAX($DV$515:DV531)+1,"")</f>
        <v/>
      </c>
      <c r="DW532" s="272" t="str">
        <f t="shared" si="791"/>
        <v/>
      </c>
      <c r="DX532" s="257" t="str">
        <f t="shared" si="835"/>
        <v/>
      </c>
      <c r="DY532" s="258" t="str">
        <f t="shared" si="792"/>
        <v/>
      </c>
      <c r="DZ532" s="318" t="str">
        <f t="shared" si="793"/>
        <v/>
      </c>
      <c r="EA532" s="256" t="str">
        <f t="shared" si="794"/>
        <v/>
      </c>
      <c r="EB532" s="314" t="str">
        <f t="shared" si="795"/>
        <v/>
      </c>
      <c r="EC532" s="250" t="str">
        <f t="shared" si="796"/>
        <v>0</v>
      </c>
      <c r="ED532" s="249" t="str">
        <f t="shared" si="797"/>
        <v/>
      </c>
      <c r="EE532" s="250" t="str">
        <f t="shared" si="855"/>
        <v>0</v>
      </c>
      <c r="EF532" s="251" t="str">
        <f t="shared" si="799"/>
        <v/>
      </c>
      <c r="EG532" s="247" t="str">
        <f t="shared" si="800"/>
        <v/>
      </c>
      <c r="EH532" s="248" t="str">
        <f t="shared" si="801"/>
        <v>0</v>
      </c>
      <c r="EI532" s="249" t="str">
        <f t="shared" si="802"/>
        <v/>
      </c>
      <c r="EJ532" s="250" t="str">
        <f t="shared" si="856"/>
        <v>0</v>
      </c>
      <c r="EK532" s="251" t="str">
        <f t="shared" si="804"/>
        <v/>
      </c>
      <c r="EL532" s="136" t="e">
        <f t="shared" si="857"/>
        <v>#N/A</v>
      </c>
      <c r="EM532" s="137" t="e">
        <f t="shared" si="858"/>
        <v>#N/A</v>
      </c>
      <c r="EN532" s="244" t="e">
        <f t="shared" si="859"/>
        <v>#N/A</v>
      </c>
      <c r="FB532" s="677"/>
      <c r="FC532" s="677"/>
      <c r="FD532" s="677"/>
      <c r="FE532" s="677"/>
      <c r="FF532" s="677"/>
      <c r="FG532" s="677"/>
      <c r="FH532" s="677"/>
      <c r="FI532" s="677"/>
      <c r="FK532" s="326" t="str">
        <f t="shared" si="849"/>
        <v/>
      </c>
      <c r="FL532" s="326" t="str">
        <f t="shared" si="850"/>
        <v/>
      </c>
      <c r="FM532" s="326" t="str">
        <f t="shared" si="851"/>
        <v/>
      </c>
      <c r="FN532" s="326">
        <f t="shared" si="808"/>
        <v>0</v>
      </c>
      <c r="FO532" s="670" t="str">
        <f t="shared" si="852"/>
        <v/>
      </c>
      <c r="FQ532" s="138" t="str">
        <f t="shared" si="809"/>
        <v/>
      </c>
      <c r="FR532" s="131" t="str">
        <f t="shared" si="810"/>
        <v>0</v>
      </c>
      <c r="FS532" s="54" t="str">
        <f t="shared" si="811"/>
        <v/>
      </c>
      <c r="FT532" s="131" t="str">
        <f t="shared" si="860"/>
        <v>0</v>
      </c>
      <c r="FU532" s="217" t="str">
        <f t="shared" si="861"/>
        <v/>
      </c>
      <c r="FW532" s="667">
        <f t="shared" si="776"/>
        <v>0</v>
      </c>
      <c r="FX532" s="32"/>
      <c r="FY532" s="32"/>
      <c r="FZ532" s="668"/>
      <c r="GA532" s="14"/>
      <c r="GB532" s="700" t="b">
        <f t="shared" si="814"/>
        <v>1</v>
      </c>
      <c r="GC532" s="701" t="b">
        <f t="shared" si="815"/>
        <v>0</v>
      </c>
      <c r="GD532" s="701" t="b">
        <f t="shared" si="815"/>
        <v>0</v>
      </c>
      <c r="GE532" s="701" t="b">
        <f t="shared" si="815"/>
        <v>0</v>
      </c>
      <c r="GF532" s="701" t="b">
        <f t="shared" si="815"/>
        <v>0</v>
      </c>
      <c r="GG532" s="701" t="b">
        <f t="shared" si="815"/>
        <v>0</v>
      </c>
      <c r="GH532" s="701" t="b">
        <f t="shared" si="815"/>
        <v>0</v>
      </c>
      <c r="GI532" s="701" t="b">
        <f t="shared" si="838"/>
        <v>0</v>
      </c>
      <c r="GJ532" s="1989" t="b">
        <f t="shared" si="839"/>
        <v>0</v>
      </c>
      <c r="GL532" s="710"/>
      <c r="GM532" s="701">
        <f t="shared" si="840"/>
        <v>0</v>
      </c>
      <c r="GN532" s="701">
        <f t="shared" si="841"/>
        <v>0</v>
      </c>
      <c r="GO532" s="701">
        <f t="shared" si="816"/>
        <v>0</v>
      </c>
      <c r="GP532" s="701">
        <f t="shared" si="817"/>
        <v>0</v>
      </c>
      <c r="GQ532" s="701">
        <f t="shared" si="818"/>
        <v>0</v>
      </c>
      <c r="GR532" s="701">
        <f t="shared" si="819"/>
        <v>0</v>
      </c>
      <c r="GS532" s="701">
        <f t="shared" si="842"/>
        <v>0</v>
      </c>
      <c r="GT532" s="702">
        <f t="shared" si="843"/>
        <v>0</v>
      </c>
      <c r="GU532" s="703"/>
      <c r="GV532" s="700" t="str">
        <f t="shared" si="820"/>
        <v/>
      </c>
      <c r="GW532" s="701" t="str">
        <f t="shared" si="821"/>
        <v/>
      </c>
      <c r="GX532" s="701" t="str">
        <f t="shared" si="822"/>
        <v/>
      </c>
      <c r="GY532" s="701" t="str">
        <f t="shared" si="823"/>
        <v/>
      </c>
      <c r="GZ532" s="701" t="str">
        <f t="shared" si="824"/>
        <v/>
      </c>
      <c r="HA532" s="701" t="str">
        <f t="shared" si="825"/>
        <v/>
      </c>
      <c r="HB532" s="701" t="str">
        <f t="shared" si="844"/>
        <v/>
      </c>
      <c r="HC532" s="701" t="str">
        <f t="shared" si="826"/>
        <v/>
      </c>
      <c r="HD532" s="703"/>
      <c r="HE532" s="73"/>
      <c r="HF532" s="709" t="str">
        <f t="shared" si="827"/>
        <v/>
      </c>
      <c r="HG532" s="32"/>
      <c r="HH532" s="683"/>
      <c r="HI532" s="705" t="str">
        <f t="shared" si="845"/>
        <v/>
      </c>
      <c r="HK532" s="698"/>
      <c r="HL532" s="706" t="str">
        <f t="shared" si="846"/>
        <v/>
      </c>
      <c r="HM532" s="706" t="str">
        <f t="shared" si="828"/>
        <v/>
      </c>
      <c r="HN532" s="706" t="str">
        <f t="shared" si="829"/>
        <v/>
      </c>
      <c r="HO532" s="706" t="str">
        <f t="shared" si="830"/>
        <v/>
      </c>
      <c r="HP532" s="706" t="str">
        <f t="shared" si="831"/>
        <v/>
      </c>
      <c r="HQ532" s="706" t="str">
        <f t="shared" si="832"/>
        <v/>
      </c>
      <c r="HR532" s="1966" t="str">
        <f t="shared" si="847"/>
        <v/>
      </c>
      <c r="HS532" s="705" t="str">
        <f t="shared" si="848"/>
        <v/>
      </c>
      <c r="HT532" s="657" t="e">
        <f>LEFT(M532,1)*10000+MID(M532,3,LEN(M532)-3)*100+COUNTIF($M$319:M532,M532)</f>
        <v>#VALUE!</v>
      </c>
      <c r="HU532" s="658" t="str">
        <f t="shared" si="761"/>
        <v/>
      </c>
      <c r="HV532" s="658" t="str">
        <f t="shared" si="833"/>
        <v/>
      </c>
      <c r="HW532" s="658" t="str">
        <f t="shared" si="762"/>
        <v/>
      </c>
      <c r="HX532" s="658" t="str">
        <f t="shared" si="834"/>
        <v/>
      </c>
    </row>
    <row r="533" spans="1:232" s="19" customFormat="1" ht="60" customHeight="1" thickBot="1" x14ac:dyDescent="0.2">
      <c r="A533" s="1201"/>
      <c r="B533" s="1201"/>
      <c r="C533" s="1201"/>
      <c r="D533" s="1201"/>
      <c r="E533" s="1202"/>
      <c r="F533" s="652"/>
      <c r="G533" s="652"/>
      <c r="H533" s="652"/>
      <c r="I533" s="1351"/>
      <c r="J533" s="1260"/>
      <c r="K533" s="1261"/>
      <c r="L533" s="1261"/>
      <c r="M533" s="2645"/>
      <c r="N533" s="2645"/>
      <c r="O533" s="2646"/>
      <c r="P533" s="2647" t="str">
        <f t="shared" si="777"/>
        <v/>
      </c>
      <c r="Q533" s="2648"/>
      <c r="R533" s="2648"/>
      <c r="S533" s="2648"/>
      <c r="T533" s="2648"/>
      <c r="U533" s="2648"/>
      <c r="V533" s="2648"/>
      <c r="W533" s="2648"/>
      <c r="X533" s="2648"/>
      <c r="Y533" s="2648"/>
      <c r="Z533" s="2648"/>
      <c r="AA533" s="2648"/>
      <c r="AB533" s="2648"/>
      <c r="AC533" s="2648"/>
      <c r="AD533" s="2648"/>
      <c r="AE533" s="2649"/>
      <c r="AF533" s="2488"/>
      <c r="AG533" s="2293"/>
      <c r="AH533" s="2293"/>
      <c r="AI533" s="2293"/>
      <c r="AJ533" s="2293"/>
      <c r="AK533" s="2293"/>
      <c r="AL533" s="2293"/>
      <c r="AM533" s="2293"/>
      <c r="AN533" s="2293"/>
      <c r="AO533" s="2293"/>
      <c r="AP533" s="2293"/>
      <c r="AQ533" s="2293"/>
      <c r="AR533" s="2359"/>
      <c r="AS533" s="2359"/>
      <c r="AT533" s="2928"/>
      <c r="AU533" s="2928"/>
      <c r="AV533" s="2928"/>
      <c r="AW533" s="2928"/>
      <c r="AX533" s="2928"/>
      <c r="AY533" s="2928"/>
      <c r="AZ533" s="2928"/>
      <c r="BA533" s="2928"/>
      <c r="BB533" s="2928"/>
      <c r="BC533" s="2928"/>
      <c r="BD533" s="2928"/>
      <c r="BE533" s="2928"/>
      <c r="BF533" s="2928"/>
      <c r="BG533" s="2928"/>
      <c r="BH533" s="2928"/>
      <c r="BI533" s="2928"/>
      <c r="BJ533" s="2928"/>
      <c r="BK533" s="2928"/>
      <c r="BL533" s="2928"/>
      <c r="BM533" s="2928"/>
      <c r="BN533" s="2928"/>
      <c r="BO533" s="2928"/>
      <c r="BP533" s="2928"/>
      <c r="BQ533" s="2928"/>
      <c r="BR533" s="2928"/>
      <c r="BS533" s="2359"/>
      <c r="BT533" s="2359"/>
      <c r="BU533" s="2359"/>
      <c r="BV533" s="2359"/>
      <c r="BW533" s="2359"/>
      <c r="BX533" s="2359"/>
      <c r="BY533" s="2359"/>
      <c r="BZ533" s="2359"/>
      <c r="CA533" s="2359"/>
      <c r="CB533" s="2670"/>
      <c r="CC533" s="2144"/>
      <c r="CD533" s="2144"/>
      <c r="CE533" s="2144"/>
      <c r="CF533" s="2144"/>
      <c r="CG533" s="2144"/>
      <c r="CH533" s="2144"/>
      <c r="CI533" s="2144"/>
      <c r="CJ533" s="2144"/>
      <c r="CK533" s="2144"/>
      <c r="CL533" s="2144"/>
      <c r="CM533" s="2144"/>
      <c r="CN533" s="2144"/>
      <c r="CO533" s="2144"/>
      <c r="CP533" s="2144"/>
      <c r="CQ533" s="2144"/>
      <c r="CR533" s="2144"/>
      <c r="CS533" s="2144"/>
      <c r="CT533" s="2144"/>
      <c r="CU533" s="2671"/>
      <c r="CV533" s="2300" t="str">
        <f t="shared" si="853"/>
        <v/>
      </c>
      <c r="CW533" s="2300"/>
      <c r="CX533" s="2300"/>
      <c r="CY533" s="2300"/>
      <c r="CZ533" s="2300"/>
      <c r="DA533" s="2300"/>
      <c r="DB533" s="31"/>
      <c r="DC533" s="329" t="str">
        <f t="shared" si="854"/>
        <v/>
      </c>
      <c r="DD533" s="197"/>
      <c r="DE533" s="14"/>
      <c r="DF533" s="14"/>
      <c r="DG533" s="14"/>
      <c r="DH533" s="14"/>
      <c r="DI533" s="1596"/>
      <c r="DJ533" s="1170" t="s">
        <v>2749</v>
      </c>
      <c r="DK533" s="1604" t="str">
        <f t="shared" si="780"/>
        <v/>
      </c>
      <c r="DL533" s="437" t="str">
        <f t="shared" si="781"/>
        <v/>
      </c>
      <c r="DM533" s="1129">
        <f t="shared" si="782"/>
        <v>0</v>
      </c>
      <c r="DN533" s="266">
        <f t="shared" si="783"/>
        <v>0</v>
      </c>
      <c r="DO533" s="266">
        <f t="shared" si="784"/>
        <v>0</v>
      </c>
      <c r="DP533" s="267">
        <f t="shared" si="785"/>
        <v>0</v>
      </c>
      <c r="DQ533" s="32">
        <f t="shared" si="786"/>
        <v>0</v>
      </c>
      <c r="DR533" s="265" t="str">
        <f t="shared" si="787"/>
        <v/>
      </c>
      <c r="DS533" s="125">
        <f t="shared" si="788"/>
        <v>0</v>
      </c>
      <c r="DT533" s="270" t="str">
        <f t="shared" si="789"/>
        <v/>
      </c>
      <c r="DU533" s="136" t="str">
        <f t="shared" si="790"/>
        <v/>
      </c>
      <c r="DV533" s="137" t="str">
        <f>IF($DT533="要是正",MAX($DV$515:DV532)+1,"")</f>
        <v/>
      </c>
      <c r="DW533" s="272" t="str">
        <f t="shared" si="791"/>
        <v/>
      </c>
      <c r="DX533" s="257" t="str">
        <f t="shared" si="835"/>
        <v/>
      </c>
      <c r="DY533" s="258" t="str">
        <f t="shared" si="792"/>
        <v/>
      </c>
      <c r="DZ533" s="318" t="str">
        <f t="shared" si="793"/>
        <v/>
      </c>
      <c r="EA533" s="256" t="str">
        <f t="shared" si="794"/>
        <v/>
      </c>
      <c r="EB533" s="314" t="str">
        <f t="shared" si="795"/>
        <v/>
      </c>
      <c r="EC533" s="250" t="str">
        <f t="shared" si="796"/>
        <v>0</v>
      </c>
      <c r="ED533" s="249" t="str">
        <f t="shared" si="797"/>
        <v/>
      </c>
      <c r="EE533" s="250" t="str">
        <f t="shared" si="855"/>
        <v>0</v>
      </c>
      <c r="EF533" s="251" t="str">
        <f t="shared" si="799"/>
        <v/>
      </c>
      <c r="EG533" s="247" t="str">
        <f t="shared" si="800"/>
        <v/>
      </c>
      <c r="EH533" s="248" t="str">
        <f t="shared" si="801"/>
        <v>0</v>
      </c>
      <c r="EI533" s="249" t="str">
        <f t="shared" si="802"/>
        <v/>
      </c>
      <c r="EJ533" s="250" t="str">
        <f t="shared" si="856"/>
        <v>0</v>
      </c>
      <c r="EK533" s="251" t="str">
        <f t="shared" si="804"/>
        <v/>
      </c>
      <c r="EL533" s="136" t="e">
        <f t="shared" si="857"/>
        <v>#N/A</v>
      </c>
      <c r="EM533" s="137" t="e">
        <f t="shared" si="858"/>
        <v>#N/A</v>
      </c>
      <c r="EN533" s="244" t="e">
        <f t="shared" si="859"/>
        <v>#N/A</v>
      </c>
      <c r="FB533" s="677"/>
      <c r="FC533" s="677"/>
      <c r="FD533" s="677"/>
      <c r="FE533" s="677"/>
      <c r="FF533" s="677"/>
      <c r="FG533" s="677"/>
      <c r="FH533" s="677"/>
      <c r="FI533" s="677"/>
      <c r="FK533" s="326" t="str">
        <f t="shared" si="849"/>
        <v/>
      </c>
      <c r="FL533" s="326" t="str">
        <f t="shared" si="850"/>
        <v/>
      </c>
      <c r="FM533" s="326" t="str">
        <f t="shared" si="851"/>
        <v/>
      </c>
      <c r="FN533" s="326">
        <f t="shared" si="808"/>
        <v>0</v>
      </c>
      <c r="FO533" s="670" t="str">
        <f t="shared" si="852"/>
        <v/>
      </c>
      <c r="FQ533" s="138" t="str">
        <f t="shared" si="809"/>
        <v/>
      </c>
      <c r="FR533" s="131" t="str">
        <f t="shared" si="810"/>
        <v>0</v>
      </c>
      <c r="FS533" s="54" t="str">
        <f t="shared" si="811"/>
        <v/>
      </c>
      <c r="FT533" s="131" t="str">
        <f t="shared" si="860"/>
        <v>0</v>
      </c>
      <c r="FU533" s="217" t="str">
        <f t="shared" si="861"/>
        <v/>
      </c>
      <c r="FW533" s="667">
        <f t="shared" si="776"/>
        <v>0</v>
      </c>
      <c r="FX533" s="32"/>
      <c r="FY533" s="32"/>
      <c r="FZ533" s="668"/>
      <c r="GA533" s="14"/>
      <c r="GB533" s="700" t="b">
        <f t="shared" si="814"/>
        <v>1</v>
      </c>
      <c r="GC533" s="701" t="b">
        <f t="shared" si="815"/>
        <v>0</v>
      </c>
      <c r="GD533" s="701" t="b">
        <f t="shared" si="815"/>
        <v>0</v>
      </c>
      <c r="GE533" s="701" t="b">
        <f t="shared" si="815"/>
        <v>0</v>
      </c>
      <c r="GF533" s="701" t="b">
        <f t="shared" si="815"/>
        <v>0</v>
      </c>
      <c r="GG533" s="701" t="b">
        <f t="shared" si="815"/>
        <v>0</v>
      </c>
      <c r="GH533" s="701" t="b">
        <f t="shared" si="815"/>
        <v>0</v>
      </c>
      <c r="GI533" s="701" t="b">
        <f t="shared" si="838"/>
        <v>0</v>
      </c>
      <c r="GJ533" s="1989" t="b">
        <f t="shared" si="839"/>
        <v>0</v>
      </c>
      <c r="GL533" s="710"/>
      <c r="GM533" s="701">
        <f t="shared" si="840"/>
        <v>0</v>
      </c>
      <c r="GN533" s="701">
        <f t="shared" si="841"/>
        <v>0</v>
      </c>
      <c r="GO533" s="701">
        <f t="shared" si="816"/>
        <v>0</v>
      </c>
      <c r="GP533" s="701">
        <f t="shared" si="817"/>
        <v>0</v>
      </c>
      <c r="GQ533" s="701">
        <f t="shared" si="818"/>
        <v>0</v>
      </c>
      <c r="GR533" s="701">
        <f t="shared" si="819"/>
        <v>0</v>
      </c>
      <c r="GS533" s="701">
        <f t="shared" si="842"/>
        <v>0</v>
      </c>
      <c r="GT533" s="702">
        <f t="shared" si="843"/>
        <v>0</v>
      </c>
      <c r="GU533" s="703"/>
      <c r="GV533" s="700" t="str">
        <f t="shared" si="820"/>
        <v/>
      </c>
      <c r="GW533" s="701" t="str">
        <f t="shared" si="821"/>
        <v/>
      </c>
      <c r="GX533" s="701" t="str">
        <f t="shared" si="822"/>
        <v/>
      </c>
      <c r="GY533" s="701" t="str">
        <f t="shared" si="823"/>
        <v/>
      </c>
      <c r="GZ533" s="701" t="str">
        <f t="shared" si="824"/>
        <v/>
      </c>
      <c r="HA533" s="701" t="str">
        <f t="shared" si="825"/>
        <v/>
      </c>
      <c r="HB533" s="701" t="str">
        <f t="shared" si="844"/>
        <v/>
      </c>
      <c r="HC533" s="701" t="str">
        <f t="shared" si="826"/>
        <v/>
      </c>
      <c r="HD533" s="703"/>
      <c r="HE533" s="73"/>
      <c r="HF533" s="709" t="str">
        <f t="shared" si="827"/>
        <v/>
      </c>
      <c r="HG533" s="32"/>
      <c r="HH533" s="683"/>
      <c r="HI533" s="705" t="str">
        <f t="shared" si="845"/>
        <v/>
      </c>
      <c r="HK533" s="698"/>
      <c r="HL533" s="706" t="str">
        <f t="shared" si="846"/>
        <v/>
      </c>
      <c r="HM533" s="706" t="str">
        <f t="shared" si="828"/>
        <v/>
      </c>
      <c r="HN533" s="706" t="str">
        <f t="shared" si="829"/>
        <v/>
      </c>
      <c r="HO533" s="706" t="str">
        <f t="shared" si="830"/>
        <v/>
      </c>
      <c r="HP533" s="706" t="str">
        <f t="shared" si="831"/>
        <v/>
      </c>
      <c r="HQ533" s="706" t="str">
        <f t="shared" si="832"/>
        <v/>
      </c>
      <c r="HR533" s="1966" t="str">
        <f t="shared" si="847"/>
        <v/>
      </c>
      <c r="HS533" s="705" t="str">
        <f t="shared" si="848"/>
        <v/>
      </c>
      <c r="HT533" s="657" t="e">
        <f>LEFT(M533,1)*10000+MID(M533,3,LEN(M533)-3)*100+COUNTIF($M$319:M533,M533)</f>
        <v>#VALUE!</v>
      </c>
      <c r="HU533" s="658" t="str">
        <f t="shared" si="761"/>
        <v/>
      </c>
      <c r="HV533" s="658" t="str">
        <f t="shared" si="833"/>
        <v/>
      </c>
      <c r="HW533" s="658" t="str">
        <f t="shared" si="762"/>
        <v/>
      </c>
      <c r="HX533" s="658" t="str">
        <f t="shared" si="834"/>
        <v/>
      </c>
    </row>
    <row r="534" spans="1:232" s="19" customFormat="1" ht="60" customHeight="1" thickBot="1" x14ac:dyDescent="0.2">
      <c r="A534" s="1201"/>
      <c r="B534" s="1201"/>
      <c r="C534" s="1201"/>
      <c r="D534" s="1201"/>
      <c r="E534" s="1202"/>
      <c r="F534" s="652"/>
      <c r="G534" s="652"/>
      <c r="H534" s="652"/>
      <c r="I534" s="1351"/>
      <c r="J534" s="1247"/>
      <c r="K534" s="624"/>
      <c r="L534" s="624"/>
      <c r="M534" s="2662"/>
      <c r="N534" s="2662"/>
      <c r="O534" s="2663"/>
      <c r="P534" s="2664" t="str">
        <f t="shared" si="777"/>
        <v/>
      </c>
      <c r="Q534" s="2665"/>
      <c r="R534" s="2665"/>
      <c r="S534" s="2665"/>
      <c r="T534" s="2665"/>
      <c r="U534" s="2665"/>
      <c r="V534" s="2665"/>
      <c r="W534" s="2665"/>
      <c r="X534" s="2665"/>
      <c r="Y534" s="2665"/>
      <c r="Z534" s="2665"/>
      <c r="AA534" s="2665"/>
      <c r="AB534" s="2665"/>
      <c r="AC534" s="2665"/>
      <c r="AD534" s="2665"/>
      <c r="AE534" s="2666"/>
      <c r="AF534" s="2657"/>
      <c r="AG534" s="2658"/>
      <c r="AH534" s="2658"/>
      <c r="AI534" s="2658"/>
      <c r="AJ534" s="2658"/>
      <c r="AK534" s="2658"/>
      <c r="AL534" s="2658"/>
      <c r="AM534" s="2658"/>
      <c r="AN534" s="2658"/>
      <c r="AO534" s="2658"/>
      <c r="AP534" s="2658"/>
      <c r="AQ534" s="2658"/>
      <c r="AR534" s="2929"/>
      <c r="AS534" s="2929"/>
      <c r="AT534" s="2930"/>
      <c r="AU534" s="2930"/>
      <c r="AV534" s="2930"/>
      <c r="AW534" s="2930"/>
      <c r="AX534" s="2930"/>
      <c r="AY534" s="2930"/>
      <c r="AZ534" s="2930"/>
      <c r="BA534" s="2930"/>
      <c r="BB534" s="2930"/>
      <c r="BC534" s="2930"/>
      <c r="BD534" s="2930"/>
      <c r="BE534" s="2930"/>
      <c r="BF534" s="2930"/>
      <c r="BG534" s="2930"/>
      <c r="BH534" s="2930"/>
      <c r="BI534" s="2930"/>
      <c r="BJ534" s="2930"/>
      <c r="BK534" s="2930"/>
      <c r="BL534" s="2930"/>
      <c r="BM534" s="2930"/>
      <c r="BN534" s="2930"/>
      <c r="BO534" s="2930"/>
      <c r="BP534" s="2930"/>
      <c r="BQ534" s="2930"/>
      <c r="BR534" s="2930"/>
      <c r="BS534" s="2929"/>
      <c r="BT534" s="2929"/>
      <c r="BU534" s="2929"/>
      <c r="BV534" s="2929"/>
      <c r="BW534" s="2929"/>
      <c r="BX534" s="2929"/>
      <c r="BY534" s="2929"/>
      <c r="BZ534" s="2929"/>
      <c r="CA534" s="2929"/>
      <c r="CB534" s="2931"/>
      <c r="CC534" s="2145"/>
      <c r="CD534" s="2145"/>
      <c r="CE534" s="2145"/>
      <c r="CF534" s="2145"/>
      <c r="CG534" s="2145"/>
      <c r="CH534" s="2145"/>
      <c r="CI534" s="2145"/>
      <c r="CJ534" s="2145"/>
      <c r="CK534" s="2145"/>
      <c r="CL534" s="2145"/>
      <c r="CM534" s="2145"/>
      <c r="CN534" s="2145"/>
      <c r="CO534" s="2145"/>
      <c r="CP534" s="2145"/>
      <c r="CQ534" s="2145"/>
      <c r="CR534" s="2145"/>
      <c r="CS534" s="2145"/>
      <c r="CT534" s="2145"/>
      <c r="CU534" s="2932"/>
      <c r="CV534" s="2300" t="str">
        <f t="shared" si="853"/>
        <v/>
      </c>
      <c r="CW534" s="2300"/>
      <c r="CX534" s="2300"/>
      <c r="CY534" s="2300"/>
      <c r="CZ534" s="2300"/>
      <c r="DA534" s="2300"/>
      <c r="DB534" s="31"/>
      <c r="DC534" s="329" t="str">
        <f t="shared" si="854"/>
        <v/>
      </c>
      <c r="DD534" s="197"/>
      <c r="DE534" s="14"/>
      <c r="DF534" s="14"/>
      <c r="DG534" s="14"/>
      <c r="DH534" s="14"/>
      <c r="DI534" s="1596"/>
      <c r="DJ534" s="1174" t="s">
        <v>2749</v>
      </c>
      <c r="DK534" s="1609" t="str">
        <f t="shared" si="780"/>
        <v/>
      </c>
      <c r="DL534" s="435" t="str">
        <f t="shared" si="781"/>
        <v/>
      </c>
      <c r="DM534" s="1129">
        <f t="shared" si="782"/>
        <v>0</v>
      </c>
      <c r="DN534" s="266">
        <f t="shared" si="783"/>
        <v>0</v>
      </c>
      <c r="DO534" s="266">
        <f t="shared" si="784"/>
        <v>0</v>
      </c>
      <c r="DP534" s="267">
        <f t="shared" si="785"/>
        <v>0</v>
      </c>
      <c r="DQ534" s="32">
        <f t="shared" si="786"/>
        <v>0</v>
      </c>
      <c r="DR534" s="265" t="str">
        <f t="shared" si="787"/>
        <v/>
      </c>
      <c r="DS534" s="125">
        <f t="shared" si="788"/>
        <v>0</v>
      </c>
      <c r="DT534" s="270" t="str">
        <f t="shared" si="789"/>
        <v/>
      </c>
      <c r="DU534" s="136" t="str">
        <f t="shared" si="790"/>
        <v/>
      </c>
      <c r="DV534" s="137" t="str">
        <f>IF($DT534="要是正",MAX($DV$515:DV533)+1,"")</f>
        <v/>
      </c>
      <c r="DW534" s="272" t="str">
        <f t="shared" si="791"/>
        <v/>
      </c>
      <c r="DX534" s="257" t="str">
        <f t="shared" si="835"/>
        <v/>
      </c>
      <c r="DY534" s="258" t="str">
        <f t="shared" si="792"/>
        <v/>
      </c>
      <c r="DZ534" s="318" t="str">
        <f t="shared" si="793"/>
        <v/>
      </c>
      <c r="EA534" s="256" t="str">
        <f t="shared" si="794"/>
        <v/>
      </c>
      <c r="EB534" s="314" t="str">
        <f t="shared" si="795"/>
        <v/>
      </c>
      <c r="EC534" s="250" t="str">
        <f t="shared" si="796"/>
        <v>0</v>
      </c>
      <c r="ED534" s="249" t="str">
        <f t="shared" si="797"/>
        <v/>
      </c>
      <c r="EE534" s="250" t="str">
        <f t="shared" si="855"/>
        <v>0</v>
      </c>
      <c r="EF534" s="251" t="str">
        <f t="shared" si="799"/>
        <v/>
      </c>
      <c r="EG534" s="247" t="str">
        <f t="shared" si="800"/>
        <v/>
      </c>
      <c r="EH534" s="248" t="str">
        <f t="shared" si="801"/>
        <v>0</v>
      </c>
      <c r="EI534" s="249" t="str">
        <f t="shared" si="802"/>
        <v/>
      </c>
      <c r="EJ534" s="250" t="str">
        <f t="shared" si="856"/>
        <v>0</v>
      </c>
      <c r="EK534" s="251" t="str">
        <f t="shared" si="804"/>
        <v/>
      </c>
      <c r="EL534" s="136" t="e">
        <f t="shared" si="857"/>
        <v>#N/A</v>
      </c>
      <c r="EM534" s="137" t="e">
        <f t="shared" si="858"/>
        <v>#N/A</v>
      </c>
      <c r="EN534" s="244" t="e">
        <f t="shared" si="859"/>
        <v>#N/A</v>
      </c>
      <c r="FB534" s="677"/>
      <c r="FC534" s="677"/>
      <c r="FD534" s="677"/>
      <c r="FE534" s="677"/>
      <c r="FF534" s="677"/>
      <c r="FG534" s="677"/>
      <c r="FH534" s="677"/>
      <c r="FI534" s="677"/>
      <c r="FK534" s="326" t="str">
        <f t="shared" si="849"/>
        <v/>
      </c>
      <c r="FL534" s="326" t="str">
        <f t="shared" si="850"/>
        <v/>
      </c>
      <c r="FM534" s="326" t="str">
        <f t="shared" si="851"/>
        <v/>
      </c>
      <c r="FN534" s="326">
        <f t="shared" si="808"/>
        <v>0</v>
      </c>
      <c r="FO534" s="670" t="str">
        <f t="shared" si="852"/>
        <v/>
      </c>
      <c r="FQ534" s="138" t="str">
        <f t="shared" si="809"/>
        <v/>
      </c>
      <c r="FR534" s="131" t="str">
        <f t="shared" si="810"/>
        <v>0</v>
      </c>
      <c r="FS534" s="54" t="str">
        <f t="shared" si="811"/>
        <v/>
      </c>
      <c r="FT534" s="131" t="str">
        <f t="shared" si="860"/>
        <v>0</v>
      </c>
      <c r="FU534" s="217" t="str">
        <f t="shared" si="861"/>
        <v/>
      </c>
      <c r="FW534" s="667">
        <f t="shared" si="776"/>
        <v>0</v>
      </c>
      <c r="FX534" s="32"/>
      <c r="FY534" s="32"/>
      <c r="FZ534" s="668"/>
      <c r="GA534" s="14"/>
      <c r="GB534" s="711" t="b">
        <f t="shared" si="814"/>
        <v>1</v>
      </c>
      <c r="GC534" s="712" t="b">
        <f t="shared" si="815"/>
        <v>0</v>
      </c>
      <c r="GD534" s="712" t="b">
        <f t="shared" si="815"/>
        <v>0</v>
      </c>
      <c r="GE534" s="712" t="b">
        <f t="shared" si="815"/>
        <v>0</v>
      </c>
      <c r="GF534" s="712" t="b">
        <f t="shared" si="815"/>
        <v>0</v>
      </c>
      <c r="GG534" s="712" t="b">
        <f t="shared" si="815"/>
        <v>0</v>
      </c>
      <c r="GH534" s="712" t="b">
        <f t="shared" si="815"/>
        <v>0</v>
      </c>
      <c r="GI534" s="712" t="b">
        <f t="shared" si="838"/>
        <v>0</v>
      </c>
      <c r="GJ534" s="1990" t="b">
        <f t="shared" si="839"/>
        <v>0</v>
      </c>
      <c r="GL534" s="710"/>
      <c r="GM534" s="713">
        <f t="shared" si="840"/>
        <v>0</v>
      </c>
      <c r="GN534" s="713">
        <f t="shared" si="841"/>
        <v>0</v>
      </c>
      <c r="GO534" s="713">
        <f t="shared" si="816"/>
        <v>0</v>
      </c>
      <c r="GP534" s="713">
        <f t="shared" si="817"/>
        <v>0</v>
      </c>
      <c r="GQ534" s="713">
        <f t="shared" si="818"/>
        <v>0</v>
      </c>
      <c r="GR534" s="713">
        <f t="shared" si="819"/>
        <v>0</v>
      </c>
      <c r="GS534" s="713">
        <f t="shared" si="842"/>
        <v>0</v>
      </c>
      <c r="GT534" s="714">
        <f t="shared" si="843"/>
        <v>0</v>
      </c>
      <c r="GU534" s="715"/>
      <c r="GV534" s="716" t="str">
        <f t="shared" si="820"/>
        <v/>
      </c>
      <c r="GW534" s="713" t="str">
        <f t="shared" si="821"/>
        <v/>
      </c>
      <c r="GX534" s="713" t="str">
        <f t="shared" si="822"/>
        <v/>
      </c>
      <c r="GY534" s="713" t="str">
        <f t="shared" si="823"/>
        <v/>
      </c>
      <c r="GZ534" s="713" t="str">
        <f t="shared" si="824"/>
        <v/>
      </c>
      <c r="HA534" s="713" t="str">
        <f t="shared" si="825"/>
        <v/>
      </c>
      <c r="HB534" s="713" t="str">
        <f t="shared" si="844"/>
        <v/>
      </c>
      <c r="HC534" s="713" t="str">
        <f t="shared" si="826"/>
        <v/>
      </c>
      <c r="HD534" s="715"/>
      <c r="HE534" s="73"/>
      <c r="HF534" s="709" t="str">
        <f t="shared" si="827"/>
        <v/>
      </c>
      <c r="HG534" s="32"/>
      <c r="HH534" s="683"/>
      <c r="HI534" s="717" t="str">
        <f t="shared" si="845"/>
        <v/>
      </c>
      <c r="HK534" s="698"/>
      <c r="HL534" s="718" t="str">
        <f t="shared" si="846"/>
        <v/>
      </c>
      <c r="HM534" s="718" t="str">
        <f t="shared" si="828"/>
        <v/>
      </c>
      <c r="HN534" s="718" t="str">
        <f t="shared" si="829"/>
        <v/>
      </c>
      <c r="HO534" s="718" t="str">
        <f t="shared" si="830"/>
        <v/>
      </c>
      <c r="HP534" s="718" t="str">
        <f t="shared" si="831"/>
        <v/>
      </c>
      <c r="HQ534" s="718" t="str">
        <f t="shared" si="832"/>
        <v/>
      </c>
      <c r="HR534" s="2041" t="str">
        <f t="shared" si="847"/>
        <v/>
      </c>
      <c r="HS534" s="717" t="str">
        <f t="shared" si="848"/>
        <v/>
      </c>
      <c r="HT534" s="657" t="e">
        <f>LEFT(M534,1)*10000+MID(M534,3,LEN(M534)-3)*100+COUNTIF($M$319:M534,M534)</f>
        <v>#VALUE!</v>
      </c>
      <c r="HU534" s="658" t="str">
        <f t="shared" si="761"/>
        <v/>
      </c>
      <c r="HV534" s="658" t="str">
        <f t="shared" si="833"/>
        <v/>
      </c>
      <c r="HW534" s="658" t="str">
        <f t="shared" si="762"/>
        <v/>
      </c>
      <c r="HX534" s="658" t="str">
        <f t="shared" si="834"/>
        <v/>
      </c>
    </row>
    <row r="535" spans="1:232" s="19" customFormat="1" ht="24.95" customHeight="1" thickBot="1" x14ac:dyDescent="0.2">
      <c r="A535" s="1358" t="s">
        <v>2033</v>
      </c>
      <c r="B535" s="1358"/>
      <c r="C535" s="1358"/>
      <c r="D535" s="1358"/>
      <c r="E535" s="1358"/>
      <c r="F535" s="652"/>
      <c r="G535" s="652"/>
      <c r="H535" s="652"/>
      <c r="I535" s="1359"/>
      <c r="J535" s="1359"/>
      <c r="K535" s="2644"/>
      <c r="L535" s="2644"/>
      <c r="M535" s="2644"/>
      <c r="N535" s="2644"/>
      <c r="O535" s="2644"/>
      <c r="P535" s="2644"/>
      <c r="Q535" s="2644"/>
      <c r="R535" s="2644"/>
      <c r="S535" s="1359"/>
      <c r="T535" s="1359"/>
      <c r="U535" s="1351"/>
      <c r="V535" s="1360"/>
      <c r="W535" s="1361"/>
      <c r="X535" s="1361"/>
      <c r="Y535" s="1361"/>
      <c r="Z535" s="422"/>
      <c r="AA535" s="1208"/>
      <c r="AB535" s="422"/>
      <c r="AC535" s="422"/>
      <c r="AD535" s="422"/>
      <c r="AE535" s="422"/>
      <c r="AF535" s="422"/>
      <c r="AG535" s="422"/>
      <c r="AH535" s="420"/>
      <c r="AI535" s="420"/>
      <c r="AJ535" s="420"/>
      <c r="AK535" s="420"/>
      <c r="AL535" s="420"/>
      <c r="AM535" s="420"/>
      <c r="AN535" s="420"/>
      <c r="AO535" s="420"/>
      <c r="AP535" s="422"/>
      <c r="AQ535" s="422"/>
      <c r="AR535" s="422"/>
      <c r="AS535" s="422"/>
      <c r="AT535" s="422"/>
      <c r="AU535" s="422"/>
      <c r="AV535" s="422"/>
      <c r="AW535" s="422"/>
      <c r="AX535" s="422"/>
      <c r="AY535" s="422"/>
      <c r="AZ535" s="422"/>
      <c r="BA535" s="422"/>
      <c r="BB535" s="422"/>
      <c r="BC535" s="422"/>
      <c r="BD535" s="422"/>
      <c r="BE535" s="422"/>
      <c r="BF535" s="422"/>
      <c r="BG535" s="422"/>
      <c r="BH535" s="422"/>
      <c r="BI535" s="422"/>
      <c r="BJ535" s="422"/>
      <c r="BK535" s="422"/>
      <c r="BL535" s="422"/>
      <c r="BM535" s="422"/>
      <c r="BN535" s="422"/>
      <c r="BO535" s="422"/>
      <c r="BP535" s="422"/>
      <c r="BQ535" s="422"/>
      <c r="BR535" s="422"/>
      <c r="BS535" s="422"/>
      <c r="BT535" s="422"/>
      <c r="BU535" s="422"/>
      <c r="BV535" s="420"/>
      <c r="BW535" s="420"/>
      <c r="BX535" s="420"/>
      <c r="BY535" s="420"/>
      <c r="BZ535" s="420"/>
      <c r="CA535" s="420"/>
      <c r="CB535" s="420"/>
      <c r="CC535" s="420"/>
      <c r="CD535" s="420"/>
      <c r="CE535" s="420"/>
      <c r="CF535" s="420"/>
      <c r="CG535" s="420"/>
      <c r="CH535" s="421"/>
      <c r="CI535" s="421"/>
      <c r="CJ535" s="421"/>
      <c r="CK535" s="421"/>
      <c r="CL535" s="421"/>
      <c r="CM535" s="421"/>
      <c r="CN535" s="421"/>
      <c r="CO535" s="421"/>
      <c r="CP535" s="421"/>
      <c r="CQ535" s="421"/>
      <c r="CR535" s="421"/>
      <c r="CS535" s="421"/>
      <c r="CT535" s="421"/>
      <c r="CU535" s="421"/>
      <c r="CV535" s="421"/>
      <c r="CW535" s="421"/>
      <c r="CX535" s="20"/>
      <c r="CY535" s="20"/>
      <c r="CZ535" s="20"/>
      <c r="DA535" s="20"/>
      <c r="DB535" s="20"/>
      <c r="DC535" s="15"/>
      <c r="DD535" s="197"/>
      <c r="DE535" s="20"/>
      <c r="DF535" s="20"/>
      <c r="DG535" s="20"/>
      <c r="DH535" s="20"/>
      <c r="DI535" s="1597"/>
      <c r="DJ535" s="1156"/>
      <c r="DK535" s="1155"/>
      <c r="DL535" s="14"/>
      <c r="DM535" s="99">
        <f>SUM(DM520:DM534)</f>
        <v>0</v>
      </c>
      <c r="DN535" s="99">
        <f>SUM(DN520:DN534)</f>
        <v>0</v>
      </c>
      <c r="DO535" s="99">
        <f>SUM(DO520:DO534)</f>
        <v>0</v>
      </c>
      <c r="DP535" s="99">
        <f>SUM(DP520:DP534)</f>
        <v>0</v>
      </c>
      <c r="DQ535" s="14"/>
      <c r="EB535" s="73"/>
      <c r="EC535" s="307"/>
      <c r="ED535" s="308">
        <f>COUNTIF(ED520:ED534,"1")</f>
        <v>0</v>
      </c>
      <c r="EE535" s="191" t="str">
        <f t="array" ref="EE535">INDEX(EE520:EE534,MATCH(MIN(ABS(EE520:EE534-$DP$4)),ABS(EE520:EE534-$DP$4),0))</f>
        <v>0</v>
      </c>
      <c r="EF535" s="308">
        <f>COUNTIF(EF520:EF534,"未定")</f>
        <v>0</v>
      </c>
      <c r="EG535" s="309"/>
      <c r="EH535" s="307"/>
      <c r="EI535" s="308">
        <f>COUNTIF(EI520:EI534,"1")</f>
        <v>0</v>
      </c>
      <c r="EJ535" s="191" t="str">
        <f t="array" ref="EJ535">INDEX(EJ520:EJ534,MATCH(MIN(ABS(EJ520:EJ534-$DP$4)),ABS(EJ520:EJ534-$DP$4),0))</f>
        <v>0</v>
      </c>
      <c r="EK535" s="308">
        <f>COUNTIF(EK520:EK534,"未定")</f>
        <v>0</v>
      </c>
      <c r="FO535" s="719"/>
      <c r="FQ535" s="720"/>
      <c r="FR535" s="133"/>
      <c r="FS535" s="111">
        <f>COUNTIF(FS520:FS534,"1")</f>
        <v>0</v>
      </c>
      <c r="FT535" s="110" t="str">
        <f t="array" ref="FT535">INDEX(FT520:FT534,MATCH(MIN(ABS(FT520:FT534-$DP$4)),ABS(FT520:FT534-$DP$4),0))</f>
        <v>0</v>
      </c>
      <c r="FU535" s="218">
        <f>COUNTIF(FU520:FU534,"未定")</f>
        <v>0</v>
      </c>
      <c r="FW535" s="721">
        <f t="shared" si="776"/>
        <v>0</v>
      </c>
      <c r="FX535" s="672"/>
      <c r="FY535" s="672"/>
      <c r="FZ535" s="722"/>
      <c r="GA535" s="14"/>
      <c r="GL535" s="723"/>
      <c r="GM535" s="1982" t="s">
        <v>1828</v>
      </c>
      <c r="GN535" s="1982"/>
      <c r="GO535" s="1982"/>
      <c r="GP535" s="1982"/>
      <c r="GQ535" s="1982"/>
      <c r="GR535" s="1983"/>
      <c r="GS535" s="1983"/>
      <c r="GT535" s="1983"/>
      <c r="GU535" s="1984"/>
      <c r="GV535" s="1982" t="s">
        <v>3429</v>
      </c>
      <c r="GW535" s="1982"/>
      <c r="GX535" s="1982"/>
      <c r="GY535" s="1982"/>
      <c r="GZ535" s="1982"/>
      <c r="HA535" s="1982"/>
      <c r="HB535" s="1982"/>
      <c r="HC535" s="1982"/>
      <c r="HD535" s="679"/>
      <c r="HF535" s="724"/>
      <c r="HG535" s="725"/>
      <c r="HH535" s="726"/>
      <c r="HI535" s="727" t="str">
        <f>CONCATENATE(HI520,HI521,HI522,HI523,HI524,HI525,HI526,HI527,HI528,HI529,HI530,HI531,HI532,HI533,HI534)</f>
        <v/>
      </c>
      <c r="HJ535" s="73"/>
      <c r="HK535" s="728" t="s">
        <v>2169</v>
      </c>
      <c r="HL535" s="729" t="str">
        <f>CONCATENATE(HL520,HL521,HL522,HL523,HL524,HL525,HL526,HL527,HL528,HL529,HL530,HL531,HL532,HL533,HL534)</f>
        <v/>
      </c>
      <c r="HM535" s="729" t="str">
        <f t="shared" ref="HM535" si="862">CONCATENATE(HM520,HM521,HM522,HM523,HM524,HM525,HM526,HM527,HM528,HM529,HM530,HM531,HM532,HM533,HM534)</f>
        <v/>
      </c>
      <c r="HN535" s="729" t="str">
        <f t="shared" ref="HN535" si="863">CONCATENATE(HN520,HN521,HN522,HN523,HN524,HN525,HN526,HN527,HN528,HN529,HN530,HN531,HN532,HN533,HN534)</f>
        <v/>
      </c>
      <c r="HO535" s="730" t="str">
        <f>CONCATENATE(HO520,HO521,HO522,HO523,HO524,HO525,HO526,HO527,HO528,HO529,HO530,HO531,HO532,HO533,HO534)</f>
        <v/>
      </c>
      <c r="HP535" s="729" t="str">
        <f t="shared" ref="HP535" si="864">CONCATENATE(HP520,HP521,HP522,HP523,HP524,HP525,HP526,HP527,HP528,HP529,HP530,HP531,HP532,HP533,HP534)</f>
        <v/>
      </c>
      <c r="HQ535" s="729" t="str">
        <f t="shared" ref="HQ535" si="865">CONCATENATE(HQ520,HQ521,HQ522,HQ523,HQ524,HQ525,HQ526,HQ527,HQ528,HQ529,HQ530,HQ531,HQ532,HQ533,HQ534)</f>
        <v/>
      </c>
      <c r="HR535" s="2043" t="str">
        <f t="shared" ref="HR535" si="866">CONCATENATE(HR520,HR521,HR522,HR523,HR524,HR525,HR526,HR527,HR528,HR529,HR530,HR531,HR532,HR533,HR534)</f>
        <v/>
      </c>
      <c r="HS535" s="2044" t="str">
        <f>CONCATENATE(HS520,HS521,HS522,HS523,HS524,HS525,HS526,HS527,HS528,HS529,HS530,HS531,HS532,HS533,HS534)</f>
        <v/>
      </c>
      <c r="HT535" s="683"/>
    </row>
    <row r="536" spans="1:232" s="19" customFormat="1" ht="27" customHeight="1" thickBot="1" x14ac:dyDescent="0.2">
      <c r="A536" s="1358"/>
      <c r="B536" s="1358"/>
      <c r="C536" s="1358"/>
      <c r="D536" s="1358"/>
      <c r="E536" s="1358"/>
      <c r="F536" s="652"/>
      <c r="G536" s="652"/>
      <c r="H536" s="652"/>
      <c r="I536" s="1359"/>
      <c r="J536" s="1359"/>
      <c r="K536" s="2644"/>
      <c r="L536" s="2644"/>
      <c r="M536" s="2644"/>
      <c r="N536" s="2644"/>
      <c r="O536" s="2644"/>
      <c r="P536" s="2644"/>
      <c r="Q536" s="2644"/>
      <c r="R536" s="2644"/>
      <c r="S536" s="1359"/>
      <c r="T536" s="1359"/>
      <c r="U536" s="1351"/>
      <c r="V536" s="1360"/>
      <c r="W536" s="1361"/>
      <c r="X536" s="1361"/>
      <c r="Y536" s="1361"/>
      <c r="Z536" s="422"/>
      <c r="AA536" s="1208"/>
      <c r="AB536" s="422"/>
      <c r="AC536" s="422"/>
      <c r="AD536" s="422"/>
      <c r="AE536" s="422"/>
      <c r="AF536" s="422"/>
      <c r="AG536" s="422"/>
      <c r="AH536" s="420"/>
      <c r="AI536" s="420"/>
      <c r="AJ536" s="420"/>
      <c r="AK536" s="420"/>
      <c r="AL536" s="420"/>
      <c r="AM536" s="420"/>
      <c r="AN536" s="420"/>
      <c r="AO536" s="420"/>
      <c r="AP536" s="422"/>
      <c r="AQ536" s="422"/>
      <c r="AR536" s="422"/>
      <c r="AS536" s="422"/>
      <c r="AT536" s="422"/>
      <c r="AU536" s="422"/>
      <c r="AV536" s="422"/>
      <c r="AW536" s="422"/>
      <c r="AX536" s="422"/>
      <c r="AY536" s="422"/>
      <c r="AZ536" s="422"/>
      <c r="BA536" s="422"/>
      <c r="BB536" s="422"/>
      <c r="BC536" s="422"/>
      <c r="BD536" s="422"/>
      <c r="BE536" s="422"/>
      <c r="BF536" s="422"/>
      <c r="BG536" s="422"/>
      <c r="BH536" s="422"/>
      <c r="BI536" s="422"/>
      <c r="BJ536" s="422"/>
      <c r="BK536" s="422"/>
      <c r="BL536" s="422"/>
      <c r="BM536" s="422"/>
      <c r="BN536" s="422"/>
      <c r="BO536" s="422"/>
      <c r="BP536" s="422"/>
      <c r="BQ536" s="422"/>
      <c r="BR536" s="422"/>
      <c r="BS536" s="422"/>
      <c r="BT536" s="422"/>
      <c r="BU536" s="422"/>
      <c r="BV536" s="420"/>
      <c r="BW536" s="420"/>
      <c r="BX536" s="420"/>
      <c r="BY536" s="420"/>
      <c r="BZ536" s="420"/>
      <c r="CA536" s="420"/>
      <c r="CB536" s="420"/>
      <c r="CC536" s="420"/>
      <c r="CD536" s="420"/>
      <c r="CE536" s="420"/>
      <c r="CF536" s="420"/>
      <c r="CG536" s="420"/>
      <c r="CH536" s="421"/>
      <c r="CI536" s="421"/>
      <c r="CJ536" s="421"/>
      <c r="CK536" s="421"/>
      <c r="CL536" s="421"/>
      <c r="CM536" s="421"/>
      <c r="CN536" s="421"/>
      <c r="CO536" s="421"/>
      <c r="CP536" s="421"/>
      <c r="CQ536" s="421"/>
      <c r="CR536" s="421"/>
      <c r="CS536" s="421"/>
      <c r="CT536" s="421"/>
      <c r="CU536" s="421"/>
      <c r="CV536" s="421"/>
      <c r="CW536" s="421"/>
      <c r="CX536" s="20"/>
      <c r="CY536" s="20"/>
      <c r="CZ536" s="20"/>
      <c r="DA536" s="20"/>
      <c r="DB536" s="20"/>
      <c r="DC536" s="15"/>
      <c r="DD536" s="197"/>
      <c r="DE536" s="20"/>
      <c r="DF536" s="20"/>
      <c r="DG536" s="20"/>
      <c r="DH536" s="20"/>
      <c r="DI536" s="1597"/>
      <c r="DJ536" s="1156"/>
      <c r="DK536" s="1155"/>
      <c r="DL536" s="14"/>
      <c r="DM536" s="1161" t="s">
        <v>3426</v>
      </c>
      <c r="DN536" s="14"/>
      <c r="DO536" s="14"/>
      <c r="DP536" s="14"/>
      <c r="DQ536" s="14"/>
      <c r="EB536" s="1161" t="s">
        <v>3426</v>
      </c>
      <c r="EG536" s="72"/>
      <c r="EH536" s="72"/>
      <c r="EI536" s="72"/>
      <c r="EJ536" s="72"/>
      <c r="EK536" s="72"/>
      <c r="FO536" s="719"/>
      <c r="GA536" s="14"/>
      <c r="GL536" s="1985" t="s">
        <v>2164</v>
      </c>
      <c r="GM536" s="701">
        <f>SUM(GM520:GM534)</f>
        <v>0</v>
      </c>
      <c r="GN536" s="701">
        <f t="shared" ref="GN536:GT536" si="867">SUM(GN520:GN534)</f>
        <v>0</v>
      </c>
      <c r="GO536" s="701">
        <f t="shared" si="867"/>
        <v>0</v>
      </c>
      <c r="GP536" s="701">
        <f t="shared" si="867"/>
        <v>0</v>
      </c>
      <c r="GQ536" s="701">
        <f t="shared" si="867"/>
        <v>0</v>
      </c>
      <c r="GR536" s="701">
        <f t="shared" si="867"/>
        <v>0</v>
      </c>
      <c r="GS536" s="701">
        <f t="shared" si="867"/>
        <v>0</v>
      </c>
      <c r="GT536" s="701">
        <f t="shared" si="867"/>
        <v>0</v>
      </c>
      <c r="GU536" s="703"/>
      <c r="GV536" s="731">
        <f>COUNTIF(GV520:GV534,2)</f>
        <v>0</v>
      </c>
      <c r="GW536" s="701">
        <f t="shared" ref="GW536:HC536" si="868">COUNTIF(GW520:GW534,2)</f>
        <v>0</v>
      </c>
      <c r="GX536" s="701">
        <f t="shared" si="868"/>
        <v>0</v>
      </c>
      <c r="GY536" s="701">
        <f t="shared" si="868"/>
        <v>0</v>
      </c>
      <c r="GZ536" s="701">
        <f t="shared" si="868"/>
        <v>0</v>
      </c>
      <c r="HA536" s="701">
        <f t="shared" si="868"/>
        <v>0</v>
      </c>
      <c r="HB536" s="701">
        <f t="shared" si="868"/>
        <v>0</v>
      </c>
      <c r="HC536" s="702">
        <f t="shared" si="868"/>
        <v>0</v>
      </c>
      <c r="HD536" s="703"/>
      <c r="HK536" s="732" t="s">
        <v>3401</v>
      </c>
      <c r="HL536" s="2033" t="str">
        <f>HL535</f>
        <v/>
      </c>
      <c r="HM536" s="2033" t="str">
        <f t="shared" ref="HM536:HS536" si="869">HM535</f>
        <v/>
      </c>
      <c r="HN536" s="2034" t="str">
        <f t="shared" si="869"/>
        <v/>
      </c>
      <c r="HO536" s="2035" t="str">
        <f>HO535&amp;HI535</f>
        <v/>
      </c>
      <c r="HP536" s="2036" t="str">
        <f t="shared" si="869"/>
        <v/>
      </c>
      <c r="HQ536" s="2034" t="str">
        <f t="shared" si="869"/>
        <v/>
      </c>
      <c r="HR536" s="2056" t="str">
        <f t="shared" si="869"/>
        <v/>
      </c>
      <c r="HS536" s="2057" t="str">
        <f t="shared" si="869"/>
        <v/>
      </c>
      <c r="HT536" s="1132"/>
    </row>
    <row r="537" spans="1:232" s="19" customFormat="1" ht="27" customHeight="1" x14ac:dyDescent="0.15">
      <c r="A537" s="1358"/>
      <c r="B537" s="1358"/>
      <c r="C537" s="1358"/>
      <c r="D537" s="1358"/>
      <c r="E537" s="1358"/>
      <c r="F537" s="652"/>
      <c r="G537" s="652"/>
      <c r="H537" s="652"/>
      <c r="I537" s="1359"/>
      <c r="J537" s="1359"/>
      <c r="K537" s="2644"/>
      <c r="L537" s="2644"/>
      <c r="M537" s="2644"/>
      <c r="N537" s="2644"/>
      <c r="O537" s="2644"/>
      <c r="P537" s="2644"/>
      <c r="Q537" s="2644"/>
      <c r="R537" s="2644"/>
      <c r="S537" s="1359"/>
      <c r="T537" s="1359"/>
      <c r="U537" s="1351"/>
      <c r="V537" s="1360"/>
      <c r="W537" s="1361"/>
      <c r="X537" s="1361"/>
      <c r="Y537" s="1361"/>
      <c r="Z537" s="422"/>
      <c r="AA537" s="1208"/>
      <c r="AB537" s="422"/>
      <c r="AC537" s="422"/>
      <c r="AD537" s="422"/>
      <c r="AE537" s="422"/>
      <c r="AF537" s="422"/>
      <c r="AG537" s="422"/>
      <c r="AH537" s="420"/>
      <c r="AI537" s="420"/>
      <c r="AJ537" s="420"/>
      <c r="AK537" s="420"/>
      <c r="AL537" s="420"/>
      <c r="AM537" s="420"/>
      <c r="AN537" s="420"/>
      <c r="AO537" s="420"/>
      <c r="AP537" s="422"/>
      <c r="AQ537" s="422"/>
      <c r="AR537" s="422"/>
      <c r="AS537" s="422"/>
      <c r="AT537" s="422"/>
      <c r="AU537" s="422"/>
      <c r="AV537" s="422"/>
      <c r="AW537" s="422"/>
      <c r="AX537" s="422"/>
      <c r="AY537" s="422"/>
      <c r="AZ537" s="422"/>
      <c r="BA537" s="422"/>
      <c r="BB537" s="422"/>
      <c r="BC537" s="422"/>
      <c r="BD537" s="422"/>
      <c r="BE537" s="422"/>
      <c r="BF537" s="422"/>
      <c r="BG537" s="422"/>
      <c r="BH537" s="422"/>
      <c r="BI537" s="422"/>
      <c r="BJ537" s="422"/>
      <c r="BK537" s="422"/>
      <c r="BL537" s="422"/>
      <c r="BM537" s="422"/>
      <c r="BN537" s="422"/>
      <c r="BO537" s="422"/>
      <c r="BP537" s="422"/>
      <c r="BQ537" s="422"/>
      <c r="BR537" s="422"/>
      <c r="BS537" s="422"/>
      <c r="BT537" s="422"/>
      <c r="BU537" s="422"/>
      <c r="BV537" s="420"/>
      <c r="BW537" s="420"/>
      <c r="BX537" s="420"/>
      <c r="BY537" s="420"/>
      <c r="BZ537" s="420"/>
      <c r="CA537" s="420"/>
      <c r="CB537" s="420"/>
      <c r="CC537" s="420"/>
      <c r="CD537" s="420"/>
      <c r="CE537" s="420"/>
      <c r="CF537" s="420"/>
      <c r="CG537" s="420"/>
      <c r="CH537" s="421"/>
      <c r="CI537" s="421"/>
      <c r="CJ537" s="421"/>
      <c r="CK537" s="421"/>
      <c r="CL537" s="421"/>
      <c r="CM537" s="421"/>
      <c r="CN537" s="421"/>
      <c r="CO537" s="421"/>
      <c r="CP537" s="421"/>
      <c r="CQ537" s="421"/>
      <c r="CR537" s="421"/>
      <c r="CS537" s="421"/>
      <c r="CT537" s="421"/>
      <c r="CU537" s="421"/>
      <c r="CV537" s="421"/>
      <c r="CW537" s="421"/>
      <c r="CX537" s="20"/>
      <c r="CY537" s="20"/>
      <c r="CZ537" s="20"/>
      <c r="DA537" s="20"/>
      <c r="DB537" s="20"/>
      <c r="DC537" s="15"/>
      <c r="DD537" s="197"/>
      <c r="DE537" s="20"/>
      <c r="DF537" s="20"/>
      <c r="DG537" s="20"/>
      <c r="DH537" s="20"/>
      <c r="DI537" s="1597"/>
      <c r="DJ537" s="1156"/>
      <c r="DK537" s="1155"/>
      <c r="DL537" s="14"/>
      <c r="DM537" s="2064" t="s">
        <v>325</v>
      </c>
      <c r="DN537" s="2065" t="s">
        <v>326</v>
      </c>
      <c r="DO537" s="2065" t="s">
        <v>327</v>
      </c>
      <c r="DP537" s="2066" t="s">
        <v>328</v>
      </c>
      <c r="DQ537" s="14"/>
      <c r="EB537" s="2262" t="s">
        <v>24</v>
      </c>
      <c r="EC537" s="2263"/>
      <c r="ED537" s="2263"/>
      <c r="EE537" s="2263"/>
      <c r="EF537" s="2263"/>
      <c r="EG537" s="2367" t="s">
        <v>891</v>
      </c>
      <c r="EH537" s="2368"/>
      <c r="EI537" s="2368"/>
      <c r="EJ537" s="2368"/>
      <c r="EK537" s="2941"/>
      <c r="FO537" s="25"/>
      <c r="FP537" s="25"/>
      <c r="FQ537" s="25"/>
      <c r="FR537" s="25"/>
      <c r="FS537" s="25"/>
      <c r="FT537" s="25"/>
      <c r="FU537" s="25"/>
      <c r="FV537" s="25"/>
      <c r="FW537" s="25"/>
      <c r="FX537" s="25"/>
      <c r="FY537" s="25"/>
      <c r="FZ537" s="25"/>
      <c r="GA537" s="14"/>
      <c r="GK537" s="1992" t="s">
        <v>3384</v>
      </c>
      <c r="GL537" s="1986" t="s">
        <v>2165</v>
      </c>
      <c r="GM537" s="713">
        <f>$DO$333</f>
        <v>0</v>
      </c>
      <c r="GN537" s="713">
        <f>$DO$360</f>
        <v>0</v>
      </c>
      <c r="GO537" s="713">
        <f>$DO$378</f>
        <v>0</v>
      </c>
      <c r="GP537" s="713">
        <f>$DO$432</f>
        <v>0</v>
      </c>
      <c r="GQ537" s="713">
        <f>$DO$474</f>
        <v>0</v>
      </c>
      <c r="GR537" s="713">
        <f>$DO$492</f>
        <v>0</v>
      </c>
      <c r="GS537" s="713">
        <f>$DO$515</f>
        <v>0</v>
      </c>
      <c r="GT537" s="713">
        <f>$DO$516</f>
        <v>0</v>
      </c>
      <c r="GU537" s="703"/>
      <c r="GV537" s="733">
        <f>COUNTIF($ED$319:$ED$332,2)</f>
        <v>0</v>
      </c>
      <c r="GW537" s="713">
        <f>COUNTIF($ED$337:$ED$359,2)</f>
        <v>0</v>
      </c>
      <c r="GX537" s="713">
        <f>COUNTIF($ED$364:$ED$377,2)</f>
        <v>0</v>
      </c>
      <c r="GY537" s="713">
        <f>COUNTIF($ED$382:$ED$431,2)</f>
        <v>0</v>
      </c>
      <c r="GZ537" s="713">
        <f>COUNTIF($ED$436:$ED$473,2)</f>
        <v>0</v>
      </c>
      <c r="HA537" s="713">
        <f>COUNTIF($ED$478:$ED$491,2)</f>
        <v>0</v>
      </c>
      <c r="HB537" s="713">
        <f>COUNTIF($ED$497:$ED$508,2)</f>
        <v>0</v>
      </c>
      <c r="HC537" s="713">
        <f>COUNTIF($ED$509:$ED$514,2)</f>
        <v>0</v>
      </c>
      <c r="HD537" s="703"/>
      <c r="HK537" s="32"/>
      <c r="HL537" s="2031" t="s">
        <v>3402</v>
      </c>
      <c r="HM537" s="32"/>
      <c r="HN537" s="32"/>
      <c r="HO537" s="683"/>
      <c r="HP537" s="32"/>
      <c r="HQ537" s="32"/>
      <c r="HR537" s="683"/>
      <c r="HS537" s="32"/>
      <c r="HT537" s="1132"/>
    </row>
    <row r="538" spans="1:232" s="19" customFormat="1" ht="27" customHeight="1" thickBot="1" x14ac:dyDescent="0.2">
      <c r="A538" s="1358"/>
      <c r="B538" s="1358"/>
      <c r="C538" s="1358"/>
      <c r="D538" s="1358"/>
      <c r="E538" s="1358"/>
      <c r="F538" s="652"/>
      <c r="G538" s="652"/>
      <c r="H538" s="652"/>
      <c r="I538" s="1359"/>
      <c r="J538" s="1359"/>
      <c r="K538" s="2644"/>
      <c r="L538" s="2644"/>
      <c r="M538" s="2644"/>
      <c r="N538" s="2644"/>
      <c r="O538" s="2644"/>
      <c r="P538" s="2644"/>
      <c r="Q538" s="2644"/>
      <c r="R538" s="2644"/>
      <c r="S538" s="1359"/>
      <c r="T538" s="1359"/>
      <c r="U538" s="1351"/>
      <c r="V538" s="1360"/>
      <c r="W538" s="1361"/>
      <c r="X538" s="1361"/>
      <c r="Y538" s="1361"/>
      <c r="Z538" s="422"/>
      <c r="AA538" s="1208"/>
      <c r="AB538" s="422"/>
      <c r="AC538" s="422"/>
      <c r="AD538" s="422"/>
      <c r="AE538" s="422"/>
      <c r="AF538" s="422"/>
      <c r="AG538" s="422"/>
      <c r="AH538" s="420"/>
      <c r="AI538" s="420"/>
      <c r="AJ538" s="420"/>
      <c r="AK538" s="420"/>
      <c r="AL538" s="420"/>
      <c r="AM538" s="420"/>
      <c r="AN538" s="420"/>
      <c r="AO538" s="420"/>
      <c r="AP538" s="422"/>
      <c r="AQ538" s="422"/>
      <c r="AR538" s="422"/>
      <c r="AS538" s="422"/>
      <c r="AT538" s="422"/>
      <c r="AU538" s="422"/>
      <c r="AV538" s="422"/>
      <c r="AW538" s="422"/>
      <c r="AX538" s="422"/>
      <c r="AY538" s="422"/>
      <c r="AZ538" s="422"/>
      <c r="BA538" s="422"/>
      <c r="BB538" s="422"/>
      <c r="BC538" s="422"/>
      <c r="BD538" s="422"/>
      <c r="BE538" s="422"/>
      <c r="BF538" s="422"/>
      <c r="BG538" s="422"/>
      <c r="BH538" s="422"/>
      <c r="BI538" s="422"/>
      <c r="BJ538" s="422"/>
      <c r="BK538" s="422"/>
      <c r="BL538" s="422"/>
      <c r="BM538" s="422"/>
      <c r="BN538" s="422"/>
      <c r="BO538" s="422"/>
      <c r="BP538" s="422"/>
      <c r="BQ538" s="422"/>
      <c r="BR538" s="422"/>
      <c r="BS538" s="422"/>
      <c r="BT538" s="422"/>
      <c r="BU538" s="422"/>
      <c r="BV538" s="420"/>
      <c r="BW538" s="420"/>
      <c r="BX538" s="420"/>
      <c r="BY538" s="420"/>
      <c r="BZ538" s="420"/>
      <c r="CA538" s="420"/>
      <c r="CB538" s="420"/>
      <c r="CC538" s="420"/>
      <c r="CD538" s="420"/>
      <c r="CE538" s="420"/>
      <c r="CF538" s="420"/>
      <c r="CG538" s="420"/>
      <c r="CH538" s="421"/>
      <c r="CI538" s="421"/>
      <c r="CJ538" s="421"/>
      <c r="CK538" s="421"/>
      <c r="CL538" s="421"/>
      <c r="CM538" s="421"/>
      <c r="CN538" s="421"/>
      <c r="CO538" s="421"/>
      <c r="CP538" s="421"/>
      <c r="CQ538" s="421"/>
      <c r="CR538" s="421"/>
      <c r="CS538" s="421"/>
      <c r="CT538" s="421"/>
      <c r="CU538" s="421"/>
      <c r="CV538" s="421"/>
      <c r="CW538" s="421"/>
      <c r="CX538" s="20"/>
      <c r="CY538" s="20"/>
      <c r="CZ538" s="20"/>
      <c r="DA538" s="20"/>
      <c r="DB538" s="20"/>
      <c r="DC538" s="15"/>
      <c r="DD538" s="197"/>
      <c r="DE538" s="20"/>
      <c r="DF538" s="20"/>
      <c r="DG538" s="20"/>
      <c r="DH538" s="20"/>
      <c r="DI538" s="1597"/>
      <c r="DJ538" s="1156"/>
      <c r="DK538" s="1155"/>
      <c r="DL538" s="14"/>
      <c r="DM538" s="436">
        <f>DM432+DM515</f>
        <v>0</v>
      </c>
      <c r="DN538" s="232">
        <f>DN432+DN515</f>
        <v>0</v>
      </c>
      <c r="DO538" s="232">
        <f>DO432+DO515</f>
        <v>0</v>
      </c>
      <c r="DP538" s="437">
        <f>DP432+DP515</f>
        <v>0</v>
      </c>
      <c r="DQ538" s="14"/>
      <c r="EB538" s="139" t="s">
        <v>910</v>
      </c>
      <c r="EC538" s="132" t="s">
        <v>909</v>
      </c>
      <c r="ED538" s="132" t="s">
        <v>903</v>
      </c>
      <c r="EE538" s="119" t="s">
        <v>904</v>
      </c>
      <c r="EF538" s="120" t="s">
        <v>905</v>
      </c>
      <c r="EG538" s="118" t="s">
        <v>901</v>
      </c>
      <c r="EH538" s="119" t="s">
        <v>902</v>
      </c>
      <c r="EI538" s="132" t="s">
        <v>903</v>
      </c>
      <c r="EJ538" s="119" t="s">
        <v>904</v>
      </c>
      <c r="EK538" s="216" t="s">
        <v>905</v>
      </c>
      <c r="FO538" s="25"/>
      <c r="GA538" s="14"/>
      <c r="GL538" s="1985" t="s">
        <v>1829</v>
      </c>
      <c r="GM538" s="701">
        <f>GM536+GM537</f>
        <v>0</v>
      </c>
      <c r="GN538" s="701">
        <f t="shared" ref="GN538:GT538" si="870">GN536+GN537</f>
        <v>0</v>
      </c>
      <c r="GO538" s="701">
        <f t="shared" si="870"/>
        <v>0</v>
      </c>
      <c r="GP538" s="713">
        <f t="shared" si="870"/>
        <v>0</v>
      </c>
      <c r="GQ538" s="701">
        <f t="shared" si="870"/>
        <v>0</v>
      </c>
      <c r="GR538" s="701">
        <f t="shared" si="870"/>
        <v>0</v>
      </c>
      <c r="GS538" s="713">
        <f t="shared" si="870"/>
        <v>0</v>
      </c>
      <c r="GT538" s="701">
        <f t="shared" si="870"/>
        <v>0</v>
      </c>
      <c r="GU538" s="734">
        <f>SUM(GM538:GT538)</f>
        <v>0</v>
      </c>
      <c r="GV538" s="700">
        <f>GV536+GV537</f>
        <v>0</v>
      </c>
      <c r="GW538" s="701">
        <f t="shared" ref="GW538:HC538" si="871">GW536+GW537</f>
        <v>0</v>
      </c>
      <c r="GX538" s="701">
        <f t="shared" si="871"/>
        <v>0</v>
      </c>
      <c r="GY538" s="713">
        <f t="shared" si="871"/>
        <v>0</v>
      </c>
      <c r="GZ538" s="701">
        <f t="shared" si="871"/>
        <v>0</v>
      </c>
      <c r="HA538" s="701">
        <f t="shared" si="871"/>
        <v>0</v>
      </c>
      <c r="HB538" s="713">
        <f t="shared" si="871"/>
        <v>0</v>
      </c>
      <c r="HC538" s="701">
        <f t="shared" si="871"/>
        <v>0</v>
      </c>
      <c r="HD538" s="734">
        <f>SUM(GV538:HC538)</f>
        <v>0</v>
      </c>
      <c r="HK538" s="32"/>
      <c r="HL538" s="2045">
        <v>1</v>
      </c>
      <c r="HM538" s="2045">
        <v>2</v>
      </c>
      <c r="HN538" s="2045">
        <v>3</v>
      </c>
      <c r="HO538" s="2045">
        <v>4</v>
      </c>
      <c r="HP538" s="2045">
        <v>5</v>
      </c>
      <c r="HQ538" s="2045">
        <v>6</v>
      </c>
      <c r="HR538" s="2045" t="s">
        <v>3398</v>
      </c>
      <c r="HS538" s="2045" t="s">
        <v>3399</v>
      </c>
      <c r="HT538" s="1132"/>
    </row>
    <row r="539" spans="1:232" s="19" customFormat="1" ht="27" customHeight="1" thickBot="1" x14ac:dyDescent="0.2">
      <c r="A539" s="1358"/>
      <c r="B539" s="1358"/>
      <c r="C539" s="1358"/>
      <c r="D539" s="1358"/>
      <c r="E539" s="1358"/>
      <c r="F539" s="652"/>
      <c r="G539" s="652"/>
      <c r="H539" s="652"/>
      <c r="I539" s="1359"/>
      <c r="J539" s="1359"/>
      <c r="K539" s="2644"/>
      <c r="L539" s="2644"/>
      <c r="M539" s="2644"/>
      <c r="N539" s="2644"/>
      <c r="O539" s="2644"/>
      <c r="P539" s="2644"/>
      <c r="Q539" s="2644"/>
      <c r="R539" s="2644"/>
      <c r="S539" s="1359"/>
      <c r="T539" s="1359"/>
      <c r="U539" s="1351"/>
      <c r="V539" s="1360"/>
      <c r="W539" s="1361"/>
      <c r="X539" s="1361"/>
      <c r="Y539" s="1361"/>
      <c r="Z539" s="422"/>
      <c r="AA539" s="1208"/>
      <c r="AB539" s="422"/>
      <c r="AC539" s="422"/>
      <c r="AD539" s="422"/>
      <c r="AE539" s="422"/>
      <c r="AF539" s="422"/>
      <c r="AG539" s="422"/>
      <c r="AH539" s="420"/>
      <c r="AI539" s="420"/>
      <c r="AJ539" s="420"/>
      <c r="AK539" s="420"/>
      <c r="AL539" s="420"/>
      <c r="AM539" s="420"/>
      <c r="AN539" s="420"/>
      <c r="AO539" s="420"/>
      <c r="AP539" s="422"/>
      <c r="AQ539" s="422"/>
      <c r="AR539" s="422"/>
      <c r="AS539" s="422"/>
      <c r="AT539" s="422"/>
      <c r="AU539" s="422"/>
      <c r="AV539" s="422"/>
      <c r="AW539" s="422"/>
      <c r="AX539" s="422"/>
      <c r="AY539" s="422"/>
      <c r="AZ539" s="422"/>
      <c r="BA539" s="422"/>
      <c r="BB539" s="422"/>
      <c r="BC539" s="422"/>
      <c r="BD539" s="422"/>
      <c r="BE539" s="422"/>
      <c r="BF539" s="422"/>
      <c r="BG539" s="422"/>
      <c r="BH539" s="422"/>
      <c r="BI539" s="422"/>
      <c r="BJ539" s="422"/>
      <c r="BK539" s="422"/>
      <c r="BL539" s="422"/>
      <c r="BM539" s="422"/>
      <c r="BN539" s="422"/>
      <c r="BO539" s="422"/>
      <c r="BP539" s="422"/>
      <c r="BQ539" s="422"/>
      <c r="BR539" s="422"/>
      <c r="BS539" s="422"/>
      <c r="BT539" s="422"/>
      <c r="BU539" s="422"/>
      <c r="BV539" s="420"/>
      <c r="BW539" s="420"/>
      <c r="BX539" s="420"/>
      <c r="BY539" s="420"/>
      <c r="BZ539" s="420"/>
      <c r="CA539" s="420"/>
      <c r="CB539" s="420"/>
      <c r="CC539" s="420"/>
      <c r="CD539" s="420"/>
      <c r="CE539" s="420"/>
      <c r="CF539" s="420"/>
      <c r="CG539" s="420"/>
      <c r="CH539" s="421"/>
      <c r="CI539" s="421"/>
      <c r="CJ539" s="421"/>
      <c r="CK539" s="421"/>
      <c r="CL539" s="421"/>
      <c r="CM539" s="421"/>
      <c r="CN539" s="421"/>
      <c r="CO539" s="421"/>
      <c r="CP539" s="421"/>
      <c r="CQ539" s="421"/>
      <c r="CR539" s="421"/>
      <c r="CS539" s="421"/>
      <c r="CT539" s="421"/>
      <c r="CU539" s="421"/>
      <c r="CV539" s="421"/>
      <c r="CW539" s="421"/>
      <c r="CX539" s="20"/>
      <c r="CY539" s="20"/>
      <c r="CZ539" s="20"/>
      <c r="DA539" s="20"/>
      <c r="DB539" s="20"/>
      <c r="DC539" s="15"/>
      <c r="DD539" s="197"/>
      <c r="DE539" s="20"/>
      <c r="DF539" s="20"/>
      <c r="DG539" s="20"/>
      <c r="DH539" s="20"/>
      <c r="DI539" s="1597"/>
      <c r="DJ539" s="1156"/>
      <c r="DK539" s="1155"/>
      <c r="DL539" s="14"/>
      <c r="DM539" s="2076" t="str">
        <f>IF(AND(DN539="",DO539="",DP539="",DM538&lt;&gt;0),"レ","")</f>
        <v/>
      </c>
      <c r="DN539" s="2067" t="str">
        <f>IF(AND(DO539="",DP539="",DN538&lt;&gt;0),"レ","")</f>
        <v/>
      </c>
      <c r="DO539" s="2067" t="str">
        <f>IF(DO538&lt;&gt;0,"レ","")</f>
        <v/>
      </c>
      <c r="DP539" s="2057" t="str">
        <f>IF(AND(DO539="",DP538&lt;&gt;0),"レ","")</f>
        <v/>
      </c>
      <c r="DQ539" s="14"/>
      <c r="EB539" s="2060" t="str">
        <f>IF(OR(EB379="レ",EB493="レ"),"レ","")</f>
        <v/>
      </c>
      <c r="EC539" s="202"/>
      <c r="ED539" s="2061" t="str">
        <f>IF(EE432&lt;EE515,ED379,ED493)</f>
        <v/>
      </c>
      <c r="EE539" s="2061" t="str">
        <f>IF(EE432&lt;EE515,EE379,EE493)</f>
        <v/>
      </c>
      <c r="EF539" s="2062" t="str">
        <f>IF(OR(EF379="レ",EF493="レ"),"レ","")</f>
        <v/>
      </c>
      <c r="EG539" s="2060" t="str">
        <f>IF(OR(EG379="レ",EG493="レ"),"レ","")</f>
        <v/>
      </c>
      <c r="EH539" s="202"/>
      <c r="EI539" s="2061" t="str">
        <f>IF(EJ432&lt;EJ515,EI379,EI493)</f>
        <v/>
      </c>
      <c r="EJ539" s="2061" t="str">
        <f>IF(EJ432&lt;EJ515,EJ379,EJ493)</f>
        <v/>
      </c>
      <c r="EK539" s="2062" t="str">
        <f>IF(OR(EK379="レ",EK493="レ"),"レ","")</f>
        <v/>
      </c>
      <c r="ES539" s="1973" t="str">
        <f>$GY$541</f>
        <v>要是正なし</v>
      </c>
      <c r="FO539" s="25"/>
      <c r="GA539" s="14"/>
      <c r="GL539" s="735" t="s">
        <v>2163</v>
      </c>
      <c r="GM539" s="736"/>
      <c r="GN539" s="737"/>
      <c r="GO539" s="737"/>
      <c r="GP539" s="737"/>
      <c r="GQ539" s="737"/>
      <c r="GR539" s="737"/>
      <c r="GS539" s="737"/>
      <c r="GT539" s="738"/>
      <c r="GU539" s="739"/>
      <c r="GV539" s="1974" t="str">
        <f>IF(GM538&lt;&gt;0,IF(GV538&lt;&gt;0,IF(GV538=GM538,"改善済","一部改善済"),"未改善"),"要是正なし")</f>
        <v>要是正なし</v>
      </c>
      <c r="GW539" s="2078" t="str">
        <f t="shared" ref="GW539:HC539" si="872">IF(GN538&lt;&gt;0,IF(GW538&lt;&gt;0,IF(GW538=GN538,"改善済","一部改善済"),"未改善"),"要是正なし")</f>
        <v>要是正なし</v>
      </c>
      <c r="GX539" s="2078" t="str">
        <f t="shared" si="872"/>
        <v>要是正なし</v>
      </c>
      <c r="GY539" s="740" t="str">
        <f t="shared" si="872"/>
        <v>要是正なし</v>
      </c>
      <c r="GZ539" s="740" t="str">
        <f t="shared" si="872"/>
        <v>要是正なし</v>
      </c>
      <c r="HA539" s="2078" t="str">
        <f t="shared" si="872"/>
        <v>要是正なし</v>
      </c>
      <c r="HB539" s="740" t="str">
        <f t="shared" si="872"/>
        <v>要是正なし</v>
      </c>
      <c r="HC539" s="2097" t="str">
        <f t="shared" si="872"/>
        <v>要是正なし</v>
      </c>
      <c r="HD539" s="2096" t="str">
        <f>IF(GU538&lt;&gt;0,IF(HD538&lt;&gt;0,IF(HD538=GU538,"改善済","一部改善済"),"未改善"),"要是正なし")</f>
        <v>要是正なし</v>
      </c>
      <c r="HE539" s="1620" t="s">
        <v>3430</v>
      </c>
      <c r="HK539" s="32"/>
      <c r="HL539" s="32"/>
      <c r="HM539" s="32"/>
      <c r="HN539" s="32"/>
      <c r="HO539" s="32"/>
      <c r="HP539" s="32"/>
      <c r="HQ539" s="32"/>
      <c r="HR539" s="32"/>
      <c r="HS539" s="32"/>
      <c r="HT539" s="1132"/>
    </row>
    <row r="540" spans="1:232" s="19" customFormat="1" ht="27" customHeight="1" thickBot="1" x14ac:dyDescent="0.2">
      <c r="A540" s="1358"/>
      <c r="B540" s="1358"/>
      <c r="C540" s="1358"/>
      <c r="D540" s="1358"/>
      <c r="E540" s="1358"/>
      <c r="F540" s="652"/>
      <c r="G540" s="652"/>
      <c r="H540" s="652"/>
      <c r="I540" s="1359"/>
      <c r="J540" s="1359"/>
      <c r="K540" s="2644"/>
      <c r="L540" s="2644"/>
      <c r="M540" s="2644"/>
      <c r="N540" s="2644"/>
      <c r="O540" s="2644"/>
      <c r="P540" s="2644"/>
      <c r="Q540" s="2644"/>
      <c r="R540" s="2644"/>
      <c r="S540" s="1359"/>
      <c r="T540" s="1359"/>
      <c r="U540" s="1351"/>
      <c r="V540" s="1360"/>
      <c r="W540" s="1361"/>
      <c r="X540" s="1361"/>
      <c r="Y540" s="1361"/>
      <c r="Z540" s="422"/>
      <c r="AA540" s="1208"/>
      <c r="AB540" s="422"/>
      <c r="AC540" s="422"/>
      <c r="AD540" s="422"/>
      <c r="AE540" s="422"/>
      <c r="AF540" s="422"/>
      <c r="AG540" s="422"/>
      <c r="AH540" s="420"/>
      <c r="AI540" s="420"/>
      <c r="AJ540" s="420"/>
      <c r="AK540" s="420"/>
      <c r="AL540" s="420"/>
      <c r="AM540" s="420"/>
      <c r="AN540" s="420"/>
      <c r="AO540" s="420"/>
      <c r="AP540" s="422"/>
      <c r="AQ540" s="422"/>
      <c r="AR540" s="422"/>
      <c r="AS540" s="422"/>
      <c r="AT540" s="422"/>
      <c r="AU540" s="422"/>
      <c r="AV540" s="422"/>
      <c r="AW540" s="422"/>
      <c r="AX540" s="422"/>
      <c r="AY540" s="422"/>
      <c r="AZ540" s="422"/>
      <c r="BA540" s="422"/>
      <c r="BB540" s="422"/>
      <c r="BC540" s="422"/>
      <c r="BD540" s="422"/>
      <c r="BE540" s="422"/>
      <c r="BF540" s="422"/>
      <c r="BG540" s="422"/>
      <c r="BH540" s="422"/>
      <c r="BI540" s="422"/>
      <c r="BJ540" s="422"/>
      <c r="BK540" s="422"/>
      <c r="BL540" s="422"/>
      <c r="BM540" s="422"/>
      <c r="BN540" s="422"/>
      <c r="BO540" s="422"/>
      <c r="BP540" s="422"/>
      <c r="BQ540" s="422"/>
      <c r="BR540" s="422"/>
      <c r="BS540" s="422"/>
      <c r="BT540" s="422"/>
      <c r="BU540" s="422"/>
      <c r="BV540" s="420"/>
      <c r="BW540" s="420"/>
      <c r="BX540" s="420"/>
      <c r="BY540" s="420"/>
      <c r="BZ540" s="420"/>
      <c r="CA540" s="420"/>
      <c r="CB540" s="420"/>
      <c r="CC540" s="420"/>
      <c r="CD540" s="420"/>
      <c r="CE540" s="420"/>
      <c r="CF540" s="420"/>
      <c r="CG540" s="420"/>
      <c r="CH540" s="421"/>
      <c r="CI540" s="421"/>
      <c r="CJ540" s="421"/>
      <c r="CK540" s="421"/>
      <c r="CL540" s="421"/>
      <c r="CM540" s="421"/>
      <c r="CN540" s="421"/>
      <c r="CO540" s="421"/>
      <c r="CP540" s="421"/>
      <c r="CQ540" s="421"/>
      <c r="CR540" s="421"/>
      <c r="CS540" s="421"/>
      <c r="CT540" s="421"/>
      <c r="CU540" s="421"/>
      <c r="CV540" s="421"/>
      <c r="CW540" s="421"/>
      <c r="CX540" s="20"/>
      <c r="CY540" s="20"/>
      <c r="CZ540" s="20"/>
      <c r="DA540" s="20"/>
      <c r="DB540" s="20"/>
      <c r="DC540" s="15"/>
      <c r="DD540" s="197"/>
      <c r="DE540" s="20"/>
      <c r="DF540" s="20"/>
      <c r="DG540" s="20"/>
      <c r="DH540" s="20"/>
      <c r="DI540" s="1597"/>
      <c r="DJ540" s="1156"/>
      <c r="DK540" s="1155"/>
      <c r="DL540" s="14"/>
      <c r="DM540" s="14"/>
      <c r="DN540" s="14"/>
      <c r="DO540" s="14"/>
      <c r="DP540" s="14"/>
      <c r="DQ540" s="14"/>
      <c r="EG540" s="72"/>
      <c r="EH540" s="72"/>
      <c r="EI540" s="72"/>
      <c r="EJ540" s="72"/>
      <c r="EK540" s="72"/>
      <c r="FO540" s="25"/>
      <c r="GA540" s="14"/>
      <c r="GL540" s="741" t="s">
        <v>3428</v>
      </c>
      <c r="GM540" s="660"/>
      <c r="GN540" s="660"/>
      <c r="GO540" s="660"/>
      <c r="GP540" s="742">
        <f>GP538+GS538</f>
        <v>0</v>
      </c>
      <c r="GQ540" s="742">
        <f>GQ538+GT538</f>
        <v>0</v>
      </c>
      <c r="GR540" s="660"/>
      <c r="GS540" s="463"/>
      <c r="GT540" s="660"/>
      <c r="GU540" s="743"/>
      <c r="GV540" s="660"/>
      <c r="GW540" s="660"/>
      <c r="GX540" s="660"/>
      <c r="GY540" s="742">
        <f>GY538+HB538</f>
        <v>0</v>
      </c>
      <c r="GZ540" s="742">
        <f>GZ538+HC538</f>
        <v>0</v>
      </c>
      <c r="HA540" s="660"/>
      <c r="HB540" s="463"/>
      <c r="HC540" s="660"/>
      <c r="HD540" s="743"/>
      <c r="HE540" s="32"/>
    </row>
    <row r="541" spans="1:232" s="19" customFormat="1" ht="27" customHeight="1" thickBot="1" x14ac:dyDescent="0.2">
      <c r="A541" s="1358"/>
      <c r="B541" s="1358"/>
      <c r="C541" s="1358"/>
      <c r="D541" s="1358"/>
      <c r="E541" s="1358"/>
      <c r="F541" s="652"/>
      <c r="G541" s="652"/>
      <c r="H541" s="652"/>
      <c r="I541" s="1359"/>
      <c r="J541" s="1359"/>
      <c r="K541" s="2644"/>
      <c r="L541" s="2644"/>
      <c r="M541" s="2644"/>
      <c r="N541" s="2644"/>
      <c r="O541" s="2644"/>
      <c r="P541" s="2644"/>
      <c r="Q541" s="2644"/>
      <c r="R541" s="2644"/>
      <c r="S541" s="1359"/>
      <c r="T541" s="1359"/>
      <c r="U541" s="1351"/>
      <c r="V541" s="1360"/>
      <c r="W541" s="1361"/>
      <c r="X541" s="1361"/>
      <c r="Y541" s="1361"/>
      <c r="Z541" s="422"/>
      <c r="AA541" s="1208"/>
      <c r="AB541" s="422"/>
      <c r="AC541" s="422"/>
      <c r="AD541" s="422"/>
      <c r="AE541" s="422"/>
      <c r="AF541" s="422"/>
      <c r="AG541" s="422"/>
      <c r="AH541" s="420"/>
      <c r="AI541" s="420"/>
      <c r="AJ541" s="420"/>
      <c r="AK541" s="420"/>
      <c r="AL541" s="420"/>
      <c r="AM541" s="420"/>
      <c r="AN541" s="420"/>
      <c r="AO541" s="420"/>
      <c r="AP541" s="422"/>
      <c r="AQ541" s="422"/>
      <c r="AR541" s="422"/>
      <c r="AS541" s="422"/>
      <c r="AT541" s="422"/>
      <c r="AU541" s="422"/>
      <c r="AV541" s="422"/>
      <c r="AW541" s="422"/>
      <c r="AX541" s="422"/>
      <c r="AY541" s="422"/>
      <c r="AZ541" s="422"/>
      <c r="BA541" s="422"/>
      <c r="BB541" s="422"/>
      <c r="BC541" s="422"/>
      <c r="BD541" s="422"/>
      <c r="BE541" s="422"/>
      <c r="BF541" s="422"/>
      <c r="BG541" s="422"/>
      <c r="BH541" s="422"/>
      <c r="BI541" s="422"/>
      <c r="BJ541" s="422"/>
      <c r="BK541" s="422"/>
      <c r="BL541" s="422"/>
      <c r="BM541" s="422"/>
      <c r="BN541" s="422"/>
      <c r="BO541" s="422"/>
      <c r="BP541" s="422"/>
      <c r="BQ541" s="422"/>
      <c r="BR541" s="422"/>
      <c r="BS541" s="422"/>
      <c r="BT541" s="422"/>
      <c r="BU541" s="422"/>
      <c r="BV541" s="420"/>
      <c r="BW541" s="420"/>
      <c r="BX541" s="420"/>
      <c r="BY541" s="420"/>
      <c r="BZ541" s="420"/>
      <c r="CA541" s="420"/>
      <c r="CB541" s="420"/>
      <c r="CC541" s="420"/>
      <c r="CD541" s="420"/>
      <c r="CE541" s="420"/>
      <c r="CF541" s="420"/>
      <c r="CG541" s="420"/>
      <c r="CH541" s="421"/>
      <c r="CI541" s="421"/>
      <c r="CJ541" s="421"/>
      <c r="CK541" s="421"/>
      <c r="CL541" s="421"/>
      <c r="CM541" s="421"/>
      <c r="CN541" s="421"/>
      <c r="CO541" s="421"/>
      <c r="CP541" s="421"/>
      <c r="CQ541" s="421"/>
      <c r="CR541" s="421"/>
      <c r="CS541" s="421"/>
      <c r="CT541" s="421"/>
      <c r="CU541" s="421"/>
      <c r="CV541" s="421"/>
      <c r="CW541" s="421"/>
      <c r="CX541" s="20"/>
      <c r="CY541" s="20"/>
      <c r="CZ541" s="20"/>
      <c r="DA541" s="20"/>
      <c r="DB541" s="20"/>
      <c r="DC541" s="15"/>
      <c r="DD541" s="197"/>
      <c r="DE541" s="20"/>
      <c r="DF541" s="20"/>
      <c r="DG541" s="20"/>
      <c r="DH541" s="20"/>
      <c r="DI541" s="1597"/>
      <c r="DJ541" s="1156"/>
      <c r="DK541" s="1155"/>
      <c r="DL541" s="14"/>
      <c r="DM541" s="1161" t="s">
        <v>3427</v>
      </c>
      <c r="DN541" s="14"/>
      <c r="DO541" s="14"/>
      <c r="DP541" s="14"/>
      <c r="DQ541" s="14"/>
      <c r="EB541" s="1161" t="s">
        <v>3427</v>
      </c>
      <c r="EG541" s="72"/>
      <c r="EH541" s="72"/>
      <c r="EI541" s="72"/>
      <c r="EJ541" s="72"/>
      <c r="EK541" s="72"/>
      <c r="FO541" s="25"/>
      <c r="GA541" s="14"/>
      <c r="GL541" s="735" t="s">
        <v>2163</v>
      </c>
      <c r="GM541" s="738"/>
      <c r="GN541" s="738"/>
      <c r="GO541" s="738"/>
      <c r="GP541" s="738"/>
      <c r="GQ541" s="738"/>
      <c r="GR541" s="738"/>
      <c r="GS541" s="738"/>
      <c r="GT541" s="738"/>
      <c r="GU541" s="744"/>
      <c r="GV541" s="738"/>
      <c r="GW541" s="738"/>
      <c r="GX541" s="738"/>
      <c r="GY541" s="2079" t="str">
        <f>IF(GP540&lt;&gt;0,IF(GY540&lt;&gt;0,IF(GY540=GP540,"改善済","一部改善済"),"未改善"),"要是正なし")</f>
        <v>要是正なし</v>
      </c>
      <c r="GZ541" s="2079" t="str">
        <f>IF(GQ540&lt;&gt;0,IF(GZ540&lt;&gt;0,IF(GZ540=GQ540,"改善済","一部改善済"),"未改善"),"要是正なし")</f>
        <v>要是正なし</v>
      </c>
      <c r="HA541" s="738"/>
      <c r="HB541" s="738"/>
      <c r="HC541" s="738"/>
      <c r="HD541" s="744"/>
    </row>
    <row r="542" spans="1:232" s="19" customFormat="1" ht="27" customHeight="1" x14ac:dyDescent="0.15">
      <c r="A542" s="1358"/>
      <c r="B542" s="1358"/>
      <c r="C542" s="1358"/>
      <c r="D542" s="1358"/>
      <c r="E542" s="1358"/>
      <c r="F542" s="652"/>
      <c r="G542" s="652"/>
      <c r="H542" s="652"/>
      <c r="I542" s="1359"/>
      <c r="J542" s="1359"/>
      <c r="K542" s="2644"/>
      <c r="L542" s="2644"/>
      <c r="M542" s="2644"/>
      <c r="N542" s="2644"/>
      <c r="O542" s="2644"/>
      <c r="P542" s="2644"/>
      <c r="Q542" s="2644"/>
      <c r="R542" s="2644"/>
      <c r="S542" s="1359"/>
      <c r="T542" s="1359"/>
      <c r="U542" s="1351"/>
      <c r="V542" s="1360"/>
      <c r="W542" s="1361"/>
      <c r="X542" s="1361"/>
      <c r="Y542" s="1361"/>
      <c r="Z542" s="422"/>
      <c r="AA542" s="1208"/>
      <c r="AB542" s="422"/>
      <c r="AC542" s="422"/>
      <c r="AD542" s="422"/>
      <c r="AE542" s="422"/>
      <c r="AF542" s="422"/>
      <c r="AG542" s="422"/>
      <c r="AH542" s="420"/>
      <c r="AI542" s="420"/>
      <c r="AJ542" s="420"/>
      <c r="AK542" s="420"/>
      <c r="AL542" s="420"/>
      <c r="AM542" s="420"/>
      <c r="AN542" s="420"/>
      <c r="AO542" s="420"/>
      <c r="AP542" s="422"/>
      <c r="AQ542" s="422"/>
      <c r="AR542" s="422"/>
      <c r="AS542" s="422"/>
      <c r="AT542" s="422"/>
      <c r="AU542" s="422"/>
      <c r="AV542" s="422"/>
      <c r="AW542" s="422"/>
      <c r="AX542" s="422"/>
      <c r="AY542" s="422"/>
      <c r="AZ542" s="422"/>
      <c r="BA542" s="422"/>
      <c r="BB542" s="422"/>
      <c r="BC542" s="422"/>
      <c r="BD542" s="422"/>
      <c r="BE542" s="422"/>
      <c r="BF542" s="422"/>
      <c r="BG542" s="422"/>
      <c r="BH542" s="422"/>
      <c r="BI542" s="422"/>
      <c r="BJ542" s="422"/>
      <c r="BK542" s="422"/>
      <c r="BL542" s="422"/>
      <c r="BM542" s="422"/>
      <c r="BN542" s="422"/>
      <c r="BO542" s="422"/>
      <c r="BP542" s="422"/>
      <c r="BQ542" s="422"/>
      <c r="BR542" s="422"/>
      <c r="BS542" s="422"/>
      <c r="BT542" s="422"/>
      <c r="BU542" s="422"/>
      <c r="BV542" s="420"/>
      <c r="BW542" s="420"/>
      <c r="BX542" s="420"/>
      <c r="BY542" s="420"/>
      <c r="BZ542" s="420"/>
      <c r="CA542" s="420"/>
      <c r="CB542" s="420"/>
      <c r="CC542" s="420"/>
      <c r="CD542" s="420"/>
      <c r="CE542" s="420"/>
      <c r="CF542" s="420"/>
      <c r="CG542" s="420"/>
      <c r="CH542" s="421"/>
      <c r="CI542" s="421"/>
      <c r="CJ542" s="421"/>
      <c r="CK542" s="421"/>
      <c r="CL542" s="421"/>
      <c r="CM542" s="421"/>
      <c r="CN542" s="421"/>
      <c r="CO542" s="421"/>
      <c r="CP542" s="421"/>
      <c r="CQ542" s="421"/>
      <c r="CR542" s="421"/>
      <c r="CS542" s="421"/>
      <c r="CT542" s="421"/>
      <c r="CU542" s="421"/>
      <c r="CV542" s="421"/>
      <c r="CW542" s="421"/>
      <c r="CX542" s="20"/>
      <c r="CY542" s="20"/>
      <c r="CZ542" s="20"/>
      <c r="DA542" s="20"/>
      <c r="DB542" s="20"/>
      <c r="DC542" s="15"/>
      <c r="DD542" s="20"/>
      <c r="DE542" s="20"/>
      <c r="DF542" s="20"/>
      <c r="DG542" s="20"/>
      <c r="DH542" s="20"/>
      <c r="DI542" s="1597"/>
      <c r="DJ542" s="1156"/>
      <c r="DK542" s="1155"/>
      <c r="DL542" s="14"/>
      <c r="DM542" s="2064" t="s">
        <v>325</v>
      </c>
      <c r="DN542" s="2065" t="s">
        <v>326</v>
      </c>
      <c r="DO542" s="2065" t="s">
        <v>327</v>
      </c>
      <c r="DP542" s="2066" t="s">
        <v>328</v>
      </c>
      <c r="DQ542" s="14"/>
      <c r="EB542" s="2262" t="s">
        <v>24</v>
      </c>
      <c r="EC542" s="2263"/>
      <c r="ED542" s="2263"/>
      <c r="EE542" s="2263"/>
      <c r="EF542" s="2263"/>
      <c r="EG542" s="2367" t="s">
        <v>891</v>
      </c>
      <c r="EH542" s="2368"/>
      <c r="EI542" s="2368"/>
      <c r="EJ542" s="2368"/>
      <c r="EK542" s="2941"/>
      <c r="FO542" s="25"/>
      <c r="GA542" s="14"/>
      <c r="GM542" s="2077">
        <v>1</v>
      </c>
      <c r="GN542" s="2077">
        <v>2</v>
      </c>
      <c r="GO542" s="2077">
        <v>3</v>
      </c>
      <c r="GP542" s="2077">
        <v>4</v>
      </c>
      <c r="GQ542" s="2077">
        <v>5</v>
      </c>
      <c r="GR542" s="2077">
        <v>6</v>
      </c>
      <c r="GS542" s="2077" t="s">
        <v>3398</v>
      </c>
      <c r="GT542" s="2077" t="s">
        <v>3399</v>
      </c>
      <c r="GV542" s="2077">
        <v>1</v>
      </c>
      <c r="GW542" s="2077">
        <v>2</v>
      </c>
      <c r="GX542" s="2077">
        <v>3</v>
      </c>
      <c r="GY542" s="2077">
        <v>4</v>
      </c>
      <c r="GZ542" s="2077">
        <v>5</v>
      </c>
      <c r="HA542" s="2077">
        <v>6</v>
      </c>
      <c r="HB542" s="2077" t="s">
        <v>3398</v>
      </c>
      <c r="HC542" s="2077" t="s">
        <v>3399</v>
      </c>
    </row>
    <row r="543" spans="1:232" s="19" customFormat="1" ht="27" customHeight="1" thickBot="1" x14ac:dyDescent="0.2">
      <c r="A543" s="1358"/>
      <c r="B543" s="1358"/>
      <c r="C543" s="1358"/>
      <c r="D543" s="1358"/>
      <c r="E543" s="1358"/>
      <c r="F543" s="652"/>
      <c r="G543" s="652"/>
      <c r="H543" s="652"/>
      <c r="I543" s="1359"/>
      <c r="J543" s="1359"/>
      <c r="K543" s="2644"/>
      <c r="L543" s="2644"/>
      <c r="M543" s="2644"/>
      <c r="N543" s="2644"/>
      <c r="O543" s="2644"/>
      <c r="P543" s="2644"/>
      <c r="Q543" s="2644"/>
      <c r="R543" s="2644"/>
      <c r="S543" s="1359"/>
      <c r="T543" s="1359"/>
      <c r="U543" s="1351"/>
      <c r="V543" s="1360"/>
      <c r="W543" s="1361"/>
      <c r="X543" s="1361"/>
      <c r="Y543" s="1361"/>
      <c r="Z543" s="422"/>
      <c r="AA543" s="1208"/>
      <c r="AB543" s="422"/>
      <c r="AC543" s="422"/>
      <c r="AD543" s="422"/>
      <c r="AE543" s="422"/>
      <c r="AF543" s="422"/>
      <c r="AG543" s="422"/>
      <c r="AH543" s="420"/>
      <c r="AI543" s="420"/>
      <c r="AJ543" s="420"/>
      <c r="AK543" s="420"/>
      <c r="AL543" s="420"/>
      <c r="AM543" s="420"/>
      <c r="AN543" s="420"/>
      <c r="AO543" s="420"/>
      <c r="AP543" s="422"/>
      <c r="AQ543" s="422"/>
      <c r="AR543" s="422"/>
      <c r="AS543" s="422"/>
      <c r="AT543" s="422"/>
      <c r="AU543" s="422"/>
      <c r="AV543" s="422"/>
      <c r="AW543" s="422"/>
      <c r="AX543" s="422"/>
      <c r="AY543" s="422"/>
      <c r="AZ543" s="422"/>
      <c r="BA543" s="422"/>
      <c r="BB543" s="422"/>
      <c r="BC543" s="422"/>
      <c r="BD543" s="422"/>
      <c r="BE543" s="422"/>
      <c r="BF543" s="422"/>
      <c r="BG543" s="422"/>
      <c r="BH543" s="422"/>
      <c r="BI543" s="422"/>
      <c r="BJ543" s="422"/>
      <c r="BK543" s="422"/>
      <c r="BL543" s="422"/>
      <c r="BM543" s="422"/>
      <c r="BN543" s="422"/>
      <c r="BO543" s="422"/>
      <c r="BP543" s="422"/>
      <c r="BQ543" s="422"/>
      <c r="BR543" s="422"/>
      <c r="BS543" s="422"/>
      <c r="BT543" s="422"/>
      <c r="BU543" s="422"/>
      <c r="BV543" s="420"/>
      <c r="BW543" s="420"/>
      <c r="BX543" s="420"/>
      <c r="BY543" s="420"/>
      <c r="BZ543" s="420"/>
      <c r="CA543" s="420"/>
      <c r="CB543" s="420"/>
      <c r="CC543" s="420"/>
      <c r="CD543" s="420"/>
      <c r="CE543" s="420"/>
      <c r="CF543" s="420"/>
      <c r="CG543" s="420"/>
      <c r="CH543" s="421"/>
      <c r="CI543" s="421"/>
      <c r="CJ543" s="421"/>
      <c r="CK543" s="421"/>
      <c r="CL543" s="421"/>
      <c r="CM543" s="421"/>
      <c r="CN543" s="421"/>
      <c r="CO543" s="421"/>
      <c r="CP543" s="421"/>
      <c r="CQ543" s="421"/>
      <c r="CR543" s="421"/>
      <c r="CS543" s="421"/>
      <c r="CT543" s="421"/>
      <c r="CU543" s="421"/>
      <c r="CV543" s="421"/>
      <c r="CW543" s="421"/>
      <c r="CX543" s="20"/>
      <c r="CY543" s="20"/>
      <c r="CZ543" s="20"/>
      <c r="DA543" s="20"/>
      <c r="DB543" s="20"/>
      <c r="DC543" s="15"/>
      <c r="DD543" s="20"/>
      <c r="DE543" s="20"/>
      <c r="DF543" s="20"/>
      <c r="DG543" s="20"/>
      <c r="DH543" s="20"/>
      <c r="DI543" s="1597"/>
      <c r="DJ543" s="1156"/>
      <c r="DK543" s="1155"/>
      <c r="DL543" s="14"/>
      <c r="DM543" s="436">
        <f>DM474+DM516</f>
        <v>0</v>
      </c>
      <c r="DN543" s="232">
        <f>DN474+DN516</f>
        <v>0</v>
      </c>
      <c r="DO543" s="232">
        <f>DO474+DO516</f>
        <v>0</v>
      </c>
      <c r="DP543" s="437">
        <f>DP474+DP516</f>
        <v>0</v>
      </c>
      <c r="DQ543" s="14"/>
      <c r="EB543" s="139" t="s">
        <v>910</v>
      </c>
      <c r="EC543" s="132" t="s">
        <v>909</v>
      </c>
      <c r="ED543" s="132" t="s">
        <v>903</v>
      </c>
      <c r="EE543" s="119" t="s">
        <v>904</v>
      </c>
      <c r="EF543" s="120" t="s">
        <v>905</v>
      </c>
      <c r="EG543" s="118" t="s">
        <v>901</v>
      </c>
      <c r="EH543" s="119" t="s">
        <v>902</v>
      </c>
      <c r="EI543" s="132" t="s">
        <v>903</v>
      </c>
      <c r="EJ543" s="119" t="s">
        <v>904</v>
      </c>
      <c r="EK543" s="216" t="s">
        <v>905</v>
      </c>
      <c r="FO543" s="25"/>
      <c r="GA543" s="14"/>
    </row>
    <row r="544" spans="1:232" s="19" customFormat="1" ht="27" customHeight="1" thickBot="1" x14ac:dyDescent="0.2">
      <c r="A544" s="1358"/>
      <c r="B544" s="1358"/>
      <c r="C544" s="1358"/>
      <c r="D544" s="1358"/>
      <c r="E544" s="1358"/>
      <c r="F544" s="652"/>
      <c r="G544" s="652"/>
      <c r="H544" s="652"/>
      <c r="I544" s="1359"/>
      <c r="J544" s="1359"/>
      <c r="K544" s="2644"/>
      <c r="L544" s="2644"/>
      <c r="M544" s="2644"/>
      <c r="N544" s="2644"/>
      <c r="O544" s="2644"/>
      <c r="P544" s="2644"/>
      <c r="Q544" s="2644"/>
      <c r="R544" s="2644"/>
      <c r="S544" s="1359"/>
      <c r="T544" s="1359"/>
      <c r="U544" s="1351"/>
      <c r="V544" s="1360"/>
      <c r="W544" s="1361"/>
      <c r="X544" s="1361"/>
      <c r="Y544" s="1361"/>
      <c r="Z544" s="422"/>
      <c r="AA544" s="1208"/>
      <c r="AB544" s="422"/>
      <c r="AC544" s="422"/>
      <c r="AD544" s="422"/>
      <c r="AE544" s="422"/>
      <c r="AF544" s="422"/>
      <c r="AG544" s="422"/>
      <c r="AH544" s="420"/>
      <c r="AI544" s="420"/>
      <c r="AJ544" s="420"/>
      <c r="AK544" s="420"/>
      <c r="AL544" s="420"/>
      <c r="AM544" s="420"/>
      <c r="AN544" s="420"/>
      <c r="AO544" s="420"/>
      <c r="AP544" s="422"/>
      <c r="AQ544" s="422"/>
      <c r="AR544" s="422"/>
      <c r="AS544" s="422"/>
      <c r="AT544" s="422"/>
      <c r="AU544" s="422"/>
      <c r="AV544" s="422"/>
      <c r="AW544" s="422"/>
      <c r="AX544" s="422"/>
      <c r="AY544" s="422"/>
      <c r="AZ544" s="422"/>
      <c r="BA544" s="422"/>
      <c r="BB544" s="422"/>
      <c r="BC544" s="422"/>
      <c r="BD544" s="422"/>
      <c r="BE544" s="422"/>
      <c r="BF544" s="422"/>
      <c r="BG544" s="422"/>
      <c r="BH544" s="422"/>
      <c r="BI544" s="422"/>
      <c r="BJ544" s="422"/>
      <c r="BK544" s="422"/>
      <c r="BL544" s="422"/>
      <c r="BM544" s="422"/>
      <c r="BN544" s="422"/>
      <c r="BO544" s="422"/>
      <c r="BP544" s="422"/>
      <c r="BQ544" s="422"/>
      <c r="BR544" s="422"/>
      <c r="BS544" s="422"/>
      <c r="BT544" s="422"/>
      <c r="BU544" s="422"/>
      <c r="BV544" s="420"/>
      <c r="BW544" s="420"/>
      <c r="BX544" s="420"/>
      <c r="BY544" s="420"/>
      <c r="BZ544" s="420"/>
      <c r="CA544" s="420"/>
      <c r="CB544" s="420"/>
      <c r="CC544" s="420"/>
      <c r="CD544" s="420"/>
      <c r="CE544" s="420"/>
      <c r="CF544" s="420"/>
      <c r="CG544" s="420"/>
      <c r="CH544" s="421"/>
      <c r="CI544" s="421"/>
      <c r="CJ544" s="421"/>
      <c r="CK544" s="421"/>
      <c r="CL544" s="421"/>
      <c r="CM544" s="421"/>
      <c r="CN544" s="421"/>
      <c r="CO544" s="421"/>
      <c r="CP544" s="421"/>
      <c r="CQ544" s="421"/>
      <c r="CR544" s="421"/>
      <c r="CS544" s="421"/>
      <c r="CT544" s="421"/>
      <c r="CU544" s="421"/>
      <c r="CV544" s="421"/>
      <c r="CW544" s="421"/>
      <c r="CX544" s="20"/>
      <c r="CY544" s="20"/>
      <c r="CZ544" s="20"/>
      <c r="DA544" s="20"/>
      <c r="DB544" s="20"/>
      <c r="DC544" s="15"/>
      <c r="DD544" s="20"/>
      <c r="DE544" s="20"/>
      <c r="DF544" s="20"/>
      <c r="DG544" s="20"/>
      <c r="DH544" s="20"/>
      <c r="DI544" s="1597"/>
      <c r="DJ544" s="1156"/>
      <c r="DK544" s="1155"/>
      <c r="DL544" s="14"/>
      <c r="DM544" s="2076" t="str">
        <f>IF(AND(DN544="",DO544="",DP544="",DM543&lt;&gt;0),"レ","")</f>
        <v/>
      </c>
      <c r="DN544" s="2067" t="str">
        <f>IF(AND(DO544="",DP544="",DN543&lt;&gt;0),"レ","")</f>
        <v/>
      </c>
      <c r="DO544" s="2067" t="str">
        <f>IF(DO543&lt;&gt;0,"レ","")</f>
        <v/>
      </c>
      <c r="DP544" s="2057" t="str">
        <f>IF(AND(DO544="",DP543&lt;&gt;0),"レ","")</f>
        <v/>
      </c>
      <c r="DQ544" s="14"/>
      <c r="EB544" s="2060" t="str">
        <f>IF(OR(EB433="レ",EB494="レ"),"レ","")</f>
        <v/>
      </c>
      <c r="EC544" s="202"/>
      <c r="ED544" s="2061" t="str">
        <f>IF(EE474&lt;EE516,ED433,ED494)</f>
        <v/>
      </c>
      <c r="EE544" s="2061" t="str">
        <f>IF(EE474&lt;EE516,EE433,EE494)</f>
        <v/>
      </c>
      <c r="EF544" s="2062" t="str">
        <f>IF(OR(EF433="レ",EF494="レ"),"レ","")</f>
        <v/>
      </c>
      <c r="EG544" s="2060" t="str">
        <f>IF(OR(EG433="レ",EG494="レ"),"レ","")</f>
        <v/>
      </c>
      <c r="EH544" s="202"/>
      <c r="EI544" s="2061" t="str">
        <f>IF(EJ474&lt;EJ516,EI433,EI494)</f>
        <v/>
      </c>
      <c r="EJ544" s="2061" t="str">
        <f>IF(EJ474&lt;EJ516,EJ433,EJ494)</f>
        <v/>
      </c>
      <c r="EK544" s="2062" t="str">
        <f>IF(OR(EK433="レ",EK494="レ"),"レ","")</f>
        <v/>
      </c>
      <c r="ES544" s="1973" t="str">
        <f>$GZ$541</f>
        <v>要是正なし</v>
      </c>
      <c r="FO544" s="25"/>
      <c r="GA544" s="14"/>
    </row>
    <row r="545" spans="1:183" s="19" customFormat="1" ht="27" customHeight="1" x14ac:dyDescent="0.15">
      <c r="A545" s="1358"/>
      <c r="B545" s="1358"/>
      <c r="C545" s="1358"/>
      <c r="D545" s="1358"/>
      <c r="E545" s="1358"/>
      <c r="F545" s="652"/>
      <c r="G545" s="652"/>
      <c r="H545" s="652"/>
      <c r="I545" s="1359"/>
      <c r="J545" s="1359"/>
      <c r="K545" s="2644"/>
      <c r="L545" s="2644"/>
      <c r="M545" s="2644"/>
      <c r="N545" s="2644"/>
      <c r="O545" s="2644"/>
      <c r="P545" s="2644"/>
      <c r="Q545" s="2644"/>
      <c r="R545" s="2644"/>
      <c r="S545" s="1359"/>
      <c r="T545" s="1359"/>
      <c r="U545" s="1351"/>
      <c r="V545" s="1360"/>
      <c r="W545" s="1361"/>
      <c r="X545" s="1361"/>
      <c r="Y545" s="1361"/>
      <c r="Z545" s="422"/>
      <c r="AA545" s="1208"/>
      <c r="AB545" s="422"/>
      <c r="AC545" s="422"/>
      <c r="AD545" s="422"/>
      <c r="AE545" s="422"/>
      <c r="AF545" s="422"/>
      <c r="AG545" s="422"/>
      <c r="AH545" s="420"/>
      <c r="AI545" s="420"/>
      <c r="AJ545" s="420"/>
      <c r="AK545" s="420"/>
      <c r="AL545" s="420"/>
      <c r="AM545" s="420"/>
      <c r="AN545" s="420"/>
      <c r="AO545" s="420"/>
      <c r="AP545" s="422"/>
      <c r="AQ545" s="422"/>
      <c r="AR545" s="422"/>
      <c r="AS545" s="422"/>
      <c r="AT545" s="422"/>
      <c r="AU545" s="422"/>
      <c r="AV545" s="422"/>
      <c r="AW545" s="422"/>
      <c r="AX545" s="422"/>
      <c r="AY545" s="422"/>
      <c r="AZ545" s="422"/>
      <c r="BA545" s="422"/>
      <c r="BB545" s="422"/>
      <c r="BC545" s="422"/>
      <c r="BD545" s="422"/>
      <c r="BE545" s="422"/>
      <c r="BF545" s="422"/>
      <c r="BG545" s="422"/>
      <c r="BH545" s="422"/>
      <c r="BI545" s="422"/>
      <c r="BJ545" s="422"/>
      <c r="BK545" s="422"/>
      <c r="BL545" s="422"/>
      <c r="BM545" s="422"/>
      <c r="BN545" s="422"/>
      <c r="BO545" s="422"/>
      <c r="BP545" s="422"/>
      <c r="BQ545" s="422"/>
      <c r="BR545" s="422"/>
      <c r="BS545" s="422"/>
      <c r="BT545" s="422"/>
      <c r="BU545" s="422"/>
      <c r="BV545" s="420"/>
      <c r="BW545" s="420"/>
      <c r="BX545" s="420"/>
      <c r="BY545" s="420"/>
      <c r="BZ545" s="420"/>
      <c r="CA545" s="420"/>
      <c r="CB545" s="420"/>
      <c r="CC545" s="420"/>
      <c r="CD545" s="420"/>
      <c r="CE545" s="420"/>
      <c r="CF545" s="420"/>
      <c r="CG545" s="420"/>
      <c r="CH545" s="421"/>
      <c r="CI545" s="421"/>
      <c r="CJ545" s="421"/>
      <c r="CK545" s="421"/>
      <c r="CL545" s="421"/>
      <c r="CM545" s="421"/>
      <c r="CN545" s="421"/>
      <c r="CO545" s="421"/>
      <c r="CP545" s="421"/>
      <c r="CQ545" s="421"/>
      <c r="CR545" s="421"/>
      <c r="CS545" s="421"/>
      <c r="CT545" s="421"/>
      <c r="CU545" s="421"/>
      <c r="CV545" s="421"/>
      <c r="CW545" s="421"/>
      <c r="CX545" s="20"/>
      <c r="CY545" s="20"/>
      <c r="CZ545" s="20"/>
      <c r="DA545" s="20"/>
      <c r="DB545" s="20"/>
      <c r="DC545" s="15"/>
      <c r="DD545" s="20"/>
      <c r="DE545" s="20"/>
      <c r="DF545" s="20"/>
      <c r="DG545" s="20"/>
      <c r="DH545" s="20"/>
      <c r="DI545" s="1597"/>
      <c r="DJ545" s="1156"/>
      <c r="DK545" s="1155"/>
      <c r="DL545" s="14"/>
      <c r="DM545" s="14"/>
      <c r="DN545" s="14"/>
      <c r="DO545" s="14"/>
      <c r="DP545" s="14"/>
      <c r="DQ545" s="14"/>
      <c r="EG545" s="72"/>
      <c r="EH545" s="72"/>
      <c r="EI545" s="72"/>
      <c r="EJ545" s="72"/>
      <c r="EK545" s="72"/>
      <c r="FO545" s="25"/>
      <c r="GA545" s="14"/>
    </row>
    <row r="546" spans="1:183" s="19" customFormat="1" ht="27" customHeight="1" x14ac:dyDescent="0.15">
      <c r="A546" s="1358"/>
      <c r="B546" s="1358"/>
      <c r="C546" s="1358"/>
      <c r="D546" s="1358"/>
      <c r="E546" s="1358"/>
      <c r="F546" s="652"/>
      <c r="G546" s="652"/>
      <c r="H546" s="652"/>
      <c r="I546" s="1359"/>
      <c r="J546" s="1359"/>
      <c r="K546" s="2644"/>
      <c r="L546" s="2644"/>
      <c r="M546" s="2644"/>
      <c r="N546" s="2644"/>
      <c r="O546" s="2644"/>
      <c r="P546" s="2644"/>
      <c r="Q546" s="2644"/>
      <c r="R546" s="2644"/>
      <c r="S546" s="1359"/>
      <c r="T546" s="1359"/>
      <c r="U546" s="1351"/>
      <c r="V546" s="1360"/>
      <c r="W546" s="1361"/>
      <c r="X546" s="1361"/>
      <c r="Y546" s="1361"/>
      <c r="Z546" s="422"/>
      <c r="AA546" s="1208"/>
      <c r="AB546" s="422"/>
      <c r="AC546" s="422"/>
      <c r="AD546" s="422"/>
      <c r="AE546" s="422"/>
      <c r="AF546" s="422"/>
      <c r="AG546" s="422"/>
      <c r="AH546" s="420"/>
      <c r="AI546" s="420"/>
      <c r="AJ546" s="420"/>
      <c r="AK546" s="420"/>
      <c r="AL546" s="420"/>
      <c r="AM546" s="420"/>
      <c r="AN546" s="420"/>
      <c r="AO546" s="420"/>
      <c r="AP546" s="422"/>
      <c r="AQ546" s="422"/>
      <c r="AR546" s="422"/>
      <c r="AS546" s="422"/>
      <c r="AT546" s="422"/>
      <c r="AU546" s="422"/>
      <c r="AV546" s="422"/>
      <c r="AW546" s="422"/>
      <c r="AX546" s="422"/>
      <c r="AY546" s="422"/>
      <c r="AZ546" s="422"/>
      <c r="BA546" s="422"/>
      <c r="BB546" s="422"/>
      <c r="BC546" s="422"/>
      <c r="BD546" s="422"/>
      <c r="BE546" s="422"/>
      <c r="BF546" s="422"/>
      <c r="BG546" s="422"/>
      <c r="BH546" s="422"/>
      <c r="BI546" s="422"/>
      <c r="BJ546" s="422"/>
      <c r="BK546" s="422"/>
      <c r="BL546" s="422"/>
      <c r="BM546" s="422"/>
      <c r="BN546" s="422"/>
      <c r="BO546" s="422"/>
      <c r="BP546" s="422"/>
      <c r="BQ546" s="422"/>
      <c r="BR546" s="422"/>
      <c r="BS546" s="422"/>
      <c r="BT546" s="422"/>
      <c r="BU546" s="422"/>
      <c r="BV546" s="420"/>
      <c r="BW546" s="420"/>
      <c r="BX546" s="420"/>
      <c r="BY546" s="420"/>
      <c r="BZ546" s="420"/>
      <c r="CA546" s="420"/>
      <c r="CB546" s="420"/>
      <c r="CC546" s="420"/>
      <c r="CD546" s="420"/>
      <c r="CE546" s="420"/>
      <c r="CF546" s="420"/>
      <c r="CG546" s="420"/>
      <c r="CH546" s="421"/>
      <c r="CI546" s="421"/>
      <c r="CJ546" s="421"/>
      <c r="CK546" s="421"/>
      <c r="CL546" s="421"/>
      <c r="CM546" s="421"/>
      <c r="CN546" s="421"/>
      <c r="CO546" s="421"/>
      <c r="CP546" s="421"/>
      <c r="CQ546" s="421"/>
      <c r="CR546" s="421"/>
      <c r="CS546" s="421"/>
      <c r="CT546" s="421"/>
      <c r="CU546" s="421"/>
      <c r="CV546" s="421"/>
      <c r="CW546" s="421"/>
      <c r="CX546" s="20"/>
      <c r="CY546" s="20"/>
      <c r="CZ546" s="20"/>
      <c r="DA546" s="20"/>
      <c r="DB546" s="20"/>
      <c r="DC546" s="15"/>
      <c r="DD546" s="20"/>
      <c r="DE546" s="20"/>
      <c r="DF546" s="20"/>
      <c r="DG546" s="20"/>
      <c r="DH546" s="20"/>
      <c r="DI546" s="1597"/>
      <c r="DJ546" s="1156"/>
      <c r="DK546" s="1155"/>
      <c r="DL546" s="14"/>
      <c r="DM546" s="14"/>
      <c r="DN546" s="14"/>
      <c r="DO546" s="14"/>
      <c r="DP546" s="14"/>
      <c r="DQ546" s="14"/>
      <c r="EG546" s="72"/>
      <c r="EH546" s="72"/>
      <c r="EI546" s="72"/>
      <c r="EJ546" s="72"/>
      <c r="EK546" s="72"/>
      <c r="FO546" s="25"/>
      <c r="GA546" s="14"/>
    </row>
    <row r="547" spans="1:183" s="19" customFormat="1" ht="27" customHeight="1" x14ac:dyDescent="0.15">
      <c r="A547" s="1358"/>
      <c r="B547" s="1358"/>
      <c r="C547" s="1358"/>
      <c r="D547" s="1358"/>
      <c r="E547" s="1358"/>
      <c r="F547" s="652"/>
      <c r="G547" s="652"/>
      <c r="H547" s="652"/>
      <c r="I547" s="1359"/>
      <c r="J547" s="1359"/>
      <c r="K547" s="2644"/>
      <c r="L547" s="2644"/>
      <c r="M547" s="2644"/>
      <c r="N547" s="2644"/>
      <c r="O547" s="2644"/>
      <c r="P547" s="2644"/>
      <c r="Q547" s="2644"/>
      <c r="R547" s="2644"/>
      <c r="S547" s="1359"/>
      <c r="T547" s="1359"/>
      <c r="U547" s="1351"/>
      <c r="V547" s="1360"/>
      <c r="W547" s="1361"/>
      <c r="X547" s="1361"/>
      <c r="Y547" s="1361"/>
      <c r="Z547" s="422"/>
      <c r="AA547" s="1208"/>
      <c r="AB547" s="422"/>
      <c r="AC547" s="422"/>
      <c r="AD547" s="422"/>
      <c r="AE547" s="422"/>
      <c r="AF547" s="422"/>
      <c r="AG547" s="422"/>
      <c r="AH547" s="420"/>
      <c r="AI547" s="420"/>
      <c r="AJ547" s="420"/>
      <c r="AK547" s="420"/>
      <c r="AL547" s="420"/>
      <c r="AM547" s="420"/>
      <c r="AN547" s="420"/>
      <c r="AO547" s="420"/>
      <c r="AP547" s="422"/>
      <c r="AQ547" s="422"/>
      <c r="AR547" s="422"/>
      <c r="AS547" s="422"/>
      <c r="AT547" s="422"/>
      <c r="AU547" s="422"/>
      <c r="AV547" s="422"/>
      <c r="AW547" s="422"/>
      <c r="AX547" s="422"/>
      <c r="AY547" s="422"/>
      <c r="AZ547" s="422"/>
      <c r="BA547" s="422"/>
      <c r="BB547" s="422"/>
      <c r="BC547" s="422"/>
      <c r="BD547" s="422"/>
      <c r="BE547" s="422"/>
      <c r="BF547" s="422"/>
      <c r="BG547" s="422"/>
      <c r="BH547" s="422"/>
      <c r="BI547" s="422"/>
      <c r="BJ547" s="422"/>
      <c r="BK547" s="422"/>
      <c r="BL547" s="422"/>
      <c r="BM547" s="422"/>
      <c r="BN547" s="422"/>
      <c r="BO547" s="422"/>
      <c r="BP547" s="422"/>
      <c r="BQ547" s="422"/>
      <c r="BR547" s="422"/>
      <c r="BS547" s="422"/>
      <c r="BT547" s="422"/>
      <c r="BU547" s="422"/>
      <c r="BV547" s="420"/>
      <c r="BW547" s="420"/>
      <c r="BX547" s="420"/>
      <c r="BY547" s="420"/>
      <c r="BZ547" s="420"/>
      <c r="CA547" s="420"/>
      <c r="CB547" s="420"/>
      <c r="CC547" s="420"/>
      <c r="CD547" s="420"/>
      <c r="CE547" s="420"/>
      <c r="CF547" s="420"/>
      <c r="CG547" s="420"/>
      <c r="CH547" s="421"/>
      <c r="CI547" s="421"/>
      <c r="CJ547" s="421"/>
      <c r="CK547" s="421"/>
      <c r="CL547" s="421"/>
      <c r="CM547" s="421"/>
      <c r="CN547" s="421"/>
      <c r="CO547" s="421"/>
      <c r="CP547" s="421"/>
      <c r="CQ547" s="421"/>
      <c r="CR547" s="421"/>
      <c r="CS547" s="421"/>
      <c r="CT547" s="421"/>
      <c r="CU547" s="421"/>
      <c r="CV547" s="421"/>
      <c r="CW547" s="421"/>
      <c r="CX547" s="20"/>
      <c r="CY547" s="20"/>
      <c r="CZ547" s="20"/>
      <c r="DA547" s="20"/>
      <c r="DB547" s="20"/>
      <c r="DC547" s="15"/>
      <c r="DD547" s="20"/>
      <c r="DE547" s="20"/>
      <c r="DF547" s="20"/>
      <c r="DG547" s="20"/>
      <c r="DH547" s="20"/>
      <c r="DI547" s="1597"/>
      <c r="DJ547" s="1156"/>
      <c r="DK547" s="1155"/>
      <c r="DL547" s="14"/>
      <c r="DM547" s="14"/>
      <c r="DN547" s="14"/>
      <c r="DO547" s="14"/>
      <c r="DP547" s="14"/>
      <c r="DQ547" s="14"/>
      <c r="EG547" s="72"/>
      <c r="EH547" s="72"/>
      <c r="EI547" s="72"/>
      <c r="EJ547" s="72"/>
      <c r="EK547" s="72"/>
      <c r="FO547" s="25"/>
      <c r="GA547" s="14"/>
    </row>
    <row r="548" spans="1:183" s="19" customFormat="1" ht="27" customHeight="1" x14ac:dyDescent="0.15">
      <c r="A548" s="1358"/>
      <c r="B548" s="1358"/>
      <c r="C548" s="1358"/>
      <c r="D548" s="1358"/>
      <c r="E548" s="1358"/>
      <c r="F548" s="652"/>
      <c r="G548" s="652"/>
      <c r="H548" s="652"/>
      <c r="I548" s="420"/>
      <c r="J548" s="420"/>
      <c r="K548" s="420"/>
      <c r="L548" s="420"/>
      <c r="M548" s="420"/>
      <c r="N548" s="420"/>
      <c r="O548" s="420"/>
      <c r="P548" s="420"/>
      <c r="Q548" s="420"/>
      <c r="R548" s="420"/>
      <c r="S548" s="420"/>
      <c r="T548" s="420"/>
      <c r="U548" s="420"/>
      <c r="V548" s="420"/>
      <c r="W548" s="420"/>
      <c r="X548" s="420"/>
      <c r="Y548" s="420"/>
      <c r="Z548" s="420"/>
      <c r="AA548" s="420"/>
      <c r="AB548" s="420"/>
      <c r="AC548" s="422"/>
      <c r="AD548" s="422"/>
      <c r="AE548" s="422"/>
      <c r="AF548" s="422"/>
      <c r="AG548" s="422"/>
      <c r="AH548" s="422"/>
      <c r="AI548" s="422"/>
      <c r="AJ548" s="422"/>
      <c r="AK548" s="422"/>
      <c r="AL548" s="422"/>
      <c r="AM548" s="422"/>
      <c r="AN548" s="422"/>
      <c r="AO548" s="422"/>
      <c r="AP548" s="422"/>
      <c r="AQ548" s="422"/>
      <c r="AR548" s="422"/>
      <c r="AS548" s="422"/>
      <c r="AT548" s="422"/>
      <c r="AU548" s="422"/>
      <c r="AV548" s="422"/>
      <c r="AW548" s="422"/>
      <c r="AX548" s="422"/>
      <c r="AY548" s="422"/>
      <c r="AZ548" s="422"/>
      <c r="BA548" s="422"/>
      <c r="BB548" s="422"/>
      <c r="BC548" s="422"/>
      <c r="BD548" s="422"/>
      <c r="BE548" s="422"/>
      <c r="BF548" s="422"/>
      <c r="BG548" s="422"/>
      <c r="BH548" s="422"/>
      <c r="BI548" s="422"/>
      <c r="BJ548" s="422"/>
      <c r="BK548" s="422"/>
      <c r="BL548" s="422"/>
      <c r="BM548" s="422"/>
      <c r="BN548" s="422"/>
      <c r="BO548" s="422"/>
      <c r="BP548" s="422"/>
      <c r="BQ548" s="422"/>
      <c r="BR548" s="422"/>
      <c r="BS548" s="422"/>
      <c r="BT548" s="422"/>
      <c r="BU548" s="422"/>
      <c r="BV548" s="422"/>
      <c r="BW548" s="420"/>
      <c r="BX548" s="420"/>
      <c r="BY548" s="420"/>
      <c r="BZ548" s="420"/>
      <c r="CA548" s="420"/>
      <c r="CB548" s="420"/>
      <c r="CC548" s="420"/>
      <c r="CD548" s="420"/>
      <c r="CE548" s="420"/>
      <c r="CF548" s="420"/>
      <c r="CG548" s="420"/>
      <c r="CH548" s="421"/>
      <c r="CI548" s="421"/>
      <c r="CJ548" s="421"/>
      <c r="CK548" s="421"/>
      <c r="CL548" s="421"/>
      <c r="CM548" s="421"/>
      <c r="CN548" s="421"/>
      <c r="CO548" s="421"/>
      <c r="CP548" s="421"/>
      <c r="CQ548" s="421"/>
      <c r="CR548" s="421"/>
      <c r="CS548" s="421"/>
      <c r="CT548" s="421"/>
      <c r="CU548" s="421"/>
      <c r="CV548" s="421"/>
      <c r="CW548" s="421"/>
      <c r="CX548" s="20"/>
      <c r="CY548" s="20"/>
      <c r="CZ548" s="20"/>
      <c r="DA548" s="20"/>
      <c r="DB548" s="20"/>
      <c r="DC548" s="15"/>
      <c r="DD548" s="20"/>
      <c r="DE548" s="20"/>
      <c r="DF548" s="20"/>
      <c r="DG548" s="20"/>
      <c r="DH548" s="20"/>
      <c r="DI548" s="1597"/>
      <c r="DJ548" s="1156"/>
      <c r="DK548" s="1155"/>
      <c r="DL548" s="14"/>
      <c r="DM548" s="14"/>
      <c r="DN548" s="14"/>
      <c r="DO548" s="14"/>
      <c r="DP548" s="14"/>
      <c r="DQ548" s="14"/>
      <c r="EG548" s="72"/>
      <c r="EH548" s="72"/>
      <c r="EI548" s="72"/>
      <c r="EJ548" s="72"/>
      <c r="EK548" s="72"/>
      <c r="FO548" s="25"/>
      <c r="GA548" s="14"/>
    </row>
    <row r="549" spans="1:183" s="19" customFormat="1" ht="27" customHeight="1" x14ac:dyDescent="0.15">
      <c r="A549" s="1358"/>
      <c r="B549" s="1358"/>
      <c r="C549" s="1358"/>
      <c r="D549" s="1358"/>
      <c r="E549" s="1358"/>
      <c r="F549" s="652"/>
      <c r="G549" s="652"/>
      <c r="H549" s="652"/>
      <c r="I549" s="420"/>
      <c r="J549" s="420"/>
      <c r="K549" s="420"/>
      <c r="L549" s="420"/>
      <c r="M549" s="420"/>
      <c r="N549" s="420"/>
      <c r="O549" s="420"/>
      <c r="P549" s="420"/>
      <c r="Q549" s="420"/>
      <c r="R549" s="420"/>
      <c r="S549" s="420"/>
      <c r="T549" s="420"/>
      <c r="U549" s="420"/>
      <c r="V549" s="420"/>
      <c r="W549" s="420"/>
      <c r="X549" s="420"/>
      <c r="Y549" s="420"/>
      <c r="Z549" s="420"/>
      <c r="AA549" s="420"/>
      <c r="AB549" s="422"/>
      <c r="AC549" s="422"/>
      <c r="AD549" s="422"/>
      <c r="AE549" s="422"/>
      <c r="AF549" s="422"/>
      <c r="AG549" s="422"/>
      <c r="AH549" s="422"/>
      <c r="AI549" s="422"/>
      <c r="AJ549" s="422"/>
      <c r="AK549" s="422"/>
      <c r="AL549" s="422"/>
      <c r="AM549" s="422"/>
      <c r="AN549" s="422"/>
      <c r="AO549" s="422"/>
      <c r="AP549" s="422"/>
      <c r="AQ549" s="422"/>
      <c r="AR549" s="422"/>
      <c r="AS549" s="422"/>
      <c r="AT549" s="422"/>
      <c r="AU549" s="422"/>
      <c r="AV549" s="422"/>
      <c r="AW549" s="422"/>
      <c r="AX549" s="422"/>
      <c r="AY549" s="422"/>
      <c r="AZ549" s="422"/>
      <c r="BA549" s="422"/>
      <c r="BB549" s="422"/>
      <c r="BC549" s="422"/>
      <c r="BD549" s="422"/>
      <c r="BE549" s="422"/>
      <c r="BF549" s="422"/>
      <c r="BG549" s="422"/>
      <c r="BH549" s="422"/>
      <c r="BI549" s="422"/>
      <c r="BJ549" s="422"/>
      <c r="BK549" s="422"/>
      <c r="BL549" s="422"/>
      <c r="BM549" s="422"/>
      <c r="BN549" s="422"/>
      <c r="BO549" s="422"/>
      <c r="BP549" s="422"/>
      <c r="BQ549" s="422"/>
      <c r="BR549" s="422"/>
      <c r="BS549" s="422"/>
      <c r="BT549" s="422"/>
      <c r="BU549" s="422"/>
      <c r="BV549" s="420"/>
      <c r="BW549" s="420"/>
      <c r="BX549" s="420"/>
      <c r="BY549" s="420"/>
      <c r="BZ549" s="420"/>
      <c r="CA549" s="420"/>
      <c r="CB549" s="420"/>
      <c r="CC549" s="420"/>
      <c r="CD549" s="420"/>
      <c r="CE549" s="420"/>
      <c r="CF549" s="420"/>
      <c r="CG549" s="420"/>
      <c r="CH549" s="421"/>
      <c r="CI549" s="421"/>
      <c r="CJ549" s="421"/>
      <c r="CK549" s="421"/>
      <c r="CL549" s="421"/>
      <c r="CM549" s="421"/>
      <c r="CN549" s="421"/>
      <c r="CO549" s="421"/>
      <c r="CP549" s="421"/>
      <c r="CQ549" s="421"/>
      <c r="CR549" s="421"/>
      <c r="CS549" s="421"/>
      <c r="CT549" s="421"/>
      <c r="CU549" s="421"/>
      <c r="CV549" s="421"/>
      <c r="CW549" s="421"/>
      <c r="CX549" s="20"/>
      <c r="CY549" s="20"/>
      <c r="CZ549" s="20"/>
      <c r="DA549" s="20"/>
      <c r="DB549" s="20"/>
      <c r="DC549" s="15"/>
      <c r="DD549" s="20"/>
      <c r="DE549" s="20"/>
      <c r="DF549" s="20"/>
      <c r="DG549" s="20"/>
      <c r="DH549" s="20"/>
      <c r="DI549" s="1597"/>
      <c r="DJ549" s="1156"/>
      <c r="DK549" s="1163"/>
      <c r="DL549" s="14"/>
      <c r="DM549" s="14"/>
      <c r="DN549" s="14"/>
      <c r="DO549" s="14"/>
      <c r="DP549" s="14"/>
      <c r="DQ549" s="14"/>
      <c r="EG549" s="72"/>
      <c r="EH549" s="72"/>
      <c r="EI549" s="72"/>
      <c r="EJ549" s="72"/>
      <c r="EK549" s="72"/>
      <c r="FO549" s="25"/>
      <c r="GA549" s="14"/>
    </row>
    <row r="550" spans="1:183" ht="27" customHeight="1" x14ac:dyDescent="0.15">
      <c r="AB550" s="422"/>
      <c r="AC550" s="422"/>
      <c r="AD550" s="422"/>
      <c r="AE550" s="422"/>
      <c r="AF550" s="422"/>
      <c r="AG550" s="422"/>
      <c r="AH550" s="422"/>
      <c r="AI550" s="422"/>
      <c r="AJ550" s="422"/>
      <c r="AK550" s="422"/>
      <c r="AL550" s="422"/>
      <c r="AM550" s="422"/>
      <c r="AN550" s="422"/>
      <c r="AO550" s="422"/>
      <c r="AP550" s="422"/>
      <c r="AQ550" s="422"/>
      <c r="AR550" s="422"/>
      <c r="AS550" s="422"/>
      <c r="AT550" s="422"/>
      <c r="AU550" s="422"/>
      <c r="AV550" s="422"/>
      <c r="AW550" s="422"/>
      <c r="AX550" s="422"/>
      <c r="AY550" s="422"/>
      <c r="AZ550" s="422"/>
      <c r="BA550" s="422"/>
      <c r="BB550" s="422"/>
      <c r="BC550" s="422"/>
      <c r="BD550" s="422"/>
      <c r="BE550" s="422"/>
      <c r="BF550" s="422"/>
      <c r="BG550" s="422"/>
      <c r="BH550" s="422"/>
      <c r="BI550" s="422"/>
      <c r="BJ550" s="422"/>
      <c r="BK550" s="422"/>
      <c r="BL550" s="422"/>
      <c r="BM550" s="422"/>
      <c r="BN550" s="422"/>
      <c r="BO550" s="422"/>
      <c r="BP550" s="422"/>
      <c r="BQ550" s="422"/>
      <c r="BR550" s="422"/>
      <c r="BS550" s="422"/>
      <c r="BT550" s="422"/>
      <c r="BU550" s="745"/>
      <c r="BV550" s="401"/>
      <c r="BW550" s="401"/>
      <c r="BX550" s="401"/>
      <c r="BY550" s="401"/>
      <c r="BZ550" s="401"/>
      <c r="CA550" s="401"/>
      <c r="CB550" s="401"/>
      <c r="CC550" s="401"/>
      <c r="CD550" s="401"/>
      <c r="CE550" s="401"/>
      <c r="CF550" s="401"/>
      <c r="CG550" s="401"/>
      <c r="DQ550" s="14"/>
      <c r="DR550" s="19"/>
      <c r="DS550" s="19"/>
      <c r="DT550" s="19"/>
      <c r="DU550" s="19"/>
      <c r="DV550" s="19"/>
      <c r="DW550" s="19"/>
      <c r="DX550" s="19"/>
      <c r="DY550" s="19"/>
      <c r="DZ550" s="19"/>
      <c r="EA550" s="19"/>
      <c r="EB550" s="19"/>
      <c r="EC550" s="19"/>
      <c r="ED550" s="19"/>
      <c r="EE550" s="19"/>
      <c r="EF550" s="19"/>
      <c r="EL550" s="19"/>
      <c r="EM550" s="19"/>
      <c r="EN550" s="19"/>
      <c r="EO550" s="19"/>
      <c r="FQ550" s="19"/>
      <c r="FR550" s="19"/>
      <c r="FS550" s="19"/>
      <c r="FT550" s="19"/>
      <c r="FU550" s="19"/>
      <c r="FV550" s="73"/>
      <c r="FW550" s="73"/>
      <c r="FX550" s="73"/>
      <c r="FY550" s="73"/>
      <c r="FZ550" s="73"/>
    </row>
    <row r="551" spans="1:183" ht="27" customHeight="1" x14ac:dyDescent="0.15">
      <c r="AB551" s="422"/>
      <c r="AC551" s="422"/>
      <c r="AD551" s="422"/>
      <c r="AE551" s="422"/>
      <c r="AF551" s="422"/>
      <c r="AG551" s="422"/>
      <c r="AH551" s="422"/>
      <c r="AI551" s="422"/>
      <c r="AJ551" s="422"/>
      <c r="AK551" s="422"/>
      <c r="AL551" s="422"/>
      <c r="AM551" s="422"/>
      <c r="AN551" s="422"/>
      <c r="AO551" s="422"/>
      <c r="AP551" s="422"/>
      <c r="AQ551" s="422"/>
      <c r="AR551" s="422"/>
      <c r="AS551" s="422"/>
      <c r="AT551" s="422"/>
      <c r="AU551" s="422"/>
      <c r="AV551" s="422"/>
      <c r="AW551" s="422"/>
      <c r="AX551" s="422"/>
      <c r="AY551" s="422"/>
      <c r="AZ551" s="422"/>
      <c r="BA551" s="422"/>
      <c r="BB551" s="422"/>
      <c r="BC551" s="422"/>
      <c r="BD551" s="422"/>
      <c r="BE551" s="422"/>
      <c r="BF551" s="422"/>
      <c r="BG551" s="422"/>
      <c r="BH551" s="422"/>
      <c r="BI551" s="422"/>
      <c r="BJ551" s="422"/>
      <c r="BK551" s="422"/>
      <c r="BL551" s="422"/>
      <c r="BM551" s="422"/>
      <c r="BN551" s="422"/>
      <c r="BO551" s="422"/>
      <c r="BP551" s="422"/>
      <c r="BQ551" s="422"/>
      <c r="BR551" s="422"/>
      <c r="BS551" s="422"/>
      <c r="BT551" s="422"/>
      <c r="BU551" s="745"/>
      <c r="BV551" s="401"/>
      <c r="BW551" s="401"/>
      <c r="BX551" s="401"/>
      <c r="BY551" s="401"/>
      <c r="BZ551" s="401"/>
      <c r="CA551" s="401"/>
      <c r="CB551" s="401"/>
      <c r="CC551" s="401"/>
      <c r="CD551" s="401"/>
      <c r="CE551" s="401"/>
      <c r="CF551" s="401"/>
      <c r="CG551" s="401"/>
      <c r="DQ551" s="14"/>
      <c r="DR551" s="19"/>
      <c r="DS551" s="19"/>
      <c r="DT551" s="19"/>
      <c r="DU551" s="19"/>
      <c r="DV551" s="19"/>
      <c r="DW551" s="19"/>
      <c r="DX551" s="19"/>
      <c r="DY551" s="19"/>
      <c r="DZ551" s="19"/>
      <c r="EA551" s="19"/>
      <c r="EB551" s="19"/>
      <c r="EC551" s="19"/>
      <c r="ED551" s="19"/>
      <c r="EE551" s="19"/>
      <c r="EF551" s="19"/>
      <c r="EL551" s="19"/>
      <c r="EM551" s="19"/>
      <c r="EN551" s="19"/>
      <c r="EO551" s="19"/>
      <c r="FQ551" s="19"/>
      <c r="FR551" s="19"/>
      <c r="FS551" s="19"/>
      <c r="FT551" s="19"/>
      <c r="FU551" s="19"/>
      <c r="FV551" s="73"/>
      <c r="FW551" s="73"/>
      <c r="FX551" s="73"/>
      <c r="FY551" s="73"/>
      <c r="FZ551" s="73"/>
    </row>
    <row r="552" spans="1:183" ht="27" customHeight="1" x14ac:dyDescent="0.15">
      <c r="AB552" s="422"/>
      <c r="AC552" s="422"/>
      <c r="AD552" s="422"/>
      <c r="AE552" s="422"/>
      <c r="AF552" s="422"/>
      <c r="AG552" s="422"/>
      <c r="AH552" s="422"/>
      <c r="AI552" s="422"/>
      <c r="AJ552" s="422"/>
      <c r="AK552" s="422"/>
      <c r="AL552" s="422"/>
      <c r="AM552" s="422"/>
      <c r="AN552" s="422"/>
      <c r="AO552" s="422"/>
      <c r="AP552" s="422"/>
      <c r="AQ552" s="422"/>
      <c r="AR552" s="422"/>
      <c r="AS552" s="422"/>
      <c r="AT552" s="422"/>
      <c r="AU552" s="422"/>
      <c r="AV552" s="422"/>
      <c r="AW552" s="422"/>
      <c r="AX552" s="422"/>
      <c r="AY552" s="422"/>
      <c r="AZ552" s="422"/>
      <c r="BA552" s="422"/>
      <c r="BB552" s="422"/>
      <c r="BC552" s="422"/>
      <c r="BD552" s="422"/>
      <c r="BE552" s="422"/>
      <c r="BF552" s="422"/>
      <c r="BG552" s="422"/>
      <c r="BH552" s="422"/>
      <c r="BI552" s="422"/>
      <c r="BJ552" s="422"/>
      <c r="BK552" s="422"/>
      <c r="BL552" s="422"/>
      <c r="BM552" s="422"/>
      <c r="BN552" s="422"/>
      <c r="BO552" s="422"/>
      <c r="BP552" s="422"/>
      <c r="BQ552" s="422"/>
      <c r="BR552" s="422"/>
      <c r="BS552" s="422"/>
      <c r="BT552" s="422"/>
      <c r="BU552" s="745"/>
      <c r="BV552" s="401"/>
      <c r="BW552" s="401"/>
      <c r="BX552" s="401"/>
      <c r="BY552" s="401"/>
      <c r="BZ552" s="401"/>
      <c r="CA552" s="401"/>
      <c r="CB552" s="401"/>
      <c r="CC552" s="401"/>
      <c r="CD552" s="401"/>
      <c r="CE552" s="401"/>
      <c r="CF552" s="401"/>
      <c r="CG552" s="401"/>
      <c r="DQ552" s="14"/>
      <c r="DR552" s="19"/>
      <c r="DS552" s="19"/>
      <c r="DT552" s="19"/>
      <c r="DU552" s="19"/>
      <c r="DV552" s="19"/>
      <c r="DW552" s="19"/>
      <c r="DX552" s="19"/>
      <c r="DY552" s="19"/>
      <c r="DZ552" s="19"/>
      <c r="EA552" s="19"/>
      <c r="EB552" s="19"/>
      <c r="EC552" s="19"/>
      <c r="ED552" s="19"/>
      <c r="EE552" s="19"/>
      <c r="EF552" s="19"/>
      <c r="EL552" s="19"/>
      <c r="EM552" s="19"/>
      <c r="EN552" s="19"/>
      <c r="EO552" s="19"/>
      <c r="FQ552" s="19"/>
      <c r="FR552" s="19"/>
      <c r="FS552" s="19"/>
      <c r="FT552" s="19"/>
      <c r="FU552" s="19"/>
      <c r="FV552" s="73"/>
      <c r="FW552" s="73"/>
      <c r="FX552" s="73"/>
      <c r="FY552" s="73"/>
      <c r="FZ552" s="73"/>
    </row>
    <row r="553" spans="1:183" ht="27" customHeight="1" x14ac:dyDescent="0.15">
      <c r="AB553" s="422"/>
      <c r="AC553" s="422"/>
      <c r="AD553" s="422"/>
      <c r="AE553" s="422"/>
      <c r="AF553" s="422"/>
      <c r="AG553" s="422"/>
      <c r="AH553" s="422"/>
      <c r="AI553" s="422"/>
      <c r="AJ553" s="422"/>
      <c r="AK553" s="422"/>
      <c r="AL553" s="422"/>
      <c r="AM553" s="422"/>
      <c r="AN553" s="422"/>
      <c r="AO553" s="422"/>
      <c r="AP553" s="422"/>
      <c r="AQ553" s="422"/>
      <c r="AR553" s="422"/>
      <c r="AS553" s="422"/>
      <c r="AT553" s="422"/>
      <c r="AU553" s="422"/>
      <c r="AV553" s="422"/>
      <c r="AW553" s="422"/>
      <c r="AX553" s="422"/>
      <c r="AY553" s="422"/>
      <c r="AZ553" s="422"/>
      <c r="BA553" s="422"/>
      <c r="BB553" s="422"/>
      <c r="BC553" s="422"/>
      <c r="DQ553" s="14"/>
      <c r="DR553" s="19"/>
      <c r="DS553" s="19"/>
      <c r="DT553" s="19"/>
      <c r="DU553" s="19"/>
      <c r="DV553" s="19"/>
      <c r="DW553" s="19"/>
      <c r="DX553" s="19"/>
      <c r="DY553" s="19"/>
      <c r="DZ553" s="19"/>
      <c r="EA553" s="19"/>
      <c r="EB553" s="19"/>
      <c r="EC553" s="19"/>
      <c r="ED553" s="19"/>
      <c r="EE553" s="19"/>
      <c r="EF553" s="19"/>
      <c r="EL553" s="19"/>
      <c r="EM553" s="19"/>
      <c r="EN553" s="19"/>
      <c r="EO553" s="19"/>
      <c r="FQ553" s="19"/>
      <c r="FR553" s="19"/>
      <c r="FS553" s="19"/>
      <c r="FT553" s="19"/>
      <c r="FU553" s="19"/>
      <c r="FV553" s="73"/>
      <c r="FW553" s="73"/>
      <c r="FX553" s="73"/>
      <c r="FY553" s="73"/>
      <c r="FZ553" s="73"/>
    </row>
    <row r="554" spans="1:183" ht="27" customHeight="1" x14ac:dyDescent="0.15">
      <c r="AB554" s="422"/>
      <c r="AC554" s="422"/>
      <c r="AD554" s="422"/>
      <c r="AE554" s="422"/>
      <c r="AF554" s="422"/>
      <c r="AG554" s="422"/>
      <c r="AH554" s="422"/>
      <c r="AI554" s="422"/>
      <c r="AJ554" s="422"/>
      <c r="AK554" s="422"/>
      <c r="AL554" s="422"/>
      <c r="AM554" s="422"/>
      <c r="AN554" s="422"/>
      <c r="AO554" s="422"/>
      <c r="AP554" s="422"/>
      <c r="AQ554" s="422"/>
      <c r="AR554" s="422"/>
      <c r="AS554" s="422"/>
      <c r="AT554" s="422"/>
      <c r="AU554" s="422"/>
      <c r="AV554" s="422"/>
      <c r="AW554" s="422"/>
      <c r="AX554" s="422"/>
      <c r="AY554" s="422"/>
      <c r="AZ554" s="422"/>
      <c r="BA554" s="422"/>
      <c r="BB554" s="422"/>
      <c r="BC554" s="422"/>
      <c r="FV554" s="73"/>
      <c r="FW554" s="73"/>
      <c r="FX554" s="73"/>
      <c r="FY554" s="73"/>
      <c r="FZ554" s="73"/>
    </row>
    <row r="555" spans="1:183" ht="27" customHeight="1" x14ac:dyDescent="0.15">
      <c r="FV555" s="73"/>
      <c r="FW555" s="73"/>
      <c r="FX555" s="73"/>
      <c r="FY555" s="73"/>
      <c r="FZ555" s="73"/>
    </row>
    <row r="556" spans="1:183" ht="27" customHeight="1" x14ac:dyDescent="0.15">
      <c r="FV556" s="73"/>
      <c r="FW556" s="73"/>
      <c r="FX556" s="73"/>
      <c r="FY556" s="73"/>
      <c r="FZ556" s="73"/>
    </row>
    <row r="557" spans="1:183" ht="27" customHeight="1" x14ac:dyDescent="0.15">
      <c r="FV557" s="73"/>
      <c r="FW557" s="73"/>
      <c r="FX557" s="73"/>
      <c r="FY557" s="73"/>
      <c r="FZ557" s="73"/>
    </row>
    <row r="558" spans="1:183" ht="27" customHeight="1" x14ac:dyDescent="0.15">
      <c r="FV558" s="73"/>
      <c r="FW558" s="73"/>
      <c r="FX558" s="73"/>
      <c r="FY558" s="73"/>
      <c r="FZ558" s="73"/>
    </row>
  </sheetData>
  <sheetProtection algorithmName="SHA-512" hashValue="maMH9Pw41jmFGP3tpzBBPqzq3mkTMS/XVjxDY0fyhgIy0DrGDMUtFqERRc4ckNO1RmiVknN2vIPtACRNm/D5uw==" saltValue="3+BtTA/egYhP/ZncVZ4dGA==" spinCount="100000" sheet="1" objects="1" scenarios="1"/>
  <dataConsolidate/>
  <mergeCells count="3111">
    <mergeCell ref="EB542:EF542"/>
    <mergeCell ref="EG542:EK542"/>
    <mergeCell ref="BW234:CS236"/>
    <mergeCell ref="BW289:CS289"/>
    <mergeCell ref="J298:AN298"/>
    <mergeCell ref="BS446:BU446"/>
    <mergeCell ref="CB436:CU436"/>
    <mergeCell ref="CB422:CU422"/>
    <mergeCell ref="BV428:BX428"/>
    <mergeCell ref="BY428:CA428"/>
    <mergeCell ref="BY427:CA427"/>
    <mergeCell ref="CB434:CU435"/>
    <mergeCell ref="BY446:CA446"/>
    <mergeCell ref="BV429:BX429"/>
    <mergeCell ref="BV435:BX435"/>
    <mergeCell ref="CB425:CU425"/>
    <mergeCell ref="BV441:BX441"/>
    <mergeCell ref="CB329:CU329"/>
    <mergeCell ref="U323:AE323"/>
    <mergeCell ref="BD320:BR320"/>
    <mergeCell ref="M321:O321"/>
    <mergeCell ref="U320:AE320"/>
    <mergeCell ref="BD319:BR319"/>
    <mergeCell ref="BV319:BX319"/>
    <mergeCell ref="M328:O328"/>
    <mergeCell ref="AT332:BC332"/>
    <mergeCell ref="AT337:BC337"/>
    <mergeCell ref="BD332:BR332"/>
    <mergeCell ref="CB332:CU332"/>
    <mergeCell ref="AR337:AS337"/>
    <mergeCell ref="AR323:AS323"/>
    <mergeCell ref="BV322:BX322"/>
    <mergeCell ref="BW163:CS171"/>
    <mergeCell ref="BA16:BM16"/>
    <mergeCell ref="BN16:BT16"/>
    <mergeCell ref="BI32:BT32"/>
    <mergeCell ref="J32:BH32"/>
    <mergeCell ref="J43:AA43"/>
    <mergeCell ref="BG43:BT43"/>
    <mergeCell ref="AB43:BF43"/>
    <mergeCell ref="BW45:CS50"/>
    <mergeCell ref="BH58:BT58"/>
    <mergeCell ref="AB58:BG58"/>
    <mergeCell ref="BH72:BT72"/>
    <mergeCell ref="J72:BG72"/>
    <mergeCell ref="EB537:EF537"/>
    <mergeCell ref="EG537:EK537"/>
    <mergeCell ref="CV534:DA534"/>
    <mergeCell ref="CV525:DA525"/>
    <mergeCell ref="BV533:BX533"/>
    <mergeCell ref="BV527:BX527"/>
    <mergeCell ref="BY525:CA525"/>
    <mergeCell ref="BS525:BU525"/>
    <mergeCell ref="BV525:BX525"/>
    <mergeCell ref="CB524:CU524"/>
    <mergeCell ref="CV512:DA512"/>
    <mergeCell ref="CV507:DA507"/>
    <mergeCell ref="BY522:CA522"/>
    <mergeCell ref="CV517:DA517"/>
    <mergeCell ref="AT525:BC525"/>
    <mergeCell ref="AT531:BC531"/>
    <mergeCell ref="BD531:BR531"/>
    <mergeCell ref="CB520:CU521"/>
    <mergeCell ref="CV509:DA509"/>
    <mergeCell ref="BW11:CS11"/>
    <mergeCell ref="AR534:AS534"/>
    <mergeCell ref="AT534:BC534"/>
    <mergeCell ref="BD534:BR534"/>
    <mergeCell ref="BS534:BU534"/>
    <mergeCell ref="BV534:BX534"/>
    <mergeCell ref="BY534:CA534"/>
    <mergeCell ref="CB534:CU534"/>
    <mergeCell ref="BD525:BR525"/>
    <mergeCell ref="AT523:BC523"/>
    <mergeCell ref="AT524:BC524"/>
    <mergeCell ref="AT522:BC522"/>
    <mergeCell ref="BS529:BU529"/>
    <mergeCell ref="BV529:BX529"/>
    <mergeCell ref="BY529:CA529"/>
    <mergeCell ref="BY519:CA519"/>
    <mergeCell ref="BS518:CA518"/>
    <mergeCell ref="CB523:CU523"/>
    <mergeCell ref="BS522:BU522"/>
    <mergeCell ref="BD526:BR526"/>
    <mergeCell ref="CB380:CU381"/>
    <mergeCell ref="CB428:CU428"/>
    <mergeCell ref="CB424:CU424"/>
    <mergeCell ref="AR527:AS527"/>
    <mergeCell ref="AR524:AS524"/>
    <mergeCell ref="BS530:BU530"/>
    <mergeCell ref="BV505:BX505"/>
    <mergeCell ref="BY503:CA503"/>
    <mergeCell ref="AR533:AS533"/>
    <mergeCell ref="AT533:BC533"/>
    <mergeCell ref="BD533:BR533"/>
    <mergeCell ref="BS533:BU533"/>
    <mergeCell ref="AF526:AQ526"/>
    <mergeCell ref="BD529:BR529"/>
    <mergeCell ref="CV528:DA528"/>
    <mergeCell ref="CV531:DA531"/>
    <mergeCell ref="BY533:CA533"/>
    <mergeCell ref="AR528:AS528"/>
    <mergeCell ref="AT532:BC532"/>
    <mergeCell ref="BD532:BR532"/>
    <mergeCell ref="BS532:BU532"/>
    <mergeCell ref="CB532:CU532"/>
    <mergeCell ref="CV532:DA532"/>
    <mergeCell ref="CV533:DA533"/>
    <mergeCell ref="BY526:CA526"/>
    <mergeCell ref="AT526:BC526"/>
    <mergeCell ref="BD530:BR530"/>
    <mergeCell ref="CV529:DA529"/>
    <mergeCell ref="AR531:AS531"/>
    <mergeCell ref="AF528:AQ528"/>
    <mergeCell ref="AR532:AS532"/>
    <mergeCell ref="AF529:AQ529"/>
    <mergeCell ref="AT529:BC529"/>
    <mergeCell ref="BV532:BX532"/>
    <mergeCell ref="BY532:CA532"/>
    <mergeCell ref="AT530:BC530"/>
    <mergeCell ref="BY530:CA530"/>
    <mergeCell ref="CB530:CU530"/>
    <mergeCell ref="CV530:DA530"/>
    <mergeCell ref="BV526:BX526"/>
    <mergeCell ref="BS531:BU531"/>
    <mergeCell ref="BV531:BX531"/>
    <mergeCell ref="BY531:CA531"/>
    <mergeCell ref="CB531:CU531"/>
    <mergeCell ref="AF525:AQ525"/>
    <mergeCell ref="AF531:AQ531"/>
    <mergeCell ref="BV530:BX530"/>
    <mergeCell ref="AR525:AS525"/>
    <mergeCell ref="AF524:AQ524"/>
    <mergeCell ref="BY521:CA521"/>
    <mergeCell ref="BS519:BU519"/>
    <mergeCell ref="BD520:BR520"/>
    <mergeCell ref="BY520:CA520"/>
    <mergeCell ref="AT520:BC520"/>
    <mergeCell ref="AR521:AS521"/>
    <mergeCell ref="AT518:BC519"/>
    <mergeCell ref="BS520:BU520"/>
    <mergeCell ref="BD514:BR514"/>
    <mergeCell ref="BD518:BR519"/>
    <mergeCell ref="CB528:CU528"/>
    <mergeCell ref="AR520:AS520"/>
    <mergeCell ref="AR526:AS526"/>
    <mergeCell ref="AR529:AS529"/>
    <mergeCell ref="CB518:CU519"/>
    <mergeCell ref="BD524:BR524"/>
    <mergeCell ref="BV522:BX522"/>
    <mergeCell ref="AR523:AS523"/>
    <mergeCell ref="BS528:BU528"/>
    <mergeCell ref="BS523:BU523"/>
    <mergeCell ref="BV523:BX523"/>
    <mergeCell ref="AT527:BC527"/>
    <mergeCell ref="BV528:BX528"/>
    <mergeCell ref="BY528:CA528"/>
    <mergeCell ref="AT521:BC521"/>
    <mergeCell ref="BD527:BR527"/>
    <mergeCell ref="BV521:BX521"/>
    <mergeCell ref="AF523:AQ523"/>
    <mergeCell ref="CV526:DA526"/>
    <mergeCell ref="CB529:CU529"/>
    <mergeCell ref="BS527:BU527"/>
    <mergeCell ref="BD522:BR522"/>
    <mergeCell ref="CB526:CU526"/>
    <mergeCell ref="CB522:CU522"/>
    <mergeCell ref="CV522:DA522"/>
    <mergeCell ref="CV523:DA523"/>
    <mergeCell ref="BD528:BR528"/>
    <mergeCell ref="BD523:BR523"/>
    <mergeCell ref="CB525:CU525"/>
    <mergeCell ref="BY514:CA514"/>
    <mergeCell ref="CB514:CU514"/>
    <mergeCell ref="BS524:BU524"/>
    <mergeCell ref="BS521:BU521"/>
    <mergeCell ref="BY524:CA524"/>
    <mergeCell ref="BV524:BX524"/>
    <mergeCell ref="BV520:BX520"/>
    <mergeCell ref="BV514:BX514"/>
    <mergeCell ref="AT528:BC528"/>
    <mergeCell ref="CV515:DA515"/>
    <mergeCell ref="CV521:DA521"/>
    <mergeCell ref="BV519:BX519"/>
    <mergeCell ref="BD521:BR521"/>
    <mergeCell ref="CV527:DA527"/>
    <mergeCell ref="CV524:DA524"/>
    <mergeCell ref="CB527:CU527"/>
    <mergeCell ref="CV520:DA520"/>
    <mergeCell ref="BY527:CA527"/>
    <mergeCell ref="BY523:CA523"/>
    <mergeCell ref="BS526:BU526"/>
    <mergeCell ref="CV483:DA483"/>
    <mergeCell ref="CV482:DA482"/>
    <mergeCell ref="CV497:DA497"/>
    <mergeCell ref="CV498:DA498"/>
    <mergeCell ref="CV473:DA473"/>
    <mergeCell ref="CB483:CU483"/>
    <mergeCell ref="BS473:BU473"/>
    <mergeCell ref="CB489:CU489"/>
    <mergeCell ref="BV482:BX482"/>
    <mergeCell ref="BY485:CA485"/>
    <mergeCell ref="BV484:BX484"/>
    <mergeCell ref="BY482:CA482"/>
    <mergeCell ref="AR498:AS498"/>
    <mergeCell ref="AR507:AS507"/>
    <mergeCell ref="BV504:BX504"/>
    <mergeCell ref="BY504:CA504"/>
    <mergeCell ref="AR505:AS505"/>
    <mergeCell ref="AT505:BC505"/>
    <mergeCell ref="CV492:DA492"/>
    <mergeCell ref="CV494:DA494"/>
    <mergeCell ref="CV488:DA488"/>
    <mergeCell ref="CV478:DA478"/>
    <mergeCell ref="CV479:DA479"/>
    <mergeCell ref="CV480:DA480"/>
    <mergeCell ref="CV489:DA489"/>
    <mergeCell ref="CV490:DA490"/>
    <mergeCell ref="CV491:DA491"/>
    <mergeCell ref="CB485:CU485"/>
    <mergeCell ref="BS484:BU484"/>
    <mergeCell ref="BY505:CA505"/>
    <mergeCell ref="CV502:DA502"/>
    <mergeCell ref="AR490:AS490"/>
    <mergeCell ref="CB513:CU513"/>
    <mergeCell ref="BY513:CA513"/>
    <mergeCell ref="CV513:DA513"/>
    <mergeCell ref="CV500:DA500"/>
    <mergeCell ref="CV501:DA501"/>
    <mergeCell ref="CV499:DA499"/>
    <mergeCell ref="AR514:AS514"/>
    <mergeCell ref="BS511:BU511"/>
    <mergeCell ref="CB512:CU512"/>
    <mergeCell ref="BY512:CA512"/>
    <mergeCell ref="BY510:CA510"/>
    <mergeCell ref="BV510:BX510"/>
    <mergeCell ref="BS510:BU510"/>
    <mergeCell ref="AR510:AS510"/>
    <mergeCell ref="AR502:AS502"/>
    <mergeCell ref="CV514:DA514"/>
    <mergeCell ref="CV508:DA508"/>
    <mergeCell ref="CV511:DA511"/>
    <mergeCell ref="CV510:DA510"/>
    <mergeCell ref="CB510:CU510"/>
    <mergeCell ref="BS501:BU501"/>
    <mergeCell ref="BD509:BR509"/>
    <mergeCell ref="AR501:AS501"/>
    <mergeCell ref="AT513:BC513"/>
    <mergeCell ref="BD503:BR503"/>
    <mergeCell ref="BS503:BU503"/>
    <mergeCell ref="BV503:BX503"/>
    <mergeCell ref="AR512:AS512"/>
    <mergeCell ref="AR500:AS500"/>
    <mergeCell ref="BS513:BU513"/>
    <mergeCell ref="AR508:AS508"/>
    <mergeCell ref="AR513:AS513"/>
    <mergeCell ref="CV468:DA468"/>
    <mergeCell ref="CV466:DA466"/>
    <mergeCell ref="CV464:DA464"/>
    <mergeCell ref="CV451:DA451"/>
    <mergeCell ref="CB455:CU455"/>
    <mergeCell ref="BY426:CA426"/>
    <mergeCell ref="BV453:BX453"/>
    <mergeCell ref="BY453:CA453"/>
    <mergeCell ref="BV431:BX431"/>
    <mergeCell ref="BY449:CA449"/>
    <mergeCell ref="CV430:DA430"/>
    <mergeCell ref="BV450:BX450"/>
    <mergeCell ref="BV452:BX452"/>
    <mergeCell ref="CV441:DA441"/>
    <mergeCell ref="CV442:DA442"/>
    <mergeCell ref="BV437:BX437"/>
    <mergeCell ref="BY437:CA437"/>
    <mergeCell ref="CB453:CU453"/>
    <mergeCell ref="CB426:CU426"/>
    <mergeCell ref="CB430:CU430"/>
    <mergeCell ref="BY451:CA451"/>
    <mergeCell ref="BV451:BX451"/>
    <mergeCell ref="BV449:BX449"/>
    <mergeCell ref="BV454:BX454"/>
    <mergeCell ref="BY455:CA455"/>
    <mergeCell ref="BV448:BX448"/>
    <mergeCell ref="BV444:BX444"/>
    <mergeCell ref="CB458:CU458"/>
    <mergeCell ref="CB441:CU441"/>
    <mergeCell ref="CB457:CU457"/>
    <mergeCell ref="CB447:CU447"/>
    <mergeCell ref="CB456:CU456"/>
    <mergeCell ref="CB449:CU449"/>
    <mergeCell ref="BS439:BU439"/>
    <mergeCell ref="BS456:BU456"/>
    <mergeCell ref="BV456:BX456"/>
    <mergeCell ref="BY438:CA438"/>
    <mergeCell ref="BY456:CA456"/>
    <mergeCell ref="BV465:BX465"/>
    <mergeCell ref="BY450:CA450"/>
    <mergeCell ref="BY454:CA454"/>
    <mergeCell ref="CB460:CU461"/>
    <mergeCell ref="BY466:CA466"/>
    <mergeCell ref="BV513:BX513"/>
    <mergeCell ref="CB511:CU511"/>
    <mergeCell ref="BY469:CA469"/>
    <mergeCell ref="CB469:CU469"/>
    <mergeCell ref="BY498:CA498"/>
    <mergeCell ref="EA518:EA519"/>
    <mergeCell ref="DX515:DX519"/>
    <mergeCell ref="DX492:DX496"/>
    <mergeCell ref="DZ475:EA475"/>
    <mergeCell ref="EA476:EA477"/>
    <mergeCell ref="DZ494:EA494"/>
    <mergeCell ref="EA495:EA496"/>
    <mergeCell ref="DZ517:EA517"/>
    <mergeCell ref="CV487:DA487"/>
    <mergeCell ref="CV475:DA475"/>
    <mergeCell ref="CV484:DA484"/>
    <mergeCell ref="CV485:DA485"/>
    <mergeCell ref="CV486:DA486"/>
    <mergeCell ref="BV512:BX512"/>
    <mergeCell ref="BV508:BX508"/>
    <mergeCell ref="BY509:CA509"/>
    <mergeCell ref="BY429:CA429"/>
    <mergeCell ref="CB427:CU427"/>
    <mergeCell ref="DZ476:DZ477"/>
    <mergeCell ref="BS507:BU507"/>
    <mergeCell ref="BS488:BU488"/>
    <mergeCell ref="BS482:BU482"/>
    <mergeCell ref="BS466:BU466"/>
    <mergeCell ref="BS462:BU462"/>
    <mergeCell ref="BV473:BX473"/>
    <mergeCell ref="BS427:BU427"/>
    <mergeCell ref="CB443:CU443"/>
    <mergeCell ref="BV439:BX439"/>
    <mergeCell ref="CB468:CU468"/>
    <mergeCell ref="CB437:CU437"/>
    <mergeCell ref="BV445:BX445"/>
    <mergeCell ref="BV442:BX442"/>
    <mergeCell ref="CB438:CU438"/>
    <mergeCell ref="BY462:CA462"/>
    <mergeCell ref="BS465:BU465"/>
    <mergeCell ref="CV467:DA467"/>
    <mergeCell ref="CB507:CU507"/>
    <mergeCell ref="BV468:BX468"/>
    <mergeCell ref="BV463:BX463"/>
    <mergeCell ref="BS470:BU470"/>
    <mergeCell ref="CB463:CU463"/>
    <mergeCell ref="CB464:CU464"/>
    <mergeCell ref="BV501:BX501"/>
    <mergeCell ref="BY501:CA501"/>
    <mergeCell ref="BV489:BX489"/>
    <mergeCell ref="BY430:CA430"/>
    <mergeCell ref="BV436:BX436"/>
    <mergeCell ref="BS477:BU477"/>
    <mergeCell ref="BY425:CA425"/>
    <mergeCell ref="CB508:CU508"/>
    <mergeCell ref="CB484:CU484"/>
    <mergeCell ref="BV486:BX486"/>
    <mergeCell ref="CB448:CU448"/>
    <mergeCell ref="DY518:DY519"/>
    <mergeCell ref="CB482:CU482"/>
    <mergeCell ref="BY481:CA481"/>
    <mergeCell ref="CV503:DA503"/>
    <mergeCell ref="CV504:DA504"/>
    <mergeCell ref="CV505:DA505"/>
    <mergeCell ref="CV506:DA506"/>
    <mergeCell ref="CB500:CU500"/>
    <mergeCell ref="CB497:CU498"/>
    <mergeCell ref="CB502:CU506"/>
    <mergeCell ref="CV469:DA469"/>
    <mergeCell ref="CV472:DA472"/>
    <mergeCell ref="CV474:DA474"/>
    <mergeCell ref="CV470:DA470"/>
    <mergeCell ref="CB431:CU431"/>
    <mergeCell ref="CB509:CU509"/>
    <mergeCell ref="BY500:CA500"/>
    <mergeCell ref="BV507:BX507"/>
    <mergeCell ref="BY463:CA463"/>
    <mergeCell ref="CB467:CU467"/>
    <mergeCell ref="BY484:CA484"/>
    <mergeCell ref="BY468:CA468"/>
    <mergeCell ref="BV470:BX470"/>
    <mergeCell ref="BY465:CA465"/>
    <mergeCell ref="CB462:CU462"/>
    <mergeCell ref="CB459:CU459"/>
    <mergeCell ref="BV440:BX440"/>
    <mergeCell ref="CV370:DA370"/>
    <mergeCell ref="CV378:DA378"/>
    <mergeCell ref="CV409:DA409"/>
    <mergeCell ref="CV423:DA423"/>
    <mergeCell ref="CV429:DA429"/>
    <mergeCell ref="CV428:DA428"/>
    <mergeCell ref="CV425:DA425"/>
    <mergeCell ref="CV412:DA412"/>
    <mergeCell ref="CV432:DA432"/>
    <mergeCell ref="CV408:DA408"/>
    <mergeCell ref="CV407:DA407"/>
    <mergeCell ref="CV406:DA406"/>
    <mergeCell ref="CV440:DA440"/>
    <mergeCell ref="CV444:DA444"/>
    <mergeCell ref="CV445:DA445"/>
    <mergeCell ref="CV446:DA446"/>
    <mergeCell ref="CV463:DA463"/>
    <mergeCell ref="CV427:DA427"/>
    <mergeCell ref="CV420:DA420"/>
    <mergeCell ref="CV431:DA431"/>
    <mergeCell ref="CV447:DA447"/>
    <mergeCell ref="CV418:DA418"/>
    <mergeCell ref="CV436:DA436"/>
    <mergeCell ref="CV437:DA437"/>
    <mergeCell ref="CV422:DA422"/>
    <mergeCell ref="CV461:DA461"/>
    <mergeCell ref="CV459:DA459"/>
    <mergeCell ref="CV462:DA462"/>
    <mergeCell ref="CV375:DA375"/>
    <mergeCell ref="FD434:FH434"/>
    <mergeCell ref="EB380:EF380"/>
    <mergeCell ref="EG380:EK380"/>
    <mergeCell ref="CV404:DA404"/>
    <mergeCell ref="CV398:DA398"/>
    <mergeCell ref="CV399:DA399"/>
    <mergeCell ref="CV400:DA400"/>
    <mergeCell ref="CV384:DA384"/>
    <mergeCell ref="CV390:DA390"/>
    <mergeCell ref="CV383:DA383"/>
    <mergeCell ref="CV402:DA402"/>
    <mergeCell ref="CV388:DA388"/>
    <mergeCell ref="CV389:DA389"/>
    <mergeCell ref="CV393:DA393"/>
    <mergeCell ref="CV394:DA394"/>
    <mergeCell ref="CV395:DA395"/>
    <mergeCell ref="CV396:DA396"/>
    <mergeCell ref="CV413:DA413"/>
    <mergeCell ref="CV414:DA414"/>
    <mergeCell ref="CV405:DA405"/>
    <mergeCell ref="CV424:DA424"/>
    <mergeCell ref="CV415:DA415"/>
    <mergeCell ref="CV419:DA419"/>
    <mergeCell ref="CV401:DA401"/>
    <mergeCell ref="CV410:DA410"/>
    <mergeCell ref="CV411:DA411"/>
    <mergeCell ref="CV385:DA385"/>
    <mergeCell ref="CV386:DA386"/>
    <mergeCell ref="CV387:DA387"/>
    <mergeCell ref="EY476:FC476"/>
    <mergeCell ref="CV450:DA450"/>
    <mergeCell ref="CV453:DA453"/>
    <mergeCell ref="CV449:DA449"/>
    <mergeCell ref="CV448:DA448"/>
    <mergeCell ref="CV426:DA426"/>
    <mergeCell ref="DY434:DY435"/>
    <mergeCell ref="EO434:ER434"/>
    <mergeCell ref="ET434:EX434"/>
    <mergeCell ref="CV443:DA443"/>
    <mergeCell ref="CV458:DA458"/>
    <mergeCell ref="CV460:DA460"/>
    <mergeCell ref="EL380:EN380"/>
    <mergeCell ref="EO380:ER380"/>
    <mergeCell ref="ET380:EX380"/>
    <mergeCell ref="EY380:FC380"/>
    <mergeCell ref="DZ434:DZ435"/>
    <mergeCell ref="EB434:EF434"/>
    <mergeCell ref="DX432:DX435"/>
    <mergeCell ref="CV433:DA433"/>
    <mergeCell ref="CV403:DA403"/>
    <mergeCell ref="CV392:DA392"/>
    <mergeCell ref="CV416:DA416"/>
    <mergeCell ref="CV421:DA421"/>
    <mergeCell ref="CV438:DA438"/>
    <mergeCell ref="CV457:DA457"/>
    <mergeCell ref="CV456:DA456"/>
    <mergeCell ref="CV454:DA454"/>
    <mergeCell ref="CV452:DA452"/>
    <mergeCell ref="CV465:DA465"/>
    <mergeCell ref="CV439:DA439"/>
    <mergeCell ref="CV455:DA455"/>
    <mergeCell ref="BV414:BX414"/>
    <mergeCell ref="CB398:CU398"/>
    <mergeCell ref="BV416:BX416"/>
    <mergeCell ref="BV421:BX421"/>
    <mergeCell ref="BY416:CA416"/>
    <mergeCell ref="CB420:CU420"/>
    <mergeCell ref="BY385:CA385"/>
    <mergeCell ref="BV388:BX388"/>
    <mergeCell ref="BV382:BX382"/>
    <mergeCell ref="CB375:CU375"/>
    <mergeCell ref="BV385:BX385"/>
    <mergeCell ref="BY409:CA409"/>
    <mergeCell ref="BV401:BX401"/>
    <mergeCell ref="BY400:CA400"/>
    <mergeCell ref="CB399:CU399"/>
    <mergeCell ref="CB393:CU393"/>
    <mergeCell ref="CB392:CU392"/>
    <mergeCell ref="BV375:BX375"/>
    <mergeCell ref="CB394:CU394"/>
    <mergeCell ref="BV390:BX390"/>
    <mergeCell ref="BY387:CA387"/>
    <mergeCell ref="CB389:CU389"/>
    <mergeCell ref="CB384:CU384"/>
    <mergeCell ref="BV376:BX376"/>
    <mergeCell ref="CB391:CU391"/>
    <mergeCell ref="CB401:CU401"/>
    <mergeCell ref="CB400:CU400"/>
    <mergeCell ref="CV358:DA358"/>
    <mergeCell ref="CV353:DA353"/>
    <mergeCell ref="CB358:CU358"/>
    <mergeCell ref="CV351:DA351"/>
    <mergeCell ref="BY356:CA356"/>
    <mergeCell ref="DY362:DY363"/>
    <mergeCell ref="EA362:EA363"/>
    <mergeCell ref="DZ361:EA361"/>
    <mergeCell ref="EA380:EA381"/>
    <mergeCell ref="DZ379:EA379"/>
    <mergeCell ref="CV376:DA376"/>
    <mergeCell ref="CV372:DA372"/>
    <mergeCell ref="CV371:DA371"/>
    <mergeCell ref="CV374:DA374"/>
    <mergeCell ref="CB346:CU346"/>
    <mergeCell ref="BV349:BX349"/>
    <mergeCell ref="CB347:CU347"/>
    <mergeCell ref="BY370:CA370"/>
    <mergeCell ref="BY365:CA365"/>
    <mergeCell ref="BV372:BX372"/>
    <mergeCell ref="BV347:BX347"/>
    <mergeCell ref="DZ362:DZ363"/>
    <mergeCell ref="BY374:CA374"/>
    <mergeCell ref="BY358:CA358"/>
    <mergeCell ref="BV363:BX363"/>
    <mergeCell ref="CV349:DA349"/>
    <mergeCell ref="CV361:DA361"/>
    <mergeCell ref="BY377:CA377"/>
    <mergeCell ref="CB368:CU368"/>
    <mergeCell ref="DX378:DX381"/>
    <mergeCell ref="CV367:DA367"/>
    <mergeCell ref="BY357:CA357"/>
    <mergeCell ref="EL335:EN335"/>
    <mergeCell ref="DY380:DY381"/>
    <mergeCell ref="DZ380:DZ381"/>
    <mergeCell ref="EA335:EA336"/>
    <mergeCell ref="DZ334:EA334"/>
    <mergeCell ref="EL362:EN362"/>
    <mergeCell ref="EO362:ER362"/>
    <mergeCell ref="EY362:FC362"/>
    <mergeCell ref="FD362:FH362"/>
    <mergeCell ref="DZ335:DZ336"/>
    <mergeCell ref="EB362:EF362"/>
    <mergeCell ref="CV368:DA368"/>
    <mergeCell ref="CV373:DA373"/>
    <mergeCell ref="CV356:DA356"/>
    <mergeCell ref="CV347:DA347"/>
    <mergeCell ref="CV341:DA341"/>
    <mergeCell ref="CV369:DA369"/>
    <mergeCell ref="CV377:DA377"/>
    <mergeCell ref="CV366:DA366"/>
    <mergeCell ref="CV379:DA379"/>
    <mergeCell ref="CV357:DA357"/>
    <mergeCell ref="CV350:DA350"/>
    <mergeCell ref="CV352:DA352"/>
    <mergeCell ref="CV360:DA360"/>
    <mergeCell ref="CV359:DA359"/>
    <mergeCell ref="DX360:DX363"/>
    <mergeCell ref="CV346:DA346"/>
    <mergeCell ref="DX333:DX336"/>
    <mergeCell ref="CV354:DA354"/>
    <mergeCell ref="CV365:DA365"/>
    <mergeCell ref="FD380:FH380"/>
    <mergeCell ref="EG362:EK362"/>
    <mergeCell ref="FQ315:FU315"/>
    <mergeCell ref="FQ317:FU317"/>
    <mergeCell ref="CV391:DA391"/>
    <mergeCell ref="CV397:DA397"/>
    <mergeCell ref="CV329:DA329"/>
    <mergeCell ref="CV337:DA337"/>
    <mergeCell ref="CV331:DA331"/>
    <mergeCell ref="CV326:DA326"/>
    <mergeCell ref="CV364:DA364"/>
    <mergeCell ref="CV382:DA382"/>
    <mergeCell ref="EB335:EF335"/>
    <mergeCell ref="EG335:EK335"/>
    <mergeCell ref="ET362:EX362"/>
    <mergeCell ref="BD341:BR341"/>
    <mergeCell ref="BD343:BR343"/>
    <mergeCell ref="BD345:BR345"/>
    <mergeCell ref="BY336:CA336"/>
    <mergeCell ref="CB345:CU345"/>
    <mergeCell ref="BS343:BU343"/>
    <mergeCell ref="BV344:BX344"/>
    <mergeCell ref="CV339:DA339"/>
    <mergeCell ref="CB339:CU339"/>
    <mergeCell ref="CB342:CU342"/>
    <mergeCell ref="BY339:CA339"/>
    <mergeCell ref="BS335:CA335"/>
    <mergeCell ref="CB350:CU350"/>
    <mergeCell ref="CV355:DA355"/>
    <mergeCell ref="BV381:BX381"/>
    <mergeCell ref="BY381:CA381"/>
    <mergeCell ref="M334:CU334"/>
    <mergeCell ref="EY335:FC335"/>
    <mergeCell ref="FD335:FH335"/>
    <mergeCell ref="CV332:DA332"/>
    <mergeCell ref="AR322:AS322"/>
    <mergeCell ref="BD337:BR337"/>
    <mergeCell ref="BV338:BX338"/>
    <mergeCell ref="BD349:BR349"/>
    <mergeCell ref="BY319:CA319"/>
    <mergeCell ref="BW290:CS291"/>
    <mergeCell ref="BS349:BU349"/>
    <mergeCell ref="AV275:AX275"/>
    <mergeCell ref="J272:BK272"/>
    <mergeCell ref="AT344:BC344"/>
    <mergeCell ref="U347:AE347"/>
    <mergeCell ref="CV320:DA320"/>
    <mergeCell ref="CV328:DA328"/>
    <mergeCell ref="M337:O337"/>
    <mergeCell ref="AT338:BC338"/>
    <mergeCell ref="P337:T338"/>
    <mergeCell ref="CV338:DA338"/>
    <mergeCell ref="BV341:BX341"/>
    <mergeCell ref="BV345:BX345"/>
    <mergeCell ref="BS345:BU345"/>
    <mergeCell ref="BY344:CA344"/>
    <mergeCell ref="CB335:CU336"/>
    <mergeCell ref="BV337:BX337"/>
    <mergeCell ref="BY338:CA338"/>
    <mergeCell ref="BY341:CA341"/>
    <mergeCell ref="M340:O340"/>
    <mergeCell ref="AF345:AQ345"/>
    <mergeCell ref="U338:AE338"/>
    <mergeCell ref="CV348:DA348"/>
    <mergeCell ref="BV346:BX346"/>
    <mergeCell ref="CV323:DA323"/>
    <mergeCell ref="DW255:DX255"/>
    <mergeCell ref="CV333:DA333"/>
    <mergeCell ref="CV334:DA334"/>
    <mergeCell ref="DX314:EK314"/>
    <mergeCell ref="DZ316:DZ318"/>
    <mergeCell ref="EA316:EA318"/>
    <mergeCell ref="AW313:BO313"/>
    <mergeCell ref="BS317:CA317"/>
    <mergeCell ref="AR317:AS318"/>
    <mergeCell ref="CB324:CU324"/>
    <mergeCell ref="BS321:BU321"/>
    <mergeCell ref="BY321:CA321"/>
    <mergeCell ref="CB349:CU349"/>
    <mergeCell ref="CV343:DA343"/>
    <mergeCell ref="BS340:BU340"/>
    <mergeCell ref="M331:O331"/>
    <mergeCell ref="AR338:AS338"/>
    <mergeCell ref="AR332:AS332"/>
    <mergeCell ref="CB338:CU338"/>
    <mergeCell ref="BS338:BU338"/>
    <mergeCell ref="BV339:BX339"/>
    <mergeCell ref="CV345:DA345"/>
    <mergeCell ref="CV340:DA340"/>
    <mergeCell ref="CV342:DA342"/>
    <mergeCell ref="M343:O343"/>
    <mergeCell ref="BD338:BR338"/>
    <mergeCell ref="BY345:CA345"/>
    <mergeCell ref="CV344:DA344"/>
    <mergeCell ref="BV343:BX343"/>
    <mergeCell ref="BS332:BU332"/>
    <mergeCell ref="BV330:BX330"/>
    <mergeCell ref="CV330:DA330"/>
    <mergeCell ref="CV324:DA324"/>
    <mergeCell ref="AR329:AS329"/>
    <mergeCell ref="BY329:CA329"/>
    <mergeCell ref="CV319:DA319"/>
    <mergeCell ref="AZ260:BB260"/>
    <mergeCell ref="AT259:AY259"/>
    <mergeCell ref="V259:AG259"/>
    <mergeCell ref="BS325:BU325"/>
    <mergeCell ref="AF322:AQ322"/>
    <mergeCell ref="S282:AA285"/>
    <mergeCell ref="U288:AA288"/>
    <mergeCell ref="BY313:CQ313"/>
    <mergeCell ref="AT329:BC329"/>
    <mergeCell ref="U328:AE328"/>
    <mergeCell ref="BD325:BR325"/>
    <mergeCell ref="BY327:CA327"/>
    <mergeCell ref="CV327:DA327"/>
    <mergeCell ref="AK275:AM275"/>
    <mergeCell ref="BV326:BX326"/>
    <mergeCell ref="CB327:CU327"/>
    <mergeCell ref="AR326:AS326"/>
    <mergeCell ref="BG311:BT311"/>
    <mergeCell ref="BV324:BX324"/>
    <mergeCell ref="CV321:DA321"/>
    <mergeCell ref="CV322:DA322"/>
    <mergeCell ref="BV328:BX328"/>
    <mergeCell ref="BY328:CA328"/>
    <mergeCell ref="BS329:BU329"/>
    <mergeCell ref="BV329:BX329"/>
    <mergeCell ref="BV318:BX318"/>
    <mergeCell ref="M314:T314"/>
    <mergeCell ref="BF259:BT259"/>
    <mergeCell ref="S261:U261"/>
    <mergeCell ref="AT260:AY260"/>
    <mergeCell ref="S289:AA289"/>
    <mergeCell ref="BW274:CE274"/>
    <mergeCell ref="BW275:CE275"/>
    <mergeCell ref="J278:BK278"/>
    <mergeCell ref="U321:AE321"/>
    <mergeCell ref="U326:AE326"/>
    <mergeCell ref="AF325:AQ325"/>
    <mergeCell ref="AO313:AS313"/>
    <mergeCell ref="AR325:AS325"/>
    <mergeCell ref="AR324:AS324"/>
    <mergeCell ref="AR319:AS319"/>
    <mergeCell ref="BY323:CA323"/>
    <mergeCell ref="AR320:AS320"/>
    <mergeCell ref="P259:R259"/>
    <mergeCell ref="AT313:AV313"/>
    <mergeCell ref="BS320:BU320"/>
    <mergeCell ref="M302:AA304"/>
    <mergeCell ref="AT326:BC326"/>
    <mergeCell ref="M326:O326"/>
    <mergeCell ref="CB322:CU322"/>
    <mergeCell ref="AF321:AQ321"/>
    <mergeCell ref="BW238:CS238"/>
    <mergeCell ref="AB245:AD245"/>
    <mergeCell ref="BW279:CS279"/>
    <mergeCell ref="BC261:BE261"/>
    <mergeCell ref="AH261:AS261"/>
    <mergeCell ref="M287:R289"/>
    <mergeCell ref="AB267:BT270"/>
    <mergeCell ref="AB285:AD285"/>
    <mergeCell ref="AE247:AG247"/>
    <mergeCell ref="AS288:BT288"/>
    <mergeCell ref="AZ256:BB256"/>
    <mergeCell ref="AT257:AY257"/>
    <mergeCell ref="AT258:AY258"/>
    <mergeCell ref="V260:AG260"/>
    <mergeCell ref="AZ261:BB261"/>
    <mergeCell ref="BC260:BE260"/>
    <mergeCell ref="M256:R256"/>
    <mergeCell ref="AH258:AS258"/>
    <mergeCell ref="BF258:BT258"/>
    <mergeCell ref="AZ257:BB257"/>
    <mergeCell ref="AH259:AS259"/>
    <mergeCell ref="M261:O261"/>
    <mergeCell ref="AP275:AR275"/>
    <mergeCell ref="BC256:BE256"/>
    <mergeCell ref="BF260:BT260"/>
    <mergeCell ref="S260:U260"/>
    <mergeCell ref="S256:U256"/>
    <mergeCell ref="AB284:AD284"/>
    <mergeCell ref="AB286:AF286"/>
    <mergeCell ref="AH276:BO276"/>
    <mergeCell ref="M273:AA273"/>
    <mergeCell ref="AB282:AD282"/>
    <mergeCell ref="AZ258:BB258"/>
    <mergeCell ref="M292:R293"/>
    <mergeCell ref="M260:O260"/>
    <mergeCell ref="AE238:AG238"/>
    <mergeCell ref="J266:BK266"/>
    <mergeCell ref="AB291:AF291"/>
    <mergeCell ref="S258:U258"/>
    <mergeCell ref="BQ276:CF276"/>
    <mergeCell ref="M267:AA270"/>
    <mergeCell ref="AB276:AG276"/>
    <mergeCell ref="M275:AA275"/>
    <mergeCell ref="P261:R261"/>
    <mergeCell ref="BW257:CS258"/>
    <mergeCell ref="BW287:CS288"/>
    <mergeCell ref="BH292:BT292"/>
    <mergeCell ref="AJ247:AL247"/>
    <mergeCell ref="BC259:BE259"/>
    <mergeCell ref="P258:R258"/>
    <mergeCell ref="V258:AG258"/>
    <mergeCell ref="S257:U257"/>
    <mergeCell ref="BV268:CS268"/>
    <mergeCell ref="AZ255:BE255"/>
    <mergeCell ref="BF257:BT257"/>
    <mergeCell ref="AH257:AS257"/>
    <mergeCell ref="AB287:AD287"/>
    <mergeCell ref="S287:AA287"/>
    <mergeCell ref="AB289:AF289"/>
    <mergeCell ref="S290:AA290"/>
    <mergeCell ref="P260:R260"/>
    <mergeCell ref="M259:O259"/>
    <mergeCell ref="AH275:AJ275"/>
    <mergeCell ref="M258:O258"/>
    <mergeCell ref="EO316:ER316"/>
    <mergeCell ref="BV327:BX327"/>
    <mergeCell ref="BW282:CS286"/>
    <mergeCell ref="CB321:CU321"/>
    <mergeCell ref="AT319:BC319"/>
    <mergeCell ref="BS319:BU319"/>
    <mergeCell ref="AB288:AP288"/>
    <mergeCell ref="BV320:BX320"/>
    <mergeCell ref="U319:AE319"/>
    <mergeCell ref="M316:AE316"/>
    <mergeCell ref="AF316:AQ316"/>
    <mergeCell ref="M322:O322"/>
    <mergeCell ref="CV325:DA325"/>
    <mergeCell ref="P319:T319"/>
    <mergeCell ref="AF317:AQ318"/>
    <mergeCell ref="M325:O325"/>
    <mergeCell ref="AF326:AQ326"/>
    <mergeCell ref="BD326:BR326"/>
    <mergeCell ref="AB299:BT301"/>
    <mergeCell ref="AB302:BT304"/>
    <mergeCell ref="S293:AA293"/>
    <mergeCell ref="AS293:BT293"/>
    <mergeCell ref="M299:AA301"/>
    <mergeCell ref="AF324:AQ324"/>
    <mergeCell ref="CB320:CU320"/>
    <mergeCell ref="R313:T313"/>
    <mergeCell ref="M282:R286"/>
    <mergeCell ref="M319:O319"/>
    <mergeCell ref="M290:R291"/>
    <mergeCell ref="M327:O327"/>
    <mergeCell ref="U327:AE327"/>
    <mergeCell ref="P317:AE318"/>
    <mergeCell ref="BY27:CM27"/>
    <mergeCell ref="M109:R112"/>
    <mergeCell ref="EB315:EF315"/>
    <mergeCell ref="AB192:AU192"/>
    <mergeCell ref="AB191:AU191"/>
    <mergeCell ref="AB199:AU199"/>
    <mergeCell ref="AB200:AU200"/>
    <mergeCell ref="AB205:AU205"/>
    <mergeCell ref="AB206:AU206"/>
    <mergeCell ref="EB317:EF317"/>
    <mergeCell ref="AB274:AX274"/>
    <mergeCell ref="AB273:AR273"/>
    <mergeCell ref="AB290:AD290"/>
    <mergeCell ref="DX315:DX318"/>
    <mergeCell ref="BW211:CS214"/>
    <mergeCell ref="BV215:CS215"/>
    <mergeCell ref="BW68:CS68"/>
    <mergeCell ref="AR316:BC316"/>
    <mergeCell ref="BF316:CU316"/>
    <mergeCell ref="M317:O318"/>
    <mergeCell ref="M313:Q313"/>
    <mergeCell ref="BD317:BR318"/>
    <mergeCell ref="CG274:CS276"/>
    <mergeCell ref="CB317:CU318"/>
    <mergeCell ref="M279:AA279"/>
    <mergeCell ref="AB279:AR279"/>
    <mergeCell ref="AB283:AD283"/>
    <mergeCell ref="AO204:AQ204"/>
    <mergeCell ref="M51:AA51"/>
    <mergeCell ref="M52:AA52"/>
    <mergeCell ref="AB51:AG51"/>
    <mergeCell ref="M224:R225"/>
    <mergeCell ref="FQ312:FU312"/>
    <mergeCell ref="BF315:CQ315"/>
    <mergeCell ref="DY317:DY318"/>
    <mergeCell ref="DY335:DY336"/>
    <mergeCell ref="U314:CU314"/>
    <mergeCell ref="EY317:FC317"/>
    <mergeCell ref="EG315:EK315"/>
    <mergeCell ref="EY315:FI315"/>
    <mergeCell ref="AT321:BC321"/>
    <mergeCell ref="AT322:BC322"/>
    <mergeCell ref="BF261:BT261"/>
    <mergeCell ref="AB275:AG275"/>
    <mergeCell ref="EL316:EN317"/>
    <mergeCell ref="FD317:FH317"/>
    <mergeCell ref="FQ335:FU335"/>
    <mergeCell ref="EO335:ER335"/>
    <mergeCell ref="ET335:EX335"/>
    <mergeCell ref="DZ315:EA315"/>
    <mergeCell ref="ET317:EX317"/>
    <mergeCell ref="EG317:EK317"/>
    <mergeCell ref="AE292:BG292"/>
    <mergeCell ref="S292:AA292"/>
    <mergeCell ref="AR321:AS321"/>
    <mergeCell ref="BD321:BR321"/>
    <mergeCell ref="S291:AA291"/>
    <mergeCell ref="AS275:AT275"/>
    <mergeCell ref="AF323:AQ323"/>
    <mergeCell ref="BS326:BU326"/>
    <mergeCell ref="V261:AG261"/>
    <mergeCell ref="BY318:CA318"/>
    <mergeCell ref="CB325:CU325"/>
    <mergeCell ref="BY326:CA326"/>
    <mergeCell ref="AR342:AS342"/>
    <mergeCell ref="U342:AE342"/>
    <mergeCell ref="BD347:BR347"/>
    <mergeCell ref="AF357:AQ357"/>
    <mergeCell ref="BD357:BR357"/>
    <mergeCell ref="BV313:BX313"/>
    <mergeCell ref="CB328:CU328"/>
    <mergeCell ref="BS322:BU322"/>
    <mergeCell ref="BS323:BU323"/>
    <mergeCell ref="BS328:BU328"/>
    <mergeCell ref="BY324:CA324"/>
    <mergeCell ref="BY325:CA325"/>
    <mergeCell ref="AT320:BC320"/>
    <mergeCell ref="CB323:CU323"/>
    <mergeCell ref="CB319:CU319"/>
    <mergeCell ref="CB331:CU331"/>
    <mergeCell ref="BY337:CA337"/>
    <mergeCell ref="BV332:BX332"/>
    <mergeCell ref="BY332:CA332"/>
    <mergeCell ref="BD324:BR324"/>
    <mergeCell ref="BV323:BX323"/>
    <mergeCell ref="BV331:BX331"/>
    <mergeCell ref="AT330:BC330"/>
    <mergeCell ref="BY330:CA330"/>
    <mergeCell ref="U329:AE329"/>
    <mergeCell ref="U337:AE337"/>
    <mergeCell ref="AF337:AQ337"/>
    <mergeCell ref="BS337:BU337"/>
    <mergeCell ref="CB351:CU351"/>
    <mergeCell ref="CB330:CU330"/>
    <mergeCell ref="BV336:BX336"/>
    <mergeCell ref="BY331:CA331"/>
    <mergeCell ref="AR328:AS328"/>
    <mergeCell ref="BY352:CA352"/>
    <mergeCell ref="AR353:AS353"/>
    <mergeCell ref="BV353:BX353"/>
    <mergeCell ref="BV340:BX340"/>
    <mergeCell ref="AF319:AQ319"/>
    <mergeCell ref="U322:AE322"/>
    <mergeCell ref="BW298:CS302"/>
    <mergeCell ref="AT317:BC318"/>
    <mergeCell ref="M323:O323"/>
    <mergeCell ref="U313:AM313"/>
    <mergeCell ref="AB292:AD292"/>
    <mergeCell ref="BS318:BU318"/>
    <mergeCell ref="BV321:BX321"/>
    <mergeCell ref="BD323:BR323"/>
    <mergeCell ref="CB326:CU326"/>
    <mergeCell ref="AB293:AP293"/>
    <mergeCell ref="M320:O320"/>
    <mergeCell ref="BV352:BX352"/>
    <mergeCell ref="BV348:BX348"/>
    <mergeCell ref="BV350:BX350"/>
    <mergeCell ref="BY350:CA350"/>
    <mergeCell ref="AT328:BC328"/>
    <mergeCell ref="AF335:AQ336"/>
    <mergeCell ref="CB337:CU337"/>
    <mergeCell ref="U344:AE344"/>
    <mergeCell ref="BD350:BR350"/>
    <mergeCell ref="AR339:AS339"/>
    <mergeCell ref="BD342:BR342"/>
    <mergeCell ref="BD352:BR352"/>
    <mergeCell ref="BY340:CA340"/>
    <mergeCell ref="M345:O345"/>
    <mergeCell ref="CB388:CU388"/>
    <mergeCell ref="U364:AE364"/>
    <mergeCell ref="BS374:BU374"/>
    <mergeCell ref="BY359:CA359"/>
    <mergeCell ref="BV359:BX359"/>
    <mergeCell ref="AF372:AQ372"/>
    <mergeCell ref="U373:AE373"/>
    <mergeCell ref="AF355:AQ355"/>
    <mergeCell ref="AF362:AQ363"/>
    <mergeCell ref="AF374:AQ374"/>
    <mergeCell ref="R383:AE383"/>
    <mergeCell ref="BD385:BR385"/>
    <mergeCell ref="AF375:AQ375"/>
    <mergeCell ref="AF370:AQ370"/>
    <mergeCell ref="U374:AE374"/>
    <mergeCell ref="BD384:BR384"/>
    <mergeCell ref="AT384:BC384"/>
    <mergeCell ref="AT364:BC364"/>
    <mergeCell ref="CB370:CU370"/>
    <mergeCell ref="AF368:AQ368"/>
    <mergeCell ref="U359:AE359"/>
    <mergeCell ref="U358:AE358"/>
    <mergeCell ref="BS387:BU387"/>
    <mergeCell ref="BV387:BX387"/>
    <mergeCell ref="BV377:BX377"/>
    <mergeCell ref="BD383:BR383"/>
    <mergeCell ref="AT355:BC355"/>
    <mergeCell ref="CB374:CU374"/>
    <mergeCell ref="CB371:CU371"/>
    <mergeCell ref="BY369:CA369"/>
    <mergeCell ref="BV374:BX374"/>
    <mergeCell ref="BV368:BX368"/>
    <mergeCell ref="BS351:BU351"/>
    <mergeCell ref="CB343:CU343"/>
    <mergeCell ref="CB348:CU348"/>
    <mergeCell ref="BS368:BU368"/>
    <mergeCell ref="BS365:BU365"/>
    <mergeCell ref="BS344:BU344"/>
    <mergeCell ref="BV364:BX364"/>
    <mergeCell ref="BY346:CA346"/>
    <mergeCell ref="BS342:BU342"/>
    <mergeCell ref="CB340:CU340"/>
    <mergeCell ref="CB341:CU341"/>
    <mergeCell ref="BY347:CA347"/>
    <mergeCell ref="BV342:BX342"/>
    <mergeCell ref="BY348:CA348"/>
    <mergeCell ref="BY343:CA343"/>
    <mergeCell ref="BS353:BU353"/>
    <mergeCell ref="BV358:BX358"/>
    <mergeCell ref="CB356:CU356"/>
    <mergeCell ref="CB344:CU344"/>
    <mergeCell ref="BY342:CA342"/>
    <mergeCell ref="CB354:CU354"/>
    <mergeCell ref="CB352:CU352"/>
    <mergeCell ref="BY353:CA353"/>
    <mergeCell ref="BV351:BX351"/>
    <mergeCell ref="BV367:BX367"/>
    <mergeCell ref="CB355:CU355"/>
    <mergeCell ref="BS362:CA362"/>
    <mergeCell ref="BY364:CA364"/>
    <mergeCell ref="BY363:CA363"/>
    <mergeCell ref="CB362:CU363"/>
    <mergeCell ref="BS346:BU346"/>
    <mergeCell ref="M354:O354"/>
    <mergeCell ref="AR345:AS345"/>
    <mergeCell ref="CB364:CU364"/>
    <mergeCell ref="BV354:BX354"/>
    <mergeCell ref="BS358:BU358"/>
    <mergeCell ref="BV356:BX356"/>
    <mergeCell ref="BS363:BU363"/>
    <mergeCell ref="BV357:BX357"/>
    <mergeCell ref="BV365:BX365"/>
    <mergeCell ref="AR367:AS367"/>
    <mergeCell ref="BS366:BU366"/>
    <mergeCell ref="AR359:AS359"/>
    <mergeCell ref="CB367:CU367"/>
    <mergeCell ref="BS367:BU367"/>
    <mergeCell ref="CB353:CU353"/>
    <mergeCell ref="BD356:BR356"/>
    <mergeCell ref="BY351:CA351"/>
    <mergeCell ref="CB359:CU359"/>
    <mergeCell ref="CB357:CU357"/>
    <mergeCell ref="BD364:BR364"/>
    <mergeCell ref="AT354:BC354"/>
    <mergeCell ref="BS352:BU352"/>
    <mergeCell ref="M355:O355"/>
    <mergeCell ref="M359:O359"/>
    <mergeCell ref="BD353:BR353"/>
    <mergeCell ref="BS348:BU348"/>
    <mergeCell ref="BY354:CA354"/>
    <mergeCell ref="BS385:BU385"/>
    <mergeCell ref="CB385:CU385"/>
    <mergeCell ref="CB387:CU387"/>
    <mergeCell ref="CB373:CU373"/>
    <mergeCell ref="CB376:CU376"/>
    <mergeCell ref="CB369:CU369"/>
    <mergeCell ref="CB390:CU390"/>
    <mergeCell ref="CB366:CU366"/>
    <mergeCell ref="BY367:CA367"/>
    <mergeCell ref="CB372:CU372"/>
    <mergeCell ref="BY372:CA372"/>
    <mergeCell ref="BS355:BU355"/>
    <mergeCell ref="BS382:BU382"/>
    <mergeCell ref="M379:CU379"/>
    <mergeCell ref="BY376:CA376"/>
    <mergeCell ref="U390:AE390"/>
    <mergeCell ref="M385:O385"/>
    <mergeCell ref="U375:AE375"/>
    <mergeCell ref="BS375:BU375"/>
    <mergeCell ref="CB383:CU383"/>
    <mergeCell ref="BS389:BU389"/>
    <mergeCell ref="BS383:BU383"/>
    <mergeCell ref="BV389:BX389"/>
    <mergeCell ref="AT390:BC390"/>
    <mergeCell ref="M375:O375"/>
    <mergeCell ref="BD355:BR355"/>
    <mergeCell ref="BD365:BR365"/>
    <mergeCell ref="BD366:BR366"/>
    <mergeCell ref="BV386:BX386"/>
    <mergeCell ref="BY371:CA371"/>
    <mergeCell ref="BV369:BX369"/>
    <mergeCell ref="BS369:BU369"/>
    <mergeCell ref="BY401:CA401"/>
    <mergeCell ref="BV397:BX397"/>
    <mergeCell ref="BS398:BU398"/>
    <mergeCell ref="BS391:BU391"/>
    <mergeCell ref="AT391:BC391"/>
    <mergeCell ref="AR397:AS397"/>
    <mergeCell ref="CB395:CU395"/>
    <mergeCell ref="BY395:CA395"/>
    <mergeCell ref="CB377:CU377"/>
    <mergeCell ref="BS372:BU372"/>
    <mergeCell ref="BY366:CA366"/>
    <mergeCell ref="BY368:CA368"/>
    <mergeCell ref="BV366:BX366"/>
    <mergeCell ref="AR389:AS389"/>
    <mergeCell ref="BY386:CA386"/>
    <mergeCell ref="BY393:CA393"/>
    <mergeCell ref="BS386:BU386"/>
    <mergeCell ref="BV391:BX391"/>
    <mergeCell ref="AT396:BC396"/>
    <mergeCell ref="BY382:CA382"/>
    <mergeCell ref="BS380:CA380"/>
    <mergeCell ref="BV373:BX373"/>
    <mergeCell ref="BS381:BU381"/>
    <mergeCell ref="BY394:CA394"/>
    <mergeCell ref="BY389:CA389"/>
    <mergeCell ref="BV371:BX371"/>
    <mergeCell ref="BY383:CA383"/>
    <mergeCell ref="BV394:BX394"/>
    <mergeCell ref="BV370:BX370"/>
    <mergeCell ref="CB382:CU382"/>
    <mergeCell ref="BY373:CA373"/>
    <mergeCell ref="BY390:CA390"/>
    <mergeCell ref="CB421:CU421"/>
    <mergeCell ref="CB404:CU404"/>
    <mergeCell ref="BV413:BX413"/>
    <mergeCell ref="BY423:CA423"/>
    <mergeCell ref="AR409:AS409"/>
    <mergeCell ref="BV423:BX423"/>
    <mergeCell ref="AT413:BC413"/>
    <mergeCell ref="BY397:CA397"/>
    <mergeCell ref="AR399:AS399"/>
    <mergeCell ref="AR405:AS405"/>
    <mergeCell ref="CB406:CU406"/>
    <mergeCell ref="BY422:CA422"/>
    <mergeCell ref="AT408:BC408"/>
    <mergeCell ref="AT411:BC411"/>
    <mergeCell ref="BD411:BR411"/>
    <mergeCell ref="BS420:BU420"/>
    <mergeCell ref="AR423:AS423"/>
    <mergeCell ref="AT403:BC403"/>
    <mergeCell ref="AT404:BC404"/>
    <mergeCell ref="BD416:BR416"/>
    <mergeCell ref="BS413:BU413"/>
    <mergeCell ref="BS419:BU419"/>
    <mergeCell ref="BV420:BX420"/>
    <mergeCell ref="BD412:BR412"/>
    <mergeCell ref="BD417:BR417"/>
    <mergeCell ref="BS417:BU417"/>
    <mergeCell ref="CB397:CU397"/>
    <mergeCell ref="BD403:BR403"/>
    <mergeCell ref="CB419:CU419"/>
    <mergeCell ref="CB414:CU414"/>
    <mergeCell ref="BV409:BX409"/>
    <mergeCell ref="BY408:CA408"/>
    <mergeCell ref="BY415:CA415"/>
    <mergeCell ref="BS407:BU407"/>
    <mergeCell ref="BS406:BU406"/>
    <mergeCell ref="AT395:BC395"/>
    <mergeCell ref="CB403:CU403"/>
    <mergeCell ref="BY424:CA424"/>
    <mergeCell ref="BD419:BR419"/>
    <mergeCell ref="AF408:AQ408"/>
    <mergeCell ref="AT421:BC421"/>
    <mergeCell ref="BV415:BX415"/>
    <mergeCell ref="BV426:BX426"/>
    <mergeCell ref="BS409:BU409"/>
    <mergeCell ref="BY413:CA413"/>
    <mergeCell ref="BD410:BR410"/>
    <mergeCell ref="BS429:BU429"/>
    <mergeCell ref="BY403:CA403"/>
    <mergeCell ref="BV403:BX403"/>
    <mergeCell ref="CB415:CU416"/>
    <mergeCell ref="CB417:CU418"/>
    <mergeCell ref="BS416:BU416"/>
    <mergeCell ref="BD415:BR415"/>
    <mergeCell ref="AR407:AS407"/>
    <mergeCell ref="BS411:BU411"/>
    <mergeCell ref="BS405:BU405"/>
    <mergeCell ref="BY404:CA404"/>
    <mergeCell ref="BY405:CA405"/>
    <mergeCell ref="AT406:BC406"/>
    <mergeCell ref="BD409:BR409"/>
    <mergeCell ref="BD407:BR407"/>
    <mergeCell ref="AR412:AS412"/>
    <mergeCell ref="CB429:CU429"/>
    <mergeCell ref="CB423:CU423"/>
    <mergeCell ref="BD394:BR394"/>
    <mergeCell ref="BS395:BU395"/>
    <mergeCell ref="BS396:BU396"/>
    <mergeCell ref="AT389:BC389"/>
    <mergeCell ref="AT388:BC388"/>
    <mergeCell ref="BD425:BR425"/>
    <mergeCell ref="BV425:BX425"/>
    <mergeCell ref="CB405:CU405"/>
    <mergeCell ref="AF423:AQ423"/>
    <mergeCell ref="BD423:BR423"/>
    <mergeCell ref="AF419:AQ419"/>
    <mergeCell ref="AT426:BC426"/>
    <mergeCell ref="AF421:AQ421"/>
    <mergeCell ref="AT420:BC420"/>
    <mergeCell ref="AR406:AS406"/>
    <mergeCell ref="BS404:BU404"/>
    <mergeCell ref="BY419:CA419"/>
    <mergeCell ref="AT422:BC422"/>
    <mergeCell ref="BY406:CA406"/>
    <mergeCell ref="AF426:AQ426"/>
    <mergeCell ref="BV410:BX410"/>
    <mergeCell ref="CB407:CU409"/>
    <mergeCell ref="CB411:CU411"/>
    <mergeCell ref="CB412:CU412"/>
    <mergeCell ref="BY410:CA410"/>
    <mergeCell ref="BV404:BX404"/>
    <mergeCell ref="BV422:BX422"/>
    <mergeCell ref="BV408:BX408"/>
    <mergeCell ref="BS410:BU410"/>
    <mergeCell ref="BS412:BU412"/>
    <mergeCell ref="BY420:CA420"/>
    <mergeCell ref="BS425:BU425"/>
    <mergeCell ref="BY399:CA399"/>
    <mergeCell ref="U407:AE407"/>
    <mergeCell ref="BV398:BX398"/>
    <mergeCell ref="BS401:BU401"/>
    <mergeCell ref="BV412:BX412"/>
    <mergeCell ref="AF404:AQ404"/>
    <mergeCell ref="BV392:BX392"/>
    <mergeCell ref="BY392:CA392"/>
    <mergeCell ref="BS388:BU388"/>
    <mergeCell ref="BV393:BX393"/>
    <mergeCell ref="BS377:BU377"/>
    <mergeCell ref="BS376:BU376"/>
    <mergeCell ref="AF415:AQ415"/>
    <mergeCell ref="BS430:BU430"/>
    <mergeCell ref="AF425:AQ425"/>
    <mergeCell ref="AR421:AS421"/>
    <mergeCell ref="AR429:AS429"/>
    <mergeCell ref="BD426:BR426"/>
    <mergeCell ref="AT428:BC428"/>
    <mergeCell ref="AT424:BC424"/>
    <mergeCell ref="AR424:AS424"/>
    <mergeCell ref="AR395:AS395"/>
    <mergeCell ref="AR411:AS411"/>
    <mergeCell ref="BV395:BX395"/>
    <mergeCell ref="BY391:CA391"/>
    <mergeCell ref="BY402:CA402"/>
    <mergeCell ref="BD402:BR402"/>
    <mergeCell ref="BY388:CA388"/>
    <mergeCell ref="BD390:BR390"/>
    <mergeCell ref="BD388:BR388"/>
    <mergeCell ref="BS390:BU390"/>
    <mergeCell ref="BS393:BU393"/>
    <mergeCell ref="AT393:BC393"/>
    <mergeCell ref="BD376:BR376"/>
    <mergeCell ref="BD400:BR400"/>
    <mergeCell ref="U400:AE400"/>
    <mergeCell ref="AT387:BC387"/>
    <mergeCell ref="U409:AE409"/>
    <mergeCell ref="BD399:BR399"/>
    <mergeCell ref="AF405:AQ405"/>
    <mergeCell ref="AF409:AQ409"/>
    <mergeCell ref="BS418:BU418"/>
    <mergeCell ref="BV418:BX418"/>
    <mergeCell ref="BY418:CA418"/>
    <mergeCell ref="BY398:CA398"/>
    <mergeCell ref="BS408:BU408"/>
    <mergeCell ref="AF414:AQ414"/>
    <mergeCell ref="BS403:BU403"/>
    <mergeCell ref="BV396:BX396"/>
    <mergeCell ref="BY396:CA396"/>
    <mergeCell ref="BV399:BX399"/>
    <mergeCell ref="BV402:BX402"/>
    <mergeCell ref="BS400:BU400"/>
    <mergeCell ref="BV400:BX400"/>
    <mergeCell ref="AT399:BC399"/>
    <mergeCell ref="BS397:BU397"/>
    <mergeCell ref="BV417:BX417"/>
    <mergeCell ref="BY417:CA417"/>
    <mergeCell ref="BD397:BR397"/>
    <mergeCell ref="AT397:BC397"/>
    <mergeCell ref="BD413:BR413"/>
    <mergeCell ref="BV406:BX406"/>
    <mergeCell ref="BY414:CA414"/>
    <mergeCell ref="AT401:BC401"/>
    <mergeCell ref="U416:AE416"/>
    <mergeCell ref="U405:AE405"/>
    <mergeCell ref="AR422:AS422"/>
    <mergeCell ref="AR415:AS415"/>
    <mergeCell ref="AT412:BC412"/>
    <mergeCell ref="AR410:AS410"/>
    <mergeCell ref="AF418:AQ418"/>
    <mergeCell ref="AF417:AQ417"/>
    <mergeCell ref="AR417:AS417"/>
    <mergeCell ref="AT417:BC417"/>
    <mergeCell ref="M407:O407"/>
    <mergeCell ref="M426:O426"/>
    <mergeCell ref="M424:O424"/>
    <mergeCell ref="M423:O423"/>
    <mergeCell ref="P417:Q418"/>
    <mergeCell ref="R417:T418"/>
    <mergeCell ref="AT375:BC375"/>
    <mergeCell ref="R398:T400"/>
    <mergeCell ref="AF400:AQ400"/>
    <mergeCell ref="AR383:AS383"/>
    <mergeCell ref="AF395:AQ395"/>
    <mergeCell ref="U397:AE397"/>
    <mergeCell ref="AT383:BC383"/>
    <mergeCell ref="AT385:BC385"/>
    <mergeCell ref="AF385:AQ385"/>
    <mergeCell ref="U392:AE392"/>
    <mergeCell ref="AF403:AQ403"/>
    <mergeCell ref="AR376:AS376"/>
    <mergeCell ref="AR393:AS393"/>
    <mergeCell ref="AT409:BC409"/>
    <mergeCell ref="AT407:BC407"/>
    <mergeCell ref="P407:T413"/>
    <mergeCell ref="P458:Q461"/>
    <mergeCell ref="U456:AE456"/>
    <mergeCell ref="U455:AE455"/>
    <mergeCell ref="M459:O459"/>
    <mergeCell ref="U454:AE454"/>
    <mergeCell ref="M455:O455"/>
    <mergeCell ref="U428:AE428"/>
    <mergeCell ref="M447:O447"/>
    <mergeCell ref="M448:O448"/>
    <mergeCell ref="R451:T451"/>
    <mergeCell ref="M434:O435"/>
    <mergeCell ref="M438:O438"/>
    <mergeCell ref="M443:O443"/>
    <mergeCell ref="AR453:AS453"/>
    <mergeCell ref="P437:T438"/>
    <mergeCell ref="M437:O437"/>
    <mergeCell ref="AR446:AS446"/>
    <mergeCell ref="AR450:AS450"/>
    <mergeCell ref="U441:AE441"/>
    <mergeCell ref="U436:AE436"/>
    <mergeCell ref="M439:O439"/>
    <mergeCell ref="U442:AE442"/>
    <mergeCell ref="P441:T441"/>
    <mergeCell ref="AR444:AS444"/>
    <mergeCell ref="M429:O429"/>
    <mergeCell ref="M431:O431"/>
    <mergeCell ref="AF438:AQ438"/>
    <mergeCell ref="AR437:AS437"/>
    <mergeCell ref="U431:AE431"/>
    <mergeCell ref="AR522:AS522"/>
    <mergeCell ref="AR459:AS459"/>
    <mergeCell ref="M509:O509"/>
    <mergeCell ref="AR480:AS480"/>
    <mergeCell ref="U485:AE485"/>
    <mergeCell ref="AF482:AQ482"/>
    <mergeCell ref="R478:T479"/>
    <mergeCell ref="AF481:AQ481"/>
    <mergeCell ref="AR473:AS473"/>
    <mergeCell ref="U506:AE506"/>
    <mergeCell ref="AF506:AQ506"/>
    <mergeCell ref="U504:AE504"/>
    <mergeCell ref="AF504:AQ504"/>
    <mergeCell ref="AR504:AS504"/>
    <mergeCell ref="U505:AE505"/>
    <mergeCell ref="AR506:AS506"/>
    <mergeCell ref="P497:T501"/>
    <mergeCell ref="M503:O503"/>
    <mergeCell ref="M504:O504"/>
    <mergeCell ref="M505:O505"/>
    <mergeCell ref="M506:O506"/>
    <mergeCell ref="U461:AE461"/>
    <mergeCell ref="R458:T459"/>
    <mergeCell ref="U502:AE502"/>
    <mergeCell ref="AR511:AS511"/>
    <mergeCell ref="M495:O496"/>
    <mergeCell ref="AF490:AQ490"/>
    <mergeCell ref="P510:T510"/>
    <mergeCell ref="P511:T511"/>
    <mergeCell ref="P512:T512"/>
    <mergeCell ref="AR460:AS460"/>
    <mergeCell ref="AR458:AS458"/>
    <mergeCell ref="P513:T514"/>
    <mergeCell ref="AF509:AQ509"/>
    <mergeCell ref="AF505:AQ505"/>
    <mergeCell ref="P518:AE519"/>
    <mergeCell ref="P507:T508"/>
    <mergeCell ref="U487:AE487"/>
    <mergeCell ref="U507:AE507"/>
    <mergeCell ref="P476:AE477"/>
    <mergeCell ref="P502:T506"/>
    <mergeCell ref="U503:AE503"/>
    <mergeCell ref="AF503:AQ503"/>
    <mergeCell ref="U462:AE462"/>
    <mergeCell ref="M491:O491"/>
    <mergeCell ref="M497:O497"/>
    <mergeCell ref="M499:O499"/>
    <mergeCell ref="M500:O500"/>
    <mergeCell ref="M480:O480"/>
    <mergeCell ref="M481:O481"/>
    <mergeCell ref="M472:O472"/>
    <mergeCell ref="AF498:AQ498"/>
    <mergeCell ref="AF507:AQ507"/>
    <mergeCell ref="AF491:AQ491"/>
    <mergeCell ref="AF472:AQ472"/>
    <mergeCell ref="AF466:AQ466"/>
    <mergeCell ref="M511:O511"/>
    <mergeCell ref="AF469:AQ469"/>
    <mergeCell ref="AF473:AQ473"/>
    <mergeCell ref="R483:T484"/>
    <mergeCell ref="AF487:AQ487"/>
    <mergeCell ref="P483:Q491"/>
    <mergeCell ref="AF484:AQ484"/>
    <mergeCell ref="AF489:AQ489"/>
    <mergeCell ref="AR530:AS530"/>
    <mergeCell ref="AF462:AQ462"/>
    <mergeCell ref="AR463:AS463"/>
    <mergeCell ref="M524:O524"/>
    <mergeCell ref="AR464:AS464"/>
    <mergeCell ref="AR518:AS519"/>
    <mergeCell ref="AF510:AQ510"/>
    <mergeCell ref="AR491:AS491"/>
    <mergeCell ref="M513:O513"/>
    <mergeCell ref="U513:AE513"/>
    <mergeCell ref="AF511:AQ511"/>
    <mergeCell ref="U501:AE501"/>
    <mergeCell ref="AF527:AQ527"/>
    <mergeCell ref="M469:O469"/>
    <mergeCell ref="M463:O463"/>
    <mergeCell ref="M464:O464"/>
    <mergeCell ref="M483:O483"/>
    <mergeCell ref="M478:O478"/>
    <mergeCell ref="P478:Q481"/>
    <mergeCell ref="AF522:AQ522"/>
    <mergeCell ref="AF486:AQ486"/>
    <mergeCell ref="AF479:AQ479"/>
    <mergeCell ref="AR482:AS482"/>
    <mergeCell ref="P525:AE525"/>
    <mergeCell ref="P523:AE523"/>
    <mergeCell ref="M518:O519"/>
    <mergeCell ref="M517:CU517"/>
    <mergeCell ref="BD513:BR513"/>
    <mergeCell ref="M528:O528"/>
    <mergeCell ref="M476:O477"/>
    <mergeCell ref="M521:O521"/>
    <mergeCell ref="P522:AE522"/>
    <mergeCell ref="CB533:CU533"/>
    <mergeCell ref="U468:AE468"/>
    <mergeCell ref="M471:O471"/>
    <mergeCell ref="M467:O467"/>
    <mergeCell ref="AR483:AS483"/>
    <mergeCell ref="R485:T491"/>
    <mergeCell ref="AR481:AS481"/>
    <mergeCell ref="M490:O490"/>
    <mergeCell ref="AF464:AQ464"/>
    <mergeCell ref="M479:O479"/>
    <mergeCell ref="M508:O508"/>
    <mergeCell ref="U510:AE510"/>
    <mergeCell ref="U514:AE514"/>
    <mergeCell ref="AF514:AQ514"/>
    <mergeCell ref="AF532:AQ532"/>
    <mergeCell ref="AF521:AQ521"/>
    <mergeCell ref="AF518:AQ519"/>
    <mergeCell ref="P520:AE520"/>
    <mergeCell ref="P521:AE521"/>
    <mergeCell ref="U508:AE508"/>
    <mergeCell ref="M520:O520"/>
    <mergeCell ref="M482:O482"/>
    <mergeCell ref="P527:AE527"/>
    <mergeCell ref="CB471:CU471"/>
    <mergeCell ref="M489:O489"/>
    <mergeCell ref="U465:AE465"/>
    <mergeCell ref="M507:O507"/>
    <mergeCell ref="U478:AE478"/>
    <mergeCell ref="AF533:AQ533"/>
    <mergeCell ref="AF512:AQ512"/>
    <mergeCell ref="M514:O514"/>
    <mergeCell ref="AF530:AQ530"/>
    <mergeCell ref="BY511:CA511"/>
    <mergeCell ref="AR499:AS499"/>
    <mergeCell ref="U463:AE463"/>
    <mergeCell ref="BS500:BU500"/>
    <mergeCell ref="BS469:BU469"/>
    <mergeCell ref="BV472:BX472"/>
    <mergeCell ref="BY472:CA472"/>
    <mergeCell ref="AT498:BC498"/>
    <mergeCell ref="BD490:BR490"/>
    <mergeCell ref="BY490:CA490"/>
    <mergeCell ref="BY491:CA491"/>
    <mergeCell ref="BV509:BX509"/>
    <mergeCell ref="BY506:CA506"/>
    <mergeCell ref="AR503:AS503"/>
    <mergeCell ref="AT503:BC503"/>
    <mergeCell ref="BS497:BU497"/>
    <mergeCell ref="BV491:BX491"/>
    <mergeCell ref="BY497:CA497"/>
    <mergeCell ref="AR476:AS477"/>
    <mergeCell ref="BD502:BR502"/>
    <mergeCell ref="BD498:BR498"/>
    <mergeCell ref="BY496:CA496"/>
    <mergeCell ref="BV502:BX502"/>
    <mergeCell ref="BS502:BU502"/>
    <mergeCell ref="BV497:BX497"/>
    <mergeCell ref="BD497:BR497"/>
    <mergeCell ref="AT497:BC497"/>
    <mergeCell ref="AT508:BC508"/>
    <mergeCell ref="BY507:CA507"/>
    <mergeCell ref="BY502:CA502"/>
    <mergeCell ref="BD501:BR501"/>
    <mergeCell ref="P528:AE528"/>
    <mergeCell ref="R464:T467"/>
    <mergeCell ref="M473:O473"/>
    <mergeCell ref="M502:O502"/>
    <mergeCell ref="M498:O498"/>
    <mergeCell ref="U479:AE479"/>
    <mergeCell ref="U472:AE472"/>
    <mergeCell ref="M465:O465"/>
    <mergeCell ref="AF534:AQ534"/>
    <mergeCell ref="U512:AE512"/>
    <mergeCell ref="P531:AE531"/>
    <mergeCell ref="M501:O501"/>
    <mergeCell ref="U500:AE500"/>
    <mergeCell ref="U499:AE499"/>
    <mergeCell ref="AF502:AQ502"/>
    <mergeCell ref="U511:AE511"/>
    <mergeCell ref="P482:T482"/>
    <mergeCell ref="M530:O530"/>
    <mergeCell ref="U509:AE509"/>
    <mergeCell ref="M534:O534"/>
    <mergeCell ref="P534:AE534"/>
    <mergeCell ref="AF508:AQ508"/>
    <mergeCell ref="M510:O510"/>
    <mergeCell ref="R480:T481"/>
    <mergeCell ref="M470:O470"/>
    <mergeCell ref="P462:Q473"/>
    <mergeCell ref="R462:T463"/>
    <mergeCell ref="R468:T473"/>
    <mergeCell ref="M462:O462"/>
    <mergeCell ref="M466:O466"/>
    <mergeCell ref="M484:O484"/>
    <mergeCell ref="P509:T509"/>
    <mergeCell ref="M257:O257"/>
    <mergeCell ref="V255:AG256"/>
    <mergeCell ref="M468:O468"/>
    <mergeCell ref="P321:T323"/>
    <mergeCell ref="AT324:BC324"/>
    <mergeCell ref="AR347:AS347"/>
    <mergeCell ref="AF344:AQ344"/>
    <mergeCell ref="AF347:AQ347"/>
    <mergeCell ref="M346:O346"/>
    <mergeCell ref="M341:O341"/>
    <mergeCell ref="AR449:AS449"/>
    <mergeCell ref="M456:O456"/>
    <mergeCell ref="AF457:AQ457"/>
    <mergeCell ref="AF450:AQ450"/>
    <mergeCell ref="M457:O457"/>
    <mergeCell ref="M458:O458"/>
    <mergeCell ref="R460:T461"/>
    <mergeCell ref="M460:O460"/>
    <mergeCell ref="M451:O451"/>
    <mergeCell ref="M452:O452"/>
    <mergeCell ref="M453:O453"/>
    <mergeCell ref="R454:T457"/>
    <mergeCell ref="AF460:AQ460"/>
    <mergeCell ref="AF458:AQ458"/>
    <mergeCell ref="AF456:AQ456"/>
    <mergeCell ref="U459:AE459"/>
    <mergeCell ref="AF455:AQ455"/>
    <mergeCell ref="P446:Q457"/>
    <mergeCell ref="M461:O461"/>
    <mergeCell ref="AR455:AS455"/>
    <mergeCell ref="U467:AE467"/>
    <mergeCell ref="M427:O427"/>
    <mergeCell ref="P526:AE526"/>
    <mergeCell ref="O535:R535"/>
    <mergeCell ref="M488:O488"/>
    <mergeCell ref="U489:AE489"/>
    <mergeCell ref="M487:O487"/>
    <mergeCell ref="M486:O486"/>
    <mergeCell ref="K537:L537"/>
    <mergeCell ref="M537:N537"/>
    <mergeCell ref="O537:R537"/>
    <mergeCell ref="M512:O512"/>
    <mergeCell ref="M523:O523"/>
    <mergeCell ref="K536:L536"/>
    <mergeCell ref="U491:AE491"/>
    <mergeCell ref="O536:R536"/>
    <mergeCell ref="M535:N535"/>
    <mergeCell ref="M533:O533"/>
    <mergeCell ref="P533:AE533"/>
    <mergeCell ref="P495:AE496"/>
    <mergeCell ref="M525:O525"/>
    <mergeCell ref="U497:AE497"/>
    <mergeCell ref="U490:AE490"/>
    <mergeCell ref="K535:L535"/>
    <mergeCell ref="U486:AE486"/>
    <mergeCell ref="P524:AE524"/>
    <mergeCell ref="M532:O532"/>
    <mergeCell ref="P532:AE532"/>
    <mergeCell ref="M526:O526"/>
    <mergeCell ref="M531:O531"/>
    <mergeCell ref="P530:AE530"/>
    <mergeCell ref="M522:O522"/>
    <mergeCell ref="P529:AE529"/>
    <mergeCell ref="M529:O529"/>
    <mergeCell ref="M538:N538"/>
    <mergeCell ref="O538:R538"/>
    <mergeCell ref="M527:O527"/>
    <mergeCell ref="K547:L547"/>
    <mergeCell ref="M547:N547"/>
    <mergeCell ref="O547:R547"/>
    <mergeCell ref="K542:L542"/>
    <mergeCell ref="M542:N542"/>
    <mergeCell ref="O542:R542"/>
    <mergeCell ref="K543:L543"/>
    <mergeCell ref="M543:N543"/>
    <mergeCell ref="O543:R543"/>
    <mergeCell ref="K544:L544"/>
    <mergeCell ref="M544:N544"/>
    <mergeCell ref="O544:R544"/>
    <mergeCell ref="K539:L539"/>
    <mergeCell ref="M539:N539"/>
    <mergeCell ref="O539:R539"/>
    <mergeCell ref="K540:L540"/>
    <mergeCell ref="M541:N541"/>
    <mergeCell ref="O540:R540"/>
    <mergeCell ref="K541:L541"/>
    <mergeCell ref="O546:R546"/>
    <mergeCell ref="K546:L546"/>
    <mergeCell ref="K545:L545"/>
    <mergeCell ref="M545:N545"/>
    <mergeCell ref="M536:N536"/>
    <mergeCell ref="O545:R545"/>
    <mergeCell ref="O541:R541"/>
    <mergeCell ref="M546:N546"/>
    <mergeCell ref="M540:N540"/>
    <mergeCell ref="K538:L538"/>
    <mergeCell ref="AB254:AD254"/>
    <mergeCell ref="U196:AA196"/>
    <mergeCell ref="U205:AA205"/>
    <mergeCell ref="AJ227:AL227"/>
    <mergeCell ref="AB209:AG209"/>
    <mergeCell ref="S226:AA226"/>
    <mergeCell ref="M312:T312"/>
    <mergeCell ref="AF320:AQ320"/>
    <mergeCell ref="S259:U259"/>
    <mergeCell ref="AH260:AS260"/>
    <mergeCell ref="S286:AA286"/>
    <mergeCell ref="BC258:BE258"/>
    <mergeCell ref="P257:R257"/>
    <mergeCell ref="AT261:AY261"/>
    <mergeCell ref="AB253:AD253"/>
    <mergeCell ref="AB235:AN235"/>
    <mergeCell ref="S235:AA235"/>
    <mergeCell ref="AE227:AG227"/>
    <mergeCell ref="AT255:AY256"/>
    <mergeCell ref="M255:U255"/>
    <mergeCell ref="J252:AF252"/>
    <mergeCell ref="AG252:BH252"/>
    <mergeCell ref="S236:AA236"/>
    <mergeCell ref="AB237:AG237"/>
    <mergeCell ref="S238:AA238"/>
    <mergeCell ref="AJ229:AL229"/>
    <mergeCell ref="M246:R247"/>
    <mergeCell ref="V257:AG257"/>
    <mergeCell ref="AH255:AS256"/>
    <mergeCell ref="S229:AA229"/>
    <mergeCell ref="AB227:AD227"/>
    <mergeCell ref="M226:R227"/>
    <mergeCell ref="AB53:AG53"/>
    <mergeCell ref="U183:AA183"/>
    <mergeCell ref="AH53:AJ53"/>
    <mergeCell ref="AK53:AP53"/>
    <mergeCell ref="AQ53:AS53"/>
    <mergeCell ref="AT53:AY53"/>
    <mergeCell ref="AB52:BT52"/>
    <mergeCell ref="M53:AA53"/>
    <mergeCell ref="BH108:BT108"/>
    <mergeCell ref="AN108:BG108"/>
    <mergeCell ref="AH41:AJ41"/>
    <mergeCell ref="AB84:BT84"/>
    <mergeCell ref="AB78:BT78"/>
    <mergeCell ref="S78:AA78"/>
    <mergeCell ref="BG80:BH80"/>
    <mergeCell ref="AK83:AP83"/>
    <mergeCell ref="M45:R50"/>
    <mergeCell ref="S49:AA49"/>
    <mergeCell ref="AB49:BT49"/>
    <mergeCell ref="S50:AA50"/>
    <mergeCell ref="AB50:BT50"/>
    <mergeCell ref="AH51:AJ51"/>
    <mergeCell ref="AK51:AP51"/>
    <mergeCell ref="S74:X75"/>
    <mergeCell ref="AB62:BT62"/>
    <mergeCell ref="AQ41:AS41"/>
    <mergeCell ref="AT41:AY41"/>
    <mergeCell ref="AB74:AP74"/>
    <mergeCell ref="M68:AA68"/>
    <mergeCell ref="S112:Y112"/>
    <mergeCell ref="AE169:AG169"/>
    <mergeCell ref="Z118:AA118"/>
    <mergeCell ref="J4:L4"/>
    <mergeCell ref="S21:AA21"/>
    <mergeCell ref="S131:AA131"/>
    <mergeCell ref="AB110:AP110"/>
    <mergeCell ref="M115:R121"/>
    <mergeCell ref="S97:AA97"/>
    <mergeCell ref="AB102:BT102"/>
    <mergeCell ref="AB93:AP93"/>
    <mergeCell ref="J58:AA58"/>
    <mergeCell ref="S98:Y100"/>
    <mergeCell ref="AB97:BT97"/>
    <mergeCell ref="Z92:AA92"/>
    <mergeCell ref="AB98:AP98"/>
    <mergeCell ref="AB116:AP116"/>
    <mergeCell ref="AB119:AG119"/>
    <mergeCell ref="Z117:AA117"/>
    <mergeCell ref="AB17:BT17"/>
    <mergeCell ref="AB18:BT18"/>
    <mergeCell ref="S62:AA62"/>
    <mergeCell ref="S60:AA60"/>
    <mergeCell ref="S73:AA73"/>
    <mergeCell ref="Z76:AA76"/>
    <mergeCell ref="AT67:AY67"/>
    <mergeCell ref="AK41:AP41"/>
    <mergeCell ref="S64:AA64"/>
    <mergeCell ref="AB64:BT64"/>
    <mergeCell ref="AK67:AP67"/>
    <mergeCell ref="S35:AA35"/>
    <mergeCell ref="AB73:AP73"/>
    <mergeCell ref="AH23:AJ23"/>
    <mergeCell ref="M65:AA65"/>
    <mergeCell ref="AB65:AG65"/>
    <mergeCell ref="BC4:BE4"/>
    <mergeCell ref="P4:Q4"/>
    <mergeCell ref="S13:AA13"/>
    <mergeCell ref="AB14:BT14"/>
    <mergeCell ref="AB13:BT13"/>
    <mergeCell ref="AB8:BT8"/>
    <mergeCell ref="AB7:AI7"/>
    <mergeCell ref="M24:AA24"/>
    <mergeCell ref="AH65:AJ65"/>
    <mergeCell ref="AK65:AP65"/>
    <mergeCell ref="M73:R76"/>
    <mergeCell ref="Z75:AA75"/>
    <mergeCell ref="S34:AA34"/>
    <mergeCell ref="S76:Y76"/>
    <mergeCell ref="Z74:AA74"/>
    <mergeCell ref="AH67:AJ67"/>
    <mergeCell ref="M67:AA67"/>
    <mergeCell ref="AB20:BT20"/>
    <mergeCell ref="AB34:BT34"/>
    <mergeCell ref="M17:R22"/>
    <mergeCell ref="AB23:AG23"/>
    <mergeCell ref="M26:AA26"/>
    <mergeCell ref="M33:R38"/>
    <mergeCell ref="AB67:AG67"/>
    <mergeCell ref="AB68:BT68"/>
    <mergeCell ref="AB61:BT61"/>
    <mergeCell ref="M40:AA40"/>
    <mergeCell ref="AB40:BT40"/>
    <mergeCell ref="S61:AA61"/>
    <mergeCell ref="S63:AA63"/>
    <mergeCell ref="M41:AA41"/>
    <mergeCell ref="AB48:BT48"/>
    <mergeCell ref="S12:AA12"/>
    <mergeCell ref="M25:AA25"/>
    <mergeCell ref="AB33:BT33"/>
    <mergeCell ref="AH26:AJ26"/>
    <mergeCell ref="AQ25:AS25"/>
    <mergeCell ref="AB26:AG26"/>
    <mergeCell ref="AH25:AJ25"/>
    <mergeCell ref="S22:AA22"/>
    <mergeCell ref="U189:AA189"/>
    <mergeCell ref="Z82:AA82"/>
    <mergeCell ref="AB77:BT77"/>
    <mergeCell ref="S92:X93"/>
    <mergeCell ref="Z98:AA98"/>
    <mergeCell ref="M113:R114"/>
    <mergeCell ref="M95:R96"/>
    <mergeCell ref="AB92:AP92"/>
    <mergeCell ref="AB91:AP91"/>
    <mergeCell ref="M91:R94"/>
    <mergeCell ref="AQ83:BT83"/>
    <mergeCell ref="AT85:AY85"/>
    <mergeCell ref="S113:AA113"/>
    <mergeCell ref="S96:AA96"/>
    <mergeCell ref="M97:R103"/>
    <mergeCell ref="AZ103:BT103"/>
    <mergeCell ref="Z110:AA110"/>
    <mergeCell ref="J108:AH108"/>
    <mergeCell ref="S110:X111"/>
    <mergeCell ref="Z81:AA81"/>
    <mergeCell ref="S101:AA101"/>
    <mergeCell ref="S114:AA114"/>
    <mergeCell ref="Z112:AA112"/>
    <mergeCell ref="AB114:BT114"/>
    <mergeCell ref="S79:AA79"/>
    <mergeCell ref="AB83:AG83"/>
    <mergeCell ref="AE204:AG204"/>
    <mergeCell ref="S224:AA224"/>
    <mergeCell ref="AB225:AD225"/>
    <mergeCell ref="M222:R223"/>
    <mergeCell ref="J220:AA220"/>
    <mergeCell ref="AB224:AG224"/>
    <mergeCell ref="AB152:AD152"/>
    <mergeCell ref="M145:AA145"/>
    <mergeCell ref="M163:AA163"/>
    <mergeCell ref="P189:T193"/>
    <mergeCell ref="P196:T201"/>
    <mergeCell ref="U203:AA203"/>
    <mergeCell ref="M182:O193"/>
    <mergeCell ref="P188:AA188"/>
    <mergeCell ref="AB184:AD184"/>
    <mergeCell ref="AB187:AU187"/>
    <mergeCell ref="U201:AA201"/>
    <mergeCell ref="M196:O207"/>
    <mergeCell ref="AJ190:AL190"/>
    <mergeCell ref="P182:T187"/>
    <mergeCell ref="AB112:AP112"/>
    <mergeCell ref="AQ119:BT119"/>
    <mergeCell ref="AB131:AP131"/>
    <mergeCell ref="AB79:BT79"/>
    <mergeCell ref="AH83:AJ83"/>
    <mergeCell ref="AK85:AP85"/>
    <mergeCell ref="AQ85:AS85"/>
    <mergeCell ref="AE172:AG172"/>
    <mergeCell ref="AY80:AZ80"/>
    <mergeCell ref="U190:AA190"/>
    <mergeCell ref="AE190:AG190"/>
    <mergeCell ref="AO227:AQ227"/>
    <mergeCell ref="S223:AA223"/>
    <mergeCell ref="S222:AA222"/>
    <mergeCell ref="M208:AA208"/>
    <mergeCell ref="M174:AA174"/>
    <mergeCell ref="U207:AA207"/>
    <mergeCell ref="AB163:AD163"/>
    <mergeCell ref="U198:AA198"/>
    <mergeCell ref="AB197:AJ197"/>
    <mergeCell ref="AB198:AD198"/>
    <mergeCell ref="U206:AA206"/>
    <mergeCell ref="AB154:AD154"/>
    <mergeCell ref="AJ225:AL225"/>
    <mergeCell ref="U187:AA187"/>
    <mergeCell ref="AE184:AG184"/>
    <mergeCell ref="M171:AA171"/>
    <mergeCell ref="S225:AA225"/>
    <mergeCell ref="AB223:AD223"/>
    <mergeCell ref="AJ223:AL223"/>
    <mergeCell ref="U186:AA186"/>
    <mergeCell ref="U184:AA184"/>
    <mergeCell ref="U185:AA185"/>
    <mergeCell ref="AB183:AK183"/>
    <mergeCell ref="U182:AA182"/>
    <mergeCell ref="AB186:AU186"/>
    <mergeCell ref="AJ169:AL169"/>
    <mergeCell ref="S127:AA127"/>
    <mergeCell ref="AB121:AG121"/>
    <mergeCell ref="M168:AA168"/>
    <mergeCell ref="S142:AA142"/>
    <mergeCell ref="AB195:AK195"/>
    <mergeCell ref="AB203:AD203"/>
    <mergeCell ref="U204:AA204"/>
    <mergeCell ref="AO184:AQ184"/>
    <mergeCell ref="AB190:AD190"/>
    <mergeCell ref="AJ184:AL184"/>
    <mergeCell ref="AB196:AD196"/>
    <mergeCell ref="P181:AA181"/>
    <mergeCell ref="M167:AA167"/>
    <mergeCell ref="AB174:BT174"/>
    <mergeCell ref="AO172:AQ172"/>
    <mergeCell ref="M181:O181"/>
    <mergeCell ref="AB181:AK181"/>
    <mergeCell ref="M195:O195"/>
    <mergeCell ref="U192:AA192"/>
    <mergeCell ref="AB185:AU185"/>
    <mergeCell ref="AB157:AD157"/>
    <mergeCell ref="AB169:AD169"/>
    <mergeCell ref="M173:AA173"/>
    <mergeCell ref="J162:AG162"/>
    <mergeCell ref="AE166:AG166"/>
    <mergeCell ref="AJ172:AL172"/>
    <mergeCell ref="AB172:AD172"/>
    <mergeCell ref="AB173:AQ173"/>
    <mergeCell ref="AB165:BT165"/>
    <mergeCell ref="M170:AA170"/>
    <mergeCell ref="M166:AA166"/>
    <mergeCell ref="M139:R142"/>
    <mergeCell ref="AB188:AD188"/>
    <mergeCell ref="AB170:AQ170"/>
    <mergeCell ref="AB166:AD166"/>
    <mergeCell ref="AB153:AD153"/>
    <mergeCell ref="M146:AA146"/>
    <mergeCell ref="AF155:AK155"/>
    <mergeCell ref="AB128:AP128"/>
    <mergeCell ref="AB133:AP133"/>
    <mergeCell ref="AB139:AP139"/>
    <mergeCell ref="AB146:AG146"/>
    <mergeCell ref="M143:R144"/>
    <mergeCell ref="S139:AA139"/>
    <mergeCell ref="AB140:AP140"/>
    <mergeCell ref="S130:AA130"/>
    <mergeCell ref="AB130:AP130"/>
    <mergeCell ref="S129:AA129"/>
    <mergeCell ref="AB141:AP141"/>
    <mergeCell ref="S132:AA132"/>
    <mergeCell ref="S141:AA141"/>
    <mergeCell ref="AB156:AD156"/>
    <mergeCell ref="AB164:AQ164"/>
    <mergeCell ref="S143:AA143"/>
    <mergeCell ref="AB171:BT171"/>
    <mergeCell ref="AB143:AG143"/>
    <mergeCell ref="AB145:AG145"/>
    <mergeCell ref="AB144:AG144"/>
    <mergeCell ref="S144:AA144"/>
    <mergeCell ref="M131:R133"/>
    <mergeCell ref="S133:AA133"/>
    <mergeCell ref="M165:AA165"/>
    <mergeCell ref="AE152:AL152"/>
    <mergeCell ref="AE163:AG163"/>
    <mergeCell ref="BB157:BT157"/>
    <mergeCell ref="AB193:AU193"/>
    <mergeCell ref="AJ198:AL198"/>
    <mergeCell ref="AB204:AD204"/>
    <mergeCell ref="AE223:AG223"/>
    <mergeCell ref="AO225:AQ225"/>
    <mergeCell ref="AO198:AQ198"/>
    <mergeCell ref="M209:AA209"/>
    <mergeCell ref="AJ204:AL204"/>
    <mergeCell ref="U197:AA197"/>
    <mergeCell ref="P203:T207"/>
    <mergeCell ref="U193:AA193"/>
    <mergeCell ref="AB155:AD155"/>
    <mergeCell ref="M164:AA164"/>
    <mergeCell ref="AB167:AQ167"/>
    <mergeCell ref="AF154:AK154"/>
    <mergeCell ref="M169:AA169"/>
    <mergeCell ref="AO166:AQ166"/>
    <mergeCell ref="AO169:AQ169"/>
    <mergeCell ref="AJ166:AL166"/>
    <mergeCell ref="AB168:BT168"/>
    <mergeCell ref="AF157:AZ157"/>
    <mergeCell ref="AB226:AG226"/>
    <mergeCell ref="M244:R245"/>
    <mergeCell ref="S227:AA227"/>
    <mergeCell ref="M237:R238"/>
    <mergeCell ref="AB229:AD229"/>
    <mergeCell ref="AB228:AG228"/>
    <mergeCell ref="AJ245:AL245"/>
    <mergeCell ref="AB201:AU201"/>
    <mergeCell ref="AE198:AG198"/>
    <mergeCell ref="AB212:BT215"/>
    <mergeCell ref="P202:AA202"/>
    <mergeCell ref="AB202:AD202"/>
    <mergeCell ref="AB222:AG222"/>
    <mergeCell ref="U199:AA199"/>
    <mergeCell ref="M228:R229"/>
    <mergeCell ref="AJ238:AL238"/>
    <mergeCell ref="AE225:AG225"/>
    <mergeCell ref="AE229:AG229"/>
    <mergeCell ref="J234:AN234"/>
    <mergeCell ref="AB221:AD221"/>
    <mergeCell ref="M212:AA215"/>
    <mergeCell ref="M235:R236"/>
    <mergeCell ref="J243:BK243"/>
    <mergeCell ref="S237:AA237"/>
    <mergeCell ref="AB236:AU236"/>
    <mergeCell ref="S228:AA228"/>
    <mergeCell ref="M353:O353"/>
    <mergeCell ref="P364:T364"/>
    <mergeCell ref="AR364:AS364"/>
    <mergeCell ref="M366:O366"/>
    <mergeCell ref="BD359:BR359"/>
    <mergeCell ref="AT348:BC348"/>
    <mergeCell ref="AF389:AQ389"/>
    <mergeCell ref="AT392:BC392"/>
    <mergeCell ref="BD375:BR375"/>
    <mergeCell ref="AR343:AS343"/>
    <mergeCell ref="AF382:AQ382"/>
    <mergeCell ref="AF328:AQ328"/>
    <mergeCell ref="AZ259:BB259"/>
    <mergeCell ref="P326:T332"/>
    <mergeCell ref="AT350:BC350"/>
    <mergeCell ref="M335:O336"/>
    <mergeCell ref="AT339:BC339"/>
    <mergeCell ref="M332:O332"/>
    <mergeCell ref="U354:AE354"/>
    <mergeCell ref="AR373:AS373"/>
    <mergeCell ref="U385:AE385"/>
    <mergeCell ref="AR385:AS385"/>
    <mergeCell ref="M350:O350"/>
    <mergeCell ref="AF349:AQ349"/>
    <mergeCell ref="R385:T386"/>
    <mergeCell ref="AF331:AQ331"/>
    <mergeCell ref="P324:T325"/>
    <mergeCell ref="U340:AE340"/>
    <mergeCell ref="AF327:AQ327"/>
    <mergeCell ref="M329:O329"/>
    <mergeCell ref="AF339:AQ339"/>
    <mergeCell ref="AT370:BC370"/>
    <mergeCell ref="M254:AA254"/>
    <mergeCell ref="BF255:BT256"/>
    <mergeCell ref="AF377:AQ377"/>
    <mergeCell ref="S247:AA247"/>
    <mergeCell ref="BC257:BE257"/>
    <mergeCell ref="AB247:AD247"/>
    <mergeCell ref="M253:AA253"/>
    <mergeCell ref="M362:O363"/>
    <mergeCell ref="M338:O338"/>
    <mergeCell ref="U330:AE330"/>
    <mergeCell ref="U369:AE369"/>
    <mergeCell ref="P362:AE363"/>
    <mergeCell ref="AO221:AQ221"/>
    <mergeCell ref="M221:AA221"/>
    <mergeCell ref="AO223:AQ223"/>
    <mergeCell ref="AT382:BC382"/>
    <mergeCell ref="P320:T320"/>
    <mergeCell ref="AB244:AN244"/>
    <mergeCell ref="BS324:BU324"/>
    <mergeCell ref="AR372:AS372"/>
    <mergeCell ref="M349:O349"/>
    <mergeCell ref="AR331:AS331"/>
    <mergeCell ref="AF343:AQ343"/>
    <mergeCell ref="BS347:BU347"/>
    <mergeCell ref="AT327:BC327"/>
    <mergeCell ref="BS339:BU339"/>
    <mergeCell ref="AO229:AQ229"/>
    <mergeCell ref="S244:AA244"/>
    <mergeCell ref="AE245:AG245"/>
    <mergeCell ref="AB238:AD238"/>
    <mergeCell ref="S245:AA245"/>
    <mergeCell ref="M342:O342"/>
    <mergeCell ref="S246:AA246"/>
    <mergeCell ref="AR369:AS369"/>
    <mergeCell ref="M324:O324"/>
    <mergeCell ref="M442:O442"/>
    <mergeCell ref="AR448:AS448"/>
    <mergeCell ref="AF445:AQ445"/>
    <mergeCell ref="AF447:AQ447"/>
    <mergeCell ref="AF436:AQ436"/>
    <mergeCell ref="M430:O430"/>
    <mergeCell ref="AF454:AQ454"/>
    <mergeCell ref="R452:T453"/>
    <mergeCell ref="U451:AE451"/>
    <mergeCell ref="P419:T422"/>
    <mergeCell ref="M440:O440"/>
    <mergeCell ref="M436:O436"/>
    <mergeCell ref="M428:O428"/>
    <mergeCell ref="P434:AE435"/>
    <mergeCell ref="P423:T431"/>
    <mergeCell ref="M422:O422"/>
    <mergeCell ref="AR441:AS441"/>
    <mergeCell ref="U430:AE430"/>
    <mergeCell ref="U421:AE421"/>
    <mergeCell ref="AF443:AQ443"/>
    <mergeCell ref="M441:O441"/>
    <mergeCell ref="AF453:AQ453"/>
    <mergeCell ref="U453:AE453"/>
    <mergeCell ref="U452:AE452"/>
    <mergeCell ref="U422:AE422"/>
    <mergeCell ref="P436:T436"/>
    <mergeCell ref="M449:O449"/>
    <mergeCell ref="AR454:AS454"/>
    <mergeCell ref="M450:O450"/>
    <mergeCell ref="AT514:BC514"/>
    <mergeCell ref="AT509:BC509"/>
    <mergeCell ref="AF520:AQ520"/>
    <mergeCell ref="AT511:BC511"/>
    <mergeCell ref="AT510:BC510"/>
    <mergeCell ref="BD510:BR510"/>
    <mergeCell ref="AR509:AS509"/>
    <mergeCell ref="AF513:AQ513"/>
    <mergeCell ref="BS514:BU514"/>
    <mergeCell ref="BV511:BX511"/>
    <mergeCell ref="BD511:BR511"/>
    <mergeCell ref="BS509:BU509"/>
    <mergeCell ref="BY508:CA508"/>
    <mergeCell ref="BV499:BX499"/>
    <mergeCell ref="U498:AE498"/>
    <mergeCell ref="AF500:AQ500"/>
    <mergeCell ref="AF499:AQ499"/>
    <mergeCell ref="AF501:AQ501"/>
    <mergeCell ref="AT512:BC512"/>
    <mergeCell ref="BD505:BR505"/>
    <mergeCell ref="BS505:BU505"/>
    <mergeCell ref="AT504:BC504"/>
    <mergeCell ref="BD504:BR504"/>
    <mergeCell ref="BS504:BU504"/>
    <mergeCell ref="AT506:BC506"/>
    <mergeCell ref="BD506:BR506"/>
    <mergeCell ref="BS506:BU506"/>
    <mergeCell ref="BV506:BX506"/>
    <mergeCell ref="BD512:BR512"/>
    <mergeCell ref="AT501:BC501"/>
    <mergeCell ref="BS512:BU512"/>
    <mergeCell ref="BD499:BR499"/>
    <mergeCell ref="BD507:BR507"/>
    <mergeCell ref="AT495:BC496"/>
    <mergeCell ref="BD508:BR508"/>
    <mergeCell ref="BD500:BR500"/>
    <mergeCell ref="BS508:BU508"/>
    <mergeCell ref="AT499:BC499"/>
    <mergeCell ref="AT500:BC500"/>
    <mergeCell ref="AT502:BC502"/>
    <mergeCell ref="AR495:AS496"/>
    <mergeCell ref="AR488:AS488"/>
    <mergeCell ref="AR497:AS497"/>
    <mergeCell ref="BS495:CA495"/>
    <mergeCell ref="AT490:BC490"/>
    <mergeCell ref="BD485:BR485"/>
    <mergeCell ref="BS489:BU489"/>
    <mergeCell ref="BV490:BX490"/>
    <mergeCell ref="BY489:CA489"/>
    <mergeCell ref="AT507:BC507"/>
    <mergeCell ref="BV498:BX498"/>
    <mergeCell ref="BS490:BU490"/>
    <mergeCell ref="M494:CU494"/>
    <mergeCell ref="BD487:BR487"/>
    <mergeCell ref="BV500:BX500"/>
    <mergeCell ref="CB499:CU499"/>
    <mergeCell ref="AF495:AQ496"/>
    <mergeCell ref="BS491:BU491"/>
    <mergeCell ref="BS499:BU499"/>
    <mergeCell ref="M485:O485"/>
    <mergeCell ref="CB490:CU490"/>
    <mergeCell ref="AT489:BC489"/>
    <mergeCell ref="BD489:BR489"/>
    <mergeCell ref="BY486:CA486"/>
    <mergeCell ref="BD491:BR491"/>
    <mergeCell ref="AR487:AS487"/>
    <mergeCell ref="AF497:AQ497"/>
    <mergeCell ref="BD486:BR486"/>
    <mergeCell ref="BD483:BR483"/>
    <mergeCell ref="BD484:BR484"/>
    <mergeCell ref="AF483:AQ483"/>
    <mergeCell ref="AT483:BC483"/>
    <mergeCell ref="BV483:BX483"/>
    <mergeCell ref="BV485:BX485"/>
    <mergeCell ref="U488:AE488"/>
    <mergeCell ref="AT487:BC487"/>
    <mergeCell ref="AR489:AS489"/>
    <mergeCell ref="AT484:BC484"/>
    <mergeCell ref="AR486:AS486"/>
    <mergeCell ref="AF488:AQ488"/>
    <mergeCell ref="BY488:CA488"/>
    <mergeCell ref="BD488:BR488"/>
    <mergeCell ref="AT486:BC486"/>
    <mergeCell ref="AR484:AS484"/>
    <mergeCell ref="BS487:BU487"/>
    <mergeCell ref="AT488:BC488"/>
    <mergeCell ref="BY483:CA483"/>
    <mergeCell ref="U484:AE484"/>
    <mergeCell ref="AT485:BC485"/>
    <mergeCell ref="U483:AE483"/>
    <mergeCell ref="BS486:BU486"/>
    <mergeCell ref="AT491:BC491"/>
    <mergeCell ref="BD473:BR473"/>
    <mergeCell ref="AF471:AQ471"/>
    <mergeCell ref="U470:AE470"/>
    <mergeCell ref="AT473:BC473"/>
    <mergeCell ref="AF467:AQ467"/>
    <mergeCell ref="AT467:BC467"/>
    <mergeCell ref="AF476:AQ477"/>
    <mergeCell ref="AF485:AQ485"/>
    <mergeCell ref="AF470:AQ470"/>
    <mergeCell ref="AR470:AS470"/>
    <mergeCell ref="BD476:BR477"/>
    <mergeCell ref="BD471:BR471"/>
    <mergeCell ref="AR485:AS485"/>
    <mergeCell ref="U482:AE482"/>
    <mergeCell ref="U471:AE471"/>
    <mergeCell ref="U473:AE473"/>
    <mergeCell ref="AR471:AS471"/>
    <mergeCell ref="AT480:BC480"/>
    <mergeCell ref="AT471:BC471"/>
    <mergeCell ref="BD482:BR482"/>
    <mergeCell ref="BD480:BR480"/>
    <mergeCell ref="U481:AE481"/>
    <mergeCell ref="U480:AE480"/>
    <mergeCell ref="AR479:AS479"/>
    <mergeCell ref="AF480:AQ480"/>
    <mergeCell ref="AT479:BC479"/>
    <mergeCell ref="AT482:BC482"/>
    <mergeCell ref="BD478:BR478"/>
    <mergeCell ref="AR478:AS478"/>
    <mergeCell ref="BD481:BR481"/>
    <mergeCell ref="BD479:BR479"/>
    <mergeCell ref="BD468:BR468"/>
    <mergeCell ref="U460:AE460"/>
    <mergeCell ref="AR457:AS457"/>
    <mergeCell ref="AF468:AQ468"/>
    <mergeCell ref="U464:AE464"/>
    <mergeCell ref="AF465:AQ465"/>
    <mergeCell ref="BD466:BR466"/>
    <mergeCell ref="AT470:BC470"/>
    <mergeCell ref="AT469:BC469"/>
    <mergeCell ref="BD464:BR464"/>
    <mergeCell ref="BD463:BR463"/>
    <mergeCell ref="AT465:BC465"/>
    <mergeCell ref="AF463:AQ463"/>
    <mergeCell ref="AT468:BC468"/>
    <mergeCell ref="AR465:AS465"/>
    <mergeCell ref="AT458:BC458"/>
    <mergeCell ref="U466:AE466"/>
    <mergeCell ref="AR462:AS462"/>
    <mergeCell ref="AT462:BC462"/>
    <mergeCell ref="U469:AE469"/>
    <mergeCell ref="U458:AE458"/>
    <mergeCell ref="BD469:BR469"/>
    <mergeCell ref="AT464:BC464"/>
    <mergeCell ref="BD461:BR461"/>
    <mergeCell ref="AR469:AS469"/>
    <mergeCell ref="BD465:BR465"/>
    <mergeCell ref="BD458:BR458"/>
    <mergeCell ref="BD462:BR462"/>
    <mergeCell ref="BD470:BR470"/>
    <mergeCell ref="U457:AE457"/>
    <mergeCell ref="BD457:BR457"/>
    <mergeCell ref="AT466:BC466"/>
    <mergeCell ref="AT457:BC457"/>
    <mergeCell ref="P415:T416"/>
    <mergeCell ref="U440:AE440"/>
    <mergeCell ref="U448:AE448"/>
    <mergeCell ref="AR362:AS363"/>
    <mergeCell ref="P369:T370"/>
    <mergeCell ref="AT368:BC368"/>
    <mergeCell ref="U376:AE376"/>
    <mergeCell ref="AR346:AS346"/>
    <mergeCell ref="U387:AE387"/>
    <mergeCell ref="R382:AE382"/>
    <mergeCell ref="P387:Q397"/>
    <mergeCell ref="U394:AE394"/>
    <mergeCell ref="AF392:AQ392"/>
    <mergeCell ref="P414:T414"/>
    <mergeCell ref="AR392:AS392"/>
    <mergeCell ref="AR352:AS352"/>
    <mergeCell ref="AR394:AS394"/>
    <mergeCell ref="U395:AE395"/>
    <mergeCell ref="R351:T352"/>
    <mergeCell ref="R446:T450"/>
    <mergeCell ref="AF439:AQ439"/>
    <mergeCell ref="P439:T440"/>
    <mergeCell ref="AF440:AQ440"/>
    <mergeCell ref="U447:AE447"/>
    <mergeCell ref="U445:AE445"/>
    <mergeCell ref="P442:T445"/>
    <mergeCell ref="AR436:AS436"/>
    <mergeCell ref="U413:AE413"/>
    <mergeCell ref="AT438:BC438"/>
    <mergeCell ref="AT374:BC374"/>
    <mergeCell ref="AF393:AQ393"/>
    <mergeCell ref="AF413:AQ413"/>
    <mergeCell ref="U424:AE424"/>
    <mergeCell ref="U425:AE425"/>
    <mergeCell ref="U426:AE426"/>
    <mergeCell ref="M446:O446"/>
    <mergeCell ref="AT445:BC445"/>
    <mergeCell ref="AT444:BC444"/>
    <mergeCell ref="M415:O415"/>
    <mergeCell ref="M416:O416"/>
    <mergeCell ref="M418:O418"/>
    <mergeCell ref="AT448:BC448"/>
    <mergeCell ref="U438:AE438"/>
    <mergeCell ref="U444:AE444"/>
    <mergeCell ref="AR439:AS439"/>
    <mergeCell ref="AF430:AQ430"/>
    <mergeCell ref="P398:Q403"/>
    <mergeCell ref="M454:O454"/>
    <mergeCell ref="M420:O420"/>
    <mergeCell ref="M444:O444"/>
    <mergeCell ref="M445:O445"/>
    <mergeCell ref="M425:O425"/>
    <mergeCell ref="M419:O419"/>
    <mergeCell ref="M421:O421"/>
    <mergeCell ref="U402:AE402"/>
    <mergeCell ref="AT439:BC439"/>
    <mergeCell ref="AT430:BC430"/>
    <mergeCell ref="AT451:BC451"/>
    <mergeCell ref="AR451:AS451"/>
    <mergeCell ref="AF437:AQ437"/>
    <mergeCell ref="U437:AE437"/>
    <mergeCell ref="AR431:AS431"/>
    <mergeCell ref="AF431:AQ431"/>
    <mergeCell ref="M414:O414"/>
    <mergeCell ref="M367:O367"/>
    <mergeCell ref="AF351:AQ351"/>
    <mergeCell ref="AR366:AS366"/>
    <mergeCell ref="AF369:AQ369"/>
    <mergeCell ref="U368:AE368"/>
    <mergeCell ref="U357:AE357"/>
    <mergeCell ref="AR354:AS354"/>
    <mergeCell ref="U346:AE346"/>
    <mergeCell ref="P382:Q386"/>
    <mergeCell ref="U399:AE399"/>
    <mergeCell ref="BD401:BR401"/>
    <mergeCell ref="U401:AE401"/>
    <mergeCell ref="AF376:AQ376"/>
    <mergeCell ref="U418:AE418"/>
    <mergeCell ref="AF396:AQ396"/>
    <mergeCell ref="AT400:BC400"/>
    <mergeCell ref="U404:AE404"/>
    <mergeCell ref="AR388:AS388"/>
    <mergeCell ref="BD398:BR398"/>
    <mergeCell ref="U415:AE415"/>
    <mergeCell ref="AR396:AS396"/>
    <mergeCell ref="AR400:AS400"/>
    <mergeCell ref="U414:AE414"/>
    <mergeCell ref="M406:O406"/>
    <mergeCell ref="AF412:AQ412"/>
    <mergeCell ref="AF366:AQ366"/>
    <mergeCell ref="P365:T368"/>
    <mergeCell ref="AF350:AQ350"/>
    <mergeCell ref="AT352:BC352"/>
    <mergeCell ref="U351:AE351"/>
    <mergeCell ref="AF364:AQ364"/>
    <mergeCell ref="AR368:AS368"/>
    <mergeCell ref="BD391:BR391"/>
    <mergeCell ref="BD389:BR389"/>
    <mergeCell ref="AR461:AS461"/>
    <mergeCell ref="U429:AE429"/>
    <mergeCell ref="AR427:AS427"/>
    <mergeCell ref="BD393:BR393"/>
    <mergeCell ref="AR452:AS452"/>
    <mergeCell ref="AF451:AQ451"/>
    <mergeCell ref="AF444:AQ444"/>
    <mergeCell ref="AF441:AQ441"/>
    <mergeCell ref="M433:CU433"/>
    <mergeCell ref="BS442:BU442"/>
    <mergeCell ref="BD446:BR446"/>
    <mergeCell ref="CB450:CU450"/>
    <mergeCell ref="BY452:CA452"/>
    <mergeCell ref="AF448:AQ448"/>
    <mergeCell ref="BS455:BU455"/>
    <mergeCell ref="BY412:CA412"/>
    <mergeCell ref="AT440:BC440"/>
    <mergeCell ref="AT431:BC431"/>
    <mergeCell ref="BD424:BR424"/>
    <mergeCell ref="BS394:BU394"/>
    <mergeCell ref="BV427:BX427"/>
    <mergeCell ref="AT436:BC436"/>
    <mergeCell ref="BS422:BU422"/>
    <mergeCell ref="AF428:AQ428"/>
    <mergeCell ref="AR434:AS435"/>
    <mergeCell ref="AF434:AQ435"/>
    <mergeCell ref="AR430:AS430"/>
    <mergeCell ref="BD427:BR427"/>
    <mergeCell ref="AR420:AS420"/>
    <mergeCell ref="AF424:AQ424"/>
    <mergeCell ref="AT472:BC472"/>
    <mergeCell ref="BD452:BR452"/>
    <mergeCell ref="AT449:BC449"/>
    <mergeCell ref="BD454:BR454"/>
    <mergeCell ref="AT437:BC437"/>
    <mergeCell ref="AT447:BC447"/>
    <mergeCell ref="AF459:AQ459"/>
    <mergeCell ref="BS434:CA434"/>
    <mergeCell ref="BD442:BR442"/>
    <mergeCell ref="BD440:BR440"/>
    <mergeCell ref="BD439:BR439"/>
    <mergeCell ref="AT452:BC452"/>
    <mergeCell ref="AT446:BC446"/>
    <mergeCell ref="AT454:BC454"/>
    <mergeCell ref="AF452:AQ452"/>
    <mergeCell ref="BV446:BX446"/>
    <mergeCell ref="BS447:BU447"/>
    <mergeCell ref="BD437:BR437"/>
    <mergeCell ref="BS437:BU437"/>
    <mergeCell ref="BY458:CA458"/>
    <mergeCell ref="AT459:BC459"/>
    <mergeCell ref="AT453:BC453"/>
    <mergeCell ref="BD467:BR467"/>
    <mergeCell ref="AR472:AS472"/>
    <mergeCell ref="BD472:BR472"/>
    <mergeCell ref="BD460:BR460"/>
    <mergeCell ref="AT460:BC460"/>
    <mergeCell ref="AR438:AS438"/>
    <mergeCell ref="BS438:BU438"/>
    <mergeCell ref="BY439:CA439"/>
    <mergeCell ref="BY440:CA440"/>
    <mergeCell ref="BV457:BX457"/>
    <mergeCell ref="BY435:CA435"/>
    <mergeCell ref="BD434:BR435"/>
    <mergeCell ref="BD436:BR436"/>
    <mergeCell ref="BS436:BU436"/>
    <mergeCell ref="BV430:BX430"/>
    <mergeCell ref="BY436:CA436"/>
    <mergeCell ref="BD404:BR404"/>
    <mergeCell ref="U419:AE419"/>
    <mergeCell ref="U427:AE427"/>
    <mergeCell ref="AT429:BC429"/>
    <mergeCell ref="BD428:BR428"/>
    <mergeCell ref="AT450:BC450"/>
    <mergeCell ref="BD447:BR447"/>
    <mergeCell ref="U439:AE439"/>
    <mergeCell ref="U446:AE446"/>
    <mergeCell ref="U450:AE450"/>
    <mergeCell ref="AR419:AS419"/>
    <mergeCell ref="BS445:BU445"/>
    <mergeCell ref="BD431:BR431"/>
    <mergeCell ref="BD448:BR448"/>
    <mergeCell ref="BS421:BU421"/>
    <mergeCell ref="AT443:BC443"/>
    <mergeCell ref="BD430:BR430"/>
    <mergeCell ref="AR442:AS442"/>
    <mergeCell ref="U449:AE449"/>
    <mergeCell ref="U443:AE443"/>
    <mergeCell ref="AR445:AS445"/>
    <mergeCell ref="AR447:AS447"/>
    <mergeCell ref="U423:AE423"/>
    <mergeCell ref="U420:AE420"/>
    <mergeCell ref="BD445:BR445"/>
    <mergeCell ref="BD449:BR449"/>
    <mergeCell ref="U366:AE366"/>
    <mergeCell ref="U372:AE372"/>
    <mergeCell ref="U355:AE355"/>
    <mergeCell ref="U356:AE356"/>
    <mergeCell ref="AT366:BC366"/>
    <mergeCell ref="AT349:BC349"/>
    <mergeCell ref="BD377:BR377"/>
    <mergeCell ref="AR377:AS377"/>
    <mergeCell ref="AF386:AQ386"/>
    <mergeCell ref="BD339:BR339"/>
    <mergeCell ref="AR375:AS375"/>
    <mergeCell ref="BD386:BR386"/>
    <mergeCell ref="AF373:AQ373"/>
    <mergeCell ref="AT377:BC377"/>
    <mergeCell ref="AF371:AQ371"/>
    <mergeCell ref="BD382:BR382"/>
    <mergeCell ref="BD374:BR374"/>
    <mergeCell ref="AT347:BC347"/>
    <mergeCell ref="AT369:BC369"/>
    <mergeCell ref="AF340:AQ340"/>
    <mergeCell ref="AF342:AQ342"/>
    <mergeCell ref="AT353:BC353"/>
    <mergeCell ref="AT357:BC357"/>
    <mergeCell ref="AF356:AQ356"/>
    <mergeCell ref="AR355:AS355"/>
    <mergeCell ref="AR357:AS357"/>
    <mergeCell ref="AR370:AS370"/>
    <mergeCell ref="BD371:BR371"/>
    <mergeCell ref="AT373:BC373"/>
    <mergeCell ref="BD373:BR373"/>
    <mergeCell ref="U348:AE348"/>
    <mergeCell ref="U349:AE349"/>
    <mergeCell ref="M410:O410"/>
    <mergeCell ref="U408:AE408"/>
    <mergeCell ref="U377:AE377"/>
    <mergeCell ref="P380:AE381"/>
    <mergeCell ref="M389:O389"/>
    <mergeCell ref="M384:O384"/>
    <mergeCell ref="M401:O401"/>
    <mergeCell ref="M408:O408"/>
    <mergeCell ref="AF388:AQ388"/>
    <mergeCell ref="M376:O376"/>
    <mergeCell ref="M386:O386"/>
    <mergeCell ref="AF380:AQ381"/>
    <mergeCell ref="M369:O369"/>
    <mergeCell ref="R397:T397"/>
    <mergeCell ref="AF398:AQ398"/>
    <mergeCell ref="AF387:AQ387"/>
    <mergeCell ref="AF391:AQ391"/>
    <mergeCell ref="U386:AE386"/>
    <mergeCell ref="AF399:AQ399"/>
    <mergeCell ref="M387:O387"/>
    <mergeCell ref="R396:T396"/>
    <mergeCell ref="R387:T391"/>
    <mergeCell ref="M380:O381"/>
    <mergeCell ref="AF394:AQ394"/>
    <mergeCell ref="M404:O404"/>
    <mergeCell ref="M400:O400"/>
    <mergeCell ref="AF401:AQ401"/>
    <mergeCell ref="U393:AE393"/>
    <mergeCell ref="U396:AE396"/>
    <mergeCell ref="U398:AE398"/>
    <mergeCell ref="AB246:AN246"/>
    <mergeCell ref="BQ313:BU313"/>
    <mergeCell ref="AT323:BC323"/>
    <mergeCell ref="U353:AE353"/>
    <mergeCell ref="P339:T340"/>
    <mergeCell ref="AT345:BC345"/>
    <mergeCell ref="U352:AE352"/>
    <mergeCell ref="AR340:AS340"/>
    <mergeCell ref="U345:AE345"/>
    <mergeCell ref="AR344:AS344"/>
    <mergeCell ref="AF352:AQ352"/>
    <mergeCell ref="BD351:BR351"/>
    <mergeCell ref="P341:Q359"/>
    <mergeCell ref="BS331:BU331"/>
    <mergeCell ref="BS350:BU350"/>
    <mergeCell ref="BS354:BU354"/>
    <mergeCell ref="U391:AE391"/>
    <mergeCell ref="AR384:AS384"/>
    <mergeCell ref="AF384:AQ384"/>
    <mergeCell ref="BD380:BR381"/>
    <mergeCell ref="AF332:AQ332"/>
    <mergeCell ref="AF353:AQ353"/>
    <mergeCell ref="AF341:AQ341"/>
    <mergeCell ref="AR335:AS336"/>
    <mergeCell ref="AT380:BC381"/>
    <mergeCell ref="AR380:AS381"/>
    <mergeCell ref="AT365:BC365"/>
    <mergeCell ref="AR351:AS351"/>
    <mergeCell ref="R353:T359"/>
    <mergeCell ref="R341:T346"/>
    <mergeCell ref="U370:AE370"/>
    <mergeCell ref="BD322:BR322"/>
    <mergeCell ref="BV455:BX455"/>
    <mergeCell ref="BS431:BU431"/>
    <mergeCell ref="BV443:BX443"/>
    <mergeCell ref="AF420:AQ420"/>
    <mergeCell ref="BD443:BR443"/>
    <mergeCell ref="BV411:BX411"/>
    <mergeCell ref="BV419:BX419"/>
    <mergeCell ref="BD408:BR408"/>
    <mergeCell ref="AT414:BC414"/>
    <mergeCell ref="AT398:BC398"/>
    <mergeCell ref="BD395:BR395"/>
    <mergeCell ref="BD455:BR455"/>
    <mergeCell ref="BD453:BR453"/>
    <mergeCell ref="AR401:AS401"/>
    <mergeCell ref="AR413:AS413"/>
    <mergeCell ref="AF397:AQ397"/>
    <mergeCell ref="AT415:BC415"/>
    <mergeCell ref="AR428:AS428"/>
    <mergeCell ref="BD420:BR420"/>
    <mergeCell ref="BD450:BR450"/>
    <mergeCell ref="BD396:BR396"/>
    <mergeCell ref="AR398:AS398"/>
    <mergeCell ref="BD429:BR429"/>
    <mergeCell ref="BS435:BU435"/>
    <mergeCell ref="AF442:AQ442"/>
    <mergeCell ref="AT423:BC423"/>
    <mergeCell ref="AT419:BC419"/>
    <mergeCell ref="AT427:BC427"/>
    <mergeCell ref="BD422:BR422"/>
    <mergeCell ref="BS414:BU414"/>
    <mergeCell ref="BS426:BU426"/>
    <mergeCell ref="BV405:BX405"/>
    <mergeCell ref="BW237:CS237"/>
    <mergeCell ref="BS402:BU402"/>
    <mergeCell ref="CD253:CS256"/>
    <mergeCell ref="BD329:BR329"/>
    <mergeCell ref="AT341:BC341"/>
    <mergeCell ref="AF358:AQ358"/>
    <mergeCell ref="AT359:BC359"/>
    <mergeCell ref="AT371:BC371"/>
    <mergeCell ref="AF365:AQ365"/>
    <mergeCell ref="AR374:AS374"/>
    <mergeCell ref="AF359:AQ359"/>
    <mergeCell ref="AR365:AS365"/>
    <mergeCell ref="AF367:AQ367"/>
    <mergeCell ref="AT372:BC372"/>
    <mergeCell ref="AT362:BC363"/>
    <mergeCell ref="BS359:BU359"/>
    <mergeCell ref="AT325:BC325"/>
    <mergeCell ref="BD327:BR327"/>
    <mergeCell ref="AR327:AS327"/>
    <mergeCell ref="AR387:AS387"/>
    <mergeCell ref="BD392:BR392"/>
    <mergeCell ref="AR390:AS390"/>
    <mergeCell ref="AR341:AS341"/>
    <mergeCell ref="BD387:BR387"/>
    <mergeCell ref="AR356:AS356"/>
    <mergeCell ref="BS392:BU392"/>
    <mergeCell ref="BS384:BU384"/>
    <mergeCell ref="BD368:BR368"/>
    <mergeCell ref="M361:CU361"/>
    <mergeCell ref="BY355:CA355"/>
    <mergeCell ref="BS373:BU373"/>
    <mergeCell ref="BS357:BU357"/>
    <mergeCell ref="AR468:AS468"/>
    <mergeCell ref="AR466:AS466"/>
    <mergeCell ref="M405:O405"/>
    <mergeCell ref="U410:AE410"/>
    <mergeCell ref="R406:T406"/>
    <mergeCell ref="AT463:BC463"/>
    <mergeCell ref="BD414:BR414"/>
    <mergeCell ref="BV407:BX407"/>
    <mergeCell ref="BV424:BX424"/>
    <mergeCell ref="BS424:BU424"/>
    <mergeCell ref="AF461:AQ461"/>
    <mergeCell ref="BY444:CA444"/>
    <mergeCell ref="BS452:BU452"/>
    <mergeCell ref="AR425:AS425"/>
    <mergeCell ref="AT405:BC405"/>
    <mergeCell ref="AR418:AS418"/>
    <mergeCell ref="AT418:BC418"/>
    <mergeCell ref="BD418:BR418"/>
    <mergeCell ref="AF427:AQ427"/>
    <mergeCell ref="BY447:CA447"/>
    <mergeCell ref="BV447:BX447"/>
    <mergeCell ref="AF449:AQ449"/>
    <mergeCell ref="AF446:AQ446"/>
    <mergeCell ref="AR440:AS440"/>
    <mergeCell ref="AT425:BC425"/>
    <mergeCell ref="AR443:AS443"/>
    <mergeCell ref="BS449:BU449"/>
    <mergeCell ref="M412:O412"/>
    <mergeCell ref="M411:O411"/>
    <mergeCell ref="AT456:BC456"/>
    <mergeCell ref="AT455:BC455"/>
    <mergeCell ref="AR456:AS456"/>
    <mergeCell ref="BV481:BX481"/>
    <mergeCell ref="BY442:CA442"/>
    <mergeCell ref="CB440:CU440"/>
    <mergeCell ref="BS480:BU480"/>
    <mergeCell ref="BS453:BU453"/>
    <mergeCell ref="AT481:BC481"/>
    <mergeCell ref="CB478:CU478"/>
    <mergeCell ref="BS444:BU444"/>
    <mergeCell ref="BD438:BR438"/>
    <mergeCell ref="AT434:BC435"/>
    <mergeCell ref="AF390:AQ390"/>
    <mergeCell ref="AR408:AS408"/>
    <mergeCell ref="BS423:BU423"/>
    <mergeCell ref="AR426:AS426"/>
    <mergeCell ref="AT416:BC416"/>
    <mergeCell ref="BS415:BU415"/>
    <mergeCell ref="AR416:AS416"/>
    <mergeCell ref="BD421:BR421"/>
    <mergeCell ref="BS448:BU448"/>
    <mergeCell ref="CB410:CU410"/>
    <mergeCell ref="AT476:BC477"/>
    <mergeCell ref="M475:CU475"/>
    <mergeCell ref="AT478:BC478"/>
    <mergeCell ref="AF478:AQ478"/>
    <mergeCell ref="AR391:AS391"/>
    <mergeCell ref="M417:O417"/>
    <mergeCell ref="U417:AE417"/>
    <mergeCell ref="BY443:CA443"/>
    <mergeCell ref="AF429:AQ429"/>
    <mergeCell ref="AR414:AS414"/>
    <mergeCell ref="M392:O392"/>
    <mergeCell ref="M394:O394"/>
    <mergeCell ref="M330:O330"/>
    <mergeCell ref="AT367:BC367"/>
    <mergeCell ref="U367:AE367"/>
    <mergeCell ref="BD369:BR369"/>
    <mergeCell ref="BD358:BR358"/>
    <mergeCell ref="AR371:AS371"/>
    <mergeCell ref="AR330:AS330"/>
    <mergeCell ref="AF348:AQ348"/>
    <mergeCell ref="AR350:AS350"/>
    <mergeCell ref="AF354:AQ354"/>
    <mergeCell ref="BD348:BR348"/>
    <mergeCell ref="AR349:AS349"/>
    <mergeCell ref="AT335:BC336"/>
    <mergeCell ref="AT376:BC376"/>
    <mergeCell ref="M382:O382"/>
    <mergeCell ref="M383:O383"/>
    <mergeCell ref="AF330:AQ330"/>
    <mergeCell ref="P371:T377"/>
    <mergeCell ref="AR348:AS348"/>
    <mergeCell ref="AR382:AS382"/>
    <mergeCell ref="BD330:BR330"/>
    <mergeCell ref="U331:AE331"/>
    <mergeCell ref="BD331:BR331"/>
    <mergeCell ref="AT331:BC331"/>
    <mergeCell ref="U339:AE339"/>
    <mergeCell ref="P335:AE336"/>
    <mergeCell ref="M347:O347"/>
    <mergeCell ref="AF346:AQ346"/>
    <mergeCell ref="U350:AE350"/>
    <mergeCell ref="M357:O357"/>
    <mergeCell ref="M368:O368"/>
    <mergeCell ref="BD335:BR336"/>
    <mergeCell ref="AF329:AQ329"/>
    <mergeCell ref="R384:AE384"/>
    <mergeCell ref="M409:O409"/>
    <mergeCell ref="U411:AE411"/>
    <mergeCell ref="U412:AE412"/>
    <mergeCell ref="M413:O413"/>
    <mergeCell ref="M399:O399"/>
    <mergeCell ref="M396:O396"/>
    <mergeCell ref="M402:O402"/>
    <mergeCell ref="U388:AE388"/>
    <mergeCell ref="U389:AE389"/>
    <mergeCell ref="M371:O371"/>
    <mergeCell ref="M364:O364"/>
    <mergeCell ref="U324:AE324"/>
    <mergeCell ref="U325:AE325"/>
    <mergeCell ref="U341:AE341"/>
    <mergeCell ref="R347:T350"/>
    <mergeCell ref="M339:O339"/>
    <mergeCell ref="U343:AE343"/>
    <mergeCell ref="M351:O351"/>
    <mergeCell ref="M344:O344"/>
    <mergeCell ref="M373:O373"/>
    <mergeCell ref="M370:O370"/>
    <mergeCell ref="AF383:AQ383"/>
    <mergeCell ref="AF338:AQ338"/>
    <mergeCell ref="M365:O365"/>
    <mergeCell ref="U371:AE371"/>
    <mergeCell ref="M377:O377"/>
    <mergeCell ref="U365:AE365"/>
    <mergeCell ref="M356:O356"/>
    <mergeCell ref="M395:O395"/>
    <mergeCell ref="R401:T403"/>
    <mergeCell ref="M393:O393"/>
    <mergeCell ref="M388:O388"/>
    <mergeCell ref="M374:O374"/>
    <mergeCell ref="M397:O397"/>
    <mergeCell ref="AF402:AQ402"/>
    <mergeCell ref="M403:O403"/>
    <mergeCell ref="U406:AE406"/>
    <mergeCell ref="BD405:BR405"/>
    <mergeCell ref="BD406:BR406"/>
    <mergeCell ref="AT402:BC402"/>
    <mergeCell ref="U332:AE332"/>
    <mergeCell ref="AR358:AS358"/>
    <mergeCell ref="AR404:AS404"/>
    <mergeCell ref="U403:AE403"/>
    <mergeCell ref="M391:O391"/>
    <mergeCell ref="M390:O390"/>
    <mergeCell ref="AT346:BC346"/>
    <mergeCell ref="BD346:BR346"/>
    <mergeCell ref="P404:Q406"/>
    <mergeCell ref="M398:O398"/>
    <mergeCell ref="BD354:BR354"/>
    <mergeCell ref="BD367:BR367"/>
    <mergeCell ref="AT386:BC386"/>
    <mergeCell ref="BD344:BR344"/>
    <mergeCell ref="BD362:BR363"/>
    <mergeCell ref="BD370:BR370"/>
    <mergeCell ref="BD340:BR340"/>
    <mergeCell ref="AT340:BC340"/>
    <mergeCell ref="BD372:BR372"/>
    <mergeCell ref="AT351:BC351"/>
    <mergeCell ref="AT343:BC343"/>
    <mergeCell ref="AT342:BC342"/>
    <mergeCell ref="EG495:EK495"/>
    <mergeCell ref="FW315:FY315"/>
    <mergeCell ref="FW316:FY316"/>
    <mergeCell ref="FQ380:FU380"/>
    <mergeCell ref="BY322:CA322"/>
    <mergeCell ref="BS356:BU356"/>
    <mergeCell ref="BS399:BU399"/>
    <mergeCell ref="BD444:BR444"/>
    <mergeCell ref="AT442:BC442"/>
    <mergeCell ref="BY431:CA431"/>
    <mergeCell ref="AT441:BC441"/>
    <mergeCell ref="BD441:BR441"/>
    <mergeCell ref="BY375:CA375"/>
    <mergeCell ref="BV383:BX383"/>
    <mergeCell ref="CB365:CU365"/>
    <mergeCell ref="BS370:BU370"/>
    <mergeCell ref="BS371:BU371"/>
    <mergeCell ref="BY349:CA349"/>
    <mergeCell ref="BV355:BX355"/>
    <mergeCell ref="BD328:BR328"/>
    <mergeCell ref="CB402:CU402"/>
    <mergeCell ref="AT358:BC358"/>
    <mergeCell ref="AT356:BC356"/>
    <mergeCell ref="FQ362:FU362"/>
    <mergeCell ref="BY384:CA384"/>
    <mergeCell ref="BV384:BX384"/>
    <mergeCell ref="FK316:FO317"/>
    <mergeCell ref="FK380:FO381"/>
    <mergeCell ref="BS330:BU330"/>
    <mergeCell ref="BS336:BU336"/>
    <mergeCell ref="EB495:EF495"/>
    <mergeCell ref="BD495:BR496"/>
    <mergeCell ref="EG476:EK476"/>
    <mergeCell ref="EL476:EN476"/>
    <mergeCell ref="CB442:CU442"/>
    <mergeCell ref="CB445:CU445"/>
    <mergeCell ref="CB465:CU465"/>
    <mergeCell ref="BV461:BX461"/>
    <mergeCell ref="BY457:CA457"/>
    <mergeCell ref="BS457:BU457"/>
    <mergeCell ref="BS459:BU459"/>
    <mergeCell ref="BS464:BU464"/>
    <mergeCell ref="BS463:BU463"/>
    <mergeCell ref="BS458:BU458"/>
    <mergeCell ref="CB476:CU477"/>
    <mergeCell ref="CB491:CU491"/>
    <mergeCell ref="CB486:CU486"/>
    <mergeCell ref="CB488:CU488"/>
    <mergeCell ref="BS460:BU460"/>
    <mergeCell ref="BV458:BX458"/>
    <mergeCell ref="BS461:BU461"/>
    <mergeCell ref="BV459:BX459"/>
    <mergeCell ref="BV460:BX460"/>
    <mergeCell ref="BV478:BX478"/>
    <mergeCell ref="BS472:BU472"/>
    <mergeCell ref="CB473:CU473"/>
    <mergeCell ref="BY467:CA467"/>
    <mergeCell ref="BY464:CA464"/>
    <mergeCell ref="CV481:DA481"/>
    <mergeCell ref="DX474:DX477"/>
    <mergeCell ref="EB476:EF476"/>
    <mergeCell ref="CV471:DA471"/>
    <mergeCell ref="CB444:CU444"/>
    <mergeCell ref="BY445:CA445"/>
    <mergeCell ref="FQ313:FU313"/>
    <mergeCell ref="FQ476:FU476"/>
    <mergeCell ref="BS467:BU467"/>
    <mergeCell ref="BV466:BX466"/>
    <mergeCell ref="BS441:BU441"/>
    <mergeCell ref="CB439:CU439"/>
    <mergeCell ref="BV480:BX480"/>
    <mergeCell ref="BV471:BX471"/>
    <mergeCell ref="CB480:CU480"/>
    <mergeCell ref="BS468:BU468"/>
    <mergeCell ref="BS364:BU364"/>
    <mergeCell ref="BS327:BU327"/>
    <mergeCell ref="FK362:FO363"/>
    <mergeCell ref="EY434:FC434"/>
    <mergeCell ref="BS341:BU341"/>
    <mergeCell ref="CB470:CU470"/>
    <mergeCell ref="CB472:CU472"/>
    <mergeCell ref="BY477:CA477"/>
    <mergeCell ref="BY471:CA471"/>
    <mergeCell ref="BV477:BX477"/>
    <mergeCell ref="BV462:BX462"/>
    <mergeCell ref="BS476:CA476"/>
    <mergeCell ref="BV467:BX467"/>
    <mergeCell ref="BV325:BX325"/>
    <mergeCell ref="BY478:CA478"/>
    <mergeCell ref="DY476:DY477"/>
    <mergeCell ref="BS479:BU479"/>
    <mergeCell ref="BS478:BU478"/>
    <mergeCell ref="CB396:CU396"/>
    <mergeCell ref="CB386:CU386"/>
    <mergeCell ref="BY459:CA459"/>
    <mergeCell ref="BY448:CA448"/>
    <mergeCell ref="S45:AA45"/>
    <mergeCell ref="AB45:BT45"/>
    <mergeCell ref="FQ495:FU495"/>
    <mergeCell ref="CB454:CU454"/>
    <mergeCell ref="BV438:BX438"/>
    <mergeCell ref="CB481:CU481"/>
    <mergeCell ref="BV469:BX469"/>
    <mergeCell ref="BY470:CA470"/>
    <mergeCell ref="BV464:BX464"/>
    <mergeCell ref="CB466:CU466"/>
    <mergeCell ref="BV479:BX479"/>
    <mergeCell ref="BY441:CA441"/>
    <mergeCell ref="BS440:BU440"/>
    <mergeCell ref="BS428:BU428"/>
    <mergeCell ref="FK476:FO477"/>
    <mergeCell ref="FK495:FO496"/>
    <mergeCell ref="BY460:CA460"/>
    <mergeCell ref="BY461:CA461"/>
    <mergeCell ref="FQ434:FU434"/>
    <mergeCell ref="FK434:FO435"/>
    <mergeCell ref="CB451:CU451"/>
    <mergeCell ref="CB452:CU452"/>
    <mergeCell ref="BV487:BX487"/>
    <mergeCell ref="CB495:CU496"/>
    <mergeCell ref="BS450:BU450"/>
    <mergeCell ref="BS451:BU451"/>
    <mergeCell ref="BS481:BU481"/>
    <mergeCell ref="BY479:CA479"/>
    <mergeCell ref="EG434:EK434"/>
    <mergeCell ref="EL434:EN434"/>
    <mergeCell ref="DZ433:EA433"/>
    <mergeCell ref="EA434:EA435"/>
    <mergeCell ref="S47:AA47"/>
    <mergeCell ref="AB47:BT47"/>
    <mergeCell ref="CT2:CU2"/>
    <mergeCell ref="BT1:BU1"/>
    <mergeCell ref="BT2:BU2"/>
    <mergeCell ref="BV1:BW1"/>
    <mergeCell ref="BV2:BW2"/>
    <mergeCell ref="BX1:BY1"/>
    <mergeCell ref="S115:AA115"/>
    <mergeCell ref="Y7:AA7"/>
    <mergeCell ref="M7:X7"/>
    <mergeCell ref="AH85:AJ85"/>
    <mergeCell ref="S95:AA95"/>
    <mergeCell ref="S85:AA85"/>
    <mergeCell ref="AB94:AP94"/>
    <mergeCell ref="S91:AA91"/>
    <mergeCell ref="M2:O2"/>
    <mergeCell ref="U2:W2"/>
    <mergeCell ref="AB82:AP82"/>
    <mergeCell ref="S84:AA84"/>
    <mergeCell ref="AB63:BT63"/>
    <mergeCell ref="S77:AA77"/>
    <mergeCell ref="AB75:AP75"/>
    <mergeCell ref="AB76:AP76"/>
    <mergeCell ref="BW34:CS37"/>
    <mergeCell ref="BW61:CS64"/>
    <mergeCell ref="BW73:CS76"/>
    <mergeCell ref="BW80:CS81"/>
    <mergeCell ref="BW84:CS85"/>
    <mergeCell ref="BW91:CS92"/>
    <mergeCell ref="BW109:CS110"/>
    <mergeCell ref="AZ85:BT85"/>
    <mergeCell ref="AQ7:AS7"/>
    <mergeCell ref="AT7:AY7"/>
    <mergeCell ref="S119:AA119"/>
    <mergeCell ref="AB142:AP142"/>
    <mergeCell ref="M59:R64"/>
    <mergeCell ref="Z93:AA93"/>
    <mergeCell ref="S94:Y94"/>
    <mergeCell ref="Z99:AA99"/>
    <mergeCell ref="Z94:AA94"/>
    <mergeCell ref="AQ121:AS121"/>
    <mergeCell ref="S128:AA128"/>
    <mergeCell ref="AB132:AP132"/>
    <mergeCell ref="M27:AA27"/>
    <mergeCell ref="AH39:AJ39"/>
    <mergeCell ref="S36:AA36"/>
    <mergeCell ref="AB38:BT38"/>
    <mergeCell ref="AB36:BT36"/>
    <mergeCell ref="AB37:BT37"/>
    <mergeCell ref="M66:AA66"/>
    <mergeCell ref="AB39:AG39"/>
    <mergeCell ref="S37:AA37"/>
    <mergeCell ref="S38:AA38"/>
    <mergeCell ref="AK39:AP39"/>
    <mergeCell ref="AB41:AG41"/>
    <mergeCell ref="AZ121:BT121"/>
    <mergeCell ref="S140:AA140"/>
    <mergeCell ref="AH101:AJ101"/>
    <mergeCell ref="AB85:AG85"/>
    <mergeCell ref="AB35:BT35"/>
    <mergeCell ref="M127:R130"/>
    <mergeCell ref="S46:AA46"/>
    <mergeCell ref="AB46:BT46"/>
    <mergeCell ref="CT1:CU1"/>
    <mergeCell ref="CR2:CS2"/>
    <mergeCell ref="CN1:CO1"/>
    <mergeCell ref="CP1:CQ1"/>
    <mergeCell ref="S10:AA10"/>
    <mergeCell ref="CN2:CO2"/>
    <mergeCell ref="AB117:AP117"/>
    <mergeCell ref="AC2:AE2"/>
    <mergeCell ref="AO2:AQ2"/>
    <mergeCell ref="CH2:CI2"/>
    <mergeCell ref="EB518:EF518"/>
    <mergeCell ref="EG518:EK518"/>
    <mergeCell ref="EL518:EN518"/>
    <mergeCell ref="BS485:BU485"/>
    <mergeCell ref="CB487:CU487"/>
    <mergeCell ref="BV488:BX488"/>
    <mergeCell ref="BY480:CA480"/>
    <mergeCell ref="CB479:CU479"/>
    <mergeCell ref="BS483:BU483"/>
    <mergeCell ref="BS498:BU498"/>
    <mergeCell ref="BY499:CA499"/>
    <mergeCell ref="CJ2:CK2"/>
    <mergeCell ref="CL1:CM1"/>
    <mergeCell ref="AQ101:BT101"/>
    <mergeCell ref="S19:AA19"/>
    <mergeCell ref="S17:AA17"/>
    <mergeCell ref="S8:AA8"/>
    <mergeCell ref="S9:AA9"/>
    <mergeCell ref="BW108:CS108"/>
    <mergeCell ref="AB10:BT10"/>
    <mergeCell ref="BF4:BH4"/>
    <mergeCell ref="AB103:AG103"/>
    <mergeCell ref="EO518:ER518"/>
    <mergeCell ref="AF411:AQ411"/>
    <mergeCell ref="FD476:FH476"/>
    <mergeCell ref="EO476:ER476"/>
    <mergeCell ref="FK335:FO336"/>
    <mergeCell ref="FK518:FO519"/>
    <mergeCell ref="AR467:AS467"/>
    <mergeCell ref="EO495:ER495"/>
    <mergeCell ref="ET495:EX495"/>
    <mergeCell ref="BS496:BU496"/>
    <mergeCell ref="BV496:BX496"/>
    <mergeCell ref="DZ518:DZ519"/>
    <mergeCell ref="BD459:BR459"/>
    <mergeCell ref="BS454:BU454"/>
    <mergeCell ref="AF422:AQ422"/>
    <mergeCell ref="AF406:AQ406"/>
    <mergeCell ref="ET476:EX476"/>
    <mergeCell ref="DY495:DY496"/>
    <mergeCell ref="DZ495:DZ496"/>
    <mergeCell ref="BS471:BU471"/>
    <mergeCell ref="AR403:AS403"/>
    <mergeCell ref="AT394:BC394"/>
    <mergeCell ref="BY473:CA473"/>
    <mergeCell ref="CV417:DA417"/>
    <mergeCell ref="BD456:BR456"/>
    <mergeCell ref="BD451:BR451"/>
    <mergeCell ref="AF407:AQ407"/>
    <mergeCell ref="AF416:AQ416"/>
    <mergeCell ref="AT410:BC410"/>
    <mergeCell ref="AF410:AQ410"/>
    <mergeCell ref="EL495:EN495"/>
    <mergeCell ref="BY487:CA487"/>
    <mergeCell ref="S20:AA20"/>
    <mergeCell ref="S48:AA48"/>
    <mergeCell ref="FQ518:FU518"/>
    <mergeCell ref="EY495:FC495"/>
    <mergeCell ref="FD495:FH495"/>
    <mergeCell ref="CB446:CU446"/>
    <mergeCell ref="BS443:BU443"/>
    <mergeCell ref="BY320:CA320"/>
    <mergeCell ref="BY411:CA411"/>
    <mergeCell ref="BY407:CA407"/>
    <mergeCell ref="BY421:CA421"/>
    <mergeCell ref="CD2:CE2"/>
    <mergeCell ref="CF1:CG1"/>
    <mergeCell ref="CH1:CI1"/>
    <mergeCell ref="CJ1:CK1"/>
    <mergeCell ref="CF2:CG2"/>
    <mergeCell ref="AI108:AM108"/>
    <mergeCell ref="Z111:AA111"/>
    <mergeCell ref="AT25:AY25"/>
    <mergeCell ref="AB60:BT60"/>
    <mergeCell ref="AB100:AP100"/>
    <mergeCell ref="M39:AA39"/>
    <mergeCell ref="S59:AA59"/>
    <mergeCell ref="AQ67:AS67"/>
    <mergeCell ref="S83:AA83"/>
    <mergeCell ref="S33:AA33"/>
    <mergeCell ref="AT103:AY103"/>
    <mergeCell ref="S102:AA102"/>
    <mergeCell ref="S103:AA103"/>
    <mergeCell ref="S18:AA18"/>
    <mergeCell ref="AK101:AP101"/>
    <mergeCell ref="BW90:CS90"/>
    <mergeCell ref="BX8:CS9"/>
    <mergeCell ref="BW12:CS12"/>
    <mergeCell ref="BW13:CS14"/>
    <mergeCell ref="S109:AA109"/>
    <mergeCell ref="AB25:AG25"/>
    <mergeCell ref="M23:AA23"/>
    <mergeCell ref="AB66:BT66"/>
    <mergeCell ref="Z80:AA80"/>
    <mergeCell ref="AT26:AY26"/>
    <mergeCell ref="M77:R78"/>
    <mergeCell ref="S80:Y82"/>
    <mergeCell ref="AK25:AP25"/>
    <mergeCell ref="AK26:AP26"/>
    <mergeCell ref="M79:R85"/>
    <mergeCell ref="CD1:CE1"/>
    <mergeCell ref="BZ2:CA2"/>
    <mergeCell ref="CB2:CC2"/>
    <mergeCell ref="CB1:CC1"/>
    <mergeCell ref="AB109:AP109"/>
    <mergeCell ref="BW98:CS99"/>
    <mergeCell ref="BW102:CS103"/>
    <mergeCell ref="BK4:BM4"/>
    <mergeCell ref="AW4:BB4"/>
    <mergeCell ref="M10:R14"/>
    <mergeCell ref="CR1:CS1"/>
    <mergeCell ref="S14:AA14"/>
    <mergeCell ref="AK7:AP7"/>
    <mergeCell ref="R4:T4"/>
    <mergeCell ref="BP4:BR4"/>
    <mergeCell ref="M8:R9"/>
    <mergeCell ref="M4:O4"/>
    <mergeCell ref="S11:AA11"/>
    <mergeCell ref="BW116:CS117"/>
    <mergeCell ref="BW120:CS121"/>
    <mergeCell ref="AB96:BT96"/>
    <mergeCell ref="AB111:AP111"/>
    <mergeCell ref="AB99:AP99"/>
    <mergeCell ref="AB11:BT11"/>
    <mergeCell ref="AB12:BT12"/>
    <mergeCell ref="AB9:BT9"/>
    <mergeCell ref="AB19:BT19"/>
    <mergeCell ref="AQ26:AS26"/>
    <mergeCell ref="AK23:AP23"/>
    <mergeCell ref="AB21:BT21"/>
    <mergeCell ref="AB27:BT27"/>
    <mergeCell ref="AJ1:BE1"/>
    <mergeCell ref="BF1:BK1"/>
    <mergeCell ref="CL2:CM2"/>
    <mergeCell ref="CP2:CQ2"/>
    <mergeCell ref="BR2:BS2"/>
    <mergeCell ref="AB113:BT113"/>
    <mergeCell ref="AB81:AP81"/>
    <mergeCell ref="AB22:BT22"/>
    <mergeCell ref="BP2:BQ2"/>
    <mergeCell ref="BN2:BO2"/>
    <mergeCell ref="AH103:AJ103"/>
    <mergeCell ref="AB101:AG101"/>
    <mergeCell ref="CC59:CS60"/>
    <mergeCell ref="AQ44:BT44"/>
    <mergeCell ref="BI90:BT90"/>
    <mergeCell ref="AB80:AP80"/>
    <mergeCell ref="AB24:BT24"/>
    <mergeCell ref="BX2:BY2"/>
    <mergeCell ref="BZ1:CA1"/>
    <mergeCell ref="AB118:AP118"/>
    <mergeCell ref="BW126:CS127"/>
    <mergeCell ref="AB115:BT115"/>
    <mergeCell ref="AB129:AP129"/>
    <mergeCell ref="AB59:BT59"/>
    <mergeCell ref="AB95:BT95"/>
    <mergeCell ref="AT121:AY121"/>
    <mergeCell ref="AB120:BT120"/>
    <mergeCell ref="AH119:AJ119"/>
    <mergeCell ref="AK119:AP119"/>
    <mergeCell ref="AH121:AJ121"/>
    <mergeCell ref="S121:AA121"/>
    <mergeCell ref="S120:AA120"/>
    <mergeCell ref="S116:Y118"/>
    <mergeCell ref="Z100:AA100"/>
    <mergeCell ref="AJ221:AL221"/>
    <mergeCell ref="BW207:CS208"/>
    <mergeCell ref="AJ163:AL163"/>
    <mergeCell ref="AO163:AQ163"/>
    <mergeCell ref="AB182:AD182"/>
    <mergeCell ref="AQ103:AS103"/>
    <mergeCell ref="AB127:AP127"/>
    <mergeCell ref="AB208:AG208"/>
    <mergeCell ref="P195:AA195"/>
    <mergeCell ref="U191:AA191"/>
    <mergeCell ref="U200:AA200"/>
    <mergeCell ref="AK103:AP103"/>
    <mergeCell ref="AE221:AG221"/>
    <mergeCell ref="BV193:CS194"/>
    <mergeCell ref="BW195:CS196"/>
    <mergeCell ref="BW197:CS206"/>
    <mergeCell ref="BW181:CS182"/>
    <mergeCell ref="J90:AH90"/>
    <mergeCell ref="AN90:BG90"/>
    <mergeCell ref="AT461:BC461"/>
    <mergeCell ref="AB207:AU207"/>
    <mergeCell ref="AB189:AD189"/>
    <mergeCell ref="Z116:AA116"/>
    <mergeCell ref="AO190:AQ190"/>
    <mergeCell ref="BW131:CS132"/>
    <mergeCell ref="M348:O348"/>
    <mergeCell ref="M352:O352"/>
    <mergeCell ref="BW224:CS229"/>
    <mergeCell ref="M172:AA172"/>
    <mergeCell ref="R404:T405"/>
    <mergeCell ref="M358:O358"/>
    <mergeCell ref="M372:O372"/>
    <mergeCell ref="AR402:AS402"/>
    <mergeCell ref="AR386:AS386"/>
    <mergeCell ref="R392:T395"/>
    <mergeCell ref="AQ146:BI146"/>
    <mergeCell ref="BW245:CS246"/>
    <mergeCell ref="BG126:BT126"/>
    <mergeCell ref="J126:BF126"/>
    <mergeCell ref="BG138:BT138"/>
    <mergeCell ref="BH151:BT151"/>
    <mergeCell ref="J151:BG151"/>
    <mergeCell ref="BG162:BT162"/>
    <mergeCell ref="BV303:CS304"/>
    <mergeCell ref="BW143:CS144"/>
    <mergeCell ref="BW140:CS141"/>
    <mergeCell ref="BW185:CS192"/>
    <mergeCell ref="AK121:AP121"/>
    <mergeCell ref="BW128:CS129"/>
  </mergeCells>
  <phoneticPr fontId="3"/>
  <conditionalFormatting sqref="AB8:BT14 AF382:AQ426 AF436:AQ468 AF497:AQ510">
    <cfRule type="cellIs" dxfId="452" priority="2044" operator="equal">
      <formula>""</formula>
    </cfRule>
  </conditionalFormatting>
  <conditionalFormatting sqref="AB12:AD12">
    <cfRule type="cellIs" dxfId="451" priority="2042" operator="equal">
      <formula>""</formula>
    </cfRule>
  </conditionalFormatting>
  <conditionalFormatting sqref="AB24:BT24">
    <cfRule type="cellIs" dxfId="450" priority="2032" operator="equal">
      <formula>""</formula>
    </cfRule>
  </conditionalFormatting>
  <conditionalFormatting sqref="AB79:BT79">
    <cfRule type="cellIs" dxfId="449" priority="2034" operator="equal">
      <formula>""</formula>
    </cfRule>
  </conditionalFormatting>
  <conditionalFormatting sqref="AB40:BT40">
    <cfRule type="cellIs" dxfId="448" priority="2027" operator="equal">
      <formula>""</formula>
    </cfRule>
  </conditionalFormatting>
  <conditionalFormatting sqref="AB84:BT84">
    <cfRule type="cellIs" dxfId="447" priority="2018" operator="equal">
      <formula>""</formula>
    </cfRule>
  </conditionalFormatting>
  <conditionalFormatting sqref="AB143:AD144">
    <cfRule type="cellIs" dxfId="446" priority="2012" operator="equal">
      <formula>""</formula>
    </cfRule>
  </conditionalFormatting>
  <conditionalFormatting sqref="AB145:AG146">
    <cfRule type="cellIs" dxfId="445" priority="2010" operator="equal">
      <formula>""</formula>
    </cfRule>
  </conditionalFormatting>
  <conditionalFormatting sqref="AB188:AB189">
    <cfRule type="expression" dxfId="444" priority="2007">
      <formula>AND(AB188="",$AB$183&lt;&gt;"用途変更")</formula>
    </cfRule>
  </conditionalFormatting>
  <conditionalFormatting sqref="AB212:BT215 AB267">
    <cfRule type="cellIs" dxfId="443" priority="1997" operator="equal">
      <formula>""</formula>
    </cfRule>
  </conditionalFormatting>
  <conditionalFormatting sqref="AB181">
    <cfRule type="cellIs" dxfId="442" priority="1974" operator="equal">
      <formula>""</formula>
    </cfRule>
  </conditionalFormatting>
  <conditionalFormatting sqref="AE221 AJ221 AO221">
    <cfRule type="cellIs" dxfId="441" priority="1965" operator="equal">
      <formula>""</formula>
    </cfRule>
  </conditionalFormatting>
  <conditionalFormatting sqref="AB236:AG236">
    <cfRule type="expression" dxfId="440" priority="1953">
      <formula>AND($AB$236="",$AB$235&lt;&gt;"無")</formula>
    </cfRule>
  </conditionalFormatting>
  <conditionalFormatting sqref="AB237">
    <cfRule type="expression" dxfId="439" priority="1947">
      <formula>AND($AB$237="",$AB$235&lt;&gt;"無")</formula>
    </cfRule>
  </conditionalFormatting>
  <conditionalFormatting sqref="AB287:AD287">
    <cfRule type="cellIs" dxfId="438" priority="1943" operator="equal">
      <formula>""</formula>
    </cfRule>
  </conditionalFormatting>
  <conditionalFormatting sqref="AB80:AP82">
    <cfRule type="cellIs" dxfId="437" priority="2052" operator="equal">
      <formula>""</formula>
    </cfRule>
  </conditionalFormatting>
  <conditionalFormatting sqref="AB98:AE98 AB99:AG99 AB100:AH100">
    <cfRule type="expression" dxfId="436" priority="2543">
      <formula>$AB$98=""</formula>
    </cfRule>
  </conditionalFormatting>
  <conditionalFormatting sqref="AB290:AD290">
    <cfRule type="cellIs" dxfId="435" priority="1912" operator="equal">
      <formula>""</formula>
    </cfRule>
  </conditionalFormatting>
  <conditionalFormatting sqref="BF4:BH4">
    <cfRule type="cellIs" dxfId="434" priority="1903" operator="equal">
      <formula>""</formula>
    </cfRule>
  </conditionalFormatting>
  <conditionalFormatting sqref="BK4:BM4">
    <cfRule type="cellIs" dxfId="433" priority="1902" operator="equal">
      <formula>""</formula>
    </cfRule>
  </conditionalFormatting>
  <conditionalFormatting sqref="BP4:BR4">
    <cfRule type="cellIs" dxfId="432" priority="1901" operator="equal">
      <formula>""</formula>
    </cfRule>
  </conditionalFormatting>
  <conditionalFormatting sqref="AB127">
    <cfRule type="cellIs" dxfId="431" priority="1561" operator="equal">
      <formula>""</formula>
    </cfRule>
  </conditionalFormatting>
  <conditionalFormatting sqref="AB131:AP131">
    <cfRule type="cellIs" dxfId="430" priority="1564" operator="equal">
      <formula>""</formula>
    </cfRule>
  </conditionalFormatting>
  <conditionalFormatting sqref="AB128:AB129">
    <cfRule type="cellIs" dxfId="429" priority="1560" operator="equal">
      <formula>""</formula>
    </cfRule>
  </conditionalFormatting>
  <conditionalFormatting sqref="AF157">
    <cfRule type="expression" dxfId="428" priority="2057">
      <formula>AND(NOT($AB$157="適用"),$AF$157&lt;&gt;"")</formula>
    </cfRule>
    <cfRule type="expression" dxfId="427" priority="2058">
      <formula>AND($AB$157="適用",AF157="")</formula>
    </cfRule>
  </conditionalFormatting>
  <conditionalFormatting sqref="AB254:AD254">
    <cfRule type="expression" dxfId="426" priority="572">
      <formula>AND($AB$253="無",$AB$254="有")</formula>
    </cfRule>
    <cfRule type="expression" dxfId="425" priority="1807">
      <formula>AND($AB$253="有",$AB$254="")</formula>
    </cfRule>
  </conditionalFormatting>
  <conditionalFormatting sqref="AB183">
    <cfRule type="expression" dxfId="424" priority="1867">
      <formula>AND(OR($AB$182="",$AB$182="無"),$AB$183&lt;&gt;"")</formula>
    </cfRule>
    <cfRule type="expression" dxfId="423" priority="2047">
      <formula>AND($AB$182="有",$AB$183="")</formula>
    </cfRule>
  </conditionalFormatting>
  <conditionalFormatting sqref="AB190">
    <cfRule type="expression" dxfId="422" priority="1864">
      <formula>AND(OR($AB$189="",$AB$189="無"),$AB$190&lt;&gt;"")</formula>
    </cfRule>
    <cfRule type="expression" dxfId="421" priority="1970">
      <formula>AND($AB$189="有",$AB$190="")</formula>
    </cfRule>
  </conditionalFormatting>
  <conditionalFormatting sqref="AE190">
    <cfRule type="expression" dxfId="420" priority="1632">
      <formula>AND(OR($AB$189="",$AB$189="無"),$AE$190&lt;&gt;"")</formula>
    </cfRule>
    <cfRule type="expression" dxfId="419" priority="1777">
      <formula>AND($AB$189="有",$AE$190="")</formula>
    </cfRule>
  </conditionalFormatting>
  <conditionalFormatting sqref="AJ190">
    <cfRule type="expression" dxfId="418" priority="1776">
      <formula>AND($AB$189="有",$AJ$190="")</formula>
    </cfRule>
  </conditionalFormatting>
  <conditionalFormatting sqref="AO190">
    <cfRule type="expression" dxfId="417" priority="1630">
      <formula>AND(OR($AB$189="",$AB$189="無"),$AO$190&lt;&gt;"")</formula>
    </cfRule>
    <cfRule type="expression" dxfId="416" priority="1775">
      <formula>AND($AB$189="有",$AO$190="")</formula>
    </cfRule>
  </conditionalFormatting>
  <conditionalFormatting sqref="AB191">
    <cfRule type="expression" dxfId="415" priority="1629">
      <formula>AND(OR($AB$189="",$AB$189="無"),$AB$191&lt;&gt;"")</formula>
    </cfRule>
    <cfRule type="expression" dxfId="414" priority="1774">
      <formula>AND($AB$189="有",$AB$191="")</formula>
    </cfRule>
  </conditionalFormatting>
  <conditionalFormatting sqref="AB139">
    <cfRule type="cellIs" dxfId="413" priority="1568" operator="equal">
      <formula>""</formula>
    </cfRule>
  </conditionalFormatting>
  <conditionalFormatting sqref="AB140">
    <cfRule type="cellIs" dxfId="412" priority="1567" operator="equal">
      <formula>""</formula>
    </cfRule>
  </conditionalFormatting>
  <conditionalFormatting sqref="AB141">
    <cfRule type="cellIs" dxfId="411" priority="1570" operator="equal">
      <formula>""</formula>
    </cfRule>
  </conditionalFormatting>
  <conditionalFormatting sqref="AB208:AD208">
    <cfRule type="cellIs" dxfId="410" priority="2099" operator="equal">
      <formula>""</formula>
    </cfRule>
  </conditionalFormatting>
  <conditionalFormatting sqref="AB209:AD209">
    <cfRule type="cellIs" dxfId="409" priority="2101" operator="equal">
      <formula>""</formula>
    </cfRule>
  </conditionalFormatting>
  <conditionalFormatting sqref="AB186">
    <cfRule type="expression" dxfId="408" priority="1866">
      <formula>AND(OR($AB$182="",$AB$182="無"),$AB$186&lt;&gt;"")</formula>
    </cfRule>
    <cfRule type="expression" dxfId="407" priority="1900">
      <formula>AND($AB$182="有",$AB$186="")</formula>
    </cfRule>
  </conditionalFormatting>
  <conditionalFormatting sqref="AB184">
    <cfRule type="expression" dxfId="406" priority="1670">
      <formula>AND(OR($AB$182="",$AB$182="無"),$AB$184&lt;&gt;"")</formula>
    </cfRule>
    <cfRule type="expression" dxfId="405" priority="1782">
      <formula>AND($AB$182="有",$AB$184="")</formula>
    </cfRule>
  </conditionalFormatting>
  <conditionalFormatting sqref="AE184">
    <cfRule type="expression" dxfId="404" priority="1669">
      <formula>AND(OR($AB$182="",$AB$182="無"),$AE$184&lt;&gt;"")</formula>
    </cfRule>
    <cfRule type="expression" dxfId="403" priority="1781">
      <formula>AND($AB$182="有",$AE$184="")</formula>
    </cfRule>
  </conditionalFormatting>
  <conditionalFormatting sqref="AJ184">
    <cfRule type="expression" dxfId="402" priority="1668">
      <formula>AND(OR($AB$182="",$AB$182="無"),$AJ$184&lt;&gt;"")</formula>
    </cfRule>
    <cfRule type="expression" dxfId="401" priority="1780">
      <formula>AND($AB$182="有",$AJ$184="")</formula>
    </cfRule>
  </conditionalFormatting>
  <conditionalFormatting sqref="AO184">
    <cfRule type="expression" dxfId="400" priority="1667">
      <formula>AND(OR($AB$182="",$AB$182="無"),$AO$184&lt;&gt;"")</formula>
    </cfRule>
    <cfRule type="expression" dxfId="399" priority="1779">
      <formula>AND($AB$182="有",$AO$184="")</formula>
    </cfRule>
  </conditionalFormatting>
  <conditionalFormatting sqref="AB185">
    <cfRule type="expression" dxfId="398" priority="1666">
      <formula>AND(OR($AB$182="",$AB$182="無"),$AB$185&lt;&gt;"")</formula>
    </cfRule>
    <cfRule type="expression" dxfId="397" priority="1778">
      <formula>AND($AB$182="有",$AB$185="")</formula>
    </cfRule>
  </conditionalFormatting>
  <conditionalFormatting sqref="AJ190:AL190">
    <cfRule type="expression" dxfId="396" priority="1631">
      <formula>AND(OR($AB$189="",$AB$189="無"),$AJ$190&lt;&gt;"")</formula>
    </cfRule>
  </conditionalFormatting>
  <conditionalFormatting sqref="AB192">
    <cfRule type="expression" dxfId="395" priority="1863">
      <formula>AND(OR($AB$189="",$AB$189="無"),$AB$192&lt;&gt;"")</formula>
    </cfRule>
    <cfRule type="expression" dxfId="394" priority="1899">
      <formula>AND($AB$189="有",$AB$192="")</formula>
    </cfRule>
  </conditionalFormatting>
  <conditionalFormatting sqref="AB202">
    <cfRule type="cellIs" dxfId="393" priority="1624" operator="equal">
      <formula>""</formula>
    </cfRule>
  </conditionalFormatting>
  <conditionalFormatting sqref="AB195">
    <cfRule type="cellIs" dxfId="392" priority="1623" operator="equal">
      <formula>""</formula>
    </cfRule>
  </conditionalFormatting>
  <conditionalFormatting sqref="AB197">
    <cfRule type="expression" dxfId="391" priority="1616">
      <formula>AND(OR($AB$196="",$AB$196="無"),$AB$197&lt;&gt;"")</formula>
    </cfRule>
    <cfRule type="expression" dxfId="390" priority="1625">
      <formula>AND($AB$196="有",$AB$197="")</formula>
    </cfRule>
  </conditionalFormatting>
  <conditionalFormatting sqref="AB204">
    <cfRule type="expression" dxfId="389" priority="1613">
      <formula>AND(OR($AB$203="",$AB$203="無"),$AB$204&lt;&gt;"")</formula>
    </cfRule>
    <cfRule type="expression" dxfId="388" priority="1620">
      <formula>AND($AB$203="有",$AB$204="")</formula>
    </cfRule>
  </conditionalFormatting>
  <conditionalFormatting sqref="AE204">
    <cfRule type="expression" dxfId="387" priority="1594">
      <formula>AND(OR($AB$203="",$AB$203="無"),$AE$204&lt;&gt;"")</formula>
    </cfRule>
    <cfRule type="expression" dxfId="386" priority="1603">
      <formula>AND($AB$203="有",$AE$204="")</formula>
    </cfRule>
  </conditionalFormatting>
  <conditionalFormatting sqref="AJ204">
    <cfRule type="expression" dxfId="385" priority="1593">
      <formula>AND(OR($AB$203="",$AB$203="無"),$AJ$204&lt;&gt;"")</formula>
    </cfRule>
    <cfRule type="expression" dxfId="384" priority="1602">
      <formula>AND($AB$203="有",$AJ$204="")</formula>
    </cfRule>
  </conditionalFormatting>
  <conditionalFormatting sqref="AO204">
    <cfRule type="expression" dxfId="383" priority="1592">
      <formula>AND(OR($AB$203="",$AB$203="無"),$AO$204&lt;&gt;"")</formula>
    </cfRule>
    <cfRule type="expression" dxfId="382" priority="1601">
      <formula>AND($AB$203="有",$AO$204="")</formula>
    </cfRule>
  </conditionalFormatting>
  <conditionalFormatting sqref="AB205">
    <cfRule type="expression" dxfId="381" priority="1591">
      <formula>AND(OR($AB$203="",$AB$203="無"),$AB$205&lt;&gt;"")</formula>
    </cfRule>
    <cfRule type="expression" dxfId="380" priority="1600">
      <formula>AND($AB$203="有",$AB$205="")</formula>
    </cfRule>
  </conditionalFormatting>
  <conditionalFormatting sqref="AB200">
    <cfRule type="expression" dxfId="379" priority="1615">
      <formula>AND(OR($AB$196="",$AB$196="無"),$AB$200&lt;&gt;"")</formula>
    </cfRule>
    <cfRule type="expression" dxfId="378" priority="1619">
      <formula>AND($AB$196="有",$AB$200="")</formula>
    </cfRule>
  </conditionalFormatting>
  <conditionalFormatting sqref="AB198">
    <cfRule type="expression" dxfId="377" priority="1599">
      <formula>AND(OR($AB$196="",$AB$196="無"),$AB$198&lt;&gt;"")</formula>
    </cfRule>
    <cfRule type="expression" dxfId="376" priority="1608">
      <formula>AND($AB$196="有",$AB$198="")</formula>
    </cfRule>
  </conditionalFormatting>
  <conditionalFormatting sqref="AE198">
    <cfRule type="expression" dxfId="375" priority="508">
      <formula>AND(OR($AB$196="",$AB$196="無"),$AE$198&lt;&gt;"")</formula>
    </cfRule>
    <cfRule type="expression" dxfId="374" priority="1607">
      <formula>AND($AB$196="有",$AE$198="")</formula>
    </cfRule>
  </conditionalFormatting>
  <conditionalFormatting sqref="AJ198">
    <cfRule type="expression" dxfId="373" priority="1597">
      <formula>AND(OR($AB$196="",$AB$196="無"),$AJ$198&lt;&gt;"")</formula>
    </cfRule>
    <cfRule type="expression" dxfId="372" priority="1606">
      <formula>AND($AB$196="有",$AJ$198="")</formula>
    </cfRule>
  </conditionalFormatting>
  <conditionalFormatting sqref="AO198">
    <cfRule type="expression" dxfId="371" priority="1596">
      <formula>AND(OR($AB$196="",$AB$196="無"),$AO$198&lt;&gt;"")</formula>
    </cfRule>
    <cfRule type="expression" dxfId="370" priority="1605">
      <formula>AND($AB$196="有",$AO$198="")</formula>
    </cfRule>
  </conditionalFormatting>
  <conditionalFormatting sqref="AB199">
    <cfRule type="expression" dxfId="369" priority="1595">
      <formula>AND(OR($AB$196="",$AB$196="無"),$AB$199&lt;&gt;"")</formula>
    </cfRule>
    <cfRule type="expression" dxfId="368" priority="1604">
      <formula>AND($AB$196="有",$AB$199="")</formula>
    </cfRule>
  </conditionalFormatting>
  <conditionalFormatting sqref="AB206">
    <cfRule type="expression" dxfId="367" priority="1612">
      <formula>AND(OR($AB$203="",$AB$203="無"),$AB$206&lt;&gt;"")</formula>
    </cfRule>
    <cfRule type="expression" dxfId="366" priority="1618">
      <formula>AND($AB$203="有",$AB$206="")</formula>
    </cfRule>
  </conditionalFormatting>
  <conditionalFormatting sqref="AB235">
    <cfRule type="cellIs" dxfId="365" priority="1951" operator="equal">
      <formula>""</formula>
    </cfRule>
  </conditionalFormatting>
  <conditionalFormatting sqref="AB141 AB139">
    <cfRule type="expression" dxfId="364" priority="2207">
      <formula>$AB$139=$AB$141</formula>
    </cfRule>
  </conditionalFormatting>
  <conditionalFormatting sqref="AB133 AB131">
    <cfRule type="expression" dxfId="363" priority="1894">
      <formula>$AB$131=$AB$133</formula>
    </cfRule>
  </conditionalFormatting>
  <conditionalFormatting sqref="AB127 AB129">
    <cfRule type="expression" dxfId="362" priority="2197">
      <formula>$AB$127=$AB$129</formula>
    </cfRule>
  </conditionalFormatting>
  <conditionalFormatting sqref="AB128:AP129">
    <cfRule type="expression" dxfId="361" priority="2193">
      <formula>$AB$128=$AB$129</formula>
    </cfRule>
  </conditionalFormatting>
  <conditionalFormatting sqref="AB127:AP128">
    <cfRule type="expression" dxfId="360" priority="1892">
      <formula>$AB$127=$AB$128</formula>
    </cfRule>
  </conditionalFormatting>
  <conditionalFormatting sqref="AB131:AP132">
    <cfRule type="expression" dxfId="359" priority="2199">
      <formula>$AB$131=$AB$132</formula>
    </cfRule>
  </conditionalFormatting>
  <conditionalFormatting sqref="AB132:AP133">
    <cfRule type="cellIs" dxfId="358" priority="1565" operator="equal">
      <formula>""</formula>
    </cfRule>
    <cfRule type="expression" dxfId="357" priority="2204">
      <formula>$AB$132=$AB$133</formula>
    </cfRule>
  </conditionalFormatting>
  <conditionalFormatting sqref="AB139:AP140">
    <cfRule type="expression" dxfId="356" priority="1704">
      <formula>$AB$139=$AB$140</formula>
    </cfRule>
  </conditionalFormatting>
  <conditionalFormatting sqref="AB140:AP141">
    <cfRule type="expression" dxfId="355" priority="2214">
      <formula>$AB$140=$AB$141</formula>
    </cfRule>
  </conditionalFormatting>
  <conditionalFormatting sqref="AB201">
    <cfRule type="expression" dxfId="354" priority="2231">
      <formula>AND($AB$196="有",NOT($AB$200="指定確認検査機関"),$AB$201&lt;&gt;"")</formula>
    </cfRule>
    <cfRule type="expression" dxfId="353" priority="2232">
      <formula>AND(OR($AB$196="",$AB$196="無"),$AB$201&lt;&gt;"")</formula>
    </cfRule>
    <cfRule type="expression" dxfId="352" priority="2233">
      <formula>AND($AB$196="有",$AB$200="指定確認検査機関",$AB$201="")</formula>
    </cfRule>
  </conditionalFormatting>
  <conditionalFormatting sqref="AB187:AU187">
    <cfRule type="expression" dxfId="351" priority="2239">
      <formula>AND($AB$182="有",NOT($AB$186="指定確認検査機関"),$AB$187&lt;&gt;"")</formula>
    </cfRule>
    <cfRule type="expression" dxfId="350" priority="2240">
      <formula>AND(OR($AB$182="",$AB$182="無"),$AB$187&lt;&gt;"")</formula>
    </cfRule>
  </conditionalFormatting>
  <conditionalFormatting sqref="AB193:AU193">
    <cfRule type="expression" dxfId="349" priority="2242">
      <formula>AND($AB$189="有",NOT($AB$192="指定確認検査機関"),$AB$193&lt;&gt;"")</formula>
    </cfRule>
    <cfRule type="expression" dxfId="348" priority="2243">
      <formula>AND(OR($AB$189="",$AB$189="無"),$AB$193&lt;&gt;"")</formula>
    </cfRule>
  </conditionalFormatting>
  <conditionalFormatting sqref="AB282:AD285">
    <cfRule type="cellIs" dxfId="347" priority="1546" operator="equal">
      <formula>""</formula>
    </cfRule>
  </conditionalFormatting>
  <conditionalFormatting sqref="AB288:AD288">
    <cfRule type="expression" dxfId="346" priority="1540">
      <formula>AND(NOT($AB$287="有"),$AB$288&lt;&gt;"")</formula>
    </cfRule>
    <cfRule type="expression" dxfId="345" priority="1541">
      <formula>AND($AB$287="有",$AB$288="")</formula>
    </cfRule>
  </conditionalFormatting>
  <conditionalFormatting sqref="AB286">
    <cfRule type="cellIs" dxfId="344" priority="1539" operator="equal">
      <formula>""</formula>
    </cfRule>
  </conditionalFormatting>
  <conditionalFormatting sqref="AB293">
    <cfRule type="expression" dxfId="343" priority="1537">
      <formula>AND(NOT($AB$292="有"),$AB$293&lt;&gt;"")</formula>
    </cfRule>
    <cfRule type="expression" dxfId="342" priority="1538">
      <formula>AND($AB$292="有",$AB$293="")</formula>
    </cfRule>
  </conditionalFormatting>
  <conditionalFormatting sqref="AB292:AD292">
    <cfRule type="cellIs" dxfId="341" priority="1536" operator="equal">
      <formula>""</formula>
    </cfRule>
  </conditionalFormatting>
  <conditionalFormatting sqref="AB27">
    <cfRule type="cellIs" dxfId="340" priority="1533" operator="equal">
      <formula>""</formula>
    </cfRule>
  </conditionalFormatting>
  <conditionalFormatting sqref="AB97:BT97">
    <cfRule type="cellIs" dxfId="339" priority="2542" operator="equal">
      <formula>""</formula>
    </cfRule>
  </conditionalFormatting>
  <conditionalFormatting sqref="AB102:BT102">
    <cfRule type="cellIs" dxfId="338" priority="415" operator="equal">
      <formula>""</formula>
    </cfRule>
  </conditionalFormatting>
  <conditionalFormatting sqref="AB94:AH94">
    <cfRule type="expression" dxfId="337" priority="280" stopIfTrue="1">
      <formula>AND($AB$91="",$AB$94="")</formula>
    </cfRule>
  </conditionalFormatting>
  <conditionalFormatting sqref="AB73">
    <cfRule type="cellIs" dxfId="336" priority="467" operator="equal">
      <formula>""</formula>
    </cfRule>
  </conditionalFormatting>
  <conditionalFormatting sqref="AB273">
    <cfRule type="cellIs" dxfId="335" priority="1465" operator="equal">
      <formula>""</formula>
    </cfRule>
  </conditionalFormatting>
  <conditionalFormatting sqref="AB169 AE169 AJ169 AO169">
    <cfRule type="cellIs" dxfId="334" priority="1338" operator="equal">
      <formula>""</formula>
    </cfRule>
  </conditionalFormatting>
  <conditionalFormatting sqref="AB172 AE172 AJ172 AO172">
    <cfRule type="cellIs" dxfId="333" priority="676" operator="equal">
      <formula>""</formula>
    </cfRule>
  </conditionalFormatting>
  <conditionalFormatting sqref="AB225 AE225 AJ225 AO225">
    <cfRule type="expression" dxfId="332" priority="377">
      <formula>AND(NOT($AB224="実施"),AB$225&lt;&gt;"")</formula>
    </cfRule>
  </conditionalFormatting>
  <conditionalFormatting sqref="AO229 AJ229 AB229 AE229">
    <cfRule type="expression" dxfId="331" priority="369">
      <formula>AND(NOT($AB228="実施"),AB$229&lt;&gt;"")</formula>
    </cfRule>
  </conditionalFormatting>
  <conditionalFormatting sqref="AB253:AD253">
    <cfRule type="cellIs" dxfId="330" priority="1297" operator="equal">
      <formula>""</formula>
    </cfRule>
  </conditionalFormatting>
  <conditionalFormatting sqref="AF478:AQ486 AF364:AQ372 AF337:AQ354">
    <cfRule type="cellIs" dxfId="329" priority="1296" operator="equal">
      <formula>""</formula>
    </cfRule>
  </conditionalFormatting>
  <conditionalFormatting sqref="M520:M529">
    <cfRule type="cellIs" dxfId="328" priority="1295" operator="equal">
      <formula>""</formula>
    </cfRule>
  </conditionalFormatting>
  <conditionalFormatting sqref="AF520:AQ529">
    <cfRule type="expression" dxfId="327" priority="78">
      <formula>AND($M520="",$AF520&lt;&gt;"")</formula>
    </cfRule>
    <cfRule type="expression" dxfId="326" priority="1276">
      <formula>AND($M520&lt;&gt;"",$AF520="")</formula>
    </cfRule>
    <cfRule type="cellIs" dxfId="325" priority="1292" operator="equal">
      <formula>""</formula>
    </cfRule>
  </conditionalFormatting>
  <conditionalFormatting sqref="AT520:BC529">
    <cfRule type="expression" dxfId="324" priority="1285">
      <formula>AND($M520="",$AT520&lt;&gt;"")</formula>
    </cfRule>
  </conditionalFormatting>
  <conditionalFormatting sqref="BD520:BR529">
    <cfRule type="expression" dxfId="323" priority="1284">
      <formula>AND($M520="",$BD520&lt;&gt;"")</formula>
    </cfRule>
  </conditionalFormatting>
  <conditionalFormatting sqref="BS520:BU529">
    <cfRule type="expression" dxfId="322" priority="1280">
      <formula>AND($M520="",$BS520&lt;&gt;"")</formula>
    </cfRule>
  </conditionalFormatting>
  <conditionalFormatting sqref="BV520:BX529">
    <cfRule type="expression" dxfId="321" priority="1279">
      <formula>AND($M520="",$BV520&lt;&gt;"")</formula>
    </cfRule>
  </conditionalFormatting>
  <conditionalFormatting sqref="BY520:CA529">
    <cfRule type="expression" dxfId="320" priority="1278">
      <formula>AND($M520="",$BY520&lt;&gt;"")</formula>
    </cfRule>
  </conditionalFormatting>
  <conditionalFormatting sqref="BF257">
    <cfRule type="expression" dxfId="319" priority="1263">
      <formula>AND($AB$253="有",$BF$257="")</formula>
    </cfRule>
  </conditionalFormatting>
  <conditionalFormatting sqref="AB113:BT114">
    <cfRule type="cellIs" dxfId="318" priority="713" operator="equal">
      <formula>""</formula>
    </cfRule>
  </conditionalFormatting>
  <conditionalFormatting sqref="AB115:BT115">
    <cfRule type="cellIs" dxfId="317" priority="3187" operator="equal">
      <formula>""</formula>
    </cfRule>
  </conditionalFormatting>
  <conditionalFormatting sqref="AB120:BT120">
    <cfRule type="expression" dxfId="316" priority="717">
      <formula>$AB$120=""</formula>
    </cfRule>
  </conditionalFormatting>
  <conditionalFormatting sqref="AB112:AH112">
    <cfRule type="expression" dxfId="315" priority="283">
      <formula>AND($AB$109="",$AB$112="")</formula>
    </cfRule>
    <cfRule type="expression" dxfId="314" priority="582">
      <formula>AND($AB$109="特定建築物調査員",$AB$112="")</formula>
    </cfRule>
  </conditionalFormatting>
  <conditionalFormatting sqref="AB118:AH118">
    <cfRule type="expression" dxfId="313" priority="3190">
      <formula>$AB$118=""</formula>
    </cfRule>
  </conditionalFormatting>
  <conditionalFormatting sqref="AB153:AD157">
    <cfRule type="cellIs" dxfId="312" priority="708" operator="equal">
      <formula>""</formula>
    </cfRule>
  </conditionalFormatting>
  <conditionalFormatting sqref="AB163 AE163 AJ163 AO163">
    <cfRule type="cellIs" dxfId="311" priority="667" operator="equal">
      <formula>""</formula>
    </cfRule>
  </conditionalFormatting>
  <conditionalFormatting sqref="AB166 AE166 AJ166 AO166">
    <cfRule type="cellIs" dxfId="310" priority="663" operator="equal">
      <formula>""</formula>
    </cfRule>
  </conditionalFormatting>
  <conditionalFormatting sqref="AE166:AG166">
    <cfRule type="expression" dxfId="309" priority="662">
      <formula>$AE$166=""</formula>
    </cfRule>
  </conditionalFormatting>
  <conditionalFormatting sqref="AJ166:AL166">
    <cfRule type="expression" dxfId="308" priority="660">
      <formula>$AJ$166=""</formula>
    </cfRule>
  </conditionalFormatting>
  <conditionalFormatting sqref="AO166:AQ166">
    <cfRule type="expression" dxfId="307" priority="659">
      <formula>$AO$166=""</formula>
    </cfRule>
  </conditionalFormatting>
  <conditionalFormatting sqref="AE172">
    <cfRule type="expression" dxfId="306" priority="656">
      <formula>$AE$172=""</formula>
    </cfRule>
  </conditionalFormatting>
  <conditionalFormatting sqref="AJ172">
    <cfRule type="expression" dxfId="305" priority="655">
      <formula>$AJ$172=""</formula>
    </cfRule>
  </conditionalFormatting>
  <conditionalFormatting sqref="AO172:AQ172">
    <cfRule type="expression" dxfId="304" priority="654">
      <formula>$AO$172=""</formula>
    </cfRule>
  </conditionalFormatting>
  <conditionalFormatting sqref="AB77:BT78">
    <cfRule type="cellIs" dxfId="303" priority="640" operator="equal">
      <formula>""</formula>
    </cfRule>
  </conditionalFormatting>
  <conditionalFormatting sqref="AB18:BT18">
    <cfRule type="expression" dxfId="302" priority="450">
      <formula>AND($AB$17&lt;&gt;"",$AB$18="")</formula>
    </cfRule>
  </conditionalFormatting>
  <conditionalFormatting sqref="AB20:BT20">
    <cfRule type="expression" dxfId="301" priority="444">
      <formula>AND($AB$19&lt;&gt;"",$AB$20="")</formula>
    </cfRule>
  </conditionalFormatting>
  <conditionalFormatting sqref="AB7 AK7 AT7">
    <cfRule type="cellIs" dxfId="300" priority="631" operator="equal">
      <formula>""</formula>
    </cfRule>
  </conditionalFormatting>
  <conditionalFormatting sqref="AK7:AP7">
    <cfRule type="expression" dxfId="299" priority="630">
      <formula>$AK$7=""</formula>
    </cfRule>
  </conditionalFormatting>
  <conditionalFormatting sqref="AT7:AY7">
    <cfRule type="expression" dxfId="298" priority="629">
      <formula>$AT$7=""</formula>
    </cfRule>
  </conditionalFormatting>
  <conditionalFormatting sqref="AB21:BT22">
    <cfRule type="expression" dxfId="297" priority="84">
      <formula>$DS$16</formula>
    </cfRule>
    <cfRule type="cellIs" dxfId="296" priority="624" operator="equal">
      <formula>""</formula>
    </cfRule>
  </conditionalFormatting>
  <conditionalFormatting sqref="AB37 AB38">
    <cfRule type="cellIs" dxfId="295" priority="617" operator="equal">
      <formula>""</formula>
    </cfRule>
  </conditionalFormatting>
  <conditionalFormatting sqref="AB60:BT60">
    <cfRule type="expression" dxfId="294" priority="430">
      <formula>AND($AB$59&lt;&gt;"",$AB$60="")</formula>
    </cfRule>
  </conditionalFormatting>
  <conditionalFormatting sqref="AB59:BT59">
    <cfRule type="expression" dxfId="293" priority="422">
      <formula>AND($AB$60&lt;&gt;"",$AB$59="")</formula>
    </cfRule>
  </conditionalFormatting>
  <conditionalFormatting sqref="AB63:BT64">
    <cfRule type="cellIs" dxfId="292" priority="609" operator="equal">
      <formula>""</formula>
    </cfRule>
  </conditionalFormatting>
  <conditionalFormatting sqref="AB61:BT61">
    <cfRule type="expression" dxfId="291" priority="424">
      <formula>AND($AB$62&lt;&gt;"",$AB$61="")</formula>
    </cfRule>
  </conditionalFormatting>
  <conditionalFormatting sqref="AB62:BT62">
    <cfRule type="expression" dxfId="290" priority="423">
      <formula>AND($AB$61&lt;&gt;"",$AB$62="")</formula>
    </cfRule>
  </conditionalFormatting>
  <conditionalFormatting sqref="AB59:BT64">
    <cfRule type="expression" dxfId="289" priority="245" stopIfTrue="1">
      <formula>$DS$58=TRUE</formula>
    </cfRule>
  </conditionalFormatting>
  <conditionalFormatting sqref="AB95:BT95">
    <cfRule type="expression" dxfId="288" priority="277">
      <formula>AND($AB$95="",$AB$96&lt;&gt;"")</formula>
    </cfRule>
  </conditionalFormatting>
  <conditionalFormatting sqref="AB116:AH116">
    <cfRule type="expression" dxfId="287" priority="723">
      <formula>$AB$116=""</formula>
    </cfRule>
  </conditionalFormatting>
  <conditionalFormatting sqref="AB117:AH117">
    <cfRule type="expression" dxfId="286" priority="3193">
      <formula>$AB$117=""</formula>
    </cfRule>
  </conditionalFormatting>
  <conditionalFormatting sqref="AF415:AQ415">
    <cfRule type="cellIs" dxfId="285" priority="557" operator="equal">
      <formula>""</formula>
    </cfRule>
  </conditionalFormatting>
  <conditionalFormatting sqref="AF416:AQ416">
    <cfRule type="cellIs" dxfId="284" priority="543" operator="equal">
      <formula>""</formula>
    </cfRule>
  </conditionalFormatting>
  <conditionalFormatting sqref="AE198 AJ198 AO198 AE204 AJ204 AO204 AB195:AB207">
    <cfRule type="expression" dxfId="283" priority="1598" stopIfTrue="1">
      <formula>$DN$194=TRUE</formula>
    </cfRule>
  </conditionalFormatting>
  <conditionalFormatting sqref="BF258">
    <cfRule type="expression" dxfId="282" priority="478">
      <formula>"AND(R204C128=1,R204C58="""")"</formula>
    </cfRule>
  </conditionalFormatting>
  <conditionalFormatting sqref="AB23 AK23">
    <cfRule type="cellIs" dxfId="281" priority="464" operator="equal">
      <formula>""</formula>
    </cfRule>
  </conditionalFormatting>
  <conditionalFormatting sqref="AB25 AK25 AT25">
    <cfRule type="cellIs" dxfId="280" priority="463" operator="equal">
      <formula>""</formula>
    </cfRule>
  </conditionalFormatting>
  <conditionalFormatting sqref="AB26 AK26 AT26">
    <cfRule type="cellIs" dxfId="279" priority="459" operator="equal">
      <formula>""</formula>
    </cfRule>
  </conditionalFormatting>
  <conditionalFormatting sqref="AB39 AK39">
    <cfRule type="cellIs" dxfId="278" priority="456" operator="equal">
      <formula>""</formula>
    </cfRule>
  </conditionalFormatting>
  <conditionalFormatting sqref="AB41 AK41 AT41">
    <cfRule type="cellIs" dxfId="277" priority="454" operator="equal">
      <formula>""</formula>
    </cfRule>
  </conditionalFormatting>
  <conditionalFormatting sqref="AB17">
    <cfRule type="expression" dxfId="276" priority="451">
      <formula>AND($AB$18&lt;&gt;"",$AB$17="")</formula>
    </cfRule>
  </conditionalFormatting>
  <conditionalFormatting sqref="AB19">
    <cfRule type="expression" dxfId="275" priority="446">
      <formula>AND($AB$20&lt;&gt;"",$AB$19="")</formula>
    </cfRule>
  </conditionalFormatting>
  <conditionalFormatting sqref="AB33:BT36">
    <cfRule type="cellIs" dxfId="274" priority="443" operator="equal">
      <formula>""</formula>
    </cfRule>
  </conditionalFormatting>
  <conditionalFormatting sqref="AB34:BT34">
    <cfRule type="expression" dxfId="273" priority="439">
      <formula>AND($AB$33&lt;&gt;"",$AB$34="")</formula>
    </cfRule>
  </conditionalFormatting>
  <conditionalFormatting sqref="AB36:BT36">
    <cfRule type="expression" dxfId="272" priority="436">
      <formula>AND($AB$35&lt;&gt;"",$AB$36="")</formula>
    </cfRule>
  </conditionalFormatting>
  <conditionalFormatting sqref="AB33">
    <cfRule type="expression" dxfId="271" priority="440">
      <formula>AND($AB$34&lt;&gt;"",$AB$33="")</formula>
    </cfRule>
  </conditionalFormatting>
  <conditionalFormatting sqref="AB35">
    <cfRule type="expression" dxfId="270" priority="437">
      <formula>AND($AB$36&lt;&gt;"",$AB$35="")</formula>
    </cfRule>
  </conditionalFormatting>
  <conditionalFormatting sqref="AB65:AG65">
    <cfRule type="expression" dxfId="269" priority="429" stopIfTrue="1">
      <formula>$DS$58=TRUE</formula>
    </cfRule>
  </conditionalFormatting>
  <conditionalFormatting sqref="AK65:AP65">
    <cfRule type="expression" dxfId="268" priority="428" stopIfTrue="1">
      <formula>$DS$58=TRUE</formula>
    </cfRule>
  </conditionalFormatting>
  <conditionalFormatting sqref="AB67:AG67">
    <cfRule type="expression" dxfId="267" priority="427" stopIfTrue="1">
      <formula>$DS$58=TRUE</formula>
    </cfRule>
  </conditionalFormatting>
  <conditionalFormatting sqref="AK67:AP67">
    <cfRule type="expression" dxfId="266" priority="426" stopIfTrue="1">
      <formula>$DS$58=TRUE</formula>
    </cfRule>
  </conditionalFormatting>
  <conditionalFormatting sqref="AT67:AY67">
    <cfRule type="expression" dxfId="265" priority="425" stopIfTrue="1">
      <formula>$DS$58=TRUE</formula>
    </cfRule>
  </conditionalFormatting>
  <conditionalFormatting sqref="AB83 AK83">
    <cfRule type="cellIs" dxfId="264" priority="421" operator="equal">
      <formula>""</formula>
    </cfRule>
  </conditionalFormatting>
  <conditionalFormatting sqref="AB85 AK85 AT85">
    <cfRule type="cellIs" dxfId="263" priority="419" operator="equal">
      <formula>""</formula>
    </cfRule>
  </conditionalFormatting>
  <conditionalFormatting sqref="AK101:AP101">
    <cfRule type="expression" dxfId="262" priority="339" stopIfTrue="1">
      <formula>$DS$90=TRUE</formula>
    </cfRule>
  </conditionalFormatting>
  <conditionalFormatting sqref="AK103:AP103">
    <cfRule type="expression" dxfId="261" priority="355" stopIfTrue="1">
      <formula>$DS$90=TRUE</formula>
    </cfRule>
  </conditionalFormatting>
  <conditionalFormatting sqref="AB119:AG119">
    <cfRule type="cellIs" dxfId="260" priority="711" operator="equal">
      <formula>""</formula>
    </cfRule>
  </conditionalFormatting>
  <conditionalFormatting sqref="AB121:AG121">
    <cfRule type="cellIs" dxfId="259" priority="590" operator="equal">
      <formula>""</formula>
    </cfRule>
  </conditionalFormatting>
  <conditionalFormatting sqref="AF154">
    <cfRule type="expression" dxfId="258" priority="395">
      <formula>AND(NOT($AB$154="適用"),$AF$154&lt;&gt;"")</formula>
    </cfRule>
    <cfRule type="expression" dxfId="257" priority="396">
      <formula>AND($AB$154="適用",$AF$154="")</formula>
    </cfRule>
  </conditionalFormatting>
  <conditionalFormatting sqref="AF155">
    <cfRule type="expression" dxfId="256" priority="393">
      <formula>AND(NOT($AB$155="適用"),$AF$155&lt;&gt;"")</formula>
    </cfRule>
    <cfRule type="expression" dxfId="255" priority="394">
      <formula>AND($AB$155="適用",$AF$155="")</formula>
    </cfRule>
  </conditionalFormatting>
  <conditionalFormatting sqref="AB223">
    <cfRule type="expression" dxfId="254" priority="2548">
      <formula>AND($AB222="実施",$AB$223="")</formula>
    </cfRule>
  </conditionalFormatting>
  <conditionalFormatting sqref="AE223">
    <cfRule type="expression" dxfId="253" priority="390">
      <formula>AND($AB222="実施",$AE$223="")</formula>
    </cfRule>
  </conditionalFormatting>
  <conditionalFormatting sqref="AJ223">
    <cfRule type="expression" dxfId="252" priority="384">
      <formula>AND($AB222="実施",$AJ$223="")</formula>
    </cfRule>
  </conditionalFormatting>
  <conditionalFormatting sqref="AO223">
    <cfRule type="expression" dxfId="251" priority="382">
      <formula>AND($AB222="実施",$AO$223="")</formula>
    </cfRule>
  </conditionalFormatting>
  <conditionalFormatting sqref="AB225:AD225">
    <cfRule type="expression" dxfId="250" priority="1309">
      <formula>AND($AB$224="実施",$AB$225="")</formula>
    </cfRule>
  </conditionalFormatting>
  <conditionalFormatting sqref="AE225:AG225">
    <cfRule type="expression" dxfId="249" priority="379">
      <formula>AND($AB$224="実施",$AE$225="")</formula>
    </cfRule>
  </conditionalFormatting>
  <conditionalFormatting sqref="AJ225:AL225">
    <cfRule type="expression" dxfId="248" priority="380">
      <formula>AND($AB$224="実施",$AJ$225="")</formula>
    </cfRule>
  </conditionalFormatting>
  <conditionalFormatting sqref="AO225:AQ225">
    <cfRule type="expression" dxfId="247" priority="378">
      <formula>AND($AB$224="実施",$AO$225="")</formula>
    </cfRule>
  </conditionalFormatting>
  <conditionalFormatting sqref="AB227:AG227 AJ227 AO227">
    <cfRule type="expression" dxfId="246" priority="372">
      <formula>AND(NOT($AB226="実施"),AB$227&lt;&gt;"")</formula>
    </cfRule>
  </conditionalFormatting>
  <conditionalFormatting sqref="AB227:AD227">
    <cfRule type="expression" dxfId="245" priority="376">
      <formula>AND($AB$226="実施",$AB$227="")</formula>
    </cfRule>
  </conditionalFormatting>
  <conditionalFormatting sqref="AE227:AG227">
    <cfRule type="expression" dxfId="244" priority="375">
      <formula>AND($AB$226="実施",$AE$227="")</formula>
    </cfRule>
  </conditionalFormatting>
  <conditionalFormatting sqref="AJ227:AL227">
    <cfRule type="expression" dxfId="243" priority="374">
      <formula>AND($AB$226="実施",$AJ$227="")</formula>
    </cfRule>
  </conditionalFormatting>
  <conditionalFormatting sqref="AO227:AQ227">
    <cfRule type="expression" dxfId="242" priority="373">
      <formula>AND($AB$226="実施",$AO$227="")</formula>
    </cfRule>
  </conditionalFormatting>
  <conditionalFormatting sqref="AB229">
    <cfRule type="expression" dxfId="241" priority="1302">
      <formula>AND($AB$228="実施",$AB$229="")</formula>
    </cfRule>
  </conditionalFormatting>
  <conditionalFormatting sqref="AE229:AG229">
    <cfRule type="expression" dxfId="240" priority="1301">
      <formula>AND($AB$228="実施",$AE$229="")</formula>
    </cfRule>
  </conditionalFormatting>
  <conditionalFormatting sqref="AJ229:AL229">
    <cfRule type="expression" dxfId="239" priority="371">
      <formula>AND($AB$228="実施",$AJ$229="")</formula>
    </cfRule>
  </conditionalFormatting>
  <conditionalFormatting sqref="AO229:AQ229">
    <cfRule type="expression" dxfId="238" priority="370">
      <formula>AND($AB$228="実施",$AO$229="")</formula>
    </cfRule>
  </conditionalFormatting>
  <conditionalFormatting sqref="AB291">
    <cfRule type="cellIs" dxfId="237" priority="363" operator="equal">
      <formula>""</formula>
    </cfRule>
  </conditionalFormatting>
  <conditionalFormatting sqref="AB97:AB103">
    <cfRule type="expression" dxfId="236" priority="221" stopIfTrue="1">
      <formula>$DS$90=TRUE</formula>
    </cfRule>
  </conditionalFormatting>
  <conditionalFormatting sqref="AT103:AY103">
    <cfRule type="expression" dxfId="235" priority="352" stopIfTrue="1">
      <formula>$DS$90=TRUE</formula>
    </cfRule>
  </conditionalFormatting>
  <conditionalFormatting sqref="AK119:AP119">
    <cfRule type="cellIs" dxfId="234" priority="410" operator="equal">
      <formula>""</formula>
    </cfRule>
  </conditionalFormatting>
  <conditionalFormatting sqref="AK121:AP121">
    <cfRule type="cellIs" dxfId="233" priority="351" operator="equal">
      <formula>""</formula>
    </cfRule>
  </conditionalFormatting>
  <conditionalFormatting sqref="BC258:BE261">
    <cfRule type="expression" dxfId="232" priority="2834">
      <formula>AND($DO$254&lt;&gt;"",BC258="")</formula>
    </cfRule>
  </conditionalFormatting>
  <conditionalFormatting sqref="AR415:AS416">
    <cfRule type="expression" dxfId="231" priority="3016">
      <formula>AND($U$313="",$AR415&lt;&gt;"")</formula>
    </cfRule>
  </conditionalFormatting>
  <conditionalFormatting sqref="AT121:AY121">
    <cfRule type="cellIs" dxfId="230" priority="346" operator="equal">
      <formula>""</formula>
    </cfRule>
  </conditionalFormatting>
  <conditionalFormatting sqref="U347:AE347">
    <cfRule type="expression" dxfId="229" priority="304">
      <formula>$DP$273=1</formula>
    </cfRule>
  </conditionalFormatting>
  <conditionalFormatting sqref="U423:AE423">
    <cfRule type="expression" dxfId="228" priority="301">
      <formula>$DX$236=1</formula>
    </cfRule>
  </conditionalFormatting>
  <conditionalFormatting sqref="U424:AE424">
    <cfRule type="expression" dxfId="227" priority="300">
      <formula>$DX$236=1</formula>
    </cfRule>
  </conditionalFormatting>
  <conditionalFormatting sqref="U425:AE425">
    <cfRule type="expression" dxfId="226" priority="299">
      <formula>$DX$236=1</formula>
    </cfRule>
  </conditionalFormatting>
  <conditionalFormatting sqref="U426:AE426">
    <cfRule type="expression" dxfId="225" priority="298">
      <formula>$DX$236=1</formula>
    </cfRule>
  </conditionalFormatting>
  <conditionalFormatting sqref="AB299:BS301">
    <cfRule type="cellIs" dxfId="224" priority="286" operator="equal">
      <formula>""</formula>
    </cfRule>
  </conditionalFormatting>
  <conditionalFormatting sqref="AB302:BT304">
    <cfRule type="cellIs" dxfId="223" priority="285" operator="equal">
      <formula>""</formula>
    </cfRule>
  </conditionalFormatting>
  <conditionalFormatting sqref="AB115:AB118 AB120">
    <cfRule type="expression" dxfId="222" priority="99">
      <formula>AND($DS$108=TRUE,AB115&lt;&gt;"")</formula>
    </cfRule>
  </conditionalFormatting>
  <conditionalFormatting sqref="AB207">
    <cfRule type="expression" dxfId="221" priority="2235">
      <formula>AND($AB$203="有",$AB$206="指定確認検査機関",$AB$207="")</formula>
    </cfRule>
    <cfRule type="expression" dxfId="220" priority="2236">
      <formula>AND($AB$203="有",NOT($AB$206="指定確認検査機関"),$AB$207&lt;&gt;"")</formula>
    </cfRule>
    <cfRule type="expression" dxfId="219" priority="2237">
      <formula>AND(OR($AB$203="",$AB$203="無"),$AB$207&lt;&gt;"")</formula>
    </cfRule>
  </conditionalFormatting>
  <conditionalFormatting sqref="AB290:AB291">
    <cfRule type="expression" dxfId="218" priority="263">
      <formula>AND($AB$290="無",$AB$291="対象")</formula>
    </cfRule>
  </conditionalFormatting>
  <conditionalFormatting sqref="AZ257:BE257">
    <cfRule type="expression" dxfId="217" priority="320">
      <formula>$AT$257="予定なし"</formula>
    </cfRule>
  </conditionalFormatting>
  <conditionalFormatting sqref="AZ258:BB258">
    <cfRule type="expression" dxfId="216" priority="261">
      <formula>$AT$258="予定なし"</formula>
    </cfRule>
  </conditionalFormatting>
  <conditionalFormatting sqref="AZ259:BB259">
    <cfRule type="expression" dxfId="215" priority="256">
      <formula>$AT$259="予定なし"</formula>
    </cfRule>
  </conditionalFormatting>
  <conditionalFormatting sqref="BC258:BE258">
    <cfRule type="expression" dxfId="214" priority="259">
      <formula>$AT$258="予定なし"</formula>
    </cfRule>
  </conditionalFormatting>
  <conditionalFormatting sqref="BC259:BE259">
    <cfRule type="expression" dxfId="213" priority="257">
      <formula>$AT$259="予定なし"</formula>
    </cfRule>
  </conditionalFormatting>
  <conditionalFormatting sqref="AZ260:BB260">
    <cfRule type="expression" dxfId="212" priority="254">
      <formula>$AT$260="予定なし"</formula>
    </cfRule>
  </conditionalFormatting>
  <conditionalFormatting sqref="BC260:BE260">
    <cfRule type="expression" dxfId="211" priority="252">
      <formula>$AT$260="予定なし"</formula>
    </cfRule>
  </conditionalFormatting>
  <conditionalFormatting sqref="AZ261:BB261">
    <cfRule type="expression" dxfId="210" priority="250">
      <formula>$AT$261="予定なし"</formula>
    </cfRule>
  </conditionalFormatting>
  <conditionalFormatting sqref="BC261:BE261">
    <cfRule type="expression" dxfId="209" priority="248">
      <formula>$AT$261="予定なし"</formula>
    </cfRule>
  </conditionalFormatting>
  <conditionalFormatting sqref="AB289:AF289">
    <cfRule type="cellIs" dxfId="208" priority="264" operator="equal">
      <formula>""</formula>
    </cfRule>
  </conditionalFormatting>
  <conditionalFormatting sqref="AB17:BT20">
    <cfRule type="cellIs" dxfId="207" priority="636" operator="equal">
      <formula>""</formula>
    </cfRule>
  </conditionalFormatting>
  <conditionalFormatting sqref="AB59:BT62">
    <cfRule type="cellIs" dxfId="206" priority="605" operator="equal">
      <formula>""</formula>
    </cfRule>
  </conditionalFormatting>
  <conditionalFormatting sqref="AB65 AK65">
    <cfRule type="cellIs" dxfId="205" priority="435" operator="equal">
      <formula>""</formula>
    </cfRule>
  </conditionalFormatting>
  <conditionalFormatting sqref="AB67 AK67 AT67">
    <cfRule type="cellIs" dxfId="204" priority="433" operator="equal">
      <formula>""</formula>
    </cfRule>
  </conditionalFormatting>
  <conditionalFormatting sqref="AB95:BT96">
    <cfRule type="cellIs" dxfId="203" priority="596" operator="equal">
      <formula>""</formula>
    </cfRule>
  </conditionalFormatting>
  <conditionalFormatting sqref="AB97:AB100 AB102">
    <cfRule type="expression" dxfId="202" priority="215">
      <formula>AND($DS$90=TRUE,AB97&lt;&gt;"")</formula>
    </cfRule>
  </conditionalFormatting>
  <conditionalFormatting sqref="AB223 AE223 AJ223 AO223">
    <cfRule type="expression" dxfId="201" priority="2547">
      <formula>AND(NOT($AB222="実施"),AB$223&lt;&gt;"")</formula>
    </cfRule>
  </conditionalFormatting>
  <conditionalFormatting sqref="AB235:AB236">
    <cfRule type="expression" dxfId="200" priority="1573">
      <formula>AND(OR($AB$235="",$AB$235="無"),$AB$236&lt;&gt;"")</formula>
    </cfRule>
  </conditionalFormatting>
  <conditionalFormatting sqref="AF328:AQ332">
    <cfRule type="cellIs" dxfId="199" priority="199" operator="equal">
      <formula>""</formula>
    </cfRule>
  </conditionalFormatting>
  <conditionalFormatting sqref="AF355:AQ359">
    <cfRule type="cellIs" dxfId="198" priority="186" operator="equal">
      <formula>""</formula>
    </cfRule>
  </conditionalFormatting>
  <conditionalFormatting sqref="AF373:AQ377">
    <cfRule type="cellIs" dxfId="197" priority="173" operator="equal">
      <formula>""</formula>
    </cfRule>
  </conditionalFormatting>
  <conditionalFormatting sqref="AF427:AQ431">
    <cfRule type="cellIs" dxfId="196" priority="160" operator="equal">
      <formula>""</formula>
    </cfRule>
  </conditionalFormatting>
  <conditionalFormatting sqref="U427:AE431">
    <cfRule type="expression" dxfId="195" priority="159">
      <formula>$DX$236=1</formula>
    </cfRule>
  </conditionalFormatting>
  <conditionalFormatting sqref="AF469:AQ473">
    <cfRule type="cellIs" dxfId="194" priority="146" operator="equal">
      <formula>""</formula>
    </cfRule>
  </conditionalFormatting>
  <conditionalFormatting sqref="U469:AE473">
    <cfRule type="expression" dxfId="193" priority="145">
      <formula>$DP$284=1</formula>
    </cfRule>
  </conditionalFormatting>
  <conditionalFormatting sqref="AF487:AQ491">
    <cfRule type="cellIs" dxfId="192" priority="132" operator="equal">
      <formula>""</formula>
    </cfRule>
  </conditionalFormatting>
  <conditionalFormatting sqref="AF511:AQ514">
    <cfRule type="cellIs" dxfId="191" priority="119" operator="equal">
      <formula>""</formula>
    </cfRule>
  </conditionalFormatting>
  <conditionalFormatting sqref="M530:M534">
    <cfRule type="cellIs" dxfId="190" priority="110" operator="equal">
      <formula>""</formula>
    </cfRule>
  </conditionalFormatting>
  <conditionalFormatting sqref="AF530:AQ534">
    <cfRule type="expression" dxfId="189" priority="77">
      <formula>AND($M530="",$AF530&lt;&gt;"")</formula>
    </cfRule>
    <cfRule type="expression" dxfId="188" priority="102">
      <formula>AND($M530&lt;&gt;"",$AF530="")</formula>
    </cfRule>
    <cfRule type="cellIs" dxfId="187" priority="108" operator="equal">
      <formula>""</formula>
    </cfRule>
  </conditionalFormatting>
  <conditionalFormatting sqref="AT530:BC534">
    <cfRule type="expression" dxfId="186" priority="107">
      <formula>AND($M530="",$AT530&lt;&gt;"")</formula>
    </cfRule>
  </conditionalFormatting>
  <conditionalFormatting sqref="BD530:BR534">
    <cfRule type="expression" dxfId="185" priority="106">
      <formula>AND($M530="",$BD530&lt;&gt;"")</formula>
    </cfRule>
  </conditionalFormatting>
  <conditionalFormatting sqref="BS530:BU534">
    <cfRule type="expression" dxfId="184" priority="105">
      <formula>AND($M530="",$BS530&lt;&gt;"")</formula>
    </cfRule>
  </conditionalFormatting>
  <conditionalFormatting sqref="BV530:BX534">
    <cfRule type="expression" dxfId="183" priority="104">
      <formula>AND($M530="",$BV530&lt;&gt;"")</formula>
    </cfRule>
  </conditionalFormatting>
  <conditionalFormatting sqref="BY530:CA534">
    <cfRule type="expression" dxfId="182" priority="103">
      <formula>AND($M530="",$BY530&lt;&gt;"")</formula>
    </cfRule>
  </conditionalFormatting>
  <conditionalFormatting sqref="AK119 AB115:AB121 AK121 AT121">
    <cfRule type="expression" dxfId="181" priority="238" stopIfTrue="1">
      <formula>$DS$108=TRUE</formula>
    </cfRule>
  </conditionalFormatting>
  <conditionalFormatting sqref="AK119 AB119:AB121 AK121 AT121">
    <cfRule type="expression" dxfId="180" priority="239">
      <formula>AND($AB$115&lt;&gt;"",AB119="")</formula>
    </cfRule>
  </conditionalFormatting>
  <conditionalFormatting sqref="AB59:BT64 AK65 AB65:AB67 AK67 AT67">
    <cfRule type="expression" dxfId="179" priority="96">
      <formula>AND($DS$58=TRUE,AB59&lt;&gt;"")</formula>
    </cfRule>
  </conditionalFormatting>
  <conditionalFormatting sqref="AB152:AD152">
    <cfRule type="cellIs" dxfId="178" priority="95" operator="equal">
      <formula>""</formula>
    </cfRule>
  </conditionalFormatting>
  <conditionalFormatting sqref="AB152:AD157">
    <cfRule type="expression" dxfId="177" priority="94">
      <formula>$DN152=1</formula>
    </cfRule>
  </conditionalFormatting>
  <conditionalFormatting sqref="AZ257:BE261">
    <cfRule type="expression" dxfId="176" priority="93">
      <formula>AND($DY257=1,AZ257&lt;&gt;"")</formula>
    </cfRule>
  </conditionalFormatting>
  <conditionalFormatting sqref="BS319:BX332 BS337:BX359 BS364:BX377 BS478:BX491 BS520:BX534 BS382:BX431 BS436:BX473 BS497:BX514">
    <cfRule type="expression" dxfId="175" priority="3116">
      <formula>AND($BY319="未定",BS319&lt;&gt;"")</formula>
    </cfRule>
  </conditionalFormatting>
  <conditionalFormatting sqref="A3:A534">
    <cfRule type="cellIs" dxfId="174" priority="91" operator="notEqual">
      <formula>1</formula>
    </cfRule>
  </conditionalFormatting>
  <conditionalFormatting sqref="B3:B534">
    <cfRule type="cellIs" dxfId="173" priority="90" operator="notEqual">
      <formula>1</formula>
    </cfRule>
  </conditionalFormatting>
  <conditionalFormatting sqref="C3:C534">
    <cfRule type="cellIs" dxfId="172" priority="89" operator="notEqual">
      <formula>1</formula>
    </cfRule>
  </conditionalFormatting>
  <conditionalFormatting sqref="AB18:BT20 AB23:AB25 AK23 AK25 AT25">
    <cfRule type="expression" dxfId="171" priority="85">
      <formula>OR($DS$16,$DT$16)</formula>
    </cfRule>
  </conditionalFormatting>
  <conditionalFormatting sqref="AF319:AQ327">
    <cfRule type="cellIs" dxfId="170" priority="83" operator="equal">
      <formula>""</formula>
    </cfRule>
  </conditionalFormatting>
  <conditionalFormatting sqref="AB244 AB246">
    <cfRule type="expression" dxfId="169" priority="230">
      <formula>AND(DN245&gt;2,DN244&gt;0)</formula>
    </cfRule>
    <cfRule type="cellIs" dxfId="168" priority="1851" operator="equal">
      <formula>""</formula>
    </cfRule>
  </conditionalFormatting>
  <conditionalFormatting sqref="U497:AE501">
    <cfRule type="expression" dxfId="167" priority="4">
      <formula>OR($AB$287="無",$AB$289="対象")</formula>
    </cfRule>
  </conditionalFormatting>
  <conditionalFormatting sqref="D3:D534">
    <cfRule type="cellIs" dxfId="166" priority="81" operator="notEqual">
      <formula>1</formula>
    </cfRule>
  </conditionalFormatting>
  <conditionalFormatting sqref="E3:E534">
    <cfRule type="cellIs" dxfId="165" priority="80" operator="notEqual">
      <formula>1</formula>
    </cfRule>
  </conditionalFormatting>
  <conditionalFormatting sqref="A3:E534">
    <cfRule type="cellIs" dxfId="164" priority="79" operator="equal">
      <formula>0</formula>
    </cfRule>
  </conditionalFormatting>
  <conditionalFormatting sqref="AB279">
    <cfRule type="expression" dxfId="163" priority="76">
      <formula>$AB$279=""</formula>
    </cfRule>
  </conditionalFormatting>
  <conditionalFormatting sqref="AB68">
    <cfRule type="cellIs" dxfId="162" priority="75" operator="equal">
      <formula>""</formula>
    </cfRule>
  </conditionalFormatting>
  <conditionalFormatting sqref="M4:O4">
    <cfRule type="cellIs" dxfId="161" priority="74" operator="equal">
      <formula>""</formula>
    </cfRule>
  </conditionalFormatting>
  <conditionalFormatting sqref="AB245 AE245 AJ245 AB247 AE247 AJ247">
    <cfRule type="expression" dxfId="160" priority="574">
      <formula>AND($DN245&gt;2,AB245&lt;&gt;"")</formula>
    </cfRule>
    <cfRule type="expression" dxfId="159" priority="2502">
      <formula>AND($DN245&lt;3,AB245="")</formula>
    </cfRule>
  </conditionalFormatting>
  <conditionalFormatting sqref="BV303:CS304">
    <cfRule type="expression" dxfId="158" priority="73">
      <formula>$DN$303=TRUE</formula>
    </cfRule>
  </conditionalFormatting>
  <conditionalFormatting sqref="BV268:CS268">
    <cfRule type="expression" dxfId="157" priority="72">
      <formula>$DN$267=TRUE</formula>
    </cfRule>
  </conditionalFormatting>
  <conditionalFormatting sqref="BV215:CS215">
    <cfRule type="expression" dxfId="156" priority="71">
      <formula>$DN$215=TRUE</formula>
    </cfRule>
  </conditionalFormatting>
  <conditionalFormatting sqref="AB52">
    <cfRule type="cellIs" dxfId="155" priority="70" operator="equal">
      <formula>""</formula>
    </cfRule>
  </conditionalFormatting>
  <conditionalFormatting sqref="AB49:AB50">
    <cfRule type="expression" dxfId="154" priority="27">
      <formula>$DS$44</formula>
    </cfRule>
    <cfRule type="cellIs" dxfId="153" priority="69" operator="equal">
      <formula>""</formula>
    </cfRule>
  </conditionalFormatting>
  <conditionalFormatting sqref="AB45:BT48">
    <cfRule type="cellIs" dxfId="152" priority="67" operator="equal">
      <formula>""</formula>
    </cfRule>
  </conditionalFormatting>
  <conditionalFormatting sqref="AB45">
    <cfRule type="expression" dxfId="151" priority="31">
      <formula>AND($AB$46&lt;&gt;"",$AB$45="")</formula>
    </cfRule>
  </conditionalFormatting>
  <conditionalFormatting sqref="AB47">
    <cfRule type="expression" dxfId="150" priority="28">
      <formula>AND($AB$48&lt;&gt;"",$AB$47="")</formula>
    </cfRule>
  </conditionalFormatting>
  <conditionalFormatting sqref="AB51 AK51">
    <cfRule type="cellIs" dxfId="149" priority="36" operator="equal">
      <formula>""</formula>
    </cfRule>
  </conditionalFormatting>
  <conditionalFormatting sqref="AB53 AK53 AT53">
    <cfRule type="cellIs" dxfId="148" priority="33" operator="equal">
      <formula>""</formula>
    </cfRule>
  </conditionalFormatting>
  <conditionalFormatting sqref="AB51:AG51 AK51:AP51 AB52:BT52 AB53:AG53 AK53:AP53 AT53:AY53">
    <cfRule type="expression" dxfId="147" priority="23">
      <formula>$DS$44=TRUE</formula>
    </cfRule>
  </conditionalFormatting>
  <conditionalFormatting sqref="AB18 AB22 AB23 AK23 AB24 AB25 AK25 AT25">
    <cfRule type="expression" dxfId="146" priority="22">
      <formula>AND($DS$16=TRUE,AB18&lt;&gt;"")</formula>
    </cfRule>
  </conditionalFormatting>
  <conditionalFormatting sqref="AB18 AK23 AB23:AB25 AK25 AT25">
    <cfRule type="expression" dxfId="145" priority="21">
      <formula>AND($DT$16=TRUE,AB18&lt;&gt;"")</formula>
    </cfRule>
  </conditionalFormatting>
  <conditionalFormatting sqref="AB51 AK51 AB52 AB53 AK53 AT53">
    <cfRule type="expression" dxfId="144" priority="17">
      <formula>AND($DS$44,AB51&lt;&gt;"")</formula>
    </cfRule>
    <cfRule type="expression" dxfId="143" priority="18">
      <formula>AND($DS$44=FALSE,AB51&lt;&gt;"")</formula>
    </cfRule>
  </conditionalFormatting>
  <conditionalFormatting sqref="AB287 AB289">
    <cfRule type="expression" dxfId="142" priority="3200">
      <formula>AND($AB$287="無",$AB$289="対象")</formula>
    </cfRule>
  </conditionalFormatting>
  <conditionalFormatting sqref="U510:AE514">
    <cfRule type="expression" dxfId="141" priority="2">
      <formula>OR($AB$282="無",$AB$286="対象")</formula>
    </cfRule>
  </conditionalFormatting>
  <conditionalFormatting sqref="AB274">
    <cfRule type="expression" dxfId="140" priority="3201">
      <formula>AND($DP$273=2,$AB$274="")</formula>
    </cfRule>
  </conditionalFormatting>
  <conditionalFormatting sqref="AB187:AM187">
    <cfRule type="expression" dxfId="139" priority="3202">
      <formula>AND($AB$182="有",$DP$187="レ",$AB$187="")</formula>
    </cfRule>
  </conditionalFormatting>
  <conditionalFormatting sqref="AB193">
    <cfRule type="expression" dxfId="138" priority="3203">
      <formula>AND($AB$189="有",$DP$193="レ",$AB$193="")</formula>
    </cfRule>
  </conditionalFormatting>
  <conditionalFormatting sqref="AB76">
    <cfRule type="expression" dxfId="137" priority="3204">
      <formula>AND($DM$73=1,$AB$76="")</formula>
    </cfRule>
    <cfRule type="expression" dxfId="136" priority="3205">
      <formula>AND($AB$73="",$AB$76="")</formula>
    </cfRule>
  </conditionalFormatting>
  <conditionalFormatting sqref="AB189">
    <cfRule type="expression" dxfId="135" priority="3206">
      <formula>AND(OR($AB$189="",$AB$189="無"),$DN$189&lt;&gt;0)</formula>
    </cfRule>
  </conditionalFormatting>
  <conditionalFormatting sqref="AB182">
    <cfRule type="expression" dxfId="134" priority="3207">
      <formula>AND(OR($AB$182="",$AB$182="無"),$DN$182&lt;&gt;0)</formula>
    </cfRule>
    <cfRule type="cellIs" dxfId="133" priority="3208" operator="equal">
      <formula>""</formula>
    </cfRule>
  </conditionalFormatting>
  <conditionalFormatting sqref="AB203">
    <cfRule type="expression" dxfId="132" priority="3209">
      <formula>AND(OR($AB$203="",$AB$203="無"),$DN$203&lt;&gt;0)</formula>
    </cfRule>
    <cfRule type="cellIs" dxfId="131" priority="3210" operator="equal">
      <formula>""</formula>
    </cfRule>
  </conditionalFormatting>
  <conditionalFormatting sqref="AB196">
    <cfRule type="expression" dxfId="130" priority="3211">
      <formula>AND(OR($AB$196="",$AB$196="無"),$DN$196&lt;&gt;0)</formula>
    </cfRule>
    <cfRule type="cellIs" dxfId="129" priority="3212" operator="equal">
      <formula>""</formula>
    </cfRule>
  </conditionalFormatting>
  <conditionalFormatting sqref="AB142">
    <cfRule type="expression" dxfId="128" priority="3213">
      <formula>AND($DM$140=0,$AB$142&lt;&gt;"")</formula>
    </cfRule>
    <cfRule type="expression" dxfId="127" priority="3214">
      <formula>AND($DM$140&lt;&gt;0,$AB$142="")</formula>
    </cfRule>
  </conditionalFormatting>
  <conditionalFormatting sqref="AB130">
    <cfRule type="expression" dxfId="126" priority="3215">
      <formula>AND($DM$128=0,$AB$130&lt;&gt;"")</formula>
    </cfRule>
    <cfRule type="expression" dxfId="125" priority="3216">
      <formula>AND($DM$128&lt;&gt;0,$AB$130="")</formula>
    </cfRule>
  </conditionalFormatting>
  <conditionalFormatting sqref="AB222:AD222 AB226:AD226 AB224:AD224 AB228:AD228">
    <cfRule type="cellIs" dxfId="124" priority="3217" operator="equal">
      <formula>""</formula>
    </cfRule>
    <cfRule type="expression" dxfId="123" priority="3218">
      <formula>AND(NOT($AB222="実施"),$DN223&lt;&gt;0)</formula>
    </cfRule>
  </conditionalFormatting>
  <conditionalFormatting sqref="AB66:BT66">
    <cfRule type="expression" dxfId="122" priority="3223" stopIfTrue="1">
      <formula>OR($DS$58=TRUE,$AV66&lt;&gt;"")</formula>
    </cfRule>
    <cfRule type="cellIs" dxfId="121" priority="3224" operator="equal">
      <formula>""</formula>
    </cfRule>
  </conditionalFormatting>
  <conditionalFormatting sqref="P257:R257">
    <cfRule type="expression" dxfId="120" priority="3227">
      <formula>AND($DO$254&lt;&gt;"",$P$257="")</formula>
    </cfRule>
  </conditionalFormatting>
  <conditionalFormatting sqref="AB117:AG117">
    <cfRule type="expression" dxfId="119" priority="3228">
      <formula>AND($DS$108=TRUE,$AB$117&lt;&gt;"")</formula>
    </cfRule>
  </conditionalFormatting>
  <conditionalFormatting sqref="AB91:AP92">
    <cfRule type="expression" dxfId="118" priority="3229">
      <formula>AND($DM$91=1,$AB$92&lt;&gt;"")</formula>
    </cfRule>
  </conditionalFormatting>
  <conditionalFormatting sqref="AB165:BT165">
    <cfRule type="expression" dxfId="117" priority="3230">
      <formula>AND($DN$163&lt;14,$AB$165="")</formula>
    </cfRule>
  </conditionalFormatting>
  <conditionalFormatting sqref="AB171:BT171">
    <cfRule type="expression" dxfId="116" priority="3231">
      <formula>AND($DN$169&lt;14,$AB$171="")</formula>
    </cfRule>
  </conditionalFormatting>
  <conditionalFormatting sqref="AB174:BT174">
    <cfRule type="expression" dxfId="115" priority="3232">
      <formula>AND($DN$172&lt;14,$AB$174="")</formula>
    </cfRule>
  </conditionalFormatting>
  <conditionalFormatting sqref="AB168:BT168">
    <cfRule type="expression" dxfId="114" priority="3233">
      <formula>AND($DN$166&lt;14,$AB$168="")</formula>
    </cfRule>
  </conditionalFormatting>
  <conditionalFormatting sqref="AB170:AB171">
    <cfRule type="expression" dxfId="113" priority="3234">
      <formula>AND($DN$169=14,$AB170="")</formula>
    </cfRule>
  </conditionalFormatting>
  <conditionalFormatting sqref="AB164:AB165">
    <cfRule type="expression" dxfId="112" priority="3235">
      <formula>AND($DN$163=14,$AB164="")</formula>
    </cfRule>
  </conditionalFormatting>
  <conditionalFormatting sqref="AB164">
    <cfRule type="expression" dxfId="111" priority="3236">
      <formula>AND($DN$163&lt;14,$AB$164="")</formula>
    </cfRule>
  </conditionalFormatting>
  <conditionalFormatting sqref="AB167:AQ167">
    <cfRule type="expression" dxfId="110" priority="3237">
      <formula>AND($DN$166&lt;14,$AB$167="")</formula>
    </cfRule>
  </conditionalFormatting>
  <conditionalFormatting sqref="AB170:AQ170">
    <cfRule type="expression" dxfId="109" priority="3238">
      <formula>AND($DN$169&lt;14,$AB$170="")</formula>
    </cfRule>
  </conditionalFormatting>
  <conditionalFormatting sqref="AB173:AQ173">
    <cfRule type="expression" dxfId="108" priority="3239">
      <formula>AND($DN$172&lt;14,$AB$173="")</formula>
    </cfRule>
  </conditionalFormatting>
  <conditionalFormatting sqref="AB74:AP74">
    <cfRule type="expression" dxfId="107" priority="3240">
      <formula>AND($DM$74=0,$AB$74&lt;&gt;"")</formula>
    </cfRule>
    <cfRule type="expression" dxfId="106" priority="3241">
      <formula>AND($AB$73="",$AB$74="")</formula>
    </cfRule>
    <cfRule type="expression" dxfId="105" priority="3242">
      <formula>AND($DM$74=1,$AB$74="")</formula>
    </cfRule>
  </conditionalFormatting>
  <conditionalFormatting sqref="AB75:AP75">
    <cfRule type="expression" dxfId="104" priority="3243">
      <formula>AND($AB$73="",$AB$75="")</formula>
    </cfRule>
    <cfRule type="expression" dxfId="103" priority="3244">
      <formula>AND($DM$74=0,$AB$75&lt;&gt;"")</formula>
    </cfRule>
    <cfRule type="expression" dxfId="102" priority="3245">
      <formula>AND($DM$74=1,$AB$75="")</formula>
    </cfRule>
  </conditionalFormatting>
  <conditionalFormatting sqref="AB91:AP91">
    <cfRule type="expression" dxfId="101" priority="3246">
      <formula>AND($DS$90=TRUE,$AB91="")</formula>
    </cfRule>
    <cfRule type="cellIs" dxfId="100" priority="3247" operator="equal">
      <formula>""</formula>
    </cfRule>
  </conditionalFormatting>
  <conditionalFormatting sqref="AB92:AP92">
    <cfRule type="expression" dxfId="99" priority="3248">
      <formula>AND($DM$91=2,$AB$92="")</formula>
    </cfRule>
    <cfRule type="expression" dxfId="98" priority="3249">
      <formula>AND($AB$91="",$AB$92="")</formula>
    </cfRule>
  </conditionalFormatting>
  <conditionalFormatting sqref="AB93:AP93">
    <cfRule type="expression" dxfId="97" priority="3250">
      <formula>AND($DM$91=1,$AB$93&lt;&gt;"")</formula>
    </cfRule>
    <cfRule type="expression" dxfId="96" priority="3251">
      <formula>AND($DM$91=2,$AB$93="")</formula>
    </cfRule>
    <cfRule type="expression" dxfId="95" priority="3252">
      <formula>AND($AB$91="",$AB$93="")</formula>
    </cfRule>
  </conditionalFormatting>
  <conditionalFormatting sqref="AB94:AP94">
    <cfRule type="expression" dxfId="94" priority="3253">
      <formula>AND($DM$91=1,$AB$94="")</formula>
    </cfRule>
    <cfRule type="expression" dxfId="93" priority="3254">
      <formula>AND($DM$91=2,$AB$94="")</formula>
    </cfRule>
  </conditionalFormatting>
  <conditionalFormatting sqref="AB96:BT96">
    <cfRule type="expression" dxfId="92" priority="3255">
      <formula>AND($AB$96="",$AB$95&lt;&gt;"")</formula>
    </cfRule>
    <cfRule type="expression" dxfId="91" priority="3256">
      <formula>AND($DS$90=TRUE,$AB$96="")</formula>
    </cfRule>
  </conditionalFormatting>
  <conditionalFormatting sqref="AB114:BT114">
    <cfRule type="expression" dxfId="90" priority="3257">
      <formula>AND($AB$114="",$AB$113&lt;&gt;"")</formula>
    </cfRule>
    <cfRule type="expression" dxfId="89" priority="3258">
      <formula>AND($DS$108=TRUE,$AB$114="")</formula>
    </cfRule>
  </conditionalFormatting>
  <conditionalFormatting sqref="AB109:AP109">
    <cfRule type="expression" dxfId="88" priority="3259">
      <formula>AND($DM$110=0,$AB$111&lt;&gt;"")</formula>
    </cfRule>
    <cfRule type="expression" dxfId="87" priority="3260">
      <formula>AND($DM$110=0,$AB$110&lt;&gt;"")</formula>
    </cfRule>
    <cfRule type="expression" dxfId="86" priority="3261">
      <formula>AND($DS$108=TRUE,$AB109="")</formula>
    </cfRule>
    <cfRule type="cellIs" dxfId="85" priority="3262" operator="equal">
      <formula>""</formula>
    </cfRule>
  </conditionalFormatting>
  <conditionalFormatting sqref="AB110:AH110">
    <cfRule type="expression" dxfId="84" priority="3263">
      <formula>AND($DM$110=0,$AB$110&lt;&gt;"")</formula>
    </cfRule>
    <cfRule type="expression" dxfId="83" priority="3264">
      <formula>AND($DM$110=1,$AB$110="")</formula>
    </cfRule>
    <cfRule type="expression" dxfId="82" priority="3265">
      <formula>AND($AB$109="",$AB$110="")</formula>
    </cfRule>
  </conditionalFormatting>
  <conditionalFormatting sqref="AB111:AH111">
    <cfRule type="expression" dxfId="81" priority="3266">
      <formula>AND($DM$110=0,$AB$111&lt;&gt;"")</formula>
    </cfRule>
    <cfRule type="expression" dxfId="80" priority="3267">
      <formula>AND($DM$110=1,$AB$111="")</formula>
    </cfRule>
    <cfRule type="expression" dxfId="79" priority="3268">
      <formula>AND($AB$109="",$AB$111="")</formula>
    </cfRule>
  </conditionalFormatting>
  <conditionalFormatting sqref="S257:U257">
    <cfRule type="expression" dxfId="78" priority="3269">
      <formula>AND($DO$254&lt;&gt;"",$S$257="")</formula>
    </cfRule>
  </conditionalFormatting>
  <conditionalFormatting sqref="AT257">
    <cfRule type="expression" dxfId="77" priority="3270">
      <formula>AND($DO$254&lt;&gt;"",$AT$257="")</formula>
    </cfRule>
  </conditionalFormatting>
  <conditionalFormatting sqref="P258:R261">
    <cfRule type="expression" dxfId="76" priority="3277">
      <formula>AND($DO$254&lt;&gt;"", $P258="")</formula>
    </cfRule>
  </conditionalFormatting>
  <conditionalFormatting sqref="S258:U261">
    <cfRule type="expression" dxfId="75" priority="3278">
      <formula>AND($DO$254&lt;&gt;"", $S258="")</formula>
    </cfRule>
  </conditionalFormatting>
  <conditionalFormatting sqref="AB116:AP116">
    <cfRule type="expression" dxfId="74" priority="3279">
      <formula>AND($DM$110=1,$AB$116="")</formula>
    </cfRule>
    <cfRule type="expression" dxfId="73" priority="3280">
      <formula>AND($DM$118&gt;0,$AB$116="")</formula>
    </cfRule>
  </conditionalFormatting>
  <conditionalFormatting sqref="V257">
    <cfRule type="expression" dxfId="72" priority="3281">
      <formula>AND($DO$254&lt;&gt;"",$V$257="")</formula>
    </cfRule>
  </conditionalFormatting>
  <conditionalFormatting sqref="V258:AG261">
    <cfRule type="expression" dxfId="71" priority="3282">
      <formula>AND($DO$254&lt;&gt;"", $V258="")</formula>
    </cfRule>
  </conditionalFormatting>
  <conditionalFormatting sqref="AB101 AK101">
    <cfRule type="expression" dxfId="70" priority="3283">
      <formula>AND($DS$90=TRUE,AB$101&lt;&gt;"")</formula>
    </cfRule>
    <cfRule type="cellIs" dxfId="69" priority="3284" operator="equal">
      <formula>""</formula>
    </cfRule>
  </conditionalFormatting>
  <conditionalFormatting sqref="AB167:AB168">
    <cfRule type="expression" dxfId="68" priority="3287">
      <formula>AND($DN$166=14,$AB167="")</formula>
    </cfRule>
  </conditionalFormatting>
  <conditionalFormatting sqref="AH257:AS257">
    <cfRule type="expression" dxfId="67" priority="3288">
      <formula>AND($DO$254&lt;&gt;"",$AH$257="")</formula>
    </cfRule>
  </conditionalFormatting>
  <conditionalFormatting sqref="M257:O257">
    <cfRule type="expression" dxfId="66" priority="3289">
      <formula>AND($DO$254&lt;&gt;"",$M$257="")</formula>
    </cfRule>
  </conditionalFormatting>
  <conditionalFormatting sqref="M258:O261">
    <cfRule type="expression" dxfId="65" priority="3290">
      <formula>AND($DO$254&lt;&gt;"",$M258="")</formula>
    </cfRule>
  </conditionalFormatting>
  <conditionalFormatting sqref="AZ257 BC257">
    <cfRule type="expression" dxfId="64" priority="3291">
      <formula>AND($DO$254&lt;&gt;"",AZ$257="")</formula>
    </cfRule>
  </conditionalFormatting>
  <conditionalFormatting sqref="AZ258:BB261">
    <cfRule type="expression" dxfId="63" priority="3293">
      <formula>AND($DO$254&lt;&gt;"",$AZ258="")</formula>
    </cfRule>
  </conditionalFormatting>
  <conditionalFormatting sqref="AH258:AS261">
    <cfRule type="expression" dxfId="62" priority="3294">
      <formula>AND($DO$254&lt;&gt;"",$AH258="")</formula>
    </cfRule>
  </conditionalFormatting>
  <conditionalFormatting sqref="AR319:AS327 AR337:AS354 AR364:AS372 AR382:AS426 AR436:AS468 AR478:AS486 AR497:AS510">
    <cfRule type="expression" dxfId="61" priority="3295">
      <formula>AND($DM$313&lt;&gt;1,SUM($DN319:$DP319)&gt;0,$AR319="")</formula>
    </cfRule>
  </conditionalFormatting>
  <conditionalFormatting sqref="BD497:BR514 BD319:BR332 BD337:BR359 BD364:BR377 BD382:BR431 BD436:BR473 BD478:BR491">
    <cfRule type="expression" dxfId="60" priority="3302">
      <formula>AND(NOT(OR($DT319="要是正",$DT319="既存不適格")),$BD319&lt;&gt;"")</formula>
    </cfRule>
  </conditionalFormatting>
  <conditionalFormatting sqref="AT497:BC514 AT319:BC332 AT337:BC359 AT364:BC377 AT382:BC431 AT436:BC473 AT478:BC491">
    <cfRule type="expression" dxfId="59" priority="3309">
      <formula>AND(NOT(OR($DT319="要是正",$DT319="既存不適格")),$AT319&lt;&gt;"")</formula>
    </cfRule>
  </conditionalFormatting>
  <conditionalFormatting sqref="BS497:BU514 BS319:BU332 BS337:BU359 BS364:BU377 BS382:BU431 BS436:BU473 BS478:BU491">
    <cfRule type="expression" dxfId="58" priority="3316">
      <formula>AND(NOT(OR($DT319="要是正",$DT319="既存不適格")),$BS319&lt;&gt;"")</formula>
    </cfRule>
  </conditionalFormatting>
  <conditionalFormatting sqref="BV497:BX514 BV319:BX332 BV337:BX359 BV364:BX377 BV382:BX431 BV436:BX473 BV478:BX491">
    <cfRule type="expression" dxfId="57" priority="3323">
      <formula>AND(NOT(OR($DT319="要是正",$DT319="既存不適格")),$BV319&lt;&gt;"")</formula>
    </cfRule>
  </conditionalFormatting>
  <conditionalFormatting sqref="BY497:CA514 BY319:CA332 BY337:CA359 BY364:CA377 BY382:CA431 BY436:CA473 BY478:CA491">
    <cfRule type="expression" dxfId="56" priority="3330">
      <formula>AND(NOT(OR($DT319="要是正",$DT319="既存不適格")),$BY319&lt;&gt;"")</formula>
    </cfRule>
  </conditionalFormatting>
  <conditionalFormatting sqref="BY497:CA514 BY319:CA332 BY337:CA359 BY364:CA377 BY382:CA431 BY436:CA473 BY478:CA491 BY520:CA534">
    <cfRule type="expression" dxfId="55" priority="3337">
      <formula>AND(OR($DT319="要是正",$DT319="既存不適格"),$BY319="")</formula>
    </cfRule>
  </conditionalFormatting>
  <conditionalFormatting sqref="BV497:BX514 BV319:BX332 BV337:BX359 BV364:BX377 BV382:BX431 BV436:BX473 BV478:BX491 BV520:BX534">
    <cfRule type="expression" dxfId="54" priority="3345">
      <formula>AND(OR($DT319="要是正",$DT319="既存不適格"),$BV319="",$BY319&lt;&gt;"未定")</formula>
    </cfRule>
  </conditionalFormatting>
  <conditionalFormatting sqref="AB95">
    <cfRule type="expression" dxfId="53" priority="3353">
      <formula>AND($DS$90=TRUE,$AB$95="")</formula>
    </cfRule>
  </conditionalFormatting>
  <conditionalFormatting sqref="AB113:BT113">
    <cfRule type="expression" dxfId="52" priority="3354">
      <formula>AND($AB$113="",$AB$114&lt;&gt;"")</formula>
    </cfRule>
    <cfRule type="expression" dxfId="51" priority="3355">
      <formula>AND($DS$108=TRUE,$AB$113="")</formula>
    </cfRule>
  </conditionalFormatting>
  <conditionalFormatting sqref="U468:AE468">
    <cfRule type="expression" dxfId="50" priority="3356">
      <formula>$AB$282="無"</formula>
    </cfRule>
    <cfRule type="expression" dxfId="49" priority="3357">
      <formula>$DP$284=1</formula>
    </cfRule>
  </conditionalFormatting>
  <conditionalFormatting sqref="BS497:BU514 BS319:BU332 BS337:BU359 BS364:BU377 BS382:BU431 BS436:BU473 BS478:BU491 BS520:BU534">
    <cfRule type="expression" dxfId="48" priority="3359">
      <formula>AND(OR($DT319="要是正",$DT319="既存不適格"),$BS319="",$BY319&lt;&gt;"未定")</formula>
    </cfRule>
  </conditionalFormatting>
  <conditionalFormatting sqref="AT497:BC514 AT319:BC332 AT337:BC359 AT364:BC377 AT382:BC431 AT436:BC473 AT478:BC491 AT520:BC534">
    <cfRule type="expression" dxfId="47" priority="3367">
      <formula>AND(OR($DT319="要是正",$DT319="既存不適格"),$AT319="")</formula>
    </cfRule>
  </conditionalFormatting>
  <conditionalFormatting sqref="BD497:BR514 BD319:BR332 BD337:BR359 BD364:BR377 BD382:BR431 BD436:BR473 BD478:BR491 BD520:BR534">
    <cfRule type="expression" dxfId="46" priority="3375">
      <formula>AND(OR($DT319="要是正",$DT319="既存不適格"),$BD319="")</formula>
    </cfRule>
  </conditionalFormatting>
  <conditionalFormatting sqref="AR520:AS534">
    <cfRule type="expression" dxfId="45" priority="3383">
      <formula>AND(NOT($DM$313=1),$AR520="",OR($DT520="要是正",$DT520="既存不適格"))</formula>
    </cfRule>
  </conditionalFormatting>
  <conditionalFormatting sqref="AB112:AP112">
    <cfRule type="expression" dxfId="44" priority="3384">
      <formula>AND($DM$109=2,$AB$112="")</formula>
    </cfRule>
  </conditionalFormatting>
  <conditionalFormatting sqref="AB76:AP76">
    <cfRule type="expression" dxfId="43" priority="3385">
      <formula>AND($DM$73=2,$AB$76="")</formula>
    </cfRule>
  </conditionalFormatting>
  <conditionalFormatting sqref="AB73:AP73">
    <cfRule type="expression" dxfId="42" priority="3387">
      <formula>AND($DM$74=0,$AB$75&lt;&gt;"")</formula>
    </cfRule>
    <cfRule type="expression" dxfId="41" priority="3388">
      <formula>AND($DM$74=0,$AB$74&lt;&gt;"")</formula>
    </cfRule>
    <cfRule type="expression" dxfId="40" priority="3389">
      <formula>AND($AB$73="",$AB$74="")</formula>
    </cfRule>
  </conditionalFormatting>
  <conditionalFormatting sqref="AE238 AJ238">
    <cfRule type="expression" dxfId="39" priority="3390">
      <formula>AND($DO$238&lt;&gt;"レ",AE$238&lt;&gt;"")</formula>
    </cfRule>
    <cfRule type="expression" dxfId="38" priority="3391">
      <formula>AND($AB$237="有",AE$238="")</formula>
    </cfRule>
  </conditionalFormatting>
  <conditionalFormatting sqref="AB282:AB286">
    <cfRule type="expression" dxfId="37" priority="3394">
      <formula>AND($DP$286=4,$AB$286="対象")</formula>
    </cfRule>
  </conditionalFormatting>
  <conditionalFormatting sqref="AT258:AY261">
    <cfRule type="expression" dxfId="36" priority="3395">
      <formula>AND($DO$254&lt;&gt;"",$AT258="")</formula>
    </cfRule>
  </conditionalFormatting>
  <conditionalFormatting sqref="AH275 AK275 AP275">
    <cfRule type="expression" dxfId="35" priority="3396">
      <formula>AND($DN$271=5,AH$275="")</formula>
    </cfRule>
    <cfRule type="expression" dxfId="34" priority="3397">
      <formula>AND($DN$271=5,AH$275&lt;&gt;"")</formula>
    </cfRule>
    <cfRule type="expression" dxfId="33" priority="3398">
      <formula>AND($DN$271&gt;3,AH$275&lt;&gt;"")</formula>
    </cfRule>
    <cfRule type="expression" dxfId="32" priority="3399">
      <formula>AND($DN$271&lt;4,AH$275="")</formula>
    </cfRule>
  </conditionalFormatting>
  <conditionalFormatting sqref="AH276:BO276">
    <cfRule type="expression" dxfId="31" priority="3408">
      <formula>AND($DN$271&lt;5,AH$276&lt;&gt;"")</formula>
    </cfRule>
    <cfRule type="expression" dxfId="30" priority="3409" stopIfTrue="1">
      <formula>$DN$271=6</formula>
    </cfRule>
    <cfRule type="expression" dxfId="29" priority="3410">
      <formula>AND($DN$271&gt;4,AH$276="")</formula>
    </cfRule>
  </conditionalFormatting>
  <conditionalFormatting sqref="AB103 AK103 AT103">
    <cfRule type="expression" dxfId="28" priority="3411">
      <formula>AND($DS$90=TRUE,AB$103&lt;&gt;"")</formula>
    </cfRule>
    <cfRule type="cellIs" dxfId="27" priority="3412" operator="equal">
      <formula>""</formula>
    </cfRule>
  </conditionalFormatting>
  <conditionalFormatting sqref="AB119 AK119">
    <cfRule type="expression" dxfId="26" priority="3418">
      <formula>AND($DS$108=TRUE,AB$119&lt;&gt;"")</formula>
    </cfRule>
  </conditionalFormatting>
  <conditionalFormatting sqref="AB121 AK121 AT121">
    <cfRule type="expression" dxfId="25" priority="3420">
      <formula>AND($DS$108=TRUE,AB$121&lt;&gt;"")</formula>
    </cfRule>
  </conditionalFormatting>
  <conditionalFormatting sqref="AB173:AB174">
    <cfRule type="expression" dxfId="24" priority="3423">
      <formula>AND($DN$172=14,$AB173="")</formula>
    </cfRule>
  </conditionalFormatting>
  <conditionalFormatting sqref="AB195:AB207">
    <cfRule type="expression" dxfId="23" priority="3424">
      <formula>AND($DN$194=TRUE,$AB195&lt;&gt;"")</formula>
    </cfRule>
  </conditionalFormatting>
  <conditionalFormatting sqref="AE198 AJ198 AO198">
    <cfRule type="expression" dxfId="22" priority="3425">
      <formula>AND($DN$194=TRUE,AE$198&lt;&gt;"")</formula>
    </cfRule>
  </conditionalFormatting>
  <conditionalFormatting sqref="AE204 AJ204 AO204">
    <cfRule type="expression" dxfId="21" priority="3428">
      <formula>AND($DN$194=TRUE,AE$204&lt;&gt;"")</formula>
    </cfRule>
  </conditionalFormatting>
  <conditionalFormatting sqref="BF258:BT261">
    <cfRule type="expression" dxfId="20" priority="3431">
      <formula>AND($DO$254&lt;&gt;"", $BF258="")</formula>
    </cfRule>
  </conditionalFormatting>
  <conditionalFormatting sqref="AB237:AG237">
    <cfRule type="expression" dxfId="19" priority="3432">
      <formula>AND($DO$238&lt;&gt;"レ",OR($AE$238&lt;&gt;"",$AJ$238&lt;&gt;""))</formula>
    </cfRule>
  </conditionalFormatting>
  <conditionalFormatting sqref="AB80:AP80">
    <cfRule type="expression" dxfId="18" priority="3433">
      <formula>AND($DM$74=1,$AB$80="")</formula>
    </cfRule>
  </conditionalFormatting>
  <conditionalFormatting sqref="AB81:AP81">
    <cfRule type="expression" dxfId="17" priority="3434">
      <formula>AND($DM$80=1,$AB$81="")</formula>
    </cfRule>
    <cfRule type="expression" dxfId="16" priority="3435">
      <formula>AND($DM$74=1,$AB$81="")</formula>
    </cfRule>
  </conditionalFormatting>
  <conditionalFormatting sqref="AB82:AP82">
    <cfRule type="expression" dxfId="15" priority="3436">
      <formula>AND($DM$80=1,$AB$82="")</formula>
    </cfRule>
    <cfRule type="expression" dxfId="14" priority="3437">
      <formula>AND($DM$74=1,$AB$82="")</formula>
    </cfRule>
  </conditionalFormatting>
  <conditionalFormatting sqref="AB98:AP98">
    <cfRule type="expression" dxfId="13" priority="3438">
      <formula>AND($DM$91=2,$AB$98="")</formula>
    </cfRule>
  </conditionalFormatting>
  <conditionalFormatting sqref="AB99:AP99">
    <cfRule type="expression" dxfId="12" priority="3439">
      <formula>AND($DM$92=1,$AB$99="")</formula>
    </cfRule>
    <cfRule type="expression" dxfId="11" priority="3440">
      <formula>AND($DM$91=2,$AB$99="")</formula>
    </cfRule>
  </conditionalFormatting>
  <conditionalFormatting sqref="AB100:AP100">
    <cfRule type="expression" dxfId="10" priority="3441">
      <formula>AND($DM$92=1,$AB$100="")</formula>
    </cfRule>
    <cfRule type="expression" dxfId="9" priority="3442">
      <formula>AND($DM$91=2,$AB$100="")</formula>
    </cfRule>
  </conditionalFormatting>
  <conditionalFormatting sqref="AB118:AP118">
    <cfRule type="expression" dxfId="8" priority="3443">
      <formula>AND($DM$110=1,$AB$118="")</formula>
    </cfRule>
    <cfRule type="expression" dxfId="7" priority="3444">
      <formula>AND($DM$116=1,$AB$118="")</formula>
    </cfRule>
    <cfRule type="expression" dxfId="6" priority="3445">
      <formula>AND($DS$93=TRUE,$AB$103&lt;&gt;"")</formula>
    </cfRule>
    <cfRule type="expression" dxfId="5" priority="3446">
      <formula>AND($DM$118&gt;0,$AB$118="")</formula>
    </cfRule>
  </conditionalFormatting>
  <conditionalFormatting sqref="AB117:AP117">
    <cfRule type="expression" dxfId="4" priority="3447">
      <formula>AND($DM$116=1,$AB$117="")</formula>
    </cfRule>
    <cfRule type="expression" dxfId="3" priority="3448">
      <formula>AND($DM$110=1,$AB$117="")</formula>
    </cfRule>
    <cfRule type="expression" dxfId="2" priority="3449">
      <formula>AND($DM$118&gt;0,$AB$117="")</formula>
    </cfRule>
  </conditionalFormatting>
  <conditionalFormatting sqref="AR328:AS332 AR355:AS359 AR373:AS377 AR427:AS431 AR469:AS473 AR487:AS491 AR511:AS514">
    <cfRule type="expression" dxfId="1" priority="3450">
      <formula>AND($DM$313&lt;&gt;1,SUM($DN328:$DP328)&gt;0,$AR328="")</formula>
    </cfRule>
  </conditionalFormatting>
  <conditionalFormatting sqref="AK51 AB51:AB53 AK53 AT53">
    <cfRule type="expression" dxfId="0" priority="3571">
      <formula>AND($DS$44=FALSE,$AB$50&lt;&gt;"")</formula>
    </cfRule>
  </conditionalFormatting>
  <dataValidations xWindow="583" yWindow="604" count="40">
    <dataValidation allowBlank="1" showInputMessage="1" errorTitle="文字種エラー" sqref="AB21:BT21 AB17:BT17 AB19:BT19" xr:uid="{00000000-0002-0000-0000-000000000000}"/>
    <dataValidation allowBlank="1" showErrorMessage="1" promptTitle="交付者" prompt="指定確認検査機関名を入力してください" sqref="AB193:AD193 AB207:AD207" xr:uid="{00000000-0002-0000-0000-000001000000}"/>
    <dataValidation allowBlank="1" showErrorMessage="1" sqref="AF253 AB24:BT24" xr:uid="{00000000-0002-0000-0000-000002000000}"/>
    <dataValidation type="whole" imeMode="halfAlpha" allowBlank="1" showInputMessage="1" showErrorMessage="1" sqref="AZ257:BB261 AA437:AA473 AE247:AG247 BS355:BU359 AO154:AT155 BS469:BU473 BS427:BU431 BS487:BU491 BS328:BU332 AA498:AA501 AE166:AG166 AC408:AC414 AA479:AA491 BS373:BU377 AE245:AG245 AE238:AG238 AE184:AG184 AE221:AG221 AE225:AG225 AE227:AG227 AE229:AG229 AE204:AG204 AE198:AG198 AE190:AG190 AE163:AG163 AE172:AG172 AE169:AG169 BF4:BH4 AC416:AC431 AA507:AA514" xr:uid="{00000000-0002-0000-0000-000003000000}">
      <formula1>1</formula1>
      <formula2>99</formula2>
    </dataValidation>
    <dataValidation type="whole" imeMode="halfAlpha" allowBlank="1" showInputMessage="1" showErrorMessage="1" sqref="BK4:BM4 AJ166:AL166 AD408:AD414 AJ190:AL190 AJ204:AL204 AJ172:AL172 AJ238:AL238 AJ169:AL169 AJ229:AL229 AJ221:AL221 AJ198:AL198 AJ227:AL227 AJ184:AL184 BV355:BX359 AJ225:AL225 AB437:AB473 AB479:AB491 BV328:BX332 BV373:BX377 BV427:BX431 BV487:BX491 AB498:AB501 BV469:BX473 AJ245:AL245 S257:U261 BC257:BE261 AJ163:AL163 AJ247:AL247 AD416:AD431 AB507:AB514" xr:uid="{00000000-0002-0000-0000-000004000000}">
      <formula1>1</formula1>
      <formula2>12</formula2>
    </dataValidation>
    <dataValidation type="whole" imeMode="halfAlpha" allowBlank="1" showInputMessage="1" showErrorMessage="1" sqref="BP4:BR4 AO172:AQ172 AO163:AQ163 AO190:AQ190 AO198:AQ198 AO204:AQ204 AO227:AQ227 AO221:AQ221 AO169:AQ169 AO225:AQ225 AO229:AQ229 AO166:AQ166 AO184:AQ184" xr:uid="{00000000-0002-0000-0000-000005000000}">
      <formula1>1</formula1>
      <formula2>31</formula2>
    </dataValidation>
    <dataValidation allowBlank="1" showInputMessage="1" showErrorMessage="1" promptTitle="所有者氏名" sqref="AB18:BT18 AB34:BT34 AB46:BT46" xr:uid="{00000000-0002-0000-0000-000006000000}"/>
    <dataValidation type="whole" allowBlank="1" showInputMessage="1" showErrorMessage="1" error="「１-３１」の整数で入力してください" sqref="AK275:AM275" xr:uid="{00000000-0002-0000-0000-000007000000}">
      <formula1>1</formula1>
      <formula2>99</formula2>
    </dataValidation>
    <dataValidation type="list" allowBlank="1" showInputMessage="1" showErrorMessage="1" sqref="AF520:AQ534" xr:uid="{00000000-0002-0000-0000-000008000000}">
      <formula1>"×要是正（既存不適格以外）,△既存不適格"</formula1>
    </dataValidation>
    <dataValidation type="textLength" imeMode="disabled" allowBlank="1" showInputMessage="1" showErrorMessage="1" sqref="AZ26:BT26" xr:uid="{00000000-0002-0000-0000-000009000000}">
      <formula1>12</formula1>
      <formula2>14</formula2>
    </dataValidation>
    <dataValidation type="decimal" imeMode="halfAlpha" operator="greaterThan" allowBlank="1" showInputMessage="1" showErrorMessage="1" sqref="AB145:AG146" xr:uid="{00000000-0002-0000-0000-00000A000000}">
      <formula1>0</formula1>
    </dataValidation>
    <dataValidation allowBlank="1" showInputMessage="1" sqref="AZ274" xr:uid="{00000000-0002-0000-0000-00000B000000}"/>
    <dataValidation type="custom" imeMode="halfAlpha" allowBlank="1" showInputMessage="1" showErrorMessage="1" error="メールアドレスは半角文字で入力してください。" sqref="AB27:BT27 AB68:BT68" xr:uid="{00000000-0002-0000-0000-00000C000000}">
      <formula1>LEN(AB27)=LENB(AB27)</formula1>
    </dataValidation>
    <dataValidation type="custom" imeMode="halfAlpha" allowBlank="1" showInputMessage="1" showErrorMessage="1" errorTitle="無効な入力" error="(例)111-1234_x000a_のように3桁-4桁の形式で入力し_x000a_間にハイフンを入れてください。" sqref="AQ23:BT23" xr:uid="{00000000-0002-0000-0000-00000E000000}">
      <formula1>(MID(AQ23,4,1)="-")*(LEN(AQ23)=8)</formula1>
    </dataValidation>
    <dataValidation type="textLength" imeMode="disabled" allowBlank="1" showInputMessage="1" showErrorMessage="1" errorTitle="無効な入力" error="10桁以上で入力してください" sqref="AZ25:BT25" xr:uid="{00000000-0002-0000-0000-00000F000000}">
      <formula1>12</formula1>
      <formula2>14</formula2>
    </dataValidation>
    <dataValidation type="whole" imeMode="halfAlpha" allowBlank="1" showErrorMessage="1" sqref="AO223:AQ223" xr:uid="{00000000-0002-0000-0000-000010000000}">
      <formula1>1</formula1>
      <formula2>31</formula2>
    </dataValidation>
    <dataValidation imeMode="disabled" allowBlank="1" showInputMessage="1" showErrorMessage="1" sqref="AB75:AP76 AB93:AP94 AB111:AP112" xr:uid="{00000000-0002-0000-0000-000011000000}"/>
    <dataValidation imeMode="fullKatakana" allowBlank="1" showInputMessage="1" showErrorMessage="1" errorTitle="文字種エラー" sqref="AB63:BT63" xr:uid="{00000000-0002-0000-0000-000012000000}"/>
    <dataValidation type="whole" imeMode="halfAlpha" allowBlank="1" showErrorMessage="1" sqref="AE223:AG223" xr:uid="{00000000-0002-0000-0000-000013000000}">
      <formula1>1</formula1>
      <formula2>99</formula2>
    </dataValidation>
    <dataValidation type="whole" imeMode="halfAlpha" allowBlank="1" showErrorMessage="1" sqref="AJ223:AL223" xr:uid="{00000000-0002-0000-0000-000014000000}">
      <formula1>1</formula1>
      <formula2>12</formula2>
    </dataValidation>
    <dataValidation type="whole" allowBlank="1" showInputMessage="1" showErrorMessage="1" sqref="P257:R261" xr:uid="{00000000-0002-0000-0000-000015000000}">
      <formula1>1</formula1>
      <formula2>99</formula2>
    </dataValidation>
    <dataValidation type="whole" allowBlank="1" showInputMessage="1" showErrorMessage="1" sqref="AP275:AR275" xr:uid="{00000000-0002-0000-0000-000016000000}">
      <formula1>1</formula1>
      <formula2>12</formula2>
    </dataValidation>
    <dataValidation type="whole" imeMode="halfAlpha" allowBlank="1" showInputMessage="1" sqref="AF154:AK155" xr:uid="{00000000-0002-0000-0000-000017000000}">
      <formula1>1</formula1>
      <formula2>99</formula2>
    </dataValidation>
    <dataValidation imeMode="halfAlpha" allowBlank="1" showInputMessage="1" sqref="AB288:AP288" xr:uid="{00000000-0002-0000-0000-00001A000000}"/>
    <dataValidation type="custom" imeMode="halfAlpha" allowBlank="1" showInputMessage="1" sqref="AB293:AP293" xr:uid="{00000000-0002-0000-0000-00001B000000}">
      <formula1>LENB(AB293)=LEN(AB293)</formula1>
    </dataValidation>
    <dataValidation allowBlank="1" promptTitle="報告書（3面）備考欄" sqref="AB275" xr:uid="{00000000-0002-0000-0000-00001C000000}"/>
    <dataValidation type="whole" allowBlank="1" showInputMessage="1" sqref="AB82:AP82" xr:uid="{00000000-0002-0000-0000-00001D000000}">
      <formula1>1</formula1>
      <formula2>99</formula2>
    </dataValidation>
    <dataValidation type="whole" imeMode="halfAlpha" allowBlank="1" showInputMessage="1" showErrorMessage="1" sqref="AT7:AY7" xr:uid="{31340883-E0E1-4883-923B-0741BC390353}">
      <formula1>1</formula1>
      <formula2>999999</formula2>
    </dataValidation>
    <dataValidation allowBlank="1" showInputMessage="1" showErrorMessage="1" prompt="指摘の_x000a_具体的内容等" sqref="AT520:BC534 AT497:BC514 AT478:BC486 AT364:BC372 AT319:BC332 AT337:BC354 AT382:BC426 AT436:BC468" xr:uid="{C7EFD493-70F7-47DA-BB14-482A775AA563}"/>
    <dataValidation allowBlank="1" showInputMessage="1" showErrorMessage="1" prompt="改善策の_x000a_具体的内容等" sqref="BD319:BR327 BD337:BR354 BD364:BR372 BD478:BR486 BD497:BR514 BD520:BR534 BD382:BR426 BD436:BR468" xr:uid="{1C0E30E3-3E9D-413D-AB22-FF753FCFCA4F}"/>
    <dataValidation type="whole" allowBlank="1" showInputMessage="1" showErrorMessage="1" prompt="改善年_x000a_（令和）" sqref="BS520:BU534" xr:uid="{E63F87D3-E9C5-4F2E-8DE9-35F6B3CEFD19}">
      <formula1>1</formula1>
      <formula2>99</formula2>
    </dataValidation>
    <dataValidation type="whole" imeMode="halfAlpha" allowBlank="1" showInputMessage="1" showErrorMessage="1" prompt="改善年_x000a_（令和）" sqref="BS436:BU468 BS478:BU486 BS364:BU372 BS337:BU354 BS319:BU327 BS382:BU426 BS497:BU514" xr:uid="{8B567F1E-67C5-4596-9DCB-63789D091B4E}">
      <formula1>1</formula1>
      <formula2>99</formula2>
    </dataValidation>
    <dataValidation type="whole" imeMode="halfAlpha" allowBlank="1" showInputMessage="1" showErrorMessage="1" prompt="改善月" sqref="BV319:BX327 BV337:BX354 BV364:BX372 BV478:BX486 BV497:BX514 BV382:BX426 BV436:BX468" xr:uid="{DD3D5FC8-798F-464E-BA8D-1CF5A2C6281F}">
      <formula1>1</formula1>
      <formula2>12</formula2>
    </dataValidation>
    <dataValidation type="whole" allowBlank="1" showInputMessage="1" showErrorMessage="1" prompt="改善月" sqref="BV520:BX534" xr:uid="{07FD14BB-E06F-4DD1-A8E7-8F19CA10ACF8}">
      <formula1>1</formula1>
      <formula2>12</formula2>
    </dataValidation>
    <dataValidation type="list" allowBlank="1" showInputMessage="1" sqref="AB197:AJ197" xr:uid="{00000000-0002-0000-0000-000020000000}">
      <formula1>"新築,増築"</formula1>
    </dataValidation>
    <dataValidation type="whole" imeMode="off" allowBlank="1" showInputMessage="1" showErrorMessage="1" sqref="M4:O4" xr:uid="{AF1E653A-5436-4BFB-9808-EB8D2106EA4B}">
      <formula1>1</formula1>
      <formula2>99</formula2>
    </dataValidation>
    <dataValidation imeMode="halfAlpha" allowBlank="1" showInputMessage="1" showErrorMessage="1" sqref="AK85:AP85 AB25:AG25 AK25:AP25 AT25:AY25 AK23:AP23 AT85:AY85 AK39:AP39 AB41:AG41 AK41:AP41 AT41:AY41 AB85:AG85 AK51:AP51 AK53:AP53 AT53:AY53 AB53:AG53 AK83:AP83 AK65:AP65 AB67:AG67 AK67:AP67 AT67:AY67 AT103:AY103 AK101:AP101 AB103:AG103 AK103:AP103 AT121:AY121 AK119:AP119 AB121:AG121 AK121:AP121" xr:uid="{7913C342-6C03-4CFF-87D7-FAE7626FEED6}"/>
    <dataValidation type="whole" imeMode="disabled" allowBlank="1" showInputMessage="1" showErrorMessage="1" sqref="AB143:AG144" xr:uid="{2BDB2180-7A57-49B7-8FF6-F6DE7A1AE348}">
      <formula1>0</formula1>
      <formula2>99</formula2>
    </dataValidation>
    <dataValidation type="textLength" imeMode="halfAlpha" allowBlank="1" showInputMessage="1" showErrorMessage="1" sqref="AB39:AG39 AB51:AG51 AB65:AG65 AB83:AG83 AB101:AG101 AB119:AG119 AB23:AG23" xr:uid="{EA846514-9E2C-4F34-BF5E-329CAAC83A9F}">
      <formula1>0</formula1>
      <formula2>3</formula2>
    </dataValidation>
    <dataValidation imeMode="fullKatakana" allowBlank="1" showInputMessage="1" errorTitle="文字種エラー" sqref="AB8:BT8 AB33:BT33 AB35:BT35 AB37:BT37 AB45:BT45 AB47:BT47 AB49:BT49 AB59:BT59 AB61:BT61 AB63:BT63 AB77:BT77 AB95:BT95 AB113:BT113" xr:uid="{139189E0-BBAB-42B0-A642-8FBB8342E86D}"/>
  </dataValidations>
  <hyperlinks>
    <hyperlink ref="CT2:CU2" location="'1_入力シート【基本情報】'!J515:CU532" tooltip="23 調査結果_上記１から７で表現できない項目" display="23-8" xr:uid="{504471A0-DD23-4E72-B231-A63AC03FFC3E}"/>
    <hyperlink ref="CR2:CS2" location="'1_入力シート【基本情報】'!J493:CU513" tooltip="23 調査結果_7 上記以外の調査項目" display="23-7" xr:uid="{1FC87FFA-27D7-44DC-9EFB-8B35BC007D26}"/>
    <hyperlink ref="CT1:CU1" location="'1_入力シート【基本情報】'!J220:CU229" tooltip="14 調査及び検査の状況" display="'1_入力シート【基本情報】'!J220:CU229" xr:uid="{C1DB5583-16A1-4F10-ACA4-FFA6FDCB10F7}"/>
    <hyperlink ref="BT2:BU2" location="'1_入力シート【基本情報】'!J266:CU270" tooltip="18 備考" display="'1_入力シート【基本情報】'!J266:CU270" xr:uid="{5B9D7F60-4FF9-48D3-A92E-AE4B8F3E3ABC}"/>
    <hyperlink ref="BV2:BW2" location="'1_入力シート【基本情報】'!J272:CU276" tooltip="19 外装仕上げ材等について" display="'1_入力シート【基本情報】'!J272:CU276" xr:uid="{5C19BD16-21DB-4A2D-ADD2-0E5ADFE5544F}"/>
    <hyperlink ref="BX2:BY2" location="'1_入力シート【基本情報】'!J278:CU279" tooltip="20 直通階段の数" display="'1_入力シート【基本情報】'!J278:CU279" xr:uid="{9D4737D6-0959-4E2B-B4BB-1D2E43FB15C3}"/>
    <hyperlink ref="BZ2:CA2" location="'1_入力シート【基本情報】'!J281:CU291" tooltip="21 設備(法第12条第三項関係など)" display="'1_入力シート【基本情報】'!J281:CU291" xr:uid="{144FD9D9-4840-4647-BBA3-7522A9CB591E}"/>
    <hyperlink ref="CB2:CC2" location="'1_入力シート【基本情報】'!J298:CU304" tooltip="22 その他特記事項" display="'1_入力シート【基本情報】'!J298:CU304" xr:uid="{A67CCC6B-7D3B-4ACE-86F4-9DB08544B636}"/>
    <hyperlink ref="CD2:CE2" location="'1_入力シート【基本情報】'!J311:CU315" tooltip="23 調査結果" display="'1_入力シート【基本情報】'!J311:CU315" xr:uid="{C696520A-8145-44A8-87F5-9EDA74D67AB5}"/>
    <hyperlink ref="CF2:CG2" location="'1_入力シート【基本情報】'!J316:CU327" tooltip="23 調査結果_1 敷地及び地盤" display="23-1" xr:uid="{6758637F-E5D9-43F2-9511-8161A80376B0}"/>
    <hyperlink ref="CH2:CI2" location="'1_入力シート【基本情報】'!J334:CU354" tooltip="23 調査結果_2 建築物の外部" display="23-2" xr:uid="{39E2E9C4-C3CF-48FD-9E67-033EF3EC2C24}"/>
    <hyperlink ref="CJ2:CK2" location="'1_入力シート【基本情報】'!J361:CU372" tooltip="23 調査結果_3 屋上及び屋根" display="23-3" xr:uid="{0C01DAF1-67D7-4FD7-9D32-907E186C01FE}"/>
    <hyperlink ref="CL2:CM2" location="'1_入力シート【基本情報】'!J379:CU426" tooltip="23 調査結果_4 建築物の内部" display="23-4" xr:uid="{87FEB3D8-C50A-44D9-9C41-279009F97084}"/>
    <hyperlink ref="CN2:CO2" location="'1_入力シート【基本情報】'!J433:CU468" tooltip="23 調査結果_5 避難施設等" display="23-5" xr:uid="{8D6EC816-194A-4797-8BBD-6EA28C05CA6B}"/>
    <hyperlink ref="CP2:CQ2" location="'1_入力シート【基本情報】'!J475:CU486" tooltip="23 調査結果_6 その他" display="23-6" xr:uid="{D13D1186-D8B3-430D-B907-567332695578}"/>
    <hyperlink ref="CR1:CS1" location="'1_入力シート【基本情報】'!J211:CU215" tooltip="13 備考" display="'1_入力シート【基本情報】'!J211:CU215" xr:uid="{E33D5330-6EC2-4A40-8371-7F7E3444B498}"/>
    <hyperlink ref="CP1:CQ1" location="'1_入力シート【基本情報】'!J179:CU209" tooltip="12 関連図書の整備" display="'1_入力シート【基本情報】'!J179:CU209" xr:uid="{743531B8-3117-4D27-9F48-27AF784587CC}"/>
    <hyperlink ref="CN1:CO1" location="'1_入力シート【基本情報】'!J162:CU174" tooltip="11 増築､改築､用途変更等の経過" display="'1_入力シート【基本情報】'!J162:CU174" xr:uid="{B95103A0-0EFA-4D1E-A82C-F5E13D1CACBC}"/>
    <hyperlink ref="CL1:CM1" location="'1_入力シート【基本情報】'!J151:CU157" tooltip="10 性能検証法等の適用" display="'1_入力シート【基本情報】'!J151:CU157" xr:uid="{AE7DC7EE-A445-41DF-B721-27F35EAD5716}"/>
    <hyperlink ref="CJ1:CK1" location="'1_入力シート【基本情報】'!J138:CU146" tooltip="9 建物及びその敷地の概要" display="'1_入力シート【基本情報】'!J138:CU146" xr:uid="{543BDB09-5624-4C38-A4DD-A54FD7342AFA}"/>
    <hyperlink ref="CH1:CI1" location="'1_入力シート【基本情報】'!J126:CU133" tooltip="8 敷地の位置" display="'1_入力シート【基本情報】'!J126:CU133" xr:uid="{77520C1E-4292-4A2E-9E57-92CAFD685446}"/>
    <hyperlink ref="CF1:CG1" location="'1_入力シート【基本情報】'!J108:CU121" tooltip="7 その他の調査者2" display="'1_入力シート【基本情報】'!J108:CU121" xr:uid="{CB90A177-DD1F-44BB-9425-0549DDD52385}"/>
    <hyperlink ref="CD1:CE1" location="'1_入力シート【基本情報】'!J90:CU103" tooltip="6 その他の調査者1" display="'1_入力シート【基本情報】'!J90:CU103" xr:uid="{7988647B-5398-499D-AE11-2E3DB25E92C5}"/>
    <hyperlink ref="CB1:CC1" location="'1_入力シート【基本情報】'!J72:CU85" tooltip="5 代表となる調査者" display="'1_入力シート【基本情報】'!J72:CU85" xr:uid="{156649DF-FF96-4738-833B-BD6AC53FA5CE}"/>
    <hyperlink ref="BZ1:CA1" location="'1_入力シート【基本情報】'!J58:CU68" tooltip="4 管理者" display="'1_入力シート【基本情報】'!J58:CU68" xr:uid="{43309A6F-8CF3-476A-8C6C-BB3A51BA55FE}"/>
    <hyperlink ref="BX1:BY1" location="'1_入力シート【基本情報】'!J32:CU53" tooltip="3 所有者 " display="'1_入力シート【基本情報】'!J32:CU53" xr:uid="{CEA09483-0CC1-4810-B48A-B65D9E2493D4}"/>
    <hyperlink ref="BV1:BW1" location="'1_入力シート【基本情報】'!J16:CU27" tooltip="2 報告内容に関する問合せ先" display="'1_入力シート【基本情報】'!J16:CU27" xr:uid="{7C5DBF57-47F4-4AA4-8F72-1BC8B973A64B}"/>
    <hyperlink ref="BT1:BU1" location="'1_入力シート【基本情報】'!J6:CU14" tooltip="1 報告対象建築物" display="'1_入力シート【基本情報】'!J6:CU14" xr:uid="{B1EB4579-D04C-45E1-A972-CE9CF4882051}"/>
    <hyperlink ref="BN2:BO2" location="'1_入力シート【基本情報】'!J234:CU238" tooltip="15 石綿を添加した建築材料の調査状況" display="'1_入力シート【基本情報】'!J234:CU238" xr:uid="{14D72197-7AA6-4FFA-AB6F-8CB73B017829}"/>
    <hyperlink ref="BP2:BQ2" location="'1_入力シート【基本情報】'!J243:CU247" tooltip="16 耐震診断及び耐震改修の調査状況" display="'1_入力シート【基本情報】'!J243:CU247" xr:uid="{1CE20B02-4026-4400-9A42-EEA0B327A8EF}"/>
    <hyperlink ref="BR2:BS2" location="'1_入力シート【基本情報】'!J252:CU261" tooltip="17 建築物等に係る不具合等の状況" display="'1_入力シート【基本情報】'!J252:CU261" xr:uid="{777562F5-E95F-47BD-95D7-64C0487D5732}"/>
    <hyperlink ref="AQ146" location="'2_入力シート【用途面積】'!Print_Area" tooltip="「2_入力シート【用途面積】」" display="「2_入力シート【用途面積】」で記載" xr:uid="{84F1D9A9-B1A6-4ACA-8B27-2D236DCA06E1}"/>
    <hyperlink ref="BV303:CS304" location="'＜入力不要＞概要書'!O102" display="'＜入力不要＞概要書'!O102" xr:uid="{9E87922C-CC67-4358-81CB-CAB39A98DCA3}"/>
    <hyperlink ref="BV268:CS268" location="'＜入力不要＞報告書'!C468" display="'＜入力不要＞報告書'!C468" xr:uid="{6D38B7E7-E433-431E-9917-987E8E91CE72}"/>
    <hyperlink ref="BV215:CS215" location="'＜入力不要＞概要書'!C297" display="'＜入力不要＞概要書'!C297" xr:uid="{076DE403-72C7-46DF-88E7-3C7A3D89EA9F}"/>
  </hyperlinks>
  <pageMargins left="0.23622047244094491" right="0.23622047244094491" top="0.74803149606299213" bottom="0.74803149606299213" header="3.9370078740157481" footer="0.31496062992125984"/>
  <pageSetup paperSize="9" scale="49" fitToHeight="0" orientation="portrait" r:id="rId1"/>
  <rowBreaks count="12" manualBreakCount="12">
    <brk id="71" max="98" man="1"/>
    <brk id="122" max="98" man="1"/>
    <brk id="178" max="98" man="1"/>
    <brk id="233" max="98" man="1"/>
    <brk id="308" max="98" man="1"/>
    <brk id="333" max="98" man="1"/>
    <brk id="378" max="98" man="1"/>
    <brk id="403" max="98" man="1"/>
    <brk id="432" max="98" man="1"/>
    <brk id="457" max="98" man="1"/>
    <brk id="493" max="98" man="1"/>
    <brk id="516" max="98" man="1"/>
  </rowBreaks>
  <drawing r:id="rId2"/>
  <legacyDrawing r:id="rId3"/>
  <mc:AlternateContent xmlns:mc="http://schemas.openxmlformats.org/markup-compatibility/2006">
    <mc:Choice Requires="x14">
      <controls>
        <mc:AlternateContent xmlns:mc="http://schemas.openxmlformats.org/markup-compatibility/2006">
          <mc:Choice Requires="x14">
            <control shapeId="404506" r:id="rId4" name="Check Box 26">
              <controlPr locked="0" defaultSize="0" autoFill="0" autoLine="0" autoPict="0" altText="勤務先同一_x000a_">
                <anchor moveWithCells="1">
                  <from>
                    <xdr:col>23</xdr:col>
                    <xdr:colOff>28575</xdr:colOff>
                    <xdr:row>89</xdr:row>
                    <xdr:rowOff>95250</xdr:rowOff>
                  </from>
                  <to>
                    <xdr:col>36</xdr:col>
                    <xdr:colOff>0</xdr:colOff>
                    <xdr:row>89</xdr:row>
                    <xdr:rowOff>381000</xdr:rowOff>
                  </to>
                </anchor>
              </controlPr>
            </control>
          </mc:Choice>
        </mc:AlternateContent>
        <mc:AlternateContent xmlns:mc="http://schemas.openxmlformats.org/markup-compatibility/2006">
          <mc:Choice Requires="x14">
            <control shapeId="404521" r:id="rId5" name="Check Box 41">
              <controlPr locked="0" defaultSize="0" autoFill="0" autoLine="0" autoPict="0" altText="勤務先同一_x000a_">
                <anchor moveWithCells="1">
                  <from>
                    <xdr:col>27</xdr:col>
                    <xdr:colOff>123825</xdr:colOff>
                    <xdr:row>208</xdr:row>
                    <xdr:rowOff>0</xdr:rowOff>
                  </from>
                  <to>
                    <xdr:col>28</xdr:col>
                    <xdr:colOff>0</xdr:colOff>
                    <xdr:row>208</xdr:row>
                    <xdr:rowOff>276225</xdr:rowOff>
                  </to>
                </anchor>
              </controlPr>
            </control>
          </mc:Choice>
        </mc:AlternateContent>
        <mc:AlternateContent xmlns:mc="http://schemas.openxmlformats.org/markup-compatibility/2006">
          <mc:Choice Requires="x14">
            <control shapeId="404533" r:id="rId6" name="Check Box 53">
              <controlPr locked="0" defaultSize="0" autoFill="0" autoLine="0" autoPict="0" altText="勤務先同一_x000a_">
                <anchor moveWithCells="1">
                  <from>
                    <xdr:col>171</xdr:col>
                    <xdr:colOff>0</xdr:colOff>
                    <xdr:row>208</xdr:row>
                    <xdr:rowOff>0</xdr:rowOff>
                  </from>
                  <to>
                    <xdr:col>232</xdr:col>
                    <xdr:colOff>57150</xdr:colOff>
                    <xdr:row>208</xdr:row>
                    <xdr:rowOff>276225</xdr:rowOff>
                  </to>
                </anchor>
              </controlPr>
            </control>
          </mc:Choice>
        </mc:AlternateContent>
        <mc:AlternateContent xmlns:mc="http://schemas.openxmlformats.org/markup-compatibility/2006">
          <mc:Choice Requires="x14">
            <control shapeId="404537" r:id="rId7" name="Check Box 57">
              <controlPr locked="0" defaultSize="0" autoFill="0" autoLine="0" autoPict="0" altText="勤務先同一_x000a_">
                <anchor moveWithCells="1">
                  <from>
                    <xdr:col>171</xdr:col>
                    <xdr:colOff>0</xdr:colOff>
                    <xdr:row>208</xdr:row>
                    <xdr:rowOff>0</xdr:rowOff>
                  </from>
                  <to>
                    <xdr:col>232</xdr:col>
                    <xdr:colOff>57150</xdr:colOff>
                    <xdr:row>208</xdr:row>
                    <xdr:rowOff>276225</xdr:rowOff>
                  </to>
                </anchor>
              </controlPr>
            </control>
          </mc:Choice>
        </mc:AlternateContent>
        <mc:AlternateContent xmlns:mc="http://schemas.openxmlformats.org/markup-compatibility/2006">
          <mc:Choice Requires="x14">
            <control shapeId="404539" r:id="rId8" name="Check Box 59">
              <controlPr locked="0" defaultSize="0" autoFill="0" autoLine="0" autoPict="0" altText="代表となる調査者と勤務先が同じ_x000a_">
                <anchor moveWithCells="1">
                  <from>
                    <xdr:col>23</xdr:col>
                    <xdr:colOff>28575</xdr:colOff>
                    <xdr:row>107</xdr:row>
                    <xdr:rowOff>95250</xdr:rowOff>
                  </from>
                  <to>
                    <xdr:col>36</xdr:col>
                    <xdr:colOff>0</xdr:colOff>
                    <xdr:row>107</xdr:row>
                    <xdr:rowOff>381000</xdr:rowOff>
                  </to>
                </anchor>
              </controlPr>
            </control>
          </mc:Choice>
        </mc:AlternateContent>
        <mc:AlternateContent xmlns:mc="http://schemas.openxmlformats.org/markup-compatibility/2006">
          <mc:Choice Requires="x14">
            <control shapeId="404613" r:id="rId9" name="Check Box 133">
              <controlPr locked="0" defaultSize="0" autoFill="0" autoLine="0" autoPict="0" altText="勤務先同一_x000a_">
                <anchor moveWithCells="1">
                  <from>
                    <xdr:col>28</xdr:col>
                    <xdr:colOff>133350</xdr:colOff>
                    <xdr:row>15</xdr:row>
                    <xdr:rowOff>114300</xdr:rowOff>
                  </from>
                  <to>
                    <xdr:col>38</xdr:col>
                    <xdr:colOff>57150</xdr:colOff>
                    <xdr:row>15</xdr:row>
                    <xdr:rowOff>371475</xdr:rowOff>
                  </to>
                </anchor>
              </controlPr>
            </control>
          </mc:Choice>
        </mc:AlternateContent>
        <mc:AlternateContent xmlns:mc="http://schemas.openxmlformats.org/markup-compatibility/2006">
          <mc:Choice Requires="x14">
            <control shapeId="404614" r:id="rId10" name="Check Box 134">
              <controlPr locked="0" defaultSize="0" autoFill="0" autoLine="0" autoPict="0" altText="勤務先同一_x000a_">
                <anchor moveWithCells="1">
                  <from>
                    <xdr:col>39</xdr:col>
                    <xdr:colOff>9525</xdr:colOff>
                    <xdr:row>15</xdr:row>
                    <xdr:rowOff>114300</xdr:rowOff>
                  </from>
                  <to>
                    <xdr:col>50</xdr:col>
                    <xdr:colOff>152400</xdr:colOff>
                    <xdr:row>15</xdr:row>
                    <xdr:rowOff>371475</xdr:rowOff>
                  </to>
                </anchor>
              </controlPr>
            </control>
          </mc:Choice>
        </mc:AlternateContent>
        <mc:AlternateContent xmlns:mc="http://schemas.openxmlformats.org/markup-compatibility/2006">
          <mc:Choice Requires="x14">
            <control shapeId="404610" r:id="rId11" name="Check Box 130">
              <controlPr defaultSize="0" autoFill="0" autoLine="0" autoPict="0">
                <anchor moveWithCells="1">
                  <from>
                    <xdr:col>27</xdr:col>
                    <xdr:colOff>0</xdr:colOff>
                    <xdr:row>193</xdr:row>
                    <xdr:rowOff>85725</xdr:rowOff>
                  </from>
                  <to>
                    <xdr:col>37</xdr:col>
                    <xdr:colOff>0</xdr:colOff>
                    <xdr:row>193</xdr:row>
                    <xdr:rowOff>361950</xdr:rowOff>
                  </to>
                </anchor>
              </controlPr>
            </control>
          </mc:Choice>
        </mc:AlternateContent>
        <mc:AlternateContent xmlns:mc="http://schemas.openxmlformats.org/markup-compatibility/2006">
          <mc:Choice Requires="x14">
            <control shapeId="404481" r:id="rId12" name="Check Box 1">
              <controlPr locked="0" defaultSize="0" autoFill="0" autoLine="0" autoPict="0" altText="所有者1と同一_x000a_">
                <anchor moveWithCells="1">
                  <from>
                    <xdr:col>18</xdr:col>
                    <xdr:colOff>133350</xdr:colOff>
                    <xdr:row>57</xdr:row>
                    <xdr:rowOff>114300</xdr:rowOff>
                  </from>
                  <to>
                    <xdr:col>26</xdr:col>
                    <xdr:colOff>104775</xdr:colOff>
                    <xdr:row>57</xdr:row>
                    <xdr:rowOff>381000</xdr:rowOff>
                  </to>
                </anchor>
              </controlPr>
            </control>
          </mc:Choice>
        </mc:AlternateContent>
        <mc:AlternateContent xmlns:mc="http://schemas.openxmlformats.org/markup-compatibility/2006">
          <mc:Choice Requires="x14">
            <control shapeId="404616" r:id="rId13" name="Check Box 136">
              <controlPr defaultSize="0" autoFill="0" autoLine="0" autoPict="0" altText="所有者1と、住所及び電話番号が同じ">
                <anchor moveWithCells="1">
                  <from>
                    <xdr:col>27</xdr:col>
                    <xdr:colOff>0</xdr:colOff>
                    <xdr:row>43</xdr:row>
                    <xdr:rowOff>123825</xdr:rowOff>
                  </from>
                  <to>
                    <xdr:col>41</xdr:col>
                    <xdr:colOff>9525</xdr:colOff>
                    <xdr:row>43</xdr:row>
                    <xdr:rowOff>390525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583" yWindow="604" count="50">
        <x14:dataValidation type="list" allowBlank="1" showInputMessage="1" showErrorMessage="1" xr:uid="{00000000-0002-0000-0000-00001E000000}">
          <x14:formula1>
            <xm:f>プルダウン選択肢!$G$34:$G$37</xm:f>
          </x14:formula1>
          <xm:sqref>AB246</xm:sqref>
        </x14:dataValidation>
        <x14:dataValidation type="list" allowBlank="1" showInputMessage="1" showErrorMessage="1" xr:uid="{00000000-0002-0000-0000-00001F000000}">
          <x14:formula1>
            <xm:f>プルダウン選択肢!$I$33:$I$34</xm:f>
          </x14:formula1>
          <xm:sqref>AB254:AD254</xm:sqref>
        </x14:dataValidation>
        <x14:dataValidation type="list" allowBlank="1" showInputMessage="1" xr:uid="{00000000-0002-0000-0000-000021000000}">
          <x14:formula1>
            <xm:f>プルダウン選択肢!$C$34:$C$35</xm:f>
          </x14:formula1>
          <xm:sqref>AB225:AD225 AB229:AD229 AB227:AD227</xm:sqref>
        </x14:dataValidation>
        <x14:dataValidation type="list" allowBlank="1" xr:uid="{00000000-0002-0000-0000-000022000000}">
          <x14:formula1>
            <xm:f>プルダウン選択肢!$C$34:$C$35</xm:f>
          </x14:formula1>
          <xm:sqref>AB223:AD223</xm:sqref>
        </x14:dataValidation>
        <x14:dataValidation type="list" allowBlank="1" xr:uid="{00000000-0002-0000-0000-000023000000}">
          <x14:formula1>
            <xm:f>プルダウン選択肢!$A$42:$A$48</xm:f>
          </x14:formula1>
          <xm:sqref>AB183:AK183</xm:sqref>
        </x14:dataValidation>
        <x14:dataValidation type="list" allowBlank="1" showInputMessage="1" showErrorMessage="1" xr:uid="{00000000-0002-0000-0000-000024000000}">
          <x14:formula1>
            <xm:f>プルダウン選択肢!$I$3</xm:f>
          </x14:formula1>
          <xm:sqref>AB153:AD157</xm:sqref>
        </x14:dataValidation>
        <x14:dataValidation type="list" allowBlank="1" showInputMessage="1" xr:uid="{00000000-0002-0000-0000-000025000000}">
          <x14:formula1>
            <xm:f>プルダウン選択肢!$K$10:$K$15</xm:f>
          </x14:formula1>
          <xm:sqref>AB167:AQ167 AB170:AQ170 AB164:AQ164 AB173:AQ173</xm:sqref>
        </x14:dataValidation>
        <x14:dataValidation type="list" allowBlank="1" showInputMessage="1" showErrorMessage="1" xr:uid="{00000000-0002-0000-0000-000026000000}">
          <x14:formula1>
            <xm:f>プルダウン選択肢!$M$28:$M$29</xm:f>
          </x14:formula1>
          <xm:sqref>AB287:AD287 AB282:AD285 AB292:AD292 AB290:AD290</xm:sqref>
        </x14:dataValidation>
        <x14:dataValidation type="list" allowBlank="1" showInputMessage="1" showErrorMessage="1" xr:uid="{00000000-0002-0000-0000-000027000000}">
          <x14:formula1>
            <xm:f>プルダウン選択肢!$M$31:$M$32</xm:f>
          </x14:formula1>
          <xm:sqref>AB286:AF286 AB291:AF291 AB289:AF289</xm:sqref>
        </x14:dataValidation>
        <x14:dataValidation type="list" allowBlank="1" showInputMessage="1" xr:uid="{00000000-0002-0000-0000-000028000000}">
          <x14:formula1>
            <xm:f>プルダウン選択肢!$A$33:$A$34</xm:f>
          </x14:formula1>
          <xm:sqref>AB196:AD196</xm:sqref>
        </x14:dataValidation>
        <x14:dataValidation type="list" allowBlank="1" showInputMessage="1" showErrorMessage="1" xr:uid="{00000000-0002-0000-0000-000029000000}">
          <x14:formula1>
            <xm:f>プルダウン選択肢!$A$86:$A$88</xm:f>
          </x14:formula1>
          <xm:sqref>BY427:CA431 BY487:CA491 BY469:CA473 BY355:CA359 BY373:CA377 BY328:CA332 BY497:CA514</xm:sqref>
        </x14:dataValidation>
        <x14:dataValidation type="list" allowBlank="1" showErrorMessage="1" prompt="□又は■_x000a_より選択" xr:uid="{00000000-0002-0000-0000-00002A000000}">
          <x14:formula1>
            <xm:f>プルダウン選択肢!$A$28:$A$30</xm:f>
          </x14:formula1>
          <xm:sqref>AB181:AK181</xm:sqref>
        </x14:dataValidation>
        <x14:dataValidation type="list" allowBlank="1" showInputMessage="1" showErrorMessage="1" xr:uid="{00000000-0002-0000-0000-00002B000000}">
          <x14:formula1>
            <xm:f>プルダウン選択肢!$A$3:$A$5</xm:f>
          </x14:formula1>
          <xm:sqref>AB91:AP91 AB73:AP73 AB109:AP109</xm:sqref>
        </x14:dataValidation>
        <x14:dataValidation type="list" allowBlank="1" showInputMessage="1" showErrorMessage="1" xr:uid="{00000000-0002-0000-0000-00002C000000}">
          <x14:formula1>
            <xm:f>プルダウン選択肢!$E$3:$E$17</xm:f>
          </x14:formula1>
          <xm:sqref>AB131:AP133</xm:sqref>
        </x14:dataValidation>
        <x14:dataValidation type="list" allowBlank="1" showErrorMessage="1" prompt="□又は■_x000a_より選択" xr:uid="{00000000-0002-0000-0000-00002D000000}">
          <x14:formula1>
            <xm:f>プルダウン選択肢!$G$3:$G$6</xm:f>
          </x14:formula1>
          <xm:sqref>AB139:AP141</xm:sqref>
        </x14:dataValidation>
        <x14:dataValidation type="list" allowBlank="1" showInputMessage="1" showErrorMessage="1" xr:uid="{00000000-0002-0000-0000-00002E000000}">
          <x14:formula1>
            <xm:f>プルダウン選択肢!$G$3:$G$8</xm:f>
          </x14:formula1>
          <xm:sqref>AY274</xm:sqref>
        </x14:dataValidation>
        <x14:dataValidation type="list" allowBlank="1" showInputMessage="1" showErrorMessage="1" xr:uid="{00000000-0002-0000-0000-00002F000000}">
          <x14:formula1>
            <xm:f>プルダウン選択肢!$A$28:$A$30</xm:f>
          </x14:formula1>
          <xm:sqref>AB195:AK195</xm:sqref>
        </x14:dataValidation>
        <x14:dataValidation type="list" imeMode="on" allowBlank="1" showInputMessage="1" showErrorMessage="1" xr:uid="{00000000-0002-0000-0000-000030000000}">
          <x14:formula1>
            <xm:f>プルダウン選択肢!$A$63:$A$64</xm:f>
          </x14:formula1>
          <xm:sqref>AB208:AG208</xm:sqref>
        </x14:dataValidation>
        <x14:dataValidation type="list" allowBlank="1" showInputMessage="1" showErrorMessage="1" xr:uid="{00000000-0002-0000-0000-000031000000}">
          <x14:formula1>
            <xm:f>プルダウン選択肢!$E$28:$E$31</xm:f>
          </x14:formula1>
          <xm:sqref>AB235:AN235</xm:sqref>
        </x14:dataValidation>
        <x14:dataValidation type="list" allowBlank="1" showInputMessage="1" showErrorMessage="1" xr:uid="{00000000-0002-0000-0000-000032000000}">
          <x14:formula1>
            <xm:f>プルダウン選択肢!$E$35:$E$37</xm:f>
          </x14:formula1>
          <xm:sqref>AB237:AG237</xm:sqref>
        </x14:dataValidation>
        <x14:dataValidation type="list" imeMode="off" allowBlank="1" showInputMessage="1" prompt="調査者_x000a_番号" xr:uid="{00000000-0002-0000-0000-000033000000}">
          <x14:formula1>
            <xm:f>プルダウン選択肢!$A$80:$A$82</xm:f>
          </x14:formula1>
          <xm:sqref>AR520:AS534 AR319:AS332 AR337:AS359 AR364:AS377 AR478:AS491 AR382:AS431 AR436:AS473 AR497:AS514</xm:sqref>
        </x14:dataValidation>
        <x14:dataValidation type="list" allowBlank="1" showInputMessage="1" showErrorMessage="1" xr:uid="{00000000-0002-0000-0000-000034000000}">
          <x14:formula1>
            <xm:f>プルダウン選択肢!$A$73:$A$76</xm:f>
          </x14:formula1>
          <xm:sqref>AF364:AQ377 AF337:AQ359 AF478:AQ491 AF497:AQ514 AF382:AQ431 AF436:AQ473 AF319:AQ332</xm:sqref>
        </x14:dataValidation>
        <x14:dataValidation type="list" allowBlank="1" showInputMessage="1" showErrorMessage="1" xr:uid="{00000000-0002-0000-0000-000035000000}">
          <x14:formula1>
            <xm:f>プルダウン選択肢!$C$3:$C$7</xm:f>
          </x14:formula1>
          <xm:sqref>AB129:AP129</xm:sqref>
        </x14:dataValidation>
        <x14:dataValidation type="list" allowBlank="1" showErrorMessage="1" xr:uid="{00000000-0002-0000-0000-000036000000}">
          <x14:formula1>
            <xm:f>プルダウン選択肢!$C$3:$C$7</xm:f>
          </x14:formula1>
          <xm:sqref>AB127:AP128</xm:sqref>
        </x14:dataValidation>
        <x14:dataValidation type="list" allowBlank="1" showInputMessage="1" showErrorMessage="1" xr:uid="{00000000-0002-0000-0000-000037000000}">
          <x14:formula1>
            <xm:f>プルダウン選択肢!$A$33:$A$34</xm:f>
          </x14:formula1>
          <xm:sqref>AB182:AD182</xm:sqref>
        </x14:dataValidation>
        <x14:dataValidation type="list" allowBlank="1" showErrorMessage="1" prompt="□又は■_x000a_より選択" xr:uid="{00000000-0002-0000-0000-000038000000}">
          <x14:formula1>
            <xm:f>プルダウン選択肢!$A$33:$A$34</xm:f>
          </x14:formula1>
          <xm:sqref>AB189:AD189 AB203:AD203</xm:sqref>
        </x14:dataValidation>
        <x14:dataValidation type="list" allowBlank="1" showInputMessage="1" xr:uid="{00000000-0002-0000-0000-000039000000}">
          <x14:formula1>
            <xm:f>プルダウン選択肢!$K$3:$K$5</xm:f>
          </x14:formula1>
          <xm:sqref>AB166:AD166 AB169:AD169 AB172:AD172 AB163:AD163</xm:sqref>
        </x14:dataValidation>
        <x14:dataValidation type="list" imeMode="on" allowBlank="1" showInputMessage="1" showErrorMessage="1" xr:uid="{00000000-0002-0000-0000-00003A000000}">
          <x14:formula1>
            <xm:f>プルダウン選択肢!$A$67:$A$69</xm:f>
          </x14:formula1>
          <xm:sqref>AB209:AG209</xm:sqref>
        </x14:dataValidation>
        <x14:dataValidation type="list" allowBlank="1" showInputMessage="1" xr:uid="{00000000-0002-0000-0000-00003B000000}">
          <x14:formula1>
            <xm:f>プルダウン選択肢!$A$52:$A$54</xm:f>
          </x14:formula1>
          <xm:sqref>AB190:AD190 AB184:AD184 AB198:AD198 AB204:AD204</xm:sqref>
        </x14:dataValidation>
        <x14:dataValidation type="list" imeMode="on" allowBlank="1" showInputMessage="1" xr:uid="{00000000-0002-0000-0000-00003C000000}">
          <x14:formula1>
            <xm:f>プルダウン選択肢!$I$37:$I$39</xm:f>
          </x14:formula1>
          <xm:sqref>M257:O261</xm:sqref>
        </x14:dataValidation>
        <x14:dataValidation type="list" allowBlank="1" showInputMessage="1" showErrorMessage="1" xr:uid="{00000000-0002-0000-0000-00003D000000}">
          <x14:formula1>
            <xm:f>プルダウン選択肢!$I$44:$I$46</xm:f>
          </x14:formula1>
          <xm:sqref>AT257:AY261</xm:sqref>
        </x14:dataValidation>
        <x14:dataValidation type="list" allowBlank="1" showInputMessage="1" showErrorMessage="1" xr:uid="{00000000-0002-0000-0000-00003E000000}">
          <x14:formula1>
            <xm:f>プルダウン選択肢!$K$42:$K$43</xm:f>
          </x14:formula1>
          <xm:sqref>AH275:AJ275</xm:sqref>
        </x14:dataValidation>
        <x14:dataValidation type="list" allowBlank="1" showInputMessage="1" showErrorMessage="1" xr:uid="{00000000-0002-0000-0000-00003F000000}">
          <x14:formula1>
            <xm:f>プルダウン選択肢!$A$58:$A$59</xm:f>
          </x14:formula1>
          <xm:sqref>AB192 AB200 AB186 AB206</xm:sqref>
        </x14:dataValidation>
        <x14:dataValidation type="list" allowBlank="1" showInputMessage="1" showErrorMessage="1" xr:uid="{00000000-0002-0000-0000-000040000000}">
          <x14:formula1>
            <xm:f>プルダウン選択肢!$A$37:$A$38</xm:f>
          </x14:formula1>
          <xm:sqref>AB202:AD202 AB188:AD188</xm:sqref>
        </x14:dataValidation>
        <x14:dataValidation type="list" allowBlank="1" showInputMessage="1" showErrorMessage="1" xr:uid="{00000000-0002-0000-0000-000041000000}">
          <x14:formula1>
            <xm:f>プルダウン選択肢!$C$28:$C$30</xm:f>
          </x14:formula1>
          <xm:sqref>AB226:AG226 AB222:AG222 AB224:AG224 AB228:AG228</xm:sqref>
        </x14:dataValidation>
        <x14:dataValidation type="list" allowBlank="1" showInputMessage="1" showErrorMessage="1" xr:uid="{00000000-0002-0000-0000-000042000000}">
          <x14:formula1>
            <xm:f>プルダウン選択肢!$G$28:$G$31</xm:f>
          </x14:formula1>
          <xm:sqref>AB244</xm:sqref>
        </x14:dataValidation>
        <x14:dataValidation type="list" allowBlank="1" showInputMessage="1" showErrorMessage="1" xr:uid="{00000000-0002-0000-0000-000043000000}">
          <x14:formula1>
            <xm:f>プルダウン選択肢!$I$28:$I$29</xm:f>
          </x14:formula1>
          <xm:sqref>AB253:AD253</xm:sqref>
        </x14:dataValidation>
        <x14:dataValidation type="list" allowBlank="1" showInputMessage="1" showErrorMessage="1" xr:uid="{00000000-0002-0000-0000-000044000000}">
          <x14:formula1>
            <xm:f>プルダウン選択肢!$K$28:$K$29</xm:f>
          </x14:formula1>
          <xm:sqref>AB273:AR273</xm:sqref>
        </x14:dataValidation>
        <x14:dataValidation type="list" allowBlank="1" showInputMessage="1" showErrorMessage="1" xr:uid="{00000000-0002-0000-0000-000045000000}">
          <x14:formula1>
            <xm:f>プルダウン選択肢!$A$9:$A$10</xm:f>
          </x14:formula1>
          <xm:sqref>AB80:AP80 AB98:AP98 AB116:AP116</xm:sqref>
        </x14:dataValidation>
        <x14:dataValidation type="list" allowBlank="1" showInputMessage="1" showErrorMessage="1" xr:uid="{00000000-0002-0000-0000-000046000000}">
          <x14:formula1>
            <xm:f>プルダウン選択肢!$K$33:$K$39</xm:f>
          </x14:formula1>
          <xm:sqref>AB274:AX274</xm:sqref>
        </x14:dataValidation>
        <x14:dataValidation type="list" allowBlank="1" showInputMessage="1" showErrorMessage="1" prompt="改善の_x000a_状況" xr:uid="{F96F7252-1687-4AAC-B859-3605CFA5BD79}">
          <x14:formula1>
            <xm:f>プルダウン選択肢!$A$86:$A$88</xm:f>
          </x14:formula1>
          <xm:sqref>BY520:CA534 BY478:CA486 BY364:CA372 BY337:CA354 BY319:CA327 BY382:CA426 BY436:CA468</xm:sqref>
        </x14:dataValidation>
        <x14:dataValidation type="list" imeMode="halfAlpha" allowBlank="1" showInputMessage="1" showErrorMessage="1" xr:uid="{7DDE1A8E-C7E6-4493-9A78-C317539D917F}">
          <x14:formula1>
            <xm:f>プルダウン選択肢!$G$73:$G$83</xm:f>
          </x14:formula1>
          <xm:sqref>AB7:AI7</xm:sqref>
        </x14:dataValidation>
        <x14:dataValidation type="list" imeMode="halfAlpha" allowBlank="1" showInputMessage="1" showErrorMessage="1" xr:uid="{DA4E055A-8165-459D-B3FB-BB2CAFFD8EC3}">
          <x14:formula1>
            <xm:f>プルダウン選択肢!$G$86:$G$90</xm:f>
          </x14:formula1>
          <xm:sqref>AK7:AP7</xm:sqref>
        </x14:dataValidation>
        <x14:dataValidation type="list" allowBlank="1" showInputMessage="1" showErrorMessage="1" xr:uid="{90686873-73EC-456C-8695-4FE37DB94211}">
          <x14:formula1>
            <xm:f>プルダウン選択肢!$I$73:$I$120</xm:f>
          </x14:formula1>
          <xm:sqref>AB74:AP74 AB92:AP92 AB110:AP110</xm:sqref>
        </x14:dataValidation>
        <x14:dataValidation type="list" allowBlank="1" showInputMessage="1" showErrorMessage="1" xr:uid="{C3359773-4E82-4B47-9A21-EC4DFE401F53}">
          <x14:formula1>
            <xm:f>プルダウン選択肢!$K$73:$K$119</xm:f>
          </x14:formula1>
          <xm:sqref>AB81:AP81 AB99:AP99 AB117:AP117</xm:sqref>
        </x14:dataValidation>
        <x14:dataValidation type="list" allowBlank="1" showInputMessage="1" showErrorMessage="1" xr:uid="{D9FD3E5F-430C-4AFD-BACA-9CC2DA9D6045}">
          <x14:formula1>
            <xm:f>プルダウン選択肢!$M$73:$M$75</xm:f>
          </x14:formula1>
          <xm:sqref>AB279:AR279</xm:sqref>
        </x14:dataValidation>
        <x14:dataValidation type="list" allowBlank="1" showInputMessage="1" xr:uid="{05E041E7-9122-4703-8A71-3F8B9E61BCFC}">
          <x14:formula1>
            <xm:f>プルダウン選択肢!$G$40:$G$42</xm:f>
          </x14:formula1>
          <xm:sqref>AB247:AD247 AB245:AD245</xm:sqref>
        </x14:dataValidation>
        <x14:dataValidation type="list" allowBlank="1" showInputMessage="1" showErrorMessage="1" xr:uid="{0AEA653F-DC6C-401A-A19E-9EE3ACFE0401}">
          <x14:formula1>
            <xm:f>プルダウン選択肢!$G$93:$G$103</xm:f>
          </x14:formula1>
          <xm:sqref>AB12:BT12</xm:sqref>
        </x14:dataValidation>
        <x14:dataValidation type="list" imeMode="off" allowBlank="1" showInputMessage="1" showErrorMessage="1" xr:uid="{6E1EA9CF-B639-4838-BD44-6AB46EC20E6C}">
          <x14:formula1>
            <xm:f>プルダウン選択肢!$A$92:$A$232</xm:f>
          </x14:formula1>
          <xm:sqref>M520:O534</xm:sqref>
        </x14:dataValidation>
        <x14:dataValidation type="list" allowBlank="1" showInputMessage="1" showErrorMessage="1" xr:uid="{00000000-0002-0000-0000-000047000000}">
          <x14:formula1>
            <xm:f>プルダウン選択肢!I$3</xm:f>
          </x14:formula1>
          <xm:sqref>AB152:AD152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tabColor rgb="FF66FF33"/>
    <pageSetUpPr fitToPage="1"/>
  </sheetPr>
  <dimension ref="A1:CJ189"/>
  <sheetViews>
    <sheetView zoomScale="80" zoomScaleNormal="80" workbookViewId="0">
      <selection activeCell="F78" sqref="F78"/>
    </sheetView>
  </sheetViews>
  <sheetFormatPr defaultColWidth="9" defaultRowHeight="13.5" x14ac:dyDescent="0.15"/>
  <cols>
    <col min="1" max="2" width="25.625" style="197" customWidth="1"/>
    <col min="3" max="3" width="9.125" style="197" customWidth="1"/>
    <col min="4" max="4" width="3.625" style="197" customWidth="1"/>
    <col min="5" max="5" width="13.625" style="197" customWidth="1"/>
    <col min="6" max="6" width="4.75" style="197" customWidth="1"/>
    <col min="7" max="7" width="13.625" style="197" customWidth="1"/>
    <col min="8" max="8" width="3.625" style="197" customWidth="1"/>
    <col min="9" max="9" width="13.625" style="197" customWidth="1"/>
    <col min="10" max="10" width="3.625" style="197" customWidth="1"/>
    <col min="11" max="11" width="13.625" style="197" customWidth="1"/>
    <col min="12" max="12" width="3.625" style="197" customWidth="1"/>
    <col min="13" max="13" width="13.625" style="197" customWidth="1"/>
    <col min="14" max="14" width="3.625" style="197" customWidth="1"/>
    <col min="15" max="15" width="13.625" style="197" customWidth="1"/>
    <col min="16" max="16" width="3.625" style="197" customWidth="1"/>
    <col min="17" max="17" width="13.625" style="197" customWidth="1"/>
    <col min="18" max="18" width="3.625" style="197" customWidth="1"/>
    <col min="19" max="19" width="13.625" style="197" customWidth="1"/>
    <col min="20" max="20" width="3.625" style="197" customWidth="1"/>
    <col min="21" max="21" width="43" style="197" bestFit="1" customWidth="1"/>
    <col min="22" max="22" width="3.625" style="1774" hidden="1" customWidth="1"/>
    <col min="23" max="23" width="16.125" style="197" hidden="1" customWidth="1"/>
    <col min="24" max="24" width="19.875" style="197" hidden="1" customWidth="1"/>
    <col min="25" max="25" width="2.375" style="197" hidden="1" customWidth="1"/>
    <col min="26" max="26" width="24.875" style="197" hidden="1" customWidth="1"/>
    <col min="27" max="27" width="17.625" style="197" hidden="1" customWidth="1"/>
    <col min="28" max="28" width="2.25" style="197" hidden="1" customWidth="1"/>
    <col min="29" max="29" width="9" style="746" hidden="1" customWidth="1"/>
    <col min="30" max="31" width="11" style="746" hidden="1" customWidth="1"/>
    <col min="32" max="39" width="9" style="746" hidden="1" customWidth="1"/>
    <col min="40" max="40" width="2.25" style="746" hidden="1" customWidth="1"/>
    <col min="41" max="42" width="9" style="746" hidden="1" customWidth="1"/>
    <col min="43" max="43" width="11.125" style="746" hidden="1" customWidth="1"/>
    <col min="44" max="44" width="9" style="746" hidden="1" customWidth="1"/>
    <col min="45" max="45" width="2.25" style="746" hidden="1" customWidth="1"/>
    <col min="46" max="53" width="9" style="746" hidden="1" customWidth="1"/>
    <col min="54" max="54" width="2.25" style="746" hidden="1" customWidth="1"/>
    <col min="55" max="62" width="9" style="746" hidden="1" customWidth="1"/>
    <col min="63" max="63" width="13" style="746" hidden="1" customWidth="1"/>
    <col min="64" max="64" width="3.75" style="746" hidden="1" customWidth="1"/>
    <col min="65" max="86" width="9" style="746" hidden="1" customWidth="1"/>
    <col min="87" max="87" width="9" style="197" hidden="1" customWidth="1"/>
    <col min="88" max="88" width="8.875" style="197" hidden="1" customWidth="1"/>
    <col min="89" max="89" width="9" style="197" customWidth="1"/>
    <col min="90" max="16384" width="9" style="197"/>
  </cols>
  <sheetData>
    <row r="1" spans="1:87" ht="317.25" customHeight="1" x14ac:dyDescent="0.15">
      <c r="A1" s="2969" t="s">
        <v>1838</v>
      </c>
      <c r="B1" s="2969"/>
      <c r="C1" s="2970" t="s">
        <v>2719</v>
      </c>
      <c r="D1" s="2970"/>
      <c r="E1" s="2970"/>
      <c r="F1" s="2970"/>
      <c r="G1" s="2970"/>
      <c r="H1" s="2970"/>
      <c r="I1" s="2970"/>
      <c r="J1" s="2970"/>
      <c r="K1" s="2970"/>
      <c r="L1" s="2970"/>
      <c r="M1" s="2970"/>
      <c r="N1" s="2970"/>
      <c r="O1" s="2970"/>
      <c r="P1" s="2970"/>
      <c r="Q1" s="2970"/>
      <c r="R1" s="2970"/>
      <c r="S1" s="2970"/>
      <c r="T1" s="2970"/>
      <c r="U1" s="440" t="str">
        <f>HYPERLINK("#'使用方法'!F29:F37","シート一覧へ")</f>
        <v>シート一覧へ</v>
      </c>
      <c r="W1" s="147"/>
      <c r="X1" s="147"/>
      <c r="Y1" s="61"/>
      <c r="Z1" s="439" t="s">
        <v>2713</v>
      </c>
      <c r="AF1" s="747" t="s">
        <v>2712</v>
      </c>
      <c r="BN1" s="748">
        <v>1</v>
      </c>
      <c r="BO1" s="748">
        <v>2</v>
      </c>
      <c r="BP1" s="748">
        <v>3</v>
      </c>
      <c r="BQ1" s="748">
        <v>4</v>
      </c>
      <c r="BR1" s="748">
        <v>5</v>
      </c>
      <c r="BS1" s="748">
        <v>6</v>
      </c>
      <c r="BT1" s="748">
        <v>7</v>
      </c>
      <c r="BU1" s="748">
        <v>8</v>
      </c>
      <c r="BV1" s="748">
        <v>9</v>
      </c>
      <c r="BW1" s="748">
        <v>10</v>
      </c>
      <c r="BX1" s="748">
        <v>11</v>
      </c>
      <c r="BY1" s="748">
        <v>12</v>
      </c>
      <c r="BZ1" s="748">
        <v>13</v>
      </c>
      <c r="CA1" s="748">
        <v>14</v>
      </c>
      <c r="CB1" s="748">
        <v>15</v>
      </c>
      <c r="CC1" s="748">
        <v>16</v>
      </c>
      <c r="CD1" s="748">
        <v>17</v>
      </c>
      <c r="CE1" s="748">
        <v>18</v>
      </c>
      <c r="CF1" s="748">
        <v>19</v>
      </c>
      <c r="CG1" s="748">
        <v>20</v>
      </c>
      <c r="CH1" s="748">
        <v>21</v>
      </c>
    </row>
    <row r="2" spans="1:87" x14ac:dyDescent="0.15">
      <c r="A2" s="61"/>
      <c r="G2" s="34"/>
      <c r="H2" s="9"/>
      <c r="I2" s="34"/>
      <c r="J2" s="9"/>
      <c r="K2" s="34"/>
      <c r="L2" s="9"/>
      <c r="T2" s="1111" t="str">
        <f>チェックシート!H3</f>
        <v>Kyoto City（R7.7） ver.120</v>
      </c>
      <c r="W2" s="100"/>
      <c r="X2" s="100"/>
      <c r="Y2" s="100"/>
      <c r="Z2" s="197" t="s">
        <v>2723</v>
      </c>
      <c r="AA2" s="146" t="str">
        <f>チェックシート!H3</f>
        <v>Kyoto City（R7.7） ver.120</v>
      </c>
      <c r="AC2" s="749"/>
      <c r="AF2" s="750"/>
      <c r="AG2" s="751"/>
      <c r="AH2" s="752" t="s">
        <v>2686</v>
      </c>
      <c r="AI2" s="753"/>
      <c r="AJ2" s="754"/>
      <c r="AK2" s="752" t="s">
        <v>2687</v>
      </c>
      <c r="AL2" s="749"/>
      <c r="BN2" s="748" t="s">
        <v>2631</v>
      </c>
      <c r="BO2" s="748" t="s">
        <v>2630</v>
      </c>
      <c r="BP2" s="748" t="s">
        <v>2629</v>
      </c>
      <c r="BQ2" s="748" t="s">
        <v>2628</v>
      </c>
      <c r="BR2" s="748" t="s">
        <v>2627</v>
      </c>
      <c r="BS2" s="748" t="s">
        <v>2626</v>
      </c>
      <c r="BT2" s="748" t="s">
        <v>2625</v>
      </c>
      <c r="BU2" s="748" t="s">
        <v>2624</v>
      </c>
      <c r="BV2" s="748" t="s">
        <v>2623</v>
      </c>
      <c r="BW2" s="748" t="s">
        <v>2622</v>
      </c>
      <c r="BX2" s="748" t="s">
        <v>2621</v>
      </c>
      <c r="BY2" s="748" t="s">
        <v>2620</v>
      </c>
      <c r="BZ2" s="748" t="s">
        <v>2619</v>
      </c>
      <c r="CA2" s="748" t="s">
        <v>2618</v>
      </c>
      <c r="CB2" s="748" t="s">
        <v>2617</v>
      </c>
      <c r="CC2" s="748" t="s">
        <v>2616</v>
      </c>
      <c r="CD2" s="748" t="s">
        <v>2615</v>
      </c>
      <c r="CE2" s="748" t="s">
        <v>2614</v>
      </c>
      <c r="CF2" s="748" t="s">
        <v>2613</v>
      </c>
      <c r="CG2" s="748" t="s">
        <v>2612</v>
      </c>
      <c r="CH2" s="748" t="s">
        <v>2611</v>
      </c>
      <c r="CI2" s="100"/>
    </row>
    <row r="3" spans="1:87" ht="22.5" customHeight="1" x14ac:dyDescent="0.15">
      <c r="A3" s="2971" t="s">
        <v>2843</v>
      </c>
      <c r="B3" s="2972"/>
      <c r="C3" s="2975"/>
      <c r="D3" s="2976"/>
      <c r="E3" s="2983" t="s">
        <v>1834</v>
      </c>
      <c r="F3" s="755"/>
      <c r="G3" s="2955" t="s">
        <v>2217</v>
      </c>
      <c r="H3" s="2955"/>
      <c r="I3" s="2955"/>
      <c r="J3" s="2955"/>
      <c r="K3" s="2955"/>
      <c r="L3" s="2955"/>
      <c r="M3" s="2955"/>
      <c r="N3" s="2955"/>
      <c r="O3" s="2955"/>
      <c r="P3" s="2955"/>
      <c r="Q3" s="2955"/>
      <c r="R3" s="2955"/>
      <c r="S3" s="2955"/>
      <c r="T3" s="2956"/>
      <c r="W3" s="100"/>
      <c r="X3" s="100"/>
      <c r="Y3" s="100"/>
      <c r="Z3" s="467" t="s">
        <v>2690</v>
      </c>
      <c r="AA3" s="438" t="str">
        <f>IF('1_入力シート【基本情報】'!DN215,HYPERLINK("#'＜入力不要＞概要書'!C297","記載あふれ要確認"),"")</f>
        <v/>
      </c>
      <c r="AC3" s="749"/>
      <c r="AF3" s="756"/>
      <c r="AG3" s="757"/>
      <c r="AH3" s="752" t="s">
        <v>2684</v>
      </c>
      <c r="AI3" s="758"/>
      <c r="AJ3" s="759"/>
      <c r="AK3" s="752" t="s">
        <v>2689</v>
      </c>
      <c r="AL3" s="749"/>
      <c r="BN3" s="757" t="str">
        <f>プルダウン選択肢!AC2</f>
        <v>劇場,映画館等</v>
      </c>
      <c r="BO3" s="757" t="str">
        <f>プルダウン選択肢!AD2</f>
        <v>集会場等</v>
      </c>
      <c r="BP3" s="757" t="str">
        <f>プルダウン選択肢!AE2</f>
        <v>病院系施設</v>
      </c>
      <c r="BQ3" s="757" t="str">
        <f>プルダウン選択肢!AF2</f>
        <v>宿泊施設</v>
      </c>
      <c r="BR3" s="757" t="str">
        <f>プルダウン選択肢!AG2</f>
        <v>住居系施設(高齢者,障害者等以外)</v>
      </c>
      <c r="BS3" s="757" t="str">
        <f>プルダウン選択肢!AH2</f>
        <v>住居系施設(高齢者,障害者等)</v>
      </c>
      <c r="BT3" s="757" t="str">
        <f>プルダウン選択肢!AI2</f>
        <v>児童福祉施設等(1)(市指定※)</v>
      </c>
      <c r="BU3" s="757" t="str">
        <f>プルダウン選択肢!AJ2</f>
        <v>児童福祉施設等(2)(国指定※)</v>
      </c>
      <c r="BV3" s="757" t="str">
        <f>プルダウン選択肢!AK2</f>
        <v>学校,体育館(学校付属)</v>
      </c>
      <c r="BW3" s="757" t="str">
        <f>プルダウン選択肢!AL2</f>
        <v>体育館(学校付属以外)</v>
      </c>
      <c r="BX3" s="757" t="str">
        <f>プルダウン選択肢!AM2</f>
        <v>美術館等</v>
      </c>
      <c r="BY3" s="757" t="str">
        <f>プルダウン選択肢!AN2</f>
        <v>スポーツ練習場等</v>
      </c>
      <c r="BZ3" s="757" t="str">
        <f>プルダウン選択肢!AO2</f>
        <v>物販店等</v>
      </c>
      <c r="CA3" s="757" t="str">
        <f>プルダウン選択肢!AP2</f>
        <v>展示場等</v>
      </c>
      <c r="CB3" s="757" t="str">
        <f>プルダウン選択肢!AQ2</f>
        <v>飲食等</v>
      </c>
      <c r="CC3" s="757" t="str">
        <f>プルダウン選択肢!AR2</f>
        <v>遊技場等</v>
      </c>
      <c r="CD3" s="757" t="str">
        <f>プルダウン選択肢!AS2</f>
        <v>自動車車庫等</v>
      </c>
      <c r="CE3" s="757" t="str">
        <f>プルダウン選択肢!AT2</f>
        <v>事務所,サービス店舗等</v>
      </c>
      <c r="CF3" s="757" t="str">
        <f>プルダウン選択肢!AU2</f>
        <v>定報対象以外の用途(倉庫)</v>
      </c>
      <c r="CG3" s="757" t="str">
        <f>プルダウン選択肢!AV2</f>
        <v>定報対象以外の用途(倉庫以外)</v>
      </c>
      <c r="CI3" s="100"/>
    </row>
    <row r="4" spans="1:87" s="35" customFormat="1" ht="13.5" customHeight="1" x14ac:dyDescent="0.15">
      <c r="A4" s="1421" t="s">
        <v>2372</v>
      </c>
      <c r="B4" s="1421" t="s">
        <v>2373</v>
      </c>
      <c r="C4" s="2977"/>
      <c r="D4" s="2978"/>
      <c r="E4" s="2984"/>
      <c r="F4" s="2988" t="s">
        <v>1832</v>
      </c>
      <c r="G4" s="2957"/>
      <c r="H4" s="2957"/>
      <c r="I4" s="2957"/>
      <c r="J4" s="2957"/>
      <c r="K4" s="2957"/>
      <c r="L4" s="2957"/>
      <c r="M4" s="2957"/>
      <c r="N4" s="2957"/>
      <c r="O4" s="2957"/>
      <c r="P4" s="2957"/>
      <c r="Q4" s="2957"/>
      <c r="R4" s="2957"/>
      <c r="S4" s="2957"/>
      <c r="T4" s="2985"/>
      <c r="V4" s="1775"/>
      <c r="W4" s="145">
        <f>G4</f>
        <v>0</v>
      </c>
      <c r="X4" s="145">
        <f>IF(COUNTIF($W$4:W4,W4)&gt;=2,"",W4)</f>
        <v>0</v>
      </c>
      <c r="Y4" s="144"/>
      <c r="Z4" s="467" t="s">
        <v>2690</v>
      </c>
      <c r="AA4" s="438" t="str">
        <f>IF('1_入力シート【基本情報】'!DN303,HYPERLINK("#'＜入力不要＞概要書'!O102","文字サイズ要確認"),"")</f>
        <v/>
      </c>
      <c r="AC4" s="746"/>
      <c r="AF4" s="760"/>
      <c r="AG4" s="761"/>
      <c r="AH4" s="752" t="s">
        <v>2685</v>
      </c>
      <c r="AI4" s="762"/>
      <c r="AJ4" s="763"/>
      <c r="AK4" s="752" t="s">
        <v>2688</v>
      </c>
      <c r="AL4" s="746"/>
      <c r="AM4" s="746"/>
      <c r="AN4" s="746"/>
      <c r="AS4" s="746"/>
      <c r="AT4" s="746"/>
      <c r="AU4" s="746"/>
      <c r="AV4" s="746"/>
      <c r="AW4" s="746"/>
      <c r="AX4" s="746"/>
      <c r="AY4" s="746"/>
      <c r="AZ4" s="746"/>
      <c r="BA4" s="746"/>
      <c r="BB4" s="746"/>
      <c r="BC4" s="746"/>
      <c r="BD4" s="746"/>
      <c r="BE4" s="746"/>
      <c r="BF4" s="746"/>
      <c r="BG4" s="746"/>
      <c r="BH4" s="746"/>
      <c r="BI4" s="746"/>
      <c r="BJ4" s="746"/>
      <c r="BK4" s="746"/>
      <c r="BL4" s="746"/>
      <c r="BM4" s="746"/>
      <c r="BN4" s="746"/>
      <c r="BO4" s="746"/>
      <c r="BP4" s="746"/>
      <c r="BQ4" s="746"/>
      <c r="BR4" s="746"/>
      <c r="BS4" s="746"/>
      <c r="BT4" s="746"/>
      <c r="BU4" s="746"/>
      <c r="BV4" s="746"/>
      <c r="BW4" s="746"/>
      <c r="BX4" s="746"/>
      <c r="BY4" s="746"/>
      <c r="BZ4" s="746"/>
      <c r="CA4" s="746"/>
      <c r="CB4" s="746"/>
      <c r="CC4" s="746"/>
      <c r="CD4" s="746"/>
      <c r="CE4" s="746"/>
      <c r="CF4" s="746"/>
      <c r="CG4" s="746"/>
      <c r="CH4" s="746"/>
      <c r="CI4" s="144"/>
    </row>
    <row r="5" spans="1:87" s="35" customFormat="1" ht="14.25" customHeight="1" x14ac:dyDescent="0.15">
      <c r="A5" s="1422" t="s">
        <v>2301</v>
      </c>
      <c r="B5" s="1422" t="s">
        <v>2228</v>
      </c>
      <c r="C5" s="2977"/>
      <c r="D5" s="2978"/>
      <c r="E5" s="2984"/>
      <c r="F5" s="2988"/>
      <c r="G5" s="2958"/>
      <c r="H5" s="2958"/>
      <c r="I5" s="2958"/>
      <c r="J5" s="2958"/>
      <c r="K5" s="2958"/>
      <c r="L5" s="2958"/>
      <c r="M5" s="2958"/>
      <c r="N5" s="2958"/>
      <c r="O5" s="2958"/>
      <c r="P5" s="2958"/>
      <c r="Q5" s="2958"/>
      <c r="R5" s="2958"/>
      <c r="S5" s="2958"/>
      <c r="T5" s="2986"/>
      <c r="U5" s="378" t="s">
        <v>3318</v>
      </c>
      <c r="V5" s="1775"/>
      <c r="W5" s="145">
        <f>I4</f>
        <v>0</v>
      </c>
      <c r="X5" s="145" t="str">
        <f>IF(COUNTIF($W$4:W5,W5)&gt;=2,"",W5)</f>
        <v/>
      </c>
      <c r="Y5" s="144"/>
      <c r="Z5" s="467" t="s">
        <v>2691</v>
      </c>
      <c r="AA5" s="438" t="s">
        <v>2632</v>
      </c>
      <c r="AB5" s="144" t="s">
        <v>2714</v>
      </c>
      <c r="AC5" s="746"/>
      <c r="AD5" s="746"/>
      <c r="AE5" s="746"/>
      <c r="AF5" s="746"/>
      <c r="AG5" s="746"/>
      <c r="AH5" s="746"/>
      <c r="AI5" s="746"/>
      <c r="AJ5" s="746"/>
      <c r="AK5" s="746"/>
      <c r="AL5" s="746"/>
      <c r="AM5" s="746"/>
      <c r="AN5" s="746"/>
      <c r="AQ5" s="746"/>
      <c r="AR5" s="746"/>
      <c r="AS5" s="746"/>
      <c r="AT5" s="746" t="s">
        <v>2610</v>
      </c>
      <c r="AU5" s="746"/>
      <c r="AV5" s="746"/>
      <c r="AW5" s="746"/>
      <c r="AX5" s="746"/>
      <c r="AY5" s="746"/>
      <c r="AZ5" s="746"/>
      <c r="BA5" s="746"/>
      <c r="BB5" s="746"/>
      <c r="BC5" s="746"/>
      <c r="BD5" s="746"/>
      <c r="BE5" s="746"/>
      <c r="BF5" s="746"/>
      <c r="BG5" s="746"/>
      <c r="BH5" s="746"/>
      <c r="BI5" s="746"/>
      <c r="BJ5" s="746"/>
      <c r="BK5" s="746"/>
      <c r="BL5" s="746"/>
      <c r="BM5" s="746"/>
      <c r="BN5" s="764" t="str">
        <f>プルダウン選択肢!AC4</f>
        <v>劇場</v>
      </c>
      <c r="BO5" s="764" t="str">
        <f>プルダウン選択肢!AD4</f>
        <v>観覧場（屋外観覧場を除く）</v>
      </c>
      <c r="BP5" s="764" t="str">
        <f>プルダウン選択肢!AE4</f>
        <v>病院</v>
      </c>
      <c r="BQ5" s="764" t="str">
        <f>プルダウン選択肢!AF4</f>
        <v>ホテル</v>
      </c>
      <c r="BR5" s="764" t="str">
        <f>プルダウン選択肢!AG4</f>
        <v>下宿</v>
      </c>
      <c r="BS5" s="764" t="str">
        <f>プルダウン選択肢!AH4</f>
        <v>サービス付き高齢者向け住宅</v>
      </c>
      <c r="BT5" s="764" t="str">
        <f>プルダウン選択肢!AI4</f>
        <v>保育所</v>
      </c>
      <c r="BU5" s="764" t="str">
        <f>プルダウン選択肢!AJ4</f>
        <v>助産施設</v>
      </c>
      <c r="BV5" s="764" t="str">
        <f>プルダウン選択肢!AK4</f>
        <v>学校</v>
      </c>
      <c r="BW5" s="764" t="str">
        <f>プルダウン選択肢!AL4</f>
        <v>体育館（学校に付属するもの以外）</v>
      </c>
      <c r="BX5" s="764" t="str">
        <f>プルダウン選択肢!AM4</f>
        <v>博物館</v>
      </c>
      <c r="BY5" s="764" t="str">
        <f>プルダウン選択肢!AN4</f>
        <v>ボーリング場</v>
      </c>
      <c r="BZ5" s="764" t="str">
        <f>プルダウン選択肢!AO4</f>
        <v>百貨店</v>
      </c>
      <c r="CA5" s="764" t="str">
        <f>プルダウン選択肢!AP4</f>
        <v>展示場</v>
      </c>
      <c r="CB5" s="764" t="str">
        <f>プルダウン選択肢!AQ4</f>
        <v>飲食店</v>
      </c>
      <c r="CC5" s="764" t="str">
        <f>プルダウン選択肢!AR4</f>
        <v>公衆浴場</v>
      </c>
      <c r="CD5" s="764" t="str">
        <f>プルダウン選択肢!AS4</f>
        <v>自動車車庫</v>
      </c>
      <c r="CE5" s="764" t="str">
        <f>プルダウン選択肢!AT4</f>
        <v>事務所</v>
      </c>
      <c r="CF5" s="764" t="str">
        <f>プルダウン選択肢!AU4</f>
        <v>倉庫（別の用途に附属するもの以外）</v>
      </c>
      <c r="CG5" s="764" t="str">
        <f>プルダウン選択肢!AV4</f>
        <v>工場</v>
      </c>
      <c r="CH5" s="746"/>
      <c r="CI5" s="144"/>
    </row>
    <row r="6" spans="1:87" s="35" customFormat="1" ht="15" x14ac:dyDescent="0.15">
      <c r="A6" s="1422" t="s">
        <v>2302</v>
      </c>
      <c r="B6" s="1422" t="s">
        <v>2231</v>
      </c>
      <c r="C6" s="2977"/>
      <c r="D6" s="2978"/>
      <c r="E6" s="2984"/>
      <c r="F6" s="2988"/>
      <c r="G6" s="2959"/>
      <c r="H6" s="2959"/>
      <c r="I6" s="2959"/>
      <c r="J6" s="2959"/>
      <c r="K6" s="2959"/>
      <c r="L6" s="2959"/>
      <c r="M6" s="2959"/>
      <c r="N6" s="2959"/>
      <c r="O6" s="2959"/>
      <c r="P6" s="2959"/>
      <c r="Q6" s="2959"/>
      <c r="R6" s="2959"/>
      <c r="S6" s="2959"/>
      <c r="T6" s="2987"/>
      <c r="V6" s="1775"/>
      <c r="W6" s="145">
        <f>K4</f>
        <v>0</v>
      </c>
      <c r="X6" s="145" t="str">
        <f>IF(COUNTIF($W$4:W6,W6)&gt;=2,"",W6)</f>
        <v/>
      </c>
      <c r="Y6" s="144"/>
      <c r="AB6" s="144" t="s">
        <v>2714</v>
      </c>
      <c r="AC6" s="746"/>
      <c r="AD6" s="765" t="s">
        <v>2609</v>
      </c>
      <c r="AE6" s="746" t="s">
        <v>2608</v>
      </c>
      <c r="AF6" s="746" t="s">
        <v>2544</v>
      </c>
      <c r="AG6" s="746" t="s">
        <v>2543</v>
      </c>
      <c r="AH6" s="746" t="s">
        <v>2542</v>
      </c>
      <c r="AI6" s="746" t="s">
        <v>2541</v>
      </c>
      <c r="AJ6" s="746" t="s">
        <v>2540</v>
      </c>
      <c r="AK6" s="746" t="s">
        <v>2539</v>
      </c>
      <c r="AL6" s="746" t="s">
        <v>2538</v>
      </c>
      <c r="AM6" s="746" t="s">
        <v>2607</v>
      </c>
      <c r="AN6" s="746"/>
      <c r="AO6" s="746"/>
      <c r="AP6" s="746"/>
      <c r="AQ6" s="746"/>
      <c r="AR6" s="746"/>
      <c r="AS6" s="746"/>
      <c r="AT6" s="746"/>
      <c r="AU6" s="746" t="s">
        <v>2544</v>
      </c>
      <c r="AV6" s="746" t="s">
        <v>2543</v>
      </c>
      <c r="AW6" s="746" t="s">
        <v>2542</v>
      </c>
      <c r="AX6" s="746" t="s">
        <v>2541</v>
      </c>
      <c r="AY6" s="746" t="s">
        <v>2540</v>
      </c>
      <c r="AZ6" s="746" t="s">
        <v>2539</v>
      </c>
      <c r="BA6" s="746" t="s">
        <v>2538</v>
      </c>
      <c r="BB6" s="746"/>
      <c r="BC6" s="746"/>
      <c r="BD6" s="746"/>
      <c r="BE6" s="746"/>
      <c r="BF6" s="746"/>
      <c r="BG6" s="746"/>
      <c r="BH6" s="746"/>
      <c r="BI6" s="746"/>
      <c r="BJ6" s="746"/>
      <c r="BK6" s="746"/>
      <c r="BL6" s="746"/>
      <c r="BM6" s="746"/>
      <c r="BN6" s="764" t="str">
        <f>プルダウン選択肢!AC5</f>
        <v>映画館</v>
      </c>
      <c r="BO6" s="764" t="str">
        <f>プルダウン選択肢!AD5</f>
        <v>公会堂</v>
      </c>
      <c r="BP6" s="764" t="str">
        <f>プルダウン選択肢!AE5</f>
        <v>診療所（患者の収容施設があるもの）</v>
      </c>
      <c r="BQ6" s="764" t="str">
        <f>プルダウン選択肢!AF5</f>
        <v>旅館</v>
      </c>
      <c r="BR6" s="764" t="str">
        <f>プルダウン選択肢!AG5</f>
        <v>共同住宅</v>
      </c>
      <c r="BS6" s="764" t="str">
        <f>プルダウン選択肢!AH5</f>
        <v>認知症高齢者グループホーム</v>
      </c>
      <c r="BT6" s="764" t="str">
        <f>プルダウン選択肢!AI5</f>
        <v>幼保連携型認定こども園</v>
      </c>
      <c r="BU6" s="764" t="str">
        <f>プルダウン選択肢!AJ5</f>
        <v>乳児院</v>
      </c>
      <c r="BV6" s="764" t="str">
        <f>プルダウン選択肢!AK5</f>
        <v>体育館（学校に付属するもの）</v>
      </c>
      <c r="BW6" s="764">
        <f>プルダウン選択肢!AL5</f>
        <v>0</v>
      </c>
      <c r="BX6" s="764" t="str">
        <f>プルダウン選択肢!AM5</f>
        <v>美術館</v>
      </c>
      <c r="BY6" s="764" t="str">
        <f>プルダウン選択肢!AN5</f>
        <v>スキー場</v>
      </c>
      <c r="BZ6" s="764" t="str">
        <f>プルダウン選択肢!AO5</f>
        <v>マーケット</v>
      </c>
      <c r="CA6" s="764">
        <f>プルダウン選択肢!AP5</f>
        <v>0</v>
      </c>
      <c r="CB6" s="764" t="str">
        <f>プルダウン選択肢!AQ5</f>
        <v>料理店</v>
      </c>
      <c r="CC6" s="764" t="str">
        <f>プルダウン選択肢!AR5</f>
        <v>キャバレー</v>
      </c>
      <c r="CD6" s="764" t="str">
        <f>プルダウン選択肢!AS5</f>
        <v>自動車修理工場</v>
      </c>
      <c r="CE6" s="764" t="str">
        <f>プルダウン選択肢!AT5</f>
        <v>美容室</v>
      </c>
      <c r="CF6" s="764">
        <f>プルダウン選択肢!AU5</f>
        <v>0</v>
      </c>
      <c r="CG6" s="764" t="str">
        <f>プルダウン選択肢!AV5</f>
        <v>駅舎</v>
      </c>
      <c r="CH6" s="746"/>
      <c r="CI6" s="144"/>
    </row>
    <row r="7" spans="1:87" ht="13.5" customHeight="1" x14ac:dyDescent="0.15">
      <c r="A7" s="1422" t="s">
        <v>2303</v>
      </c>
      <c r="B7" s="1421" t="s">
        <v>2339</v>
      </c>
      <c r="C7" s="2977"/>
      <c r="D7" s="2978"/>
      <c r="E7" s="2984"/>
      <c r="F7" s="2952" t="s">
        <v>1833</v>
      </c>
      <c r="G7" s="2948"/>
      <c r="H7" s="2949"/>
      <c r="I7" s="2948"/>
      <c r="J7" s="2949"/>
      <c r="K7" s="2948"/>
      <c r="L7" s="2949"/>
      <c r="M7" s="2948"/>
      <c r="N7" s="2949"/>
      <c r="O7" s="2948"/>
      <c r="P7" s="2949"/>
      <c r="Q7" s="2948"/>
      <c r="R7" s="2949"/>
      <c r="S7" s="2948"/>
      <c r="T7" s="2960"/>
      <c r="W7" s="146">
        <f>M4</f>
        <v>0</v>
      </c>
      <c r="X7" s="145" t="str">
        <f>IF(COUNTIF($W$4:W7,W7)&gt;=2,"",W7)</f>
        <v/>
      </c>
      <c r="Y7" s="144"/>
      <c r="Z7" s="454" t="s">
        <v>2710</v>
      </c>
      <c r="AA7" s="459" t="str">
        <f>"【用途区分修正"&amp;AA14&amp;"_"&amp;AA17&amp;"_"&amp;AA23&amp;"_"&amp;AA36&amp;"_"&amp;TEXT(AA42,"0.00")&amp;"_"&amp;TEXT(AA43,"0.00")&amp;"_"&amp;AA44&amp;"_"&amp;TEXT(AA45,"0.00")&amp;"_"&amp;AA46&amp;"】"</f>
        <v>【用途区分修正____0.00_0.00__0.00_】</v>
      </c>
      <c r="AB7" s="144" t="s">
        <v>2714</v>
      </c>
      <c r="AC7" s="746" t="s">
        <v>1597</v>
      </c>
      <c r="AF7" s="766" t="str">
        <f>IF(G4="","",G4)</f>
        <v/>
      </c>
      <c r="AG7" s="766" t="str">
        <f>IF(I4="","",I4)</f>
        <v/>
      </c>
      <c r="AH7" s="766" t="str">
        <f>IF(K4="","",K4)</f>
        <v/>
      </c>
      <c r="AI7" s="766" t="str">
        <f>IF(M4="","",M4)</f>
        <v/>
      </c>
      <c r="AJ7" s="766" t="str">
        <f>IF(O4="","",O4)</f>
        <v/>
      </c>
      <c r="AK7" s="766" t="str">
        <f>IF(Q4="","",Q4)</f>
        <v/>
      </c>
      <c r="AL7" s="766" t="str">
        <f>IF(S4="","",S4)</f>
        <v/>
      </c>
      <c r="AP7" s="746" t="s">
        <v>2606</v>
      </c>
      <c r="AQ7" s="746" t="s">
        <v>2605</v>
      </c>
      <c r="AR7" s="746" t="s">
        <v>2604</v>
      </c>
      <c r="BN7" s="764" t="str">
        <f>プルダウン選択肢!AC6</f>
        <v>演芸場</v>
      </c>
      <c r="BO7" s="764" t="str">
        <f>プルダウン選択肢!AD6</f>
        <v>集会場</v>
      </c>
      <c r="BP7" s="764" t="str">
        <f>プルダウン選択肢!AE6</f>
        <v>介護老人保健施設</v>
      </c>
      <c r="BQ7" s="764">
        <f>プルダウン選択肢!AF6</f>
        <v>0</v>
      </c>
      <c r="BR7" s="764" t="str">
        <f>プルダウン選択肢!AG6</f>
        <v>寄宿舎</v>
      </c>
      <c r="BS7" s="764" t="str">
        <f>プルダウン選択肢!AH6</f>
        <v>障害者グループホーム</v>
      </c>
      <c r="BT7" s="764" t="str">
        <f>プルダウン選択肢!AI6</f>
        <v>児童厚生施設</v>
      </c>
      <c r="BU7" s="764" t="str">
        <f>プルダウン選択肢!AJ6</f>
        <v>障害児入所施設</v>
      </c>
      <c r="BV7" s="764">
        <f>プルダウン選択肢!AK6</f>
        <v>0</v>
      </c>
      <c r="BW7" s="764">
        <f>プルダウン選択肢!AL6</f>
        <v>0</v>
      </c>
      <c r="BX7" s="764" t="str">
        <f>プルダウン選択肢!AM6</f>
        <v>図書館</v>
      </c>
      <c r="BY7" s="764" t="str">
        <f>プルダウン選択肢!AN6</f>
        <v>スケート場</v>
      </c>
      <c r="BZ7" s="764" t="str">
        <f>プルダウン選択肢!AO6</f>
        <v>物品販売業を営む店舗</v>
      </c>
      <c r="CA7" s="764">
        <f>プルダウン選択肢!AP6</f>
        <v>0</v>
      </c>
      <c r="CB7" s="764" t="str">
        <f>プルダウン選択肢!AQ6</f>
        <v>待合</v>
      </c>
      <c r="CC7" s="764" t="str">
        <f>プルダウン選択肢!AR6</f>
        <v>カフェー</v>
      </c>
      <c r="CD7" s="764" t="str">
        <f>プルダウン選択肢!AS6</f>
        <v>映画スタジオ</v>
      </c>
      <c r="CE7" s="764" t="str">
        <f>プルダウン選択肢!AT6</f>
        <v>ネイルサロン</v>
      </c>
      <c r="CF7" s="764">
        <f>プルダウン選択肢!AU6</f>
        <v>0</v>
      </c>
      <c r="CG7" s="764" t="str">
        <f>プルダウン選択肢!AV6</f>
        <v>住宅</v>
      </c>
      <c r="CI7" s="100"/>
    </row>
    <row r="8" spans="1:87" ht="15" x14ac:dyDescent="0.15">
      <c r="A8" s="1421" t="s">
        <v>2335</v>
      </c>
      <c r="B8" s="1422" t="s">
        <v>2229</v>
      </c>
      <c r="C8" s="2979" t="s">
        <v>1836</v>
      </c>
      <c r="D8" s="2980"/>
      <c r="E8" s="2973"/>
      <c r="F8" s="2953"/>
      <c r="G8" s="2950"/>
      <c r="H8" s="2951"/>
      <c r="I8" s="2950"/>
      <c r="J8" s="2951"/>
      <c r="K8" s="2950"/>
      <c r="L8" s="2951"/>
      <c r="M8" s="2950"/>
      <c r="N8" s="2951"/>
      <c r="O8" s="2950"/>
      <c r="P8" s="2951"/>
      <c r="Q8" s="2950"/>
      <c r="R8" s="2951"/>
      <c r="S8" s="2950"/>
      <c r="T8" s="2961"/>
      <c r="W8" s="146">
        <f>O4</f>
        <v>0</v>
      </c>
      <c r="X8" s="145" t="str">
        <f>IF(COUNTIF($W$4:W8,W8)&gt;=2,"",W8)</f>
        <v/>
      </c>
      <c r="Y8" s="144"/>
      <c r="Z8" s="460"/>
      <c r="AA8" s="459" t="s">
        <v>2724</v>
      </c>
      <c r="AB8" s="144" t="s">
        <v>2714</v>
      </c>
      <c r="AC8" s="746" t="s">
        <v>1598</v>
      </c>
      <c r="AF8" s="766" t="str">
        <f>IF(G7="","",G7)</f>
        <v/>
      </c>
      <c r="AG8" s="766" t="str">
        <f>IF(I7="","",I7)</f>
        <v/>
      </c>
      <c r="AH8" s="766" t="str">
        <f>IF(K7="","",K7)</f>
        <v/>
      </c>
      <c r="AI8" s="766" t="str">
        <f>IF(M7="","",M7)</f>
        <v/>
      </c>
      <c r="AJ8" s="766" t="str">
        <f>IF(O7="","",O7)</f>
        <v/>
      </c>
      <c r="AK8" s="766" t="str">
        <f>IF(Q7="","",Q7)</f>
        <v/>
      </c>
      <c r="AL8" s="766" t="str">
        <f>IF(S7="","",S7)</f>
        <v/>
      </c>
      <c r="AO8" s="746" t="s">
        <v>2603</v>
      </c>
      <c r="AP8" s="767" t="str">
        <f>IF(COUNTIF($AF$11:$AL$11,$BN$2)&gt;0,"有","")</f>
        <v/>
      </c>
      <c r="AQ8" s="767" t="str">
        <f>IF(COUNTIF($AF$11:$AL$11,$BN$2)+COUNTIF($AF$11:$AL$11,$BO$2)&gt;0,"有","")</f>
        <v/>
      </c>
      <c r="AR8" s="767" t="str">
        <f>IF(COUNTIF($AF$11:$AL$11,$BR$2)+COUNTIF($AF$11:$AL$11,$BS$2)&gt;0,"有","")</f>
        <v/>
      </c>
      <c r="BN8" s="764">
        <f>プルダウン選択肢!AC7</f>
        <v>0</v>
      </c>
      <c r="BO8" s="764">
        <f>プルダウン選択肢!AD7</f>
        <v>0</v>
      </c>
      <c r="BP8" s="764">
        <f>プルダウン選択肢!AE7</f>
        <v>0</v>
      </c>
      <c r="BQ8" s="764">
        <f>プルダウン選択肢!AF7</f>
        <v>0</v>
      </c>
      <c r="BR8" s="764">
        <f>プルダウン選択肢!AG7</f>
        <v>0</v>
      </c>
      <c r="BS8" s="764">
        <f>プルダウン選択肢!AH7</f>
        <v>0</v>
      </c>
      <c r="BT8" s="764" t="str">
        <f>プルダウン選択肢!AI7</f>
        <v>児童養護施設</v>
      </c>
      <c r="BU8" s="764" t="str">
        <f>プルダウン選択肢!AJ7</f>
        <v>助産所</v>
      </c>
      <c r="BV8" s="764">
        <f>プルダウン選択肢!AK7</f>
        <v>0</v>
      </c>
      <c r="BW8" s="764">
        <f>プルダウン選択肢!AL7</f>
        <v>0</v>
      </c>
      <c r="BX8" s="764">
        <f>プルダウン選択肢!AM7</f>
        <v>0</v>
      </c>
      <c r="BY8" s="764" t="str">
        <f>プルダウン選択肢!AN7</f>
        <v>水泳場</v>
      </c>
      <c r="BZ8" s="764">
        <f>プルダウン選択肢!AO7</f>
        <v>0</v>
      </c>
      <c r="CA8" s="764">
        <f>プルダウン選択肢!AP7</f>
        <v>0</v>
      </c>
      <c r="CB8" s="764">
        <f>プルダウン選択肢!AQ7</f>
        <v>0</v>
      </c>
      <c r="CC8" s="764" t="str">
        <f>プルダウン選択肢!AR7</f>
        <v>ナイトクラブ</v>
      </c>
      <c r="CD8" s="764" t="str">
        <f>プルダウン選択肢!AS7</f>
        <v>テレビスタジオ</v>
      </c>
      <c r="CE8" s="764" t="str">
        <f>プルダウン選択肢!AT7</f>
        <v>診療所（患者の収容施設がないもの）</v>
      </c>
      <c r="CF8" s="764">
        <f>プルダウン選択肢!AU7</f>
        <v>0</v>
      </c>
      <c r="CG8" s="764">
        <f>プルダウン選択肢!AV7</f>
        <v>0</v>
      </c>
      <c r="CI8" s="100"/>
    </row>
    <row r="9" spans="1:87" ht="15" x14ac:dyDescent="0.15">
      <c r="A9" s="1422" t="s">
        <v>2304</v>
      </c>
      <c r="B9" s="1421" t="s">
        <v>2340</v>
      </c>
      <c r="C9" s="2979"/>
      <c r="D9" s="2980"/>
      <c r="E9" s="2973"/>
      <c r="F9" s="2953"/>
      <c r="G9" s="2950"/>
      <c r="H9" s="2951"/>
      <c r="I9" s="2950"/>
      <c r="J9" s="2951"/>
      <c r="K9" s="2950"/>
      <c r="L9" s="2951"/>
      <c r="M9" s="2950"/>
      <c r="N9" s="2951"/>
      <c r="O9" s="2950"/>
      <c r="P9" s="2951"/>
      <c r="Q9" s="2950"/>
      <c r="R9" s="2951"/>
      <c r="S9" s="2950"/>
      <c r="T9" s="2961"/>
      <c r="W9" s="146">
        <f>Q4</f>
        <v>0</v>
      </c>
      <c r="X9" s="145" t="str">
        <f>IF(COUNTIF($W$4:W9,W9)&gt;=2,"",W9)</f>
        <v/>
      </c>
      <c r="Y9" s="144"/>
      <c r="AB9" s="9"/>
      <c r="AC9" s="746" t="s">
        <v>2602</v>
      </c>
      <c r="AF9" s="767" t="str">
        <f t="shared" ref="AF9:AL9" si="0">IF(AF7="","",IF(AF8="","",IF(SUMPRODUCT((INDEX($BN$5:$CG$24,0,MATCH(AF7,$BN$3:$CG$3,0))=AF8)*1)=0,"有","")))</f>
        <v/>
      </c>
      <c r="AG9" s="767" t="str">
        <f t="shared" si="0"/>
        <v/>
      </c>
      <c r="AH9" s="767" t="str">
        <f t="shared" si="0"/>
        <v/>
      </c>
      <c r="AI9" s="767" t="str">
        <f t="shared" si="0"/>
        <v/>
      </c>
      <c r="AJ9" s="767" t="str">
        <f t="shared" si="0"/>
        <v/>
      </c>
      <c r="AK9" s="767" t="str">
        <f t="shared" si="0"/>
        <v/>
      </c>
      <c r="AL9" s="767" t="str">
        <f t="shared" si="0"/>
        <v/>
      </c>
      <c r="AO9" s="746" t="s">
        <v>2601</v>
      </c>
      <c r="AP9" s="767" t="str">
        <f>AE82</f>
        <v/>
      </c>
      <c r="AQ9" s="767" t="str">
        <f>IF(AQ8="","",IF((BN59+BO59)&gt;=200,"200㎡以上","200㎡未満"))</f>
        <v/>
      </c>
      <c r="AR9" s="767" t="str">
        <f>IF(AR8="","",AE84)</f>
        <v/>
      </c>
      <c r="AU9" s="748" t="str">
        <f>""</f>
        <v/>
      </c>
      <c r="AV9" s="748" t="str">
        <f>""</f>
        <v/>
      </c>
      <c r="AW9" s="748" t="str">
        <f>""</f>
        <v/>
      </c>
      <c r="AX9" s="748" t="str">
        <f>""</f>
        <v/>
      </c>
      <c r="AY9" s="748" t="str">
        <f>""</f>
        <v/>
      </c>
      <c r="AZ9" s="748" t="str">
        <f>""</f>
        <v/>
      </c>
      <c r="BA9" s="748" t="str">
        <f>""</f>
        <v/>
      </c>
      <c r="BN9" s="764">
        <f>プルダウン選択肢!AC8</f>
        <v>0</v>
      </c>
      <c r="BO9" s="764">
        <f>プルダウン選択肢!AD8</f>
        <v>0</v>
      </c>
      <c r="BP9" s="764">
        <f>プルダウン選択肢!AE8</f>
        <v>0</v>
      </c>
      <c r="BQ9" s="764">
        <f>プルダウン選択肢!AF8</f>
        <v>0</v>
      </c>
      <c r="BR9" s="764">
        <f>プルダウン選択肢!AG8</f>
        <v>0</v>
      </c>
      <c r="BS9" s="764">
        <f>プルダウン選択肢!AH8</f>
        <v>0</v>
      </c>
      <c r="BT9" s="764" t="str">
        <f>プルダウン選択肢!AI8</f>
        <v>身体障害者福祉センター</v>
      </c>
      <c r="BU9" s="764" t="str">
        <f>プルダウン選択肢!AJ8</f>
        <v>盲導犬訓練施設</v>
      </c>
      <c r="BV9" s="764">
        <f>プルダウン選択肢!AK8</f>
        <v>0</v>
      </c>
      <c r="BW9" s="764">
        <f>プルダウン選択肢!AL8</f>
        <v>0</v>
      </c>
      <c r="BX9" s="764">
        <f>プルダウン選択肢!AM8</f>
        <v>0</v>
      </c>
      <c r="BY9" s="764" t="str">
        <f>プルダウン選択肢!AN8</f>
        <v>スポーツの練習場</v>
      </c>
      <c r="BZ9" s="764">
        <f>プルダウン選択肢!AO8</f>
        <v>0</v>
      </c>
      <c r="CA9" s="764">
        <f>プルダウン選択肢!AP8</f>
        <v>0</v>
      </c>
      <c r="CB9" s="764">
        <f>プルダウン選択肢!AQ8</f>
        <v>0</v>
      </c>
      <c r="CC9" s="764" t="str">
        <f>プルダウン選択肢!AR8</f>
        <v>バー</v>
      </c>
      <c r="CD9" s="764">
        <f>プルダウン選択肢!AS8</f>
        <v>0</v>
      </c>
      <c r="CE9" s="764" t="str">
        <f>プルダウン選択肢!AT8</f>
        <v>学習塾</v>
      </c>
      <c r="CF9" s="764">
        <f>プルダウン選択肢!AU8</f>
        <v>0</v>
      </c>
      <c r="CG9" s="764">
        <f>プルダウン選択肢!AV8</f>
        <v>0</v>
      </c>
      <c r="CI9" s="100"/>
    </row>
    <row r="10" spans="1:87" ht="15" x14ac:dyDescent="0.15">
      <c r="A10" s="1422" t="s">
        <v>2305</v>
      </c>
      <c r="B10" s="1422" t="s">
        <v>2341</v>
      </c>
      <c r="C10" s="2979"/>
      <c r="D10" s="2980"/>
      <c r="E10" s="2973"/>
      <c r="F10" s="2953"/>
      <c r="G10" s="2950"/>
      <c r="H10" s="2951"/>
      <c r="I10" s="2950"/>
      <c r="J10" s="2951"/>
      <c r="K10" s="2950"/>
      <c r="L10" s="2951"/>
      <c r="M10" s="2950"/>
      <c r="N10" s="2951"/>
      <c r="O10" s="2950"/>
      <c r="P10" s="2951"/>
      <c r="Q10" s="2950"/>
      <c r="R10" s="2951"/>
      <c r="S10" s="2950"/>
      <c r="T10" s="2961"/>
      <c r="W10" s="146">
        <f>S4</f>
        <v>0</v>
      </c>
      <c r="X10" s="145" t="str">
        <f>IF(COUNTIF($W$4:W10,W10)&gt;=2,"",W10)</f>
        <v/>
      </c>
      <c r="Y10" s="144"/>
      <c r="Z10" s="454" t="s">
        <v>2715</v>
      </c>
      <c r="AA10" s="456" t="s">
        <v>2718</v>
      </c>
      <c r="AB10" s="9"/>
      <c r="AC10" s="765" t="s">
        <v>2600</v>
      </c>
      <c r="AF10" s="765"/>
      <c r="AG10" s="765"/>
      <c r="AH10" s="765"/>
      <c r="AI10" s="765"/>
      <c r="AJ10" s="765"/>
      <c r="AK10" s="765"/>
      <c r="AL10" s="765"/>
      <c r="AO10" s="765" t="s">
        <v>2599</v>
      </c>
      <c r="AP10" s="765"/>
      <c r="AQ10" s="765"/>
      <c r="AR10" s="765"/>
      <c r="AT10" s="768" t="s">
        <v>2598</v>
      </c>
      <c r="AU10" s="767" t="str">
        <f t="shared" ref="AU10:BA10" si="1">IF(AF17=0,AU9,AU9&amp;$AT10)</f>
        <v/>
      </c>
      <c r="AV10" s="767" t="str">
        <f t="shared" si="1"/>
        <v/>
      </c>
      <c r="AW10" s="767" t="str">
        <f t="shared" si="1"/>
        <v/>
      </c>
      <c r="AX10" s="767" t="str">
        <f t="shared" si="1"/>
        <v/>
      </c>
      <c r="AY10" s="767" t="str">
        <f t="shared" si="1"/>
        <v/>
      </c>
      <c r="AZ10" s="767" t="str">
        <f t="shared" si="1"/>
        <v/>
      </c>
      <c r="BA10" s="767" t="str">
        <f t="shared" si="1"/>
        <v/>
      </c>
      <c r="BN10" s="764">
        <f>プルダウン選択肢!AC9</f>
        <v>0</v>
      </c>
      <c r="BO10" s="764">
        <f>プルダウン選択肢!AD9</f>
        <v>0</v>
      </c>
      <c r="BP10" s="764">
        <f>プルダウン選択肢!AE9</f>
        <v>0</v>
      </c>
      <c r="BQ10" s="764">
        <f>プルダウン選択肢!AF9</f>
        <v>0</v>
      </c>
      <c r="BR10" s="764">
        <f>プルダウン選択肢!AG9</f>
        <v>0</v>
      </c>
      <c r="BS10" s="764">
        <f>プルダウン選択肢!AH9</f>
        <v>0</v>
      </c>
      <c r="BT10" s="764" t="str">
        <f>プルダウン選択肢!AI9</f>
        <v>老人デイサービスセンター（宿泊サービスを提供しないもの）</v>
      </c>
      <c r="BU10" s="764" t="str">
        <f>プルダウン選択肢!AJ9</f>
        <v>救護施設</v>
      </c>
      <c r="BV10" s="764">
        <f>プルダウン選択肢!AK9</f>
        <v>0</v>
      </c>
      <c r="BW10" s="764">
        <f>プルダウン選択肢!AL9</f>
        <v>0</v>
      </c>
      <c r="BX10" s="764">
        <f>プルダウン選択肢!AM9</f>
        <v>0</v>
      </c>
      <c r="BY10" s="764">
        <f>プルダウン選択肢!AN9</f>
        <v>0</v>
      </c>
      <c r="BZ10" s="764">
        <f>プルダウン選択肢!AO9</f>
        <v>0</v>
      </c>
      <c r="CA10" s="764">
        <f>プルダウン選択肢!AP9</f>
        <v>0</v>
      </c>
      <c r="CB10" s="764">
        <f>プルダウン選択肢!AQ9</f>
        <v>0</v>
      </c>
      <c r="CC10" s="764" t="str">
        <f>プルダウン選択肢!AR9</f>
        <v>ダンスホール</v>
      </c>
      <c r="CD10" s="764">
        <f>プルダウン選択肢!AS9</f>
        <v>0</v>
      </c>
      <c r="CE10" s="764">
        <f>プルダウン選択肢!AT9</f>
        <v>0</v>
      </c>
      <c r="CF10" s="764">
        <f>プルダウン選択肢!AU9</f>
        <v>0</v>
      </c>
      <c r="CG10" s="764">
        <f>プルダウン選択肢!AV9</f>
        <v>0</v>
      </c>
      <c r="CI10" s="100"/>
    </row>
    <row r="11" spans="1:87" ht="15.75" thickBot="1" x14ac:dyDescent="0.2">
      <c r="A11" s="1422" t="s">
        <v>2306</v>
      </c>
      <c r="B11" s="1422" t="s">
        <v>2342</v>
      </c>
      <c r="C11" s="2979"/>
      <c r="D11" s="2980"/>
      <c r="E11" s="2973"/>
      <c r="F11" s="2954"/>
      <c r="G11" s="2950"/>
      <c r="H11" s="2951"/>
      <c r="I11" s="2950"/>
      <c r="J11" s="2951"/>
      <c r="K11" s="2950"/>
      <c r="L11" s="2951"/>
      <c r="M11" s="2950"/>
      <c r="N11" s="2951"/>
      <c r="O11" s="2950"/>
      <c r="P11" s="2951"/>
      <c r="Q11" s="2950"/>
      <c r="R11" s="2951"/>
      <c r="S11" s="2950"/>
      <c r="T11" s="2961"/>
      <c r="W11" s="100"/>
      <c r="X11" s="100"/>
      <c r="Y11" s="100"/>
      <c r="Z11" s="454"/>
      <c r="AA11" s="457" t="s">
        <v>2716</v>
      </c>
      <c r="AB11" s="9"/>
      <c r="AC11" s="746" t="s">
        <v>2536</v>
      </c>
      <c r="AF11" s="767" t="str">
        <f t="shared" ref="AF11:AL11" si="2">IF(AF7="","",INDEX($BN$2:$CG$2,0,MATCH(IF(AF10="",AF7,AF10),$BN$3:$CG$3,0)))</f>
        <v/>
      </c>
      <c r="AG11" s="767" t="str">
        <f t="shared" si="2"/>
        <v/>
      </c>
      <c r="AH11" s="767" t="str">
        <f t="shared" si="2"/>
        <v/>
      </c>
      <c r="AI11" s="767" t="str">
        <f t="shared" si="2"/>
        <v/>
      </c>
      <c r="AJ11" s="767" t="str">
        <f t="shared" si="2"/>
        <v/>
      </c>
      <c r="AK11" s="767" t="str">
        <f t="shared" si="2"/>
        <v/>
      </c>
      <c r="AL11" s="767" t="str">
        <f t="shared" si="2"/>
        <v/>
      </c>
      <c r="AO11" s="746" t="s">
        <v>2597</v>
      </c>
      <c r="AP11" s="767" t="str">
        <f>IF(AP10="",AP9,AP10)</f>
        <v/>
      </c>
      <c r="AQ11" s="767" t="str">
        <f>IF(AQ10="",AQ9,AQ10)</f>
        <v/>
      </c>
      <c r="AR11" s="767" t="str">
        <f>IF(AR10="",AR9,AR10)</f>
        <v/>
      </c>
      <c r="AT11" s="768" t="s">
        <v>2596</v>
      </c>
      <c r="AU11" s="767" t="str">
        <f t="shared" ref="AU11:BA11" si="3">IF(AF16=0,AU10,AU10&amp;$AT11)</f>
        <v/>
      </c>
      <c r="AV11" s="767" t="str">
        <f t="shared" si="3"/>
        <v/>
      </c>
      <c r="AW11" s="767" t="str">
        <f t="shared" si="3"/>
        <v/>
      </c>
      <c r="AX11" s="767" t="str">
        <f t="shared" si="3"/>
        <v/>
      </c>
      <c r="AY11" s="767" t="str">
        <f t="shared" si="3"/>
        <v/>
      </c>
      <c r="AZ11" s="767" t="str">
        <f t="shared" si="3"/>
        <v/>
      </c>
      <c r="BA11" s="767" t="str">
        <f t="shared" si="3"/>
        <v/>
      </c>
      <c r="BN11" s="764">
        <f>プルダウン選択肢!AC10</f>
        <v>0</v>
      </c>
      <c r="BO11" s="764">
        <f>プルダウン選択肢!AD10</f>
        <v>0</v>
      </c>
      <c r="BP11" s="764">
        <f>プルダウン選択肢!AE10</f>
        <v>0</v>
      </c>
      <c r="BQ11" s="764">
        <f>プルダウン選択肢!AF10</f>
        <v>0</v>
      </c>
      <c r="BR11" s="764">
        <f>プルダウン選択肢!AG10</f>
        <v>0</v>
      </c>
      <c r="BS11" s="764">
        <f>プルダウン選択肢!AH10</f>
        <v>0</v>
      </c>
      <c r="BT11" s="764" t="str">
        <f>プルダウン選択肢!AI10</f>
        <v>老人福祉センター</v>
      </c>
      <c r="BU11" s="764" t="str">
        <f>プルダウン選択肢!AJ10</f>
        <v>更生施設</v>
      </c>
      <c r="BV11" s="764">
        <f>プルダウン選択肢!AK10</f>
        <v>0</v>
      </c>
      <c r="BW11" s="764">
        <f>プルダウン選択肢!AL10</f>
        <v>0</v>
      </c>
      <c r="BX11" s="764">
        <f>プルダウン選択肢!AM10</f>
        <v>0</v>
      </c>
      <c r="BY11" s="764">
        <f>プルダウン選択肢!AN10</f>
        <v>0</v>
      </c>
      <c r="BZ11" s="764">
        <f>プルダウン選択肢!AO10</f>
        <v>0</v>
      </c>
      <c r="CA11" s="764">
        <f>プルダウン選択肢!AP10</f>
        <v>0</v>
      </c>
      <c r="CB11" s="764">
        <f>プルダウン選択肢!AQ10</f>
        <v>0</v>
      </c>
      <c r="CC11" s="764" t="str">
        <f>プルダウン選択肢!AR10</f>
        <v>遊技場</v>
      </c>
      <c r="CD11" s="764">
        <f>プルダウン選択肢!AS10</f>
        <v>0</v>
      </c>
      <c r="CE11" s="764">
        <f>プルダウン選択肢!AT10</f>
        <v>0</v>
      </c>
      <c r="CF11" s="764">
        <f>プルダウン選択肢!AU10</f>
        <v>0</v>
      </c>
      <c r="CG11" s="764">
        <f>プルダウン選択肢!AV10</f>
        <v>0</v>
      </c>
      <c r="CI11" s="100"/>
    </row>
    <row r="12" spans="1:87" ht="27.75" customHeight="1" thickBot="1" x14ac:dyDescent="0.2">
      <c r="A12" s="1421" t="s">
        <v>2336</v>
      </c>
      <c r="B12" s="1422" t="s">
        <v>2343</v>
      </c>
      <c r="C12" s="2981"/>
      <c r="D12" s="2982"/>
      <c r="E12" s="2974"/>
      <c r="F12" s="1117" t="s">
        <v>2216</v>
      </c>
      <c r="G12" s="2962"/>
      <c r="H12" s="2963"/>
      <c r="I12" s="2962"/>
      <c r="J12" s="2963"/>
      <c r="K12" s="2962"/>
      <c r="L12" s="2963"/>
      <c r="M12" s="2962"/>
      <c r="N12" s="2963"/>
      <c r="O12" s="2964"/>
      <c r="P12" s="2965"/>
      <c r="Q12" s="2964"/>
      <c r="R12" s="2965"/>
      <c r="S12" s="2964"/>
      <c r="T12" s="2966"/>
      <c r="U12" s="378" t="s">
        <v>2393</v>
      </c>
      <c r="W12" s="1777" t="str">
        <f>SUBSTITUTE(TRIM(SUBSTITUTE(CONCATENATE(G12," ",I12," ",K12," ",M12," ",O12," ",Q12," ",S12),"（該当なし）",""))," ","、")</f>
        <v/>
      </c>
      <c r="X12" s="1778" t="str">
        <f>W12&amp;W13</f>
        <v/>
      </c>
      <c r="Z12" s="455"/>
      <c r="AA12" s="458" t="s">
        <v>2717</v>
      </c>
      <c r="AB12" s="61"/>
      <c r="AC12" s="746" t="s">
        <v>2595</v>
      </c>
      <c r="AF12" s="766" t="str">
        <f t="shared" ref="AF12" si="4">IF(G12="","",G12)</f>
        <v/>
      </c>
      <c r="AG12" s="766" t="str">
        <f t="shared" ref="AG12" si="5">IF(I12="","",I12)</f>
        <v/>
      </c>
      <c r="AH12" s="766" t="str">
        <f t="shared" ref="AH12" si="6">IF(K12="","",K12)</f>
        <v/>
      </c>
      <c r="AI12" s="766" t="str">
        <f t="shared" ref="AI12" si="7">IF(M12="","",M12)</f>
        <v/>
      </c>
      <c r="AJ12" s="766" t="str">
        <f t="shared" ref="AJ12" si="8">IF(O12="","",O12)</f>
        <v/>
      </c>
      <c r="AK12" s="766" t="str">
        <f t="shared" ref="AK12" si="9">IF(Q12="","",Q12)</f>
        <v/>
      </c>
      <c r="AL12" s="766" t="str">
        <f t="shared" ref="AL12" si="10">IF(S12="","",S12)</f>
        <v/>
      </c>
      <c r="AT12" s="768" t="s">
        <v>2594</v>
      </c>
      <c r="AU12" s="767" t="str">
        <f t="shared" ref="AU12:BA12" si="11">IF(AF15=0,AU11,AU11&amp;$AT12)</f>
        <v/>
      </c>
      <c r="AV12" s="767" t="str">
        <f t="shared" si="11"/>
        <v/>
      </c>
      <c r="AW12" s="767" t="str">
        <f t="shared" si="11"/>
        <v/>
      </c>
      <c r="AX12" s="767" t="str">
        <f t="shared" si="11"/>
        <v/>
      </c>
      <c r="AY12" s="767" t="str">
        <f t="shared" si="11"/>
        <v/>
      </c>
      <c r="AZ12" s="767" t="str">
        <f t="shared" si="11"/>
        <v/>
      </c>
      <c r="BA12" s="767" t="str">
        <f t="shared" si="11"/>
        <v/>
      </c>
      <c r="BN12" s="764">
        <f>プルダウン選択肢!AC11</f>
        <v>0</v>
      </c>
      <c r="BO12" s="764">
        <f>プルダウン選択肢!AD11</f>
        <v>0</v>
      </c>
      <c r="BP12" s="764">
        <f>プルダウン選択肢!AE11</f>
        <v>0</v>
      </c>
      <c r="BQ12" s="764">
        <f>プルダウン選択肢!AF11</f>
        <v>0</v>
      </c>
      <c r="BR12" s="764">
        <f>プルダウン選択肢!AG11</f>
        <v>0</v>
      </c>
      <c r="BS12" s="764">
        <f>プルダウン選択肢!AH11</f>
        <v>0</v>
      </c>
      <c r="BT12" s="764" t="str">
        <f>プルダウン選択肢!AI11</f>
        <v>障害者福祉サービスを行う事業所（生活介護を行う事業所）</v>
      </c>
      <c r="BU12" s="764" t="str">
        <f>プルダウン選択肢!AJ11</f>
        <v>老人短期入所施設</v>
      </c>
      <c r="BV12" s="764">
        <f>プルダウン選択肢!AK11</f>
        <v>0</v>
      </c>
      <c r="BW12" s="764">
        <f>プルダウン選択肢!AL11</f>
        <v>0</v>
      </c>
      <c r="BX12" s="764">
        <f>プルダウン選択肢!AM11</f>
        <v>0</v>
      </c>
      <c r="BY12" s="764">
        <f>プルダウン選択肢!AN11</f>
        <v>0</v>
      </c>
      <c r="BZ12" s="764">
        <f>プルダウン選択肢!AO11</f>
        <v>0</v>
      </c>
      <c r="CA12" s="764">
        <f>プルダウン選択肢!AP11</f>
        <v>0</v>
      </c>
      <c r="CB12" s="764">
        <f>プルダウン選択肢!AQ11</f>
        <v>0</v>
      </c>
      <c r="CC12" s="764">
        <f>プルダウン選択肢!AR11</f>
        <v>0</v>
      </c>
      <c r="CD12" s="764">
        <f>プルダウン選択肢!AS11</f>
        <v>0</v>
      </c>
      <c r="CE12" s="764">
        <f>プルダウン選択肢!AT11</f>
        <v>0</v>
      </c>
      <c r="CF12" s="764">
        <f>プルダウン選択肢!AU11</f>
        <v>0</v>
      </c>
      <c r="CG12" s="764">
        <f>プルダウン選択肢!AV11</f>
        <v>0</v>
      </c>
    </row>
    <row r="13" spans="1:87" ht="15.75" thickBot="1" x14ac:dyDescent="0.2">
      <c r="A13" s="1422" t="s">
        <v>2307</v>
      </c>
      <c r="B13" s="1421" t="s">
        <v>2344</v>
      </c>
      <c r="C13" s="2967" t="s">
        <v>343</v>
      </c>
      <c r="D13" s="2968"/>
      <c r="E13" s="360">
        <f>SUM(G13:T13)</f>
        <v>0</v>
      </c>
      <c r="F13" s="62" t="s">
        <v>28</v>
      </c>
      <c r="G13" s="361">
        <f>SUM(G14:G72)</f>
        <v>0</v>
      </c>
      <c r="H13" s="62"/>
      <c r="I13" s="361">
        <f>SUM(I14:I72)</f>
        <v>0</v>
      </c>
      <c r="J13" s="62"/>
      <c r="K13" s="361">
        <f>SUM(K14:K72)</f>
        <v>0</v>
      </c>
      <c r="L13" s="62"/>
      <c r="M13" s="361">
        <f>SUM(M14:M72)</f>
        <v>0</v>
      </c>
      <c r="N13" s="62"/>
      <c r="O13" s="361">
        <f>SUM(O14:O72)</f>
        <v>0</v>
      </c>
      <c r="P13" s="62"/>
      <c r="Q13" s="361">
        <f>SUM(Q14:Q72)</f>
        <v>0</v>
      </c>
      <c r="R13" s="62"/>
      <c r="S13" s="361">
        <f>SUM(S14:S72)</f>
        <v>0</v>
      </c>
      <c r="T13" s="62"/>
      <c r="U13" s="378" t="s">
        <v>1835</v>
      </c>
      <c r="W13" s="146" t="str">
        <f>IF(AND(COUNTA(G12:T12)&gt;0,SUBSTITUTE(CONCATENATE(G12,I12,K12,M12,O12,Q12,S12),"（該当なし）","")=""),"（該当なし）","")</f>
        <v/>
      </c>
      <c r="Z13" s="198"/>
      <c r="AA13" s="100"/>
      <c r="AB13" s="61"/>
      <c r="AC13" s="746" t="s">
        <v>2435</v>
      </c>
      <c r="AE13" s="769">
        <f>E13</f>
        <v>0</v>
      </c>
      <c r="AF13" s="769">
        <f>G13</f>
        <v>0</v>
      </c>
      <c r="AG13" s="769">
        <f>I13</f>
        <v>0</v>
      </c>
      <c r="AH13" s="769">
        <f>K13</f>
        <v>0</v>
      </c>
      <c r="AI13" s="769">
        <f>M13</f>
        <v>0</v>
      </c>
      <c r="AJ13" s="769">
        <f>O13</f>
        <v>0</v>
      </c>
      <c r="AK13" s="769">
        <f>Q13</f>
        <v>0</v>
      </c>
      <c r="AL13" s="769">
        <f>S13</f>
        <v>0</v>
      </c>
      <c r="AP13" s="746" t="s">
        <v>2668</v>
      </c>
      <c r="AQ13" s="746" t="s">
        <v>2695</v>
      </c>
      <c r="AR13" s="746" t="s">
        <v>2694</v>
      </c>
      <c r="AT13" s="768" t="s">
        <v>2593</v>
      </c>
      <c r="AU13" s="767" t="str">
        <f t="shared" ref="AU13:BA13" si="12">IF(AF14=0,AU12,AU12&amp;$AT13)</f>
        <v/>
      </c>
      <c r="AV13" s="767" t="str">
        <f t="shared" si="12"/>
        <v/>
      </c>
      <c r="AW13" s="767" t="str">
        <f t="shared" si="12"/>
        <v/>
      </c>
      <c r="AX13" s="767" t="str">
        <f t="shared" si="12"/>
        <v/>
      </c>
      <c r="AY13" s="767" t="str">
        <f t="shared" si="12"/>
        <v/>
      </c>
      <c r="AZ13" s="767" t="str">
        <f t="shared" si="12"/>
        <v/>
      </c>
      <c r="BA13" s="767" t="str">
        <f t="shared" si="12"/>
        <v/>
      </c>
      <c r="BN13" s="764">
        <f>プルダウン選択肢!AC12</f>
        <v>0</v>
      </c>
      <c r="BO13" s="764">
        <f>プルダウン選択肢!AD12</f>
        <v>0</v>
      </c>
      <c r="BP13" s="764">
        <f>プルダウン選択肢!AE12</f>
        <v>0</v>
      </c>
      <c r="BQ13" s="764">
        <f>プルダウン選択肢!AF12</f>
        <v>0</v>
      </c>
      <c r="BR13" s="764">
        <f>プルダウン選択肢!AG12</f>
        <v>0</v>
      </c>
      <c r="BS13" s="764">
        <f>プルダウン選択肢!AH12</f>
        <v>0</v>
      </c>
      <c r="BT13" s="764" t="str">
        <f>プルダウン選択肢!AI12</f>
        <v>障害者福祉サービスを行う事業所（就労継続支援を行う事業所）</v>
      </c>
      <c r="BU13" s="764" t="str">
        <f>プルダウン選択肢!AJ12</f>
        <v>小規模多機能居宅介護の事業所</v>
      </c>
      <c r="BV13" s="764">
        <f>プルダウン選択肢!AK12</f>
        <v>0</v>
      </c>
      <c r="BW13" s="764">
        <f>プルダウン選択肢!AL12</f>
        <v>0</v>
      </c>
      <c r="BX13" s="764">
        <f>プルダウン選択肢!AM12</f>
        <v>0</v>
      </c>
      <c r="BY13" s="764">
        <f>プルダウン選択肢!AN12</f>
        <v>0</v>
      </c>
      <c r="BZ13" s="764">
        <f>プルダウン選択肢!AO12</f>
        <v>0</v>
      </c>
      <c r="CA13" s="764">
        <f>プルダウン選択肢!AP12</f>
        <v>0</v>
      </c>
      <c r="CB13" s="764">
        <f>プルダウン選択肢!AQ12</f>
        <v>0</v>
      </c>
      <c r="CC13" s="764">
        <f>プルダウン選択肢!AR12</f>
        <v>0</v>
      </c>
      <c r="CD13" s="764">
        <f>プルダウン選択肢!AS12</f>
        <v>0</v>
      </c>
      <c r="CE13" s="764">
        <f>プルダウン選択肢!AT12</f>
        <v>0</v>
      </c>
      <c r="CF13" s="764">
        <f>プルダウン選択肢!AU12</f>
        <v>0</v>
      </c>
      <c r="CG13" s="764">
        <f>プルダウン選択肢!AV12</f>
        <v>0</v>
      </c>
    </row>
    <row r="14" spans="1:87" ht="15.75" thickTop="1" x14ac:dyDescent="0.15">
      <c r="A14" s="1422" t="s">
        <v>2308</v>
      </c>
      <c r="B14" s="1422" t="s">
        <v>2345</v>
      </c>
      <c r="C14" s="162" t="s">
        <v>339</v>
      </c>
      <c r="D14" s="163" t="s">
        <v>17</v>
      </c>
      <c r="E14" s="362">
        <f>SUM(G14:T14)</f>
        <v>0</v>
      </c>
      <c r="F14" s="163" t="s">
        <v>28</v>
      </c>
      <c r="G14" s="355"/>
      <c r="H14" s="164" t="s">
        <v>28</v>
      </c>
      <c r="I14" s="355"/>
      <c r="J14" s="164" t="s">
        <v>28</v>
      </c>
      <c r="K14" s="355"/>
      <c r="L14" s="164" t="s">
        <v>28</v>
      </c>
      <c r="M14" s="355"/>
      <c r="N14" s="164" t="s">
        <v>28</v>
      </c>
      <c r="O14" s="355"/>
      <c r="P14" s="164" t="s">
        <v>28</v>
      </c>
      <c r="Q14" s="355"/>
      <c r="R14" s="164" t="s">
        <v>28</v>
      </c>
      <c r="S14" s="355"/>
      <c r="T14" s="165" t="s">
        <v>28</v>
      </c>
      <c r="U14" s="378" t="s">
        <v>1837</v>
      </c>
      <c r="Z14" s="443" t="str">
        <f>CJ61</f>
        <v>存在用途まとめ</v>
      </c>
      <c r="AA14" s="444" t="str">
        <f>CJ62</f>
        <v/>
      </c>
      <c r="AB14" s="61"/>
      <c r="AC14" s="770" t="s">
        <v>2592</v>
      </c>
      <c r="AD14" s="771"/>
      <c r="AE14" s="769">
        <f t="shared" ref="AE14:AE72" si="13">E14</f>
        <v>0</v>
      </c>
      <c r="AF14" s="769">
        <f t="shared" ref="AF14:AF72" si="14">G14</f>
        <v>0</v>
      </c>
      <c r="AG14" s="769">
        <f t="shared" ref="AG14:AG72" si="15">I14</f>
        <v>0</v>
      </c>
      <c r="AH14" s="769">
        <f t="shared" ref="AH14:AH72" si="16">K14</f>
        <v>0</v>
      </c>
      <c r="AI14" s="769">
        <f t="shared" ref="AI14:AI72" si="17">M14</f>
        <v>0</v>
      </c>
      <c r="AJ14" s="769">
        <f t="shared" ref="AJ14:AJ72" si="18">O14</f>
        <v>0</v>
      </c>
      <c r="AK14" s="769">
        <f t="shared" ref="AK14:AK72" si="19">Q14</f>
        <v>0</v>
      </c>
      <c r="AL14" s="769">
        <f t="shared" ref="AL14:AL72" si="20">S14</f>
        <v>0</v>
      </c>
      <c r="AM14" s="767">
        <f>IF(SUMPRODUCT(($AF$11:$AL$11=$CE$2)*($AF14:$AL14&lt;&gt;0))&gt;0,1,0)</f>
        <v>0</v>
      </c>
      <c r="AO14" s="766" t="str">
        <f>'1_入力シート【基本情報】'!J4</f>
        <v>令和</v>
      </c>
      <c r="AP14" s="766">
        <f>'1_入力シート【基本情報】'!M4</f>
        <v>0</v>
      </c>
      <c r="AQ14" s="772">
        <f>'1_入力シート【基本情報】'!AB7</f>
        <v>0</v>
      </c>
      <c r="AR14" s="766">
        <f>'1_入力シート【基本情報】'!AK7</f>
        <v>0</v>
      </c>
      <c r="BN14" s="764">
        <f>プルダウン選択肢!AC13</f>
        <v>0</v>
      </c>
      <c r="BO14" s="764">
        <f>プルダウン選択肢!AD13</f>
        <v>0</v>
      </c>
      <c r="BP14" s="764">
        <f>プルダウン選択肢!AE13</f>
        <v>0</v>
      </c>
      <c r="BQ14" s="764">
        <f>プルダウン選択肢!AF13</f>
        <v>0</v>
      </c>
      <c r="BR14" s="764">
        <f>プルダウン選択肢!AG13</f>
        <v>0</v>
      </c>
      <c r="BS14" s="764">
        <f>プルダウン選択肢!AH13</f>
        <v>0</v>
      </c>
      <c r="BT14" s="764" t="str">
        <f>プルダウン選択肢!AI13</f>
        <v>障害者福祉サービスを行う事業所（自立訓練を行う事業所で、利用者の就寝の用に供しないもの）</v>
      </c>
      <c r="BU14" s="764" t="str">
        <f>プルダウン選択肢!AJ13</f>
        <v>看護小規模多機能型居宅介護の事業所</v>
      </c>
      <c r="BV14" s="764">
        <f>プルダウン選択肢!AK13</f>
        <v>0</v>
      </c>
      <c r="BW14" s="764">
        <f>プルダウン選択肢!AL13</f>
        <v>0</v>
      </c>
      <c r="BX14" s="764">
        <f>プルダウン選択肢!AM13</f>
        <v>0</v>
      </c>
      <c r="BY14" s="764">
        <f>プルダウン選択肢!AN13</f>
        <v>0</v>
      </c>
      <c r="BZ14" s="764">
        <f>プルダウン選択肢!AO13</f>
        <v>0</v>
      </c>
      <c r="CA14" s="764">
        <f>プルダウン選択肢!AP13</f>
        <v>0</v>
      </c>
      <c r="CB14" s="764">
        <f>プルダウン選択肢!AQ13</f>
        <v>0</v>
      </c>
      <c r="CC14" s="764">
        <f>プルダウン選択肢!AR13</f>
        <v>0</v>
      </c>
      <c r="CD14" s="764">
        <f>プルダウン選択肢!AS13</f>
        <v>0</v>
      </c>
      <c r="CE14" s="764">
        <f>プルダウン選択肢!AT13</f>
        <v>0</v>
      </c>
      <c r="CF14" s="764">
        <f>プルダウン選択肢!AU13</f>
        <v>0</v>
      </c>
      <c r="CG14" s="764">
        <f>プルダウン選択肢!AV13</f>
        <v>0</v>
      </c>
    </row>
    <row r="15" spans="1:87" ht="15.75" thickBot="1" x14ac:dyDescent="0.2">
      <c r="A15" s="1422" t="s">
        <v>3438</v>
      </c>
      <c r="B15" s="1422" t="s">
        <v>2346</v>
      </c>
      <c r="C15" s="468" t="s">
        <v>340</v>
      </c>
      <c r="D15" s="59" t="s">
        <v>17</v>
      </c>
      <c r="E15" s="363">
        <f t="shared" ref="E15:E42" si="21">SUM(G15:T15)</f>
        <v>0</v>
      </c>
      <c r="F15" s="59" t="s">
        <v>28</v>
      </c>
      <c r="G15" s="356"/>
      <c r="H15" s="166" t="s">
        <v>28</v>
      </c>
      <c r="I15" s="356"/>
      <c r="J15" s="166" t="s">
        <v>28</v>
      </c>
      <c r="K15" s="356"/>
      <c r="L15" s="166" t="s">
        <v>28</v>
      </c>
      <c r="M15" s="356"/>
      <c r="N15" s="166" t="s">
        <v>28</v>
      </c>
      <c r="O15" s="356"/>
      <c r="P15" s="166" t="s">
        <v>28</v>
      </c>
      <c r="Q15" s="356"/>
      <c r="R15" s="166" t="s">
        <v>28</v>
      </c>
      <c r="S15" s="356"/>
      <c r="T15" s="167" t="s">
        <v>28</v>
      </c>
      <c r="W15" s="197" t="s">
        <v>3215</v>
      </c>
      <c r="AB15" s="61"/>
      <c r="AC15" s="770" t="s">
        <v>2591</v>
      </c>
      <c r="AD15" s="771"/>
      <c r="AE15" s="769">
        <f t="shared" si="13"/>
        <v>0</v>
      </c>
      <c r="AF15" s="769">
        <f t="shared" si="14"/>
        <v>0</v>
      </c>
      <c r="AG15" s="769">
        <f t="shared" si="15"/>
        <v>0</v>
      </c>
      <c r="AH15" s="769">
        <f t="shared" si="16"/>
        <v>0</v>
      </c>
      <c r="AI15" s="769">
        <f t="shared" si="17"/>
        <v>0</v>
      </c>
      <c r="AJ15" s="769">
        <f t="shared" si="18"/>
        <v>0</v>
      </c>
      <c r="AK15" s="769">
        <f t="shared" si="19"/>
        <v>0</v>
      </c>
      <c r="AL15" s="769">
        <f t="shared" si="20"/>
        <v>0</v>
      </c>
      <c r="AM15" s="767">
        <f>IF(SUMPRODUCT(($AF$11:$AL$11=$CE$2)*($AF15:$AL15&lt;&gt;0))&gt;0,1,0)</f>
        <v>0</v>
      </c>
      <c r="AO15" s="748" t="s">
        <v>2656</v>
      </c>
      <c r="AP15" s="748">
        <v>2018</v>
      </c>
      <c r="BN15" s="764">
        <f>プルダウン選択肢!AC14</f>
        <v>0</v>
      </c>
      <c r="BO15" s="764">
        <f>プルダウン選択肢!AD14</f>
        <v>0</v>
      </c>
      <c r="BP15" s="764">
        <f>プルダウン選択肢!AE14</f>
        <v>0</v>
      </c>
      <c r="BQ15" s="764">
        <f>プルダウン選択肢!AF14</f>
        <v>0</v>
      </c>
      <c r="BR15" s="764">
        <f>プルダウン選択肢!AG14</f>
        <v>0</v>
      </c>
      <c r="BS15" s="764">
        <f>プルダウン選択肢!AH14</f>
        <v>0</v>
      </c>
      <c r="BT15" s="764" t="str">
        <f>プルダウン選択肢!AI14</f>
        <v>障害者福祉サービスを行う事業所（就労移行支援を行う事業所で、利用者の就寝の用に供しないもの）</v>
      </c>
      <c r="BU15" s="764" t="str">
        <f>プルダウン選択肢!AJ14</f>
        <v>老人デイサービスセンター（宿泊サービスを提供するもの）</v>
      </c>
      <c r="BV15" s="764">
        <f>プルダウン選択肢!AK14</f>
        <v>0</v>
      </c>
      <c r="BW15" s="764">
        <f>プルダウン選択肢!AL14</f>
        <v>0</v>
      </c>
      <c r="BX15" s="764">
        <f>プルダウン選択肢!AM14</f>
        <v>0</v>
      </c>
      <c r="BY15" s="764">
        <f>プルダウン選択肢!AN14</f>
        <v>0</v>
      </c>
      <c r="BZ15" s="764">
        <f>プルダウン選択肢!AO14</f>
        <v>0</v>
      </c>
      <c r="CA15" s="764">
        <f>プルダウン選択肢!AP14</f>
        <v>0</v>
      </c>
      <c r="CB15" s="764">
        <f>プルダウン選択肢!AQ14</f>
        <v>0</v>
      </c>
      <c r="CC15" s="764">
        <f>プルダウン選択肢!AR14</f>
        <v>0</v>
      </c>
      <c r="CD15" s="764">
        <f>プルダウン選択肢!AS14</f>
        <v>0</v>
      </c>
      <c r="CE15" s="764">
        <f>プルダウン選択肢!AT14</f>
        <v>0</v>
      </c>
      <c r="CF15" s="764">
        <f>プルダウン選択肢!AU14</f>
        <v>0</v>
      </c>
      <c r="CG15" s="764">
        <f>プルダウン選択肢!AV14</f>
        <v>0</v>
      </c>
    </row>
    <row r="16" spans="1:87" ht="15.75" thickBot="1" x14ac:dyDescent="0.2">
      <c r="A16" s="1421" t="s">
        <v>2337</v>
      </c>
      <c r="B16" s="1422" t="s">
        <v>2347</v>
      </c>
      <c r="C16" s="468" t="s">
        <v>341</v>
      </c>
      <c r="D16" s="59" t="s">
        <v>17</v>
      </c>
      <c r="E16" s="363">
        <f t="shared" si="21"/>
        <v>0</v>
      </c>
      <c r="F16" s="59" t="s">
        <v>28</v>
      </c>
      <c r="G16" s="356"/>
      <c r="H16" s="166" t="s">
        <v>28</v>
      </c>
      <c r="I16" s="356"/>
      <c r="J16" s="166" t="s">
        <v>28</v>
      </c>
      <c r="K16" s="356"/>
      <c r="L16" s="166" t="s">
        <v>28</v>
      </c>
      <c r="M16" s="356"/>
      <c r="N16" s="166" t="s">
        <v>28</v>
      </c>
      <c r="O16" s="356"/>
      <c r="P16" s="166" t="s">
        <v>28</v>
      </c>
      <c r="Q16" s="356"/>
      <c r="R16" s="166" t="s">
        <v>28</v>
      </c>
      <c r="S16" s="356"/>
      <c r="T16" s="167" t="s">
        <v>28</v>
      </c>
      <c r="W16" s="1778" t="str">
        <f>SUBSTITUTE(TRIM(SUBSTITUTE(CONCATENATE(K7," ",M7," ",O7," ",Q7," ",S7),CHAR(10),""))," ","、")</f>
        <v/>
      </c>
      <c r="Z16" s="445" t="str">
        <f>CI127</f>
        <v>ID用途記号（入力）</v>
      </c>
      <c r="AA16" s="452">
        <f>CI128</f>
        <v>0</v>
      </c>
      <c r="AB16" s="61"/>
      <c r="AC16" s="770" t="s">
        <v>2590</v>
      </c>
      <c r="AD16" s="771"/>
      <c r="AE16" s="769">
        <f t="shared" si="13"/>
        <v>0</v>
      </c>
      <c r="AF16" s="769">
        <f t="shared" si="14"/>
        <v>0</v>
      </c>
      <c r="AG16" s="769">
        <f t="shared" si="15"/>
        <v>0</v>
      </c>
      <c r="AH16" s="769">
        <f t="shared" si="16"/>
        <v>0</v>
      </c>
      <c r="AI16" s="769">
        <f t="shared" si="17"/>
        <v>0</v>
      </c>
      <c r="AJ16" s="769">
        <f t="shared" si="18"/>
        <v>0</v>
      </c>
      <c r="AK16" s="769">
        <f t="shared" si="19"/>
        <v>0</v>
      </c>
      <c r="AL16" s="769">
        <f t="shared" si="20"/>
        <v>0</v>
      </c>
      <c r="AM16" s="767">
        <f>IF(SUMPRODUCT(($AF$11:$AL$11=$CE$2)*($AF16:$AL16&lt;&gt;0))&gt;0,1,0)</f>
        <v>0</v>
      </c>
      <c r="AO16" s="748"/>
      <c r="AP16" s="748"/>
      <c r="BN16" s="764">
        <f>プルダウン選択肢!AC15</f>
        <v>0</v>
      </c>
      <c r="BO16" s="764">
        <f>プルダウン選択肢!AD15</f>
        <v>0</v>
      </c>
      <c r="BP16" s="764">
        <f>プルダウン選択肢!AE15</f>
        <v>0</v>
      </c>
      <c r="BQ16" s="764">
        <f>プルダウン選択肢!AF15</f>
        <v>0</v>
      </c>
      <c r="BR16" s="764">
        <f>プルダウン選択肢!AG15</f>
        <v>0</v>
      </c>
      <c r="BS16" s="764">
        <f>プルダウン選択肢!AH15</f>
        <v>0</v>
      </c>
      <c r="BT16" s="764">
        <f>プルダウン選択肢!AI15</f>
        <v>0</v>
      </c>
      <c r="BU16" s="764" t="str">
        <f>プルダウン選択肢!AJ15</f>
        <v>養護老人ホーム</v>
      </c>
      <c r="BV16" s="764">
        <f>プルダウン選択肢!AK15</f>
        <v>0</v>
      </c>
      <c r="BW16" s="764">
        <f>プルダウン選択肢!AL15</f>
        <v>0</v>
      </c>
      <c r="BX16" s="764">
        <f>プルダウン選択肢!AM15</f>
        <v>0</v>
      </c>
      <c r="BY16" s="764">
        <f>プルダウン選択肢!AN15</f>
        <v>0</v>
      </c>
      <c r="BZ16" s="764">
        <f>プルダウン選択肢!AO15</f>
        <v>0</v>
      </c>
      <c r="CA16" s="764">
        <f>プルダウン選択肢!AP15</f>
        <v>0</v>
      </c>
      <c r="CB16" s="764">
        <f>プルダウン選択肢!AQ15</f>
        <v>0</v>
      </c>
      <c r="CC16" s="764">
        <f>プルダウン選択肢!AR15</f>
        <v>0</v>
      </c>
      <c r="CD16" s="764">
        <f>プルダウン選択肢!AS15</f>
        <v>0</v>
      </c>
      <c r="CE16" s="764">
        <f>プルダウン選択肢!AT15</f>
        <v>0</v>
      </c>
      <c r="CF16" s="764">
        <f>プルダウン選択肢!AU15</f>
        <v>0</v>
      </c>
      <c r="CG16" s="764">
        <f>プルダウン選択肢!AV15</f>
        <v>0</v>
      </c>
    </row>
    <row r="17" spans="1:86" ht="15.75" thickBot="1" x14ac:dyDescent="0.2">
      <c r="A17" s="1422" t="s">
        <v>300</v>
      </c>
      <c r="B17" s="1422" t="s">
        <v>2348</v>
      </c>
      <c r="C17" s="69" t="s">
        <v>342</v>
      </c>
      <c r="D17" s="63" t="s">
        <v>17</v>
      </c>
      <c r="E17" s="364">
        <f t="shared" si="21"/>
        <v>0</v>
      </c>
      <c r="F17" s="63" t="s">
        <v>28</v>
      </c>
      <c r="G17" s="357"/>
      <c r="H17" s="168" t="s">
        <v>28</v>
      </c>
      <c r="I17" s="357"/>
      <c r="J17" s="168" t="s">
        <v>28</v>
      </c>
      <c r="K17" s="357"/>
      <c r="L17" s="168" t="s">
        <v>28</v>
      </c>
      <c r="M17" s="357"/>
      <c r="N17" s="168" t="s">
        <v>28</v>
      </c>
      <c r="O17" s="357"/>
      <c r="P17" s="168" t="s">
        <v>28</v>
      </c>
      <c r="Q17" s="357"/>
      <c r="R17" s="168" t="s">
        <v>28</v>
      </c>
      <c r="S17" s="357"/>
      <c r="T17" s="169" t="s">
        <v>28</v>
      </c>
      <c r="W17" s="197" t="s">
        <v>3335</v>
      </c>
      <c r="Z17" s="443" t="str">
        <f>CJ131</f>
        <v>対象用途記号まとめ（面積最大）</v>
      </c>
      <c r="AA17" s="444" t="str">
        <f>CJ132</f>
        <v/>
      </c>
      <c r="AB17" s="61"/>
      <c r="AC17" s="770" t="s">
        <v>2589</v>
      </c>
      <c r="AD17" s="771"/>
      <c r="AE17" s="769">
        <f t="shared" si="13"/>
        <v>0</v>
      </c>
      <c r="AF17" s="769">
        <f t="shared" si="14"/>
        <v>0</v>
      </c>
      <c r="AG17" s="769">
        <f t="shared" si="15"/>
        <v>0</v>
      </c>
      <c r="AH17" s="769">
        <f t="shared" si="16"/>
        <v>0</v>
      </c>
      <c r="AI17" s="769">
        <f t="shared" si="17"/>
        <v>0</v>
      </c>
      <c r="AJ17" s="769">
        <f t="shared" si="18"/>
        <v>0</v>
      </c>
      <c r="AK17" s="769">
        <f t="shared" si="19"/>
        <v>0</v>
      </c>
      <c r="AL17" s="769">
        <f t="shared" si="20"/>
        <v>0</v>
      </c>
      <c r="AM17" s="767">
        <f>IF(SUMPRODUCT(($AF$11:$AL$11=$CE$2)*($AF17:$AL17&lt;&gt;0))&gt;0,1,0)</f>
        <v>0</v>
      </c>
      <c r="AO17" s="748"/>
      <c r="AP17" s="748"/>
      <c r="BN17" s="764">
        <f>プルダウン選択肢!AC16</f>
        <v>0</v>
      </c>
      <c r="BO17" s="764">
        <f>プルダウン選択肢!AD16</f>
        <v>0</v>
      </c>
      <c r="BP17" s="764">
        <f>プルダウン選択肢!AE16</f>
        <v>0</v>
      </c>
      <c r="BQ17" s="764">
        <f>プルダウン選択肢!AF16</f>
        <v>0</v>
      </c>
      <c r="BR17" s="764">
        <f>プルダウン選択肢!AG16</f>
        <v>0</v>
      </c>
      <c r="BS17" s="764">
        <f>プルダウン選択肢!AH16</f>
        <v>0</v>
      </c>
      <c r="BT17" s="764">
        <f>プルダウン選択肢!AI16</f>
        <v>0</v>
      </c>
      <c r="BU17" s="764" t="str">
        <f>プルダウン選択肢!AJ16</f>
        <v>特別養護老人ホーム</v>
      </c>
      <c r="BV17" s="764">
        <f>プルダウン選択肢!AK16</f>
        <v>0</v>
      </c>
      <c r="BW17" s="764">
        <f>プルダウン選択肢!AL16</f>
        <v>0</v>
      </c>
      <c r="BX17" s="764">
        <f>プルダウン選択肢!AM16</f>
        <v>0</v>
      </c>
      <c r="BY17" s="764">
        <f>プルダウン選択肢!AN16</f>
        <v>0</v>
      </c>
      <c r="BZ17" s="764">
        <f>プルダウン選択肢!AO16</f>
        <v>0</v>
      </c>
      <c r="CA17" s="764">
        <f>プルダウン選択肢!AP16</f>
        <v>0</v>
      </c>
      <c r="CB17" s="764">
        <f>プルダウン選択肢!AQ16</f>
        <v>0</v>
      </c>
      <c r="CC17" s="764">
        <f>プルダウン選択肢!AR16</f>
        <v>0</v>
      </c>
      <c r="CD17" s="764">
        <f>プルダウン選択肢!AS16</f>
        <v>0</v>
      </c>
      <c r="CE17" s="764">
        <f>プルダウン選択肢!AT16</f>
        <v>0</v>
      </c>
      <c r="CF17" s="764">
        <f>プルダウン選択肢!AU16</f>
        <v>0</v>
      </c>
      <c r="CG17" s="764">
        <f>プルダウン選択肢!AV16</f>
        <v>0</v>
      </c>
    </row>
    <row r="18" spans="1:86" ht="16.5" thickTop="1" thickBot="1" x14ac:dyDescent="0.2">
      <c r="A18" s="1422" t="s">
        <v>2309</v>
      </c>
      <c r="B18" s="1422" t="s">
        <v>2349</v>
      </c>
      <c r="C18" s="64" t="s">
        <v>331</v>
      </c>
      <c r="D18" s="59" t="s">
        <v>17</v>
      </c>
      <c r="E18" s="363">
        <f t="shared" si="21"/>
        <v>0</v>
      </c>
      <c r="F18" s="59" t="s">
        <v>28</v>
      </c>
      <c r="G18" s="356"/>
      <c r="H18" s="166" t="s">
        <v>28</v>
      </c>
      <c r="I18" s="356"/>
      <c r="J18" s="166" t="s">
        <v>28</v>
      </c>
      <c r="K18" s="356"/>
      <c r="L18" s="166" t="s">
        <v>28</v>
      </c>
      <c r="M18" s="356"/>
      <c r="N18" s="166" t="s">
        <v>28</v>
      </c>
      <c r="O18" s="356"/>
      <c r="P18" s="166" t="s">
        <v>28</v>
      </c>
      <c r="Q18" s="356"/>
      <c r="R18" s="166" t="s">
        <v>28</v>
      </c>
      <c r="S18" s="356"/>
      <c r="T18" s="167" t="s">
        <v>28</v>
      </c>
      <c r="W18" s="1778" t="str">
        <f>IF($I$7="","",$I$7)</f>
        <v/>
      </c>
      <c r="Z18" s="453" t="str">
        <f>CJ125</f>
        <v>対象用途記号まとめ（全て）</v>
      </c>
      <c r="AA18" s="453" t="str">
        <f>CJ126</f>
        <v/>
      </c>
      <c r="AB18" s="61"/>
      <c r="AC18" s="770" t="s">
        <v>2588</v>
      </c>
      <c r="AD18" s="770"/>
      <c r="AE18" s="769">
        <f t="shared" si="13"/>
        <v>0</v>
      </c>
      <c r="AF18" s="769">
        <f t="shared" si="14"/>
        <v>0</v>
      </c>
      <c r="AG18" s="769">
        <f t="shared" si="15"/>
        <v>0</v>
      </c>
      <c r="AH18" s="769">
        <f t="shared" si="16"/>
        <v>0</v>
      </c>
      <c r="AI18" s="769">
        <f t="shared" si="17"/>
        <v>0</v>
      </c>
      <c r="AJ18" s="769">
        <f t="shared" si="18"/>
        <v>0</v>
      </c>
      <c r="AK18" s="769">
        <f t="shared" si="19"/>
        <v>0</v>
      </c>
      <c r="AL18" s="769">
        <f t="shared" si="20"/>
        <v>0</v>
      </c>
      <c r="AM18" s="748">
        <v>0</v>
      </c>
      <c r="AO18" s="746" t="s">
        <v>691</v>
      </c>
      <c r="AQ18" s="746" t="s">
        <v>2786</v>
      </c>
      <c r="AR18" s="746" t="s">
        <v>2784</v>
      </c>
      <c r="BN18" s="764">
        <f>プルダウン選択肢!AC17</f>
        <v>0</v>
      </c>
      <c r="BO18" s="764">
        <f>プルダウン選択肢!AD17</f>
        <v>0</v>
      </c>
      <c r="BP18" s="764">
        <f>プルダウン選択肢!AE17</f>
        <v>0</v>
      </c>
      <c r="BQ18" s="764">
        <f>プルダウン選択肢!AF17</f>
        <v>0</v>
      </c>
      <c r="BR18" s="764">
        <f>プルダウン選択肢!AG17</f>
        <v>0</v>
      </c>
      <c r="BS18" s="764">
        <f>プルダウン選択肢!AH17</f>
        <v>0</v>
      </c>
      <c r="BT18" s="764">
        <f>プルダウン選択肢!AI17</f>
        <v>0</v>
      </c>
      <c r="BU18" s="764" t="str">
        <f>プルダウン選択肢!AJ17</f>
        <v>軽費老人ホーム</v>
      </c>
      <c r="BV18" s="764">
        <f>プルダウン選択肢!AK17</f>
        <v>0</v>
      </c>
      <c r="BW18" s="764">
        <f>プルダウン選択肢!AL17</f>
        <v>0</v>
      </c>
      <c r="BX18" s="764">
        <f>プルダウン選択肢!AM17</f>
        <v>0</v>
      </c>
      <c r="BY18" s="764">
        <f>プルダウン選択肢!AN17</f>
        <v>0</v>
      </c>
      <c r="BZ18" s="764">
        <f>プルダウン選択肢!AO17</f>
        <v>0</v>
      </c>
      <c r="CA18" s="764">
        <f>プルダウン選択肢!AP17</f>
        <v>0</v>
      </c>
      <c r="CB18" s="764">
        <f>プルダウン選択肢!AQ17</f>
        <v>0</v>
      </c>
      <c r="CC18" s="764">
        <f>プルダウン選択肢!AR17</f>
        <v>0</v>
      </c>
      <c r="CD18" s="764">
        <f>プルダウン選択肢!AS17</f>
        <v>0</v>
      </c>
      <c r="CE18" s="764">
        <f>プルダウン選択肢!AT17</f>
        <v>0</v>
      </c>
      <c r="CF18" s="764">
        <f>プルダウン選択肢!AU17</f>
        <v>0</v>
      </c>
      <c r="CG18" s="764">
        <f>プルダウン選択肢!AV17</f>
        <v>0</v>
      </c>
    </row>
    <row r="19" spans="1:86" ht="15" x14ac:dyDescent="0.15">
      <c r="A19" s="1421" t="s">
        <v>2334</v>
      </c>
      <c r="B19" s="1421" t="s">
        <v>2350</v>
      </c>
      <c r="C19" s="64" t="s">
        <v>332</v>
      </c>
      <c r="D19" s="59" t="s">
        <v>17</v>
      </c>
      <c r="E19" s="363">
        <f t="shared" si="21"/>
        <v>0</v>
      </c>
      <c r="F19" s="59" t="s">
        <v>28</v>
      </c>
      <c r="G19" s="356"/>
      <c r="H19" s="166" t="s">
        <v>28</v>
      </c>
      <c r="I19" s="356"/>
      <c r="J19" s="166" t="s">
        <v>28</v>
      </c>
      <c r="K19" s="356"/>
      <c r="L19" s="166" t="s">
        <v>28</v>
      </c>
      <c r="M19" s="356"/>
      <c r="N19" s="166" t="s">
        <v>28</v>
      </c>
      <c r="O19" s="356"/>
      <c r="P19" s="166" t="s">
        <v>28</v>
      </c>
      <c r="Q19" s="356"/>
      <c r="R19" s="166" t="s">
        <v>28</v>
      </c>
      <c r="S19" s="356"/>
      <c r="T19" s="167" t="s">
        <v>28</v>
      </c>
      <c r="Z19" s="445" t="str">
        <f>CJ127</f>
        <v>ID用途記号整合</v>
      </c>
      <c r="AA19" s="445" t="str">
        <f>CJ128</f>
        <v>NG</v>
      </c>
      <c r="AB19" s="61"/>
      <c r="AC19" s="770" t="s">
        <v>2587</v>
      </c>
      <c r="AD19" s="770"/>
      <c r="AE19" s="769">
        <f t="shared" si="13"/>
        <v>0</v>
      </c>
      <c r="AF19" s="769">
        <f t="shared" si="14"/>
        <v>0</v>
      </c>
      <c r="AG19" s="769">
        <f t="shared" si="15"/>
        <v>0</v>
      </c>
      <c r="AH19" s="769">
        <f t="shared" si="16"/>
        <v>0</v>
      </c>
      <c r="AI19" s="769">
        <f t="shared" si="17"/>
        <v>0</v>
      </c>
      <c r="AJ19" s="769">
        <f t="shared" si="18"/>
        <v>0</v>
      </c>
      <c r="AK19" s="769">
        <f t="shared" si="19"/>
        <v>0</v>
      </c>
      <c r="AL19" s="769">
        <f t="shared" si="20"/>
        <v>0</v>
      </c>
      <c r="AM19" s="748">
        <v>0</v>
      </c>
      <c r="AQ19" s="766">
        <f>'1_入力シート【基本情報】'!AB286</f>
        <v>0</v>
      </c>
      <c r="AR19" s="767" t="str">
        <f>IF(AQ19="対象",TRUE,IF(AQ19="対象外",FALSE,""))</f>
        <v/>
      </c>
      <c r="BN19" s="764">
        <f>プルダウン選択肢!AC18</f>
        <v>0</v>
      </c>
      <c r="BO19" s="764">
        <f>プルダウン選択肢!AD18</f>
        <v>0</v>
      </c>
      <c r="BP19" s="764">
        <f>プルダウン選択肢!AE18</f>
        <v>0</v>
      </c>
      <c r="BQ19" s="764">
        <f>プルダウン選択肢!AF18</f>
        <v>0</v>
      </c>
      <c r="BR19" s="764">
        <f>プルダウン選択肢!AG18</f>
        <v>0</v>
      </c>
      <c r="BS19" s="764">
        <f>プルダウン選択肢!AH18</f>
        <v>0</v>
      </c>
      <c r="BT19" s="764">
        <f>プルダウン選択肢!AI18</f>
        <v>0</v>
      </c>
      <c r="BU19" s="764" t="str">
        <f>プルダウン選択肢!AJ18</f>
        <v>有料老人ホーム</v>
      </c>
      <c r="BV19" s="764">
        <f>プルダウン選択肢!AK18</f>
        <v>0</v>
      </c>
      <c r="BW19" s="764">
        <f>プルダウン選択肢!AL18</f>
        <v>0</v>
      </c>
      <c r="BX19" s="764">
        <f>プルダウン選択肢!AM18</f>
        <v>0</v>
      </c>
      <c r="BY19" s="764">
        <f>プルダウン選択肢!AN18</f>
        <v>0</v>
      </c>
      <c r="BZ19" s="764">
        <f>プルダウン選択肢!AO18</f>
        <v>0</v>
      </c>
      <c r="CA19" s="764">
        <f>プルダウン選択肢!AP18</f>
        <v>0</v>
      </c>
      <c r="CB19" s="764">
        <f>プルダウン選択肢!AQ18</f>
        <v>0</v>
      </c>
      <c r="CC19" s="764">
        <f>プルダウン選択肢!AR18</f>
        <v>0</v>
      </c>
      <c r="CD19" s="764">
        <f>プルダウン選択肢!AS18</f>
        <v>0</v>
      </c>
      <c r="CE19" s="764">
        <f>プルダウン選択肢!AT18</f>
        <v>0</v>
      </c>
      <c r="CF19" s="764">
        <f>プルダウン選択肢!AU18</f>
        <v>0</v>
      </c>
      <c r="CG19" s="764">
        <f>プルダウン選択肢!AV18</f>
        <v>0</v>
      </c>
    </row>
    <row r="20" spans="1:86" ht="15" x14ac:dyDescent="0.15">
      <c r="A20" s="1422" t="s">
        <v>2310</v>
      </c>
      <c r="B20" s="1422" t="s">
        <v>2351</v>
      </c>
      <c r="C20" s="64" t="s">
        <v>333</v>
      </c>
      <c r="D20" s="59" t="s">
        <v>17</v>
      </c>
      <c r="E20" s="363">
        <f t="shared" si="21"/>
        <v>0</v>
      </c>
      <c r="F20" s="59" t="s">
        <v>28</v>
      </c>
      <c r="G20" s="356"/>
      <c r="H20" s="166" t="s">
        <v>28</v>
      </c>
      <c r="I20" s="356"/>
      <c r="J20" s="166" t="s">
        <v>28</v>
      </c>
      <c r="K20" s="356"/>
      <c r="L20" s="166" t="s">
        <v>28</v>
      </c>
      <c r="M20" s="356"/>
      <c r="N20" s="166" t="s">
        <v>28</v>
      </c>
      <c r="O20" s="356"/>
      <c r="P20" s="166" t="s">
        <v>28</v>
      </c>
      <c r="Q20" s="356"/>
      <c r="R20" s="166" t="s">
        <v>28</v>
      </c>
      <c r="S20" s="356"/>
      <c r="T20" s="167" t="s">
        <v>28</v>
      </c>
      <c r="Z20" s="445" t="str">
        <f>CJ138</f>
        <v>周期整合</v>
      </c>
      <c r="AA20" s="445" t="str">
        <f>CJ139</f>
        <v>NG</v>
      </c>
      <c r="AB20" s="61"/>
      <c r="AC20" s="770" t="s">
        <v>2586</v>
      </c>
      <c r="AD20" s="770"/>
      <c r="AE20" s="769">
        <f t="shared" si="13"/>
        <v>0</v>
      </c>
      <c r="AF20" s="769">
        <f t="shared" si="14"/>
        <v>0</v>
      </c>
      <c r="AG20" s="769">
        <f t="shared" si="15"/>
        <v>0</v>
      </c>
      <c r="AH20" s="769">
        <f t="shared" si="16"/>
        <v>0</v>
      </c>
      <c r="AI20" s="769">
        <f t="shared" si="17"/>
        <v>0</v>
      </c>
      <c r="AJ20" s="769">
        <f t="shared" si="18"/>
        <v>0</v>
      </c>
      <c r="AK20" s="769">
        <f t="shared" si="19"/>
        <v>0</v>
      </c>
      <c r="AL20" s="769">
        <f t="shared" si="20"/>
        <v>0</v>
      </c>
      <c r="AM20" s="748">
        <v>0</v>
      </c>
      <c r="AO20" s="746" t="s">
        <v>2683</v>
      </c>
      <c r="AP20" s="746" t="s">
        <v>2783</v>
      </c>
      <c r="AQ20" s="746" t="s">
        <v>2787</v>
      </c>
      <c r="AR20" s="746" t="s">
        <v>2784</v>
      </c>
      <c r="BN20" s="764">
        <f>プルダウン選択肢!AC19</f>
        <v>0</v>
      </c>
      <c r="BO20" s="764">
        <f>プルダウン選択肢!AD19</f>
        <v>0</v>
      </c>
      <c r="BP20" s="764">
        <f>プルダウン選択肢!AE19</f>
        <v>0</v>
      </c>
      <c r="BQ20" s="764">
        <f>プルダウン選択肢!AF19</f>
        <v>0</v>
      </c>
      <c r="BR20" s="764">
        <f>プルダウン選択肢!AG19</f>
        <v>0</v>
      </c>
      <c r="BS20" s="764">
        <f>プルダウン選択肢!AH19</f>
        <v>0</v>
      </c>
      <c r="BT20" s="764">
        <f>プルダウン選択肢!AI19</f>
        <v>0</v>
      </c>
      <c r="BU20" s="764" t="str">
        <f>プルダウン選択肢!AJ19</f>
        <v>母子保健施設</v>
      </c>
      <c r="BV20" s="764">
        <f>プルダウン選択肢!AK19</f>
        <v>0</v>
      </c>
      <c r="BW20" s="764">
        <f>プルダウン選択肢!AL19</f>
        <v>0</v>
      </c>
      <c r="BX20" s="764">
        <f>プルダウン選択肢!AM19</f>
        <v>0</v>
      </c>
      <c r="BY20" s="764">
        <f>プルダウン選択肢!AN19</f>
        <v>0</v>
      </c>
      <c r="BZ20" s="764">
        <f>プルダウン選択肢!AO19</f>
        <v>0</v>
      </c>
      <c r="CA20" s="764">
        <f>プルダウン選択肢!AP19</f>
        <v>0</v>
      </c>
      <c r="CB20" s="764">
        <f>プルダウン選択肢!AQ19</f>
        <v>0</v>
      </c>
      <c r="CC20" s="764">
        <f>プルダウン選択肢!AR19</f>
        <v>0</v>
      </c>
      <c r="CD20" s="764">
        <f>プルダウン選択肢!AS19</f>
        <v>0</v>
      </c>
      <c r="CE20" s="764">
        <f>プルダウン選択肢!AT19</f>
        <v>0</v>
      </c>
      <c r="CF20" s="764">
        <f>プルダウン選択肢!AU19</f>
        <v>0</v>
      </c>
      <c r="CG20" s="764">
        <f>プルダウン選択肢!AV19</f>
        <v>0</v>
      </c>
    </row>
    <row r="21" spans="1:86" ht="15" x14ac:dyDescent="0.15">
      <c r="A21" s="1422" t="s">
        <v>2311</v>
      </c>
      <c r="B21" s="1422" t="s">
        <v>2232</v>
      </c>
      <c r="C21" s="64" t="s">
        <v>334</v>
      </c>
      <c r="D21" s="59" t="s">
        <v>17</v>
      </c>
      <c r="E21" s="363">
        <f t="shared" si="21"/>
        <v>0</v>
      </c>
      <c r="F21" s="59" t="s">
        <v>28</v>
      </c>
      <c r="G21" s="356"/>
      <c r="H21" s="166" t="s">
        <v>28</v>
      </c>
      <c r="I21" s="356"/>
      <c r="J21" s="166" t="s">
        <v>28</v>
      </c>
      <c r="K21" s="356"/>
      <c r="L21" s="166" t="s">
        <v>28</v>
      </c>
      <c r="M21" s="356"/>
      <c r="N21" s="166" t="s">
        <v>28</v>
      </c>
      <c r="O21" s="356"/>
      <c r="P21" s="166" t="s">
        <v>28</v>
      </c>
      <c r="Q21" s="356"/>
      <c r="R21" s="166" t="s">
        <v>28</v>
      </c>
      <c r="S21" s="356"/>
      <c r="T21" s="167" t="s">
        <v>28</v>
      </c>
      <c r="AB21" s="61"/>
      <c r="AC21" s="770" t="s">
        <v>2585</v>
      </c>
      <c r="AD21" s="770"/>
      <c r="AE21" s="769">
        <f t="shared" si="13"/>
        <v>0</v>
      </c>
      <c r="AF21" s="769">
        <f t="shared" si="14"/>
        <v>0</v>
      </c>
      <c r="AG21" s="769">
        <f t="shared" si="15"/>
        <v>0</v>
      </c>
      <c r="AH21" s="769">
        <f t="shared" si="16"/>
        <v>0</v>
      </c>
      <c r="AI21" s="769">
        <f t="shared" si="17"/>
        <v>0</v>
      </c>
      <c r="AJ21" s="769">
        <f t="shared" si="18"/>
        <v>0</v>
      </c>
      <c r="AK21" s="769">
        <f t="shared" si="19"/>
        <v>0</v>
      </c>
      <c r="AL21" s="769">
        <f t="shared" si="20"/>
        <v>0</v>
      </c>
      <c r="AM21" s="748">
        <v>0</v>
      </c>
      <c r="AP21" s="766">
        <f>'1_入力シート【基本情報】'!AB287</f>
        <v>0</v>
      </c>
      <c r="AQ21" s="766">
        <f>'1_入力シート【基本情報】'!AB289</f>
        <v>0</v>
      </c>
      <c r="AR21" s="767" t="str">
        <f>IF(AP21&lt;&gt;"無",IF(AQ21="対象",TRUE,IF(AQ21="対象外",FALSE,"")),"")</f>
        <v/>
      </c>
      <c r="BN21" s="764">
        <f>プルダウン選択肢!AC20</f>
        <v>0</v>
      </c>
      <c r="BO21" s="764">
        <f>プルダウン選択肢!AD20</f>
        <v>0</v>
      </c>
      <c r="BP21" s="764">
        <f>プルダウン選択肢!AE20</f>
        <v>0</v>
      </c>
      <c r="BQ21" s="764">
        <f>プルダウン選択肢!AF20</f>
        <v>0</v>
      </c>
      <c r="BR21" s="764">
        <f>プルダウン選択肢!AG20</f>
        <v>0</v>
      </c>
      <c r="BS21" s="764">
        <f>プルダウン選択肢!AH20</f>
        <v>0</v>
      </c>
      <c r="BT21" s="764">
        <f>プルダウン選択肢!AI20</f>
        <v>0</v>
      </c>
      <c r="BU21" s="764" t="str">
        <f>プルダウン選択肢!AJ20</f>
        <v>障害者支援施設</v>
      </c>
      <c r="BV21" s="764">
        <f>プルダウン選択肢!AK20</f>
        <v>0</v>
      </c>
      <c r="BW21" s="764">
        <f>プルダウン選択肢!AL20</f>
        <v>0</v>
      </c>
      <c r="BX21" s="764">
        <f>プルダウン選択肢!AM20</f>
        <v>0</v>
      </c>
      <c r="BY21" s="764">
        <f>プルダウン選択肢!AN20</f>
        <v>0</v>
      </c>
      <c r="BZ21" s="764">
        <f>プルダウン選択肢!AO20</f>
        <v>0</v>
      </c>
      <c r="CA21" s="764">
        <f>プルダウン選択肢!AP20</f>
        <v>0</v>
      </c>
      <c r="CB21" s="764">
        <f>プルダウン選択肢!AQ20</f>
        <v>0</v>
      </c>
      <c r="CC21" s="764">
        <f>プルダウン選択肢!AR20</f>
        <v>0</v>
      </c>
      <c r="CD21" s="764">
        <f>プルダウン選択肢!AS20</f>
        <v>0</v>
      </c>
      <c r="CE21" s="764">
        <f>プルダウン選択肢!AT20</f>
        <v>0</v>
      </c>
      <c r="CF21" s="764">
        <f>プルダウン選択肢!AU20</f>
        <v>0</v>
      </c>
      <c r="CG21" s="764">
        <f>プルダウン選択肢!AV20</f>
        <v>0</v>
      </c>
    </row>
    <row r="22" spans="1:86" ht="15.75" thickBot="1" x14ac:dyDescent="0.2">
      <c r="A22" s="1422" t="s">
        <v>2312</v>
      </c>
      <c r="B22" s="1422" t="s">
        <v>2352</v>
      </c>
      <c r="C22" s="71" t="s">
        <v>335</v>
      </c>
      <c r="D22" s="63" t="s">
        <v>17</v>
      </c>
      <c r="E22" s="364">
        <f t="shared" si="21"/>
        <v>0</v>
      </c>
      <c r="F22" s="63" t="s">
        <v>28</v>
      </c>
      <c r="G22" s="357"/>
      <c r="H22" s="168" t="s">
        <v>28</v>
      </c>
      <c r="I22" s="357"/>
      <c r="J22" s="168" t="s">
        <v>28</v>
      </c>
      <c r="K22" s="357"/>
      <c r="L22" s="168" t="s">
        <v>28</v>
      </c>
      <c r="M22" s="357"/>
      <c r="N22" s="168" t="s">
        <v>28</v>
      </c>
      <c r="O22" s="357"/>
      <c r="P22" s="168" t="s">
        <v>28</v>
      </c>
      <c r="Q22" s="357"/>
      <c r="R22" s="168" t="s">
        <v>28</v>
      </c>
      <c r="S22" s="357"/>
      <c r="T22" s="169" t="s">
        <v>28</v>
      </c>
      <c r="Z22" s="445" t="str">
        <f>BR178</f>
        <v>ID種別番号（入力）</v>
      </c>
      <c r="AA22" s="445">
        <f>BR179</f>
        <v>0</v>
      </c>
      <c r="AB22" s="61"/>
      <c r="AC22" s="770" t="s">
        <v>2584</v>
      </c>
      <c r="AD22" s="770"/>
      <c r="AE22" s="769">
        <f t="shared" si="13"/>
        <v>0</v>
      </c>
      <c r="AF22" s="769">
        <f t="shared" si="14"/>
        <v>0</v>
      </c>
      <c r="AG22" s="769">
        <f t="shared" si="15"/>
        <v>0</v>
      </c>
      <c r="AH22" s="769">
        <f t="shared" si="16"/>
        <v>0</v>
      </c>
      <c r="AI22" s="769">
        <f t="shared" si="17"/>
        <v>0</v>
      </c>
      <c r="AJ22" s="769">
        <f t="shared" si="18"/>
        <v>0</v>
      </c>
      <c r="AK22" s="769">
        <f t="shared" si="19"/>
        <v>0</v>
      </c>
      <c r="AL22" s="769">
        <f t="shared" si="20"/>
        <v>0</v>
      </c>
      <c r="AM22" s="748">
        <v>0</v>
      </c>
      <c r="AU22" s="767" t="str">
        <f t="shared" ref="AU22:BA22" si="22">AU13</f>
        <v/>
      </c>
      <c r="AV22" s="767" t="str">
        <f t="shared" si="22"/>
        <v/>
      </c>
      <c r="AW22" s="767" t="str">
        <f t="shared" si="22"/>
        <v/>
      </c>
      <c r="AX22" s="767" t="str">
        <f t="shared" si="22"/>
        <v/>
      </c>
      <c r="AY22" s="767" t="str">
        <f t="shared" si="22"/>
        <v/>
      </c>
      <c r="AZ22" s="767" t="str">
        <f t="shared" si="22"/>
        <v/>
      </c>
      <c r="BA22" s="767" t="str">
        <f t="shared" si="22"/>
        <v/>
      </c>
      <c r="BN22" s="764">
        <f>プルダウン選択肢!AC21</f>
        <v>0</v>
      </c>
      <c r="BO22" s="764">
        <f>プルダウン選択肢!AD21</f>
        <v>0</v>
      </c>
      <c r="BP22" s="764">
        <f>プルダウン選択肢!AE21</f>
        <v>0</v>
      </c>
      <c r="BQ22" s="764">
        <f>プルダウン選択肢!AF21</f>
        <v>0</v>
      </c>
      <c r="BR22" s="764">
        <f>プルダウン選択肢!AG21</f>
        <v>0</v>
      </c>
      <c r="BS22" s="764">
        <f>プルダウン選択肢!AH21</f>
        <v>0</v>
      </c>
      <c r="BT22" s="764">
        <f>プルダウン選択肢!AI21</f>
        <v>0</v>
      </c>
      <c r="BU22" s="764" t="str">
        <f>プルダウン選択肢!AJ21</f>
        <v>福祉ホーム</v>
      </c>
      <c r="BV22" s="764">
        <f>プルダウン選択肢!AK21</f>
        <v>0</v>
      </c>
      <c r="BW22" s="764">
        <f>プルダウン選択肢!AL21</f>
        <v>0</v>
      </c>
      <c r="BX22" s="764">
        <f>プルダウン選択肢!AM21</f>
        <v>0</v>
      </c>
      <c r="BY22" s="764">
        <f>プルダウン選択肢!AN21</f>
        <v>0</v>
      </c>
      <c r="BZ22" s="764">
        <f>プルダウン選択肢!AO21</f>
        <v>0</v>
      </c>
      <c r="CA22" s="764">
        <f>プルダウン選択肢!AP21</f>
        <v>0</v>
      </c>
      <c r="CB22" s="764">
        <f>プルダウン選択肢!AQ21</f>
        <v>0</v>
      </c>
      <c r="CC22" s="764">
        <f>プルダウン選択肢!AR21</f>
        <v>0</v>
      </c>
      <c r="CD22" s="764">
        <f>プルダウン選択肢!AS21</f>
        <v>0</v>
      </c>
      <c r="CE22" s="764">
        <f>プルダウン選択肢!AT21</f>
        <v>0</v>
      </c>
      <c r="CF22" s="764">
        <f>プルダウン選択肢!AU21</f>
        <v>0</v>
      </c>
      <c r="CG22" s="764">
        <f>プルダウン選択肢!AV21</f>
        <v>0</v>
      </c>
    </row>
    <row r="23" spans="1:86" ht="15.75" thickTop="1" x14ac:dyDescent="0.15">
      <c r="A23" s="1421" t="s">
        <v>2338</v>
      </c>
      <c r="B23" s="1421" t="s">
        <v>2353</v>
      </c>
      <c r="C23" s="70">
        <v>1</v>
      </c>
      <c r="D23" s="59" t="s">
        <v>17</v>
      </c>
      <c r="E23" s="363">
        <f t="shared" si="21"/>
        <v>0</v>
      </c>
      <c r="F23" s="59" t="s">
        <v>28</v>
      </c>
      <c r="G23" s="356"/>
      <c r="H23" s="166" t="s">
        <v>28</v>
      </c>
      <c r="I23" s="356"/>
      <c r="J23" s="166" t="s">
        <v>28</v>
      </c>
      <c r="K23" s="356"/>
      <c r="L23" s="166" t="s">
        <v>28</v>
      </c>
      <c r="M23" s="356"/>
      <c r="N23" s="166" t="s">
        <v>28</v>
      </c>
      <c r="O23" s="356"/>
      <c r="P23" s="166" t="s">
        <v>28</v>
      </c>
      <c r="Q23" s="356"/>
      <c r="R23" s="166" t="s">
        <v>28</v>
      </c>
      <c r="S23" s="356"/>
      <c r="T23" s="167" t="s">
        <v>28</v>
      </c>
      <c r="Z23" s="443" t="str">
        <f>BR168</f>
        <v>ID種別番号</v>
      </c>
      <c r="AA23" s="444" t="str">
        <f>BR177</f>
        <v/>
      </c>
      <c r="AB23" s="61"/>
      <c r="AC23" s="770">
        <v>1</v>
      </c>
      <c r="AD23" s="771" t="s">
        <v>2583</v>
      </c>
      <c r="AE23" s="769">
        <f t="shared" si="13"/>
        <v>0</v>
      </c>
      <c r="AF23" s="769">
        <f t="shared" si="14"/>
        <v>0</v>
      </c>
      <c r="AG23" s="769">
        <f t="shared" si="15"/>
        <v>0</v>
      </c>
      <c r="AH23" s="769">
        <f t="shared" si="16"/>
        <v>0</v>
      </c>
      <c r="AI23" s="769">
        <f t="shared" si="17"/>
        <v>0</v>
      </c>
      <c r="AJ23" s="769">
        <f t="shared" si="18"/>
        <v>0</v>
      </c>
      <c r="AK23" s="769">
        <f t="shared" si="19"/>
        <v>0</v>
      </c>
      <c r="AL23" s="769">
        <f t="shared" si="20"/>
        <v>0</v>
      </c>
      <c r="AM23" s="767">
        <f t="shared" ref="AM23:AM54" si="23">IF(SUMPRODUCT(($AF$11:$AL$11=$CE$2)*($AF23:$AL23&lt;&gt;0))&gt;0,1,0)</f>
        <v>0</v>
      </c>
      <c r="AT23" s="748" t="s">
        <v>2582</v>
      </c>
      <c r="AU23" s="767" t="str">
        <f t="shared" ref="AU23:AU54" si="24">IF(AF23=0,AU22,AU22&amp;$AT23)</f>
        <v/>
      </c>
      <c r="AV23" s="767" t="str">
        <f t="shared" ref="AV23:AV54" si="25">IF(AG23=0,AV22,AV22&amp;$AT23)</f>
        <v/>
      </c>
      <c r="AW23" s="767" t="str">
        <f t="shared" ref="AW23:AW54" si="26">IF(AH23=0,AW22,AW22&amp;$AT23)</f>
        <v/>
      </c>
      <c r="AX23" s="767" t="str">
        <f t="shared" ref="AX23:AX54" si="27">IF(AI23=0,AX22,AX22&amp;$AT23)</f>
        <v/>
      </c>
      <c r="AY23" s="767" t="str">
        <f t="shared" ref="AY23:AY54" si="28">IF(AJ23=0,AY22,AY22&amp;$AT23)</f>
        <v/>
      </c>
      <c r="AZ23" s="767" t="str">
        <f t="shared" ref="AZ23:AZ54" si="29">IF(AK23=0,AZ22,AZ22&amp;$AT23)</f>
        <v/>
      </c>
      <c r="BA23" s="767" t="str">
        <f t="shared" ref="BA23:BA54" si="30">IF(AL23=0,BA22,BA22&amp;$AT23)</f>
        <v/>
      </c>
      <c r="BN23" s="764">
        <f>プルダウン選択肢!AC22</f>
        <v>0</v>
      </c>
      <c r="BO23" s="764">
        <f>プルダウン選択肢!AD22</f>
        <v>0</v>
      </c>
      <c r="BP23" s="764">
        <f>プルダウン選択肢!AE22</f>
        <v>0</v>
      </c>
      <c r="BQ23" s="764">
        <f>プルダウン選択肢!AF22</f>
        <v>0</v>
      </c>
      <c r="BR23" s="764">
        <f>プルダウン選択肢!AG22</f>
        <v>0</v>
      </c>
      <c r="BS23" s="764">
        <f>プルダウン選択肢!AH22</f>
        <v>0</v>
      </c>
      <c r="BT23" s="764">
        <f>プルダウン選択肢!AI22</f>
        <v>0</v>
      </c>
      <c r="BU23" s="764" t="str">
        <f>プルダウン選択肢!AJ22</f>
        <v>障害者福祉サービスを行う事業所（自立訓練を行う事業所で、利用者の就寝の用に供するもの）</v>
      </c>
      <c r="BV23" s="764">
        <f>プルダウン選択肢!AK22</f>
        <v>0</v>
      </c>
      <c r="BW23" s="764">
        <f>プルダウン選択肢!AL22</f>
        <v>0</v>
      </c>
      <c r="BX23" s="764">
        <f>プルダウン選択肢!AM22</f>
        <v>0</v>
      </c>
      <c r="BY23" s="764">
        <f>プルダウン選択肢!AN22</f>
        <v>0</v>
      </c>
      <c r="BZ23" s="764">
        <f>プルダウン選択肢!AO22</f>
        <v>0</v>
      </c>
      <c r="CA23" s="764">
        <f>プルダウン選択肢!AP22</f>
        <v>0</v>
      </c>
      <c r="CB23" s="764">
        <f>プルダウン選択肢!AQ22</f>
        <v>0</v>
      </c>
      <c r="CC23" s="764">
        <f>プルダウン選択肢!AR22</f>
        <v>0</v>
      </c>
      <c r="CD23" s="764">
        <f>プルダウン選択肢!AS22</f>
        <v>0</v>
      </c>
      <c r="CE23" s="764">
        <f>プルダウン選択肢!AT22</f>
        <v>0</v>
      </c>
      <c r="CF23" s="764">
        <f>プルダウン選択肢!AU22</f>
        <v>0</v>
      </c>
      <c r="CG23" s="764">
        <f>プルダウン選択肢!AV22</f>
        <v>0</v>
      </c>
    </row>
    <row r="24" spans="1:86" ht="15" x14ac:dyDescent="0.15">
      <c r="A24" s="1422" t="s">
        <v>2313</v>
      </c>
      <c r="B24" s="1422" t="s">
        <v>2354</v>
      </c>
      <c r="C24" s="66">
        <v>2</v>
      </c>
      <c r="D24" s="59" t="s">
        <v>17</v>
      </c>
      <c r="E24" s="363">
        <f t="shared" si="21"/>
        <v>0</v>
      </c>
      <c r="F24" s="59" t="s">
        <v>28</v>
      </c>
      <c r="G24" s="356"/>
      <c r="H24" s="166" t="s">
        <v>28</v>
      </c>
      <c r="I24" s="356"/>
      <c r="J24" s="166" t="s">
        <v>28</v>
      </c>
      <c r="K24" s="356"/>
      <c r="L24" s="166" t="s">
        <v>28</v>
      </c>
      <c r="M24" s="356"/>
      <c r="N24" s="166" t="s">
        <v>28</v>
      </c>
      <c r="O24" s="356"/>
      <c r="P24" s="166" t="s">
        <v>28</v>
      </c>
      <c r="Q24" s="356"/>
      <c r="R24" s="166" t="s">
        <v>28</v>
      </c>
      <c r="S24" s="356"/>
      <c r="T24" s="167" t="s">
        <v>28</v>
      </c>
      <c r="Z24" s="445" t="str">
        <f>BS168</f>
        <v>対象種別</v>
      </c>
      <c r="AA24" s="445" t="str">
        <f>BS177</f>
        <v>対象外</v>
      </c>
      <c r="AB24" s="61"/>
      <c r="AC24" s="770">
        <v>2</v>
      </c>
      <c r="AD24" s="771"/>
      <c r="AE24" s="769">
        <f t="shared" si="13"/>
        <v>0</v>
      </c>
      <c r="AF24" s="769">
        <f t="shared" si="14"/>
        <v>0</v>
      </c>
      <c r="AG24" s="769">
        <f t="shared" si="15"/>
        <v>0</v>
      </c>
      <c r="AH24" s="769">
        <f t="shared" si="16"/>
        <v>0</v>
      </c>
      <c r="AI24" s="769">
        <f t="shared" si="17"/>
        <v>0</v>
      </c>
      <c r="AJ24" s="769">
        <f t="shared" si="18"/>
        <v>0</v>
      </c>
      <c r="AK24" s="769">
        <f t="shared" si="19"/>
        <v>0</v>
      </c>
      <c r="AL24" s="769">
        <f t="shared" si="20"/>
        <v>0</v>
      </c>
      <c r="AM24" s="767">
        <f t="shared" si="23"/>
        <v>0</v>
      </c>
      <c r="AT24" s="748" t="s">
        <v>2581</v>
      </c>
      <c r="AU24" s="767" t="str">
        <f t="shared" si="24"/>
        <v/>
      </c>
      <c r="AV24" s="767" t="str">
        <f t="shared" si="25"/>
        <v/>
      </c>
      <c r="AW24" s="767" t="str">
        <f t="shared" si="26"/>
        <v/>
      </c>
      <c r="AX24" s="767" t="str">
        <f t="shared" si="27"/>
        <v/>
      </c>
      <c r="AY24" s="767" t="str">
        <f t="shared" si="28"/>
        <v/>
      </c>
      <c r="AZ24" s="767" t="str">
        <f t="shared" si="29"/>
        <v/>
      </c>
      <c r="BA24" s="767" t="str">
        <f t="shared" si="30"/>
        <v/>
      </c>
      <c r="BN24" s="764">
        <f>プルダウン選択肢!AC23</f>
        <v>0</v>
      </c>
      <c r="BO24" s="764">
        <f>プルダウン選択肢!AD23</f>
        <v>0</v>
      </c>
      <c r="BP24" s="764">
        <f>プルダウン選択肢!AE23</f>
        <v>0</v>
      </c>
      <c r="BQ24" s="764">
        <f>プルダウン選択肢!AF23</f>
        <v>0</v>
      </c>
      <c r="BR24" s="764">
        <f>プルダウン選択肢!AG23</f>
        <v>0</v>
      </c>
      <c r="BS24" s="764">
        <f>プルダウン選択肢!AH23</f>
        <v>0</v>
      </c>
      <c r="BT24" s="764">
        <f>プルダウン選択肢!AI23</f>
        <v>0</v>
      </c>
      <c r="BU24" s="764" t="str">
        <f>プルダウン選択肢!AJ23</f>
        <v>障害者福祉サービスを行う事業所（就労移行支援を行う事業所で、利用者の就寝の用に供するもの）</v>
      </c>
      <c r="BV24" s="764">
        <f>プルダウン選択肢!AK23</f>
        <v>0</v>
      </c>
      <c r="BW24" s="764">
        <f>プルダウン選択肢!AL23</f>
        <v>0</v>
      </c>
      <c r="BX24" s="764">
        <f>プルダウン選択肢!AM23</f>
        <v>0</v>
      </c>
      <c r="BY24" s="764">
        <f>プルダウン選択肢!AN23</f>
        <v>0</v>
      </c>
      <c r="BZ24" s="764">
        <f>プルダウン選択肢!AO23</f>
        <v>0</v>
      </c>
      <c r="CA24" s="764">
        <f>プルダウン選択肢!AP23</f>
        <v>0</v>
      </c>
      <c r="CB24" s="764">
        <f>プルダウン選択肢!AQ23</f>
        <v>0</v>
      </c>
      <c r="CC24" s="764">
        <f>プルダウン選択肢!AR23</f>
        <v>0</v>
      </c>
      <c r="CD24" s="764">
        <f>プルダウン選択肢!AS23</f>
        <v>0</v>
      </c>
      <c r="CE24" s="764">
        <f>プルダウン選択肢!AT23</f>
        <v>0</v>
      </c>
      <c r="CF24" s="764">
        <f>プルダウン選択肢!AU23</f>
        <v>0</v>
      </c>
      <c r="CG24" s="764">
        <f>プルダウン選択肢!AV23</f>
        <v>0</v>
      </c>
    </row>
    <row r="25" spans="1:86" ht="15" x14ac:dyDescent="0.15">
      <c r="A25" s="1422" t="s">
        <v>2314</v>
      </c>
      <c r="B25" s="1421" t="s">
        <v>2355</v>
      </c>
      <c r="C25" s="66">
        <v>3</v>
      </c>
      <c r="D25" s="59" t="s">
        <v>17</v>
      </c>
      <c r="E25" s="363">
        <f t="shared" si="21"/>
        <v>0</v>
      </c>
      <c r="F25" s="59" t="s">
        <v>28</v>
      </c>
      <c r="G25" s="356"/>
      <c r="H25" s="166" t="s">
        <v>28</v>
      </c>
      <c r="I25" s="356"/>
      <c r="J25" s="166" t="s">
        <v>28</v>
      </c>
      <c r="K25" s="356"/>
      <c r="L25" s="166" t="s">
        <v>28</v>
      </c>
      <c r="M25" s="356"/>
      <c r="N25" s="166" t="s">
        <v>28</v>
      </c>
      <c r="O25" s="356"/>
      <c r="P25" s="166" t="s">
        <v>28</v>
      </c>
      <c r="Q25" s="356"/>
      <c r="R25" s="166" t="s">
        <v>28</v>
      </c>
      <c r="S25" s="356"/>
      <c r="T25" s="167" t="s">
        <v>28</v>
      </c>
      <c r="Z25" s="445" t="str">
        <f>BR180</f>
        <v>ID種別番号整合</v>
      </c>
      <c r="AA25" s="445" t="str">
        <f>BR181</f>
        <v>NG</v>
      </c>
      <c r="AB25" s="61"/>
      <c r="AC25" s="770">
        <v>3</v>
      </c>
      <c r="AD25" s="771"/>
      <c r="AE25" s="769">
        <f t="shared" si="13"/>
        <v>0</v>
      </c>
      <c r="AF25" s="769">
        <f t="shared" si="14"/>
        <v>0</v>
      </c>
      <c r="AG25" s="769">
        <f t="shared" si="15"/>
        <v>0</v>
      </c>
      <c r="AH25" s="769">
        <f t="shared" si="16"/>
        <v>0</v>
      </c>
      <c r="AI25" s="769">
        <f t="shared" si="17"/>
        <v>0</v>
      </c>
      <c r="AJ25" s="769">
        <f t="shared" si="18"/>
        <v>0</v>
      </c>
      <c r="AK25" s="769">
        <f t="shared" si="19"/>
        <v>0</v>
      </c>
      <c r="AL25" s="769">
        <f t="shared" si="20"/>
        <v>0</v>
      </c>
      <c r="AM25" s="767">
        <f t="shared" si="23"/>
        <v>0</v>
      </c>
      <c r="AT25" s="748" t="s">
        <v>2580</v>
      </c>
      <c r="AU25" s="767" t="str">
        <f t="shared" si="24"/>
        <v/>
      </c>
      <c r="AV25" s="767" t="str">
        <f t="shared" si="25"/>
        <v/>
      </c>
      <c r="AW25" s="767" t="str">
        <f t="shared" si="26"/>
        <v/>
      </c>
      <c r="AX25" s="767" t="str">
        <f t="shared" si="27"/>
        <v/>
      </c>
      <c r="AY25" s="767" t="str">
        <f t="shared" si="28"/>
        <v/>
      </c>
      <c r="AZ25" s="767" t="str">
        <f t="shared" si="29"/>
        <v/>
      </c>
      <c r="BA25" s="767" t="str">
        <f t="shared" si="30"/>
        <v/>
      </c>
    </row>
    <row r="26" spans="1:86" ht="15" x14ac:dyDescent="0.15">
      <c r="A26" s="1422" t="s">
        <v>2315</v>
      </c>
      <c r="B26" s="1422" t="s">
        <v>2356</v>
      </c>
      <c r="C26" s="66">
        <v>4</v>
      </c>
      <c r="D26" s="59" t="s">
        <v>17</v>
      </c>
      <c r="E26" s="363">
        <f t="shared" si="21"/>
        <v>0</v>
      </c>
      <c r="F26" s="59" t="s">
        <v>28</v>
      </c>
      <c r="G26" s="356"/>
      <c r="H26" s="166" t="s">
        <v>28</v>
      </c>
      <c r="I26" s="356"/>
      <c r="J26" s="166" t="s">
        <v>28</v>
      </c>
      <c r="K26" s="356"/>
      <c r="L26" s="166" t="s">
        <v>28</v>
      </c>
      <c r="M26" s="356"/>
      <c r="N26" s="166" t="s">
        <v>28</v>
      </c>
      <c r="O26" s="356"/>
      <c r="P26" s="166" t="s">
        <v>28</v>
      </c>
      <c r="Q26" s="356"/>
      <c r="R26" s="166" t="s">
        <v>28</v>
      </c>
      <c r="S26" s="356"/>
      <c r="T26" s="167" t="s">
        <v>28</v>
      </c>
      <c r="AB26" s="61"/>
      <c r="AC26" s="770">
        <v>4</v>
      </c>
      <c r="AD26" s="771"/>
      <c r="AE26" s="769">
        <f t="shared" si="13"/>
        <v>0</v>
      </c>
      <c r="AF26" s="769">
        <f t="shared" si="14"/>
        <v>0</v>
      </c>
      <c r="AG26" s="769">
        <f t="shared" si="15"/>
        <v>0</v>
      </c>
      <c r="AH26" s="769">
        <f t="shared" si="16"/>
        <v>0</v>
      </c>
      <c r="AI26" s="769">
        <f t="shared" si="17"/>
        <v>0</v>
      </c>
      <c r="AJ26" s="769">
        <f t="shared" si="18"/>
        <v>0</v>
      </c>
      <c r="AK26" s="769">
        <f t="shared" si="19"/>
        <v>0</v>
      </c>
      <c r="AL26" s="769">
        <f t="shared" si="20"/>
        <v>0</v>
      </c>
      <c r="AM26" s="767">
        <f t="shared" si="23"/>
        <v>0</v>
      </c>
      <c r="AT26" s="748" t="s">
        <v>2579</v>
      </c>
      <c r="AU26" s="767" t="str">
        <f t="shared" si="24"/>
        <v/>
      </c>
      <c r="AV26" s="767" t="str">
        <f t="shared" si="25"/>
        <v/>
      </c>
      <c r="AW26" s="767" t="str">
        <f t="shared" si="26"/>
        <v/>
      </c>
      <c r="AX26" s="767" t="str">
        <f t="shared" si="27"/>
        <v/>
      </c>
      <c r="AY26" s="767" t="str">
        <f t="shared" si="28"/>
        <v/>
      </c>
      <c r="AZ26" s="767" t="str">
        <f t="shared" si="29"/>
        <v/>
      </c>
      <c r="BA26" s="767" t="str">
        <f t="shared" si="30"/>
        <v/>
      </c>
    </row>
    <row r="27" spans="1:86" ht="15" x14ac:dyDescent="0.15">
      <c r="A27" s="1421" t="s">
        <v>2844</v>
      </c>
      <c r="B27" s="1422" t="s">
        <v>2357</v>
      </c>
      <c r="C27" s="67">
        <v>5</v>
      </c>
      <c r="D27" s="60" t="s">
        <v>17</v>
      </c>
      <c r="E27" s="365">
        <f t="shared" si="21"/>
        <v>0</v>
      </c>
      <c r="F27" s="60" t="s">
        <v>28</v>
      </c>
      <c r="G27" s="358"/>
      <c r="H27" s="170" t="s">
        <v>28</v>
      </c>
      <c r="I27" s="358"/>
      <c r="J27" s="170" t="s">
        <v>28</v>
      </c>
      <c r="K27" s="358"/>
      <c r="L27" s="170" t="s">
        <v>28</v>
      </c>
      <c r="M27" s="358"/>
      <c r="N27" s="170" t="s">
        <v>28</v>
      </c>
      <c r="O27" s="358"/>
      <c r="P27" s="170" t="s">
        <v>28</v>
      </c>
      <c r="Q27" s="358"/>
      <c r="R27" s="170" t="s">
        <v>28</v>
      </c>
      <c r="S27" s="358"/>
      <c r="T27" s="171" t="s">
        <v>28</v>
      </c>
      <c r="Z27" s="445" t="str">
        <f>BO178</f>
        <v>建築設備用途/規模該否（入力）（逆算）</v>
      </c>
      <c r="AA27" s="445" t="str">
        <f>BO179</f>
        <v/>
      </c>
      <c r="AB27" s="61"/>
      <c r="AC27" s="770">
        <v>5</v>
      </c>
      <c r="AD27" s="771"/>
      <c r="AE27" s="769">
        <f t="shared" si="13"/>
        <v>0</v>
      </c>
      <c r="AF27" s="769">
        <f t="shared" si="14"/>
        <v>0</v>
      </c>
      <c r="AG27" s="769">
        <f t="shared" si="15"/>
        <v>0</v>
      </c>
      <c r="AH27" s="769">
        <f t="shared" si="16"/>
        <v>0</v>
      </c>
      <c r="AI27" s="769">
        <f t="shared" si="17"/>
        <v>0</v>
      </c>
      <c r="AJ27" s="769">
        <f t="shared" si="18"/>
        <v>0</v>
      </c>
      <c r="AK27" s="769">
        <f t="shared" si="19"/>
        <v>0</v>
      </c>
      <c r="AL27" s="769">
        <f t="shared" si="20"/>
        <v>0</v>
      </c>
      <c r="AM27" s="767">
        <f t="shared" si="23"/>
        <v>0</v>
      </c>
      <c r="AT27" s="748" t="s">
        <v>2578</v>
      </c>
      <c r="AU27" s="767" t="str">
        <f t="shared" si="24"/>
        <v/>
      </c>
      <c r="AV27" s="767" t="str">
        <f t="shared" si="25"/>
        <v/>
      </c>
      <c r="AW27" s="767" t="str">
        <f t="shared" si="26"/>
        <v/>
      </c>
      <c r="AX27" s="767" t="str">
        <f t="shared" si="27"/>
        <v/>
      </c>
      <c r="AY27" s="767" t="str">
        <f t="shared" si="28"/>
        <v/>
      </c>
      <c r="AZ27" s="767" t="str">
        <f t="shared" si="29"/>
        <v/>
      </c>
      <c r="BA27" s="767" t="str">
        <f t="shared" si="30"/>
        <v/>
      </c>
    </row>
    <row r="28" spans="1:86" ht="15" x14ac:dyDescent="0.15">
      <c r="A28" s="1422" t="s">
        <v>2410</v>
      </c>
      <c r="B28" s="1422" t="s">
        <v>2358</v>
      </c>
      <c r="C28" s="68">
        <v>6</v>
      </c>
      <c r="D28" s="58" t="s">
        <v>17</v>
      </c>
      <c r="E28" s="366">
        <f t="shared" si="21"/>
        <v>0</v>
      </c>
      <c r="F28" s="58" t="s">
        <v>28</v>
      </c>
      <c r="G28" s="359"/>
      <c r="H28" s="172" t="s">
        <v>28</v>
      </c>
      <c r="I28" s="359"/>
      <c r="J28" s="172" t="s">
        <v>28</v>
      </c>
      <c r="K28" s="359"/>
      <c r="L28" s="172" t="s">
        <v>28</v>
      </c>
      <c r="M28" s="359"/>
      <c r="N28" s="172" t="s">
        <v>28</v>
      </c>
      <c r="O28" s="359"/>
      <c r="P28" s="172" t="s">
        <v>28</v>
      </c>
      <c r="Q28" s="359"/>
      <c r="R28" s="172" t="s">
        <v>28</v>
      </c>
      <c r="S28" s="359"/>
      <c r="T28" s="173" t="s">
        <v>28</v>
      </c>
      <c r="Z28" s="445" t="str">
        <f>BO180</f>
        <v>建築設備用途/規模該否整合</v>
      </c>
      <c r="AA28" s="445" t="str">
        <f>BO181</f>
        <v/>
      </c>
      <c r="AB28" s="61"/>
      <c r="AC28" s="770">
        <v>6</v>
      </c>
      <c r="AD28" s="770"/>
      <c r="AE28" s="769">
        <f t="shared" si="13"/>
        <v>0</v>
      </c>
      <c r="AF28" s="769">
        <f t="shared" si="14"/>
        <v>0</v>
      </c>
      <c r="AG28" s="769">
        <f t="shared" si="15"/>
        <v>0</v>
      </c>
      <c r="AH28" s="769">
        <f t="shared" si="16"/>
        <v>0</v>
      </c>
      <c r="AI28" s="769">
        <f t="shared" si="17"/>
        <v>0</v>
      </c>
      <c r="AJ28" s="769">
        <f t="shared" si="18"/>
        <v>0</v>
      </c>
      <c r="AK28" s="769">
        <f t="shared" si="19"/>
        <v>0</v>
      </c>
      <c r="AL28" s="769">
        <f t="shared" si="20"/>
        <v>0</v>
      </c>
      <c r="AM28" s="767">
        <f t="shared" si="23"/>
        <v>0</v>
      </c>
      <c r="AT28" s="748" t="s">
        <v>2577</v>
      </c>
      <c r="AU28" s="767" t="str">
        <f t="shared" si="24"/>
        <v/>
      </c>
      <c r="AV28" s="767" t="str">
        <f t="shared" si="25"/>
        <v/>
      </c>
      <c r="AW28" s="767" t="str">
        <f t="shared" si="26"/>
        <v/>
      </c>
      <c r="AX28" s="767" t="str">
        <f t="shared" si="27"/>
        <v/>
      </c>
      <c r="AY28" s="767" t="str">
        <f t="shared" si="28"/>
        <v/>
      </c>
      <c r="AZ28" s="767" t="str">
        <f t="shared" si="29"/>
        <v/>
      </c>
      <c r="BA28" s="767" t="str">
        <f t="shared" si="30"/>
        <v/>
      </c>
    </row>
    <row r="29" spans="1:86" ht="15" x14ac:dyDescent="0.15">
      <c r="A29" s="1422" t="s">
        <v>2405</v>
      </c>
      <c r="B29" s="1421" t="s">
        <v>2359</v>
      </c>
      <c r="C29" s="66">
        <v>7</v>
      </c>
      <c r="D29" s="59" t="s">
        <v>17</v>
      </c>
      <c r="E29" s="363">
        <f t="shared" si="21"/>
        <v>0</v>
      </c>
      <c r="F29" s="59" t="s">
        <v>28</v>
      </c>
      <c r="G29" s="356"/>
      <c r="H29" s="166" t="s">
        <v>28</v>
      </c>
      <c r="I29" s="356"/>
      <c r="J29" s="166" t="s">
        <v>28</v>
      </c>
      <c r="K29" s="356"/>
      <c r="L29" s="166" t="s">
        <v>28</v>
      </c>
      <c r="M29" s="356"/>
      <c r="N29" s="166" t="s">
        <v>28</v>
      </c>
      <c r="O29" s="356"/>
      <c r="P29" s="166" t="s">
        <v>28</v>
      </c>
      <c r="Q29" s="356"/>
      <c r="R29" s="166" t="s">
        <v>28</v>
      </c>
      <c r="S29" s="356"/>
      <c r="T29" s="167" t="s">
        <v>28</v>
      </c>
      <c r="Z29" s="445" t="str">
        <f>BP178</f>
        <v>防火設備用途/規模該否（入力）（逆算）</v>
      </c>
      <c r="AA29" s="445" t="str">
        <f>BP179</f>
        <v/>
      </c>
      <c r="AB29" s="61"/>
      <c r="AC29" s="770">
        <v>7</v>
      </c>
      <c r="AD29" s="770"/>
      <c r="AE29" s="769">
        <f t="shared" si="13"/>
        <v>0</v>
      </c>
      <c r="AF29" s="769">
        <f t="shared" si="14"/>
        <v>0</v>
      </c>
      <c r="AG29" s="769">
        <f t="shared" si="15"/>
        <v>0</v>
      </c>
      <c r="AH29" s="769">
        <f t="shared" si="16"/>
        <v>0</v>
      </c>
      <c r="AI29" s="769">
        <f t="shared" si="17"/>
        <v>0</v>
      </c>
      <c r="AJ29" s="769">
        <f t="shared" si="18"/>
        <v>0</v>
      </c>
      <c r="AK29" s="769">
        <f t="shared" si="19"/>
        <v>0</v>
      </c>
      <c r="AL29" s="769">
        <f t="shared" si="20"/>
        <v>0</v>
      </c>
      <c r="AM29" s="767">
        <f t="shared" si="23"/>
        <v>0</v>
      </c>
      <c r="AT29" s="748" t="s">
        <v>2576</v>
      </c>
      <c r="AU29" s="767" t="str">
        <f t="shared" si="24"/>
        <v/>
      </c>
      <c r="AV29" s="767" t="str">
        <f t="shared" si="25"/>
        <v/>
      </c>
      <c r="AW29" s="767" t="str">
        <f t="shared" si="26"/>
        <v/>
      </c>
      <c r="AX29" s="767" t="str">
        <f t="shared" si="27"/>
        <v/>
      </c>
      <c r="AY29" s="767" t="str">
        <f t="shared" si="28"/>
        <v/>
      </c>
      <c r="AZ29" s="767" t="str">
        <f t="shared" si="29"/>
        <v/>
      </c>
      <c r="BA29" s="767" t="str">
        <f t="shared" si="30"/>
        <v/>
      </c>
      <c r="BK29" s="746" t="s">
        <v>2653</v>
      </c>
      <c r="BL29" s="746">
        <v>1</v>
      </c>
      <c r="BN29" s="773" t="b">
        <v>0</v>
      </c>
      <c r="BO29" s="773" t="b">
        <v>0</v>
      </c>
      <c r="BP29" s="773" t="b">
        <v>0</v>
      </c>
      <c r="BQ29" s="774" t="b">
        <v>1</v>
      </c>
      <c r="BR29" s="773" t="b">
        <v>0</v>
      </c>
      <c r="BS29" s="773" t="b">
        <v>0</v>
      </c>
      <c r="BT29" s="773" t="b">
        <v>0</v>
      </c>
      <c r="BU29" s="773" t="b">
        <v>0</v>
      </c>
      <c r="BV29" s="774" t="b">
        <v>1</v>
      </c>
      <c r="BW29" s="774" t="b">
        <v>1</v>
      </c>
      <c r="BX29" s="774" t="b">
        <v>1</v>
      </c>
      <c r="BY29" s="774" t="b">
        <v>1</v>
      </c>
      <c r="BZ29" s="773" t="b">
        <v>0</v>
      </c>
      <c r="CA29" s="773" t="b">
        <v>0</v>
      </c>
      <c r="CB29" s="774" t="b">
        <v>1</v>
      </c>
      <c r="CC29" s="774" t="b">
        <v>1</v>
      </c>
      <c r="CD29" s="773" t="b">
        <v>0</v>
      </c>
      <c r="CE29" s="773" t="b">
        <v>0</v>
      </c>
      <c r="CF29" s="775"/>
      <c r="CG29" s="775"/>
      <c r="CH29" s="774" t="b">
        <v>1</v>
      </c>
    </row>
    <row r="30" spans="1:86" ht="15" x14ac:dyDescent="0.15">
      <c r="A30" s="1422" t="s">
        <v>2406</v>
      </c>
      <c r="B30" s="1422" t="s">
        <v>2360</v>
      </c>
      <c r="C30" s="66">
        <v>8</v>
      </c>
      <c r="D30" s="59" t="s">
        <v>17</v>
      </c>
      <c r="E30" s="363">
        <f t="shared" si="21"/>
        <v>0</v>
      </c>
      <c r="F30" s="59" t="s">
        <v>28</v>
      </c>
      <c r="G30" s="356"/>
      <c r="H30" s="166" t="s">
        <v>28</v>
      </c>
      <c r="I30" s="356"/>
      <c r="J30" s="166" t="s">
        <v>28</v>
      </c>
      <c r="K30" s="356"/>
      <c r="L30" s="166" t="s">
        <v>28</v>
      </c>
      <c r="M30" s="356"/>
      <c r="N30" s="166" t="s">
        <v>28</v>
      </c>
      <c r="O30" s="356"/>
      <c r="P30" s="166" t="s">
        <v>28</v>
      </c>
      <c r="Q30" s="356"/>
      <c r="R30" s="166" t="s">
        <v>28</v>
      </c>
      <c r="S30" s="356"/>
      <c r="T30" s="167" t="s">
        <v>28</v>
      </c>
      <c r="Z30" s="445" t="str">
        <f>BP180</f>
        <v>防火設備用途/規模該否整合</v>
      </c>
      <c r="AA30" s="445" t="str">
        <f>BP181</f>
        <v/>
      </c>
      <c r="AB30" s="61"/>
      <c r="AC30" s="770">
        <v>8</v>
      </c>
      <c r="AD30" s="770"/>
      <c r="AE30" s="769">
        <f t="shared" si="13"/>
        <v>0</v>
      </c>
      <c r="AF30" s="769">
        <f t="shared" si="14"/>
        <v>0</v>
      </c>
      <c r="AG30" s="769">
        <f t="shared" si="15"/>
        <v>0</v>
      </c>
      <c r="AH30" s="769">
        <f t="shared" si="16"/>
        <v>0</v>
      </c>
      <c r="AI30" s="769">
        <f t="shared" si="17"/>
        <v>0</v>
      </c>
      <c r="AJ30" s="769">
        <f t="shared" si="18"/>
        <v>0</v>
      </c>
      <c r="AK30" s="769">
        <f t="shared" si="19"/>
        <v>0</v>
      </c>
      <c r="AL30" s="769">
        <f t="shared" si="20"/>
        <v>0</v>
      </c>
      <c r="AM30" s="767">
        <f t="shared" si="23"/>
        <v>0</v>
      </c>
      <c r="AT30" s="748" t="s">
        <v>2575</v>
      </c>
      <c r="AU30" s="767" t="str">
        <f t="shared" si="24"/>
        <v/>
      </c>
      <c r="AV30" s="767" t="str">
        <f t="shared" si="25"/>
        <v/>
      </c>
      <c r="AW30" s="767" t="str">
        <f t="shared" si="26"/>
        <v/>
      </c>
      <c r="AX30" s="767" t="str">
        <f t="shared" si="27"/>
        <v/>
      </c>
      <c r="AY30" s="767" t="str">
        <f t="shared" si="28"/>
        <v/>
      </c>
      <c r="AZ30" s="767" t="str">
        <f t="shared" si="29"/>
        <v/>
      </c>
      <c r="BA30" s="767" t="str">
        <f t="shared" si="30"/>
        <v/>
      </c>
      <c r="BL30" s="746">
        <v>2</v>
      </c>
      <c r="BN30" s="774" t="b">
        <v>1</v>
      </c>
      <c r="BO30" s="774" t="b">
        <v>1</v>
      </c>
      <c r="BP30" s="773" t="b">
        <v>0</v>
      </c>
      <c r="BQ30" s="773" t="b">
        <v>0</v>
      </c>
      <c r="BR30" s="774" t="b">
        <v>1</v>
      </c>
      <c r="BS30" s="774" t="b">
        <v>1</v>
      </c>
      <c r="BT30" s="774" t="b">
        <v>1</v>
      </c>
      <c r="BU30" s="774" t="b">
        <v>1</v>
      </c>
      <c r="BV30" s="773" t="b">
        <v>0</v>
      </c>
      <c r="BW30" s="773" t="b">
        <v>0</v>
      </c>
      <c r="BX30" s="773" t="b">
        <v>0</v>
      </c>
      <c r="BY30" s="773" t="b">
        <v>0</v>
      </c>
      <c r="BZ30" s="774" t="b">
        <v>1</v>
      </c>
      <c r="CA30" s="774" t="b">
        <v>1</v>
      </c>
      <c r="CB30" s="773" t="b">
        <v>0</v>
      </c>
      <c r="CC30" s="773" t="b">
        <v>0</v>
      </c>
      <c r="CD30" s="773" t="b">
        <v>0</v>
      </c>
      <c r="CE30" s="773" t="b">
        <v>0</v>
      </c>
      <c r="CF30" s="775"/>
      <c r="CG30" s="775"/>
      <c r="CH30" s="773" t="b">
        <v>0</v>
      </c>
    </row>
    <row r="31" spans="1:86" ht="15" x14ac:dyDescent="0.15">
      <c r="A31" s="1714" t="s">
        <v>2407</v>
      </c>
      <c r="B31" s="1422" t="s">
        <v>302</v>
      </c>
      <c r="C31" s="66">
        <v>9</v>
      </c>
      <c r="D31" s="59" t="s">
        <v>17</v>
      </c>
      <c r="E31" s="363">
        <f t="shared" si="21"/>
        <v>0</v>
      </c>
      <c r="F31" s="59" t="s">
        <v>28</v>
      </c>
      <c r="G31" s="356"/>
      <c r="H31" s="166" t="s">
        <v>28</v>
      </c>
      <c r="I31" s="356"/>
      <c r="J31" s="166" t="s">
        <v>28</v>
      </c>
      <c r="K31" s="356"/>
      <c r="L31" s="166" t="s">
        <v>28</v>
      </c>
      <c r="M31" s="356"/>
      <c r="N31" s="166" t="s">
        <v>28</v>
      </c>
      <c r="O31" s="356"/>
      <c r="P31" s="166" t="s">
        <v>28</v>
      </c>
      <c r="Q31" s="356"/>
      <c r="R31" s="166" t="s">
        <v>28</v>
      </c>
      <c r="S31" s="356"/>
      <c r="T31" s="167" t="s">
        <v>28</v>
      </c>
      <c r="AB31" s="61"/>
      <c r="AC31" s="770">
        <v>9</v>
      </c>
      <c r="AD31" s="770"/>
      <c r="AE31" s="769">
        <f t="shared" si="13"/>
        <v>0</v>
      </c>
      <c r="AF31" s="769">
        <f t="shared" si="14"/>
        <v>0</v>
      </c>
      <c r="AG31" s="769">
        <f t="shared" si="15"/>
        <v>0</v>
      </c>
      <c r="AH31" s="769">
        <f t="shared" si="16"/>
        <v>0</v>
      </c>
      <c r="AI31" s="769">
        <f t="shared" si="17"/>
        <v>0</v>
      </c>
      <c r="AJ31" s="769">
        <f t="shared" si="18"/>
        <v>0</v>
      </c>
      <c r="AK31" s="769">
        <f t="shared" si="19"/>
        <v>0</v>
      </c>
      <c r="AL31" s="769">
        <f t="shared" si="20"/>
        <v>0</v>
      </c>
      <c r="AM31" s="767">
        <f t="shared" si="23"/>
        <v>0</v>
      </c>
      <c r="AT31" s="748" t="s">
        <v>2574</v>
      </c>
      <c r="AU31" s="767" t="str">
        <f t="shared" si="24"/>
        <v/>
      </c>
      <c r="AV31" s="767" t="str">
        <f t="shared" si="25"/>
        <v/>
      </c>
      <c r="AW31" s="767" t="str">
        <f t="shared" si="26"/>
        <v/>
      </c>
      <c r="AX31" s="767" t="str">
        <f t="shared" si="27"/>
        <v/>
      </c>
      <c r="AY31" s="767" t="str">
        <f t="shared" si="28"/>
        <v/>
      </c>
      <c r="AZ31" s="767" t="str">
        <f t="shared" si="29"/>
        <v/>
      </c>
      <c r="BA31" s="767" t="str">
        <f t="shared" si="30"/>
        <v/>
      </c>
      <c r="BL31" s="746">
        <v>3</v>
      </c>
      <c r="BN31" s="773" t="b">
        <v>0</v>
      </c>
      <c r="BO31" s="773" t="b">
        <v>0</v>
      </c>
      <c r="BP31" s="774" t="b">
        <v>1</v>
      </c>
      <c r="BQ31" s="773" t="b">
        <v>0</v>
      </c>
      <c r="BR31" s="773" t="b">
        <v>0</v>
      </c>
      <c r="BS31" s="773" t="b">
        <v>0</v>
      </c>
      <c r="BT31" s="773" t="b">
        <v>0</v>
      </c>
      <c r="BU31" s="773" t="b">
        <v>0</v>
      </c>
      <c r="BV31" s="773" t="b">
        <v>0</v>
      </c>
      <c r="BW31" s="773" t="b">
        <v>0</v>
      </c>
      <c r="BX31" s="773" t="b">
        <v>0</v>
      </c>
      <c r="BY31" s="773" t="b">
        <v>0</v>
      </c>
      <c r="BZ31" s="773" t="b">
        <v>0</v>
      </c>
      <c r="CA31" s="773" t="b">
        <v>0</v>
      </c>
      <c r="CB31" s="773" t="b">
        <v>0</v>
      </c>
      <c r="CC31" s="773" t="b">
        <v>0</v>
      </c>
      <c r="CD31" s="774" t="b">
        <v>1</v>
      </c>
      <c r="CE31" s="774" t="b">
        <v>1</v>
      </c>
      <c r="CF31" s="775"/>
      <c r="CG31" s="775"/>
      <c r="CH31" s="773" t="b">
        <v>0</v>
      </c>
    </row>
    <row r="32" spans="1:86" ht="15" customHeight="1" x14ac:dyDescent="0.15">
      <c r="A32" s="1714" t="s">
        <v>2408</v>
      </c>
      <c r="B32" s="1422" t="s">
        <v>303</v>
      </c>
      <c r="C32" s="67">
        <v>10</v>
      </c>
      <c r="D32" s="60" t="s">
        <v>17</v>
      </c>
      <c r="E32" s="365">
        <f t="shared" si="21"/>
        <v>0</v>
      </c>
      <c r="F32" s="60" t="s">
        <v>28</v>
      </c>
      <c r="G32" s="358"/>
      <c r="H32" s="170" t="s">
        <v>28</v>
      </c>
      <c r="I32" s="358"/>
      <c r="J32" s="170" t="s">
        <v>28</v>
      </c>
      <c r="K32" s="358"/>
      <c r="L32" s="170" t="s">
        <v>28</v>
      </c>
      <c r="M32" s="358"/>
      <c r="N32" s="170" t="s">
        <v>28</v>
      </c>
      <c r="O32" s="358"/>
      <c r="P32" s="170" t="s">
        <v>28</v>
      </c>
      <c r="Q32" s="358"/>
      <c r="R32" s="170" t="s">
        <v>28</v>
      </c>
      <c r="S32" s="358"/>
      <c r="T32" s="171" t="s">
        <v>28</v>
      </c>
      <c r="Z32" s="445" t="str">
        <f>CJ110</f>
        <v>対象用途まとめ（国建）</v>
      </c>
      <c r="AA32" s="445" t="str">
        <f>CJ111</f>
        <v/>
      </c>
      <c r="AB32" s="61"/>
      <c r="AC32" s="770">
        <v>10</v>
      </c>
      <c r="AD32" s="770"/>
      <c r="AE32" s="769">
        <f t="shared" si="13"/>
        <v>0</v>
      </c>
      <c r="AF32" s="769">
        <f t="shared" si="14"/>
        <v>0</v>
      </c>
      <c r="AG32" s="769">
        <f t="shared" si="15"/>
        <v>0</v>
      </c>
      <c r="AH32" s="769">
        <f t="shared" si="16"/>
        <v>0</v>
      </c>
      <c r="AI32" s="769">
        <f t="shared" si="17"/>
        <v>0</v>
      </c>
      <c r="AJ32" s="769">
        <f t="shared" si="18"/>
        <v>0</v>
      </c>
      <c r="AK32" s="769">
        <f t="shared" si="19"/>
        <v>0</v>
      </c>
      <c r="AL32" s="769">
        <f t="shared" si="20"/>
        <v>0</v>
      </c>
      <c r="AM32" s="767">
        <f t="shared" si="23"/>
        <v>0</v>
      </c>
      <c r="AT32" s="748" t="s">
        <v>2573</v>
      </c>
      <c r="AU32" s="767" t="str">
        <f t="shared" si="24"/>
        <v/>
      </c>
      <c r="AV32" s="767" t="str">
        <f t="shared" si="25"/>
        <v/>
      </c>
      <c r="AW32" s="767" t="str">
        <f t="shared" si="26"/>
        <v/>
      </c>
      <c r="AX32" s="767" t="str">
        <f t="shared" si="27"/>
        <v/>
      </c>
      <c r="AY32" s="767" t="str">
        <f t="shared" si="28"/>
        <v/>
      </c>
      <c r="AZ32" s="767" t="str">
        <f t="shared" si="29"/>
        <v/>
      </c>
      <c r="BA32" s="767" t="str">
        <f t="shared" si="30"/>
        <v/>
      </c>
    </row>
    <row r="33" spans="1:86" ht="15" customHeight="1" x14ac:dyDescent="0.15">
      <c r="A33" s="2947" t="s">
        <v>2411</v>
      </c>
      <c r="B33" s="1422" t="s">
        <v>304</v>
      </c>
      <c r="C33" s="68">
        <v>11</v>
      </c>
      <c r="D33" s="58" t="s">
        <v>17</v>
      </c>
      <c r="E33" s="363">
        <f t="shared" si="21"/>
        <v>0</v>
      </c>
      <c r="F33" s="59" t="s">
        <v>28</v>
      </c>
      <c r="G33" s="359"/>
      <c r="H33" s="172" t="s">
        <v>28</v>
      </c>
      <c r="I33" s="359"/>
      <c r="J33" s="172" t="s">
        <v>28</v>
      </c>
      <c r="K33" s="359"/>
      <c r="L33" s="172" t="s">
        <v>28</v>
      </c>
      <c r="M33" s="359"/>
      <c r="N33" s="172" t="s">
        <v>28</v>
      </c>
      <c r="O33" s="359"/>
      <c r="P33" s="172" t="s">
        <v>28</v>
      </c>
      <c r="Q33" s="359"/>
      <c r="R33" s="172" t="s">
        <v>28</v>
      </c>
      <c r="S33" s="359"/>
      <c r="T33" s="173" t="s">
        <v>28</v>
      </c>
      <c r="Z33" s="445" t="str">
        <f>CJ113</f>
        <v>対象用途まとめ（市新建）</v>
      </c>
      <c r="AA33" s="445" t="str">
        <f>CJ114</f>
        <v/>
      </c>
      <c r="AB33" s="61"/>
      <c r="AC33" s="770">
        <v>11</v>
      </c>
      <c r="AD33" s="770"/>
      <c r="AE33" s="769">
        <f t="shared" si="13"/>
        <v>0</v>
      </c>
      <c r="AF33" s="769">
        <f t="shared" si="14"/>
        <v>0</v>
      </c>
      <c r="AG33" s="769">
        <f t="shared" si="15"/>
        <v>0</v>
      </c>
      <c r="AH33" s="769">
        <f t="shared" si="16"/>
        <v>0</v>
      </c>
      <c r="AI33" s="769">
        <f t="shared" si="17"/>
        <v>0</v>
      </c>
      <c r="AJ33" s="769">
        <f t="shared" si="18"/>
        <v>0</v>
      </c>
      <c r="AK33" s="769">
        <f t="shared" si="19"/>
        <v>0</v>
      </c>
      <c r="AL33" s="769">
        <f t="shared" si="20"/>
        <v>0</v>
      </c>
      <c r="AM33" s="767">
        <f t="shared" si="23"/>
        <v>0</v>
      </c>
      <c r="AT33" s="748" t="s">
        <v>2571</v>
      </c>
      <c r="AU33" s="767" t="str">
        <f t="shared" si="24"/>
        <v/>
      </c>
      <c r="AV33" s="767" t="str">
        <f t="shared" si="25"/>
        <v/>
      </c>
      <c r="AW33" s="767" t="str">
        <f t="shared" si="26"/>
        <v/>
      </c>
      <c r="AX33" s="767" t="str">
        <f t="shared" si="27"/>
        <v/>
      </c>
      <c r="AY33" s="767" t="str">
        <f t="shared" si="28"/>
        <v/>
      </c>
      <c r="AZ33" s="767" t="str">
        <f t="shared" si="29"/>
        <v/>
      </c>
      <c r="BA33" s="767" t="str">
        <f t="shared" si="30"/>
        <v/>
      </c>
      <c r="BK33" s="746" t="s">
        <v>2523</v>
      </c>
      <c r="BL33" s="746" t="s">
        <v>2549</v>
      </c>
      <c r="BM33" s="746" t="s">
        <v>2509</v>
      </c>
      <c r="BN33" s="776">
        <v>100</v>
      </c>
      <c r="BO33" s="776">
        <v>100</v>
      </c>
      <c r="BP33" s="776">
        <v>100</v>
      </c>
      <c r="BQ33" s="776">
        <v>100</v>
      </c>
      <c r="BR33" s="776"/>
      <c r="BS33" s="776">
        <v>100</v>
      </c>
      <c r="BT33" s="776"/>
      <c r="BU33" s="776">
        <v>100</v>
      </c>
      <c r="BV33" s="776"/>
      <c r="BW33" s="776"/>
      <c r="BX33" s="776"/>
      <c r="BY33" s="776"/>
      <c r="BZ33" s="776">
        <v>100</v>
      </c>
      <c r="CA33" s="776">
        <v>100</v>
      </c>
      <c r="CB33" s="776">
        <v>100</v>
      </c>
      <c r="CC33" s="776">
        <v>100</v>
      </c>
      <c r="CD33" s="776"/>
      <c r="CE33" s="776"/>
      <c r="CF33" s="776"/>
      <c r="CG33" s="776"/>
    </row>
    <row r="34" spans="1:86" ht="15" x14ac:dyDescent="0.15">
      <c r="A34" s="2947"/>
      <c r="B34" s="1422" t="s">
        <v>305</v>
      </c>
      <c r="C34" s="66">
        <v>12</v>
      </c>
      <c r="D34" s="59" t="s">
        <v>17</v>
      </c>
      <c r="E34" s="363">
        <f t="shared" si="21"/>
        <v>0</v>
      </c>
      <c r="F34" s="59" t="s">
        <v>28</v>
      </c>
      <c r="G34" s="356"/>
      <c r="H34" s="166" t="s">
        <v>28</v>
      </c>
      <c r="I34" s="356"/>
      <c r="J34" s="166" t="s">
        <v>28</v>
      </c>
      <c r="K34" s="356"/>
      <c r="L34" s="166" t="s">
        <v>28</v>
      </c>
      <c r="M34" s="356"/>
      <c r="N34" s="166" t="s">
        <v>28</v>
      </c>
      <c r="O34" s="356"/>
      <c r="P34" s="166" t="s">
        <v>28</v>
      </c>
      <c r="Q34" s="356"/>
      <c r="R34" s="166" t="s">
        <v>28</v>
      </c>
      <c r="S34" s="356"/>
      <c r="T34" s="167" t="s">
        <v>28</v>
      </c>
      <c r="Z34" s="445" t="str">
        <f>CJ116</f>
        <v>対象用途まとめ（市従建）</v>
      </c>
      <c r="AA34" s="445" t="str">
        <f>CJ117</f>
        <v/>
      </c>
      <c r="AB34" s="61"/>
      <c r="AC34" s="770">
        <v>12</v>
      </c>
      <c r="AD34" s="770"/>
      <c r="AE34" s="769">
        <f t="shared" si="13"/>
        <v>0</v>
      </c>
      <c r="AF34" s="769">
        <f t="shared" si="14"/>
        <v>0</v>
      </c>
      <c r="AG34" s="769">
        <f t="shared" si="15"/>
        <v>0</v>
      </c>
      <c r="AH34" s="769">
        <f t="shared" si="16"/>
        <v>0</v>
      </c>
      <c r="AI34" s="769">
        <f t="shared" si="17"/>
        <v>0</v>
      </c>
      <c r="AJ34" s="769">
        <f t="shared" si="18"/>
        <v>0</v>
      </c>
      <c r="AK34" s="769">
        <f t="shared" si="19"/>
        <v>0</v>
      </c>
      <c r="AL34" s="769">
        <f t="shared" si="20"/>
        <v>0</v>
      </c>
      <c r="AM34" s="767">
        <f t="shared" si="23"/>
        <v>0</v>
      </c>
      <c r="AT34" s="748" t="s">
        <v>2570</v>
      </c>
      <c r="AU34" s="767" t="str">
        <f t="shared" si="24"/>
        <v/>
      </c>
      <c r="AV34" s="767" t="str">
        <f t="shared" si="25"/>
        <v/>
      </c>
      <c r="AW34" s="767" t="str">
        <f t="shared" si="26"/>
        <v/>
      </c>
      <c r="AX34" s="767" t="str">
        <f t="shared" si="27"/>
        <v/>
      </c>
      <c r="AY34" s="767" t="str">
        <f t="shared" si="28"/>
        <v/>
      </c>
      <c r="AZ34" s="767" t="str">
        <f t="shared" si="29"/>
        <v/>
      </c>
      <c r="BA34" s="767" t="str">
        <f t="shared" si="30"/>
        <v/>
      </c>
      <c r="BM34" s="746" t="s">
        <v>2507</v>
      </c>
      <c r="BN34" s="776"/>
      <c r="BO34" s="776"/>
      <c r="BP34" s="776">
        <v>300</v>
      </c>
      <c r="BQ34" s="776">
        <v>300</v>
      </c>
      <c r="BR34" s="776"/>
      <c r="BS34" s="776">
        <v>300</v>
      </c>
      <c r="BT34" s="776"/>
      <c r="BU34" s="776">
        <v>300</v>
      </c>
      <c r="BV34" s="776"/>
      <c r="BW34" s="776"/>
      <c r="BX34" s="776"/>
      <c r="BY34" s="776"/>
      <c r="BZ34" s="776">
        <v>500</v>
      </c>
      <c r="CA34" s="776">
        <v>500</v>
      </c>
      <c r="CB34" s="776">
        <v>500</v>
      </c>
      <c r="CC34" s="776">
        <v>500</v>
      </c>
      <c r="CD34" s="776"/>
      <c r="CE34" s="776"/>
      <c r="CF34" s="776"/>
      <c r="CG34" s="776"/>
    </row>
    <row r="35" spans="1:86" ht="15" customHeight="1" x14ac:dyDescent="0.15">
      <c r="A35" s="1714" t="s">
        <v>2409</v>
      </c>
      <c r="B35" s="1422" t="s">
        <v>306</v>
      </c>
      <c r="C35" s="66">
        <v>13</v>
      </c>
      <c r="D35" s="59" t="s">
        <v>17</v>
      </c>
      <c r="E35" s="363">
        <f t="shared" si="21"/>
        <v>0</v>
      </c>
      <c r="F35" s="59" t="s">
        <v>28</v>
      </c>
      <c r="G35" s="356"/>
      <c r="H35" s="166" t="s">
        <v>28</v>
      </c>
      <c r="I35" s="356"/>
      <c r="J35" s="166" t="s">
        <v>28</v>
      </c>
      <c r="K35" s="356"/>
      <c r="L35" s="166" t="s">
        <v>28</v>
      </c>
      <c r="M35" s="356"/>
      <c r="N35" s="166" t="s">
        <v>28</v>
      </c>
      <c r="O35" s="356"/>
      <c r="P35" s="166" t="s">
        <v>28</v>
      </c>
      <c r="Q35" s="356"/>
      <c r="R35" s="166" t="s">
        <v>28</v>
      </c>
      <c r="S35" s="356"/>
      <c r="T35" s="167" t="s">
        <v>28</v>
      </c>
      <c r="Z35" s="445" t="str">
        <f>CJ119</f>
        <v>対象用途まとめ（市建）</v>
      </c>
      <c r="AA35" s="445" t="str">
        <f>CJ120</f>
        <v/>
      </c>
      <c r="AB35" s="61"/>
      <c r="AC35" s="770">
        <v>13</v>
      </c>
      <c r="AD35" s="770"/>
      <c r="AE35" s="769">
        <f t="shared" si="13"/>
        <v>0</v>
      </c>
      <c r="AF35" s="769">
        <f t="shared" si="14"/>
        <v>0</v>
      </c>
      <c r="AG35" s="769">
        <f t="shared" si="15"/>
        <v>0</v>
      </c>
      <c r="AH35" s="769">
        <f t="shared" si="16"/>
        <v>0</v>
      </c>
      <c r="AI35" s="769">
        <f t="shared" si="17"/>
        <v>0</v>
      </c>
      <c r="AJ35" s="769">
        <f t="shared" si="18"/>
        <v>0</v>
      </c>
      <c r="AK35" s="769">
        <f t="shared" si="19"/>
        <v>0</v>
      </c>
      <c r="AL35" s="769">
        <f t="shared" si="20"/>
        <v>0</v>
      </c>
      <c r="AM35" s="767">
        <f t="shared" si="23"/>
        <v>0</v>
      </c>
      <c r="AT35" s="748" t="s">
        <v>2569</v>
      </c>
      <c r="AU35" s="767" t="str">
        <f t="shared" si="24"/>
        <v/>
      </c>
      <c r="AV35" s="767" t="str">
        <f t="shared" si="25"/>
        <v/>
      </c>
      <c r="AW35" s="767" t="str">
        <f t="shared" si="26"/>
        <v/>
      </c>
      <c r="AX35" s="767" t="str">
        <f t="shared" si="27"/>
        <v/>
      </c>
      <c r="AY35" s="767" t="str">
        <f t="shared" si="28"/>
        <v/>
      </c>
      <c r="AZ35" s="767" t="str">
        <f t="shared" si="29"/>
        <v/>
      </c>
      <c r="BA35" s="767" t="str">
        <f t="shared" si="30"/>
        <v/>
      </c>
      <c r="BM35" s="746" t="s">
        <v>2505</v>
      </c>
      <c r="BN35" s="776">
        <v>100</v>
      </c>
      <c r="BO35" s="776">
        <v>100</v>
      </c>
      <c r="BP35" s="776">
        <v>100</v>
      </c>
      <c r="BQ35" s="776">
        <v>100</v>
      </c>
      <c r="BR35" s="776"/>
      <c r="BS35" s="776">
        <v>100</v>
      </c>
      <c r="BT35" s="776"/>
      <c r="BU35" s="776">
        <v>100</v>
      </c>
      <c r="BV35" s="776"/>
      <c r="BW35" s="776">
        <v>100</v>
      </c>
      <c r="BX35" s="776">
        <v>100</v>
      </c>
      <c r="BY35" s="776">
        <v>100</v>
      </c>
      <c r="BZ35" s="776">
        <v>100</v>
      </c>
      <c r="CA35" s="776">
        <v>100</v>
      </c>
      <c r="CB35" s="776">
        <v>100</v>
      </c>
      <c r="CC35" s="776">
        <v>100</v>
      </c>
      <c r="CD35" s="776"/>
      <c r="CE35" s="776"/>
      <c r="CF35" s="776"/>
      <c r="CG35" s="776"/>
    </row>
    <row r="36" spans="1:86" ht="15" customHeight="1" x14ac:dyDescent="0.15">
      <c r="A36" s="2947" t="s">
        <v>2235</v>
      </c>
      <c r="B36" s="1422" t="s">
        <v>2361</v>
      </c>
      <c r="C36" s="66">
        <v>14</v>
      </c>
      <c r="D36" s="59" t="s">
        <v>17</v>
      </c>
      <c r="E36" s="363">
        <f t="shared" si="21"/>
        <v>0</v>
      </c>
      <c r="F36" s="59" t="s">
        <v>28</v>
      </c>
      <c r="G36" s="356"/>
      <c r="H36" s="166" t="s">
        <v>28</v>
      </c>
      <c r="I36" s="356"/>
      <c r="J36" s="166" t="s">
        <v>28</v>
      </c>
      <c r="K36" s="356"/>
      <c r="L36" s="166" t="s">
        <v>28</v>
      </c>
      <c r="M36" s="356"/>
      <c r="N36" s="166" t="s">
        <v>28</v>
      </c>
      <c r="O36" s="356"/>
      <c r="P36" s="166" t="s">
        <v>28</v>
      </c>
      <c r="Q36" s="356"/>
      <c r="R36" s="166" t="s">
        <v>28</v>
      </c>
      <c r="S36" s="356"/>
      <c r="T36" s="167" t="s">
        <v>28</v>
      </c>
      <c r="Z36" s="443" t="str">
        <f>CJ122</f>
        <v>対象用途まとめ（建築物）</v>
      </c>
      <c r="AA36" s="444" t="str">
        <f>CJ123</f>
        <v/>
      </c>
      <c r="AB36" s="61"/>
      <c r="AC36" s="770">
        <v>14</v>
      </c>
      <c r="AD36" s="770"/>
      <c r="AE36" s="769">
        <f t="shared" si="13"/>
        <v>0</v>
      </c>
      <c r="AF36" s="769">
        <f t="shared" si="14"/>
        <v>0</v>
      </c>
      <c r="AG36" s="769">
        <f t="shared" si="15"/>
        <v>0</v>
      </c>
      <c r="AH36" s="769">
        <f t="shared" si="16"/>
        <v>0</v>
      </c>
      <c r="AI36" s="769">
        <f t="shared" si="17"/>
        <v>0</v>
      </c>
      <c r="AJ36" s="769">
        <f t="shared" si="18"/>
        <v>0</v>
      </c>
      <c r="AK36" s="769">
        <f t="shared" si="19"/>
        <v>0</v>
      </c>
      <c r="AL36" s="769">
        <f t="shared" si="20"/>
        <v>0</v>
      </c>
      <c r="AM36" s="767">
        <f t="shared" si="23"/>
        <v>0</v>
      </c>
      <c r="AT36" s="748" t="s">
        <v>2568</v>
      </c>
      <c r="AU36" s="767" t="str">
        <f t="shared" si="24"/>
        <v/>
      </c>
      <c r="AV36" s="767" t="str">
        <f t="shared" si="25"/>
        <v/>
      </c>
      <c r="AW36" s="767" t="str">
        <f t="shared" si="26"/>
        <v/>
      </c>
      <c r="AX36" s="767" t="str">
        <f t="shared" si="27"/>
        <v/>
      </c>
      <c r="AY36" s="767" t="str">
        <f t="shared" si="28"/>
        <v/>
      </c>
      <c r="AZ36" s="767" t="str">
        <f t="shared" si="29"/>
        <v/>
      </c>
      <c r="BA36" s="767" t="str">
        <f t="shared" si="30"/>
        <v/>
      </c>
      <c r="BM36" s="746" t="s">
        <v>2572</v>
      </c>
      <c r="BN36" s="776"/>
      <c r="BO36" s="776"/>
      <c r="BP36" s="776"/>
      <c r="BQ36" s="776"/>
      <c r="BR36" s="776"/>
      <c r="BS36" s="776"/>
      <c r="BT36" s="776"/>
      <c r="BU36" s="776"/>
      <c r="BV36" s="776"/>
      <c r="BW36" s="776">
        <v>2000</v>
      </c>
      <c r="BX36" s="776">
        <v>2000</v>
      </c>
      <c r="BY36" s="776">
        <v>2000</v>
      </c>
      <c r="BZ36" s="776">
        <v>3000</v>
      </c>
      <c r="CA36" s="776">
        <v>3000</v>
      </c>
      <c r="CB36" s="776">
        <v>3000</v>
      </c>
      <c r="CC36" s="776">
        <v>3000</v>
      </c>
      <c r="CD36" s="776"/>
      <c r="CE36" s="776"/>
      <c r="CF36" s="776"/>
      <c r="CG36" s="776"/>
    </row>
    <row r="37" spans="1:86" ht="15" customHeight="1" x14ac:dyDescent="0.15">
      <c r="A37" s="2947"/>
      <c r="B37" s="1421" t="s">
        <v>2362</v>
      </c>
      <c r="C37" s="67">
        <v>15</v>
      </c>
      <c r="D37" s="60" t="s">
        <v>17</v>
      </c>
      <c r="E37" s="363">
        <f t="shared" si="21"/>
        <v>0</v>
      </c>
      <c r="F37" s="59" t="s">
        <v>28</v>
      </c>
      <c r="G37" s="356"/>
      <c r="H37" s="166" t="s">
        <v>28</v>
      </c>
      <c r="I37" s="356"/>
      <c r="J37" s="166" t="s">
        <v>28</v>
      </c>
      <c r="K37" s="356"/>
      <c r="L37" s="166" t="s">
        <v>28</v>
      </c>
      <c r="M37" s="356"/>
      <c r="N37" s="166" t="s">
        <v>28</v>
      </c>
      <c r="O37" s="356"/>
      <c r="P37" s="166" t="s">
        <v>28</v>
      </c>
      <c r="Q37" s="356"/>
      <c r="R37" s="166" t="s">
        <v>28</v>
      </c>
      <c r="S37" s="356"/>
      <c r="T37" s="167" t="s">
        <v>28</v>
      </c>
      <c r="Z37" s="445" t="str">
        <f>CJ145</f>
        <v>対象用途まとめ（市設）</v>
      </c>
      <c r="AA37" s="445" t="str">
        <f>CJ146</f>
        <v/>
      </c>
      <c r="AB37" s="61"/>
      <c r="AC37" s="770">
        <v>15</v>
      </c>
      <c r="AD37" s="770"/>
      <c r="AE37" s="769">
        <f t="shared" si="13"/>
        <v>0</v>
      </c>
      <c r="AF37" s="769">
        <f t="shared" si="14"/>
        <v>0</v>
      </c>
      <c r="AG37" s="769">
        <f t="shared" si="15"/>
        <v>0</v>
      </c>
      <c r="AH37" s="769">
        <f t="shared" si="16"/>
        <v>0</v>
      </c>
      <c r="AI37" s="769">
        <f t="shared" si="17"/>
        <v>0</v>
      </c>
      <c r="AJ37" s="769">
        <f t="shared" si="18"/>
        <v>0</v>
      </c>
      <c r="AK37" s="769">
        <f t="shared" si="19"/>
        <v>0</v>
      </c>
      <c r="AL37" s="769">
        <f t="shared" si="20"/>
        <v>0</v>
      </c>
      <c r="AM37" s="767">
        <f t="shared" si="23"/>
        <v>0</v>
      </c>
      <c r="AT37" s="748" t="s">
        <v>2567</v>
      </c>
      <c r="AU37" s="767" t="str">
        <f t="shared" si="24"/>
        <v/>
      </c>
      <c r="AV37" s="767" t="str">
        <f t="shared" si="25"/>
        <v/>
      </c>
      <c r="AW37" s="767" t="str">
        <f t="shared" si="26"/>
        <v/>
      </c>
      <c r="AX37" s="767" t="str">
        <f t="shared" si="27"/>
        <v/>
      </c>
      <c r="AY37" s="767" t="str">
        <f t="shared" si="28"/>
        <v/>
      </c>
      <c r="AZ37" s="767" t="str">
        <f t="shared" si="29"/>
        <v/>
      </c>
      <c r="BA37" s="767" t="str">
        <f t="shared" si="30"/>
        <v/>
      </c>
    </row>
    <row r="38" spans="1:86" ht="15" customHeight="1" x14ac:dyDescent="0.15">
      <c r="A38" s="2947" t="s">
        <v>2237</v>
      </c>
      <c r="B38" s="1422" t="s">
        <v>2363</v>
      </c>
      <c r="C38" s="68">
        <v>16</v>
      </c>
      <c r="D38" s="58" t="s">
        <v>17</v>
      </c>
      <c r="E38" s="366">
        <f t="shared" si="21"/>
        <v>0</v>
      </c>
      <c r="F38" s="58" t="s">
        <v>28</v>
      </c>
      <c r="G38" s="359"/>
      <c r="H38" s="172" t="s">
        <v>28</v>
      </c>
      <c r="I38" s="359"/>
      <c r="J38" s="172" t="s">
        <v>28</v>
      </c>
      <c r="K38" s="359"/>
      <c r="L38" s="172" t="s">
        <v>28</v>
      </c>
      <c r="M38" s="359"/>
      <c r="N38" s="172" t="s">
        <v>28</v>
      </c>
      <c r="O38" s="359"/>
      <c r="P38" s="172" t="s">
        <v>28</v>
      </c>
      <c r="Q38" s="359"/>
      <c r="R38" s="172" t="s">
        <v>28</v>
      </c>
      <c r="S38" s="359"/>
      <c r="T38" s="173" t="s">
        <v>28</v>
      </c>
      <c r="Z38" s="445" t="str">
        <f>CJ158</f>
        <v>対象用途まとめ（国防）</v>
      </c>
      <c r="AA38" s="445" t="str">
        <f>CJ159</f>
        <v/>
      </c>
      <c r="AC38" s="770">
        <v>16</v>
      </c>
      <c r="AD38" s="770"/>
      <c r="AE38" s="769">
        <f t="shared" si="13"/>
        <v>0</v>
      </c>
      <c r="AF38" s="769">
        <f t="shared" si="14"/>
        <v>0</v>
      </c>
      <c r="AG38" s="769">
        <f t="shared" si="15"/>
        <v>0</v>
      </c>
      <c r="AH38" s="769">
        <f t="shared" si="16"/>
        <v>0</v>
      </c>
      <c r="AI38" s="769">
        <f t="shared" si="17"/>
        <v>0</v>
      </c>
      <c r="AJ38" s="769">
        <f t="shared" si="18"/>
        <v>0</v>
      </c>
      <c r="AK38" s="769">
        <f t="shared" si="19"/>
        <v>0</v>
      </c>
      <c r="AL38" s="769">
        <f t="shared" si="20"/>
        <v>0</v>
      </c>
      <c r="AM38" s="767">
        <f t="shared" si="23"/>
        <v>0</v>
      </c>
      <c r="AT38" s="748" t="s">
        <v>2565</v>
      </c>
      <c r="AU38" s="767" t="str">
        <f t="shared" si="24"/>
        <v/>
      </c>
      <c r="AV38" s="767" t="str">
        <f t="shared" si="25"/>
        <v/>
      </c>
      <c r="AW38" s="767" t="str">
        <f t="shared" si="26"/>
        <v/>
      </c>
      <c r="AX38" s="767" t="str">
        <f t="shared" si="27"/>
        <v/>
      </c>
      <c r="AY38" s="767" t="str">
        <f t="shared" si="28"/>
        <v/>
      </c>
      <c r="AZ38" s="767" t="str">
        <f t="shared" si="29"/>
        <v/>
      </c>
      <c r="BA38" s="767" t="str">
        <f t="shared" si="30"/>
        <v/>
      </c>
      <c r="BL38" s="746" t="s">
        <v>2549</v>
      </c>
      <c r="BM38" s="746" t="s">
        <v>2509</v>
      </c>
      <c r="BN38" s="776" t="s">
        <v>2547</v>
      </c>
      <c r="BO38" s="776" t="s">
        <v>2547</v>
      </c>
      <c r="BP38" s="776" t="s">
        <v>2547</v>
      </c>
      <c r="BQ38" s="776" t="s">
        <v>2547</v>
      </c>
      <c r="BR38" s="776"/>
      <c r="BS38" s="776" t="s">
        <v>2547</v>
      </c>
      <c r="BT38" s="776"/>
      <c r="BU38" s="776" t="s">
        <v>2547</v>
      </c>
      <c r="BV38" s="776"/>
      <c r="BW38" s="776"/>
      <c r="BX38" s="776"/>
      <c r="BY38" s="776"/>
      <c r="BZ38" s="776" t="s">
        <v>2547</v>
      </c>
      <c r="CA38" s="776" t="s">
        <v>2547</v>
      </c>
      <c r="CB38" s="776" t="s">
        <v>2547</v>
      </c>
      <c r="CC38" s="776" t="s">
        <v>2547</v>
      </c>
      <c r="CD38" s="776"/>
      <c r="CE38" s="776"/>
      <c r="CF38" s="776"/>
      <c r="CG38" s="776"/>
    </row>
    <row r="39" spans="1:86" ht="13.5" customHeight="1" x14ac:dyDescent="0.15">
      <c r="A39" s="2947"/>
      <c r="B39" s="1422" t="s">
        <v>2364</v>
      </c>
      <c r="C39" s="66">
        <v>17</v>
      </c>
      <c r="D39" s="59" t="s">
        <v>17</v>
      </c>
      <c r="E39" s="363">
        <f t="shared" si="21"/>
        <v>0</v>
      </c>
      <c r="F39" s="59" t="s">
        <v>28</v>
      </c>
      <c r="G39" s="356"/>
      <c r="H39" s="166" t="s">
        <v>28</v>
      </c>
      <c r="I39" s="356"/>
      <c r="J39" s="166" t="s">
        <v>28</v>
      </c>
      <c r="K39" s="356"/>
      <c r="L39" s="166" t="s">
        <v>28</v>
      </c>
      <c r="M39" s="356"/>
      <c r="N39" s="166" t="s">
        <v>28</v>
      </c>
      <c r="O39" s="356"/>
      <c r="P39" s="166" t="s">
        <v>28</v>
      </c>
      <c r="Q39" s="356"/>
      <c r="R39" s="166" t="s">
        <v>28</v>
      </c>
      <c r="S39" s="356"/>
      <c r="T39" s="167" t="s">
        <v>28</v>
      </c>
      <c r="Z39" s="445" t="str">
        <f>CJ161</f>
        <v>対象用途まとめ（市新防）</v>
      </c>
      <c r="AA39" s="445" t="str">
        <f>CJ162</f>
        <v/>
      </c>
      <c r="AC39" s="770">
        <v>17</v>
      </c>
      <c r="AD39" s="770"/>
      <c r="AE39" s="769">
        <f t="shared" si="13"/>
        <v>0</v>
      </c>
      <c r="AF39" s="769">
        <f t="shared" si="14"/>
        <v>0</v>
      </c>
      <c r="AG39" s="769">
        <f t="shared" si="15"/>
        <v>0</v>
      </c>
      <c r="AH39" s="769">
        <f t="shared" si="16"/>
        <v>0</v>
      </c>
      <c r="AI39" s="769">
        <f t="shared" si="17"/>
        <v>0</v>
      </c>
      <c r="AJ39" s="769">
        <f t="shared" si="18"/>
        <v>0</v>
      </c>
      <c r="AK39" s="769">
        <f t="shared" si="19"/>
        <v>0</v>
      </c>
      <c r="AL39" s="769">
        <f t="shared" si="20"/>
        <v>0</v>
      </c>
      <c r="AM39" s="767">
        <f t="shared" si="23"/>
        <v>0</v>
      </c>
      <c r="AT39" s="748" t="s">
        <v>2564</v>
      </c>
      <c r="AU39" s="767" t="str">
        <f t="shared" si="24"/>
        <v/>
      </c>
      <c r="AV39" s="767" t="str">
        <f t="shared" si="25"/>
        <v/>
      </c>
      <c r="AW39" s="767" t="str">
        <f t="shared" si="26"/>
        <v/>
      </c>
      <c r="AX39" s="767" t="str">
        <f t="shared" si="27"/>
        <v/>
      </c>
      <c r="AY39" s="767" t="str">
        <f t="shared" si="28"/>
        <v/>
      </c>
      <c r="AZ39" s="767" t="str">
        <f t="shared" si="29"/>
        <v/>
      </c>
      <c r="BA39" s="767" t="str">
        <f t="shared" si="30"/>
        <v/>
      </c>
      <c r="BM39" s="746" t="s">
        <v>2507</v>
      </c>
      <c r="BN39" s="776"/>
      <c r="BO39" s="776"/>
      <c r="BP39" s="776" t="s">
        <v>2566</v>
      </c>
      <c r="BQ39" s="776" t="s">
        <v>2566</v>
      </c>
      <c r="BR39" s="776"/>
      <c r="BS39" s="776" t="s">
        <v>2566</v>
      </c>
      <c r="BT39" s="776"/>
      <c r="BU39" s="776" t="s">
        <v>2566</v>
      </c>
      <c r="BV39" s="776"/>
      <c r="BW39" s="776"/>
      <c r="BX39" s="776"/>
      <c r="BY39" s="776"/>
      <c r="BZ39" s="776" t="s">
        <v>2566</v>
      </c>
      <c r="CA39" s="776" t="s">
        <v>2566</v>
      </c>
      <c r="CB39" s="776" t="s">
        <v>2566</v>
      </c>
      <c r="CC39" s="776" t="s">
        <v>2566</v>
      </c>
      <c r="CD39" s="776"/>
      <c r="CE39" s="776"/>
      <c r="CF39" s="776"/>
      <c r="CG39" s="776"/>
    </row>
    <row r="40" spans="1:86" ht="13.5" customHeight="1" x14ac:dyDescent="0.15">
      <c r="A40" s="2947" t="s">
        <v>2239</v>
      </c>
      <c r="B40" s="1422" t="s">
        <v>2365</v>
      </c>
      <c r="C40" s="66">
        <v>18</v>
      </c>
      <c r="D40" s="59" t="s">
        <v>17</v>
      </c>
      <c r="E40" s="363">
        <f t="shared" si="21"/>
        <v>0</v>
      </c>
      <c r="F40" s="59" t="s">
        <v>28</v>
      </c>
      <c r="G40" s="356"/>
      <c r="H40" s="166" t="s">
        <v>28</v>
      </c>
      <c r="I40" s="356"/>
      <c r="J40" s="166" t="s">
        <v>28</v>
      </c>
      <c r="K40" s="356"/>
      <c r="L40" s="166" t="s">
        <v>28</v>
      </c>
      <c r="M40" s="356"/>
      <c r="N40" s="166" t="s">
        <v>28</v>
      </c>
      <c r="O40" s="356"/>
      <c r="P40" s="166" t="s">
        <v>28</v>
      </c>
      <c r="Q40" s="356"/>
      <c r="R40" s="166" t="s">
        <v>28</v>
      </c>
      <c r="S40" s="356"/>
      <c r="T40" s="167" t="s">
        <v>28</v>
      </c>
      <c r="Z40" s="445" t="str">
        <f>CJ164</f>
        <v>対象用途まとめ（防火設備）</v>
      </c>
      <c r="AA40" s="445" t="str">
        <f>CJ165</f>
        <v/>
      </c>
      <c r="AC40" s="770">
        <v>18</v>
      </c>
      <c r="AD40" s="770"/>
      <c r="AE40" s="769">
        <f t="shared" si="13"/>
        <v>0</v>
      </c>
      <c r="AF40" s="769">
        <f t="shared" si="14"/>
        <v>0</v>
      </c>
      <c r="AG40" s="769">
        <f t="shared" si="15"/>
        <v>0</v>
      </c>
      <c r="AH40" s="769">
        <f t="shared" si="16"/>
        <v>0</v>
      </c>
      <c r="AI40" s="769">
        <f t="shared" si="17"/>
        <v>0</v>
      </c>
      <c r="AJ40" s="769">
        <f t="shared" si="18"/>
        <v>0</v>
      </c>
      <c r="AK40" s="769">
        <f t="shared" si="19"/>
        <v>0</v>
      </c>
      <c r="AL40" s="769">
        <f t="shared" si="20"/>
        <v>0</v>
      </c>
      <c r="AM40" s="767">
        <f t="shared" si="23"/>
        <v>0</v>
      </c>
      <c r="AT40" s="748" t="s">
        <v>2563</v>
      </c>
      <c r="AU40" s="767" t="str">
        <f t="shared" si="24"/>
        <v/>
      </c>
      <c r="AV40" s="767" t="str">
        <f t="shared" si="25"/>
        <v/>
      </c>
      <c r="AW40" s="767" t="str">
        <f t="shared" si="26"/>
        <v/>
      </c>
      <c r="AX40" s="767" t="str">
        <f t="shared" si="27"/>
        <v/>
      </c>
      <c r="AY40" s="767" t="str">
        <f t="shared" si="28"/>
        <v/>
      </c>
      <c r="AZ40" s="767" t="str">
        <f t="shared" si="29"/>
        <v/>
      </c>
      <c r="BA40" s="767" t="str">
        <f t="shared" si="30"/>
        <v/>
      </c>
      <c r="BM40" s="746" t="s">
        <v>2505</v>
      </c>
      <c r="BN40" s="776" t="s">
        <v>2547</v>
      </c>
      <c r="BO40" s="776" t="s">
        <v>2547</v>
      </c>
      <c r="BP40" s="776" t="s">
        <v>2547</v>
      </c>
      <c r="BQ40" s="776" t="s">
        <v>2547</v>
      </c>
      <c r="BR40" s="776"/>
      <c r="BS40" s="776" t="s">
        <v>2547</v>
      </c>
      <c r="BT40" s="776"/>
      <c r="BU40" s="776" t="s">
        <v>2547</v>
      </c>
      <c r="BV40" s="776"/>
      <c r="BW40" s="776" t="s">
        <v>2547</v>
      </c>
      <c r="BX40" s="776" t="s">
        <v>2547</v>
      </c>
      <c r="BY40" s="776" t="s">
        <v>2547</v>
      </c>
      <c r="BZ40" s="776" t="s">
        <v>2547</v>
      </c>
      <c r="CA40" s="776" t="s">
        <v>2547</v>
      </c>
      <c r="CB40" s="776" t="s">
        <v>2547</v>
      </c>
      <c r="CC40" s="776" t="s">
        <v>2547</v>
      </c>
      <c r="CD40" s="776"/>
      <c r="CE40" s="776"/>
      <c r="CF40" s="776"/>
      <c r="CG40" s="776"/>
    </row>
    <row r="41" spans="1:86" ht="15" x14ac:dyDescent="0.15">
      <c r="A41" s="2947"/>
      <c r="B41" s="1422" t="s">
        <v>2236</v>
      </c>
      <c r="C41" s="66">
        <v>19</v>
      </c>
      <c r="D41" s="59" t="s">
        <v>17</v>
      </c>
      <c r="E41" s="363">
        <f t="shared" si="21"/>
        <v>0</v>
      </c>
      <c r="F41" s="59" t="s">
        <v>28</v>
      </c>
      <c r="G41" s="356"/>
      <c r="H41" s="166" t="s">
        <v>28</v>
      </c>
      <c r="I41" s="356"/>
      <c r="J41" s="166" t="s">
        <v>28</v>
      </c>
      <c r="K41" s="356"/>
      <c r="L41" s="166" t="s">
        <v>28</v>
      </c>
      <c r="M41" s="356"/>
      <c r="N41" s="166" t="s">
        <v>28</v>
      </c>
      <c r="O41" s="356"/>
      <c r="P41" s="166" t="s">
        <v>28</v>
      </c>
      <c r="Q41" s="356"/>
      <c r="R41" s="166" t="s">
        <v>28</v>
      </c>
      <c r="S41" s="356"/>
      <c r="T41" s="167" t="s">
        <v>28</v>
      </c>
      <c r="AC41" s="770">
        <v>19</v>
      </c>
      <c r="AD41" s="770"/>
      <c r="AE41" s="769">
        <f t="shared" si="13"/>
        <v>0</v>
      </c>
      <c r="AF41" s="769">
        <f t="shared" si="14"/>
        <v>0</v>
      </c>
      <c r="AG41" s="769">
        <f t="shared" si="15"/>
        <v>0</v>
      </c>
      <c r="AH41" s="769">
        <f t="shared" si="16"/>
        <v>0</v>
      </c>
      <c r="AI41" s="769">
        <f t="shared" si="17"/>
        <v>0</v>
      </c>
      <c r="AJ41" s="769">
        <f t="shared" si="18"/>
        <v>0</v>
      </c>
      <c r="AK41" s="769">
        <f t="shared" si="19"/>
        <v>0</v>
      </c>
      <c r="AL41" s="769">
        <f t="shared" si="20"/>
        <v>0</v>
      </c>
      <c r="AM41" s="767">
        <f t="shared" si="23"/>
        <v>0</v>
      </c>
      <c r="AT41" s="748" t="s">
        <v>2562</v>
      </c>
      <c r="AU41" s="767" t="str">
        <f t="shared" si="24"/>
        <v/>
      </c>
      <c r="AV41" s="767" t="str">
        <f t="shared" si="25"/>
        <v/>
      </c>
      <c r="AW41" s="767" t="str">
        <f t="shared" si="26"/>
        <v/>
      </c>
      <c r="AX41" s="767" t="str">
        <f t="shared" si="27"/>
        <v/>
      </c>
      <c r="AY41" s="767" t="str">
        <f t="shared" si="28"/>
        <v/>
      </c>
      <c r="AZ41" s="767" t="str">
        <f t="shared" si="29"/>
        <v/>
      </c>
      <c r="BA41" s="767" t="str">
        <f t="shared" si="30"/>
        <v/>
      </c>
      <c r="BM41" s="746" t="s">
        <v>2503</v>
      </c>
      <c r="BN41" s="776"/>
      <c r="BO41" s="776"/>
      <c r="BP41" s="776"/>
      <c r="BQ41" s="776"/>
      <c r="BR41" s="776"/>
      <c r="BS41" s="776"/>
      <c r="BT41" s="776"/>
      <c r="BU41" s="776"/>
      <c r="BV41" s="776"/>
      <c r="BW41" s="776" t="s">
        <v>2566</v>
      </c>
      <c r="BX41" s="776" t="s">
        <v>2566</v>
      </c>
      <c r="BY41" s="776" t="s">
        <v>2566</v>
      </c>
      <c r="BZ41" s="776" t="s">
        <v>2566</v>
      </c>
      <c r="CA41" s="776" t="s">
        <v>2566</v>
      </c>
      <c r="CB41" s="776" t="s">
        <v>2566</v>
      </c>
      <c r="CC41" s="776" t="s">
        <v>2566</v>
      </c>
      <c r="CD41" s="776"/>
      <c r="CE41" s="776"/>
      <c r="CF41" s="776"/>
      <c r="CG41" s="776"/>
    </row>
    <row r="42" spans="1:86" ht="15" customHeight="1" x14ac:dyDescent="0.15">
      <c r="A42" s="2947"/>
      <c r="B42" s="1421" t="s">
        <v>2374</v>
      </c>
      <c r="C42" s="67">
        <v>20</v>
      </c>
      <c r="D42" s="60" t="s">
        <v>17</v>
      </c>
      <c r="E42" s="365">
        <f t="shared" si="21"/>
        <v>0</v>
      </c>
      <c r="F42" s="60" t="s">
        <v>28</v>
      </c>
      <c r="G42" s="358"/>
      <c r="H42" s="170" t="s">
        <v>28</v>
      </c>
      <c r="I42" s="358"/>
      <c r="J42" s="170" t="s">
        <v>28</v>
      </c>
      <c r="K42" s="358"/>
      <c r="L42" s="170" t="s">
        <v>28</v>
      </c>
      <c r="M42" s="358"/>
      <c r="N42" s="170" t="s">
        <v>28</v>
      </c>
      <c r="O42" s="358"/>
      <c r="P42" s="170" t="s">
        <v>28</v>
      </c>
      <c r="Q42" s="358"/>
      <c r="R42" s="170" t="s">
        <v>28</v>
      </c>
      <c r="S42" s="358"/>
      <c r="T42" s="171" t="s">
        <v>28</v>
      </c>
      <c r="Z42" s="446" t="str">
        <f>BL184</f>
        <v>ID用途面積</v>
      </c>
      <c r="AA42" s="449">
        <f>BS184</f>
        <v>0</v>
      </c>
      <c r="AC42" s="770">
        <v>20</v>
      </c>
      <c r="AD42" s="770"/>
      <c r="AE42" s="769">
        <f t="shared" si="13"/>
        <v>0</v>
      </c>
      <c r="AF42" s="769">
        <f t="shared" si="14"/>
        <v>0</v>
      </c>
      <c r="AG42" s="769">
        <f t="shared" si="15"/>
        <v>0</v>
      </c>
      <c r="AH42" s="769">
        <f t="shared" si="16"/>
        <v>0</v>
      </c>
      <c r="AI42" s="769">
        <f t="shared" si="17"/>
        <v>0</v>
      </c>
      <c r="AJ42" s="769">
        <f t="shared" si="18"/>
        <v>0</v>
      </c>
      <c r="AK42" s="769">
        <f t="shared" si="19"/>
        <v>0</v>
      </c>
      <c r="AL42" s="769">
        <f t="shared" si="20"/>
        <v>0</v>
      </c>
      <c r="AM42" s="767">
        <f t="shared" si="23"/>
        <v>0</v>
      </c>
      <c r="AT42" s="748" t="s">
        <v>2561</v>
      </c>
      <c r="AU42" s="767" t="str">
        <f t="shared" si="24"/>
        <v/>
      </c>
      <c r="AV42" s="767" t="str">
        <f t="shared" si="25"/>
        <v/>
      </c>
      <c r="AW42" s="767" t="str">
        <f t="shared" si="26"/>
        <v/>
      </c>
      <c r="AX42" s="767" t="str">
        <f t="shared" si="27"/>
        <v/>
      </c>
      <c r="AY42" s="767" t="str">
        <f t="shared" si="28"/>
        <v/>
      </c>
      <c r="AZ42" s="767" t="str">
        <f t="shared" si="29"/>
        <v/>
      </c>
      <c r="BA42" s="767" t="str">
        <f t="shared" si="30"/>
        <v/>
      </c>
    </row>
    <row r="43" spans="1:86" ht="15" customHeight="1" x14ac:dyDescent="0.15">
      <c r="A43" s="2947" t="s">
        <v>2240</v>
      </c>
      <c r="B43" s="1422" t="s">
        <v>2366</v>
      </c>
      <c r="C43" s="65">
        <v>21</v>
      </c>
      <c r="D43" s="58" t="s">
        <v>17</v>
      </c>
      <c r="E43" s="366">
        <f t="shared" ref="E43:E52" si="31">SUM(G43:T43)</f>
        <v>0</v>
      </c>
      <c r="F43" s="58" t="s">
        <v>28</v>
      </c>
      <c r="G43" s="359"/>
      <c r="H43" s="172" t="s">
        <v>28</v>
      </c>
      <c r="I43" s="359"/>
      <c r="J43" s="172" t="s">
        <v>28</v>
      </c>
      <c r="K43" s="359"/>
      <c r="L43" s="172" t="s">
        <v>28</v>
      </c>
      <c r="M43" s="359"/>
      <c r="N43" s="172" t="s">
        <v>28</v>
      </c>
      <c r="O43" s="359"/>
      <c r="P43" s="172" t="s">
        <v>28</v>
      </c>
      <c r="Q43" s="359"/>
      <c r="R43" s="172" t="s">
        <v>28</v>
      </c>
      <c r="S43" s="359"/>
      <c r="T43" s="173" t="s">
        <v>28</v>
      </c>
      <c r="Z43" s="447" t="str">
        <f>BL185</f>
        <v>建築設備対象面積</v>
      </c>
      <c r="AA43" s="450">
        <f>BS185</f>
        <v>0</v>
      </c>
      <c r="AC43" s="770">
        <v>21</v>
      </c>
      <c r="AD43" s="770"/>
      <c r="AE43" s="769">
        <f t="shared" si="13"/>
        <v>0</v>
      </c>
      <c r="AF43" s="769">
        <f t="shared" si="14"/>
        <v>0</v>
      </c>
      <c r="AG43" s="769">
        <f t="shared" si="15"/>
        <v>0</v>
      </c>
      <c r="AH43" s="769">
        <f t="shared" si="16"/>
        <v>0</v>
      </c>
      <c r="AI43" s="769">
        <f t="shared" si="17"/>
        <v>0</v>
      </c>
      <c r="AJ43" s="769">
        <f t="shared" si="18"/>
        <v>0</v>
      </c>
      <c r="AK43" s="769">
        <f t="shared" si="19"/>
        <v>0</v>
      </c>
      <c r="AL43" s="769">
        <f t="shared" si="20"/>
        <v>0</v>
      </c>
      <c r="AM43" s="767">
        <f t="shared" si="23"/>
        <v>0</v>
      </c>
      <c r="AT43" s="748" t="s">
        <v>2560</v>
      </c>
      <c r="AU43" s="767" t="str">
        <f t="shared" si="24"/>
        <v/>
      </c>
      <c r="AV43" s="767" t="str">
        <f t="shared" si="25"/>
        <v/>
      </c>
      <c r="AW43" s="767" t="str">
        <f t="shared" si="26"/>
        <v/>
      </c>
      <c r="AX43" s="767" t="str">
        <f t="shared" si="27"/>
        <v/>
      </c>
      <c r="AY43" s="767" t="str">
        <f t="shared" si="28"/>
        <v/>
      </c>
      <c r="AZ43" s="767" t="str">
        <f t="shared" si="29"/>
        <v/>
      </c>
      <c r="BA43" s="767" t="str">
        <f t="shared" si="30"/>
        <v/>
      </c>
      <c r="BL43" s="746" t="s">
        <v>2556</v>
      </c>
      <c r="BM43" s="746" t="s">
        <v>2559</v>
      </c>
      <c r="BN43" s="776">
        <v>500</v>
      </c>
      <c r="BO43" s="776">
        <v>500</v>
      </c>
      <c r="BP43" s="776">
        <v>500</v>
      </c>
      <c r="BQ43" s="776">
        <v>500</v>
      </c>
      <c r="BR43" s="776">
        <v>1000</v>
      </c>
      <c r="BS43" s="776">
        <v>1000</v>
      </c>
      <c r="BT43" s="776">
        <v>500</v>
      </c>
      <c r="BU43" s="776">
        <v>500</v>
      </c>
      <c r="BV43" s="776">
        <v>1000</v>
      </c>
      <c r="BW43" s="776">
        <v>1000</v>
      </c>
      <c r="BX43" s="776">
        <v>1000</v>
      </c>
      <c r="BY43" s="776">
        <v>1000</v>
      </c>
      <c r="BZ43" s="776">
        <v>500</v>
      </c>
      <c r="CA43" s="776">
        <v>500</v>
      </c>
      <c r="CB43" s="776">
        <v>500</v>
      </c>
      <c r="CC43" s="776">
        <v>500</v>
      </c>
      <c r="CD43" s="776">
        <v>1000</v>
      </c>
      <c r="CE43" s="776">
        <v>1000</v>
      </c>
      <c r="CF43" s="776"/>
      <c r="CG43" s="776"/>
      <c r="CH43" s="776">
        <v>1500</v>
      </c>
    </row>
    <row r="44" spans="1:86" ht="15" x14ac:dyDescent="0.15">
      <c r="A44" s="2947"/>
      <c r="B44" s="1422" t="s">
        <v>2367</v>
      </c>
      <c r="C44" s="66">
        <v>22</v>
      </c>
      <c r="D44" s="59" t="s">
        <v>17</v>
      </c>
      <c r="E44" s="363">
        <f t="shared" si="31"/>
        <v>0</v>
      </c>
      <c r="F44" s="59" t="s">
        <v>28</v>
      </c>
      <c r="G44" s="356"/>
      <c r="H44" s="166" t="s">
        <v>28</v>
      </c>
      <c r="I44" s="356"/>
      <c r="J44" s="166" t="s">
        <v>28</v>
      </c>
      <c r="K44" s="356"/>
      <c r="L44" s="166" t="s">
        <v>28</v>
      </c>
      <c r="M44" s="356"/>
      <c r="N44" s="166" t="s">
        <v>28</v>
      </c>
      <c r="O44" s="356"/>
      <c r="P44" s="166" t="s">
        <v>28</v>
      </c>
      <c r="Q44" s="356"/>
      <c r="R44" s="166" t="s">
        <v>28</v>
      </c>
      <c r="S44" s="356"/>
      <c r="T44" s="167" t="s">
        <v>28</v>
      </c>
      <c r="Z44" s="447" t="str">
        <f>BL186</f>
        <v>建築設備対象用途ID記号</v>
      </c>
      <c r="AA44" s="450" t="str">
        <f>BS186</f>
        <v/>
      </c>
      <c r="AC44" s="770">
        <v>22</v>
      </c>
      <c r="AD44" s="770"/>
      <c r="AE44" s="769">
        <f t="shared" si="13"/>
        <v>0</v>
      </c>
      <c r="AF44" s="769">
        <f t="shared" si="14"/>
        <v>0</v>
      </c>
      <c r="AG44" s="769">
        <f t="shared" si="15"/>
        <v>0</v>
      </c>
      <c r="AH44" s="769">
        <f t="shared" si="16"/>
        <v>0</v>
      </c>
      <c r="AI44" s="769">
        <f t="shared" si="17"/>
        <v>0</v>
      </c>
      <c r="AJ44" s="769">
        <f t="shared" si="18"/>
        <v>0</v>
      </c>
      <c r="AK44" s="769">
        <f t="shared" si="19"/>
        <v>0</v>
      </c>
      <c r="AL44" s="769">
        <f t="shared" si="20"/>
        <v>0</v>
      </c>
      <c r="AM44" s="767">
        <f t="shared" si="23"/>
        <v>0</v>
      </c>
      <c r="AT44" s="748" t="s">
        <v>2558</v>
      </c>
      <c r="AU44" s="767" t="str">
        <f t="shared" si="24"/>
        <v/>
      </c>
      <c r="AV44" s="767" t="str">
        <f t="shared" si="25"/>
        <v/>
      </c>
      <c r="AW44" s="767" t="str">
        <f t="shared" si="26"/>
        <v/>
      </c>
      <c r="AX44" s="767" t="str">
        <f t="shared" si="27"/>
        <v/>
      </c>
      <c r="AY44" s="767" t="str">
        <f t="shared" si="28"/>
        <v/>
      </c>
      <c r="AZ44" s="767" t="str">
        <f t="shared" si="29"/>
        <v/>
      </c>
      <c r="BA44" s="767" t="str">
        <f t="shared" si="30"/>
        <v/>
      </c>
    </row>
    <row r="45" spans="1:86" ht="15" x14ac:dyDescent="0.15">
      <c r="A45" s="2947"/>
      <c r="B45" s="1422" t="s">
        <v>301</v>
      </c>
      <c r="C45" s="66">
        <v>23</v>
      </c>
      <c r="D45" s="59" t="s">
        <v>17</v>
      </c>
      <c r="E45" s="363">
        <f t="shared" si="31"/>
        <v>0</v>
      </c>
      <c r="F45" s="59" t="s">
        <v>28</v>
      </c>
      <c r="G45" s="356"/>
      <c r="H45" s="166" t="s">
        <v>28</v>
      </c>
      <c r="I45" s="356"/>
      <c r="J45" s="166" t="s">
        <v>28</v>
      </c>
      <c r="K45" s="356"/>
      <c r="L45" s="166" t="s">
        <v>28</v>
      </c>
      <c r="M45" s="356"/>
      <c r="N45" s="166" t="s">
        <v>28</v>
      </c>
      <c r="O45" s="356"/>
      <c r="P45" s="166" t="s">
        <v>28</v>
      </c>
      <c r="Q45" s="356"/>
      <c r="R45" s="166" t="s">
        <v>28</v>
      </c>
      <c r="S45" s="356"/>
      <c r="T45" s="167" t="s">
        <v>28</v>
      </c>
      <c r="Z45" s="447" t="str">
        <f>BL187</f>
        <v>特殊建築物面積</v>
      </c>
      <c r="AA45" s="450">
        <f>BS187</f>
        <v>0</v>
      </c>
      <c r="AC45" s="770">
        <v>23</v>
      </c>
      <c r="AD45" s="770"/>
      <c r="AE45" s="769">
        <f t="shared" si="13"/>
        <v>0</v>
      </c>
      <c r="AF45" s="769">
        <f t="shared" si="14"/>
        <v>0</v>
      </c>
      <c r="AG45" s="769">
        <f t="shared" si="15"/>
        <v>0</v>
      </c>
      <c r="AH45" s="769">
        <f t="shared" si="16"/>
        <v>0</v>
      </c>
      <c r="AI45" s="769">
        <f t="shared" si="17"/>
        <v>0</v>
      </c>
      <c r="AJ45" s="769">
        <f t="shared" si="18"/>
        <v>0</v>
      </c>
      <c r="AK45" s="769">
        <f t="shared" si="19"/>
        <v>0</v>
      </c>
      <c r="AL45" s="769">
        <f t="shared" si="20"/>
        <v>0</v>
      </c>
      <c r="AM45" s="767">
        <f t="shared" si="23"/>
        <v>0</v>
      </c>
      <c r="AT45" s="748" t="s">
        <v>2557</v>
      </c>
      <c r="AU45" s="767" t="str">
        <f t="shared" si="24"/>
        <v/>
      </c>
      <c r="AV45" s="767" t="str">
        <f t="shared" si="25"/>
        <v/>
      </c>
      <c r="AW45" s="767" t="str">
        <f t="shared" si="26"/>
        <v/>
      </c>
      <c r="AX45" s="767" t="str">
        <f t="shared" si="27"/>
        <v/>
      </c>
      <c r="AY45" s="767" t="str">
        <f t="shared" si="28"/>
        <v/>
      </c>
      <c r="AZ45" s="767" t="str">
        <f t="shared" si="29"/>
        <v/>
      </c>
      <c r="BA45" s="767" t="str">
        <f t="shared" si="30"/>
        <v/>
      </c>
      <c r="BL45" s="746" t="s">
        <v>2556</v>
      </c>
      <c r="BM45" s="746" t="s">
        <v>2480</v>
      </c>
      <c r="BN45" s="776" t="s">
        <v>2547</v>
      </c>
      <c r="BO45" s="776" t="s">
        <v>2547</v>
      </c>
      <c r="BP45" s="776" t="s">
        <v>2547</v>
      </c>
      <c r="BQ45" s="776" t="s">
        <v>2547</v>
      </c>
      <c r="BR45" s="776" t="s">
        <v>2547</v>
      </c>
      <c r="BS45" s="776" t="s">
        <v>2547</v>
      </c>
      <c r="BT45" s="776" t="s">
        <v>2547</v>
      </c>
      <c r="BU45" s="776" t="s">
        <v>2547</v>
      </c>
      <c r="BV45" s="776" t="s">
        <v>2547</v>
      </c>
      <c r="BW45" s="776" t="s">
        <v>2547</v>
      </c>
      <c r="BX45" s="776" t="s">
        <v>2547</v>
      </c>
      <c r="BY45" s="776" t="s">
        <v>2547</v>
      </c>
      <c r="BZ45" s="776" t="s">
        <v>2547</v>
      </c>
      <c r="CA45" s="776" t="s">
        <v>2547</v>
      </c>
      <c r="CB45" s="776" t="s">
        <v>2547</v>
      </c>
      <c r="CC45" s="776" t="s">
        <v>2547</v>
      </c>
      <c r="CD45" s="776" t="s">
        <v>2547</v>
      </c>
      <c r="CE45" s="776" t="s">
        <v>2547</v>
      </c>
      <c r="CF45" s="776"/>
      <c r="CG45" s="776"/>
      <c r="CH45" s="776" t="s">
        <v>2547</v>
      </c>
    </row>
    <row r="46" spans="1:86" ht="15" x14ac:dyDescent="0.15">
      <c r="A46" s="1421" t="s">
        <v>2845</v>
      </c>
      <c r="B46" s="1423" t="s">
        <v>2368</v>
      </c>
      <c r="C46" s="66">
        <v>24</v>
      </c>
      <c r="D46" s="59" t="s">
        <v>17</v>
      </c>
      <c r="E46" s="363">
        <f>SUM(G46:T46)</f>
        <v>0</v>
      </c>
      <c r="F46" s="59" t="s">
        <v>28</v>
      </c>
      <c r="G46" s="356"/>
      <c r="H46" s="166" t="s">
        <v>28</v>
      </c>
      <c r="I46" s="356"/>
      <c r="J46" s="166" t="s">
        <v>28</v>
      </c>
      <c r="K46" s="356"/>
      <c r="L46" s="166" t="s">
        <v>28</v>
      </c>
      <c r="M46" s="356"/>
      <c r="N46" s="166" t="s">
        <v>28</v>
      </c>
      <c r="O46" s="356"/>
      <c r="P46" s="166" t="s">
        <v>28</v>
      </c>
      <c r="Q46" s="356"/>
      <c r="R46" s="166" t="s">
        <v>28</v>
      </c>
      <c r="S46" s="356"/>
      <c r="T46" s="167" t="s">
        <v>28</v>
      </c>
      <c r="Z46" s="448" t="str">
        <f>BL189</f>
        <v>指定根拠コード</v>
      </c>
      <c r="AA46" s="451" t="str">
        <f>BS189</f>
        <v/>
      </c>
      <c r="AC46" s="770">
        <v>24</v>
      </c>
      <c r="AD46" s="770"/>
      <c r="AE46" s="769">
        <f t="shared" si="13"/>
        <v>0</v>
      </c>
      <c r="AF46" s="769">
        <f t="shared" si="14"/>
        <v>0</v>
      </c>
      <c r="AG46" s="769">
        <f t="shared" si="15"/>
        <v>0</v>
      </c>
      <c r="AH46" s="769">
        <f t="shared" si="16"/>
        <v>0</v>
      </c>
      <c r="AI46" s="769">
        <f t="shared" si="17"/>
        <v>0</v>
      </c>
      <c r="AJ46" s="769">
        <f t="shared" si="18"/>
        <v>0</v>
      </c>
      <c r="AK46" s="769">
        <f t="shared" si="19"/>
        <v>0</v>
      </c>
      <c r="AL46" s="769">
        <f t="shared" si="20"/>
        <v>0</v>
      </c>
      <c r="AM46" s="767">
        <f t="shared" si="23"/>
        <v>0</v>
      </c>
      <c r="AT46" s="748" t="s">
        <v>2555</v>
      </c>
      <c r="AU46" s="767" t="str">
        <f t="shared" si="24"/>
        <v/>
      </c>
      <c r="AV46" s="767" t="str">
        <f t="shared" si="25"/>
        <v/>
      </c>
      <c r="AW46" s="767" t="str">
        <f t="shared" si="26"/>
        <v/>
      </c>
      <c r="AX46" s="767" t="str">
        <f t="shared" si="27"/>
        <v/>
      </c>
      <c r="AY46" s="767" t="str">
        <f t="shared" si="28"/>
        <v/>
      </c>
      <c r="AZ46" s="767" t="str">
        <f t="shared" si="29"/>
        <v/>
      </c>
      <c r="BA46" s="767" t="str">
        <f t="shared" si="30"/>
        <v/>
      </c>
    </row>
    <row r="47" spans="1:86" ht="15" x14ac:dyDescent="0.15">
      <c r="A47" s="1422" t="s">
        <v>2316</v>
      </c>
      <c r="B47" s="1423" t="s">
        <v>2238</v>
      </c>
      <c r="C47" s="67">
        <v>25</v>
      </c>
      <c r="D47" s="60" t="s">
        <v>17</v>
      </c>
      <c r="E47" s="365">
        <f t="shared" si="31"/>
        <v>0</v>
      </c>
      <c r="F47" s="60" t="s">
        <v>28</v>
      </c>
      <c r="G47" s="358"/>
      <c r="H47" s="170" t="s">
        <v>28</v>
      </c>
      <c r="I47" s="358"/>
      <c r="J47" s="170" t="s">
        <v>28</v>
      </c>
      <c r="K47" s="358"/>
      <c r="L47" s="170" t="s">
        <v>28</v>
      </c>
      <c r="M47" s="358"/>
      <c r="N47" s="170" t="s">
        <v>28</v>
      </c>
      <c r="O47" s="358"/>
      <c r="P47" s="170" t="s">
        <v>28</v>
      </c>
      <c r="Q47" s="358"/>
      <c r="R47" s="170" t="s">
        <v>28</v>
      </c>
      <c r="S47" s="358"/>
      <c r="T47" s="171" t="s">
        <v>28</v>
      </c>
      <c r="AC47" s="770">
        <v>25</v>
      </c>
      <c r="AD47" s="770"/>
      <c r="AE47" s="769">
        <f t="shared" si="13"/>
        <v>0</v>
      </c>
      <c r="AF47" s="769">
        <f t="shared" si="14"/>
        <v>0</v>
      </c>
      <c r="AG47" s="769">
        <f t="shared" si="15"/>
        <v>0</v>
      </c>
      <c r="AH47" s="769">
        <f t="shared" si="16"/>
        <v>0</v>
      </c>
      <c r="AI47" s="769">
        <f t="shared" si="17"/>
        <v>0</v>
      </c>
      <c r="AJ47" s="769">
        <f t="shared" si="18"/>
        <v>0</v>
      </c>
      <c r="AK47" s="769">
        <f t="shared" si="19"/>
        <v>0</v>
      </c>
      <c r="AL47" s="769">
        <f t="shared" si="20"/>
        <v>0</v>
      </c>
      <c r="AM47" s="767">
        <f t="shared" si="23"/>
        <v>0</v>
      </c>
      <c r="AT47" s="748" t="s">
        <v>2554</v>
      </c>
      <c r="AU47" s="767" t="str">
        <f t="shared" si="24"/>
        <v/>
      </c>
      <c r="AV47" s="767" t="str">
        <f t="shared" si="25"/>
        <v/>
      </c>
      <c r="AW47" s="767" t="str">
        <f t="shared" si="26"/>
        <v/>
      </c>
      <c r="AX47" s="767" t="str">
        <f t="shared" si="27"/>
        <v/>
      </c>
      <c r="AY47" s="767" t="str">
        <f t="shared" si="28"/>
        <v/>
      </c>
      <c r="AZ47" s="767" t="str">
        <f t="shared" si="29"/>
        <v/>
      </c>
      <c r="BA47" s="767" t="str">
        <f t="shared" si="30"/>
        <v/>
      </c>
      <c r="BK47" s="746" t="s">
        <v>2475</v>
      </c>
      <c r="BL47" s="746" t="s">
        <v>2556</v>
      </c>
      <c r="BM47" s="746" t="s">
        <v>2559</v>
      </c>
      <c r="BN47" s="776">
        <v>1500</v>
      </c>
      <c r="BO47" s="776">
        <v>1500</v>
      </c>
      <c r="BP47" s="776">
        <v>1500</v>
      </c>
      <c r="BQ47" s="776">
        <v>1000</v>
      </c>
      <c r="BR47" s="776"/>
      <c r="BS47" s="776"/>
      <c r="BT47" s="776">
        <v>1500</v>
      </c>
      <c r="BU47" s="776">
        <v>1500</v>
      </c>
      <c r="BV47" s="776">
        <v>1500</v>
      </c>
      <c r="BW47" s="776">
        <v>1500</v>
      </c>
      <c r="BX47" s="776">
        <v>1500</v>
      </c>
      <c r="BY47" s="776">
        <v>1500</v>
      </c>
      <c r="BZ47" s="776">
        <v>1500</v>
      </c>
      <c r="CA47" s="776">
        <v>1500</v>
      </c>
      <c r="CB47" s="776">
        <v>1500</v>
      </c>
      <c r="CC47" s="776">
        <v>1500</v>
      </c>
      <c r="CD47" s="776">
        <v>1500</v>
      </c>
      <c r="CE47" s="776">
        <v>1500</v>
      </c>
      <c r="CF47" s="776"/>
      <c r="CG47" s="776"/>
      <c r="CH47" s="776">
        <v>1500</v>
      </c>
    </row>
    <row r="48" spans="1:86" ht="13.5" customHeight="1" x14ac:dyDescent="0.15">
      <c r="A48" s="1422" t="s">
        <v>2317</v>
      </c>
      <c r="B48" s="1424" t="s">
        <v>2369</v>
      </c>
      <c r="C48" s="68">
        <v>26</v>
      </c>
      <c r="D48" s="58" t="s">
        <v>17</v>
      </c>
      <c r="E48" s="366">
        <f t="shared" si="31"/>
        <v>0</v>
      </c>
      <c r="F48" s="58" t="s">
        <v>28</v>
      </c>
      <c r="G48" s="359"/>
      <c r="H48" s="172" t="s">
        <v>28</v>
      </c>
      <c r="I48" s="359"/>
      <c r="J48" s="172" t="s">
        <v>28</v>
      </c>
      <c r="K48" s="359"/>
      <c r="L48" s="172" t="s">
        <v>28</v>
      </c>
      <c r="M48" s="359"/>
      <c r="N48" s="172" t="s">
        <v>28</v>
      </c>
      <c r="O48" s="359"/>
      <c r="P48" s="172" t="s">
        <v>28</v>
      </c>
      <c r="Q48" s="359"/>
      <c r="R48" s="172" t="s">
        <v>28</v>
      </c>
      <c r="S48" s="359"/>
      <c r="T48" s="173" t="s">
        <v>28</v>
      </c>
      <c r="AC48" s="770">
        <v>26</v>
      </c>
      <c r="AD48" s="770"/>
      <c r="AE48" s="769">
        <f t="shared" si="13"/>
        <v>0</v>
      </c>
      <c r="AF48" s="769">
        <f t="shared" si="14"/>
        <v>0</v>
      </c>
      <c r="AG48" s="769">
        <f t="shared" si="15"/>
        <v>0</v>
      </c>
      <c r="AH48" s="769">
        <f t="shared" si="16"/>
        <v>0</v>
      </c>
      <c r="AI48" s="769">
        <f t="shared" si="17"/>
        <v>0</v>
      </c>
      <c r="AJ48" s="769">
        <f t="shared" si="18"/>
        <v>0</v>
      </c>
      <c r="AK48" s="769">
        <f t="shared" si="19"/>
        <v>0</v>
      </c>
      <c r="AL48" s="769">
        <f t="shared" si="20"/>
        <v>0</v>
      </c>
      <c r="AM48" s="767">
        <f t="shared" si="23"/>
        <v>0</v>
      </c>
      <c r="AT48" s="748" t="s">
        <v>2551</v>
      </c>
      <c r="AU48" s="767" t="str">
        <f t="shared" si="24"/>
        <v/>
      </c>
      <c r="AV48" s="767" t="str">
        <f t="shared" si="25"/>
        <v/>
      </c>
      <c r="AW48" s="767" t="str">
        <f t="shared" si="26"/>
        <v/>
      </c>
      <c r="AX48" s="767" t="str">
        <f t="shared" si="27"/>
        <v/>
      </c>
      <c r="AY48" s="767" t="str">
        <f t="shared" si="28"/>
        <v/>
      </c>
      <c r="AZ48" s="767" t="str">
        <f t="shared" si="29"/>
        <v/>
      </c>
      <c r="BA48" s="767" t="str">
        <f t="shared" si="30"/>
        <v/>
      </c>
    </row>
    <row r="49" spans="1:88" ht="13.5" customHeight="1" x14ac:dyDescent="0.15">
      <c r="A49" s="1422" t="s">
        <v>2318</v>
      </c>
      <c r="B49" s="1425" t="s">
        <v>2370</v>
      </c>
      <c r="C49" s="66">
        <v>27</v>
      </c>
      <c r="D49" s="59" t="s">
        <v>17</v>
      </c>
      <c r="E49" s="363">
        <f t="shared" si="31"/>
        <v>0</v>
      </c>
      <c r="F49" s="59" t="s">
        <v>28</v>
      </c>
      <c r="G49" s="356"/>
      <c r="H49" s="166" t="s">
        <v>28</v>
      </c>
      <c r="I49" s="356"/>
      <c r="J49" s="166" t="s">
        <v>28</v>
      </c>
      <c r="K49" s="356"/>
      <c r="L49" s="166" t="s">
        <v>28</v>
      </c>
      <c r="M49" s="356"/>
      <c r="N49" s="166" t="s">
        <v>28</v>
      </c>
      <c r="O49" s="356"/>
      <c r="P49" s="166" t="s">
        <v>28</v>
      </c>
      <c r="Q49" s="356"/>
      <c r="R49" s="166" t="s">
        <v>28</v>
      </c>
      <c r="S49" s="356"/>
      <c r="T49" s="167" t="s">
        <v>28</v>
      </c>
      <c r="AC49" s="770">
        <v>27</v>
      </c>
      <c r="AD49" s="770"/>
      <c r="AE49" s="769">
        <f t="shared" si="13"/>
        <v>0</v>
      </c>
      <c r="AF49" s="769">
        <f t="shared" si="14"/>
        <v>0</v>
      </c>
      <c r="AG49" s="769">
        <f t="shared" si="15"/>
        <v>0</v>
      </c>
      <c r="AH49" s="769">
        <f t="shared" si="16"/>
        <v>0</v>
      </c>
      <c r="AI49" s="769">
        <f t="shared" si="17"/>
        <v>0</v>
      </c>
      <c r="AJ49" s="769">
        <f t="shared" si="18"/>
        <v>0</v>
      </c>
      <c r="AK49" s="769">
        <f t="shared" si="19"/>
        <v>0</v>
      </c>
      <c r="AL49" s="769">
        <f t="shared" si="20"/>
        <v>0</v>
      </c>
      <c r="AM49" s="767">
        <f t="shared" si="23"/>
        <v>0</v>
      </c>
      <c r="AT49" s="748" t="s">
        <v>2550</v>
      </c>
      <c r="AU49" s="767" t="str">
        <f t="shared" si="24"/>
        <v/>
      </c>
      <c r="AV49" s="767" t="str">
        <f t="shared" si="25"/>
        <v/>
      </c>
      <c r="AW49" s="767" t="str">
        <f t="shared" si="26"/>
        <v/>
      </c>
      <c r="AX49" s="767" t="str">
        <f t="shared" si="27"/>
        <v/>
      </c>
      <c r="AY49" s="767" t="str">
        <f t="shared" si="28"/>
        <v/>
      </c>
      <c r="AZ49" s="767" t="str">
        <f t="shared" si="29"/>
        <v/>
      </c>
      <c r="BA49" s="767" t="str">
        <f t="shared" si="30"/>
        <v/>
      </c>
      <c r="BL49" s="746" t="s">
        <v>2556</v>
      </c>
      <c r="BM49" s="746" t="s">
        <v>2480</v>
      </c>
      <c r="BN49" s="776" t="s">
        <v>2547</v>
      </c>
      <c r="BO49" s="776" t="s">
        <v>2547</v>
      </c>
      <c r="BP49" s="776" t="s">
        <v>2547</v>
      </c>
      <c r="BQ49" s="776" t="s">
        <v>2547</v>
      </c>
      <c r="BR49" s="776"/>
      <c r="BS49" s="776"/>
      <c r="BT49" s="776" t="s">
        <v>2547</v>
      </c>
      <c r="BU49" s="776" t="s">
        <v>2547</v>
      </c>
      <c r="BV49" s="776" t="s">
        <v>2547</v>
      </c>
      <c r="BW49" s="776" t="s">
        <v>2547</v>
      </c>
      <c r="BX49" s="776" t="s">
        <v>2547</v>
      </c>
      <c r="BY49" s="776" t="s">
        <v>2547</v>
      </c>
      <c r="BZ49" s="776" t="s">
        <v>2547</v>
      </c>
      <c r="CA49" s="776" t="s">
        <v>2547</v>
      </c>
      <c r="CB49" s="776" t="s">
        <v>2547</v>
      </c>
      <c r="CC49" s="776" t="s">
        <v>2547</v>
      </c>
      <c r="CD49" s="776" t="s">
        <v>2547</v>
      </c>
      <c r="CE49" s="776" t="s">
        <v>2547</v>
      </c>
      <c r="CF49" s="776"/>
      <c r="CG49" s="776"/>
      <c r="CH49" s="776" t="s">
        <v>2547</v>
      </c>
    </row>
    <row r="50" spans="1:88" ht="15" x14ac:dyDescent="0.15">
      <c r="A50" s="1422" t="s">
        <v>2319</v>
      </c>
      <c r="B50" s="1424" t="s">
        <v>2371</v>
      </c>
      <c r="C50" s="66">
        <v>28</v>
      </c>
      <c r="D50" s="59" t="s">
        <v>17</v>
      </c>
      <c r="E50" s="363">
        <f t="shared" si="31"/>
        <v>0</v>
      </c>
      <c r="F50" s="59" t="s">
        <v>28</v>
      </c>
      <c r="G50" s="356"/>
      <c r="H50" s="166" t="s">
        <v>28</v>
      </c>
      <c r="I50" s="356"/>
      <c r="J50" s="166" t="s">
        <v>28</v>
      </c>
      <c r="K50" s="356"/>
      <c r="L50" s="166" t="s">
        <v>28</v>
      </c>
      <c r="M50" s="356"/>
      <c r="N50" s="166" t="s">
        <v>28</v>
      </c>
      <c r="O50" s="356"/>
      <c r="P50" s="166" t="s">
        <v>28</v>
      </c>
      <c r="Q50" s="356"/>
      <c r="R50" s="166" t="s">
        <v>28</v>
      </c>
      <c r="S50" s="356"/>
      <c r="T50" s="167" t="s">
        <v>28</v>
      </c>
      <c r="AC50" s="770">
        <v>28</v>
      </c>
      <c r="AD50" s="770"/>
      <c r="AE50" s="769">
        <f t="shared" si="13"/>
        <v>0</v>
      </c>
      <c r="AF50" s="769">
        <f t="shared" si="14"/>
        <v>0</v>
      </c>
      <c r="AG50" s="769">
        <f t="shared" si="15"/>
        <v>0</v>
      </c>
      <c r="AH50" s="769">
        <f t="shared" si="16"/>
        <v>0</v>
      </c>
      <c r="AI50" s="769">
        <f t="shared" si="17"/>
        <v>0</v>
      </c>
      <c r="AJ50" s="769">
        <f t="shared" si="18"/>
        <v>0</v>
      </c>
      <c r="AK50" s="769">
        <f t="shared" si="19"/>
        <v>0</v>
      </c>
      <c r="AL50" s="769">
        <f t="shared" si="20"/>
        <v>0</v>
      </c>
      <c r="AM50" s="767">
        <f t="shared" si="23"/>
        <v>0</v>
      </c>
      <c r="AT50" s="748" t="s">
        <v>2546</v>
      </c>
      <c r="AU50" s="767" t="str">
        <f t="shared" si="24"/>
        <v/>
      </c>
      <c r="AV50" s="767" t="str">
        <f t="shared" si="25"/>
        <v/>
      </c>
      <c r="AW50" s="767" t="str">
        <f t="shared" si="26"/>
        <v/>
      </c>
      <c r="AX50" s="767" t="str">
        <f t="shared" si="27"/>
        <v/>
      </c>
      <c r="AY50" s="767" t="str">
        <f t="shared" si="28"/>
        <v/>
      </c>
      <c r="AZ50" s="767" t="str">
        <f t="shared" si="29"/>
        <v/>
      </c>
      <c r="BA50" s="767" t="str">
        <f t="shared" si="30"/>
        <v/>
      </c>
    </row>
    <row r="51" spans="1:88" ht="13.5" customHeight="1" x14ac:dyDescent="0.15">
      <c r="A51" s="1422" t="s">
        <v>2320</v>
      </c>
      <c r="B51" s="1425" t="s">
        <v>2230</v>
      </c>
      <c r="C51" s="66">
        <v>29</v>
      </c>
      <c r="D51" s="59" t="s">
        <v>17</v>
      </c>
      <c r="E51" s="363">
        <f t="shared" si="31"/>
        <v>0</v>
      </c>
      <c r="F51" s="59" t="s">
        <v>28</v>
      </c>
      <c r="G51" s="356"/>
      <c r="H51" s="166" t="s">
        <v>28</v>
      </c>
      <c r="I51" s="356"/>
      <c r="J51" s="166" t="s">
        <v>28</v>
      </c>
      <c r="K51" s="356"/>
      <c r="L51" s="166" t="s">
        <v>28</v>
      </c>
      <c r="M51" s="356"/>
      <c r="N51" s="166" t="s">
        <v>28</v>
      </c>
      <c r="O51" s="356"/>
      <c r="P51" s="166" t="s">
        <v>28</v>
      </c>
      <c r="Q51" s="356"/>
      <c r="R51" s="166" t="s">
        <v>28</v>
      </c>
      <c r="S51" s="356"/>
      <c r="T51" s="167" t="s">
        <v>28</v>
      </c>
      <c r="AC51" s="770">
        <v>29</v>
      </c>
      <c r="AD51" s="770"/>
      <c r="AE51" s="769">
        <f t="shared" si="13"/>
        <v>0</v>
      </c>
      <c r="AF51" s="769">
        <f t="shared" si="14"/>
        <v>0</v>
      </c>
      <c r="AG51" s="769">
        <f t="shared" si="15"/>
        <v>0</v>
      </c>
      <c r="AH51" s="769">
        <f t="shared" si="16"/>
        <v>0</v>
      </c>
      <c r="AI51" s="769">
        <f t="shared" si="17"/>
        <v>0</v>
      </c>
      <c r="AJ51" s="769">
        <f t="shared" si="18"/>
        <v>0</v>
      </c>
      <c r="AK51" s="769">
        <f t="shared" si="19"/>
        <v>0</v>
      </c>
      <c r="AL51" s="769">
        <f t="shared" si="20"/>
        <v>0</v>
      </c>
      <c r="AM51" s="767">
        <f t="shared" si="23"/>
        <v>0</v>
      </c>
      <c r="AT51" s="748" t="s">
        <v>2537</v>
      </c>
      <c r="AU51" s="767" t="str">
        <f t="shared" si="24"/>
        <v/>
      </c>
      <c r="AV51" s="767" t="str">
        <f t="shared" si="25"/>
        <v/>
      </c>
      <c r="AW51" s="767" t="str">
        <f t="shared" si="26"/>
        <v/>
      </c>
      <c r="AX51" s="767" t="str">
        <f t="shared" si="27"/>
        <v/>
      </c>
      <c r="AY51" s="767" t="str">
        <f t="shared" si="28"/>
        <v/>
      </c>
      <c r="AZ51" s="767" t="str">
        <f t="shared" si="29"/>
        <v/>
      </c>
      <c r="BA51" s="767" t="str">
        <f t="shared" si="30"/>
        <v/>
      </c>
      <c r="BK51" s="746" t="s">
        <v>2553</v>
      </c>
      <c r="BL51" s="746" t="s">
        <v>2549</v>
      </c>
      <c r="BM51" s="746" t="s">
        <v>2552</v>
      </c>
      <c r="BN51" s="776"/>
      <c r="BO51" s="776"/>
      <c r="BP51" s="776">
        <v>200</v>
      </c>
      <c r="BQ51" s="776"/>
      <c r="BR51" s="776"/>
      <c r="BS51" s="776"/>
      <c r="BT51" s="776"/>
      <c r="BU51" s="776">
        <v>200</v>
      </c>
      <c r="BV51" s="776"/>
      <c r="BW51" s="776"/>
      <c r="BX51" s="776"/>
      <c r="BY51" s="776"/>
      <c r="BZ51" s="776"/>
      <c r="CA51" s="776"/>
      <c r="CB51" s="776"/>
      <c r="CC51" s="776"/>
      <c r="CD51" s="776"/>
      <c r="CE51" s="776"/>
      <c r="CF51" s="776"/>
      <c r="CG51" s="776"/>
    </row>
    <row r="52" spans="1:88" ht="13.5" customHeight="1" x14ac:dyDescent="0.15">
      <c r="A52" s="1422" t="s">
        <v>2321</v>
      </c>
      <c r="B52" s="1425" t="s">
        <v>2233</v>
      </c>
      <c r="C52" s="67">
        <v>30</v>
      </c>
      <c r="D52" s="60" t="s">
        <v>17</v>
      </c>
      <c r="E52" s="365">
        <f t="shared" si="31"/>
        <v>0</v>
      </c>
      <c r="F52" s="60" t="s">
        <v>28</v>
      </c>
      <c r="G52" s="358"/>
      <c r="H52" s="170" t="s">
        <v>28</v>
      </c>
      <c r="I52" s="358"/>
      <c r="J52" s="170" t="s">
        <v>28</v>
      </c>
      <c r="K52" s="358"/>
      <c r="L52" s="170" t="s">
        <v>28</v>
      </c>
      <c r="M52" s="358"/>
      <c r="N52" s="170" t="s">
        <v>28</v>
      </c>
      <c r="O52" s="358"/>
      <c r="P52" s="170" t="s">
        <v>28</v>
      </c>
      <c r="Q52" s="358"/>
      <c r="R52" s="170" t="s">
        <v>28</v>
      </c>
      <c r="S52" s="358"/>
      <c r="T52" s="171" t="s">
        <v>28</v>
      </c>
      <c r="AC52" s="770">
        <v>30</v>
      </c>
      <c r="AD52" s="770"/>
      <c r="AE52" s="769">
        <f t="shared" si="13"/>
        <v>0</v>
      </c>
      <c r="AF52" s="769">
        <f t="shared" si="14"/>
        <v>0</v>
      </c>
      <c r="AG52" s="769">
        <f t="shared" si="15"/>
        <v>0</v>
      </c>
      <c r="AH52" s="769">
        <f t="shared" si="16"/>
        <v>0</v>
      </c>
      <c r="AI52" s="769">
        <f t="shared" si="17"/>
        <v>0</v>
      </c>
      <c r="AJ52" s="769">
        <f t="shared" si="18"/>
        <v>0</v>
      </c>
      <c r="AK52" s="769">
        <f t="shared" si="19"/>
        <v>0</v>
      </c>
      <c r="AL52" s="769">
        <f t="shared" si="20"/>
        <v>0</v>
      </c>
      <c r="AM52" s="767">
        <f t="shared" si="23"/>
        <v>0</v>
      </c>
      <c r="AT52" s="748" t="s">
        <v>2535</v>
      </c>
      <c r="AU52" s="767" t="str">
        <f t="shared" si="24"/>
        <v/>
      </c>
      <c r="AV52" s="767" t="str">
        <f t="shared" si="25"/>
        <v/>
      </c>
      <c r="AW52" s="767" t="str">
        <f t="shared" si="26"/>
        <v/>
      </c>
      <c r="AX52" s="767" t="str">
        <f t="shared" si="27"/>
        <v/>
      </c>
      <c r="AY52" s="767" t="str">
        <f t="shared" si="28"/>
        <v/>
      </c>
      <c r="AZ52" s="767" t="str">
        <f t="shared" si="29"/>
        <v/>
      </c>
      <c r="BA52" s="767" t="str">
        <f t="shared" si="30"/>
        <v/>
      </c>
    </row>
    <row r="53" spans="1:88" ht="15" x14ac:dyDescent="0.15">
      <c r="A53" s="1422" t="s">
        <v>2322</v>
      </c>
      <c r="B53" s="1425" t="s">
        <v>2234</v>
      </c>
      <c r="C53" s="68">
        <v>31</v>
      </c>
      <c r="D53" s="58" t="s">
        <v>17</v>
      </c>
      <c r="E53" s="366">
        <f t="shared" ref="E53:E62" si="32">SUM(G53:T53)</f>
        <v>0</v>
      </c>
      <c r="F53" s="58" t="s">
        <v>28</v>
      </c>
      <c r="G53" s="359"/>
      <c r="H53" s="172" t="s">
        <v>28</v>
      </c>
      <c r="I53" s="359"/>
      <c r="J53" s="172" t="s">
        <v>28</v>
      </c>
      <c r="K53" s="359"/>
      <c r="L53" s="172" t="s">
        <v>28</v>
      </c>
      <c r="M53" s="359"/>
      <c r="N53" s="172" t="s">
        <v>28</v>
      </c>
      <c r="O53" s="359"/>
      <c r="P53" s="172" t="s">
        <v>28</v>
      </c>
      <c r="Q53" s="359"/>
      <c r="R53" s="172" t="s">
        <v>28</v>
      </c>
      <c r="S53" s="359"/>
      <c r="T53" s="173" t="s">
        <v>28</v>
      </c>
      <c r="AC53" s="770">
        <v>31</v>
      </c>
      <c r="AD53" s="770"/>
      <c r="AE53" s="769">
        <f t="shared" si="13"/>
        <v>0</v>
      </c>
      <c r="AF53" s="769">
        <f t="shared" si="14"/>
        <v>0</v>
      </c>
      <c r="AG53" s="769">
        <f t="shared" si="15"/>
        <v>0</v>
      </c>
      <c r="AH53" s="769">
        <f t="shared" si="16"/>
        <v>0</v>
      </c>
      <c r="AI53" s="769">
        <f t="shared" si="17"/>
        <v>0</v>
      </c>
      <c r="AJ53" s="769">
        <f t="shared" si="18"/>
        <v>0</v>
      </c>
      <c r="AK53" s="769">
        <f t="shared" si="19"/>
        <v>0</v>
      </c>
      <c r="AL53" s="769">
        <f t="shared" si="20"/>
        <v>0</v>
      </c>
      <c r="AM53" s="767">
        <f t="shared" si="23"/>
        <v>0</v>
      </c>
      <c r="AT53" s="748" t="s">
        <v>2533</v>
      </c>
      <c r="AU53" s="767" t="str">
        <f t="shared" si="24"/>
        <v/>
      </c>
      <c r="AV53" s="767" t="str">
        <f t="shared" si="25"/>
        <v/>
      </c>
      <c r="AW53" s="767" t="str">
        <f t="shared" si="26"/>
        <v/>
      </c>
      <c r="AX53" s="767" t="str">
        <f t="shared" si="27"/>
        <v/>
      </c>
      <c r="AY53" s="767" t="str">
        <f t="shared" si="28"/>
        <v/>
      </c>
      <c r="AZ53" s="767" t="str">
        <f t="shared" si="29"/>
        <v/>
      </c>
      <c r="BA53" s="767" t="str">
        <f t="shared" si="30"/>
        <v/>
      </c>
      <c r="BL53" s="746" t="s">
        <v>2549</v>
      </c>
      <c r="BM53" s="746" t="s">
        <v>2548</v>
      </c>
      <c r="BN53" s="776"/>
      <c r="BO53" s="776"/>
      <c r="BP53" s="776" t="s">
        <v>2547</v>
      </c>
      <c r="BQ53" s="776"/>
      <c r="BR53" s="776"/>
      <c r="BS53" s="776"/>
      <c r="BT53" s="776"/>
      <c r="BU53" s="776" t="s">
        <v>2547</v>
      </c>
      <c r="BV53" s="776"/>
      <c r="BW53" s="776"/>
      <c r="BX53" s="776"/>
      <c r="BY53" s="776"/>
      <c r="BZ53" s="776"/>
      <c r="CA53" s="776"/>
      <c r="CB53" s="776"/>
      <c r="CC53" s="776"/>
      <c r="CD53" s="776"/>
      <c r="CE53" s="776"/>
      <c r="CF53" s="776"/>
      <c r="CG53" s="776"/>
    </row>
    <row r="54" spans="1:88" ht="18.75" x14ac:dyDescent="0.15">
      <c r="A54" s="1422" t="s">
        <v>2323</v>
      </c>
      <c r="B54" s="1426"/>
      <c r="C54" s="66">
        <v>32</v>
      </c>
      <c r="D54" s="59" t="s">
        <v>17</v>
      </c>
      <c r="E54" s="363">
        <f t="shared" si="32"/>
        <v>0</v>
      </c>
      <c r="F54" s="59" t="s">
        <v>28</v>
      </c>
      <c r="G54" s="356"/>
      <c r="H54" s="166" t="s">
        <v>28</v>
      </c>
      <c r="I54" s="356"/>
      <c r="J54" s="166" t="s">
        <v>28</v>
      </c>
      <c r="K54" s="356"/>
      <c r="L54" s="166" t="s">
        <v>28</v>
      </c>
      <c r="M54" s="356"/>
      <c r="N54" s="166" t="s">
        <v>28</v>
      </c>
      <c r="O54" s="356"/>
      <c r="P54" s="166" t="s">
        <v>28</v>
      </c>
      <c r="Q54" s="356"/>
      <c r="R54" s="166" t="s">
        <v>28</v>
      </c>
      <c r="S54" s="356"/>
      <c r="T54" s="167" t="s">
        <v>28</v>
      </c>
      <c r="AC54" s="770">
        <v>32</v>
      </c>
      <c r="AD54" s="770"/>
      <c r="AE54" s="769">
        <f t="shared" si="13"/>
        <v>0</v>
      </c>
      <c r="AF54" s="769">
        <f t="shared" si="14"/>
        <v>0</v>
      </c>
      <c r="AG54" s="769">
        <f t="shared" si="15"/>
        <v>0</v>
      </c>
      <c r="AH54" s="769">
        <f t="shared" si="16"/>
        <v>0</v>
      </c>
      <c r="AI54" s="769">
        <f t="shared" si="17"/>
        <v>0</v>
      </c>
      <c r="AJ54" s="769">
        <f t="shared" si="18"/>
        <v>0</v>
      </c>
      <c r="AK54" s="769">
        <f t="shared" si="19"/>
        <v>0</v>
      </c>
      <c r="AL54" s="769">
        <f t="shared" si="20"/>
        <v>0</v>
      </c>
      <c r="AM54" s="767">
        <f t="shared" si="23"/>
        <v>0</v>
      </c>
      <c r="AT54" s="748" t="s">
        <v>2531</v>
      </c>
      <c r="AU54" s="767" t="str">
        <f t="shared" si="24"/>
        <v/>
      </c>
      <c r="AV54" s="767" t="str">
        <f t="shared" si="25"/>
        <v/>
      </c>
      <c r="AW54" s="767" t="str">
        <f t="shared" si="26"/>
        <v/>
      </c>
      <c r="AX54" s="767" t="str">
        <f t="shared" si="27"/>
        <v/>
      </c>
      <c r="AY54" s="767" t="str">
        <f t="shared" si="28"/>
        <v/>
      </c>
      <c r="AZ54" s="767" t="str">
        <f t="shared" si="29"/>
        <v/>
      </c>
      <c r="BA54" s="767" t="str">
        <f t="shared" si="30"/>
        <v/>
      </c>
      <c r="BC54" s="746" t="s">
        <v>2545</v>
      </c>
      <c r="BD54" s="746" t="s">
        <v>2544</v>
      </c>
      <c r="BE54" s="746" t="s">
        <v>2543</v>
      </c>
      <c r="BF54" s="746" t="s">
        <v>2542</v>
      </c>
      <c r="BG54" s="746" t="s">
        <v>2541</v>
      </c>
      <c r="BH54" s="746" t="s">
        <v>2540</v>
      </c>
      <c r="BI54" s="746" t="s">
        <v>2539</v>
      </c>
      <c r="BJ54" s="746" t="s">
        <v>2538</v>
      </c>
      <c r="BK54" s="746" t="s">
        <v>2633</v>
      </c>
    </row>
    <row r="55" spans="1:88" ht="18.75" x14ac:dyDescent="0.15">
      <c r="A55" s="1422" t="s">
        <v>2324</v>
      </c>
      <c r="B55" s="1426"/>
      <c r="C55" s="66">
        <v>33</v>
      </c>
      <c r="D55" s="59" t="s">
        <v>17</v>
      </c>
      <c r="E55" s="363">
        <f t="shared" si="32"/>
        <v>0</v>
      </c>
      <c r="F55" s="59" t="s">
        <v>28</v>
      </c>
      <c r="G55" s="356"/>
      <c r="H55" s="166" t="s">
        <v>28</v>
      </c>
      <c r="I55" s="356"/>
      <c r="J55" s="166" t="s">
        <v>28</v>
      </c>
      <c r="K55" s="356"/>
      <c r="L55" s="166" t="s">
        <v>28</v>
      </c>
      <c r="M55" s="356"/>
      <c r="N55" s="166" t="s">
        <v>28</v>
      </c>
      <c r="O55" s="356"/>
      <c r="P55" s="166" t="s">
        <v>28</v>
      </c>
      <c r="Q55" s="356"/>
      <c r="R55" s="166" t="s">
        <v>28</v>
      </c>
      <c r="S55" s="356"/>
      <c r="T55" s="167" t="s">
        <v>28</v>
      </c>
      <c r="AC55" s="770">
        <v>33</v>
      </c>
      <c r="AD55" s="770"/>
      <c r="AE55" s="769">
        <f t="shared" si="13"/>
        <v>0</v>
      </c>
      <c r="AF55" s="769">
        <f t="shared" si="14"/>
        <v>0</v>
      </c>
      <c r="AG55" s="769">
        <f t="shared" si="15"/>
        <v>0</v>
      </c>
      <c r="AH55" s="769">
        <f t="shared" si="16"/>
        <v>0</v>
      </c>
      <c r="AI55" s="769">
        <f t="shared" si="17"/>
        <v>0</v>
      </c>
      <c r="AJ55" s="769">
        <f t="shared" si="18"/>
        <v>0</v>
      </c>
      <c r="AK55" s="769">
        <f t="shared" si="19"/>
        <v>0</v>
      </c>
      <c r="AL55" s="769">
        <f t="shared" si="20"/>
        <v>0</v>
      </c>
      <c r="AM55" s="767">
        <f t="shared" ref="AM55:AM72" si="33">IF(SUMPRODUCT(($AF$11:$AL$11=$CE$2)*($AF55:$AL55&lt;&gt;0))&gt;0,1,0)</f>
        <v>0</v>
      </c>
      <c r="AT55" s="748" t="s">
        <v>2529</v>
      </c>
      <c r="AU55" s="767" t="str">
        <f t="shared" ref="AU55:AU72" si="34">IF(AF55=0,AU54,AU54&amp;$AT55)</f>
        <v/>
      </c>
      <c r="AV55" s="767" t="str">
        <f t="shared" ref="AV55:AV72" si="35">IF(AG55=0,AV54,AV54&amp;$AT55)</f>
        <v/>
      </c>
      <c r="AW55" s="767" t="str">
        <f t="shared" ref="AW55:AW72" si="36">IF(AH55=0,AW54,AW54&amp;$AT55)</f>
        <v/>
      </c>
      <c r="AX55" s="767" t="str">
        <f t="shared" ref="AX55:AX72" si="37">IF(AI55=0,AX54,AX54&amp;$AT55)</f>
        <v/>
      </c>
      <c r="AY55" s="767" t="str">
        <f t="shared" ref="AY55:AY72" si="38">IF(AJ55=0,AY54,AY54&amp;$AT55)</f>
        <v/>
      </c>
      <c r="AZ55" s="767" t="str">
        <f t="shared" ref="AZ55:AZ72" si="39">IF(AK55=0,AZ54,AZ54&amp;$AT55)</f>
        <v/>
      </c>
      <c r="BA55" s="767" t="str">
        <f t="shared" ref="BA55:BA72" si="40">IF(AL55=0,BA54,BA54&amp;$AT55)</f>
        <v/>
      </c>
      <c r="BC55" s="746" t="s">
        <v>2536</v>
      </c>
      <c r="BD55" s="767" t="str">
        <f t="shared" ref="BD55:BJ55" si="41">AF11</f>
        <v/>
      </c>
      <c r="BE55" s="767" t="str">
        <f t="shared" si="41"/>
        <v/>
      </c>
      <c r="BF55" s="767" t="str">
        <f t="shared" si="41"/>
        <v/>
      </c>
      <c r="BG55" s="767" t="str">
        <f t="shared" si="41"/>
        <v/>
      </c>
      <c r="BH55" s="767" t="str">
        <f t="shared" si="41"/>
        <v/>
      </c>
      <c r="BI55" s="767" t="str">
        <f t="shared" si="41"/>
        <v/>
      </c>
      <c r="BJ55" s="767" t="str">
        <f t="shared" si="41"/>
        <v/>
      </c>
      <c r="BN55" s="766" t="str">
        <f t="shared" ref="BN55:CH55" si="42">BN2</f>
        <v>Aa</v>
      </c>
      <c r="BO55" s="766" t="str">
        <f t="shared" si="42"/>
        <v>Ab</v>
      </c>
      <c r="BP55" s="766" t="str">
        <f t="shared" si="42"/>
        <v>Ba</v>
      </c>
      <c r="BQ55" s="766" t="str">
        <f t="shared" si="42"/>
        <v>Ca</v>
      </c>
      <c r="BR55" s="766" t="str">
        <f t="shared" si="42"/>
        <v>Da</v>
      </c>
      <c r="BS55" s="766" t="str">
        <f t="shared" si="42"/>
        <v>Db</v>
      </c>
      <c r="BT55" s="766" t="str">
        <f t="shared" si="42"/>
        <v>Ea</v>
      </c>
      <c r="BU55" s="766" t="str">
        <f t="shared" si="42"/>
        <v>Eb</v>
      </c>
      <c r="BV55" s="766" t="str">
        <f t="shared" si="42"/>
        <v>Fa</v>
      </c>
      <c r="BW55" s="766" t="str">
        <f t="shared" si="42"/>
        <v>Fb</v>
      </c>
      <c r="BX55" s="766" t="str">
        <f t="shared" si="42"/>
        <v>Fc</v>
      </c>
      <c r="BY55" s="766" t="str">
        <f t="shared" si="42"/>
        <v>Fd</v>
      </c>
      <c r="BZ55" s="766" t="str">
        <f t="shared" si="42"/>
        <v>Ga</v>
      </c>
      <c r="CA55" s="766" t="str">
        <f t="shared" si="42"/>
        <v>Gb</v>
      </c>
      <c r="CB55" s="766" t="str">
        <f t="shared" si="42"/>
        <v>Ha</v>
      </c>
      <c r="CC55" s="766" t="str">
        <f t="shared" si="42"/>
        <v>Hb</v>
      </c>
      <c r="CD55" s="766" t="str">
        <f t="shared" si="42"/>
        <v>Ia</v>
      </c>
      <c r="CE55" s="766" t="str">
        <f t="shared" si="42"/>
        <v>Ja</v>
      </c>
      <c r="CF55" s="766" t="str">
        <f t="shared" si="42"/>
        <v>Ya</v>
      </c>
      <c r="CG55" s="766" t="str">
        <f t="shared" si="42"/>
        <v>Za</v>
      </c>
      <c r="CH55" s="766" t="str">
        <f t="shared" si="42"/>
        <v>Ka</v>
      </c>
    </row>
    <row r="56" spans="1:88" ht="18.75" customHeight="1" x14ac:dyDescent="0.15">
      <c r="A56" s="1422" t="s">
        <v>2325</v>
      </c>
      <c r="B56" s="1426"/>
      <c r="C56" s="66">
        <v>34</v>
      </c>
      <c r="D56" s="59" t="s">
        <v>17</v>
      </c>
      <c r="E56" s="363">
        <f t="shared" si="32"/>
        <v>0</v>
      </c>
      <c r="F56" s="59" t="s">
        <v>28</v>
      </c>
      <c r="G56" s="356"/>
      <c r="H56" s="166" t="s">
        <v>28</v>
      </c>
      <c r="I56" s="356"/>
      <c r="J56" s="166" t="s">
        <v>28</v>
      </c>
      <c r="K56" s="356"/>
      <c r="L56" s="166" t="s">
        <v>28</v>
      </c>
      <c r="M56" s="356"/>
      <c r="N56" s="166" t="s">
        <v>28</v>
      </c>
      <c r="O56" s="356"/>
      <c r="P56" s="166" t="s">
        <v>28</v>
      </c>
      <c r="Q56" s="356"/>
      <c r="R56" s="166" t="s">
        <v>28</v>
      </c>
      <c r="S56" s="356"/>
      <c r="T56" s="167" t="s">
        <v>28</v>
      </c>
      <c r="AC56" s="770">
        <v>34</v>
      </c>
      <c r="AD56" s="770"/>
      <c r="AE56" s="769">
        <f t="shared" si="13"/>
        <v>0</v>
      </c>
      <c r="AF56" s="769">
        <f t="shared" si="14"/>
        <v>0</v>
      </c>
      <c r="AG56" s="769">
        <f t="shared" si="15"/>
        <v>0</v>
      </c>
      <c r="AH56" s="769">
        <f t="shared" si="16"/>
        <v>0</v>
      </c>
      <c r="AI56" s="769">
        <f t="shared" si="17"/>
        <v>0</v>
      </c>
      <c r="AJ56" s="769">
        <f t="shared" si="18"/>
        <v>0</v>
      </c>
      <c r="AK56" s="769">
        <f t="shared" si="19"/>
        <v>0</v>
      </c>
      <c r="AL56" s="769">
        <f t="shared" si="20"/>
        <v>0</v>
      </c>
      <c r="AM56" s="767">
        <f t="shared" si="33"/>
        <v>0</v>
      </c>
      <c r="AT56" s="748" t="s">
        <v>2527</v>
      </c>
      <c r="AU56" s="767" t="str">
        <f t="shared" si="34"/>
        <v/>
      </c>
      <c r="AV56" s="767" t="str">
        <f t="shared" si="35"/>
        <v/>
      </c>
      <c r="AW56" s="767" t="str">
        <f t="shared" si="36"/>
        <v/>
      </c>
      <c r="AX56" s="767" t="str">
        <f t="shared" si="37"/>
        <v/>
      </c>
      <c r="AY56" s="767" t="str">
        <f t="shared" si="38"/>
        <v/>
      </c>
      <c r="AZ56" s="767" t="str">
        <f t="shared" si="39"/>
        <v/>
      </c>
      <c r="BA56" s="767" t="str">
        <f t="shared" si="40"/>
        <v/>
      </c>
      <c r="BC56" s="746" t="s">
        <v>2534</v>
      </c>
      <c r="BD56" s="767">
        <f t="shared" ref="BD56:BJ56" si="43">AF75+AF76</f>
        <v>0</v>
      </c>
      <c r="BE56" s="767">
        <f t="shared" si="43"/>
        <v>0</v>
      </c>
      <c r="BF56" s="767">
        <f t="shared" si="43"/>
        <v>0</v>
      </c>
      <c r="BG56" s="767">
        <f t="shared" si="43"/>
        <v>0</v>
      </c>
      <c r="BH56" s="767">
        <f t="shared" si="43"/>
        <v>0</v>
      </c>
      <c r="BI56" s="767">
        <f t="shared" si="43"/>
        <v>0</v>
      </c>
      <c r="BJ56" s="767">
        <f t="shared" si="43"/>
        <v>0</v>
      </c>
      <c r="BM56" s="746" t="s">
        <v>2509</v>
      </c>
      <c r="BN56" s="767">
        <f t="shared" ref="BN56:BW60" si="44">SUMPRODUCT(($BD$55:$BJ$55=BN$55)*$BD56:$BJ56)</f>
        <v>0</v>
      </c>
      <c r="BO56" s="767">
        <f t="shared" si="44"/>
        <v>0</v>
      </c>
      <c r="BP56" s="767">
        <f t="shared" si="44"/>
        <v>0</v>
      </c>
      <c r="BQ56" s="767">
        <f t="shared" si="44"/>
        <v>0</v>
      </c>
      <c r="BR56" s="767">
        <f t="shared" si="44"/>
        <v>0</v>
      </c>
      <c r="BS56" s="767">
        <f t="shared" si="44"/>
        <v>0</v>
      </c>
      <c r="BT56" s="767">
        <f t="shared" si="44"/>
        <v>0</v>
      </c>
      <c r="BU56" s="767">
        <f t="shared" si="44"/>
        <v>0</v>
      </c>
      <c r="BV56" s="767">
        <f t="shared" si="44"/>
        <v>0</v>
      </c>
      <c r="BW56" s="767">
        <f t="shared" si="44"/>
        <v>0</v>
      </c>
      <c r="BX56" s="767">
        <f t="shared" ref="BX56:CG60" si="45">SUMPRODUCT(($BD$55:$BJ$55=BX$55)*$BD56:$BJ56)</f>
        <v>0</v>
      </c>
      <c r="BY56" s="767">
        <f t="shared" si="45"/>
        <v>0</v>
      </c>
      <c r="BZ56" s="767">
        <f t="shared" si="45"/>
        <v>0</v>
      </c>
      <c r="CA56" s="767">
        <f t="shared" si="45"/>
        <v>0</v>
      </c>
      <c r="CB56" s="767">
        <f t="shared" si="45"/>
        <v>0</v>
      </c>
      <c r="CC56" s="767">
        <f t="shared" si="45"/>
        <v>0</v>
      </c>
      <c r="CD56" s="767">
        <f t="shared" si="45"/>
        <v>0</v>
      </c>
      <c r="CE56" s="767">
        <f t="shared" si="45"/>
        <v>0</v>
      </c>
      <c r="CF56" s="767">
        <f t="shared" si="45"/>
        <v>0</v>
      </c>
      <c r="CG56" s="767">
        <f t="shared" si="45"/>
        <v>0</v>
      </c>
      <c r="CH56" s="748"/>
    </row>
    <row r="57" spans="1:88" ht="15" customHeight="1" x14ac:dyDescent="0.15">
      <c r="A57" s="2947" t="s">
        <v>2241</v>
      </c>
      <c r="B57" s="1426"/>
      <c r="C57" s="67">
        <v>35</v>
      </c>
      <c r="D57" s="60" t="s">
        <v>17</v>
      </c>
      <c r="E57" s="365">
        <f t="shared" si="32"/>
        <v>0</v>
      </c>
      <c r="F57" s="60" t="s">
        <v>28</v>
      </c>
      <c r="G57" s="358"/>
      <c r="H57" s="170" t="s">
        <v>28</v>
      </c>
      <c r="I57" s="358"/>
      <c r="J57" s="170" t="s">
        <v>28</v>
      </c>
      <c r="K57" s="358"/>
      <c r="L57" s="170" t="s">
        <v>28</v>
      </c>
      <c r="M57" s="358"/>
      <c r="N57" s="170" t="s">
        <v>28</v>
      </c>
      <c r="O57" s="358"/>
      <c r="P57" s="170" t="s">
        <v>28</v>
      </c>
      <c r="Q57" s="358"/>
      <c r="R57" s="170" t="s">
        <v>28</v>
      </c>
      <c r="S57" s="358"/>
      <c r="T57" s="171" t="s">
        <v>28</v>
      </c>
      <c r="AC57" s="770">
        <v>35</v>
      </c>
      <c r="AD57" s="770"/>
      <c r="AE57" s="769">
        <f t="shared" si="13"/>
        <v>0</v>
      </c>
      <c r="AF57" s="769">
        <f t="shared" si="14"/>
        <v>0</v>
      </c>
      <c r="AG57" s="769">
        <f t="shared" si="15"/>
        <v>0</v>
      </c>
      <c r="AH57" s="769">
        <f t="shared" si="16"/>
        <v>0</v>
      </c>
      <c r="AI57" s="769">
        <f t="shared" si="17"/>
        <v>0</v>
      </c>
      <c r="AJ57" s="769">
        <f t="shared" si="18"/>
        <v>0</v>
      </c>
      <c r="AK57" s="769">
        <f t="shared" si="19"/>
        <v>0</v>
      </c>
      <c r="AL57" s="769">
        <f t="shared" si="20"/>
        <v>0</v>
      </c>
      <c r="AM57" s="767">
        <f t="shared" si="33"/>
        <v>0</v>
      </c>
      <c r="AT57" s="748" t="s">
        <v>2525</v>
      </c>
      <c r="AU57" s="767" t="str">
        <f t="shared" si="34"/>
        <v/>
      </c>
      <c r="AV57" s="767" t="str">
        <f t="shared" si="35"/>
        <v/>
      </c>
      <c r="AW57" s="767" t="str">
        <f t="shared" si="36"/>
        <v/>
      </c>
      <c r="AX57" s="767" t="str">
        <f t="shared" si="37"/>
        <v/>
      </c>
      <c r="AY57" s="767" t="str">
        <f t="shared" si="38"/>
        <v/>
      </c>
      <c r="AZ57" s="767" t="str">
        <f t="shared" si="39"/>
        <v/>
      </c>
      <c r="BA57" s="767" t="str">
        <f t="shared" si="40"/>
        <v/>
      </c>
      <c r="BC57" s="746" t="s">
        <v>2532</v>
      </c>
      <c r="BD57" s="767">
        <f t="shared" ref="BD57:BJ58" si="46">AF78</f>
        <v>0</v>
      </c>
      <c r="BE57" s="767">
        <f t="shared" si="46"/>
        <v>0</v>
      </c>
      <c r="BF57" s="767">
        <f t="shared" si="46"/>
        <v>0</v>
      </c>
      <c r="BG57" s="767">
        <f t="shared" si="46"/>
        <v>0</v>
      </c>
      <c r="BH57" s="767">
        <f t="shared" si="46"/>
        <v>0</v>
      </c>
      <c r="BI57" s="767">
        <f t="shared" si="46"/>
        <v>0</v>
      </c>
      <c r="BJ57" s="767">
        <f t="shared" si="46"/>
        <v>0</v>
      </c>
      <c r="BM57" s="746" t="s">
        <v>2507</v>
      </c>
      <c r="BN57" s="767">
        <f t="shared" si="44"/>
        <v>0</v>
      </c>
      <c r="BO57" s="767">
        <f t="shared" si="44"/>
        <v>0</v>
      </c>
      <c r="BP57" s="767">
        <f t="shared" si="44"/>
        <v>0</v>
      </c>
      <c r="BQ57" s="767">
        <f t="shared" si="44"/>
        <v>0</v>
      </c>
      <c r="BR57" s="767">
        <f t="shared" si="44"/>
        <v>0</v>
      </c>
      <c r="BS57" s="767">
        <f t="shared" si="44"/>
        <v>0</v>
      </c>
      <c r="BT57" s="767">
        <f t="shared" si="44"/>
        <v>0</v>
      </c>
      <c r="BU57" s="767">
        <f t="shared" si="44"/>
        <v>0</v>
      </c>
      <c r="BV57" s="767">
        <f t="shared" si="44"/>
        <v>0</v>
      </c>
      <c r="BW57" s="767">
        <f t="shared" si="44"/>
        <v>0</v>
      </c>
      <c r="BX57" s="767">
        <f t="shared" si="45"/>
        <v>0</v>
      </c>
      <c r="BY57" s="767">
        <f t="shared" si="45"/>
        <v>0</v>
      </c>
      <c r="BZ57" s="767">
        <f t="shared" si="45"/>
        <v>0</v>
      </c>
      <c r="CA57" s="767">
        <f t="shared" si="45"/>
        <v>0</v>
      </c>
      <c r="CB57" s="767">
        <f t="shared" si="45"/>
        <v>0</v>
      </c>
      <c r="CC57" s="767">
        <f t="shared" si="45"/>
        <v>0</v>
      </c>
      <c r="CD57" s="767">
        <f t="shared" si="45"/>
        <v>0</v>
      </c>
      <c r="CE57" s="767">
        <f t="shared" si="45"/>
        <v>0</v>
      </c>
      <c r="CF57" s="767">
        <f t="shared" si="45"/>
        <v>0</v>
      </c>
      <c r="CG57" s="767">
        <f t="shared" si="45"/>
        <v>0</v>
      </c>
      <c r="CH57" s="748"/>
    </row>
    <row r="58" spans="1:88" ht="18.75" x14ac:dyDescent="0.15">
      <c r="A58" s="2947"/>
      <c r="B58" s="1426"/>
      <c r="C58" s="68">
        <v>36</v>
      </c>
      <c r="D58" s="58" t="s">
        <v>17</v>
      </c>
      <c r="E58" s="366">
        <f t="shared" si="32"/>
        <v>0</v>
      </c>
      <c r="F58" s="58" t="s">
        <v>28</v>
      </c>
      <c r="G58" s="359"/>
      <c r="H58" s="172" t="s">
        <v>28</v>
      </c>
      <c r="I58" s="359"/>
      <c r="J58" s="172" t="s">
        <v>28</v>
      </c>
      <c r="K58" s="359"/>
      <c r="L58" s="172" t="s">
        <v>28</v>
      </c>
      <c r="M58" s="359"/>
      <c r="N58" s="172" t="s">
        <v>28</v>
      </c>
      <c r="O58" s="359"/>
      <c r="P58" s="172" t="s">
        <v>28</v>
      </c>
      <c r="Q58" s="359"/>
      <c r="R58" s="172" t="s">
        <v>28</v>
      </c>
      <c r="S58" s="359"/>
      <c r="T58" s="173" t="s">
        <v>28</v>
      </c>
      <c r="AC58" s="770">
        <v>36</v>
      </c>
      <c r="AD58" s="770"/>
      <c r="AE58" s="769">
        <f t="shared" si="13"/>
        <v>0</v>
      </c>
      <c r="AF58" s="769">
        <f t="shared" si="14"/>
        <v>0</v>
      </c>
      <c r="AG58" s="769">
        <f t="shared" si="15"/>
        <v>0</v>
      </c>
      <c r="AH58" s="769">
        <f t="shared" si="16"/>
        <v>0</v>
      </c>
      <c r="AI58" s="769">
        <f t="shared" si="17"/>
        <v>0</v>
      </c>
      <c r="AJ58" s="769">
        <f t="shared" si="18"/>
        <v>0</v>
      </c>
      <c r="AK58" s="769">
        <f t="shared" si="19"/>
        <v>0</v>
      </c>
      <c r="AL58" s="769">
        <f t="shared" si="20"/>
        <v>0</v>
      </c>
      <c r="AM58" s="767">
        <f t="shared" si="33"/>
        <v>0</v>
      </c>
      <c r="AT58" s="748" t="s">
        <v>2524</v>
      </c>
      <c r="AU58" s="767" t="str">
        <f t="shared" si="34"/>
        <v/>
      </c>
      <c r="AV58" s="767" t="str">
        <f t="shared" si="35"/>
        <v/>
      </c>
      <c r="AW58" s="767" t="str">
        <f t="shared" si="36"/>
        <v/>
      </c>
      <c r="AX58" s="767" t="str">
        <f t="shared" si="37"/>
        <v/>
      </c>
      <c r="AY58" s="767" t="str">
        <f t="shared" si="38"/>
        <v/>
      </c>
      <c r="AZ58" s="767" t="str">
        <f t="shared" si="39"/>
        <v/>
      </c>
      <c r="BA58" s="767" t="str">
        <f t="shared" si="40"/>
        <v/>
      </c>
      <c r="BC58" s="746" t="s">
        <v>2505</v>
      </c>
      <c r="BD58" s="767">
        <f t="shared" si="46"/>
        <v>0</v>
      </c>
      <c r="BE58" s="767">
        <f t="shared" si="46"/>
        <v>0</v>
      </c>
      <c r="BF58" s="767">
        <f t="shared" si="46"/>
        <v>0</v>
      </c>
      <c r="BG58" s="767">
        <f t="shared" si="46"/>
        <v>0</v>
      </c>
      <c r="BH58" s="767">
        <f t="shared" si="46"/>
        <v>0</v>
      </c>
      <c r="BI58" s="767">
        <f t="shared" si="46"/>
        <v>0</v>
      </c>
      <c r="BJ58" s="767">
        <f t="shared" si="46"/>
        <v>0</v>
      </c>
      <c r="BM58" s="746" t="s">
        <v>2530</v>
      </c>
      <c r="BN58" s="767">
        <f t="shared" si="44"/>
        <v>0</v>
      </c>
      <c r="BO58" s="767">
        <f t="shared" si="44"/>
        <v>0</v>
      </c>
      <c r="BP58" s="767">
        <f t="shared" si="44"/>
        <v>0</v>
      </c>
      <c r="BQ58" s="767">
        <f t="shared" si="44"/>
        <v>0</v>
      </c>
      <c r="BR58" s="767">
        <f t="shared" si="44"/>
        <v>0</v>
      </c>
      <c r="BS58" s="767">
        <f t="shared" si="44"/>
        <v>0</v>
      </c>
      <c r="BT58" s="767">
        <f t="shared" si="44"/>
        <v>0</v>
      </c>
      <c r="BU58" s="767">
        <f t="shared" si="44"/>
        <v>0</v>
      </c>
      <c r="BV58" s="767">
        <f t="shared" si="44"/>
        <v>0</v>
      </c>
      <c r="BW58" s="767">
        <f t="shared" si="44"/>
        <v>0</v>
      </c>
      <c r="BX58" s="767">
        <f t="shared" si="45"/>
        <v>0</v>
      </c>
      <c r="BY58" s="767">
        <f t="shared" si="45"/>
        <v>0</v>
      </c>
      <c r="BZ58" s="767">
        <f t="shared" si="45"/>
        <v>0</v>
      </c>
      <c r="CA58" s="767">
        <f t="shared" si="45"/>
        <v>0</v>
      </c>
      <c r="CB58" s="767">
        <f t="shared" si="45"/>
        <v>0</v>
      </c>
      <c r="CC58" s="767">
        <f t="shared" si="45"/>
        <v>0</v>
      </c>
      <c r="CD58" s="767">
        <f t="shared" si="45"/>
        <v>0</v>
      </c>
      <c r="CE58" s="767">
        <f t="shared" si="45"/>
        <v>0</v>
      </c>
      <c r="CF58" s="767">
        <f t="shared" si="45"/>
        <v>0</v>
      </c>
      <c r="CG58" s="767">
        <f t="shared" si="45"/>
        <v>0</v>
      </c>
      <c r="CH58" s="748"/>
    </row>
    <row r="59" spans="1:88" ht="18.75" x14ac:dyDescent="0.15">
      <c r="A59" s="1427" t="s">
        <v>2326</v>
      </c>
      <c r="B59" s="1426"/>
      <c r="C59" s="66">
        <v>37</v>
      </c>
      <c r="D59" s="59" t="s">
        <v>17</v>
      </c>
      <c r="E59" s="363">
        <f t="shared" si="32"/>
        <v>0</v>
      </c>
      <c r="F59" s="59" t="s">
        <v>28</v>
      </c>
      <c r="G59" s="356"/>
      <c r="H59" s="166" t="s">
        <v>28</v>
      </c>
      <c r="I59" s="356"/>
      <c r="J59" s="166" t="s">
        <v>28</v>
      </c>
      <c r="K59" s="356"/>
      <c r="L59" s="166" t="s">
        <v>28</v>
      </c>
      <c r="M59" s="356"/>
      <c r="N59" s="166" t="s">
        <v>28</v>
      </c>
      <c r="O59" s="356"/>
      <c r="P59" s="166" t="s">
        <v>28</v>
      </c>
      <c r="Q59" s="356"/>
      <c r="R59" s="166" t="s">
        <v>28</v>
      </c>
      <c r="S59" s="356"/>
      <c r="T59" s="167" t="s">
        <v>28</v>
      </c>
      <c r="AC59" s="770">
        <v>37</v>
      </c>
      <c r="AD59" s="770"/>
      <c r="AE59" s="769">
        <f t="shared" si="13"/>
        <v>0</v>
      </c>
      <c r="AF59" s="769">
        <f t="shared" si="14"/>
        <v>0</v>
      </c>
      <c r="AG59" s="769">
        <f t="shared" si="15"/>
        <v>0</v>
      </c>
      <c r="AH59" s="769">
        <f t="shared" si="16"/>
        <v>0</v>
      </c>
      <c r="AI59" s="769">
        <f t="shared" si="17"/>
        <v>0</v>
      </c>
      <c r="AJ59" s="769">
        <f t="shared" si="18"/>
        <v>0</v>
      </c>
      <c r="AK59" s="769">
        <f t="shared" si="19"/>
        <v>0</v>
      </c>
      <c r="AL59" s="769">
        <f t="shared" si="20"/>
        <v>0</v>
      </c>
      <c r="AM59" s="767">
        <f t="shared" si="33"/>
        <v>0</v>
      </c>
      <c r="AT59" s="748" t="s">
        <v>2521</v>
      </c>
      <c r="AU59" s="767" t="str">
        <f t="shared" si="34"/>
        <v/>
      </c>
      <c r="AV59" s="767" t="str">
        <f t="shared" si="35"/>
        <v/>
      </c>
      <c r="AW59" s="767" t="str">
        <f t="shared" si="36"/>
        <v/>
      </c>
      <c r="AX59" s="767" t="str">
        <f t="shared" si="37"/>
        <v/>
      </c>
      <c r="AY59" s="767" t="str">
        <f t="shared" si="38"/>
        <v/>
      </c>
      <c r="AZ59" s="767" t="str">
        <f t="shared" si="39"/>
        <v/>
      </c>
      <c r="BA59" s="767" t="str">
        <f t="shared" si="40"/>
        <v/>
      </c>
      <c r="BC59" s="746" t="s">
        <v>2528</v>
      </c>
      <c r="BD59" s="767">
        <f t="shared" ref="BD59:BJ59" si="47">AF13</f>
        <v>0</v>
      </c>
      <c r="BE59" s="767">
        <f t="shared" si="47"/>
        <v>0</v>
      </c>
      <c r="BF59" s="767">
        <f t="shared" si="47"/>
        <v>0</v>
      </c>
      <c r="BG59" s="767">
        <f t="shared" si="47"/>
        <v>0</v>
      </c>
      <c r="BH59" s="767">
        <f t="shared" si="47"/>
        <v>0</v>
      </c>
      <c r="BI59" s="767">
        <f t="shared" si="47"/>
        <v>0</v>
      </c>
      <c r="BJ59" s="767">
        <f t="shared" si="47"/>
        <v>0</v>
      </c>
      <c r="BM59" s="746" t="s">
        <v>2503</v>
      </c>
      <c r="BN59" s="767">
        <f t="shared" si="44"/>
        <v>0</v>
      </c>
      <c r="BO59" s="767">
        <f t="shared" si="44"/>
        <v>0</v>
      </c>
      <c r="BP59" s="767">
        <f t="shared" si="44"/>
        <v>0</v>
      </c>
      <c r="BQ59" s="767">
        <f t="shared" si="44"/>
        <v>0</v>
      </c>
      <c r="BR59" s="767">
        <f t="shared" si="44"/>
        <v>0</v>
      </c>
      <c r="BS59" s="767">
        <f t="shared" si="44"/>
        <v>0</v>
      </c>
      <c r="BT59" s="767">
        <f t="shared" si="44"/>
        <v>0</v>
      </c>
      <c r="BU59" s="767">
        <f t="shared" si="44"/>
        <v>0</v>
      </c>
      <c r="BV59" s="767">
        <f t="shared" si="44"/>
        <v>0</v>
      </c>
      <c r="BW59" s="767">
        <f t="shared" si="44"/>
        <v>0</v>
      </c>
      <c r="BX59" s="767">
        <f t="shared" si="45"/>
        <v>0</v>
      </c>
      <c r="BY59" s="767">
        <f t="shared" si="45"/>
        <v>0</v>
      </c>
      <c r="BZ59" s="767">
        <f t="shared" si="45"/>
        <v>0</v>
      </c>
      <c r="CA59" s="767">
        <f t="shared" si="45"/>
        <v>0</v>
      </c>
      <c r="CB59" s="767">
        <f t="shared" si="45"/>
        <v>0</v>
      </c>
      <c r="CC59" s="767">
        <f t="shared" si="45"/>
        <v>0</v>
      </c>
      <c r="CD59" s="767">
        <f t="shared" si="45"/>
        <v>0</v>
      </c>
      <c r="CE59" s="767">
        <f t="shared" si="45"/>
        <v>0</v>
      </c>
      <c r="CF59" s="767">
        <f t="shared" si="45"/>
        <v>0</v>
      </c>
      <c r="CG59" s="767">
        <f t="shared" si="45"/>
        <v>0</v>
      </c>
      <c r="CH59" s="748"/>
    </row>
    <row r="60" spans="1:88" ht="18.75" x14ac:dyDescent="0.15">
      <c r="A60" s="1427" t="s">
        <v>2327</v>
      </c>
      <c r="B60" s="1426"/>
      <c r="C60" s="66">
        <v>38</v>
      </c>
      <c r="D60" s="59" t="s">
        <v>17</v>
      </c>
      <c r="E60" s="363">
        <f t="shared" si="32"/>
        <v>0</v>
      </c>
      <c r="F60" s="59" t="s">
        <v>28</v>
      </c>
      <c r="G60" s="356"/>
      <c r="H60" s="166" t="s">
        <v>28</v>
      </c>
      <c r="I60" s="356"/>
      <c r="J60" s="166" t="s">
        <v>28</v>
      </c>
      <c r="K60" s="356"/>
      <c r="L60" s="166" t="s">
        <v>28</v>
      </c>
      <c r="M60" s="356"/>
      <c r="N60" s="166" t="s">
        <v>28</v>
      </c>
      <c r="O60" s="356"/>
      <c r="P60" s="166" t="s">
        <v>28</v>
      </c>
      <c r="Q60" s="356"/>
      <c r="R60" s="166" t="s">
        <v>28</v>
      </c>
      <c r="S60" s="356"/>
      <c r="T60" s="167" t="s">
        <v>28</v>
      </c>
      <c r="AC60" s="770">
        <v>38</v>
      </c>
      <c r="AD60" s="770"/>
      <c r="AE60" s="769">
        <f t="shared" si="13"/>
        <v>0</v>
      </c>
      <c r="AF60" s="769">
        <f t="shared" si="14"/>
        <v>0</v>
      </c>
      <c r="AG60" s="769">
        <f t="shared" si="15"/>
        <v>0</v>
      </c>
      <c r="AH60" s="769">
        <f t="shared" si="16"/>
        <v>0</v>
      </c>
      <c r="AI60" s="769">
        <f t="shared" si="17"/>
        <v>0</v>
      </c>
      <c r="AJ60" s="769">
        <f t="shared" si="18"/>
        <v>0</v>
      </c>
      <c r="AK60" s="769">
        <f t="shared" si="19"/>
        <v>0</v>
      </c>
      <c r="AL60" s="769">
        <f t="shared" si="20"/>
        <v>0</v>
      </c>
      <c r="AM60" s="767">
        <f t="shared" si="33"/>
        <v>0</v>
      </c>
      <c r="AT60" s="748" t="s">
        <v>2520</v>
      </c>
      <c r="AU60" s="767" t="str">
        <f t="shared" si="34"/>
        <v/>
      </c>
      <c r="AV60" s="767" t="str">
        <f t="shared" si="35"/>
        <v/>
      </c>
      <c r="AW60" s="767" t="str">
        <f t="shared" si="36"/>
        <v/>
      </c>
      <c r="AX60" s="767" t="str">
        <f t="shared" si="37"/>
        <v/>
      </c>
      <c r="AY60" s="767" t="str">
        <f t="shared" si="38"/>
        <v/>
      </c>
      <c r="AZ60" s="767" t="str">
        <f t="shared" si="39"/>
        <v/>
      </c>
      <c r="BA60" s="767" t="str">
        <f t="shared" si="40"/>
        <v/>
      </c>
      <c r="BC60" s="746" t="s">
        <v>2526</v>
      </c>
      <c r="BD60" s="767">
        <f t="shared" ref="BD60:BJ60" si="48">SUMPRODUCT(($AD$14:$AD$17="○")*AF14:AF17)+SUMPRODUCT(($AD$23:$AD$27="○")*AF23:AF27)</f>
        <v>0</v>
      </c>
      <c r="BE60" s="767">
        <f t="shared" si="48"/>
        <v>0</v>
      </c>
      <c r="BF60" s="767">
        <f t="shared" si="48"/>
        <v>0</v>
      </c>
      <c r="BG60" s="767">
        <f t="shared" si="48"/>
        <v>0</v>
      </c>
      <c r="BH60" s="767">
        <f t="shared" si="48"/>
        <v>0</v>
      </c>
      <c r="BI60" s="767">
        <f t="shared" si="48"/>
        <v>0</v>
      </c>
      <c r="BJ60" s="767">
        <f t="shared" si="48"/>
        <v>0</v>
      </c>
      <c r="BM60" s="746" t="s">
        <v>2526</v>
      </c>
      <c r="BN60" s="767">
        <f t="shared" si="44"/>
        <v>0</v>
      </c>
      <c r="BO60" s="767">
        <f t="shared" si="44"/>
        <v>0</v>
      </c>
      <c r="BP60" s="767">
        <f t="shared" si="44"/>
        <v>0</v>
      </c>
      <c r="BQ60" s="767">
        <f t="shared" si="44"/>
        <v>0</v>
      </c>
      <c r="BR60" s="767">
        <f t="shared" si="44"/>
        <v>0</v>
      </c>
      <c r="BS60" s="767">
        <f t="shared" si="44"/>
        <v>0</v>
      </c>
      <c r="BT60" s="767">
        <f t="shared" si="44"/>
        <v>0</v>
      </c>
      <c r="BU60" s="767">
        <f t="shared" si="44"/>
        <v>0</v>
      </c>
      <c r="BV60" s="767">
        <f t="shared" si="44"/>
        <v>0</v>
      </c>
      <c r="BW60" s="767">
        <f t="shared" si="44"/>
        <v>0</v>
      </c>
      <c r="BX60" s="767">
        <f t="shared" si="45"/>
        <v>0</v>
      </c>
      <c r="BY60" s="767">
        <f t="shared" si="45"/>
        <v>0</v>
      </c>
      <c r="BZ60" s="767">
        <f t="shared" si="45"/>
        <v>0</v>
      </c>
      <c r="CA60" s="767">
        <f t="shared" si="45"/>
        <v>0</v>
      </c>
      <c r="CB60" s="767">
        <f t="shared" si="45"/>
        <v>0</v>
      </c>
      <c r="CC60" s="767">
        <f t="shared" si="45"/>
        <v>0</v>
      </c>
      <c r="CD60" s="767">
        <f t="shared" si="45"/>
        <v>0</v>
      </c>
      <c r="CE60" s="767">
        <f t="shared" si="45"/>
        <v>0</v>
      </c>
      <c r="CF60" s="767">
        <f t="shared" si="45"/>
        <v>0</v>
      </c>
      <c r="CG60" s="767">
        <f t="shared" si="45"/>
        <v>0</v>
      </c>
      <c r="CH60" s="748"/>
    </row>
    <row r="61" spans="1:88" ht="19.5" thickBot="1" x14ac:dyDescent="0.2">
      <c r="A61" s="1422" t="s">
        <v>2328</v>
      </c>
      <c r="B61" s="1426"/>
      <c r="C61" s="66">
        <v>39</v>
      </c>
      <c r="D61" s="59" t="s">
        <v>17</v>
      </c>
      <c r="E61" s="363">
        <f t="shared" si="32"/>
        <v>0</v>
      </c>
      <c r="F61" s="59" t="s">
        <v>28</v>
      </c>
      <c r="G61" s="356"/>
      <c r="H61" s="166" t="s">
        <v>28</v>
      </c>
      <c r="I61" s="356"/>
      <c r="J61" s="166" t="s">
        <v>28</v>
      </c>
      <c r="K61" s="356"/>
      <c r="L61" s="166" t="s">
        <v>28</v>
      </c>
      <c r="M61" s="356"/>
      <c r="N61" s="166" t="s">
        <v>28</v>
      </c>
      <c r="O61" s="356"/>
      <c r="P61" s="166" t="s">
        <v>28</v>
      </c>
      <c r="Q61" s="356"/>
      <c r="R61" s="166" t="s">
        <v>28</v>
      </c>
      <c r="S61" s="356"/>
      <c r="T61" s="167" t="s">
        <v>28</v>
      </c>
      <c r="AC61" s="770">
        <v>39</v>
      </c>
      <c r="AD61" s="770"/>
      <c r="AE61" s="769">
        <f t="shared" si="13"/>
        <v>0</v>
      </c>
      <c r="AF61" s="769">
        <f t="shared" si="14"/>
        <v>0</v>
      </c>
      <c r="AG61" s="769">
        <f t="shared" si="15"/>
        <v>0</v>
      </c>
      <c r="AH61" s="769">
        <f t="shared" si="16"/>
        <v>0</v>
      </c>
      <c r="AI61" s="769">
        <f t="shared" si="17"/>
        <v>0</v>
      </c>
      <c r="AJ61" s="769">
        <f t="shared" si="18"/>
        <v>0</v>
      </c>
      <c r="AK61" s="769">
        <f t="shared" si="19"/>
        <v>0</v>
      </c>
      <c r="AL61" s="769">
        <f t="shared" si="20"/>
        <v>0</v>
      </c>
      <c r="AM61" s="767">
        <f t="shared" si="33"/>
        <v>0</v>
      </c>
      <c r="AT61" s="748" t="s">
        <v>2518</v>
      </c>
      <c r="AU61" s="767" t="str">
        <f t="shared" si="34"/>
        <v/>
      </c>
      <c r="AV61" s="767" t="str">
        <f t="shared" si="35"/>
        <v/>
      </c>
      <c r="AW61" s="767" t="str">
        <f t="shared" si="36"/>
        <v/>
      </c>
      <c r="AX61" s="767" t="str">
        <f t="shared" si="37"/>
        <v/>
      </c>
      <c r="AY61" s="767" t="str">
        <f t="shared" si="38"/>
        <v/>
      </c>
      <c r="AZ61" s="767" t="str">
        <f t="shared" si="39"/>
        <v/>
      </c>
      <c r="BA61" s="767" t="str">
        <f t="shared" si="40"/>
        <v/>
      </c>
      <c r="BK61" s="746" t="s">
        <v>2634</v>
      </c>
      <c r="CJ61" s="197" t="s">
        <v>2644</v>
      </c>
    </row>
    <row r="62" spans="1:88" ht="19.5" thickBot="1" x14ac:dyDescent="0.2">
      <c r="A62" s="1422" t="s">
        <v>2329</v>
      </c>
      <c r="B62" s="1426"/>
      <c r="C62" s="67">
        <v>40</v>
      </c>
      <c r="D62" s="60" t="s">
        <v>17</v>
      </c>
      <c r="E62" s="365">
        <f t="shared" si="32"/>
        <v>0</v>
      </c>
      <c r="F62" s="60" t="s">
        <v>28</v>
      </c>
      <c r="G62" s="358"/>
      <c r="H62" s="170" t="s">
        <v>28</v>
      </c>
      <c r="I62" s="358"/>
      <c r="J62" s="170" t="s">
        <v>28</v>
      </c>
      <c r="K62" s="358"/>
      <c r="L62" s="170" t="s">
        <v>28</v>
      </c>
      <c r="M62" s="358"/>
      <c r="N62" s="170" t="s">
        <v>28</v>
      </c>
      <c r="O62" s="358"/>
      <c r="P62" s="170" t="s">
        <v>28</v>
      </c>
      <c r="Q62" s="358"/>
      <c r="R62" s="170" t="s">
        <v>28</v>
      </c>
      <c r="S62" s="358"/>
      <c r="T62" s="171" t="s">
        <v>28</v>
      </c>
      <c r="AC62" s="770">
        <v>40</v>
      </c>
      <c r="AD62" s="770"/>
      <c r="AE62" s="769">
        <f t="shared" si="13"/>
        <v>0</v>
      </c>
      <c r="AF62" s="769">
        <f t="shared" si="14"/>
        <v>0</v>
      </c>
      <c r="AG62" s="769">
        <f t="shared" si="15"/>
        <v>0</v>
      </c>
      <c r="AH62" s="769">
        <f t="shared" si="16"/>
        <v>0</v>
      </c>
      <c r="AI62" s="769">
        <f t="shared" si="17"/>
        <v>0</v>
      </c>
      <c r="AJ62" s="769">
        <f t="shared" si="18"/>
        <v>0</v>
      </c>
      <c r="AK62" s="769">
        <f t="shared" si="19"/>
        <v>0</v>
      </c>
      <c r="AL62" s="769">
        <f t="shared" si="20"/>
        <v>0</v>
      </c>
      <c r="AM62" s="767">
        <f t="shared" si="33"/>
        <v>0</v>
      </c>
      <c r="AT62" s="748" t="s">
        <v>2517</v>
      </c>
      <c r="AU62" s="767" t="str">
        <f t="shared" si="34"/>
        <v/>
      </c>
      <c r="AV62" s="767" t="str">
        <f t="shared" si="35"/>
        <v/>
      </c>
      <c r="AW62" s="767" t="str">
        <f t="shared" si="36"/>
        <v/>
      </c>
      <c r="AX62" s="767" t="str">
        <f t="shared" si="37"/>
        <v/>
      </c>
      <c r="AY62" s="767" t="str">
        <f t="shared" si="38"/>
        <v/>
      </c>
      <c r="AZ62" s="767" t="str">
        <f t="shared" si="39"/>
        <v/>
      </c>
      <c r="BA62" s="767" t="str">
        <f t="shared" si="40"/>
        <v/>
      </c>
      <c r="BN62" s="767" t="str">
        <f>IF(BN59&gt;0,BN55,"")</f>
        <v/>
      </c>
      <c r="BO62" s="767" t="str">
        <f t="shared" ref="BO62:CG62" si="49">IF(BO59&gt;0,BO55,"")</f>
        <v/>
      </c>
      <c r="BP62" s="767" t="str">
        <f t="shared" si="49"/>
        <v/>
      </c>
      <c r="BQ62" s="767" t="str">
        <f t="shared" si="49"/>
        <v/>
      </c>
      <c r="BR62" s="767" t="str">
        <f t="shared" si="49"/>
        <v/>
      </c>
      <c r="BS62" s="767" t="str">
        <f t="shared" si="49"/>
        <v/>
      </c>
      <c r="BT62" s="767" t="str">
        <f t="shared" si="49"/>
        <v/>
      </c>
      <c r="BU62" s="767" t="str">
        <f t="shared" si="49"/>
        <v/>
      </c>
      <c r="BV62" s="767" t="str">
        <f t="shared" si="49"/>
        <v/>
      </c>
      <c r="BW62" s="767" t="str">
        <f t="shared" si="49"/>
        <v/>
      </c>
      <c r="BX62" s="767" t="str">
        <f t="shared" si="49"/>
        <v/>
      </c>
      <c r="BY62" s="767" t="str">
        <f t="shared" si="49"/>
        <v/>
      </c>
      <c r="BZ62" s="767" t="str">
        <f t="shared" si="49"/>
        <v/>
      </c>
      <c r="CA62" s="767" t="str">
        <f t="shared" si="49"/>
        <v/>
      </c>
      <c r="CB62" s="767" t="str">
        <f t="shared" si="49"/>
        <v/>
      </c>
      <c r="CC62" s="767" t="str">
        <f t="shared" si="49"/>
        <v/>
      </c>
      <c r="CD62" s="767" t="str">
        <f t="shared" si="49"/>
        <v/>
      </c>
      <c r="CE62" s="767" t="str">
        <f t="shared" si="49"/>
        <v/>
      </c>
      <c r="CF62" s="767" t="str">
        <f t="shared" si="49"/>
        <v/>
      </c>
      <c r="CG62" s="767" t="str">
        <f t="shared" si="49"/>
        <v/>
      </c>
      <c r="CH62" s="748"/>
      <c r="CJ62" s="1776" t="str">
        <f>CONCATENATE(BN62,BO62,BP62,BQ62,BR62,BS62,BT62,BU62,BV62,BW62,BX62,BY62,BZ62,CA62,CB62,CC62,CD62,CE62,CF62,CG62,CH62)</f>
        <v/>
      </c>
    </row>
    <row r="63" spans="1:88" ht="18.75" x14ac:dyDescent="0.15">
      <c r="A63" s="1422" t="s">
        <v>2330</v>
      </c>
      <c r="B63" s="1426"/>
      <c r="C63" s="68">
        <v>41</v>
      </c>
      <c r="D63" s="58" t="s">
        <v>17</v>
      </c>
      <c r="E63" s="366">
        <f t="shared" ref="E63:E72" si="50">SUM(G63:T63)</f>
        <v>0</v>
      </c>
      <c r="F63" s="58" t="s">
        <v>28</v>
      </c>
      <c r="G63" s="359"/>
      <c r="H63" s="172" t="s">
        <v>28</v>
      </c>
      <c r="I63" s="359"/>
      <c r="J63" s="172" t="s">
        <v>28</v>
      </c>
      <c r="K63" s="359"/>
      <c r="L63" s="172" t="s">
        <v>28</v>
      </c>
      <c r="M63" s="359"/>
      <c r="N63" s="172" t="s">
        <v>28</v>
      </c>
      <c r="O63" s="359"/>
      <c r="P63" s="172" t="s">
        <v>28</v>
      </c>
      <c r="Q63" s="359"/>
      <c r="R63" s="172" t="s">
        <v>28</v>
      </c>
      <c r="S63" s="359"/>
      <c r="T63" s="173" t="s">
        <v>28</v>
      </c>
      <c r="AC63" s="770">
        <v>41</v>
      </c>
      <c r="AD63" s="770"/>
      <c r="AE63" s="769">
        <f t="shared" si="13"/>
        <v>0</v>
      </c>
      <c r="AF63" s="769">
        <f t="shared" si="14"/>
        <v>0</v>
      </c>
      <c r="AG63" s="769">
        <f t="shared" si="15"/>
        <v>0</v>
      </c>
      <c r="AH63" s="769">
        <f t="shared" si="16"/>
        <v>0</v>
      </c>
      <c r="AI63" s="769">
        <f t="shared" si="17"/>
        <v>0</v>
      </c>
      <c r="AJ63" s="769">
        <f t="shared" si="18"/>
        <v>0</v>
      </c>
      <c r="AK63" s="769">
        <f t="shared" si="19"/>
        <v>0</v>
      </c>
      <c r="AL63" s="769">
        <f t="shared" si="20"/>
        <v>0</v>
      </c>
      <c r="AM63" s="767">
        <f t="shared" si="33"/>
        <v>0</v>
      </c>
      <c r="AT63" s="748" t="s">
        <v>2515</v>
      </c>
      <c r="AU63" s="767" t="str">
        <f t="shared" si="34"/>
        <v/>
      </c>
      <c r="AV63" s="767" t="str">
        <f t="shared" si="35"/>
        <v/>
      </c>
      <c r="AW63" s="767" t="str">
        <f t="shared" si="36"/>
        <v/>
      </c>
      <c r="AX63" s="767" t="str">
        <f t="shared" si="37"/>
        <v/>
      </c>
      <c r="AY63" s="767" t="str">
        <f t="shared" si="38"/>
        <v/>
      </c>
      <c r="AZ63" s="767" t="str">
        <f t="shared" si="39"/>
        <v/>
      </c>
      <c r="BA63" s="767" t="str">
        <f t="shared" si="40"/>
        <v/>
      </c>
    </row>
    <row r="64" spans="1:88" ht="18.75" x14ac:dyDescent="0.15">
      <c r="A64" s="1422" t="s">
        <v>2331</v>
      </c>
      <c r="B64" s="1426"/>
      <c r="C64" s="66">
        <v>42</v>
      </c>
      <c r="D64" s="59" t="s">
        <v>17</v>
      </c>
      <c r="E64" s="363">
        <f t="shared" si="50"/>
        <v>0</v>
      </c>
      <c r="F64" s="59" t="s">
        <v>28</v>
      </c>
      <c r="G64" s="356"/>
      <c r="H64" s="166" t="s">
        <v>28</v>
      </c>
      <c r="I64" s="356"/>
      <c r="J64" s="166" t="s">
        <v>28</v>
      </c>
      <c r="K64" s="356"/>
      <c r="L64" s="166" t="s">
        <v>28</v>
      </c>
      <c r="M64" s="356"/>
      <c r="N64" s="166" t="s">
        <v>28</v>
      </c>
      <c r="O64" s="356"/>
      <c r="P64" s="166" t="s">
        <v>28</v>
      </c>
      <c r="Q64" s="356"/>
      <c r="R64" s="166" t="s">
        <v>28</v>
      </c>
      <c r="S64" s="356"/>
      <c r="T64" s="167" t="s">
        <v>28</v>
      </c>
      <c r="AC64" s="770">
        <v>42</v>
      </c>
      <c r="AD64" s="770"/>
      <c r="AE64" s="769">
        <f t="shared" si="13"/>
        <v>0</v>
      </c>
      <c r="AF64" s="769">
        <f t="shared" si="14"/>
        <v>0</v>
      </c>
      <c r="AG64" s="769">
        <f t="shared" si="15"/>
        <v>0</v>
      </c>
      <c r="AH64" s="769">
        <f t="shared" si="16"/>
        <v>0</v>
      </c>
      <c r="AI64" s="769">
        <f t="shared" si="17"/>
        <v>0</v>
      </c>
      <c r="AJ64" s="769">
        <f t="shared" si="18"/>
        <v>0</v>
      </c>
      <c r="AK64" s="769">
        <f t="shared" si="19"/>
        <v>0</v>
      </c>
      <c r="AL64" s="769">
        <f t="shared" si="20"/>
        <v>0</v>
      </c>
      <c r="AM64" s="767">
        <f t="shared" si="33"/>
        <v>0</v>
      </c>
      <c r="AT64" s="748" t="s">
        <v>2514</v>
      </c>
      <c r="AU64" s="767" t="str">
        <f t="shared" si="34"/>
        <v/>
      </c>
      <c r="AV64" s="767" t="str">
        <f t="shared" si="35"/>
        <v/>
      </c>
      <c r="AW64" s="767" t="str">
        <f t="shared" si="36"/>
        <v/>
      </c>
      <c r="AX64" s="767" t="str">
        <f t="shared" si="37"/>
        <v/>
      </c>
      <c r="AY64" s="767" t="str">
        <f t="shared" si="38"/>
        <v/>
      </c>
      <c r="AZ64" s="767" t="str">
        <f t="shared" si="39"/>
        <v/>
      </c>
      <c r="BA64" s="767" t="str">
        <f t="shared" si="40"/>
        <v/>
      </c>
      <c r="BK64" s="746" t="s">
        <v>2523</v>
      </c>
      <c r="BL64" s="746" t="s">
        <v>2522</v>
      </c>
    </row>
    <row r="65" spans="1:85" ht="18.75" customHeight="1" x14ac:dyDescent="0.15">
      <c r="A65" s="1422" t="s">
        <v>2332</v>
      </c>
      <c r="B65" s="1426"/>
      <c r="C65" s="66">
        <v>43</v>
      </c>
      <c r="D65" s="59" t="s">
        <v>17</v>
      </c>
      <c r="E65" s="363">
        <f t="shared" si="50"/>
        <v>0</v>
      </c>
      <c r="F65" s="59" t="s">
        <v>28</v>
      </c>
      <c r="G65" s="356"/>
      <c r="H65" s="166" t="s">
        <v>28</v>
      </c>
      <c r="I65" s="356"/>
      <c r="J65" s="166" t="s">
        <v>28</v>
      </c>
      <c r="K65" s="356"/>
      <c r="L65" s="166" t="s">
        <v>28</v>
      </c>
      <c r="M65" s="356"/>
      <c r="N65" s="166" t="s">
        <v>28</v>
      </c>
      <c r="O65" s="356"/>
      <c r="P65" s="166" t="s">
        <v>28</v>
      </c>
      <c r="Q65" s="356"/>
      <c r="R65" s="166" t="s">
        <v>28</v>
      </c>
      <c r="S65" s="356"/>
      <c r="T65" s="167" t="s">
        <v>28</v>
      </c>
      <c r="AC65" s="770">
        <v>43</v>
      </c>
      <c r="AD65" s="770"/>
      <c r="AE65" s="769">
        <f t="shared" si="13"/>
        <v>0</v>
      </c>
      <c r="AF65" s="769">
        <f t="shared" si="14"/>
        <v>0</v>
      </c>
      <c r="AG65" s="769">
        <f t="shared" si="15"/>
        <v>0</v>
      </c>
      <c r="AH65" s="769">
        <f t="shared" si="16"/>
        <v>0</v>
      </c>
      <c r="AI65" s="769">
        <f t="shared" si="17"/>
        <v>0</v>
      </c>
      <c r="AJ65" s="769">
        <f t="shared" si="18"/>
        <v>0</v>
      </c>
      <c r="AK65" s="769">
        <f t="shared" si="19"/>
        <v>0</v>
      </c>
      <c r="AL65" s="769">
        <f t="shared" si="20"/>
        <v>0</v>
      </c>
      <c r="AM65" s="767">
        <f t="shared" si="33"/>
        <v>0</v>
      </c>
      <c r="AT65" s="748" t="s">
        <v>2512</v>
      </c>
      <c r="AU65" s="767" t="str">
        <f t="shared" si="34"/>
        <v/>
      </c>
      <c r="AV65" s="767" t="str">
        <f t="shared" si="35"/>
        <v/>
      </c>
      <c r="AW65" s="767" t="str">
        <f t="shared" si="36"/>
        <v/>
      </c>
      <c r="AX65" s="767" t="str">
        <f t="shared" si="37"/>
        <v/>
      </c>
      <c r="AY65" s="767" t="str">
        <f t="shared" si="38"/>
        <v/>
      </c>
      <c r="AZ65" s="767" t="str">
        <f t="shared" si="39"/>
        <v/>
      </c>
      <c r="BA65" s="767" t="str">
        <f t="shared" si="40"/>
        <v/>
      </c>
      <c r="BM65" s="767">
        <f>SUM(BN65:CG65)</f>
        <v>0</v>
      </c>
      <c r="BN65" s="767">
        <f t="shared" ref="BN65:CD65" si="51">BN$59</f>
        <v>0</v>
      </c>
      <c r="BO65" s="767">
        <f t="shared" si="51"/>
        <v>0</v>
      </c>
      <c r="BP65" s="767">
        <f t="shared" si="51"/>
        <v>0</v>
      </c>
      <c r="BQ65" s="767">
        <f t="shared" si="51"/>
        <v>0</v>
      </c>
      <c r="BR65" s="767">
        <f t="shared" si="51"/>
        <v>0</v>
      </c>
      <c r="BS65" s="767">
        <f t="shared" si="51"/>
        <v>0</v>
      </c>
      <c r="BT65" s="767">
        <f t="shared" si="51"/>
        <v>0</v>
      </c>
      <c r="BU65" s="767">
        <f t="shared" si="51"/>
        <v>0</v>
      </c>
      <c r="BV65" s="767">
        <f t="shared" si="51"/>
        <v>0</v>
      </c>
      <c r="BW65" s="767">
        <f t="shared" si="51"/>
        <v>0</v>
      </c>
      <c r="BX65" s="767">
        <f t="shared" si="51"/>
        <v>0</v>
      </c>
      <c r="BY65" s="767">
        <f t="shared" si="51"/>
        <v>0</v>
      </c>
      <c r="BZ65" s="767">
        <f t="shared" si="51"/>
        <v>0</v>
      </c>
      <c r="CA65" s="767">
        <f t="shared" si="51"/>
        <v>0</v>
      </c>
      <c r="CB65" s="767">
        <f t="shared" si="51"/>
        <v>0</v>
      </c>
      <c r="CC65" s="767">
        <f t="shared" si="51"/>
        <v>0</v>
      </c>
      <c r="CD65" s="767">
        <f t="shared" si="51"/>
        <v>0</v>
      </c>
      <c r="CE65" s="748"/>
      <c r="CF65" s="767">
        <f>CF$59</f>
        <v>0</v>
      </c>
      <c r="CG65" s="748"/>
    </row>
    <row r="66" spans="1:85" ht="15" customHeight="1" x14ac:dyDescent="0.15">
      <c r="A66" s="2947" t="s">
        <v>2242</v>
      </c>
      <c r="B66" s="1426"/>
      <c r="C66" s="66">
        <v>44</v>
      </c>
      <c r="D66" s="59" t="s">
        <v>17</v>
      </c>
      <c r="E66" s="363">
        <f t="shared" si="50"/>
        <v>0</v>
      </c>
      <c r="F66" s="59" t="s">
        <v>28</v>
      </c>
      <c r="G66" s="356"/>
      <c r="H66" s="166" t="s">
        <v>28</v>
      </c>
      <c r="I66" s="356"/>
      <c r="J66" s="166" t="s">
        <v>28</v>
      </c>
      <c r="K66" s="356"/>
      <c r="L66" s="166" t="s">
        <v>28</v>
      </c>
      <c r="M66" s="356"/>
      <c r="N66" s="166" t="s">
        <v>28</v>
      </c>
      <c r="O66" s="356"/>
      <c r="P66" s="166" t="s">
        <v>28</v>
      </c>
      <c r="Q66" s="356"/>
      <c r="R66" s="166" t="s">
        <v>28</v>
      </c>
      <c r="S66" s="356"/>
      <c r="T66" s="167" t="s">
        <v>28</v>
      </c>
      <c r="AC66" s="770">
        <v>44</v>
      </c>
      <c r="AD66" s="770"/>
      <c r="AE66" s="769">
        <f t="shared" si="13"/>
        <v>0</v>
      </c>
      <c r="AF66" s="769">
        <f t="shared" si="14"/>
        <v>0</v>
      </c>
      <c r="AG66" s="769">
        <f t="shared" si="15"/>
        <v>0</v>
      </c>
      <c r="AH66" s="769">
        <f t="shared" si="16"/>
        <v>0</v>
      </c>
      <c r="AI66" s="769">
        <f t="shared" si="17"/>
        <v>0</v>
      </c>
      <c r="AJ66" s="769">
        <f t="shared" si="18"/>
        <v>0</v>
      </c>
      <c r="AK66" s="769">
        <f t="shared" si="19"/>
        <v>0</v>
      </c>
      <c r="AL66" s="769">
        <f t="shared" si="20"/>
        <v>0</v>
      </c>
      <c r="AM66" s="767">
        <f t="shared" si="33"/>
        <v>0</v>
      </c>
      <c r="AT66" s="748" t="s">
        <v>2511</v>
      </c>
      <c r="AU66" s="767" t="str">
        <f t="shared" si="34"/>
        <v/>
      </c>
      <c r="AV66" s="767" t="str">
        <f t="shared" si="35"/>
        <v/>
      </c>
      <c r="AW66" s="767" t="str">
        <f t="shared" si="36"/>
        <v/>
      </c>
      <c r="AX66" s="767" t="str">
        <f t="shared" si="37"/>
        <v/>
      </c>
      <c r="AY66" s="767" t="str">
        <f t="shared" si="38"/>
        <v/>
      </c>
      <c r="AZ66" s="767" t="str">
        <f t="shared" si="39"/>
        <v/>
      </c>
      <c r="BA66" s="767" t="str">
        <f t="shared" si="40"/>
        <v/>
      </c>
      <c r="BL66" s="746" t="s">
        <v>2519</v>
      </c>
    </row>
    <row r="67" spans="1:85" ht="18.75" x14ac:dyDescent="0.15">
      <c r="A67" s="2947"/>
      <c r="B67" s="1426"/>
      <c r="C67" s="67">
        <v>45</v>
      </c>
      <c r="D67" s="60" t="s">
        <v>17</v>
      </c>
      <c r="E67" s="365">
        <f t="shared" si="50"/>
        <v>0</v>
      </c>
      <c r="F67" s="60" t="s">
        <v>28</v>
      </c>
      <c r="G67" s="358"/>
      <c r="H67" s="170" t="s">
        <v>28</v>
      </c>
      <c r="I67" s="358"/>
      <c r="J67" s="170" t="s">
        <v>28</v>
      </c>
      <c r="K67" s="358"/>
      <c r="L67" s="170" t="s">
        <v>28</v>
      </c>
      <c r="M67" s="358"/>
      <c r="N67" s="170" t="s">
        <v>28</v>
      </c>
      <c r="O67" s="358"/>
      <c r="P67" s="170" t="s">
        <v>28</v>
      </c>
      <c r="Q67" s="358"/>
      <c r="R67" s="170" t="s">
        <v>28</v>
      </c>
      <c r="S67" s="358"/>
      <c r="T67" s="171" t="s">
        <v>28</v>
      </c>
      <c r="AC67" s="770">
        <v>45</v>
      </c>
      <c r="AD67" s="770"/>
      <c r="AE67" s="769">
        <f t="shared" si="13"/>
        <v>0</v>
      </c>
      <c r="AF67" s="769">
        <f t="shared" si="14"/>
        <v>0</v>
      </c>
      <c r="AG67" s="769">
        <f t="shared" si="15"/>
        <v>0</v>
      </c>
      <c r="AH67" s="769">
        <f t="shared" si="16"/>
        <v>0</v>
      </c>
      <c r="AI67" s="769">
        <f t="shared" si="17"/>
        <v>0</v>
      </c>
      <c r="AJ67" s="769">
        <f t="shared" si="18"/>
        <v>0</v>
      </c>
      <c r="AK67" s="769">
        <f t="shared" si="19"/>
        <v>0</v>
      </c>
      <c r="AL67" s="769">
        <f t="shared" si="20"/>
        <v>0</v>
      </c>
      <c r="AM67" s="767">
        <f t="shared" si="33"/>
        <v>0</v>
      </c>
      <c r="AT67" s="748" t="s">
        <v>2510</v>
      </c>
      <c r="AU67" s="767" t="str">
        <f t="shared" si="34"/>
        <v/>
      </c>
      <c r="AV67" s="767" t="str">
        <f t="shared" si="35"/>
        <v/>
      </c>
      <c r="AW67" s="767" t="str">
        <f t="shared" si="36"/>
        <v/>
      </c>
      <c r="AX67" s="767" t="str">
        <f t="shared" si="37"/>
        <v/>
      </c>
      <c r="AY67" s="767" t="str">
        <f t="shared" si="38"/>
        <v/>
      </c>
      <c r="AZ67" s="767" t="str">
        <f t="shared" si="39"/>
        <v/>
      </c>
      <c r="BA67" s="767" t="str">
        <f t="shared" si="40"/>
        <v/>
      </c>
      <c r="BM67" s="767" t="b">
        <f>BM65&gt;200</f>
        <v>0</v>
      </c>
    </row>
    <row r="68" spans="1:85" ht="18.75" customHeight="1" x14ac:dyDescent="0.15">
      <c r="A68" s="2947"/>
      <c r="B68" s="1426"/>
      <c r="C68" s="68">
        <v>46</v>
      </c>
      <c r="D68" s="58" t="s">
        <v>17</v>
      </c>
      <c r="E68" s="366">
        <f t="shared" si="50"/>
        <v>0</v>
      </c>
      <c r="F68" s="58" t="s">
        <v>28</v>
      </c>
      <c r="G68" s="359"/>
      <c r="H68" s="172" t="s">
        <v>28</v>
      </c>
      <c r="I68" s="359"/>
      <c r="J68" s="172" t="s">
        <v>28</v>
      </c>
      <c r="K68" s="359"/>
      <c r="L68" s="172" t="s">
        <v>28</v>
      </c>
      <c r="M68" s="359"/>
      <c r="N68" s="172" t="s">
        <v>28</v>
      </c>
      <c r="O68" s="359"/>
      <c r="P68" s="172" t="s">
        <v>28</v>
      </c>
      <c r="Q68" s="359"/>
      <c r="R68" s="172" t="s">
        <v>28</v>
      </c>
      <c r="S68" s="359"/>
      <c r="T68" s="173" t="s">
        <v>28</v>
      </c>
      <c r="AC68" s="770">
        <v>46</v>
      </c>
      <c r="AD68" s="770"/>
      <c r="AE68" s="769">
        <f t="shared" si="13"/>
        <v>0</v>
      </c>
      <c r="AF68" s="769">
        <f t="shared" si="14"/>
        <v>0</v>
      </c>
      <c r="AG68" s="769">
        <f t="shared" si="15"/>
        <v>0</v>
      </c>
      <c r="AH68" s="769">
        <f t="shared" si="16"/>
        <v>0</v>
      </c>
      <c r="AI68" s="769">
        <f t="shared" si="17"/>
        <v>0</v>
      </c>
      <c r="AJ68" s="769">
        <f t="shared" si="18"/>
        <v>0</v>
      </c>
      <c r="AK68" s="769">
        <f t="shared" si="19"/>
        <v>0</v>
      </c>
      <c r="AL68" s="769">
        <f t="shared" si="20"/>
        <v>0</v>
      </c>
      <c r="AM68" s="767">
        <f t="shared" si="33"/>
        <v>0</v>
      </c>
      <c r="AT68" s="748" t="s">
        <v>2508</v>
      </c>
      <c r="AU68" s="767" t="str">
        <f t="shared" si="34"/>
        <v/>
      </c>
      <c r="AV68" s="767" t="str">
        <f t="shared" si="35"/>
        <v/>
      </c>
      <c r="AW68" s="767" t="str">
        <f t="shared" si="36"/>
        <v/>
      </c>
      <c r="AX68" s="767" t="str">
        <f t="shared" si="37"/>
        <v/>
      </c>
      <c r="AY68" s="767" t="str">
        <f t="shared" si="38"/>
        <v/>
      </c>
      <c r="AZ68" s="767" t="str">
        <f t="shared" si="39"/>
        <v/>
      </c>
      <c r="BA68" s="767" t="str">
        <f t="shared" si="40"/>
        <v/>
      </c>
      <c r="BL68" s="746" t="s">
        <v>2516</v>
      </c>
    </row>
    <row r="69" spans="1:85" ht="15" customHeight="1" x14ac:dyDescent="0.15">
      <c r="A69" s="2947" t="s">
        <v>2333</v>
      </c>
      <c r="B69" s="1426"/>
      <c r="C69" s="66">
        <v>47</v>
      </c>
      <c r="D69" s="59" t="s">
        <v>17</v>
      </c>
      <c r="E69" s="363">
        <f t="shared" si="50"/>
        <v>0</v>
      </c>
      <c r="F69" s="59" t="s">
        <v>28</v>
      </c>
      <c r="G69" s="356"/>
      <c r="H69" s="166" t="s">
        <v>28</v>
      </c>
      <c r="I69" s="356"/>
      <c r="J69" s="166" t="s">
        <v>28</v>
      </c>
      <c r="K69" s="356"/>
      <c r="L69" s="166" t="s">
        <v>28</v>
      </c>
      <c r="M69" s="356"/>
      <c r="N69" s="166" t="s">
        <v>28</v>
      </c>
      <c r="O69" s="356"/>
      <c r="P69" s="166" t="s">
        <v>28</v>
      </c>
      <c r="Q69" s="356"/>
      <c r="R69" s="166" t="s">
        <v>28</v>
      </c>
      <c r="S69" s="356"/>
      <c r="T69" s="167" t="s">
        <v>28</v>
      </c>
      <c r="AC69" s="770">
        <v>47</v>
      </c>
      <c r="AD69" s="770"/>
      <c r="AE69" s="769">
        <f t="shared" si="13"/>
        <v>0</v>
      </c>
      <c r="AF69" s="769">
        <f t="shared" si="14"/>
        <v>0</v>
      </c>
      <c r="AG69" s="769">
        <f t="shared" si="15"/>
        <v>0</v>
      </c>
      <c r="AH69" s="769">
        <f t="shared" si="16"/>
        <v>0</v>
      </c>
      <c r="AI69" s="769">
        <f t="shared" si="17"/>
        <v>0</v>
      </c>
      <c r="AJ69" s="769">
        <f t="shared" si="18"/>
        <v>0</v>
      </c>
      <c r="AK69" s="769">
        <f t="shared" si="19"/>
        <v>0</v>
      </c>
      <c r="AL69" s="769">
        <f t="shared" si="20"/>
        <v>0</v>
      </c>
      <c r="AM69" s="767">
        <f t="shared" si="33"/>
        <v>0</v>
      </c>
      <c r="AT69" s="748" t="s">
        <v>2506</v>
      </c>
      <c r="AU69" s="767" t="str">
        <f t="shared" si="34"/>
        <v/>
      </c>
      <c r="AV69" s="767" t="str">
        <f t="shared" si="35"/>
        <v/>
      </c>
      <c r="AW69" s="767" t="str">
        <f t="shared" si="36"/>
        <v/>
      </c>
      <c r="AX69" s="767" t="str">
        <f t="shared" si="37"/>
        <v/>
      </c>
      <c r="AY69" s="767" t="str">
        <f t="shared" si="38"/>
        <v/>
      </c>
      <c r="AZ69" s="767" t="str">
        <f t="shared" si="39"/>
        <v/>
      </c>
      <c r="BA69" s="767" t="str">
        <f t="shared" si="40"/>
        <v/>
      </c>
      <c r="BM69" s="767" t="b">
        <f>AND(AE81&gt;=3,BM65&gt;100,NOT(BM67))</f>
        <v>0</v>
      </c>
    </row>
    <row r="70" spans="1:85" ht="18.75" x14ac:dyDescent="0.15">
      <c r="A70" s="2947"/>
      <c r="B70" s="1426"/>
      <c r="C70" s="66">
        <v>48</v>
      </c>
      <c r="D70" s="59" t="s">
        <v>17</v>
      </c>
      <c r="E70" s="363">
        <f t="shared" si="50"/>
        <v>0</v>
      </c>
      <c r="F70" s="59" t="s">
        <v>28</v>
      </c>
      <c r="G70" s="356"/>
      <c r="H70" s="166" t="s">
        <v>28</v>
      </c>
      <c r="I70" s="356"/>
      <c r="J70" s="166" t="s">
        <v>28</v>
      </c>
      <c r="K70" s="356"/>
      <c r="L70" s="166" t="s">
        <v>28</v>
      </c>
      <c r="M70" s="356"/>
      <c r="N70" s="166" t="s">
        <v>28</v>
      </c>
      <c r="O70" s="356"/>
      <c r="P70" s="166" t="s">
        <v>28</v>
      </c>
      <c r="Q70" s="356"/>
      <c r="R70" s="166" t="s">
        <v>28</v>
      </c>
      <c r="S70" s="356"/>
      <c r="T70" s="167" t="s">
        <v>28</v>
      </c>
      <c r="AC70" s="770">
        <v>48</v>
      </c>
      <c r="AD70" s="770"/>
      <c r="AE70" s="769">
        <f t="shared" si="13"/>
        <v>0</v>
      </c>
      <c r="AF70" s="769">
        <f t="shared" si="14"/>
        <v>0</v>
      </c>
      <c r="AG70" s="769">
        <f t="shared" si="15"/>
        <v>0</v>
      </c>
      <c r="AH70" s="769">
        <f t="shared" si="16"/>
        <v>0</v>
      </c>
      <c r="AI70" s="769">
        <f t="shared" si="17"/>
        <v>0</v>
      </c>
      <c r="AJ70" s="769">
        <f t="shared" si="18"/>
        <v>0</v>
      </c>
      <c r="AK70" s="769">
        <f t="shared" si="19"/>
        <v>0</v>
      </c>
      <c r="AL70" s="769">
        <f t="shared" si="20"/>
        <v>0</v>
      </c>
      <c r="AM70" s="767">
        <f t="shared" si="33"/>
        <v>0</v>
      </c>
      <c r="AT70" s="748" t="s">
        <v>2504</v>
      </c>
      <c r="AU70" s="767" t="str">
        <f t="shared" si="34"/>
        <v/>
      </c>
      <c r="AV70" s="767" t="str">
        <f t="shared" si="35"/>
        <v/>
      </c>
      <c r="AW70" s="767" t="str">
        <f t="shared" si="36"/>
        <v/>
      </c>
      <c r="AX70" s="767" t="str">
        <f t="shared" si="37"/>
        <v/>
      </c>
      <c r="AY70" s="767" t="str">
        <f t="shared" si="38"/>
        <v/>
      </c>
      <c r="AZ70" s="767" t="str">
        <f t="shared" si="39"/>
        <v/>
      </c>
      <c r="BA70" s="767" t="str">
        <f t="shared" si="40"/>
        <v/>
      </c>
      <c r="BL70" s="746" t="s">
        <v>2513</v>
      </c>
    </row>
    <row r="71" spans="1:85" x14ac:dyDescent="0.15">
      <c r="A71" s="2947"/>
      <c r="C71" s="66">
        <v>49</v>
      </c>
      <c r="D71" s="59" t="s">
        <v>17</v>
      </c>
      <c r="E71" s="363">
        <f t="shared" si="50"/>
        <v>0</v>
      </c>
      <c r="F71" s="59" t="s">
        <v>28</v>
      </c>
      <c r="G71" s="356"/>
      <c r="H71" s="166" t="s">
        <v>28</v>
      </c>
      <c r="I71" s="356"/>
      <c r="J71" s="166" t="s">
        <v>28</v>
      </c>
      <c r="K71" s="356"/>
      <c r="L71" s="166" t="s">
        <v>28</v>
      </c>
      <c r="M71" s="356"/>
      <c r="N71" s="166" t="s">
        <v>28</v>
      </c>
      <c r="O71" s="356"/>
      <c r="P71" s="166" t="s">
        <v>28</v>
      </c>
      <c r="Q71" s="356"/>
      <c r="R71" s="166" t="s">
        <v>28</v>
      </c>
      <c r="S71" s="356"/>
      <c r="T71" s="167" t="s">
        <v>28</v>
      </c>
      <c r="AC71" s="770">
        <v>49</v>
      </c>
      <c r="AD71" s="770"/>
      <c r="AE71" s="769">
        <f t="shared" si="13"/>
        <v>0</v>
      </c>
      <c r="AF71" s="769">
        <f t="shared" si="14"/>
        <v>0</v>
      </c>
      <c r="AG71" s="769">
        <f t="shared" si="15"/>
        <v>0</v>
      </c>
      <c r="AH71" s="769">
        <f t="shared" si="16"/>
        <v>0</v>
      </c>
      <c r="AI71" s="769">
        <f t="shared" si="17"/>
        <v>0</v>
      </c>
      <c r="AJ71" s="769">
        <f t="shared" si="18"/>
        <v>0</v>
      </c>
      <c r="AK71" s="769">
        <f t="shared" si="19"/>
        <v>0</v>
      </c>
      <c r="AL71" s="769">
        <f t="shared" si="20"/>
        <v>0</v>
      </c>
      <c r="AM71" s="767">
        <f t="shared" si="33"/>
        <v>0</v>
      </c>
      <c r="AT71" s="748" t="s">
        <v>2502</v>
      </c>
      <c r="AU71" s="767" t="str">
        <f t="shared" si="34"/>
        <v/>
      </c>
      <c r="AV71" s="767" t="str">
        <f t="shared" si="35"/>
        <v/>
      </c>
      <c r="AW71" s="767" t="str">
        <f t="shared" si="36"/>
        <v/>
      </c>
      <c r="AX71" s="767" t="str">
        <f t="shared" si="37"/>
        <v/>
      </c>
      <c r="AY71" s="767" t="str">
        <f t="shared" si="38"/>
        <v/>
      </c>
      <c r="AZ71" s="767" t="str">
        <f t="shared" si="39"/>
        <v/>
      </c>
      <c r="BA71" s="767" t="str">
        <f t="shared" si="40"/>
        <v/>
      </c>
      <c r="BM71" s="767" t="b">
        <f>SUM(BN71:CC71)&lt;&gt;0</f>
        <v>0</v>
      </c>
      <c r="BN71" s="767">
        <f t="shared" ref="BN71:CC71" si="52">BN59-BN60</f>
        <v>0</v>
      </c>
      <c r="BO71" s="767">
        <f t="shared" si="52"/>
        <v>0</v>
      </c>
      <c r="BP71" s="767">
        <f t="shared" si="52"/>
        <v>0</v>
      </c>
      <c r="BQ71" s="767">
        <f t="shared" si="52"/>
        <v>0</v>
      </c>
      <c r="BR71" s="767">
        <f t="shared" si="52"/>
        <v>0</v>
      </c>
      <c r="BS71" s="767">
        <f t="shared" si="52"/>
        <v>0</v>
      </c>
      <c r="BT71" s="767">
        <f t="shared" si="52"/>
        <v>0</v>
      </c>
      <c r="BU71" s="767">
        <f t="shared" si="52"/>
        <v>0</v>
      </c>
      <c r="BV71" s="767">
        <f t="shared" si="52"/>
        <v>0</v>
      </c>
      <c r="BW71" s="767">
        <f t="shared" si="52"/>
        <v>0</v>
      </c>
      <c r="BX71" s="767">
        <f t="shared" si="52"/>
        <v>0</v>
      </c>
      <c r="BY71" s="767">
        <f t="shared" si="52"/>
        <v>0</v>
      </c>
      <c r="BZ71" s="767">
        <f t="shared" si="52"/>
        <v>0</v>
      </c>
      <c r="CA71" s="767">
        <f t="shared" si="52"/>
        <v>0</v>
      </c>
      <c r="CB71" s="767">
        <f t="shared" si="52"/>
        <v>0</v>
      </c>
      <c r="CC71" s="767">
        <f t="shared" si="52"/>
        <v>0</v>
      </c>
      <c r="CD71" s="748"/>
      <c r="CE71" s="748"/>
    </row>
    <row r="72" spans="1:85" x14ac:dyDescent="0.15">
      <c r="A72" s="9"/>
      <c r="C72" s="67">
        <v>50</v>
      </c>
      <c r="D72" s="60" t="s">
        <v>17</v>
      </c>
      <c r="E72" s="365">
        <f t="shared" si="50"/>
        <v>0</v>
      </c>
      <c r="F72" s="60" t="s">
        <v>28</v>
      </c>
      <c r="G72" s="358"/>
      <c r="H72" s="170" t="s">
        <v>28</v>
      </c>
      <c r="I72" s="358"/>
      <c r="J72" s="170" t="s">
        <v>28</v>
      </c>
      <c r="K72" s="358"/>
      <c r="L72" s="170" t="s">
        <v>28</v>
      </c>
      <c r="M72" s="358"/>
      <c r="N72" s="170" t="s">
        <v>28</v>
      </c>
      <c r="O72" s="358"/>
      <c r="P72" s="170" t="s">
        <v>28</v>
      </c>
      <c r="Q72" s="358"/>
      <c r="R72" s="170" t="s">
        <v>28</v>
      </c>
      <c r="S72" s="358"/>
      <c r="T72" s="171" t="s">
        <v>28</v>
      </c>
      <c r="AC72" s="770">
        <v>50</v>
      </c>
      <c r="AD72" s="770"/>
      <c r="AE72" s="769">
        <f t="shared" si="13"/>
        <v>0</v>
      </c>
      <c r="AF72" s="769">
        <f t="shared" si="14"/>
        <v>0</v>
      </c>
      <c r="AG72" s="769">
        <f t="shared" si="15"/>
        <v>0</v>
      </c>
      <c r="AH72" s="769">
        <f t="shared" si="16"/>
        <v>0</v>
      </c>
      <c r="AI72" s="769">
        <f t="shared" si="17"/>
        <v>0</v>
      </c>
      <c r="AJ72" s="769">
        <f t="shared" si="18"/>
        <v>0</v>
      </c>
      <c r="AK72" s="769">
        <f t="shared" si="19"/>
        <v>0</v>
      </c>
      <c r="AL72" s="769">
        <f t="shared" si="20"/>
        <v>0</v>
      </c>
      <c r="AM72" s="767">
        <f t="shared" si="33"/>
        <v>0</v>
      </c>
      <c r="AT72" s="748" t="s">
        <v>2500</v>
      </c>
      <c r="AU72" s="767" t="str">
        <f t="shared" si="34"/>
        <v/>
      </c>
      <c r="AV72" s="767" t="str">
        <f t="shared" si="35"/>
        <v/>
      </c>
      <c r="AW72" s="767" t="str">
        <f t="shared" si="36"/>
        <v/>
      </c>
      <c r="AX72" s="767" t="str">
        <f t="shared" si="37"/>
        <v/>
      </c>
      <c r="AY72" s="767" t="str">
        <f t="shared" si="38"/>
        <v/>
      </c>
      <c r="AZ72" s="767" t="str">
        <f t="shared" si="39"/>
        <v/>
      </c>
      <c r="BA72" s="767" t="str">
        <f t="shared" si="40"/>
        <v/>
      </c>
      <c r="BL72" s="746" t="s">
        <v>2498</v>
      </c>
    </row>
    <row r="73" spans="1:85" x14ac:dyDescent="0.15">
      <c r="A73" s="428" t="s">
        <v>2415</v>
      </c>
      <c r="B73" s="429"/>
      <c r="AT73" s="768" t="s">
        <v>2499</v>
      </c>
      <c r="AU73" s="767" t="str">
        <f t="shared" ref="AU73:BA76" si="53">IF(AF18=0,AU72,AU72&amp;$AT73)</f>
        <v/>
      </c>
      <c r="AV73" s="767" t="str">
        <f t="shared" si="53"/>
        <v/>
      </c>
      <c r="AW73" s="767" t="str">
        <f t="shared" si="53"/>
        <v/>
      </c>
      <c r="AX73" s="767" t="str">
        <f t="shared" si="53"/>
        <v/>
      </c>
      <c r="AY73" s="767" t="str">
        <f t="shared" si="53"/>
        <v/>
      </c>
      <c r="AZ73" s="767" t="str">
        <f t="shared" si="53"/>
        <v/>
      </c>
      <c r="BA73" s="767" t="str">
        <f t="shared" si="53"/>
        <v/>
      </c>
      <c r="BN73" s="767" t="b">
        <f>AP11="1階以外"</f>
        <v>0</v>
      </c>
      <c r="BO73" s="748" t="b">
        <v>0</v>
      </c>
      <c r="BP73" s="748" t="b">
        <v>0</v>
      </c>
      <c r="BQ73" s="748" t="b">
        <v>0</v>
      </c>
      <c r="BR73" s="748" t="b">
        <v>0</v>
      </c>
      <c r="BS73" s="748" t="b">
        <v>0</v>
      </c>
      <c r="BT73" s="748" t="b">
        <v>0</v>
      </c>
      <c r="BU73" s="748" t="b">
        <v>0</v>
      </c>
      <c r="BV73" s="748" t="b">
        <v>0</v>
      </c>
      <c r="BW73" s="748" t="b">
        <v>0</v>
      </c>
      <c r="BX73" s="748" t="b">
        <v>0</v>
      </c>
      <c r="BY73" s="748" t="b">
        <v>0</v>
      </c>
      <c r="BZ73" s="748" t="b">
        <v>0</v>
      </c>
      <c r="CA73" s="748" t="b">
        <v>0</v>
      </c>
      <c r="CB73" s="748" t="b">
        <v>0</v>
      </c>
      <c r="CC73" s="748" t="b">
        <v>0</v>
      </c>
      <c r="CD73" s="748"/>
      <c r="CE73" s="748"/>
    </row>
    <row r="74" spans="1:85" x14ac:dyDescent="0.15">
      <c r="A74" s="428" t="s">
        <v>2419</v>
      </c>
      <c r="B74" s="429"/>
      <c r="AC74" s="746" t="s">
        <v>2497</v>
      </c>
      <c r="AT74" s="768" t="s">
        <v>2496</v>
      </c>
      <c r="AU74" s="767" t="str">
        <f t="shared" si="53"/>
        <v/>
      </c>
      <c r="AV74" s="767" t="str">
        <f t="shared" si="53"/>
        <v/>
      </c>
      <c r="AW74" s="767" t="str">
        <f t="shared" si="53"/>
        <v/>
      </c>
      <c r="AX74" s="767" t="str">
        <f t="shared" si="53"/>
        <v/>
      </c>
      <c r="AY74" s="767" t="str">
        <f t="shared" si="53"/>
        <v/>
      </c>
      <c r="AZ74" s="767" t="str">
        <f t="shared" si="53"/>
        <v/>
      </c>
      <c r="BA74" s="767" t="str">
        <f t="shared" si="53"/>
        <v/>
      </c>
      <c r="BL74" s="746" t="s">
        <v>2501</v>
      </c>
    </row>
    <row r="75" spans="1:85" x14ac:dyDescent="0.15">
      <c r="A75" s="428"/>
      <c r="B75" s="429"/>
      <c r="AC75" s="746" t="s">
        <v>2495</v>
      </c>
      <c r="AF75" s="777">
        <f t="shared" ref="AF75:AL75" si="54">SUM(AF15:AF17)</f>
        <v>0</v>
      </c>
      <c r="AG75" s="777">
        <f t="shared" si="54"/>
        <v>0</v>
      </c>
      <c r="AH75" s="777">
        <f t="shared" si="54"/>
        <v>0</v>
      </c>
      <c r="AI75" s="777">
        <f t="shared" si="54"/>
        <v>0</v>
      </c>
      <c r="AJ75" s="777">
        <f t="shared" si="54"/>
        <v>0</v>
      </c>
      <c r="AK75" s="777">
        <f t="shared" si="54"/>
        <v>0</v>
      </c>
      <c r="AL75" s="777">
        <f t="shared" si="54"/>
        <v>0</v>
      </c>
      <c r="AT75" s="768" t="s">
        <v>2494</v>
      </c>
      <c r="AU75" s="767" t="str">
        <f>IF(AF20=0,AU74,AU74&amp;$AT75)</f>
        <v/>
      </c>
      <c r="AV75" s="767" t="str">
        <f t="shared" si="53"/>
        <v/>
      </c>
      <c r="AW75" s="767" t="str">
        <f t="shared" si="53"/>
        <v/>
      </c>
      <c r="AX75" s="767" t="str">
        <f t="shared" si="53"/>
        <v/>
      </c>
      <c r="AY75" s="767" t="str">
        <f t="shared" si="53"/>
        <v/>
      </c>
      <c r="AZ75" s="767" t="str">
        <f t="shared" si="53"/>
        <v/>
      </c>
      <c r="BA75" s="767" t="str">
        <f t="shared" si="53"/>
        <v/>
      </c>
      <c r="BN75" s="767" t="b">
        <f>AQ11="200㎡以上"</f>
        <v>0</v>
      </c>
      <c r="BO75" s="748" t="b">
        <v>0</v>
      </c>
      <c r="BP75" s="748" t="b">
        <v>0</v>
      </c>
      <c r="BQ75" s="748" t="b">
        <v>0</v>
      </c>
      <c r="BR75" s="748" t="b">
        <v>0</v>
      </c>
      <c r="BS75" s="748" t="b">
        <v>0</v>
      </c>
      <c r="BT75" s="748" t="b">
        <v>0</v>
      </c>
      <c r="BU75" s="748" t="b">
        <v>0</v>
      </c>
      <c r="BV75" s="748" t="b">
        <v>0</v>
      </c>
      <c r="BW75" s="748" t="b">
        <v>0</v>
      </c>
      <c r="BX75" s="748" t="b">
        <v>0</v>
      </c>
      <c r="BY75" s="748" t="b">
        <v>0</v>
      </c>
      <c r="BZ75" s="748" t="b">
        <v>0</v>
      </c>
      <c r="CA75" s="748" t="b">
        <v>0</v>
      </c>
      <c r="CB75" s="748" t="b">
        <v>0</v>
      </c>
      <c r="CC75" s="748" t="b">
        <v>0</v>
      </c>
      <c r="CD75" s="748"/>
      <c r="CE75" s="748"/>
    </row>
    <row r="76" spans="1:85" x14ac:dyDescent="0.15">
      <c r="A76" s="428" t="s">
        <v>2421</v>
      </c>
      <c r="B76" s="429"/>
      <c r="AC76" s="746" t="s">
        <v>2492</v>
      </c>
      <c r="AF76" s="778">
        <f t="shared" ref="AF76:AL76" si="55">AF14</f>
        <v>0</v>
      </c>
      <c r="AG76" s="778">
        <f t="shared" si="55"/>
        <v>0</v>
      </c>
      <c r="AH76" s="778">
        <f t="shared" si="55"/>
        <v>0</v>
      </c>
      <c r="AI76" s="778">
        <f t="shared" si="55"/>
        <v>0</v>
      </c>
      <c r="AJ76" s="778">
        <f t="shared" si="55"/>
        <v>0</v>
      </c>
      <c r="AK76" s="778">
        <f t="shared" si="55"/>
        <v>0</v>
      </c>
      <c r="AL76" s="778">
        <f t="shared" si="55"/>
        <v>0</v>
      </c>
      <c r="AT76" s="768" t="s">
        <v>2491</v>
      </c>
      <c r="AU76" s="767" t="str">
        <f>IF(AF21=0,AU75,AU75&amp;$AT76)</f>
        <v/>
      </c>
      <c r="AV76" s="767" t="str">
        <f t="shared" si="53"/>
        <v/>
      </c>
      <c r="AW76" s="767" t="str">
        <f t="shared" si="53"/>
        <v/>
      </c>
      <c r="AX76" s="767" t="str">
        <f t="shared" si="53"/>
        <v/>
      </c>
      <c r="AY76" s="767" t="str">
        <f t="shared" si="53"/>
        <v/>
      </c>
      <c r="AZ76" s="767" t="str">
        <f t="shared" si="53"/>
        <v/>
      </c>
      <c r="BA76" s="767" t="str">
        <f t="shared" si="53"/>
        <v/>
      </c>
    </row>
    <row r="77" spans="1:85" x14ac:dyDescent="0.15">
      <c r="A77" s="428" t="s">
        <v>2413</v>
      </c>
      <c r="B77" s="429"/>
      <c r="AC77" s="746" t="s">
        <v>2490</v>
      </c>
      <c r="AF77" s="778">
        <f t="shared" ref="AF77:AL77" si="56">AF23+IF(SUM($AE$23:$AE$72)=0,AF18,0)</f>
        <v>0</v>
      </c>
      <c r="AG77" s="778">
        <f t="shared" si="56"/>
        <v>0</v>
      </c>
      <c r="AH77" s="778">
        <f t="shared" si="56"/>
        <v>0</v>
      </c>
      <c r="AI77" s="778">
        <f t="shared" si="56"/>
        <v>0</v>
      </c>
      <c r="AJ77" s="778">
        <f t="shared" si="56"/>
        <v>0</v>
      </c>
      <c r="AK77" s="778">
        <f t="shared" si="56"/>
        <v>0</v>
      </c>
      <c r="AL77" s="778">
        <f t="shared" si="56"/>
        <v>0</v>
      </c>
      <c r="AT77" s="768" t="s">
        <v>2489</v>
      </c>
      <c r="AU77" s="779" t="str">
        <f>IF(AF22=0,AU76,AU76&amp;$AT77)</f>
        <v/>
      </c>
      <c r="AV77" s="779" t="str">
        <f t="shared" ref="AV77:BA77" si="57">IF(AG22=0,AV76,AV76&amp;$AT77)</f>
        <v/>
      </c>
      <c r="AW77" s="779" t="str">
        <f t="shared" si="57"/>
        <v/>
      </c>
      <c r="AX77" s="779" t="str">
        <f t="shared" si="57"/>
        <v/>
      </c>
      <c r="AY77" s="779" t="str">
        <f t="shared" si="57"/>
        <v/>
      </c>
      <c r="AZ77" s="779" t="str">
        <f t="shared" si="57"/>
        <v/>
      </c>
      <c r="BA77" s="779" t="str">
        <f t="shared" si="57"/>
        <v/>
      </c>
      <c r="BL77" s="746" t="s">
        <v>2639</v>
      </c>
    </row>
    <row r="78" spans="1:85" x14ac:dyDescent="0.15">
      <c r="A78" s="428" t="s">
        <v>2414</v>
      </c>
      <c r="B78" s="429"/>
      <c r="AC78" s="746" t="s">
        <v>2488</v>
      </c>
      <c r="AF78" s="778">
        <f t="shared" ref="AF78:AL78" si="58">AF24+IF(SUM($AE$23:$AE$72)=0,AF19,IF(SUM($AE$24:$AE$72)=0,AF18,0))</f>
        <v>0</v>
      </c>
      <c r="AG78" s="778">
        <f t="shared" si="58"/>
        <v>0</v>
      </c>
      <c r="AH78" s="778">
        <f t="shared" si="58"/>
        <v>0</v>
      </c>
      <c r="AI78" s="778">
        <f t="shared" si="58"/>
        <v>0</v>
      </c>
      <c r="AJ78" s="778">
        <f t="shared" si="58"/>
        <v>0</v>
      </c>
      <c r="AK78" s="778">
        <f t="shared" si="58"/>
        <v>0</v>
      </c>
      <c r="AL78" s="778">
        <f t="shared" si="58"/>
        <v>0</v>
      </c>
      <c r="AT78" s="749"/>
      <c r="AU78" s="749"/>
      <c r="AV78" s="749"/>
      <c r="AW78" s="749"/>
      <c r="AX78" s="749"/>
      <c r="AY78" s="749"/>
      <c r="AZ78" s="749"/>
      <c r="BA78" s="749"/>
      <c r="BN78" s="775">
        <v>1</v>
      </c>
      <c r="BO78" s="775">
        <v>1</v>
      </c>
      <c r="BP78" s="775">
        <v>2</v>
      </c>
      <c r="BQ78" s="775">
        <v>3</v>
      </c>
      <c r="BR78" s="775">
        <v>4</v>
      </c>
      <c r="BS78" s="775">
        <v>5</v>
      </c>
      <c r="BT78" s="775">
        <v>6</v>
      </c>
      <c r="BU78" s="775">
        <v>7</v>
      </c>
      <c r="BV78" s="775">
        <v>8</v>
      </c>
      <c r="BW78" s="775">
        <v>9</v>
      </c>
      <c r="BX78" s="775">
        <v>9</v>
      </c>
      <c r="BY78" s="775">
        <v>9</v>
      </c>
      <c r="BZ78" s="775">
        <v>10</v>
      </c>
      <c r="CA78" s="775">
        <v>10</v>
      </c>
      <c r="CB78" s="775">
        <v>11</v>
      </c>
      <c r="CC78" s="775">
        <v>11</v>
      </c>
      <c r="CD78" s="775"/>
      <c r="CE78" s="775"/>
    </row>
    <row r="79" spans="1:85" x14ac:dyDescent="0.15">
      <c r="A79" s="428" t="s">
        <v>2422</v>
      </c>
      <c r="B79" s="429"/>
      <c r="AC79" s="746" t="s">
        <v>2486</v>
      </c>
      <c r="AF79" s="780">
        <f t="shared" ref="AF79:AL79" si="59">SUM(AF25:AF72)+IF(SUM($AE$23:$AE$72)=0,SUM(AF20:AF22),IF(SUM($AE$24:$AE$72)=0,SUM(AF19:AF22),SUM(AF18:AF22)))</f>
        <v>0</v>
      </c>
      <c r="AG79" s="780">
        <f t="shared" si="59"/>
        <v>0</v>
      </c>
      <c r="AH79" s="780">
        <f t="shared" si="59"/>
        <v>0</v>
      </c>
      <c r="AI79" s="780">
        <f t="shared" si="59"/>
        <v>0</v>
      </c>
      <c r="AJ79" s="780">
        <f t="shared" si="59"/>
        <v>0</v>
      </c>
      <c r="AK79" s="780">
        <f t="shared" si="59"/>
        <v>0</v>
      </c>
      <c r="AL79" s="780">
        <f t="shared" si="59"/>
        <v>0</v>
      </c>
      <c r="AT79" s="749"/>
      <c r="AU79" s="749"/>
      <c r="AV79" s="749"/>
      <c r="AW79" s="749"/>
      <c r="AX79" s="749"/>
      <c r="AY79" s="749"/>
      <c r="AZ79" s="749"/>
      <c r="BA79" s="749"/>
      <c r="BN79" s="441" t="b">
        <f t="shared" ref="BN79:CC79" si="60">SUMPRODUCT(MAX($BN$59:$CE$59*($BN78:$CE78=BN78)))=BN$59</f>
        <v>1</v>
      </c>
      <c r="BO79" s="441" t="b">
        <f t="shared" si="60"/>
        <v>1</v>
      </c>
      <c r="BP79" s="441" t="b">
        <f t="shared" si="60"/>
        <v>1</v>
      </c>
      <c r="BQ79" s="441" t="b">
        <f t="shared" si="60"/>
        <v>1</v>
      </c>
      <c r="BR79" s="441" t="b">
        <f t="shared" si="60"/>
        <v>1</v>
      </c>
      <c r="BS79" s="441" t="b">
        <f t="shared" si="60"/>
        <v>1</v>
      </c>
      <c r="BT79" s="441" t="b">
        <f t="shared" si="60"/>
        <v>1</v>
      </c>
      <c r="BU79" s="441" t="b">
        <f t="shared" si="60"/>
        <v>1</v>
      </c>
      <c r="BV79" s="441" t="b">
        <f t="shared" si="60"/>
        <v>1</v>
      </c>
      <c r="BW79" s="441" t="b">
        <f t="shared" si="60"/>
        <v>1</v>
      </c>
      <c r="BX79" s="441" t="b">
        <f t="shared" si="60"/>
        <v>1</v>
      </c>
      <c r="BY79" s="441" t="b">
        <f t="shared" si="60"/>
        <v>1</v>
      </c>
      <c r="BZ79" s="441" t="b">
        <f t="shared" si="60"/>
        <v>1</v>
      </c>
      <c r="CA79" s="441" t="b">
        <f t="shared" si="60"/>
        <v>1</v>
      </c>
      <c r="CB79" s="441" t="b">
        <f t="shared" si="60"/>
        <v>1</v>
      </c>
      <c r="CC79" s="441" t="b">
        <f t="shared" si="60"/>
        <v>1</v>
      </c>
      <c r="CD79" s="775"/>
      <c r="CE79" s="775"/>
    </row>
    <row r="80" spans="1:85" x14ac:dyDescent="0.15">
      <c r="A80" s="428" t="s">
        <v>2416</v>
      </c>
      <c r="B80" s="429"/>
      <c r="AT80" s="749"/>
      <c r="AU80" s="749"/>
      <c r="AV80" s="749"/>
      <c r="AW80" s="749"/>
      <c r="AX80" s="749"/>
      <c r="AY80" s="749"/>
      <c r="AZ80" s="749"/>
      <c r="BA80" s="749"/>
      <c r="BN80" s="441">
        <f>BN78*BN79</f>
        <v>1</v>
      </c>
      <c r="BO80" s="441">
        <f t="shared" ref="BO80:CC80" si="61">BO78*BO79</f>
        <v>1</v>
      </c>
      <c r="BP80" s="441">
        <f t="shared" si="61"/>
        <v>2</v>
      </c>
      <c r="BQ80" s="441">
        <f t="shared" si="61"/>
        <v>3</v>
      </c>
      <c r="BR80" s="441">
        <f t="shared" si="61"/>
        <v>4</v>
      </c>
      <c r="BS80" s="441">
        <f t="shared" si="61"/>
        <v>5</v>
      </c>
      <c r="BT80" s="441">
        <f t="shared" si="61"/>
        <v>6</v>
      </c>
      <c r="BU80" s="441">
        <f t="shared" si="61"/>
        <v>7</v>
      </c>
      <c r="BV80" s="441">
        <f t="shared" si="61"/>
        <v>8</v>
      </c>
      <c r="BW80" s="441">
        <f t="shared" si="61"/>
        <v>9</v>
      </c>
      <c r="BX80" s="441">
        <f t="shared" si="61"/>
        <v>9</v>
      </c>
      <c r="BY80" s="441">
        <f t="shared" si="61"/>
        <v>9</v>
      </c>
      <c r="BZ80" s="441">
        <f t="shared" si="61"/>
        <v>10</v>
      </c>
      <c r="CA80" s="441">
        <f t="shared" si="61"/>
        <v>10</v>
      </c>
      <c r="CB80" s="441">
        <f t="shared" si="61"/>
        <v>11</v>
      </c>
      <c r="CC80" s="441">
        <f t="shared" si="61"/>
        <v>11</v>
      </c>
      <c r="CD80" s="775"/>
      <c r="CE80" s="775"/>
    </row>
    <row r="81" spans="1:85" x14ac:dyDescent="0.15">
      <c r="A81" s="428"/>
      <c r="B81" s="429"/>
      <c r="AC81" s="746" t="s">
        <v>2484</v>
      </c>
      <c r="AE81" s="767">
        <f>COUNTIF(AE14:AE72,"&lt;&gt;0")</f>
        <v>0</v>
      </c>
      <c r="BN81" s="781" t="b">
        <f t="shared" ref="BN81:CC81" si="62">AND(BN79,MATCH(BN78*BN79,$BN80:$CE80,0)=BN$1)</f>
        <v>1</v>
      </c>
      <c r="BO81" s="781" t="b">
        <f t="shared" si="62"/>
        <v>0</v>
      </c>
      <c r="BP81" s="781" t="b">
        <f t="shared" si="62"/>
        <v>1</v>
      </c>
      <c r="BQ81" s="781" t="b">
        <f t="shared" si="62"/>
        <v>1</v>
      </c>
      <c r="BR81" s="781" t="b">
        <f t="shared" si="62"/>
        <v>1</v>
      </c>
      <c r="BS81" s="781" t="b">
        <f t="shared" si="62"/>
        <v>1</v>
      </c>
      <c r="BT81" s="781" t="b">
        <f t="shared" si="62"/>
        <v>1</v>
      </c>
      <c r="BU81" s="781" t="b">
        <f t="shared" si="62"/>
        <v>1</v>
      </c>
      <c r="BV81" s="781" t="b">
        <f t="shared" si="62"/>
        <v>1</v>
      </c>
      <c r="BW81" s="781" t="b">
        <f t="shared" si="62"/>
        <v>1</v>
      </c>
      <c r="BX81" s="781" t="b">
        <f t="shared" si="62"/>
        <v>0</v>
      </c>
      <c r="BY81" s="781" t="b">
        <f t="shared" si="62"/>
        <v>0</v>
      </c>
      <c r="BZ81" s="781" t="b">
        <f t="shared" si="62"/>
        <v>1</v>
      </c>
      <c r="CA81" s="781" t="b">
        <f t="shared" si="62"/>
        <v>0</v>
      </c>
      <c r="CB81" s="781" t="b">
        <f t="shared" si="62"/>
        <v>1</v>
      </c>
      <c r="CC81" s="781" t="b">
        <f t="shared" si="62"/>
        <v>0</v>
      </c>
      <c r="CD81" s="775"/>
      <c r="CE81" s="775"/>
    </row>
    <row r="82" spans="1:85" x14ac:dyDescent="0.15">
      <c r="A82" s="428" t="s">
        <v>2420</v>
      </c>
      <c r="B82" s="429"/>
      <c r="AC82" s="746" t="s">
        <v>2483</v>
      </c>
      <c r="AE82" s="767" t="str">
        <f>IF(COUNTIF(AF82:AL82,"1階以外")&gt;0,"1階以外",IF(COUNTIF(AF82:AL82,"1階")&gt;0,"1階",""))</f>
        <v/>
      </c>
      <c r="AF82" s="767" t="str">
        <f t="shared" ref="AF82:AL82" si="63">IF(AF11&lt;&gt;$BN$2,"",IF(MAX(AF14:AF72)&gt;AF23,"1階以外","1階"))</f>
        <v/>
      </c>
      <c r="AG82" s="767" t="str">
        <f t="shared" si="63"/>
        <v/>
      </c>
      <c r="AH82" s="767" t="str">
        <f t="shared" si="63"/>
        <v/>
      </c>
      <c r="AI82" s="767" t="str">
        <f t="shared" si="63"/>
        <v/>
      </c>
      <c r="AJ82" s="767" t="str">
        <f t="shared" si="63"/>
        <v/>
      </c>
      <c r="AK82" s="767" t="str">
        <f t="shared" si="63"/>
        <v/>
      </c>
      <c r="AL82" s="767" t="str">
        <f t="shared" si="63"/>
        <v/>
      </c>
      <c r="BL82" s="746" t="s">
        <v>2635</v>
      </c>
      <c r="BM82" s="782"/>
      <c r="BN82" s="782"/>
      <c r="BO82" s="782"/>
      <c r="BP82" s="782"/>
      <c r="BQ82" s="782"/>
      <c r="BR82" s="782"/>
      <c r="BS82" s="782"/>
      <c r="BT82" s="782"/>
      <c r="BU82" s="782"/>
      <c r="BV82" s="782"/>
      <c r="BW82" s="782"/>
      <c r="BX82" s="782"/>
      <c r="BY82" s="782"/>
      <c r="BZ82" s="782"/>
      <c r="CA82" s="782"/>
      <c r="CB82" s="782"/>
      <c r="CC82" s="782"/>
      <c r="CD82" s="782"/>
      <c r="CE82" s="782"/>
      <c r="CF82" s="782"/>
      <c r="CG82" s="782"/>
    </row>
    <row r="83" spans="1:85" x14ac:dyDescent="0.15">
      <c r="A83" s="428" t="s">
        <v>2412</v>
      </c>
      <c r="B83" s="429"/>
      <c r="AD83" s="783" t="str">
        <f>'1_入力シート【基本情報】'!$EB$198</f>
        <v/>
      </c>
      <c r="BM83" s="782" t="s">
        <v>2509</v>
      </c>
      <c r="BN83" s="784">
        <f t="shared" ref="BN83:CC83" si="64">SUMPRODUCT(($BN$78:$CE$78=BN$78)*$BN56:$CE56)*BN$81</f>
        <v>0</v>
      </c>
      <c r="BO83" s="784">
        <f t="shared" si="64"/>
        <v>0</v>
      </c>
      <c r="BP83" s="784">
        <f t="shared" si="64"/>
        <v>0</v>
      </c>
      <c r="BQ83" s="784">
        <f t="shared" si="64"/>
        <v>0</v>
      </c>
      <c r="BR83" s="784">
        <f t="shared" si="64"/>
        <v>0</v>
      </c>
      <c r="BS83" s="784">
        <f t="shared" si="64"/>
        <v>0</v>
      </c>
      <c r="BT83" s="784">
        <f t="shared" si="64"/>
        <v>0</v>
      </c>
      <c r="BU83" s="784">
        <f t="shared" si="64"/>
        <v>0</v>
      </c>
      <c r="BV83" s="784">
        <f t="shared" si="64"/>
        <v>0</v>
      </c>
      <c r="BW83" s="784">
        <f t="shared" si="64"/>
        <v>0</v>
      </c>
      <c r="BX83" s="784">
        <f t="shared" si="64"/>
        <v>0</v>
      </c>
      <c r="BY83" s="784">
        <f t="shared" si="64"/>
        <v>0</v>
      </c>
      <c r="BZ83" s="784">
        <f t="shared" si="64"/>
        <v>0</v>
      </c>
      <c r="CA83" s="784">
        <f t="shared" si="64"/>
        <v>0</v>
      </c>
      <c r="CB83" s="784">
        <f t="shared" si="64"/>
        <v>0</v>
      </c>
      <c r="CC83" s="784">
        <f t="shared" si="64"/>
        <v>0</v>
      </c>
      <c r="CD83" s="775"/>
      <c r="CE83" s="775"/>
      <c r="CF83" s="782"/>
      <c r="CG83" s="782"/>
    </row>
    <row r="84" spans="1:85" x14ac:dyDescent="0.15">
      <c r="A84" s="428" t="s">
        <v>2423</v>
      </c>
      <c r="B84" s="429"/>
      <c r="AC84" s="746" t="s">
        <v>2482</v>
      </c>
      <c r="AE84" s="767" t="str">
        <f>IF(AD83=0,"",IF(AD83&lt;=DATE(1981,5,31),"旧耐震","新耐震"))</f>
        <v>新耐震</v>
      </c>
      <c r="BM84" s="782" t="s">
        <v>2507</v>
      </c>
      <c r="BN84" s="784">
        <f t="shared" ref="BN84:CC84" si="65">SUMPRODUCT(($BN$78:$CE$78=BN$78)*$BN57:$CE57)*BN$81</f>
        <v>0</v>
      </c>
      <c r="BO84" s="784">
        <f t="shared" si="65"/>
        <v>0</v>
      </c>
      <c r="BP84" s="784">
        <f t="shared" si="65"/>
        <v>0</v>
      </c>
      <c r="BQ84" s="784">
        <f t="shared" si="65"/>
        <v>0</v>
      </c>
      <c r="BR84" s="784">
        <f t="shared" si="65"/>
        <v>0</v>
      </c>
      <c r="BS84" s="784">
        <f t="shared" si="65"/>
        <v>0</v>
      </c>
      <c r="BT84" s="784">
        <f t="shared" si="65"/>
        <v>0</v>
      </c>
      <c r="BU84" s="784">
        <f t="shared" si="65"/>
        <v>0</v>
      </c>
      <c r="BV84" s="784">
        <f t="shared" si="65"/>
        <v>0</v>
      </c>
      <c r="BW84" s="784">
        <f t="shared" si="65"/>
        <v>0</v>
      </c>
      <c r="BX84" s="784">
        <f t="shared" si="65"/>
        <v>0</v>
      </c>
      <c r="BY84" s="784">
        <f t="shared" si="65"/>
        <v>0</v>
      </c>
      <c r="BZ84" s="784">
        <f t="shared" si="65"/>
        <v>0</v>
      </c>
      <c r="CA84" s="784">
        <f t="shared" si="65"/>
        <v>0</v>
      </c>
      <c r="CB84" s="784">
        <f t="shared" si="65"/>
        <v>0</v>
      </c>
      <c r="CC84" s="784">
        <f t="shared" si="65"/>
        <v>0</v>
      </c>
      <c r="CD84" s="775"/>
      <c r="CE84" s="775"/>
      <c r="CF84" s="782"/>
      <c r="CG84" s="782"/>
    </row>
    <row r="85" spans="1:85" x14ac:dyDescent="0.15">
      <c r="A85" s="428" t="s">
        <v>2417</v>
      </c>
      <c r="B85" s="427"/>
      <c r="AC85" s="746" t="s">
        <v>2481</v>
      </c>
      <c r="AM85" s="767" t="b">
        <f>SUM(AM14:AM72)&gt;=5</f>
        <v>0</v>
      </c>
      <c r="BM85" s="782" t="s">
        <v>2505</v>
      </c>
      <c r="BN85" s="784">
        <f t="shared" ref="BN85:CC85" si="66">SUMPRODUCT(($BN$78:$CE$78=BN$78)*$BN58:$CE58)*BN$81</f>
        <v>0</v>
      </c>
      <c r="BO85" s="784">
        <f t="shared" si="66"/>
        <v>0</v>
      </c>
      <c r="BP85" s="784">
        <f t="shared" si="66"/>
        <v>0</v>
      </c>
      <c r="BQ85" s="784">
        <f t="shared" si="66"/>
        <v>0</v>
      </c>
      <c r="BR85" s="784">
        <f t="shared" si="66"/>
        <v>0</v>
      </c>
      <c r="BS85" s="784">
        <f t="shared" si="66"/>
        <v>0</v>
      </c>
      <c r="BT85" s="784">
        <f t="shared" si="66"/>
        <v>0</v>
      </c>
      <c r="BU85" s="784">
        <f t="shared" si="66"/>
        <v>0</v>
      </c>
      <c r="BV85" s="784">
        <f t="shared" si="66"/>
        <v>0</v>
      </c>
      <c r="BW85" s="784">
        <f t="shared" si="66"/>
        <v>0</v>
      </c>
      <c r="BX85" s="784">
        <f t="shared" si="66"/>
        <v>0</v>
      </c>
      <c r="BY85" s="784">
        <f t="shared" si="66"/>
        <v>0</v>
      </c>
      <c r="BZ85" s="784">
        <f t="shared" si="66"/>
        <v>0</v>
      </c>
      <c r="CA85" s="784">
        <f t="shared" si="66"/>
        <v>0</v>
      </c>
      <c r="CB85" s="784">
        <f t="shared" si="66"/>
        <v>0</v>
      </c>
      <c r="CC85" s="784">
        <f t="shared" si="66"/>
        <v>0</v>
      </c>
      <c r="CD85" s="775"/>
      <c r="CE85" s="775"/>
      <c r="CF85" s="782"/>
      <c r="CG85" s="782"/>
    </row>
    <row r="86" spans="1:85" x14ac:dyDescent="0.15">
      <c r="A86" s="428" t="s">
        <v>2418</v>
      </c>
      <c r="B86" s="427"/>
      <c r="BM86" s="782" t="s">
        <v>2503</v>
      </c>
      <c r="BN86" s="784">
        <f t="shared" ref="BN86:CC86" si="67">SUMPRODUCT(($BN$78:$CE$78=BN$78)*$BN59:$CE59)*BN$81</f>
        <v>0</v>
      </c>
      <c r="BO86" s="784">
        <f t="shared" si="67"/>
        <v>0</v>
      </c>
      <c r="BP86" s="784">
        <f t="shared" si="67"/>
        <v>0</v>
      </c>
      <c r="BQ86" s="784">
        <f t="shared" si="67"/>
        <v>0</v>
      </c>
      <c r="BR86" s="784">
        <f t="shared" si="67"/>
        <v>0</v>
      </c>
      <c r="BS86" s="784">
        <f t="shared" si="67"/>
        <v>0</v>
      </c>
      <c r="BT86" s="784">
        <f t="shared" si="67"/>
        <v>0</v>
      </c>
      <c r="BU86" s="784">
        <f t="shared" si="67"/>
        <v>0</v>
      </c>
      <c r="BV86" s="784">
        <f t="shared" si="67"/>
        <v>0</v>
      </c>
      <c r="BW86" s="784">
        <f t="shared" si="67"/>
        <v>0</v>
      </c>
      <c r="BX86" s="784">
        <f t="shared" si="67"/>
        <v>0</v>
      </c>
      <c r="BY86" s="784">
        <f t="shared" si="67"/>
        <v>0</v>
      </c>
      <c r="BZ86" s="784">
        <f t="shared" si="67"/>
        <v>0</v>
      </c>
      <c r="CA86" s="784">
        <f t="shared" si="67"/>
        <v>0</v>
      </c>
      <c r="CB86" s="784">
        <f t="shared" si="67"/>
        <v>0</v>
      </c>
      <c r="CC86" s="784">
        <f t="shared" si="67"/>
        <v>0</v>
      </c>
      <c r="CD86" s="775"/>
      <c r="CE86" s="775"/>
      <c r="CF86" s="782"/>
      <c r="CG86" s="782"/>
    </row>
    <row r="87" spans="1:85" x14ac:dyDescent="0.15">
      <c r="A87" s="149"/>
      <c r="BL87" s="746" t="s">
        <v>2637</v>
      </c>
      <c r="BM87" s="782"/>
      <c r="BN87" s="782"/>
      <c r="BO87" s="782"/>
      <c r="BP87" s="782"/>
      <c r="BQ87" s="782"/>
      <c r="BR87" s="782"/>
      <c r="BS87" s="782"/>
      <c r="BT87" s="782"/>
      <c r="BU87" s="782"/>
      <c r="BV87" s="782"/>
      <c r="BW87" s="782"/>
      <c r="BX87" s="782"/>
      <c r="BY87" s="782"/>
      <c r="BZ87" s="782"/>
      <c r="CA87" s="782"/>
      <c r="CB87" s="782"/>
      <c r="CC87" s="782"/>
      <c r="CD87" s="782"/>
      <c r="CE87" s="782"/>
      <c r="CF87" s="782"/>
      <c r="CG87" s="782"/>
    </row>
    <row r="88" spans="1:85" x14ac:dyDescent="0.15">
      <c r="A88" s="9"/>
      <c r="BM88" s="746" t="s">
        <v>2509</v>
      </c>
      <c r="BN88" s="767" t="b">
        <f t="shared" ref="BN88:CC88" si="68">IF(BN38="&gt;",BN83&gt;BN33,IF(BN38="&gt;=",BN83&gt;=BN33,FALSE))</f>
        <v>0</v>
      </c>
      <c r="BO88" s="767" t="b">
        <f t="shared" si="68"/>
        <v>0</v>
      </c>
      <c r="BP88" s="767" t="b">
        <f t="shared" si="68"/>
        <v>0</v>
      </c>
      <c r="BQ88" s="767" t="b">
        <f t="shared" si="68"/>
        <v>0</v>
      </c>
      <c r="BR88" s="767" t="b">
        <f t="shared" si="68"/>
        <v>0</v>
      </c>
      <c r="BS88" s="767" t="b">
        <f t="shared" si="68"/>
        <v>0</v>
      </c>
      <c r="BT88" s="767" t="b">
        <f t="shared" si="68"/>
        <v>0</v>
      </c>
      <c r="BU88" s="767" t="b">
        <f t="shared" si="68"/>
        <v>0</v>
      </c>
      <c r="BV88" s="767" t="b">
        <f t="shared" si="68"/>
        <v>0</v>
      </c>
      <c r="BW88" s="767" t="b">
        <f t="shared" si="68"/>
        <v>0</v>
      </c>
      <c r="BX88" s="767" t="b">
        <f t="shared" si="68"/>
        <v>0</v>
      </c>
      <c r="BY88" s="767" t="b">
        <f t="shared" si="68"/>
        <v>0</v>
      </c>
      <c r="BZ88" s="767" t="b">
        <f t="shared" si="68"/>
        <v>0</v>
      </c>
      <c r="CA88" s="767" t="b">
        <f t="shared" si="68"/>
        <v>0</v>
      </c>
      <c r="CB88" s="767" t="b">
        <f t="shared" si="68"/>
        <v>0</v>
      </c>
      <c r="CC88" s="767" t="b">
        <f t="shared" si="68"/>
        <v>0</v>
      </c>
      <c r="CD88" s="748"/>
      <c r="CE88" s="748"/>
    </row>
    <row r="89" spans="1:85" x14ac:dyDescent="0.15">
      <c r="A89" s="9"/>
      <c r="BM89" s="746" t="s">
        <v>2507</v>
      </c>
      <c r="BN89" s="767" t="b">
        <f t="shared" ref="BN89:CC89" si="69">IF(BN39="&gt;",BN84&gt;BN34,IF(BN39="&gt;=",BN84&gt;=BN34,FALSE))</f>
        <v>0</v>
      </c>
      <c r="BO89" s="767" t="b">
        <f t="shared" si="69"/>
        <v>0</v>
      </c>
      <c r="BP89" s="767" t="b">
        <f t="shared" si="69"/>
        <v>0</v>
      </c>
      <c r="BQ89" s="767" t="b">
        <f t="shared" si="69"/>
        <v>0</v>
      </c>
      <c r="BR89" s="767" t="b">
        <f t="shared" si="69"/>
        <v>0</v>
      </c>
      <c r="BS89" s="767" t="b">
        <f t="shared" si="69"/>
        <v>0</v>
      </c>
      <c r="BT89" s="767" t="b">
        <f t="shared" si="69"/>
        <v>0</v>
      </c>
      <c r="BU89" s="767" t="b">
        <f t="shared" si="69"/>
        <v>0</v>
      </c>
      <c r="BV89" s="767" t="b">
        <f t="shared" si="69"/>
        <v>0</v>
      </c>
      <c r="BW89" s="767" t="b">
        <f t="shared" si="69"/>
        <v>0</v>
      </c>
      <c r="BX89" s="767" t="b">
        <f t="shared" si="69"/>
        <v>0</v>
      </c>
      <c r="BY89" s="767" t="b">
        <f t="shared" si="69"/>
        <v>0</v>
      </c>
      <c r="BZ89" s="767" t="b">
        <f t="shared" si="69"/>
        <v>0</v>
      </c>
      <c r="CA89" s="767" t="b">
        <f t="shared" si="69"/>
        <v>0</v>
      </c>
      <c r="CB89" s="767" t="b">
        <f t="shared" si="69"/>
        <v>0</v>
      </c>
      <c r="CC89" s="767" t="b">
        <f t="shared" si="69"/>
        <v>0</v>
      </c>
      <c r="CD89" s="748"/>
      <c r="CE89" s="748"/>
    </row>
    <row r="90" spans="1:85" x14ac:dyDescent="0.15">
      <c r="A90" s="9"/>
      <c r="BM90" s="746" t="s">
        <v>2505</v>
      </c>
      <c r="BN90" s="767" t="b">
        <f t="shared" ref="BN90:CC90" si="70">IF(BN40="&gt;",BN85&gt;BN35,IF(BN40="&gt;=",BN85&gt;=BN35,FALSE))</f>
        <v>0</v>
      </c>
      <c r="BO90" s="767" t="b">
        <f t="shared" si="70"/>
        <v>0</v>
      </c>
      <c r="BP90" s="767" t="b">
        <f t="shared" si="70"/>
        <v>0</v>
      </c>
      <c r="BQ90" s="767" t="b">
        <f t="shared" si="70"/>
        <v>0</v>
      </c>
      <c r="BR90" s="767" t="b">
        <f t="shared" si="70"/>
        <v>0</v>
      </c>
      <c r="BS90" s="767" t="b">
        <f t="shared" si="70"/>
        <v>0</v>
      </c>
      <c r="BT90" s="767" t="b">
        <f t="shared" si="70"/>
        <v>0</v>
      </c>
      <c r="BU90" s="767" t="b">
        <f t="shared" si="70"/>
        <v>0</v>
      </c>
      <c r="BV90" s="767" t="b">
        <f t="shared" si="70"/>
        <v>0</v>
      </c>
      <c r="BW90" s="767" t="b">
        <f t="shared" si="70"/>
        <v>0</v>
      </c>
      <c r="BX90" s="767" t="b">
        <f t="shared" si="70"/>
        <v>0</v>
      </c>
      <c r="BY90" s="767" t="b">
        <f t="shared" si="70"/>
        <v>0</v>
      </c>
      <c r="BZ90" s="767" t="b">
        <f t="shared" si="70"/>
        <v>0</v>
      </c>
      <c r="CA90" s="767" t="b">
        <f t="shared" si="70"/>
        <v>0</v>
      </c>
      <c r="CB90" s="767" t="b">
        <f t="shared" si="70"/>
        <v>0</v>
      </c>
      <c r="CC90" s="767" t="b">
        <f t="shared" si="70"/>
        <v>0</v>
      </c>
      <c r="CD90" s="748"/>
      <c r="CE90" s="748"/>
    </row>
    <row r="91" spans="1:85" x14ac:dyDescent="0.15">
      <c r="A91" s="150"/>
      <c r="BM91" s="746" t="s">
        <v>2503</v>
      </c>
      <c r="BN91" s="767" t="b">
        <f t="shared" ref="BN91:CC91" si="71">IF(BN41="&gt;",BN86&gt;BN36,IF(BN41="&gt;=",BN86&gt;=BN36,FALSE))</f>
        <v>0</v>
      </c>
      <c r="BO91" s="767" t="b">
        <f t="shared" si="71"/>
        <v>0</v>
      </c>
      <c r="BP91" s="767" t="b">
        <f t="shared" si="71"/>
        <v>0</v>
      </c>
      <c r="BQ91" s="767" t="b">
        <f t="shared" si="71"/>
        <v>0</v>
      </c>
      <c r="BR91" s="767" t="b">
        <f t="shared" si="71"/>
        <v>0</v>
      </c>
      <c r="BS91" s="767" t="b">
        <f t="shared" si="71"/>
        <v>0</v>
      </c>
      <c r="BT91" s="767" t="b">
        <f t="shared" si="71"/>
        <v>0</v>
      </c>
      <c r="BU91" s="767" t="b">
        <f t="shared" si="71"/>
        <v>0</v>
      </c>
      <c r="BV91" s="767" t="b">
        <f t="shared" si="71"/>
        <v>0</v>
      </c>
      <c r="BW91" s="767" t="b">
        <f t="shared" si="71"/>
        <v>0</v>
      </c>
      <c r="BX91" s="767" t="b">
        <f t="shared" si="71"/>
        <v>0</v>
      </c>
      <c r="BY91" s="767" t="b">
        <f t="shared" si="71"/>
        <v>0</v>
      </c>
      <c r="BZ91" s="767" t="b">
        <f t="shared" si="71"/>
        <v>0</v>
      </c>
      <c r="CA91" s="767" t="b">
        <f t="shared" si="71"/>
        <v>0</v>
      </c>
      <c r="CB91" s="767" t="b">
        <f t="shared" si="71"/>
        <v>0</v>
      </c>
      <c r="CC91" s="767" t="b">
        <f t="shared" si="71"/>
        <v>0</v>
      </c>
      <c r="CD91" s="748"/>
      <c r="CE91" s="748"/>
    </row>
    <row r="92" spans="1:85" x14ac:dyDescent="0.15">
      <c r="A92" s="149"/>
      <c r="BL92" s="746" t="s">
        <v>2493</v>
      </c>
    </row>
    <row r="93" spans="1:85" x14ac:dyDescent="0.15">
      <c r="A93" s="9"/>
      <c r="BN93" s="767" t="b">
        <f t="shared" ref="BN93:CC93" si="72">AND($BM$71,OR(BN88:BN91,BN75,BN73)*BN81)</f>
        <v>0</v>
      </c>
      <c r="BO93" s="767" t="b">
        <f t="shared" si="72"/>
        <v>0</v>
      </c>
      <c r="BP93" s="767" t="b">
        <f t="shared" si="72"/>
        <v>0</v>
      </c>
      <c r="BQ93" s="767" t="b">
        <f t="shared" si="72"/>
        <v>0</v>
      </c>
      <c r="BR93" s="767" t="b">
        <f t="shared" si="72"/>
        <v>0</v>
      </c>
      <c r="BS93" s="767" t="b">
        <f t="shared" si="72"/>
        <v>0</v>
      </c>
      <c r="BT93" s="767" t="b">
        <f t="shared" si="72"/>
        <v>0</v>
      </c>
      <c r="BU93" s="767" t="b">
        <f t="shared" si="72"/>
        <v>0</v>
      </c>
      <c r="BV93" s="767" t="b">
        <f t="shared" si="72"/>
        <v>0</v>
      </c>
      <c r="BW93" s="767" t="b">
        <f t="shared" si="72"/>
        <v>0</v>
      </c>
      <c r="BX93" s="767" t="b">
        <f t="shared" si="72"/>
        <v>0</v>
      </c>
      <c r="BY93" s="767" t="b">
        <f t="shared" si="72"/>
        <v>0</v>
      </c>
      <c r="BZ93" s="767" t="b">
        <f t="shared" si="72"/>
        <v>0</v>
      </c>
      <c r="CA93" s="767" t="b">
        <f t="shared" si="72"/>
        <v>0</v>
      </c>
      <c r="CB93" s="767" t="b">
        <f t="shared" si="72"/>
        <v>0</v>
      </c>
      <c r="CC93" s="767" t="b">
        <f t="shared" si="72"/>
        <v>0</v>
      </c>
      <c r="CD93" s="748"/>
      <c r="CE93" s="748"/>
    </row>
    <row r="94" spans="1:85" x14ac:dyDescent="0.15">
      <c r="A94" s="9"/>
    </row>
    <row r="95" spans="1:85" x14ac:dyDescent="0.15">
      <c r="A95" s="149"/>
      <c r="BL95" s="746" t="s">
        <v>2487</v>
      </c>
    </row>
    <row r="96" spans="1:85" x14ac:dyDescent="0.15">
      <c r="A96" s="100"/>
      <c r="BN96" s="748" t="b">
        <v>1</v>
      </c>
      <c r="BO96" s="748" t="b">
        <v>1</v>
      </c>
      <c r="BP96" s="748" t="b">
        <v>1</v>
      </c>
      <c r="BQ96" s="748" t="b">
        <v>1</v>
      </c>
      <c r="BR96" s="767" t="b">
        <f>$AR$11="旧耐震"</f>
        <v>0</v>
      </c>
      <c r="BS96" s="767" t="b">
        <f>$AR$11="旧耐震"</f>
        <v>0</v>
      </c>
      <c r="BT96" s="748" t="b">
        <v>1</v>
      </c>
      <c r="BU96" s="748" t="b">
        <v>1</v>
      </c>
      <c r="BV96" s="748" t="b">
        <v>1</v>
      </c>
      <c r="BW96" s="748" t="b">
        <v>1</v>
      </c>
      <c r="BX96" s="748" t="b">
        <v>1</v>
      </c>
      <c r="BY96" s="748" t="b">
        <v>1</v>
      </c>
      <c r="BZ96" s="748" t="b">
        <v>1</v>
      </c>
      <c r="CA96" s="748" t="b">
        <v>1</v>
      </c>
      <c r="CB96" s="748" t="b">
        <v>1</v>
      </c>
      <c r="CC96" s="748" t="b">
        <v>1</v>
      </c>
      <c r="CD96" s="748" t="b">
        <v>1</v>
      </c>
      <c r="CE96" s="748" t="b">
        <v>1</v>
      </c>
    </row>
    <row r="97" spans="1:88" x14ac:dyDescent="0.15">
      <c r="A97" s="100"/>
      <c r="BL97" s="746" t="s">
        <v>2485</v>
      </c>
    </row>
    <row r="98" spans="1:88" x14ac:dyDescent="0.15">
      <c r="BN98" s="748" t="b">
        <v>1</v>
      </c>
      <c r="BO98" s="748" t="b">
        <v>1</v>
      </c>
      <c r="BP98" s="748" t="b">
        <v>1</v>
      </c>
      <c r="BQ98" s="748" t="b">
        <v>1</v>
      </c>
      <c r="BR98" s="748" t="b">
        <v>1</v>
      </c>
      <c r="BS98" s="748" t="b">
        <v>1</v>
      </c>
      <c r="BT98" s="748" t="b">
        <v>1</v>
      </c>
      <c r="BU98" s="748" t="b">
        <v>1</v>
      </c>
      <c r="BV98" s="748" t="b">
        <v>1</v>
      </c>
      <c r="BW98" s="748" t="b">
        <v>1</v>
      </c>
      <c r="BX98" s="748" t="b">
        <v>1</v>
      </c>
      <c r="BY98" s="748" t="b">
        <v>1</v>
      </c>
      <c r="BZ98" s="748" t="b">
        <v>1</v>
      </c>
      <c r="CA98" s="748" t="b">
        <v>1</v>
      </c>
      <c r="CB98" s="748" t="b">
        <v>1</v>
      </c>
      <c r="CC98" s="748" t="b">
        <v>1</v>
      </c>
      <c r="CD98" s="748" t="b">
        <v>1</v>
      </c>
      <c r="CE98" s="766" t="b">
        <f>AM85</f>
        <v>0</v>
      </c>
    </row>
    <row r="99" spans="1:88" x14ac:dyDescent="0.15">
      <c r="BL99" s="746" t="s">
        <v>2640</v>
      </c>
    </row>
    <row r="100" spans="1:88" x14ac:dyDescent="0.15">
      <c r="BN100" s="775">
        <v>1</v>
      </c>
      <c r="BO100" s="775">
        <v>1</v>
      </c>
      <c r="BP100" s="775">
        <v>2</v>
      </c>
      <c r="BQ100" s="775">
        <v>3</v>
      </c>
      <c r="BR100" s="775">
        <v>4</v>
      </c>
      <c r="BS100" s="775">
        <v>4</v>
      </c>
      <c r="BT100" s="775">
        <v>5</v>
      </c>
      <c r="BU100" s="775">
        <v>5</v>
      </c>
      <c r="BV100" s="775">
        <v>6</v>
      </c>
      <c r="BW100" s="775">
        <v>6</v>
      </c>
      <c r="BX100" s="775">
        <v>6</v>
      </c>
      <c r="BY100" s="775">
        <v>6</v>
      </c>
      <c r="BZ100" s="775">
        <v>7</v>
      </c>
      <c r="CA100" s="775">
        <v>7</v>
      </c>
      <c r="CB100" s="775">
        <v>8</v>
      </c>
      <c r="CC100" s="775">
        <v>8</v>
      </c>
      <c r="CD100" s="775">
        <v>9</v>
      </c>
      <c r="CE100" s="775">
        <v>10</v>
      </c>
      <c r="CF100" s="782"/>
    </row>
    <row r="101" spans="1:88" x14ac:dyDescent="0.15">
      <c r="BN101" s="441" t="b">
        <f t="shared" ref="BN101:CE101" si="73">SUMPRODUCT(MAX($BN$59:$CE$59*($BN100:$CE100=BN100)))=BN$59</f>
        <v>1</v>
      </c>
      <c r="BO101" s="441" t="b">
        <f t="shared" si="73"/>
        <v>1</v>
      </c>
      <c r="BP101" s="441" t="b">
        <f t="shared" si="73"/>
        <v>1</v>
      </c>
      <c r="BQ101" s="441" t="b">
        <f t="shared" si="73"/>
        <v>1</v>
      </c>
      <c r="BR101" s="441" t="b">
        <f t="shared" si="73"/>
        <v>1</v>
      </c>
      <c r="BS101" s="441" t="b">
        <f t="shared" si="73"/>
        <v>1</v>
      </c>
      <c r="BT101" s="441" t="b">
        <f t="shared" si="73"/>
        <v>1</v>
      </c>
      <c r="BU101" s="441" t="b">
        <f t="shared" si="73"/>
        <v>1</v>
      </c>
      <c r="BV101" s="441" t="b">
        <f t="shared" si="73"/>
        <v>1</v>
      </c>
      <c r="BW101" s="441" t="b">
        <f t="shared" si="73"/>
        <v>1</v>
      </c>
      <c r="BX101" s="441" t="b">
        <f t="shared" si="73"/>
        <v>1</v>
      </c>
      <c r="BY101" s="441" t="b">
        <f t="shared" si="73"/>
        <v>1</v>
      </c>
      <c r="BZ101" s="441" t="b">
        <f t="shared" si="73"/>
        <v>1</v>
      </c>
      <c r="CA101" s="441" t="b">
        <f t="shared" si="73"/>
        <v>1</v>
      </c>
      <c r="CB101" s="441" t="b">
        <f t="shared" si="73"/>
        <v>1</v>
      </c>
      <c r="CC101" s="441" t="b">
        <f t="shared" si="73"/>
        <v>1</v>
      </c>
      <c r="CD101" s="441" t="b">
        <f t="shared" si="73"/>
        <v>1</v>
      </c>
      <c r="CE101" s="441" t="b">
        <f t="shared" si="73"/>
        <v>1</v>
      </c>
    </row>
    <row r="102" spans="1:88" x14ac:dyDescent="0.15">
      <c r="BN102" s="441">
        <f>BN100*BN101</f>
        <v>1</v>
      </c>
      <c r="BO102" s="441">
        <f t="shared" ref="BO102:CE102" si="74">BO100*BO101</f>
        <v>1</v>
      </c>
      <c r="BP102" s="441">
        <f t="shared" si="74"/>
        <v>2</v>
      </c>
      <c r="BQ102" s="441">
        <f t="shared" si="74"/>
        <v>3</v>
      </c>
      <c r="BR102" s="441">
        <f t="shared" si="74"/>
        <v>4</v>
      </c>
      <c r="BS102" s="441">
        <f t="shared" si="74"/>
        <v>4</v>
      </c>
      <c r="BT102" s="441">
        <f t="shared" si="74"/>
        <v>5</v>
      </c>
      <c r="BU102" s="441">
        <f t="shared" si="74"/>
        <v>5</v>
      </c>
      <c r="BV102" s="441">
        <f t="shared" si="74"/>
        <v>6</v>
      </c>
      <c r="BW102" s="441">
        <f t="shared" si="74"/>
        <v>6</v>
      </c>
      <c r="BX102" s="441">
        <f t="shared" si="74"/>
        <v>6</v>
      </c>
      <c r="BY102" s="441">
        <f t="shared" si="74"/>
        <v>6</v>
      </c>
      <c r="BZ102" s="441">
        <f t="shared" si="74"/>
        <v>7</v>
      </c>
      <c r="CA102" s="441">
        <f t="shared" si="74"/>
        <v>7</v>
      </c>
      <c r="CB102" s="441">
        <f t="shared" si="74"/>
        <v>8</v>
      </c>
      <c r="CC102" s="441">
        <f t="shared" si="74"/>
        <v>8</v>
      </c>
      <c r="CD102" s="441">
        <f t="shared" si="74"/>
        <v>9</v>
      </c>
      <c r="CE102" s="441">
        <f t="shared" si="74"/>
        <v>10</v>
      </c>
    </row>
    <row r="103" spans="1:88" x14ac:dyDescent="0.15">
      <c r="BN103" s="781" t="b">
        <f t="shared" ref="BN103:CE103" si="75">AND(BN101,MATCH(BN100*BN101,$BN102:$CE102,0)=BN$1)</f>
        <v>1</v>
      </c>
      <c r="BO103" s="781" t="b">
        <f t="shared" si="75"/>
        <v>0</v>
      </c>
      <c r="BP103" s="781" t="b">
        <f t="shared" si="75"/>
        <v>1</v>
      </c>
      <c r="BQ103" s="781" t="b">
        <f t="shared" si="75"/>
        <v>1</v>
      </c>
      <c r="BR103" s="781" t="b">
        <f t="shared" si="75"/>
        <v>1</v>
      </c>
      <c r="BS103" s="781" t="b">
        <f t="shared" si="75"/>
        <v>0</v>
      </c>
      <c r="BT103" s="781" t="b">
        <f t="shared" si="75"/>
        <v>1</v>
      </c>
      <c r="BU103" s="781" t="b">
        <f t="shared" si="75"/>
        <v>0</v>
      </c>
      <c r="BV103" s="781" t="b">
        <f t="shared" si="75"/>
        <v>1</v>
      </c>
      <c r="BW103" s="781" t="b">
        <f t="shared" si="75"/>
        <v>0</v>
      </c>
      <c r="BX103" s="781" t="b">
        <f t="shared" si="75"/>
        <v>0</v>
      </c>
      <c r="BY103" s="781" t="b">
        <f t="shared" si="75"/>
        <v>0</v>
      </c>
      <c r="BZ103" s="781" t="b">
        <f t="shared" si="75"/>
        <v>1</v>
      </c>
      <c r="CA103" s="781" t="b">
        <f t="shared" si="75"/>
        <v>0</v>
      </c>
      <c r="CB103" s="781" t="b">
        <f t="shared" si="75"/>
        <v>1</v>
      </c>
      <c r="CC103" s="781" t="b">
        <f t="shared" si="75"/>
        <v>0</v>
      </c>
      <c r="CD103" s="781" t="b">
        <f t="shared" si="75"/>
        <v>1</v>
      </c>
      <c r="CE103" s="781" t="b">
        <f t="shared" si="75"/>
        <v>1</v>
      </c>
    </row>
    <row r="104" spans="1:88" x14ac:dyDescent="0.15">
      <c r="BL104" s="746" t="s">
        <v>2636</v>
      </c>
    </row>
    <row r="105" spans="1:88" x14ac:dyDescent="0.15">
      <c r="BM105" s="746" t="s">
        <v>2480</v>
      </c>
      <c r="BN105" s="767">
        <f t="shared" ref="BN105:CE105" si="76">BN96*BN98*SUMPRODUCT(($BN$100:$CE$100=BN$100)*$BN59:$CE59)*BN$103</f>
        <v>0</v>
      </c>
      <c r="BO105" s="767">
        <f t="shared" si="76"/>
        <v>0</v>
      </c>
      <c r="BP105" s="767">
        <f t="shared" si="76"/>
        <v>0</v>
      </c>
      <c r="BQ105" s="767">
        <f t="shared" si="76"/>
        <v>0</v>
      </c>
      <c r="BR105" s="767">
        <f t="shared" si="76"/>
        <v>0</v>
      </c>
      <c r="BS105" s="767">
        <f t="shared" si="76"/>
        <v>0</v>
      </c>
      <c r="BT105" s="767">
        <f t="shared" si="76"/>
        <v>0</v>
      </c>
      <c r="BU105" s="767">
        <f t="shared" si="76"/>
        <v>0</v>
      </c>
      <c r="BV105" s="767">
        <f t="shared" si="76"/>
        <v>0</v>
      </c>
      <c r="BW105" s="767">
        <f t="shared" si="76"/>
        <v>0</v>
      </c>
      <c r="BX105" s="767">
        <f t="shared" si="76"/>
        <v>0</v>
      </c>
      <c r="BY105" s="767">
        <f t="shared" si="76"/>
        <v>0</v>
      </c>
      <c r="BZ105" s="767">
        <f t="shared" si="76"/>
        <v>0</v>
      </c>
      <c r="CA105" s="767">
        <f t="shared" si="76"/>
        <v>0</v>
      </c>
      <c r="CB105" s="767">
        <f t="shared" si="76"/>
        <v>0</v>
      </c>
      <c r="CC105" s="767">
        <f t="shared" si="76"/>
        <v>0</v>
      </c>
      <c r="CD105" s="767">
        <f t="shared" si="76"/>
        <v>0</v>
      </c>
      <c r="CE105" s="767">
        <f t="shared" si="76"/>
        <v>0</v>
      </c>
      <c r="CH105" s="767">
        <f>SUM(BN105:CE105)</f>
        <v>0</v>
      </c>
    </row>
    <row r="106" spans="1:88" x14ac:dyDescent="0.15">
      <c r="BL106" s="746" t="s">
        <v>2638</v>
      </c>
    </row>
    <row r="107" spans="1:88" x14ac:dyDescent="0.15">
      <c r="BM107" s="746" t="s">
        <v>2480</v>
      </c>
      <c r="BN107" s="767" t="b">
        <f t="shared" ref="BN107:CE107" si="77">IF(BN45="&gt;",BN105&gt;BN43,IF(BN45="&gt;=",BN105&gt;=BN43,FALSE))</f>
        <v>0</v>
      </c>
      <c r="BO107" s="767" t="b">
        <f t="shared" si="77"/>
        <v>0</v>
      </c>
      <c r="BP107" s="767" t="b">
        <f t="shared" si="77"/>
        <v>0</v>
      </c>
      <c r="BQ107" s="767" t="b">
        <f t="shared" si="77"/>
        <v>0</v>
      </c>
      <c r="BR107" s="767" t="b">
        <f t="shared" si="77"/>
        <v>0</v>
      </c>
      <c r="BS107" s="767" t="b">
        <f t="shared" si="77"/>
        <v>0</v>
      </c>
      <c r="BT107" s="767" t="b">
        <f t="shared" si="77"/>
        <v>0</v>
      </c>
      <c r="BU107" s="767" t="b">
        <f t="shared" si="77"/>
        <v>0</v>
      </c>
      <c r="BV107" s="767" t="b">
        <f t="shared" si="77"/>
        <v>0</v>
      </c>
      <c r="BW107" s="767" t="b">
        <f t="shared" si="77"/>
        <v>0</v>
      </c>
      <c r="BX107" s="767" t="b">
        <f t="shared" si="77"/>
        <v>0</v>
      </c>
      <c r="BY107" s="767" t="b">
        <f t="shared" si="77"/>
        <v>0</v>
      </c>
      <c r="BZ107" s="767" t="b">
        <f t="shared" si="77"/>
        <v>0</v>
      </c>
      <c r="CA107" s="767" t="b">
        <f t="shared" si="77"/>
        <v>0</v>
      </c>
      <c r="CB107" s="767" t="b">
        <f t="shared" si="77"/>
        <v>0</v>
      </c>
      <c r="CC107" s="767" t="b">
        <f t="shared" si="77"/>
        <v>0</v>
      </c>
      <c r="CD107" s="767" t="b">
        <f t="shared" si="77"/>
        <v>0</v>
      </c>
      <c r="CE107" s="767" t="b">
        <f t="shared" si="77"/>
        <v>0</v>
      </c>
      <c r="CH107" s="767" t="b">
        <f>IF(CH45="&gt;",CH105&gt;CH43,IF(CH45="&gt;=",CH105&gt;=CH43,FALSE))</f>
        <v>0</v>
      </c>
    </row>
    <row r="109" spans="1:88" x14ac:dyDescent="0.15">
      <c r="BL109" s="746" t="s">
        <v>2470</v>
      </c>
    </row>
    <row r="110" spans="1:88" x14ac:dyDescent="0.15">
      <c r="BM110" s="746" t="s">
        <v>2641</v>
      </c>
      <c r="BN110" s="767" t="b">
        <f t="shared" ref="BN110:CC110" si="78">AND($BM67,BN$93)</f>
        <v>0</v>
      </c>
      <c r="BO110" s="767" t="b">
        <f t="shared" si="78"/>
        <v>0</v>
      </c>
      <c r="BP110" s="767" t="b">
        <f t="shared" si="78"/>
        <v>0</v>
      </c>
      <c r="BQ110" s="767" t="b">
        <f t="shared" si="78"/>
        <v>0</v>
      </c>
      <c r="BR110" s="767" t="b">
        <f t="shared" si="78"/>
        <v>0</v>
      </c>
      <c r="BS110" s="767" t="b">
        <f t="shared" si="78"/>
        <v>0</v>
      </c>
      <c r="BT110" s="767" t="b">
        <f t="shared" si="78"/>
        <v>0</v>
      </c>
      <c r="BU110" s="767" t="b">
        <f t="shared" si="78"/>
        <v>0</v>
      </c>
      <c r="BV110" s="767" t="b">
        <f t="shared" si="78"/>
        <v>0</v>
      </c>
      <c r="BW110" s="767" t="b">
        <f t="shared" si="78"/>
        <v>0</v>
      </c>
      <c r="BX110" s="767" t="b">
        <f t="shared" si="78"/>
        <v>0</v>
      </c>
      <c r="BY110" s="767" t="b">
        <f t="shared" si="78"/>
        <v>0</v>
      </c>
      <c r="BZ110" s="767" t="b">
        <f t="shared" si="78"/>
        <v>0</v>
      </c>
      <c r="CA110" s="767" t="b">
        <f t="shared" si="78"/>
        <v>0</v>
      </c>
      <c r="CB110" s="767" t="b">
        <f t="shared" si="78"/>
        <v>0</v>
      </c>
      <c r="CC110" s="767" t="b">
        <f t="shared" si="78"/>
        <v>0</v>
      </c>
      <c r="CD110" s="748" t="b">
        <v>0</v>
      </c>
      <c r="CE110" s="748" t="b">
        <v>0</v>
      </c>
      <c r="CF110" s="748"/>
      <c r="CG110" s="748"/>
      <c r="CH110" s="748" t="b">
        <v>0</v>
      </c>
      <c r="CJ110" s="197" t="s">
        <v>2645</v>
      </c>
    </row>
    <row r="111" spans="1:88" x14ac:dyDescent="0.15">
      <c r="BM111" s="746" t="s">
        <v>2642</v>
      </c>
      <c r="BN111" s="767" t="str">
        <f t="shared" ref="BN111:CC111" si="79">IF(BN110,BN$2,"")</f>
        <v/>
      </c>
      <c r="BO111" s="767" t="str">
        <f t="shared" si="79"/>
        <v/>
      </c>
      <c r="BP111" s="767" t="str">
        <f t="shared" si="79"/>
        <v/>
      </c>
      <c r="BQ111" s="767" t="str">
        <f t="shared" si="79"/>
        <v/>
      </c>
      <c r="BR111" s="767" t="str">
        <f t="shared" si="79"/>
        <v/>
      </c>
      <c r="BS111" s="767" t="str">
        <f t="shared" si="79"/>
        <v/>
      </c>
      <c r="BT111" s="767" t="str">
        <f t="shared" si="79"/>
        <v/>
      </c>
      <c r="BU111" s="767" t="str">
        <f t="shared" si="79"/>
        <v/>
      </c>
      <c r="BV111" s="767" t="str">
        <f t="shared" si="79"/>
        <v/>
      </c>
      <c r="BW111" s="767" t="str">
        <f t="shared" si="79"/>
        <v/>
      </c>
      <c r="BX111" s="767" t="str">
        <f t="shared" si="79"/>
        <v/>
      </c>
      <c r="BY111" s="767" t="str">
        <f t="shared" si="79"/>
        <v/>
      </c>
      <c r="BZ111" s="767" t="str">
        <f t="shared" si="79"/>
        <v/>
      </c>
      <c r="CA111" s="767" t="str">
        <f t="shared" si="79"/>
        <v/>
      </c>
      <c r="CB111" s="767" t="str">
        <f t="shared" si="79"/>
        <v/>
      </c>
      <c r="CC111" s="767" t="str">
        <f t="shared" si="79"/>
        <v/>
      </c>
      <c r="CD111" s="748"/>
      <c r="CE111" s="748"/>
      <c r="CF111" s="748"/>
      <c r="CG111" s="748"/>
      <c r="CH111" s="748"/>
      <c r="CJ111" s="441" t="str">
        <f>CONCATENATE(BN111,BO111,BP111,BQ111,BR111,BS111,BT111,BU111,BV111,BW111,BX111,BY111,BZ111,CA111,CB111,CC111,CD111,CE111,CF111,CG111,CH111)</f>
        <v/>
      </c>
    </row>
    <row r="112" spans="1:88" x14ac:dyDescent="0.15">
      <c r="BL112" s="746" t="s">
        <v>2479</v>
      </c>
    </row>
    <row r="113" spans="64:88" x14ac:dyDescent="0.15">
      <c r="BM113" s="746" t="s">
        <v>2641</v>
      </c>
      <c r="BN113" s="767" t="b">
        <f t="shared" ref="BN113:CC113" si="80">AND($BM69,BN$93)</f>
        <v>0</v>
      </c>
      <c r="BO113" s="767" t="b">
        <f t="shared" si="80"/>
        <v>0</v>
      </c>
      <c r="BP113" s="767" t="b">
        <f t="shared" si="80"/>
        <v>0</v>
      </c>
      <c r="BQ113" s="767" t="b">
        <f t="shared" si="80"/>
        <v>0</v>
      </c>
      <c r="BR113" s="767" t="b">
        <f t="shared" si="80"/>
        <v>0</v>
      </c>
      <c r="BS113" s="767" t="b">
        <f t="shared" si="80"/>
        <v>0</v>
      </c>
      <c r="BT113" s="767" t="b">
        <f t="shared" si="80"/>
        <v>0</v>
      </c>
      <c r="BU113" s="767" t="b">
        <f t="shared" si="80"/>
        <v>0</v>
      </c>
      <c r="BV113" s="767" t="b">
        <f t="shared" si="80"/>
        <v>0</v>
      </c>
      <c r="BW113" s="767" t="b">
        <f t="shared" si="80"/>
        <v>0</v>
      </c>
      <c r="BX113" s="767" t="b">
        <f t="shared" si="80"/>
        <v>0</v>
      </c>
      <c r="BY113" s="767" t="b">
        <f t="shared" si="80"/>
        <v>0</v>
      </c>
      <c r="BZ113" s="767" t="b">
        <f t="shared" si="80"/>
        <v>0</v>
      </c>
      <c r="CA113" s="767" t="b">
        <f t="shared" si="80"/>
        <v>0</v>
      </c>
      <c r="CB113" s="767" t="b">
        <f t="shared" si="80"/>
        <v>0</v>
      </c>
      <c r="CC113" s="767" t="b">
        <f t="shared" si="80"/>
        <v>0</v>
      </c>
      <c r="CD113" s="748" t="b">
        <v>0</v>
      </c>
      <c r="CE113" s="748" t="b">
        <v>0</v>
      </c>
      <c r="CF113" s="748"/>
      <c r="CG113" s="748"/>
      <c r="CH113" s="748" t="b">
        <v>0</v>
      </c>
      <c r="CJ113" s="197" t="s">
        <v>2646</v>
      </c>
    </row>
    <row r="114" spans="64:88" x14ac:dyDescent="0.15">
      <c r="BM114" s="746" t="s">
        <v>2642</v>
      </c>
      <c r="BN114" s="767" t="str">
        <f t="shared" ref="BN114:CC114" si="81">IF(BN113,BN$2,"")</f>
        <v/>
      </c>
      <c r="BO114" s="767" t="str">
        <f t="shared" si="81"/>
        <v/>
      </c>
      <c r="BP114" s="767" t="str">
        <f t="shared" si="81"/>
        <v/>
      </c>
      <c r="BQ114" s="767" t="str">
        <f t="shared" si="81"/>
        <v/>
      </c>
      <c r="BR114" s="767" t="str">
        <f t="shared" si="81"/>
        <v/>
      </c>
      <c r="BS114" s="767" t="str">
        <f t="shared" si="81"/>
        <v/>
      </c>
      <c r="BT114" s="767" t="str">
        <f t="shared" si="81"/>
        <v/>
      </c>
      <c r="BU114" s="767" t="str">
        <f t="shared" si="81"/>
        <v/>
      </c>
      <c r="BV114" s="767" t="str">
        <f t="shared" si="81"/>
        <v/>
      </c>
      <c r="BW114" s="767" t="str">
        <f t="shared" si="81"/>
        <v/>
      </c>
      <c r="BX114" s="767" t="str">
        <f t="shared" si="81"/>
        <v/>
      </c>
      <c r="BY114" s="767" t="str">
        <f t="shared" si="81"/>
        <v/>
      </c>
      <c r="BZ114" s="767" t="str">
        <f t="shared" si="81"/>
        <v/>
      </c>
      <c r="CA114" s="767" t="str">
        <f t="shared" si="81"/>
        <v/>
      </c>
      <c r="CB114" s="767" t="str">
        <f t="shared" si="81"/>
        <v/>
      </c>
      <c r="CC114" s="767" t="str">
        <f t="shared" si="81"/>
        <v/>
      </c>
      <c r="CD114" s="748"/>
      <c r="CE114" s="748"/>
      <c r="CF114" s="748"/>
      <c r="CG114" s="748"/>
      <c r="CH114" s="748"/>
      <c r="CJ114" s="441" t="str">
        <f>CONCATENATE(BN114,BO114,BP114,BQ114,BR114,BS114,BT114,BU114,BV114,BW114,BX114,BY114,BZ114,CA114,CB114,CC114,CD114,CE114,CF114,CG114,CH114)</f>
        <v/>
      </c>
    </row>
    <row r="115" spans="64:88" x14ac:dyDescent="0.15">
      <c r="BL115" s="746" t="s">
        <v>2478</v>
      </c>
    </row>
    <row r="116" spans="64:88" x14ac:dyDescent="0.15">
      <c r="BM116" s="746" t="s">
        <v>2641</v>
      </c>
      <c r="BN116" s="766" t="b">
        <f t="shared" ref="BN116:CE116" si="82">BN107</f>
        <v>0</v>
      </c>
      <c r="BO116" s="766" t="b">
        <f t="shared" si="82"/>
        <v>0</v>
      </c>
      <c r="BP116" s="766" t="b">
        <f t="shared" si="82"/>
        <v>0</v>
      </c>
      <c r="BQ116" s="766" t="b">
        <f t="shared" si="82"/>
        <v>0</v>
      </c>
      <c r="BR116" s="766" t="b">
        <f t="shared" si="82"/>
        <v>0</v>
      </c>
      <c r="BS116" s="766" t="b">
        <f t="shared" si="82"/>
        <v>0</v>
      </c>
      <c r="BT116" s="766" t="b">
        <f t="shared" si="82"/>
        <v>0</v>
      </c>
      <c r="BU116" s="766" t="b">
        <f t="shared" si="82"/>
        <v>0</v>
      </c>
      <c r="BV116" s="766" t="b">
        <f t="shared" si="82"/>
        <v>0</v>
      </c>
      <c r="BW116" s="766" t="b">
        <f t="shared" si="82"/>
        <v>0</v>
      </c>
      <c r="BX116" s="766" t="b">
        <f t="shared" si="82"/>
        <v>0</v>
      </c>
      <c r="BY116" s="766" t="b">
        <f t="shared" si="82"/>
        <v>0</v>
      </c>
      <c r="BZ116" s="766" t="b">
        <f t="shared" si="82"/>
        <v>0</v>
      </c>
      <c r="CA116" s="766" t="b">
        <f t="shared" si="82"/>
        <v>0</v>
      </c>
      <c r="CB116" s="766" t="b">
        <f t="shared" si="82"/>
        <v>0</v>
      </c>
      <c r="CC116" s="766" t="b">
        <f t="shared" si="82"/>
        <v>0</v>
      </c>
      <c r="CD116" s="766" t="b">
        <f t="shared" si="82"/>
        <v>0</v>
      </c>
      <c r="CE116" s="766" t="b">
        <f t="shared" si="82"/>
        <v>0</v>
      </c>
      <c r="CF116" s="748"/>
      <c r="CG116" s="748"/>
      <c r="CH116" s="766" t="b">
        <f>CH107</f>
        <v>0</v>
      </c>
      <c r="CJ116" s="197" t="s">
        <v>2647</v>
      </c>
    </row>
    <row r="117" spans="64:88" x14ac:dyDescent="0.15">
      <c r="BM117" s="746" t="s">
        <v>2642</v>
      </c>
      <c r="BN117" s="767" t="str">
        <f t="shared" ref="BN117:CE117" si="83">IF(BN116,BN$2,"")</f>
        <v/>
      </c>
      <c r="BO117" s="767" t="str">
        <f t="shared" si="83"/>
        <v/>
      </c>
      <c r="BP117" s="767" t="str">
        <f t="shared" si="83"/>
        <v/>
      </c>
      <c r="BQ117" s="767" t="str">
        <f t="shared" si="83"/>
        <v/>
      </c>
      <c r="BR117" s="767" t="str">
        <f t="shared" si="83"/>
        <v/>
      </c>
      <c r="BS117" s="767" t="str">
        <f t="shared" si="83"/>
        <v/>
      </c>
      <c r="BT117" s="767" t="str">
        <f t="shared" si="83"/>
        <v/>
      </c>
      <c r="BU117" s="767" t="str">
        <f t="shared" si="83"/>
        <v/>
      </c>
      <c r="BV117" s="767" t="str">
        <f t="shared" si="83"/>
        <v/>
      </c>
      <c r="BW117" s="767" t="str">
        <f t="shared" si="83"/>
        <v/>
      </c>
      <c r="BX117" s="767" t="str">
        <f t="shared" si="83"/>
        <v/>
      </c>
      <c r="BY117" s="767" t="str">
        <f t="shared" si="83"/>
        <v/>
      </c>
      <c r="BZ117" s="767" t="str">
        <f t="shared" si="83"/>
        <v/>
      </c>
      <c r="CA117" s="767" t="str">
        <f t="shared" si="83"/>
        <v/>
      </c>
      <c r="CB117" s="767" t="str">
        <f t="shared" si="83"/>
        <v/>
      </c>
      <c r="CC117" s="767" t="str">
        <f t="shared" si="83"/>
        <v/>
      </c>
      <c r="CD117" s="767" t="str">
        <f t="shared" si="83"/>
        <v/>
      </c>
      <c r="CE117" s="767" t="str">
        <f t="shared" si="83"/>
        <v/>
      </c>
      <c r="CF117" s="748"/>
      <c r="CG117" s="748"/>
      <c r="CH117" s="767" t="str">
        <f>IF(CH116,CH$2,"")</f>
        <v/>
      </c>
      <c r="CJ117" s="441" t="str">
        <f>CONCATENATE(BN117,BO117,BP117,BQ117,BR117,BS117,BT117,BU117,BV117,BW117,BX117,BY117,BZ117,CA117,CB117,CC117,CD117,CE117,CF117,CG117,CH117)</f>
        <v/>
      </c>
    </row>
    <row r="118" spans="64:88" x14ac:dyDescent="0.15">
      <c r="BL118" s="746" t="s">
        <v>2477</v>
      </c>
    </row>
    <row r="119" spans="64:88" x14ac:dyDescent="0.15">
      <c r="BM119" s="746" t="s">
        <v>2641</v>
      </c>
      <c r="BN119" s="767" t="b">
        <f t="shared" ref="BN119:CE119" si="84">OR(BN113,BN116)</f>
        <v>0</v>
      </c>
      <c r="BO119" s="767" t="b">
        <f t="shared" si="84"/>
        <v>0</v>
      </c>
      <c r="BP119" s="767" t="b">
        <f t="shared" si="84"/>
        <v>0</v>
      </c>
      <c r="BQ119" s="767" t="b">
        <f t="shared" si="84"/>
        <v>0</v>
      </c>
      <c r="BR119" s="767" t="b">
        <f t="shared" si="84"/>
        <v>0</v>
      </c>
      <c r="BS119" s="767" t="b">
        <f t="shared" si="84"/>
        <v>0</v>
      </c>
      <c r="BT119" s="767" t="b">
        <f t="shared" si="84"/>
        <v>0</v>
      </c>
      <c r="BU119" s="767" t="b">
        <f t="shared" si="84"/>
        <v>0</v>
      </c>
      <c r="BV119" s="767" t="b">
        <f t="shared" si="84"/>
        <v>0</v>
      </c>
      <c r="BW119" s="767" t="b">
        <f t="shared" si="84"/>
        <v>0</v>
      </c>
      <c r="BX119" s="767" t="b">
        <f t="shared" si="84"/>
        <v>0</v>
      </c>
      <c r="BY119" s="767" t="b">
        <f t="shared" si="84"/>
        <v>0</v>
      </c>
      <c r="BZ119" s="767" t="b">
        <f t="shared" si="84"/>
        <v>0</v>
      </c>
      <c r="CA119" s="767" t="b">
        <f t="shared" si="84"/>
        <v>0</v>
      </c>
      <c r="CB119" s="767" t="b">
        <f t="shared" si="84"/>
        <v>0</v>
      </c>
      <c r="CC119" s="767" t="b">
        <f t="shared" si="84"/>
        <v>0</v>
      </c>
      <c r="CD119" s="767" t="b">
        <f t="shared" si="84"/>
        <v>0</v>
      </c>
      <c r="CE119" s="767" t="b">
        <f t="shared" si="84"/>
        <v>0</v>
      </c>
      <c r="CF119" s="748"/>
      <c r="CG119" s="748"/>
      <c r="CH119" s="767" t="b">
        <f>OR(CH113,CH116)</f>
        <v>0</v>
      </c>
      <c r="CJ119" s="197" t="s">
        <v>2648</v>
      </c>
    </row>
    <row r="120" spans="64:88" x14ac:dyDescent="0.15">
      <c r="BM120" s="746" t="s">
        <v>2642</v>
      </c>
      <c r="BN120" s="767" t="str">
        <f t="shared" ref="BN120:CE120" si="85">IF(BN119,BN$2,"")</f>
        <v/>
      </c>
      <c r="BO120" s="767" t="str">
        <f t="shared" si="85"/>
        <v/>
      </c>
      <c r="BP120" s="767" t="str">
        <f t="shared" si="85"/>
        <v/>
      </c>
      <c r="BQ120" s="767" t="str">
        <f t="shared" si="85"/>
        <v/>
      </c>
      <c r="BR120" s="767" t="str">
        <f t="shared" si="85"/>
        <v/>
      </c>
      <c r="BS120" s="767" t="str">
        <f t="shared" si="85"/>
        <v/>
      </c>
      <c r="BT120" s="767" t="str">
        <f t="shared" si="85"/>
        <v/>
      </c>
      <c r="BU120" s="767" t="str">
        <f t="shared" si="85"/>
        <v/>
      </c>
      <c r="BV120" s="767" t="str">
        <f t="shared" si="85"/>
        <v/>
      </c>
      <c r="BW120" s="767" t="str">
        <f t="shared" si="85"/>
        <v/>
      </c>
      <c r="BX120" s="767" t="str">
        <f t="shared" si="85"/>
        <v/>
      </c>
      <c r="BY120" s="767" t="str">
        <f t="shared" si="85"/>
        <v/>
      </c>
      <c r="BZ120" s="767" t="str">
        <f t="shared" si="85"/>
        <v/>
      </c>
      <c r="CA120" s="767" t="str">
        <f t="shared" si="85"/>
        <v/>
      </c>
      <c r="CB120" s="767" t="str">
        <f t="shared" si="85"/>
        <v/>
      </c>
      <c r="CC120" s="767" t="str">
        <f t="shared" si="85"/>
        <v/>
      </c>
      <c r="CD120" s="767" t="str">
        <f t="shared" si="85"/>
        <v/>
      </c>
      <c r="CE120" s="767" t="str">
        <f t="shared" si="85"/>
        <v/>
      </c>
      <c r="CF120" s="748"/>
      <c r="CG120" s="748"/>
      <c r="CH120" s="767" t="str">
        <f>IF(CH119,CH$2,"")</f>
        <v/>
      </c>
      <c r="CJ120" s="441" t="str">
        <f>CONCATENATE(BN120,BO120,BP120,BQ120,BR120,BS120,BT120,BU120,BV120,BW120,BX120,BY120,BZ120,CA120,CB120,CC120,CD120,CE120,CF120,CG120,CH120)</f>
        <v/>
      </c>
    </row>
    <row r="121" spans="64:88" x14ac:dyDescent="0.15">
      <c r="BL121" s="746" t="s">
        <v>2643</v>
      </c>
    </row>
    <row r="122" spans="64:88" x14ac:dyDescent="0.15">
      <c r="BM122" s="746" t="s">
        <v>2641</v>
      </c>
      <c r="BN122" s="767" t="b">
        <f t="shared" ref="BN122:CE122" si="86">OR(BN110,BN119)</f>
        <v>0</v>
      </c>
      <c r="BO122" s="767" t="b">
        <f t="shared" si="86"/>
        <v>0</v>
      </c>
      <c r="BP122" s="767" t="b">
        <f t="shared" si="86"/>
        <v>0</v>
      </c>
      <c r="BQ122" s="767" t="b">
        <f t="shared" si="86"/>
        <v>0</v>
      </c>
      <c r="BR122" s="767" t="b">
        <f t="shared" si="86"/>
        <v>0</v>
      </c>
      <c r="BS122" s="767" t="b">
        <f t="shared" si="86"/>
        <v>0</v>
      </c>
      <c r="BT122" s="767" t="b">
        <f t="shared" si="86"/>
        <v>0</v>
      </c>
      <c r="BU122" s="767" t="b">
        <f t="shared" si="86"/>
        <v>0</v>
      </c>
      <c r="BV122" s="767" t="b">
        <f t="shared" si="86"/>
        <v>0</v>
      </c>
      <c r="BW122" s="767" t="b">
        <f t="shared" si="86"/>
        <v>0</v>
      </c>
      <c r="BX122" s="767" t="b">
        <f t="shared" si="86"/>
        <v>0</v>
      </c>
      <c r="BY122" s="767" t="b">
        <f t="shared" si="86"/>
        <v>0</v>
      </c>
      <c r="BZ122" s="767" t="b">
        <f t="shared" si="86"/>
        <v>0</v>
      </c>
      <c r="CA122" s="767" t="b">
        <f t="shared" si="86"/>
        <v>0</v>
      </c>
      <c r="CB122" s="767" t="b">
        <f t="shared" si="86"/>
        <v>0</v>
      </c>
      <c r="CC122" s="767" t="b">
        <f t="shared" si="86"/>
        <v>0</v>
      </c>
      <c r="CD122" s="767" t="b">
        <f t="shared" si="86"/>
        <v>0</v>
      </c>
      <c r="CE122" s="767" t="b">
        <f t="shared" si="86"/>
        <v>0</v>
      </c>
      <c r="CF122" s="748"/>
      <c r="CG122" s="748"/>
      <c r="CH122" s="767" t="b">
        <f>OR(CH110,CH119)</f>
        <v>0</v>
      </c>
      <c r="CJ122" s="197" t="s">
        <v>2649</v>
      </c>
    </row>
    <row r="123" spans="64:88" x14ac:dyDescent="0.15">
      <c r="BM123" s="746" t="s">
        <v>2642</v>
      </c>
      <c r="BN123" s="767" t="str">
        <f t="shared" ref="BN123:CE123" si="87">IF(BN122,BN$2,"")</f>
        <v/>
      </c>
      <c r="BO123" s="767" t="str">
        <f t="shared" si="87"/>
        <v/>
      </c>
      <c r="BP123" s="767" t="str">
        <f t="shared" si="87"/>
        <v/>
      </c>
      <c r="BQ123" s="767" t="str">
        <f t="shared" si="87"/>
        <v/>
      </c>
      <c r="BR123" s="767" t="str">
        <f t="shared" si="87"/>
        <v/>
      </c>
      <c r="BS123" s="767" t="str">
        <f t="shared" si="87"/>
        <v/>
      </c>
      <c r="BT123" s="767" t="str">
        <f t="shared" si="87"/>
        <v/>
      </c>
      <c r="BU123" s="767" t="str">
        <f t="shared" si="87"/>
        <v/>
      </c>
      <c r="BV123" s="767" t="str">
        <f t="shared" si="87"/>
        <v/>
      </c>
      <c r="BW123" s="767" t="str">
        <f t="shared" si="87"/>
        <v/>
      </c>
      <c r="BX123" s="767" t="str">
        <f t="shared" si="87"/>
        <v/>
      </c>
      <c r="BY123" s="767" t="str">
        <f t="shared" si="87"/>
        <v/>
      </c>
      <c r="BZ123" s="767" t="str">
        <f t="shared" si="87"/>
        <v/>
      </c>
      <c r="CA123" s="767" t="str">
        <f t="shared" si="87"/>
        <v/>
      </c>
      <c r="CB123" s="767" t="str">
        <f t="shared" si="87"/>
        <v/>
      </c>
      <c r="CC123" s="767" t="str">
        <f t="shared" si="87"/>
        <v/>
      </c>
      <c r="CD123" s="767" t="str">
        <f t="shared" si="87"/>
        <v/>
      </c>
      <c r="CE123" s="767" t="str">
        <f t="shared" si="87"/>
        <v/>
      </c>
      <c r="CF123" s="748"/>
      <c r="CG123" s="748"/>
      <c r="CH123" s="767" t="str">
        <f>IF(CH122,CH$2,"")</f>
        <v/>
      </c>
      <c r="CJ123" s="441" t="str">
        <f>CONCATENATE(BN123,BO123,BP123,BQ123,BR123,BS123,BT123,BU123,BV123,BW123,BX123,BY123,BZ123,CA123,CB123,CC123,CD123,CE123,CF123,CG123,CH123)</f>
        <v/>
      </c>
    </row>
    <row r="124" spans="64:88" x14ac:dyDescent="0.15">
      <c r="BL124" s="746" t="s">
        <v>2476</v>
      </c>
    </row>
    <row r="125" spans="64:88" x14ac:dyDescent="0.15">
      <c r="BM125" s="746" t="s">
        <v>2676</v>
      </c>
      <c r="BN125" s="767" t="str">
        <f>IF(BN122,LEFT(BN2,1),"")</f>
        <v/>
      </c>
      <c r="BO125" s="767" t="str">
        <f t="shared" ref="BO125:CE125" si="88">IF(BO122,LEFT(BO2,1),"")</f>
        <v/>
      </c>
      <c r="BP125" s="767" t="str">
        <f t="shared" si="88"/>
        <v/>
      </c>
      <c r="BQ125" s="767" t="str">
        <f t="shared" si="88"/>
        <v/>
      </c>
      <c r="BR125" s="767" t="str">
        <f t="shared" si="88"/>
        <v/>
      </c>
      <c r="BS125" s="767" t="str">
        <f t="shared" si="88"/>
        <v/>
      </c>
      <c r="BT125" s="767" t="str">
        <f t="shared" si="88"/>
        <v/>
      </c>
      <c r="BU125" s="767" t="str">
        <f t="shared" si="88"/>
        <v/>
      </c>
      <c r="BV125" s="767" t="str">
        <f t="shared" si="88"/>
        <v/>
      </c>
      <c r="BW125" s="767" t="str">
        <f t="shared" si="88"/>
        <v/>
      </c>
      <c r="BX125" s="767" t="str">
        <f t="shared" si="88"/>
        <v/>
      </c>
      <c r="BY125" s="767" t="str">
        <f t="shared" si="88"/>
        <v/>
      </c>
      <c r="BZ125" s="767" t="str">
        <f t="shared" si="88"/>
        <v/>
      </c>
      <c r="CA125" s="767" t="str">
        <f t="shared" si="88"/>
        <v/>
      </c>
      <c r="CB125" s="767" t="str">
        <f t="shared" si="88"/>
        <v/>
      </c>
      <c r="CC125" s="767" t="str">
        <f t="shared" si="88"/>
        <v/>
      </c>
      <c r="CD125" s="767" t="str">
        <f t="shared" si="88"/>
        <v/>
      </c>
      <c r="CE125" s="767" t="str">
        <f t="shared" si="88"/>
        <v/>
      </c>
      <c r="CF125" s="748"/>
      <c r="CG125" s="748"/>
      <c r="CH125" s="767" t="str">
        <f t="shared" ref="CH125" si="89">IF(CH122,LEFT(CH2,1),"")</f>
        <v/>
      </c>
      <c r="CJ125" s="197" t="s">
        <v>2780</v>
      </c>
    </row>
    <row r="126" spans="64:88" x14ac:dyDescent="0.15">
      <c r="BM126" s="746" t="s">
        <v>2677</v>
      </c>
      <c r="BN126" s="767" t="str">
        <f>IF(BN122,BN125&amp;" / ","")</f>
        <v/>
      </c>
      <c r="BO126" s="767" t="str">
        <f t="shared" ref="BO126:CE126" si="90">IF(BO122,BO125&amp;" / ","")</f>
        <v/>
      </c>
      <c r="BP126" s="767" t="str">
        <f t="shared" si="90"/>
        <v/>
      </c>
      <c r="BQ126" s="767" t="str">
        <f t="shared" si="90"/>
        <v/>
      </c>
      <c r="BR126" s="767" t="str">
        <f t="shared" si="90"/>
        <v/>
      </c>
      <c r="BS126" s="767" t="str">
        <f t="shared" si="90"/>
        <v/>
      </c>
      <c r="BT126" s="767" t="str">
        <f t="shared" si="90"/>
        <v/>
      </c>
      <c r="BU126" s="767" t="str">
        <f t="shared" si="90"/>
        <v/>
      </c>
      <c r="BV126" s="767" t="str">
        <f t="shared" si="90"/>
        <v/>
      </c>
      <c r="BW126" s="767" t="str">
        <f t="shared" si="90"/>
        <v/>
      </c>
      <c r="BX126" s="767" t="str">
        <f t="shared" si="90"/>
        <v/>
      </c>
      <c r="BY126" s="767" t="str">
        <f t="shared" si="90"/>
        <v/>
      </c>
      <c r="BZ126" s="767" t="str">
        <f t="shared" si="90"/>
        <v/>
      </c>
      <c r="CA126" s="767" t="str">
        <f t="shared" si="90"/>
        <v/>
      </c>
      <c r="CB126" s="767" t="str">
        <f t="shared" si="90"/>
        <v/>
      </c>
      <c r="CC126" s="767" t="str">
        <f t="shared" si="90"/>
        <v/>
      </c>
      <c r="CD126" s="767" t="str">
        <f t="shared" si="90"/>
        <v/>
      </c>
      <c r="CE126" s="767" t="str">
        <f t="shared" si="90"/>
        <v/>
      </c>
      <c r="CF126" s="748"/>
      <c r="CG126" s="748"/>
      <c r="CH126" s="767" t="str">
        <f t="shared" ref="CH126" si="91">IF(CH122,CH125&amp;" / ","")</f>
        <v/>
      </c>
      <c r="CJ126" s="441" t="str">
        <f>CONCATENATE(BN126,BO126,BP126,BQ126,BR126,BS126,BT126,BU126,BV126,BW126,BX126,BY126,BZ126,CA126,CB126,CC126,CD126,CE126,CF126,CG126,CH126)</f>
        <v/>
      </c>
    </row>
    <row r="127" spans="64:88" x14ac:dyDescent="0.15">
      <c r="CI127" s="197" t="s">
        <v>2782</v>
      </c>
      <c r="CJ127" s="197" t="s">
        <v>2781</v>
      </c>
    </row>
    <row r="128" spans="64:88" x14ac:dyDescent="0.15">
      <c r="CI128" s="442">
        <f>AQ14</f>
        <v>0</v>
      </c>
      <c r="CJ128" s="441" t="str">
        <f>IF(COUNTIF(CJ126,"*"&amp;CI128&amp;"*")&gt;0,"OK","NG")</f>
        <v>NG</v>
      </c>
    </row>
    <row r="129" spans="63:88" x14ac:dyDescent="0.15">
      <c r="BM129" s="746" t="s">
        <v>2679</v>
      </c>
      <c r="BN129" s="767">
        <f>IF(OR(BN110,BN113),BN86,IF(BN116,BN105,0))</f>
        <v>0</v>
      </c>
      <c r="BO129" s="767">
        <f t="shared" ref="BO129:CE129" si="92">IF(OR(BO110,BO113),BO86,IF(BO116,BO105,0))</f>
        <v>0</v>
      </c>
      <c r="BP129" s="767">
        <f t="shared" si="92"/>
        <v>0</v>
      </c>
      <c r="BQ129" s="767">
        <f t="shared" si="92"/>
        <v>0</v>
      </c>
      <c r="BR129" s="767">
        <f t="shared" si="92"/>
        <v>0</v>
      </c>
      <c r="BS129" s="767">
        <f t="shared" si="92"/>
        <v>0</v>
      </c>
      <c r="BT129" s="767">
        <f t="shared" si="92"/>
        <v>0</v>
      </c>
      <c r="BU129" s="767">
        <f t="shared" si="92"/>
        <v>0</v>
      </c>
      <c r="BV129" s="767">
        <f t="shared" si="92"/>
        <v>0</v>
      </c>
      <c r="BW129" s="767">
        <f t="shared" si="92"/>
        <v>0</v>
      </c>
      <c r="BX129" s="767">
        <f t="shared" si="92"/>
        <v>0</v>
      </c>
      <c r="BY129" s="767">
        <f t="shared" si="92"/>
        <v>0</v>
      </c>
      <c r="BZ129" s="767">
        <f t="shared" si="92"/>
        <v>0</v>
      </c>
      <c r="CA129" s="767">
        <f t="shared" si="92"/>
        <v>0</v>
      </c>
      <c r="CB129" s="767">
        <f t="shared" si="92"/>
        <v>0</v>
      </c>
      <c r="CC129" s="767">
        <f t="shared" si="92"/>
        <v>0</v>
      </c>
      <c r="CD129" s="767">
        <f t="shared" si="92"/>
        <v>0</v>
      </c>
      <c r="CE129" s="767">
        <f t="shared" si="92"/>
        <v>0</v>
      </c>
    </row>
    <row r="130" spans="63:88" x14ac:dyDescent="0.15">
      <c r="BM130" s="746" t="s">
        <v>2682</v>
      </c>
      <c r="BN130" s="767" t="str">
        <f>IF(MAX($BN129:$CE129)=BN129,BN125,"")</f>
        <v/>
      </c>
      <c r="BO130" s="767" t="str">
        <f t="shared" ref="BO130:CE130" si="93">IF(MAX($BN129:$CE129)=BO129,BO125,"")</f>
        <v/>
      </c>
      <c r="BP130" s="767" t="str">
        <f t="shared" si="93"/>
        <v/>
      </c>
      <c r="BQ130" s="767" t="str">
        <f t="shared" si="93"/>
        <v/>
      </c>
      <c r="BR130" s="767" t="str">
        <f t="shared" si="93"/>
        <v/>
      </c>
      <c r="BS130" s="767" t="str">
        <f t="shared" si="93"/>
        <v/>
      </c>
      <c r="BT130" s="767" t="str">
        <f t="shared" si="93"/>
        <v/>
      </c>
      <c r="BU130" s="767" t="str">
        <f t="shared" si="93"/>
        <v/>
      </c>
      <c r="BV130" s="767" t="str">
        <f t="shared" si="93"/>
        <v/>
      </c>
      <c r="BW130" s="767" t="str">
        <f t="shared" si="93"/>
        <v/>
      </c>
      <c r="BX130" s="767" t="str">
        <f t="shared" si="93"/>
        <v/>
      </c>
      <c r="BY130" s="767" t="str">
        <f t="shared" si="93"/>
        <v/>
      </c>
      <c r="BZ130" s="767" t="str">
        <f t="shared" si="93"/>
        <v/>
      </c>
      <c r="CA130" s="767" t="str">
        <f t="shared" si="93"/>
        <v/>
      </c>
      <c r="CB130" s="767" t="str">
        <f t="shared" si="93"/>
        <v/>
      </c>
      <c r="CC130" s="767" t="str">
        <f t="shared" si="93"/>
        <v/>
      </c>
      <c r="CD130" s="767" t="str">
        <f t="shared" si="93"/>
        <v/>
      </c>
      <c r="CE130" s="767" t="str">
        <f t="shared" si="93"/>
        <v/>
      </c>
      <c r="CJ130" s="441" t="str">
        <f>CONCATENATE(BN130,BO130,BP130,BQ130,BR130,BS130,BT130,BU130,BV130,BW130,BX130,BY130,BZ130,CA130,CB130,CC130,CD130,CE130,CF130,CG130,CH130)</f>
        <v/>
      </c>
    </row>
    <row r="131" spans="63:88" x14ac:dyDescent="0.15">
      <c r="CJ131" s="197" t="s">
        <v>2779</v>
      </c>
    </row>
    <row r="132" spans="63:88" x14ac:dyDescent="0.15">
      <c r="CJ132" s="441" t="str">
        <f>IF(CJ130&lt;&gt;"",CJ130,CH125)</f>
        <v/>
      </c>
    </row>
    <row r="133" spans="63:88" x14ac:dyDescent="0.15">
      <c r="BL133" s="746" t="s">
        <v>2654</v>
      </c>
      <c r="CJ133" s="197" t="s">
        <v>2654</v>
      </c>
    </row>
    <row r="134" spans="63:88" x14ac:dyDescent="0.15">
      <c r="BM134" s="748">
        <v>1</v>
      </c>
      <c r="BN134" s="767" t="b">
        <f t="shared" ref="BN134:CE134" si="94">AND(BN$125&lt;&gt;"",BN29)</f>
        <v>0</v>
      </c>
      <c r="BO134" s="767" t="b">
        <f t="shared" si="94"/>
        <v>0</v>
      </c>
      <c r="BP134" s="767" t="b">
        <f t="shared" si="94"/>
        <v>0</v>
      </c>
      <c r="BQ134" s="767" t="b">
        <f t="shared" si="94"/>
        <v>0</v>
      </c>
      <c r="BR134" s="767" t="b">
        <f t="shared" si="94"/>
        <v>0</v>
      </c>
      <c r="BS134" s="767" t="b">
        <f t="shared" si="94"/>
        <v>0</v>
      </c>
      <c r="BT134" s="767" t="b">
        <f t="shared" si="94"/>
        <v>0</v>
      </c>
      <c r="BU134" s="767" t="b">
        <f t="shared" si="94"/>
        <v>0</v>
      </c>
      <c r="BV134" s="767" t="b">
        <f t="shared" si="94"/>
        <v>0</v>
      </c>
      <c r="BW134" s="767" t="b">
        <f t="shared" si="94"/>
        <v>0</v>
      </c>
      <c r="BX134" s="767" t="b">
        <f t="shared" si="94"/>
        <v>0</v>
      </c>
      <c r="BY134" s="767" t="b">
        <f t="shared" si="94"/>
        <v>0</v>
      </c>
      <c r="BZ134" s="767" t="b">
        <f t="shared" si="94"/>
        <v>0</v>
      </c>
      <c r="CA134" s="767" t="b">
        <f t="shared" si="94"/>
        <v>0</v>
      </c>
      <c r="CB134" s="767" t="b">
        <f t="shared" si="94"/>
        <v>0</v>
      </c>
      <c r="CC134" s="767" t="b">
        <f t="shared" si="94"/>
        <v>0</v>
      </c>
      <c r="CD134" s="767" t="b">
        <f t="shared" si="94"/>
        <v>0</v>
      </c>
      <c r="CE134" s="767" t="b">
        <f t="shared" si="94"/>
        <v>0</v>
      </c>
      <c r="CF134" s="748"/>
      <c r="CG134" s="748"/>
      <c r="CH134" s="767" t="b">
        <f>AND(CH$125&lt;&gt;"",CH29)</f>
        <v>0</v>
      </c>
      <c r="CJ134" s="441" t="b">
        <f>OR(BN134,BO134,BP134,BQ134,BR134,BS134,BT134,BU134,BV134,BW134,BX134,BY134,BZ134,CA134,CB134,CC134,CD134,CE134,CF134,CG134,CH134)</f>
        <v>0</v>
      </c>
    </row>
    <row r="135" spans="63:88" x14ac:dyDescent="0.15">
      <c r="BM135" s="748">
        <v>2</v>
      </c>
      <c r="BN135" s="767" t="b">
        <f t="shared" ref="BN135:CE135" si="95">AND(BN$125&lt;&gt;"",BN30)</f>
        <v>0</v>
      </c>
      <c r="BO135" s="767" t="b">
        <f t="shared" si="95"/>
        <v>0</v>
      </c>
      <c r="BP135" s="767" t="b">
        <f t="shared" si="95"/>
        <v>0</v>
      </c>
      <c r="BQ135" s="767" t="b">
        <f t="shared" si="95"/>
        <v>0</v>
      </c>
      <c r="BR135" s="767" t="b">
        <f t="shared" si="95"/>
        <v>0</v>
      </c>
      <c r="BS135" s="767" t="b">
        <f t="shared" si="95"/>
        <v>0</v>
      </c>
      <c r="BT135" s="767" t="b">
        <f t="shared" si="95"/>
        <v>0</v>
      </c>
      <c r="BU135" s="767" t="b">
        <f t="shared" si="95"/>
        <v>0</v>
      </c>
      <c r="BV135" s="767" t="b">
        <f t="shared" si="95"/>
        <v>0</v>
      </c>
      <c r="BW135" s="767" t="b">
        <f t="shared" si="95"/>
        <v>0</v>
      </c>
      <c r="BX135" s="767" t="b">
        <f t="shared" si="95"/>
        <v>0</v>
      </c>
      <c r="BY135" s="767" t="b">
        <f t="shared" si="95"/>
        <v>0</v>
      </c>
      <c r="BZ135" s="767" t="b">
        <f t="shared" si="95"/>
        <v>0</v>
      </c>
      <c r="CA135" s="767" t="b">
        <f t="shared" si="95"/>
        <v>0</v>
      </c>
      <c r="CB135" s="767" t="b">
        <f t="shared" si="95"/>
        <v>0</v>
      </c>
      <c r="CC135" s="767" t="b">
        <f t="shared" si="95"/>
        <v>0</v>
      </c>
      <c r="CD135" s="767" t="b">
        <f t="shared" si="95"/>
        <v>0</v>
      </c>
      <c r="CE135" s="767" t="b">
        <f t="shared" si="95"/>
        <v>0</v>
      </c>
      <c r="CF135" s="748"/>
      <c r="CG135" s="748"/>
      <c r="CH135" s="767" t="b">
        <f>AND(CH$125&lt;&gt;"",CH30)</f>
        <v>0</v>
      </c>
      <c r="CJ135" s="441" t="b">
        <f t="shared" ref="CJ135:CJ136" si="96">OR(BN135,BO135,BP135,BQ135,BR135,BS135,BT135,BU135,BV135,BW135,BX135,BY135,BZ135,CA135,CB135,CC135,CD135,CE135,CF135,CG135,CH135)</f>
        <v>0</v>
      </c>
    </row>
    <row r="136" spans="63:88" x14ac:dyDescent="0.15">
      <c r="BM136" s="748">
        <v>3</v>
      </c>
      <c r="BN136" s="767" t="b">
        <f t="shared" ref="BN136:CE136" si="97">AND(BN$125&lt;&gt;"",BN31)</f>
        <v>0</v>
      </c>
      <c r="BO136" s="767" t="b">
        <f t="shared" si="97"/>
        <v>0</v>
      </c>
      <c r="BP136" s="767" t="b">
        <f t="shared" si="97"/>
        <v>0</v>
      </c>
      <c r="BQ136" s="767" t="b">
        <f t="shared" si="97"/>
        <v>0</v>
      </c>
      <c r="BR136" s="767" t="b">
        <f t="shared" si="97"/>
        <v>0</v>
      </c>
      <c r="BS136" s="767" t="b">
        <f t="shared" si="97"/>
        <v>0</v>
      </c>
      <c r="BT136" s="767" t="b">
        <f t="shared" si="97"/>
        <v>0</v>
      </c>
      <c r="BU136" s="767" t="b">
        <f t="shared" si="97"/>
        <v>0</v>
      </c>
      <c r="BV136" s="767" t="b">
        <f t="shared" si="97"/>
        <v>0</v>
      </c>
      <c r="BW136" s="767" t="b">
        <f t="shared" si="97"/>
        <v>0</v>
      </c>
      <c r="BX136" s="767" t="b">
        <f t="shared" si="97"/>
        <v>0</v>
      </c>
      <c r="BY136" s="767" t="b">
        <f t="shared" si="97"/>
        <v>0</v>
      </c>
      <c r="BZ136" s="767" t="b">
        <f t="shared" si="97"/>
        <v>0</v>
      </c>
      <c r="CA136" s="767" t="b">
        <f t="shared" si="97"/>
        <v>0</v>
      </c>
      <c r="CB136" s="767" t="b">
        <f t="shared" si="97"/>
        <v>0</v>
      </c>
      <c r="CC136" s="767" t="b">
        <f t="shared" si="97"/>
        <v>0</v>
      </c>
      <c r="CD136" s="767" t="b">
        <f t="shared" si="97"/>
        <v>0</v>
      </c>
      <c r="CE136" s="767" t="b">
        <f t="shared" si="97"/>
        <v>0</v>
      </c>
      <c r="CF136" s="748"/>
      <c r="CG136" s="748"/>
      <c r="CH136" s="767" t="b">
        <f>AND(CH$125&lt;&gt;"",CH31)</f>
        <v>0</v>
      </c>
      <c r="CJ136" s="441" t="b">
        <f t="shared" si="96"/>
        <v>0</v>
      </c>
    </row>
    <row r="137" spans="63:88" x14ac:dyDescent="0.15">
      <c r="BM137" s="746" t="s">
        <v>2667</v>
      </c>
      <c r="CJ137" s="441" t="str">
        <f>IF(CJ134,BM134&amp;"/","")&amp;IF(CJ135,BM135&amp;"/","")&amp;IF(CJ136,BM136&amp;"/","")</f>
        <v/>
      </c>
    </row>
    <row r="138" spans="63:88" x14ac:dyDescent="0.15">
      <c r="CH138" s="197"/>
      <c r="CI138" s="197" t="s">
        <v>2692</v>
      </c>
      <c r="CJ138" s="197" t="s">
        <v>2655</v>
      </c>
    </row>
    <row r="139" spans="63:88" x14ac:dyDescent="0.15">
      <c r="CH139" s="197"/>
      <c r="CI139" s="441">
        <f>VLOOKUP(AO14,AO15:AP17,2,FALSE)+'1_入力シート【基本情報】'!M4</f>
        <v>2018</v>
      </c>
      <c r="CJ139" s="441" t="str">
        <f>IF(INDEX(CJ134:CJ136,MOD(CI139,3)+1),"OK","NG")</f>
        <v>NG</v>
      </c>
    </row>
    <row r="141" spans="63:88" x14ac:dyDescent="0.15">
      <c r="BK141" s="746" t="s">
        <v>2475</v>
      </c>
      <c r="BL141" s="746" t="s">
        <v>2636</v>
      </c>
    </row>
    <row r="142" spans="63:88" x14ac:dyDescent="0.15">
      <c r="BM142" s="746" t="s">
        <v>2678</v>
      </c>
      <c r="BN142" s="748" t="b">
        <v>1</v>
      </c>
      <c r="BO142" s="748" t="b">
        <v>1</v>
      </c>
      <c r="BP142" s="748" t="b">
        <v>1</v>
      </c>
      <c r="BQ142" s="748" t="b">
        <v>1</v>
      </c>
      <c r="BR142" s="748" t="b">
        <v>0</v>
      </c>
      <c r="BS142" s="748" t="b">
        <v>0</v>
      </c>
      <c r="BT142" s="748" t="b">
        <v>1</v>
      </c>
      <c r="BU142" s="748" t="b">
        <v>1</v>
      </c>
      <c r="BV142" s="748" t="b">
        <v>1</v>
      </c>
      <c r="BW142" s="748" t="b">
        <v>1</v>
      </c>
      <c r="BX142" s="748" t="b">
        <v>1</v>
      </c>
      <c r="BY142" s="748" t="b">
        <v>1</v>
      </c>
      <c r="BZ142" s="748" t="b">
        <v>1</v>
      </c>
      <c r="CA142" s="748" t="b">
        <v>1</v>
      </c>
      <c r="CB142" s="748" t="b">
        <v>1</v>
      </c>
      <c r="CC142" s="748" t="b">
        <v>1</v>
      </c>
      <c r="CD142" s="748" t="b">
        <v>1</v>
      </c>
      <c r="CE142" s="748" t="b">
        <v>1</v>
      </c>
    </row>
    <row r="143" spans="63:88" x14ac:dyDescent="0.15">
      <c r="BM143" s="746" t="s">
        <v>2480</v>
      </c>
      <c r="BN143" s="767">
        <f t="shared" ref="BN143:CE143" si="98">BN105*BN142</f>
        <v>0</v>
      </c>
      <c r="BO143" s="767">
        <f t="shared" si="98"/>
        <v>0</v>
      </c>
      <c r="BP143" s="767">
        <f t="shared" si="98"/>
        <v>0</v>
      </c>
      <c r="BQ143" s="767">
        <f t="shared" si="98"/>
        <v>0</v>
      </c>
      <c r="BR143" s="767">
        <f t="shared" si="98"/>
        <v>0</v>
      </c>
      <c r="BS143" s="767">
        <f t="shared" si="98"/>
        <v>0</v>
      </c>
      <c r="BT143" s="767">
        <f t="shared" si="98"/>
        <v>0</v>
      </c>
      <c r="BU143" s="767">
        <f t="shared" si="98"/>
        <v>0</v>
      </c>
      <c r="BV143" s="767">
        <f t="shared" si="98"/>
        <v>0</v>
      </c>
      <c r="BW143" s="767">
        <f t="shared" si="98"/>
        <v>0</v>
      </c>
      <c r="BX143" s="767">
        <f t="shared" si="98"/>
        <v>0</v>
      </c>
      <c r="BY143" s="767">
        <f t="shared" si="98"/>
        <v>0</v>
      </c>
      <c r="BZ143" s="767">
        <f t="shared" si="98"/>
        <v>0</v>
      </c>
      <c r="CA143" s="767">
        <f t="shared" si="98"/>
        <v>0</v>
      </c>
      <c r="CB143" s="767">
        <f t="shared" si="98"/>
        <v>0</v>
      </c>
      <c r="CC143" s="767">
        <f t="shared" si="98"/>
        <v>0</v>
      </c>
      <c r="CD143" s="767">
        <f t="shared" si="98"/>
        <v>0</v>
      </c>
      <c r="CE143" s="767">
        <f t="shared" si="98"/>
        <v>0</v>
      </c>
      <c r="CH143" s="767">
        <f>SUM(BN143:CE143)</f>
        <v>0</v>
      </c>
    </row>
    <row r="144" spans="63:88" x14ac:dyDescent="0.15">
      <c r="BL144" s="746" t="s">
        <v>2474</v>
      </c>
    </row>
    <row r="145" spans="63:88" x14ac:dyDescent="0.15">
      <c r="BM145" s="746" t="s">
        <v>2641</v>
      </c>
      <c r="BN145" s="767" t="b">
        <f t="shared" ref="BN145:CE145" si="99">IF(BN49="&gt;",BN143&gt;BN47,IF(BN49="&gt;=",BN143&gt;=BN47,FALSE))</f>
        <v>0</v>
      </c>
      <c r="BO145" s="767" t="b">
        <f t="shared" si="99"/>
        <v>0</v>
      </c>
      <c r="BP145" s="767" t="b">
        <f t="shared" si="99"/>
        <v>0</v>
      </c>
      <c r="BQ145" s="767" t="b">
        <f t="shared" si="99"/>
        <v>0</v>
      </c>
      <c r="BR145" s="767" t="b">
        <f t="shared" si="99"/>
        <v>0</v>
      </c>
      <c r="BS145" s="767" t="b">
        <f t="shared" si="99"/>
        <v>0</v>
      </c>
      <c r="BT145" s="767" t="b">
        <f t="shared" si="99"/>
        <v>0</v>
      </c>
      <c r="BU145" s="767" t="b">
        <f t="shared" si="99"/>
        <v>0</v>
      </c>
      <c r="BV145" s="767" t="b">
        <f t="shared" si="99"/>
        <v>0</v>
      </c>
      <c r="BW145" s="767" t="b">
        <f t="shared" si="99"/>
        <v>0</v>
      </c>
      <c r="BX145" s="767" t="b">
        <f t="shared" si="99"/>
        <v>0</v>
      </c>
      <c r="BY145" s="767" t="b">
        <f t="shared" si="99"/>
        <v>0</v>
      </c>
      <c r="BZ145" s="767" t="b">
        <f t="shared" si="99"/>
        <v>0</v>
      </c>
      <c r="CA145" s="767" t="b">
        <f t="shared" si="99"/>
        <v>0</v>
      </c>
      <c r="CB145" s="767" t="b">
        <f t="shared" si="99"/>
        <v>0</v>
      </c>
      <c r="CC145" s="767" t="b">
        <f t="shared" si="99"/>
        <v>0</v>
      </c>
      <c r="CD145" s="767" t="b">
        <f t="shared" si="99"/>
        <v>0</v>
      </c>
      <c r="CE145" s="767" t="b">
        <f t="shared" si="99"/>
        <v>0</v>
      </c>
      <c r="CF145" s="748" t="b">
        <v>0</v>
      </c>
      <c r="CG145" s="748" t="b">
        <v>0</v>
      </c>
      <c r="CH145" s="767" t="b">
        <f>IF(CH49="&gt;",CH143&gt;CH47,IF(CH49="&gt;=",CH143&gt;=CH47,FALSE))</f>
        <v>0</v>
      </c>
      <c r="CJ145" s="197" t="s">
        <v>2650</v>
      </c>
    </row>
    <row r="146" spans="63:88" x14ac:dyDescent="0.15">
      <c r="BM146" s="746" t="s">
        <v>2642</v>
      </c>
      <c r="BN146" s="767" t="str">
        <f t="shared" ref="BN146:CE146" si="100">IF(BN145,BN$2,"")</f>
        <v/>
      </c>
      <c r="BO146" s="767" t="str">
        <f t="shared" si="100"/>
        <v/>
      </c>
      <c r="BP146" s="767" t="str">
        <f t="shared" si="100"/>
        <v/>
      </c>
      <c r="BQ146" s="767" t="str">
        <f t="shared" si="100"/>
        <v/>
      </c>
      <c r="BR146" s="767" t="str">
        <f t="shared" si="100"/>
        <v/>
      </c>
      <c r="BS146" s="767" t="str">
        <f t="shared" si="100"/>
        <v/>
      </c>
      <c r="BT146" s="767" t="str">
        <f t="shared" si="100"/>
        <v/>
      </c>
      <c r="BU146" s="767" t="str">
        <f t="shared" si="100"/>
        <v/>
      </c>
      <c r="BV146" s="767" t="str">
        <f t="shared" si="100"/>
        <v/>
      </c>
      <c r="BW146" s="767" t="str">
        <f t="shared" si="100"/>
        <v/>
      </c>
      <c r="BX146" s="767" t="str">
        <f t="shared" si="100"/>
        <v/>
      </c>
      <c r="BY146" s="767" t="str">
        <f t="shared" si="100"/>
        <v/>
      </c>
      <c r="BZ146" s="767" t="str">
        <f t="shared" si="100"/>
        <v/>
      </c>
      <c r="CA146" s="767" t="str">
        <f t="shared" si="100"/>
        <v/>
      </c>
      <c r="CB146" s="767" t="str">
        <f t="shared" si="100"/>
        <v/>
      </c>
      <c r="CC146" s="767" t="str">
        <f t="shared" si="100"/>
        <v/>
      </c>
      <c r="CD146" s="767" t="str">
        <f t="shared" si="100"/>
        <v/>
      </c>
      <c r="CE146" s="767" t="str">
        <f t="shared" si="100"/>
        <v/>
      </c>
      <c r="CF146" s="748"/>
      <c r="CG146" s="748"/>
      <c r="CH146" s="767" t="str">
        <f>IF(CH145,CH$2,"")</f>
        <v/>
      </c>
      <c r="CJ146" s="441" t="str">
        <f>CONCATENATE(BN146,BO146,BP146,BQ146,BR146,BS146,BT146,BU146,BV146,BW146,BX146,BY146,BZ146,CA146,CB146,CC146,CD146,CE146,CF146,CG146,CH146)</f>
        <v/>
      </c>
    </row>
    <row r="147" spans="63:88" x14ac:dyDescent="0.15">
      <c r="BL147" s="746" t="s">
        <v>2680</v>
      </c>
    </row>
    <row r="148" spans="63:88" x14ac:dyDescent="0.15">
      <c r="BM148" s="746" t="s">
        <v>2681</v>
      </c>
      <c r="BN148" s="767" t="str">
        <f t="shared" ref="BN148:CE148" si="101">IF(BN145,LEFT(BN2,1),"")</f>
        <v/>
      </c>
      <c r="BO148" s="767" t="str">
        <f t="shared" si="101"/>
        <v/>
      </c>
      <c r="BP148" s="767" t="str">
        <f t="shared" si="101"/>
        <v/>
      </c>
      <c r="BQ148" s="767" t="str">
        <f t="shared" si="101"/>
        <v/>
      </c>
      <c r="BR148" s="767" t="str">
        <f t="shared" si="101"/>
        <v/>
      </c>
      <c r="BS148" s="767" t="str">
        <f t="shared" si="101"/>
        <v/>
      </c>
      <c r="BT148" s="767" t="str">
        <f t="shared" si="101"/>
        <v/>
      </c>
      <c r="BU148" s="767" t="str">
        <f t="shared" si="101"/>
        <v/>
      </c>
      <c r="BV148" s="767" t="str">
        <f t="shared" si="101"/>
        <v/>
      </c>
      <c r="BW148" s="767" t="str">
        <f t="shared" si="101"/>
        <v/>
      </c>
      <c r="BX148" s="767" t="str">
        <f t="shared" si="101"/>
        <v/>
      </c>
      <c r="BY148" s="767" t="str">
        <f t="shared" si="101"/>
        <v/>
      </c>
      <c r="BZ148" s="767" t="str">
        <f t="shared" si="101"/>
        <v/>
      </c>
      <c r="CA148" s="767" t="str">
        <f t="shared" si="101"/>
        <v/>
      </c>
      <c r="CB148" s="767" t="str">
        <f t="shared" si="101"/>
        <v/>
      </c>
      <c r="CC148" s="767" t="str">
        <f t="shared" si="101"/>
        <v/>
      </c>
      <c r="CD148" s="767" t="str">
        <f t="shared" si="101"/>
        <v/>
      </c>
      <c r="CE148" s="767" t="str">
        <f t="shared" si="101"/>
        <v/>
      </c>
      <c r="CF148" s="748"/>
      <c r="CG148" s="748"/>
      <c r="CH148" s="767" t="str">
        <f>IF(CH145,LEFT(CH2,1),"")</f>
        <v/>
      </c>
    </row>
    <row r="149" spans="63:88" x14ac:dyDescent="0.15">
      <c r="BM149" s="746" t="s">
        <v>2679</v>
      </c>
      <c r="BN149" s="767">
        <f t="shared" ref="BN149:CE149" si="102">BN143*BN145</f>
        <v>0</v>
      </c>
      <c r="BO149" s="767">
        <f t="shared" si="102"/>
        <v>0</v>
      </c>
      <c r="BP149" s="767">
        <f t="shared" si="102"/>
        <v>0</v>
      </c>
      <c r="BQ149" s="767">
        <f t="shared" si="102"/>
        <v>0</v>
      </c>
      <c r="BR149" s="767">
        <f t="shared" si="102"/>
        <v>0</v>
      </c>
      <c r="BS149" s="767">
        <f t="shared" si="102"/>
        <v>0</v>
      </c>
      <c r="BT149" s="767">
        <f t="shared" si="102"/>
        <v>0</v>
      </c>
      <c r="BU149" s="767">
        <f t="shared" si="102"/>
        <v>0</v>
      </c>
      <c r="BV149" s="767">
        <f t="shared" si="102"/>
        <v>0</v>
      </c>
      <c r="BW149" s="767">
        <f t="shared" si="102"/>
        <v>0</v>
      </c>
      <c r="BX149" s="767">
        <f t="shared" si="102"/>
        <v>0</v>
      </c>
      <c r="BY149" s="767">
        <f t="shared" si="102"/>
        <v>0</v>
      </c>
      <c r="BZ149" s="767">
        <f t="shared" si="102"/>
        <v>0</v>
      </c>
      <c r="CA149" s="767">
        <f t="shared" si="102"/>
        <v>0</v>
      </c>
      <c r="CB149" s="767">
        <f t="shared" si="102"/>
        <v>0</v>
      </c>
      <c r="CC149" s="767">
        <f t="shared" si="102"/>
        <v>0</v>
      </c>
      <c r="CD149" s="767">
        <f t="shared" si="102"/>
        <v>0</v>
      </c>
      <c r="CE149" s="767">
        <f t="shared" si="102"/>
        <v>0</v>
      </c>
      <c r="CF149" s="748"/>
      <c r="CG149" s="748"/>
      <c r="CH149" s="767">
        <f>CH143*CH145</f>
        <v>0</v>
      </c>
    </row>
    <row r="150" spans="63:88" x14ac:dyDescent="0.15">
      <c r="BM150" s="746" t="s">
        <v>2682</v>
      </c>
      <c r="BN150" s="767" t="str">
        <f t="shared" ref="BN150:CE150" si="103">IF(MAX($BN149:$CE149)=BN149,BN148,"")</f>
        <v/>
      </c>
      <c r="BO150" s="767" t="str">
        <f t="shared" si="103"/>
        <v/>
      </c>
      <c r="BP150" s="767" t="str">
        <f t="shared" si="103"/>
        <v/>
      </c>
      <c r="BQ150" s="767" t="str">
        <f t="shared" si="103"/>
        <v/>
      </c>
      <c r="BR150" s="767" t="str">
        <f t="shared" si="103"/>
        <v/>
      </c>
      <c r="BS150" s="767" t="str">
        <f t="shared" si="103"/>
        <v/>
      </c>
      <c r="BT150" s="767" t="str">
        <f t="shared" si="103"/>
        <v/>
      </c>
      <c r="BU150" s="767" t="str">
        <f t="shared" si="103"/>
        <v/>
      </c>
      <c r="BV150" s="767" t="str">
        <f t="shared" si="103"/>
        <v/>
      </c>
      <c r="BW150" s="767" t="str">
        <f t="shared" si="103"/>
        <v/>
      </c>
      <c r="BX150" s="767" t="str">
        <f t="shared" si="103"/>
        <v/>
      </c>
      <c r="BY150" s="767" t="str">
        <f t="shared" si="103"/>
        <v/>
      </c>
      <c r="BZ150" s="767" t="str">
        <f t="shared" si="103"/>
        <v/>
      </c>
      <c r="CA150" s="767" t="str">
        <f t="shared" si="103"/>
        <v/>
      </c>
      <c r="CB150" s="767" t="str">
        <f t="shared" si="103"/>
        <v/>
      </c>
      <c r="CC150" s="767" t="str">
        <f t="shared" si="103"/>
        <v/>
      </c>
      <c r="CD150" s="767" t="str">
        <f t="shared" si="103"/>
        <v/>
      </c>
      <c r="CE150" s="767" t="str">
        <f t="shared" si="103"/>
        <v/>
      </c>
      <c r="CJ150" s="441" t="str">
        <f>CONCATENATE(BN150,BO150,BP150,BQ150,BR150,BS150,BT150,BU150,BV150,BW150,BX150,BY150,BZ150,CA150,CB150,CC150,CD150,CE150,CF150,CG150,CH150)</f>
        <v/>
      </c>
    </row>
    <row r="152" spans="63:88" x14ac:dyDescent="0.15">
      <c r="BK152" s="746" t="s">
        <v>2473</v>
      </c>
      <c r="BL152" s="746" t="s">
        <v>2472</v>
      </c>
    </row>
    <row r="153" spans="63:88" x14ac:dyDescent="0.15">
      <c r="BN153" s="767" t="b">
        <f t="shared" ref="BN153:CC153" si="104">BN110</f>
        <v>0</v>
      </c>
      <c r="BO153" s="767" t="b">
        <f t="shared" si="104"/>
        <v>0</v>
      </c>
      <c r="BP153" s="767" t="b">
        <f t="shared" si="104"/>
        <v>0</v>
      </c>
      <c r="BQ153" s="767" t="b">
        <f t="shared" si="104"/>
        <v>0</v>
      </c>
      <c r="BR153" s="767" t="b">
        <f t="shared" si="104"/>
        <v>0</v>
      </c>
      <c r="BS153" s="767" t="b">
        <f t="shared" si="104"/>
        <v>0</v>
      </c>
      <c r="BT153" s="767" t="b">
        <f t="shared" si="104"/>
        <v>0</v>
      </c>
      <c r="BU153" s="767" t="b">
        <f t="shared" si="104"/>
        <v>0</v>
      </c>
      <c r="BV153" s="767" t="b">
        <f t="shared" si="104"/>
        <v>0</v>
      </c>
      <c r="BW153" s="767" t="b">
        <f t="shared" si="104"/>
        <v>0</v>
      </c>
      <c r="BX153" s="767" t="b">
        <f t="shared" si="104"/>
        <v>0</v>
      </c>
      <c r="BY153" s="767" t="b">
        <f t="shared" si="104"/>
        <v>0</v>
      </c>
      <c r="BZ153" s="767" t="b">
        <f t="shared" si="104"/>
        <v>0</v>
      </c>
      <c r="CA153" s="767" t="b">
        <f t="shared" si="104"/>
        <v>0</v>
      </c>
      <c r="CB153" s="767" t="b">
        <f t="shared" si="104"/>
        <v>0</v>
      </c>
      <c r="CC153" s="767" t="b">
        <f t="shared" si="104"/>
        <v>0</v>
      </c>
    </row>
    <row r="154" spans="63:88" x14ac:dyDescent="0.15">
      <c r="BL154" s="746" t="s">
        <v>2471</v>
      </c>
    </row>
    <row r="155" spans="63:88" x14ac:dyDescent="0.15">
      <c r="BN155" s="748" t="b">
        <v>0</v>
      </c>
      <c r="BO155" s="748" t="b">
        <v>0</v>
      </c>
      <c r="BP155" s="767" t="b">
        <f>IF(BP53="&gt;",BP59&gt;BP51,IF(BP53="&gt;=",BP59&gt;=BP51,FALSE))</f>
        <v>0</v>
      </c>
      <c r="BQ155" s="748" t="b">
        <v>0</v>
      </c>
      <c r="BR155" s="748" t="b">
        <v>0</v>
      </c>
      <c r="BS155" s="748" t="b">
        <v>0</v>
      </c>
      <c r="BT155" s="748" t="b">
        <v>0</v>
      </c>
      <c r="BU155" s="767" t="b">
        <f>IF(BU53="&gt;",BU59&gt;BU51,IF(BU53="&gt;=",BU59&gt;=BU51,FALSE))</f>
        <v>0</v>
      </c>
      <c r="BV155" s="748" t="b">
        <v>0</v>
      </c>
      <c r="BW155" s="748" t="b">
        <v>0</v>
      </c>
      <c r="BX155" s="748" t="b">
        <v>0</v>
      </c>
      <c r="BY155" s="748" t="b">
        <v>0</v>
      </c>
      <c r="BZ155" s="748" t="b">
        <v>0</v>
      </c>
      <c r="CA155" s="748" t="b">
        <v>0</v>
      </c>
      <c r="CB155" s="748" t="b">
        <v>0</v>
      </c>
      <c r="CC155" s="748" t="b">
        <v>0</v>
      </c>
    </row>
    <row r="157" spans="63:88" x14ac:dyDescent="0.15">
      <c r="BL157" s="746" t="s">
        <v>2470</v>
      </c>
    </row>
    <row r="158" spans="63:88" x14ac:dyDescent="0.15">
      <c r="BM158" s="746" t="s">
        <v>2641</v>
      </c>
      <c r="BN158" s="767" t="b">
        <f t="shared" ref="BN158:CC158" si="105">OR(BN153,BN155)</f>
        <v>0</v>
      </c>
      <c r="BO158" s="767" t="b">
        <f t="shared" si="105"/>
        <v>0</v>
      </c>
      <c r="BP158" s="767" t="b">
        <f t="shared" si="105"/>
        <v>0</v>
      </c>
      <c r="BQ158" s="767" t="b">
        <f t="shared" si="105"/>
        <v>0</v>
      </c>
      <c r="BR158" s="767" t="b">
        <f t="shared" si="105"/>
        <v>0</v>
      </c>
      <c r="BS158" s="767" t="b">
        <f t="shared" si="105"/>
        <v>0</v>
      </c>
      <c r="BT158" s="767" t="b">
        <f t="shared" si="105"/>
        <v>0</v>
      </c>
      <c r="BU158" s="767" t="b">
        <f t="shared" si="105"/>
        <v>0</v>
      </c>
      <c r="BV158" s="767" t="b">
        <f t="shared" si="105"/>
        <v>0</v>
      </c>
      <c r="BW158" s="767" t="b">
        <f t="shared" si="105"/>
        <v>0</v>
      </c>
      <c r="BX158" s="767" t="b">
        <f t="shared" si="105"/>
        <v>0</v>
      </c>
      <c r="BY158" s="767" t="b">
        <f t="shared" si="105"/>
        <v>0</v>
      </c>
      <c r="BZ158" s="767" t="b">
        <f t="shared" si="105"/>
        <v>0</v>
      </c>
      <c r="CA158" s="767" t="b">
        <f t="shared" si="105"/>
        <v>0</v>
      </c>
      <c r="CB158" s="767" t="b">
        <f t="shared" si="105"/>
        <v>0</v>
      </c>
      <c r="CC158" s="767" t="b">
        <f t="shared" si="105"/>
        <v>0</v>
      </c>
      <c r="CD158" s="748" t="b">
        <v>0</v>
      </c>
      <c r="CE158" s="748" t="b">
        <v>0</v>
      </c>
      <c r="CF158" s="748" t="b">
        <v>0</v>
      </c>
      <c r="CG158" s="748" t="b">
        <v>0</v>
      </c>
      <c r="CH158" s="748" t="b">
        <v>0</v>
      </c>
      <c r="CJ158" s="197" t="s">
        <v>2651</v>
      </c>
    </row>
    <row r="159" spans="63:88" x14ac:dyDescent="0.15">
      <c r="BM159" s="746" t="s">
        <v>2642</v>
      </c>
      <c r="BN159" s="767" t="str">
        <f t="shared" ref="BN159:CC159" si="106">IF(BN158,BN$2,"")</f>
        <v/>
      </c>
      <c r="BO159" s="767" t="str">
        <f t="shared" si="106"/>
        <v/>
      </c>
      <c r="BP159" s="767" t="str">
        <f t="shared" si="106"/>
        <v/>
      </c>
      <c r="BQ159" s="767" t="str">
        <f t="shared" si="106"/>
        <v/>
      </c>
      <c r="BR159" s="767" t="str">
        <f t="shared" si="106"/>
        <v/>
      </c>
      <c r="BS159" s="767" t="str">
        <f t="shared" si="106"/>
        <v/>
      </c>
      <c r="BT159" s="767" t="str">
        <f t="shared" si="106"/>
        <v/>
      </c>
      <c r="BU159" s="767" t="str">
        <f t="shared" si="106"/>
        <v/>
      </c>
      <c r="BV159" s="767" t="str">
        <f t="shared" si="106"/>
        <v/>
      </c>
      <c r="BW159" s="767" t="str">
        <f t="shared" si="106"/>
        <v/>
      </c>
      <c r="BX159" s="767" t="str">
        <f t="shared" si="106"/>
        <v/>
      </c>
      <c r="BY159" s="767" t="str">
        <f t="shared" si="106"/>
        <v/>
      </c>
      <c r="BZ159" s="767" t="str">
        <f t="shared" si="106"/>
        <v/>
      </c>
      <c r="CA159" s="767" t="str">
        <f t="shared" si="106"/>
        <v/>
      </c>
      <c r="CB159" s="767" t="str">
        <f t="shared" si="106"/>
        <v/>
      </c>
      <c r="CC159" s="767" t="str">
        <f t="shared" si="106"/>
        <v/>
      </c>
      <c r="CD159" s="748"/>
      <c r="CE159" s="748"/>
      <c r="CF159" s="748"/>
      <c r="CG159" s="748"/>
      <c r="CH159" s="748"/>
      <c r="CJ159" s="441" t="str">
        <f>CONCATENATE(BN159,BO159,BP159,BQ159,BR159,BS159,BT159,BU159,BV159,BW159,BX159,BY159,BZ159,CA159,CB159,CC159,CD159,CE159,CF159,CG159,CH159)</f>
        <v/>
      </c>
    </row>
    <row r="160" spans="63:88" x14ac:dyDescent="0.15">
      <c r="BL160" s="746" t="s">
        <v>2469</v>
      </c>
    </row>
    <row r="161" spans="63:88" x14ac:dyDescent="0.15">
      <c r="BM161" s="746" t="s">
        <v>2641</v>
      </c>
      <c r="BN161" s="766" t="b">
        <f t="shared" ref="BN161:CE161" si="107">BN113</f>
        <v>0</v>
      </c>
      <c r="BO161" s="766" t="b">
        <f t="shared" si="107"/>
        <v>0</v>
      </c>
      <c r="BP161" s="766" t="b">
        <f t="shared" si="107"/>
        <v>0</v>
      </c>
      <c r="BQ161" s="766" t="b">
        <f t="shared" si="107"/>
        <v>0</v>
      </c>
      <c r="BR161" s="766" t="b">
        <f t="shared" si="107"/>
        <v>0</v>
      </c>
      <c r="BS161" s="766" t="b">
        <f t="shared" si="107"/>
        <v>0</v>
      </c>
      <c r="BT161" s="766" t="b">
        <f t="shared" si="107"/>
        <v>0</v>
      </c>
      <c r="BU161" s="766" t="b">
        <f t="shared" si="107"/>
        <v>0</v>
      </c>
      <c r="BV161" s="766" t="b">
        <f t="shared" si="107"/>
        <v>0</v>
      </c>
      <c r="BW161" s="766" t="b">
        <f t="shared" si="107"/>
        <v>0</v>
      </c>
      <c r="BX161" s="766" t="b">
        <f t="shared" si="107"/>
        <v>0</v>
      </c>
      <c r="BY161" s="766" t="b">
        <f t="shared" si="107"/>
        <v>0</v>
      </c>
      <c r="BZ161" s="766" t="b">
        <f t="shared" si="107"/>
        <v>0</v>
      </c>
      <c r="CA161" s="766" t="b">
        <f t="shared" si="107"/>
        <v>0</v>
      </c>
      <c r="CB161" s="766" t="b">
        <f t="shared" si="107"/>
        <v>0</v>
      </c>
      <c r="CC161" s="766" t="b">
        <f t="shared" si="107"/>
        <v>0</v>
      </c>
      <c r="CD161" s="766" t="b">
        <f t="shared" si="107"/>
        <v>0</v>
      </c>
      <c r="CE161" s="766" t="b">
        <f t="shared" si="107"/>
        <v>0</v>
      </c>
      <c r="CF161" s="748" t="b">
        <v>0</v>
      </c>
      <c r="CG161" s="748" t="b">
        <v>0</v>
      </c>
      <c r="CH161" s="748" t="b">
        <v>0</v>
      </c>
      <c r="CJ161" s="197" t="s">
        <v>2652</v>
      </c>
    </row>
    <row r="162" spans="63:88" x14ac:dyDescent="0.15">
      <c r="BM162" s="746" t="s">
        <v>2642</v>
      </c>
      <c r="BN162" s="767" t="str">
        <f t="shared" ref="BN162:CE162" si="108">IF(BN161,BN$2,"")</f>
        <v/>
      </c>
      <c r="BO162" s="767" t="str">
        <f t="shared" si="108"/>
        <v/>
      </c>
      <c r="BP162" s="767" t="str">
        <f t="shared" si="108"/>
        <v/>
      </c>
      <c r="BQ162" s="767" t="str">
        <f t="shared" si="108"/>
        <v/>
      </c>
      <c r="BR162" s="767" t="str">
        <f t="shared" si="108"/>
        <v/>
      </c>
      <c r="BS162" s="767" t="str">
        <f t="shared" si="108"/>
        <v/>
      </c>
      <c r="BT162" s="767" t="str">
        <f t="shared" si="108"/>
        <v/>
      </c>
      <c r="BU162" s="767" t="str">
        <f t="shared" si="108"/>
        <v/>
      </c>
      <c r="BV162" s="767" t="str">
        <f t="shared" si="108"/>
        <v/>
      </c>
      <c r="BW162" s="767" t="str">
        <f t="shared" si="108"/>
        <v/>
      </c>
      <c r="BX162" s="767" t="str">
        <f t="shared" si="108"/>
        <v/>
      </c>
      <c r="BY162" s="767" t="str">
        <f t="shared" si="108"/>
        <v/>
      </c>
      <c r="BZ162" s="767" t="str">
        <f t="shared" si="108"/>
        <v/>
      </c>
      <c r="CA162" s="767" t="str">
        <f t="shared" si="108"/>
        <v/>
      </c>
      <c r="CB162" s="767" t="str">
        <f t="shared" si="108"/>
        <v/>
      </c>
      <c r="CC162" s="767" t="str">
        <f t="shared" si="108"/>
        <v/>
      </c>
      <c r="CD162" s="767" t="str">
        <f t="shared" si="108"/>
        <v/>
      </c>
      <c r="CE162" s="767" t="str">
        <f t="shared" si="108"/>
        <v/>
      </c>
      <c r="CF162" s="748"/>
      <c r="CG162" s="748"/>
      <c r="CH162" s="748"/>
      <c r="CJ162" s="441" t="str">
        <f>CONCATENATE(BN162,BO162,BP162,BQ162,BR162,BS162,BT162,BU162,BV162,BW162,BX162,BY162,BZ162,CA162,CB162,CC162,CD162,CE162,CF162,CG162,CH162)</f>
        <v/>
      </c>
    </row>
    <row r="163" spans="63:88" x14ac:dyDescent="0.15">
      <c r="BL163" s="746" t="s">
        <v>2657</v>
      </c>
    </row>
    <row r="164" spans="63:88" x14ac:dyDescent="0.15">
      <c r="BM164" s="746" t="s">
        <v>2641</v>
      </c>
      <c r="BN164" s="767" t="b">
        <f>OR(BN158,BN161)</f>
        <v>0</v>
      </c>
      <c r="BO164" s="767" t="b">
        <f t="shared" ref="BO164:CE164" si="109">OR(BO158,BO161)</f>
        <v>0</v>
      </c>
      <c r="BP164" s="767" t="b">
        <f t="shared" si="109"/>
        <v>0</v>
      </c>
      <c r="BQ164" s="767" t="b">
        <f t="shared" si="109"/>
        <v>0</v>
      </c>
      <c r="BR164" s="767" t="b">
        <f t="shared" si="109"/>
        <v>0</v>
      </c>
      <c r="BS164" s="767" t="b">
        <f t="shared" si="109"/>
        <v>0</v>
      </c>
      <c r="BT164" s="767" t="b">
        <f t="shared" si="109"/>
        <v>0</v>
      </c>
      <c r="BU164" s="767" t="b">
        <f t="shared" si="109"/>
        <v>0</v>
      </c>
      <c r="BV164" s="767" t="b">
        <f t="shared" si="109"/>
        <v>0</v>
      </c>
      <c r="BW164" s="767" t="b">
        <f t="shared" si="109"/>
        <v>0</v>
      </c>
      <c r="BX164" s="767" t="b">
        <f t="shared" si="109"/>
        <v>0</v>
      </c>
      <c r="BY164" s="767" t="b">
        <f t="shared" si="109"/>
        <v>0</v>
      </c>
      <c r="BZ164" s="767" t="b">
        <f t="shared" si="109"/>
        <v>0</v>
      </c>
      <c r="CA164" s="767" t="b">
        <f t="shared" si="109"/>
        <v>0</v>
      </c>
      <c r="CB164" s="767" t="b">
        <f t="shared" si="109"/>
        <v>0</v>
      </c>
      <c r="CC164" s="767" t="b">
        <f t="shared" si="109"/>
        <v>0</v>
      </c>
      <c r="CD164" s="767" t="b">
        <f t="shared" si="109"/>
        <v>0</v>
      </c>
      <c r="CE164" s="767" t="b">
        <f t="shared" si="109"/>
        <v>0</v>
      </c>
      <c r="CF164" s="748" t="b">
        <v>0</v>
      </c>
      <c r="CG164" s="748" t="b">
        <v>0</v>
      </c>
      <c r="CH164" s="748" t="b">
        <v>0</v>
      </c>
      <c r="CJ164" s="197" t="s">
        <v>2658</v>
      </c>
    </row>
    <row r="165" spans="63:88" x14ac:dyDescent="0.15">
      <c r="BM165" s="746" t="s">
        <v>2642</v>
      </c>
      <c r="BN165" s="767" t="str">
        <f t="shared" ref="BN165:CE165" si="110">IF(BN164,BN$2,"")</f>
        <v/>
      </c>
      <c r="BO165" s="767" t="str">
        <f t="shared" si="110"/>
        <v/>
      </c>
      <c r="BP165" s="767" t="str">
        <f t="shared" si="110"/>
        <v/>
      </c>
      <c r="BQ165" s="767" t="str">
        <f t="shared" si="110"/>
        <v/>
      </c>
      <c r="BR165" s="767" t="str">
        <f t="shared" si="110"/>
        <v/>
      </c>
      <c r="BS165" s="767" t="str">
        <f t="shared" si="110"/>
        <v/>
      </c>
      <c r="BT165" s="767" t="str">
        <f t="shared" si="110"/>
        <v/>
      </c>
      <c r="BU165" s="767" t="str">
        <f t="shared" si="110"/>
        <v/>
      </c>
      <c r="BV165" s="767" t="str">
        <f t="shared" si="110"/>
        <v/>
      </c>
      <c r="BW165" s="767" t="str">
        <f t="shared" si="110"/>
        <v/>
      </c>
      <c r="BX165" s="767" t="str">
        <f t="shared" si="110"/>
        <v/>
      </c>
      <c r="BY165" s="767" t="str">
        <f t="shared" si="110"/>
        <v/>
      </c>
      <c r="BZ165" s="767" t="str">
        <f t="shared" si="110"/>
        <v/>
      </c>
      <c r="CA165" s="767" t="str">
        <f t="shared" si="110"/>
        <v/>
      </c>
      <c r="CB165" s="767" t="str">
        <f t="shared" si="110"/>
        <v/>
      </c>
      <c r="CC165" s="767" t="str">
        <f t="shared" si="110"/>
        <v/>
      </c>
      <c r="CD165" s="767" t="str">
        <f t="shared" si="110"/>
        <v/>
      </c>
      <c r="CE165" s="767" t="str">
        <f t="shared" si="110"/>
        <v/>
      </c>
      <c r="CF165" s="748"/>
      <c r="CG165" s="748"/>
      <c r="CH165" s="748"/>
      <c r="CJ165" s="441" t="str">
        <f>CONCATENATE(BN165,BO165,BP165,BQ165,BR165,BS165,BT165,BU165,BV165,BW165,BX165,BY165,BZ165,CA165,CB165,CC165,CD165,CE165,CF165,CG165,CH165)</f>
        <v/>
      </c>
    </row>
    <row r="167" spans="63:88" x14ac:dyDescent="0.15">
      <c r="BK167" s="746" t="s">
        <v>2778</v>
      </c>
    </row>
    <row r="168" spans="63:88" x14ac:dyDescent="0.15">
      <c r="BN168" s="785" t="s">
        <v>2665</v>
      </c>
      <c r="BO168" s="785" t="s">
        <v>1397</v>
      </c>
      <c r="BP168" s="785" t="s">
        <v>696</v>
      </c>
      <c r="BQ168" s="785" t="s">
        <v>2792</v>
      </c>
      <c r="BR168" s="785" t="s">
        <v>2775</v>
      </c>
      <c r="BS168" s="785" t="s">
        <v>2666</v>
      </c>
    </row>
    <row r="169" spans="63:88" x14ac:dyDescent="0.15">
      <c r="BN169" s="776" t="b">
        <v>1</v>
      </c>
      <c r="BO169" s="776" t="b">
        <v>0</v>
      </c>
      <c r="BP169" s="776" t="b">
        <v>0</v>
      </c>
      <c r="BQ169" s="776">
        <v>1</v>
      </c>
      <c r="BR169" s="776">
        <v>1</v>
      </c>
      <c r="BS169" s="776" t="s">
        <v>2659</v>
      </c>
    </row>
    <row r="170" spans="63:88" x14ac:dyDescent="0.15">
      <c r="BN170" s="776" t="b">
        <v>1</v>
      </c>
      <c r="BO170" s="776" t="b">
        <v>1</v>
      </c>
      <c r="BP170" s="776" t="b">
        <v>0</v>
      </c>
      <c r="BQ170" s="776">
        <v>3</v>
      </c>
      <c r="BR170" s="776">
        <v>2</v>
      </c>
      <c r="BS170" s="776" t="s">
        <v>2660</v>
      </c>
    </row>
    <row r="171" spans="63:88" x14ac:dyDescent="0.15">
      <c r="BN171" s="776" t="b">
        <v>1</v>
      </c>
      <c r="BO171" s="776" t="b">
        <v>1</v>
      </c>
      <c r="BP171" s="776" t="b">
        <v>1</v>
      </c>
      <c r="BQ171" s="776">
        <v>7</v>
      </c>
      <c r="BR171" s="776">
        <v>3</v>
      </c>
      <c r="BS171" s="776" t="s">
        <v>2661</v>
      </c>
    </row>
    <row r="172" spans="63:88" x14ac:dyDescent="0.15">
      <c r="BN172" s="776" t="b">
        <v>1</v>
      </c>
      <c r="BO172" s="776" t="b">
        <v>0</v>
      </c>
      <c r="BP172" s="776" t="b">
        <v>1</v>
      </c>
      <c r="BQ172" s="776">
        <v>5</v>
      </c>
      <c r="BR172" s="776">
        <v>4</v>
      </c>
      <c r="BS172" s="776" t="s">
        <v>2662</v>
      </c>
    </row>
    <row r="173" spans="63:88" x14ac:dyDescent="0.15">
      <c r="BN173" s="776" t="b">
        <v>0</v>
      </c>
      <c r="BO173" s="776" t="b">
        <v>0</v>
      </c>
      <c r="BP173" s="776" t="b">
        <v>1</v>
      </c>
      <c r="BQ173" s="776">
        <v>4</v>
      </c>
      <c r="BR173" s="776">
        <v>5</v>
      </c>
      <c r="BS173" s="776" t="s">
        <v>2663</v>
      </c>
    </row>
    <row r="174" spans="63:88" x14ac:dyDescent="0.15">
      <c r="BN174" s="776" t="b">
        <v>0</v>
      </c>
      <c r="BO174" s="776" t="b">
        <v>1</v>
      </c>
      <c r="BP174" s="776" t="b">
        <v>1</v>
      </c>
      <c r="BQ174" s="776"/>
      <c r="BR174" s="776"/>
      <c r="BS174" s="776"/>
    </row>
    <row r="175" spans="63:88" x14ac:dyDescent="0.15">
      <c r="BN175" s="776" t="b">
        <v>0</v>
      </c>
      <c r="BO175" s="776" t="b">
        <v>1</v>
      </c>
      <c r="BP175" s="776" t="b">
        <v>0</v>
      </c>
      <c r="BQ175" s="776"/>
      <c r="BR175" s="776"/>
      <c r="BS175" s="776"/>
    </row>
    <row r="176" spans="63:88" x14ac:dyDescent="0.15">
      <c r="BN176" s="776" t="b">
        <v>0</v>
      </c>
      <c r="BO176" s="776" t="b">
        <v>0</v>
      </c>
      <c r="BP176" s="776" t="b">
        <v>0</v>
      </c>
      <c r="BQ176" s="776">
        <v>0</v>
      </c>
      <c r="BR176" s="776" t="str">
        <f>""</f>
        <v/>
      </c>
      <c r="BS176" s="776" t="s">
        <v>2664</v>
      </c>
    </row>
    <row r="177" spans="63:72" x14ac:dyDescent="0.15">
      <c r="BN177" s="767" t="b">
        <f>CJ123&lt;&gt;""</f>
        <v>0</v>
      </c>
      <c r="BO177" s="767" t="b">
        <f>CJ146&lt;&gt;""</f>
        <v>0</v>
      </c>
      <c r="BP177" s="767" t="b">
        <f>CJ165&lt;&gt;""</f>
        <v>0</v>
      </c>
      <c r="BQ177" s="767">
        <f t="shared" ref="BQ177" si="111">BN177*1+BO177*2+BP177*4</f>
        <v>0</v>
      </c>
      <c r="BR177" s="767" t="str">
        <f>VLOOKUP($BQ$177,$BQ$169:$BR$176,2,FALSE)</f>
        <v/>
      </c>
      <c r="BS177" s="767" t="str">
        <f>VLOOKUP($BQ$177,$BQ$169:$BS$176,3,FALSE)</f>
        <v>対象外</v>
      </c>
    </row>
    <row r="178" spans="63:72" x14ac:dyDescent="0.15">
      <c r="BO178" s="746" t="s">
        <v>2789</v>
      </c>
      <c r="BP178" s="746" t="s">
        <v>2791</v>
      </c>
      <c r="BR178" s="746" t="s">
        <v>2776</v>
      </c>
    </row>
    <row r="179" spans="63:72" x14ac:dyDescent="0.15">
      <c r="BO179" s="766" t="str">
        <f>AR19</f>
        <v/>
      </c>
      <c r="BP179" s="766" t="str">
        <f>AR21</f>
        <v/>
      </c>
      <c r="BR179" s="766">
        <f>AR14</f>
        <v>0</v>
      </c>
    </row>
    <row r="180" spans="63:72" x14ac:dyDescent="0.15">
      <c r="BO180" s="746" t="s">
        <v>2788</v>
      </c>
      <c r="BP180" s="746" t="s">
        <v>2790</v>
      </c>
      <c r="BR180" s="746" t="s">
        <v>2777</v>
      </c>
    </row>
    <row r="181" spans="63:72" x14ac:dyDescent="0.15">
      <c r="BO181" s="767" t="str">
        <f>IF(BO179="","",IF(BO177=BO179,"OK","NG"))</f>
        <v/>
      </c>
      <c r="BP181" s="767" t="str">
        <f>IF(BP179="","",IF(BP177=BP179,"OK","NG"))</f>
        <v/>
      </c>
      <c r="BR181" s="767" t="str">
        <f>IF(BR177=BR179,"OK","NG")</f>
        <v>NG</v>
      </c>
    </row>
    <row r="183" spans="63:72" ht="14.25" thickBot="1" x14ac:dyDescent="0.2">
      <c r="BK183" s="746" t="s">
        <v>3206</v>
      </c>
    </row>
    <row r="184" spans="63:72" ht="14.25" thickBot="1" x14ac:dyDescent="0.2">
      <c r="BL184" s="746" t="s">
        <v>2670</v>
      </c>
      <c r="BS184" s="1779" cm="1">
        <f t="array" ref="BS184">IF(CJ111&lt;&gt;"",SUMPRODUCT((AQ14=BN125:CC125)*BN86:CC86),SUMPRODUCT((AQ14=BN125:CH125)*BN105:CH105))</f>
        <v>0</v>
      </c>
      <c r="BT184" s="1752" t="s">
        <v>3208</v>
      </c>
    </row>
    <row r="185" spans="63:72" ht="14.25" thickBot="1" x14ac:dyDescent="0.2">
      <c r="BL185" s="746" t="s">
        <v>2672</v>
      </c>
      <c r="BS185" s="1779">
        <f>IF(CJ150&lt;&gt;"",INDEX(BN149:CE149,1,MATCH(CJ150,BN150:CE150,0)),CH149)</f>
        <v>0</v>
      </c>
    </row>
    <row r="186" spans="63:72" x14ac:dyDescent="0.15">
      <c r="BL186" s="746" t="s">
        <v>2693</v>
      </c>
      <c r="BS186" s="767" t="str">
        <f>IF(CJ150&lt;&gt;"",CJ150,CH148)</f>
        <v/>
      </c>
    </row>
    <row r="187" spans="63:72" x14ac:dyDescent="0.15">
      <c r="BL187" s="746" t="s">
        <v>2674</v>
      </c>
      <c r="BS187" s="766">
        <f>BM65</f>
        <v>0</v>
      </c>
    </row>
    <row r="188" spans="63:72" x14ac:dyDescent="0.15">
      <c r="BN188" s="748">
        <v>1</v>
      </c>
      <c r="BO188" s="748">
        <v>2</v>
      </c>
      <c r="BP188" s="748">
        <v>3</v>
      </c>
      <c r="BQ188" s="748">
        <v>4</v>
      </c>
      <c r="BR188" s="748">
        <v>5</v>
      </c>
    </row>
    <row r="189" spans="63:72" x14ac:dyDescent="0.15">
      <c r="BL189" s="746" t="s">
        <v>2785</v>
      </c>
      <c r="BN189" s="767" t="str">
        <f>IF(CJ120="","",BN188)</f>
        <v/>
      </c>
      <c r="BO189" s="767" t="str">
        <f>IF(CJ146="","",BO188)</f>
        <v/>
      </c>
      <c r="BP189" s="767" t="str">
        <f>IF(CJ111="","",BP188)</f>
        <v/>
      </c>
      <c r="BQ189" s="767" t="str">
        <f>IF(CJ159="","",BQ188)</f>
        <v/>
      </c>
      <c r="BR189" s="767" t="str">
        <f>IF(CJ162="","",BR188)</f>
        <v/>
      </c>
      <c r="BS189" s="767" t="str">
        <f>CONCATENATE(BN189,BO189,BP189,BQ189,BR189)</f>
        <v/>
      </c>
    </row>
  </sheetData>
  <sheetProtection algorithmName="SHA-512" hashValue="hBzlDk+EjuRZPhP0UmDjfciLj46Y0XOKLh8JfVAxCeFjpeT3ar9CBOzDneK0v7M9btoSp0DFjWDBcnj3+YzpRA==" saltValue="FCK5idyEAF9ONJ1KsxfBsg==" spinCount="100000" sheet="1" objects="1" scenarios="1"/>
  <mergeCells count="40">
    <mergeCell ref="Q4:R6"/>
    <mergeCell ref="C13:D13"/>
    <mergeCell ref="G12:H12"/>
    <mergeCell ref="A33:A34"/>
    <mergeCell ref="A1:B1"/>
    <mergeCell ref="C1:T1"/>
    <mergeCell ref="A3:B3"/>
    <mergeCell ref="E8:E12"/>
    <mergeCell ref="C3:D7"/>
    <mergeCell ref="C8:D12"/>
    <mergeCell ref="E3:E7"/>
    <mergeCell ref="S4:T6"/>
    <mergeCell ref="G4:H6"/>
    <mergeCell ref="I4:J6"/>
    <mergeCell ref="K4:L6"/>
    <mergeCell ref="F4:F6"/>
    <mergeCell ref="G3:T3"/>
    <mergeCell ref="M4:N6"/>
    <mergeCell ref="O4:P6"/>
    <mergeCell ref="A36:A37"/>
    <mergeCell ref="A38:A39"/>
    <mergeCell ref="S7:T11"/>
    <mergeCell ref="I12:J12"/>
    <mergeCell ref="K12:L12"/>
    <mergeCell ref="M12:N12"/>
    <mergeCell ref="O12:P12"/>
    <mergeCell ref="Q12:R12"/>
    <mergeCell ref="S12:T12"/>
    <mergeCell ref="Q7:R11"/>
    <mergeCell ref="I7:J11"/>
    <mergeCell ref="K7:L11"/>
    <mergeCell ref="M7:N11"/>
    <mergeCell ref="A57:A58"/>
    <mergeCell ref="A66:A68"/>
    <mergeCell ref="A69:A71"/>
    <mergeCell ref="O7:P11"/>
    <mergeCell ref="G7:H11"/>
    <mergeCell ref="F7:F11"/>
    <mergeCell ref="A40:A42"/>
    <mergeCell ref="A43:A45"/>
  </mergeCells>
  <phoneticPr fontId="3"/>
  <conditionalFormatting sqref="G7:H12">
    <cfRule type="cellIs" dxfId="511" priority="24" operator="equal">
      <formula>""</formula>
    </cfRule>
  </conditionalFormatting>
  <conditionalFormatting sqref="I4:T6">
    <cfRule type="expression" dxfId="510" priority="2">
      <formula>AND(I$7&lt;&gt;"",I$4="")</formula>
    </cfRule>
    <cfRule type="cellIs" dxfId="509" priority="14" operator="equal">
      <formula>""</formula>
    </cfRule>
  </conditionalFormatting>
  <conditionalFormatting sqref="I7:T11">
    <cfRule type="expression" dxfId="508" priority="10">
      <formula>AND(I$4&lt;&gt;"",I$7="")</formula>
    </cfRule>
  </conditionalFormatting>
  <conditionalFormatting sqref="G4:H6">
    <cfRule type="cellIs" dxfId="507" priority="12" operator="equal">
      <formula>""</formula>
    </cfRule>
  </conditionalFormatting>
  <conditionalFormatting sqref="G14:G72 I14:I72 K14:K72 M14:M72 O14:O72 Q14:Q72 S14:S72">
    <cfRule type="cellIs" dxfId="506" priority="11" operator="equal">
      <formula>""</formula>
    </cfRule>
  </conditionalFormatting>
  <conditionalFormatting sqref="AD23:AD27">
    <cfRule type="cellIs" dxfId="505" priority="9" operator="notEqual">
      <formula>""</formula>
    </cfRule>
  </conditionalFormatting>
  <conditionalFormatting sqref="AD14:AD17">
    <cfRule type="cellIs" dxfId="504" priority="8" operator="notEqual">
      <formula>""</formula>
    </cfRule>
  </conditionalFormatting>
  <conditionalFormatting sqref="AA3:AA4">
    <cfRule type="cellIs" dxfId="503" priority="7" operator="notEqual">
      <formula>""</formula>
    </cfRule>
  </conditionalFormatting>
  <conditionalFormatting sqref="AF9:AL9 AP8:AR8">
    <cfRule type="cellIs" dxfId="502" priority="6" operator="notEqual">
      <formula>""</formula>
    </cfRule>
  </conditionalFormatting>
  <conditionalFormatting sqref="AA19:AA20 AA25">
    <cfRule type="cellIs" dxfId="501" priority="5" operator="notEqual">
      <formula>"OK"</formula>
    </cfRule>
  </conditionalFormatting>
  <conditionalFormatting sqref="AA30 AA28">
    <cfRule type="cellIs" dxfId="500" priority="4" operator="equal">
      <formula>"NG"</formula>
    </cfRule>
  </conditionalFormatting>
  <conditionalFormatting sqref="AR10">
    <cfRule type="expression" dxfId="499" priority="3">
      <formula>ISERROR($AR$9)</formula>
    </cfRule>
  </conditionalFormatting>
  <conditionalFormatting sqref="I12:T12">
    <cfRule type="expression" dxfId="498" priority="1">
      <formula>AND(OR(I$4&lt;&gt;"",I$7&lt;&gt;""),I$12="")</formula>
    </cfRule>
  </conditionalFormatting>
  <dataValidations count="6">
    <dataValidation type="decimal" operator="greaterThan" allowBlank="1" showInputMessage="1" showErrorMessage="1" sqref="G14:G72 I14:I72 K14:K72 Q14:Q72 S14:S72 M14:M72 O14:O72" xr:uid="{00000000-0002-0000-0100-000000000000}">
      <formula1>0</formula1>
    </dataValidation>
    <dataValidation type="list" allowBlank="1" showInputMessage="1" showErrorMessage="1" sqref="AQ10" xr:uid="{52DF456A-467A-46C3-818A-392A8E742F74}">
      <formula1>"200㎡以上,200㎡未満"</formula1>
    </dataValidation>
    <dataValidation type="list" allowBlank="1" showInputMessage="1" showErrorMessage="1" sqref="AR10" xr:uid="{1A115FD6-D7C8-4089-9558-B47C432F284A}">
      <formula1>"新耐震,旧耐震"</formula1>
    </dataValidation>
    <dataValidation type="list" allowBlank="1" showInputMessage="1" showErrorMessage="1" sqref="AP10" xr:uid="{388FDC99-1B7E-4798-897C-3352A4166000}">
      <formula1>"1階,1階以外"</formula1>
    </dataValidation>
    <dataValidation type="list" allowBlank="1" showInputMessage="1" showErrorMessage="1" sqref="AD14:AD17 AD23:AD27" xr:uid="{288D70FD-3780-414F-A2BB-F93F6994B56C}">
      <formula1>"○"</formula1>
    </dataValidation>
    <dataValidation type="list" allowBlank="1" showInputMessage="1" showErrorMessage="1" sqref="AF10:AL10" xr:uid="{251A601C-097B-46D2-9843-906B8A43C178}">
      <formula1>$BN$3:$CG$3</formula1>
    </dataValidation>
  </dataValidations>
  <hyperlinks>
    <hyperlink ref="AA5" location="CSVシート!A3" display="CSVシート" xr:uid="{C527C2AA-F60B-4677-B506-63C4528F9FB4}"/>
  </hyperlinks>
  <pageMargins left="0.23622047244094491" right="0.23622047244094491" top="0.39370078740157483" bottom="0.39370078740157483" header="0.31496062992125984" footer="0.31496062992125984"/>
  <pageSetup paperSize="9" scale="67" orientation="portrait" r:id="rId1"/>
  <extLst>
    <ext xmlns:x14="http://schemas.microsoft.com/office/spreadsheetml/2009/9/main" uri="{CCE6A557-97BC-4b89-ADB6-D9C93CAAB3DF}">
      <x14:dataValidations xmlns:xm="http://schemas.microsoft.com/office/excel/2006/main" count="3">
        <x14:dataValidation type="list" allowBlank="1" showInputMessage="1" xr:uid="{00000000-0002-0000-0100-000001000000}">
          <x14:formula1>
            <xm:f>INDIRECT(HLOOKUP(G$4,プルダウン選択肢!$AC$2:$AV$3,2,FALSE))</xm:f>
          </x14:formula1>
          <xm:sqref>M7 O7 S7 Q7 K7 G7:J11</xm:sqref>
        </x14:dataValidation>
        <x14:dataValidation type="list" allowBlank="1" showInputMessage="1" showErrorMessage="1" xr:uid="{B47606F9-A1B6-4253-B5B5-AE72D198B4D4}">
          <x14:formula1>
            <xm:f>プルダウン選択肢!$AA$3:$AA$22</xm:f>
          </x14:formula1>
          <xm:sqref>G4:T6</xm:sqref>
        </x14:dataValidation>
        <x14:dataValidation type="list" allowBlank="1" showInputMessage="1" showErrorMessage="1" xr:uid="{6CBFAB84-25C3-431D-9E07-1FA39AFE8FC4}">
          <x14:formula1>
            <xm:f>プルダウン選択肢!$AX$3:$AX$9</xm:f>
          </x14:formula1>
          <xm:sqref>G12:T12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8">
    <tabColor rgb="FFFFFF66"/>
  </sheetPr>
  <dimension ref="A1:BT604"/>
  <sheetViews>
    <sheetView zoomScaleNormal="100" workbookViewId="0">
      <pane ySplit="2" topLeftCell="A3" activePane="bottomLeft" state="frozen"/>
      <selection activeCell="E25" sqref="E25"/>
      <selection pane="bottomLeft" sqref="A1:U2"/>
    </sheetView>
  </sheetViews>
  <sheetFormatPr defaultColWidth="1.875" defaultRowHeight="12.75" customHeight="1" x14ac:dyDescent="0.15"/>
  <cols>
    <col min="1" max="3" width="1.875" style="103" customWidth="1"/>
    <col min="4" max="8" width="1.875" style="103"/>
    <col min="9" max="11" width="1.875" style="103" customWidth="1"/>
    <col min="12" max="25" width="1.875" style="103"/>
    <col min="26" max="26" width="2.25" style="103" bestFit="1" customWidth="1"/>
    <col min="27" max="34" width="1.875" style="103"/>
    <col min="35" max="36" width="1.875" style="103" customWidth="1"/>
    <col min="37" max="48" width="1.875" style="103"/>
    <col min="49" max="50" width="3.125" style="103" customWidth="1"/>
    <col min="51" max="52" width="3.125" style="197" customWidth="1"/>
    <col min="53" max="72" width="1.875" style="197" hidden="1" customWidth="1"/>
    <col min="73" max="16384" width="1.875" style="103"/>
  </cols>
  <sheetData>
    <row r="1" spans="1:72" ht="15.75" customHeight="1" x14ac:dyDescent="0.15">
      <c r="A1" s="3014" t="s">
        <v>1839</v>
      </c>
      <c r="B1" s="3014"/>
      <c r="C1" s="3014"/>
      <c r="D1" s="3014"/>
      <c r="E1" s="3014"/>
      <c r="F1" s="3014"/>
      <c r="G1" s="3014"/>
      <c r="H1" s="3014"/>
      <c r="I1" s="3014"/>
      <c r="J1" s="3014"/>
      <c r="K1" s="3014"/>
      <c r="L1" s="3014"/>
      <c r="M1" s="3014"/>
      <c r="N1" s="3014"/>
      <c r="O1" s="3014"/>
      <c r="P1" s="3014"/>
      <c r="Q1" s="3014"/>
      <c r="R1" s="3014"/>
      <c r="S1" s="3014"/>
      <c r="T1" s="3014"/>
      <c r="U1" s="3014"/>
      <c r="V1" s="375"/>
      <c r="W1" s="375"/>
      <c r="X1" s="375"/>
      <c r="Y1" s="375"/>
      <c r="Z1" s="375"/>
      <c r="AA1" s="376" t="s">
        <v>1795</v>
      </c>
      <c r="AB1" s="3016" t="str">
        <f>IFERROR(HYPERLINK("#"&amp;BA2&amp;":"&amp;BA3&amp;"",BA4),"")</f>
        <v/>
      </c>
      <c r="AC1" s="3016"/>
      <c r="AD1" s="3016" t="str">
        <f>IFERROR(HYPERLINK("#"&amp;BB2&amp;":"&amp;BB3&amp;"",BB4),"")</f>
        <v/>
      </c>
      <c r="AE1" s="3017"/>
      <c r="AF1" s="3016" t="str">
        <f>IFERROR(HYPERLINK("#"&amp;BC2&amp;":"&amp;BC3&amp;"",BC4),"")</f>
        <v/>
      </c>
      <c r="AG1" s="3017"/>
      <c r="AH1" s="3016" t="str">
        <f>IFERROR(HYPERLINK("#"&amp;BD2&amp;":"&amp;BD3&amp;"",BD4),"")</f>
        <v/>
      </c>
      <c r="AI1" s="3017"/>
      <c r="AJ1" s="3016" t="str">
        <f>IFERROR(HYPERLINK("#"&amp;BE2&amp;":"&amp;BE3&amp;"",BE4),"")</f>
        <v/>
      </c>
      <c r="AK1" s="3017"/>
      <c r="AL1" s="3016" t="str">
        <f>IFERROR(HYPERLINK("#"&amp;BF2&amp;":"&amp;BF3&amp;"",BF4),"")</f>
        <v/>
      </c>
      <c r="AM1" s="3017"/>
      <c r="AN1" s="3016" t="str">
        <f>IFERROR(HYPERLINK("#"&amp;BG2&amp;":"&amp;BG3&amp;"",BG4),"")</f>
        <v/>
      </c>
      <c r="AO1" s="3017"/>
      <c r="AP1" s="3016" t="str">
        <f>IFERROR(HYPERLINK("#"&amp;BH2&amp;":"&amp;BH3&amp;"",BH4),"")</f>
        <v/>
      </c>
      <c r="AQ1" s="3017"/>
      <c r="AR1" s="3016" t="str">
        <f>IFERROR(HYPERLINK("#"&amp;BI2&amp;":"&amp;BI3&amp;"",BI4),"")</f>
        <v/>
      </c>
      <c r="AS1" s="3017"/>
      <c r="AT1" s="3016" t="str">
        <f>IFERROR(HYPERLINK("#"&amp;BJ2&amp;":"&amp;BJ3&amp;"",BJ4),"")</f>
        <v/>
      </c>
      <c r="AU1" s="3017"/>
      <c r="AW1" s="2989" t="str">
        <f>HYPERLINK("#'使用方法'!F29:F37","シート一覧へ")</f>
        <v>シート一覧へ</v>
      </c>
      <c r="AX1" s="2989"/>
      <c r="AY1" s="2989"/>
      <c r="AZ1" s="2989"/>
      <c r="BA1" s="197" t="e">
        <f>MATCH(1,'1_入力シート【基本情報】'!DU319:'1_入力シート【基本情報】'!DU534,0)</f>
        <v>#N/A</v>
      </c>
      <c r="BB1" s="197" t="e">
        <f>MATCH(2,'1_入力シート【基本情報】'!DU319:'1_入力シート【基本情報】'!DU534,0)</f>
        <v>#N/A</v>
      </c>
      <c r="BC1" s="197" t="e">
        <f>MATCH(3,'1_入力シート【基本情報】'!DU319:'1_入力シート【基本情報】'!DU534,0)</f>
        <v>#N/A</v>
      </c>
      <c r="BD1" s="197" t="e">
        <f>MATCH(4,'1_入力シート【基本情報】'!DU319:'1_入力シート【基本情報】'!DU534,0)</f>
        <v>#N/A</v>
      </c>
      <c r="BE1" s="197" t="e">
        <f>MATCH(5,'1_入力シート【基本情報】'!DU319:'1_入力シート【基本情報】'!DU534,0)</f>
        <v>#N/A</v>
      </c>
      <c r="BF1" s="197" t="e">
        <f>MATCH(6,'1_入力シート【基本情報】'!DU319:'1_入力シート【基本情報】'!DU534,0)</f>
        <v>#N/A</v>
      </c>
      <c r="BG1" s="197" t="e">
        <f>MATCH(7,'1_入力シート【基本情報】'!DU319:'1_入力シート【基本情報】'!DU534,0)</f>
        <v>#N/A</v>
      </c>
      <c r="BH1" s="197" t="e">
        <f>MATCH(8,'1_入力シート【基本情報】'!DU319:'1_入力シート【基本情報】'!DU534,0)</f>
        <v>#N/A</v>
      </c>
      <c r="BI1" s="197" t="e">
        <f>MATCH(9,'1_入力シート【基本情報】'!DU319:'1_入力シート【基本情報】'!DU534,0)</f>
        <v>#N/A</v>
      </c>
      <c r="BJ1" s="197" t="e">
        <f>MATCH(10,'1_入力シート【基本情報】'!DU319:'1_入力シート【基本情報】'!DU534,0)</f>
        <v>#N/A</v>
      </c>
      <c r="BK1" s="197" t="e">
        <f>MATCH(11,'1_入力シート【基本情報】'!DU319:'1_入力シート【基本情報】'!DU534,0)</f>
        <v>#N/A</v>
      </c>
      <c r="BL1" s="197" t="e">
        <f>MATCH(12,'1_入力シート【基本情報】'!DU319:'1_入力シート【基本情報】'!DU534,0)</f>
        <v>#N/A</v>
      </c>
      <c r="BM1" s="197" t="e">
        <f>MATCH(13,'1_入力シート【基本情報】'!DU319:'1_入力シート【基本情報】'!DU534,0)</f>
        <v>#N/A</v>
      </c>
      <c r="BN1" s="197" t="e">
        <f>MATCH(14,'1_入力シート【基本情報】'!DU319:'1_入力シート【基本情報】'!DU534,0)</f>
        <v>#N/A</v>
      </c>
      <c r="BO1" s="197" t="e">
        <f>MATCH(15,'1_入力シート【基本情報】'!DU319:'1_入力シート【基本情報】'!DU534,0)</f>
        <v>#N/A</v>
      </c>
      <c r="BP1" s="197" t="e">
        <f>MATCH(16,'1_入力シート【基本情報】'!DU319:'1_入力シート【基本情報】'!DU534,0)</f>
        <v>#N/A</v>
      </c>
      <c r="BQ1" s="197" t="e">
        <f>MATCH(17,'1_入力シート【基本情報】'!DU319:'1_入力シート【基本情報】'!DU534,0)</f>
        <v>#N/A</v>
      </c>
      <c r="BR1" s="197" t="e">
        <f>MATCH(18,'1_入力シート【基本情報】'!DU319:'1_入力シート【基本情報】'!DU534,0)</f>
        <v>#N/A</v>
      </c>
      <c r="BS1" s="197" t="e">
        <f>MATCH(19,'1_入力シート【基本情報】'!DU319:'1_入力シート【基本情報】'!DU534,0)</f>
        <v>#N/A</v>
      </c>
      <c r="BT1" s="197" t="e">
        <f>MATCH(20,'1_入力シート【基本情報】'!DU319:'1_入力シート【基本情報】'!DU534,0)</f>
        <v>#N/A</v>
      </c>
    </row>
    <row r="2" spans="1:72" s="338" customFormat="1" ht="15.75" customHeight="1" x14ac:dyDescent="0.15">
      <c r="A2" s="3014"/>
      <c r="B2" s="3014"/>
      <c r="C2" s="3014"/>
      <c r="D2" s="3014"/>
      <c r="E2" s="3014"/>
      <c r="F2" s="3014"/>
      <c r="G2" s="3014"/>
      <c r="H2" s="3014"/>
      <c r="I2" s="3014"/>
      <c r="J2" s="3014"/>
      <c r="K2" s="3014"/>
      <c r="L2" s="3014"/>
      <c r="M2" s="3014"/>
      <c r="N2" s="3014"/>
      <c r="O2" s="3014"/>
      <c r="P2" s="3014"/>
      <c r="Q2" s="3014"/>
      <c r="R2" s="3014"/>
      <c r="S2" s="3014"/>
      <c r="T2" s="3014"/>
      <c r="U2" s="3014"/>
      <c r="V2" s="375"/>
      <c r="W2" s="375"/>
      <c r="X2" s="375"/>
      <c r="Y2" s="375"/>
      <c r="Z2" s="375"/>
      <c r="AA2" s="375"/>
      <c r="AB2" s="3016" t="str">
        <f>IFERROR(HYPERLINK("#"&amp;BK2&amp;":"&amp;BK3&amp;"",BK4),"")</f>
        <v/>
      </c>
      <c r="AC2" s="3017"/>
      <c r="AD2" s="3016" t="str">
        <f>IFERROR(HYPERLINK("#"&amp;BL2&amp;":"&amp;BL3&amp;"",BL4),"")</f>
        <v/>
      </c>
      <c r="AE2" s="3017"/>
      <c r="AF2" s="3016" t="str">
        <f>IFERROR(HYPERLINK("#"&amp;BM2&amp;":"&amp;BM3&amp;"",BM4),"")</f>
        <v/>
      </c>
      <c r="AG2" s="3017"/>
      <c r="AH2" s="3016" t="str">
        <f>IFERROR(HYPERLINK("#"&amp;BN2&amp;":"&amp;BN3&amp;"",BN4),"")</f>
        <v/>
      </c>
      <c r="AI2" s="3017"/>
      <c r="AJ2" s="3016" t="str">
        <f>IFERROR(HYPERLINK("#"&amp;BO2&amp;":"&amp;BO3&amp;"",BO4),"")</f>
        <v/>
      </c>
      <c r="AK2" s="3017"/>
      <c r="AL2" s="3016" t="str">
        <f>IFERROR(HYPERLINK("#"&amp;BP2&amp;":"&amp;BP3&amp;"",BP4),"")</f>
        <v/>
      </c>
      <c r="AM2" s="3017"/>
      <c r="AN2" s="3016" t="str">
        <f>IFERROR(HYPERLINK("#"&amp;BQ2&amp;":"&amp;BQ3&amp;"",BQ4),"")</f>
        <v/>
      </c>
      <c r="AO2" s="3017"/>
      <c r="AP2" s="3016" t="str">
        <f>IFERROR(HYPERLINK("#"&amp;BR2&amp;":"&amp;BR3&amp;"",BR4),"")</f>
        <v/>
      </c>
      <c r="AQ2" s="3017"/>
      <c r="AR2" s="3016" t="str">
        <f>IFERROR(HYPERLINK("#"&amp;BS2&amp;":"&amp;BS3&amp;"",BS4),"")</f>
        <v/>
      </c>
      <c r="AS2" s="3017"/>
      <c r="AT2" s="3016" t="str">
        <f>IFERROR(HYPERLINK("#"&amp;BT2&amp;":"&amp;BT3&amp;"",BT4),"")</f>
        <v/>
      </c>
      <c r="AU2" s="3017"/>
      <c r="AV2" s="339"/>
      <c r="AW2" s="339"/>
      <c r="AX2" s="339"/>
      <c r="AY2" s="197"/>
      <c r="AZ2" s="197"/>
      <c r="BA2" s="197" t="e" cm="1">
        <f t="array" ref="BA2">INDEX('1_入力シート【基本情報】'!EM319:'1_入力シート【基本情報】'!EM534,BA1)</f>
        <v>#N/A</v>
      </c>
      <c r="BB2" s="197" t="e" cm="1">
        <f t="array" ref="BB2">INDEX('1_入力シート【基本情報】'!EM319:'1_入力シート【基本情報】'!EM534,BB1)</f>
        <v>#N/A</v>
      </c>
      <c r="BC2" s="197" t="e" cm="1">
        <f t="array" ref="BC2">INDEX('1_入力シート【基本情報】'!EM319:'1_入力シート【基本情報】'!EM534,BC1)</f>
        <v>#N/A</v>
      </c>
      <c r="BD2" s="197" t="e" cm="1">
        <f t="array" ref="BD2">INDEX('1_入力シート【基本情報】'!EM319:'1_入力シート【基本情報】'!EM534,BD1)</f>
        <v>#N/A</v>
      </c>
      <c r="BE2" s="197" t="e" cm="1">
        <f t="array" ref="BE2">INDEX('1_入力シート【基本情報】'!EM319:'1_入力シート【基本情報】'!EM534,BE1)</f>
        <v>#N/A</v>
      </c>
      <c r="BF2" s="197" t="e" cm="1">
        <f t="array" ref="BF2">INDEX('1_入力シート【基本情報】'!EM319:'1_入力シート【基本情報】'!EM534,BF1)</f>
        <v>#N/A</v>
      </c>
      <c r="BG2" s="197" t="e" cm="1">
        <f t="array" ref="BG2">INDEX('1_入力シート【基本情報】'!EM319:'1_入力シート【基本情報】'!EM534,BG1)</f>
        <v>#N/A</v>
      </c>
      <c r="BH2" s="197" t="e" cm="1">
        <f t="array" ref="BH2">INDEX('1_入力シート【基本情報】'!EM319:'1_入力シート【基本情報】'!EM534,BH1)</f>
        <v>#N/A</v>
      </c>
      <c r="BI2" s="197" t="e" cm="1">
        <f t="array" ref="BI2">INDEX('1_入力シート【基本情報】'!EM319:'1_入力シート【基本情報】'!EM534,BI1)</f>
        <v>#N/A</v>
      </c>
      <c r="BJ2" s="197" t="e" cm="1">
        <f t="array" ref="BJ2">INDEX('1_入力シート【基本情報】'!EM319:'1_入力シート【基本情報】'!EM534,BJ1)</f>
        <v>#N/A</v>
      </c>
      <c r="BK2" s="197" t="e" cm="1">
        <f t="array" ref="BK2">INDEX('1_入力シート【基本情報】'!EM319:'1_入力シート【基本情報】'!EM534,BK1)</f>
        <v>#N/A</v>
      </c>
      <c r="BL2" s="197" t="e" cm="1">
        <f t="array" ref="BL2">INDEX('1_入力シート【基本情報】'!EM319:'1_入力シート【基本情報】'!EM534,BL1)</f>
        <v>#N/A</v>
      </c>
      <c r="BM2" s="197" t="e" cm="1">
        <f t="array" ref="BM2">INDEX('1_入力シート【基本情報】'!EM319:'1_入力シート【基本情報】'!EM534,BM1)</f>
        <v>#N/A</v>
      </c>
      <c r="BN2" s="197" t="e" cm="1">
        <f t="array" ref="BN2">INDEX('1_入力シート【基本情報】'!EM319:'1_入力シート【基本情報】'!EM534,BN1)</f>
        <v>#N/A</v>
      </c>
      <c r="BO2" s="197" t="e" cm="1">
        <f t="array" ref="BO2">INDEX('1_入力シート【基本情報】'!EM319:'1_入力シート【基本情報】'!EM534,BO1)</f>
        <v>#N/A</v>
      </c>
      <c r="BP2" s="197" t="e" cm="1">
        <f t="array" ref="BP2">INDEX('1_入力シート【基本情報】'!EM319:'1_入力シート【基本情報】'!EM534,BP1)</f>
        <v>#N/A</v>
      </c>
      <c r="BQ2" s="197" t="e" cm="1">
        <f t="array" ref="BQ2">INDEX('1_入力シート【基本情報】'!EM319:'1_入力シート【基本情報】'!EM534,BQ1)</f>
        <v>#N/A</v>
      </c>
      <c r="BR2" s="197" t="e" cm="1">
        <f t="array" ref="BR2">INDEX('1_入力シート【基本情報】'!EM319:'1_入力シート【基本情報】'!EM534,BR1)</f>
        <v>#N/A</v>
      </c>
      <c r="BS2" s="197" t="e" cm="1">
        <f t="array" ref="BS2">INDEX('1_入力シート【基本情報】'!EM319:'1_入力シート【基本情報】'!EM534,BS1)</f>
        <v>#N/A</v>
      </c>
      <c r="BT2" s="197" t="e" cm="1">
        <f t="array" ref="BT2">INDEX('1_入力シート【基本情報】'!EM319:'1_入力シート【基本情報】'!EM534,BT1)</f>
        <v>#N/A</v>
      </c>
    </row>
    <row r="3" spans="1:72" s="338" customFormat="1" ht="12.75" customHeight="1" x14ac:dyDescent="0.15">
      <c r="A3" s="373"/>
      <c r="B3" s="372"/>
      <c r="C3" s="373"/>
      <c r="D3" s="373"/>
      <c r="E3" s="373"/>
      <c r="F3" s="373"/>
      <c r="G3" s="373"/>
      <c r="H3" s="373"/>
      <c r="I3" s="373"/>
      <c r="J3" s="373"/>
      <c r="K3" s="373"/>
      <c r="L3" s="373"/>
      <c r="M3" s="373"/>
      <c r="N3" s="373"/>
      <c r="O3" s="373"/>
      <c r="P3" s="373"/>
      <c r="Q3" s="373"/>
      <c r="R3" s="373"/>
      <c r="S3" s="373"/>
      <c r="T3" s="373"/>
      <c r="U3" s="373"/>
      <c r="V3" s="373"/>
      <c r="W3" s="373"/>
      <c r="X3" s="373"/>
      <c r="Y3" s="373"/>
      <c r="Z3" s="339"/>
      <c r="AA3" s="339"/>
      <c r="AB3" s="339"/>
      <c r="AC3" s="339"/>
      <c r="AD3" s="339"/>
      <c r="AE3" s="339"/>
      <c r="AF3" s="339"/>
      <c r="AG3" s="339"/>
      <c r="AH3" s="339"/>
      <c r="AI3" s="339"/>
      <c r="AJ3" s="339"/>
      <c r="AK3" s="339"/>
      <c r="AL3" s="339"/>
      <c r="AM3" s="339"/>
      <c r="AN3" s="339"/>
      <c r="AO3" s="339"/>
      <c r="AP3" s="339"/>
      <c r="AQ3" s="339"/>
      <c r="AR3" s="339"/>
      <c r="AS3" s="339"/>
      <c r="AT3" s="339"/>
      <c r="AU3" s="339"/>
      <c r="AV3" s="339"/>
      <c r="AW3" s="339"/>
      <c r="AX3" s="339"/>
      <c r="AY3" s="197"/>
      <c r="AZ3" s="197"/>
      <c r="BA3" s="197" t="e" cm="1">
        <f t="array" ref="BA3">INDEX('1_入力シート【基本情報】'!EN319:'1_入力シート【基本情報】'!EN534,BA1)</f>
        <v>#N/A</v>
      </c>
      <c r="BB3" s="197" t="e" cm="1">
        <f t="array" ref="BB3">INDEX('1_入力シート【基本情報】'!EN319:'1_入力シート【基本情報】'!EN534,BB1)</f>
        <v>#N/A</v>
      </c>
      <c r="BC3" s="197" t="e" cm="1">
        <f t="array" ref="BC3">INDEX('1_入力シート【基本情報】'!EN319:'1_入力シート【基本情報】'!EN534,BC1)</f>
        <v>#N/A</v>
      </c>
      <c r="BD3" s="197" t="e" cm="1">
        <f t="array" ref="BD3">INDEX('1_入力シート【基本情報】'!EN319:'1_入力シート【基本情報】'!EN534,BD1)</f>
        <v>#N/A</v>
      </c>
      <c r="BE3" s="197" t="e" cm="1">
        <f t="array" ref="BE3">INDEX('1_入力シート【基本情報】'!EN319:'1_入力シート【基本情報】'!EN534,BE1)</f>
        <v>#N/A</v>
      </c>
      <c r="BF3" s="197" t="e" cm="1">
        <f t="array" ref="BF3">INDEX('1_入力シート【基本情報】'!EN319:'1_入力シート【基本情報】'!EN534,BF1)</f>
        <v>#N/A</v>
      </c>
      <c r="BG3" s="197" t="e" cm="1">
        <f t="array" ref="BG3">INDEX('1_入力シート【基本情報】'!EN319:'1_入力シート【基本情報】'!EN534,BG1)</f>
        <v>#N/A</v>
      </c>
      <c r="BH3" s="197" t="e" cm="1">
        <f t="array" ref="BH3">INDEX('1_入力シート【基本情報】'!EN319:'1_入力シート【基本情報】'!EN534,BH1)</f>
        <v>#N/A</v>
      </c>
      <c r="BI3" s="197" t="e" cm="1">
        <f t="array" ref="BI3">INDEX('1_入力シート【基本情報】'!EN319:'1_入力シート【基本情報】'!EN534,BI1)</f>
        <v>#N/A</v>
      </c>
      <c r="BJ3" s="197" t="e" cm="1">
        <f t="array" ref="BJ3">INDEX('1_入力シート【基本情報】'!EN319:'1_入力シート【基本情報】'!EN534,BJ1)</f>
        <v>#N/A</v>
      </c>
      <c r="BK3" s="197" t="e" cm="1">
        <f t="array" ref="BK3">INDEX('1_入力シート【基本情報】'!EN319:'1_入力シート【基本情報】'!EN534,BK1)</f>
        <v>#N/A</v>
      </c>
      <c r="BL3" s="197" t="e" cm="1">
        <f t="array" ref="BL3">INDEX('1_入力シート【基本情報】'!EN319:'1_入力シート【基本情報】'!EN534,BL1)</f>
        <v>#N/A</v>
      </c>
      <c r="BM3" s="197" t="e" cm="1">
        <f t="array" ref="BM3">INDEX('1_入力シート【基本情報】'!EN319:'1_入力シート【基本情報】'!EN534,BM1)</f>
        <v>#N/A</v>
      </c>
      <c r="BN3" s="197" t="e" cm="1">
        <f t="array" ref="BN3">INDEX('1_入力シート【基本情報】'!EN319:'1_入力シート【基本情報】'!EN534,BN1)</f>
        <v>#N/A</v>
      </c>
      <c r="BO3" s="197" t="e" cm="1">
        <f t="array" ref="BO3">INDEX('1_入力シート【基本情報】'!EN319:'1_入力シート【基本情報】'!EN534,BO1)</f>
        <v>#N/A</v>
      </c>
      <c r="BP3" s="197" t="e" cm="1">
        <f t="array" ref="BP3">INDEX('1_入力シート【基本情報】'!EN319:'1_入力シート【基本情報】'!EN534,BP1)</f>
        <v>#N/A</v>
      </c>
      <c r="BQ3" s="197" t="e" cm="1">
        <f t="array" ref="BQ3">INDEX('1_入力シート【基本情報】'!EN319:'1_入力シート【基本情報】'!EN534,BQ1)</f>
        <v>#N/A</v>
      </c>
      <c r="BR3" s="197" t="e" cm="1">
        <f t="array" ref="BR3">INDEX('1_入力シート【基本情報】'!EN319:'1_入力シート【基本情報】'!EN534,BR1)</f>
        <v>#N/A</v>
      </c>
      <c r="BS3" s="197" t="e" cm="1">
        <f t="array" ref="BS3">INDEX('1_入力シート【基本情報】'!EN319:'1_入力シート【基本情報】'!EN534,BS1)</f>
        <v>#N/A</v>
      </c>
      <c r="BT3" s="197" t="e" cm="1">
        <f t="array" ref="BT3">INDEX('1_入力シート【基本情報】'!EN319:'1_入力シート【基本情報】'!EN534,BT1)</f>
        <v>#N/A</v>
      </c>
    </row>
    <row r="4" spans="1:72" s="338" customFormat="1" ht="12.75" customHeight="1" x14ac:dyDescent="0.15">
      <c r="A4" s="377" t="s">
        <v>882</v>
      </c>
      <c r="B4" s="377"/>
      <c r="C4" s="377"/>
      <c r="D4" s="377"/>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AN4" s="374"/>
      <c r="AO4" s="374"/>
      <c r="AP4" s="374"/>
      <c r="AQ4" s="374"/>
      <c r="AR4" s="374"/>
      <c r="AS4" s="374"/>
      <c r="AT4" s="374"/>
      <c r="AU4" s="374"/>
      <c r="AV4" s="339"/>
      <c r="AW4" s="339"/>
      <c r="AX4" s="339"/>
      <c r="AY4" s="197"/>
      <c r="AZ4" s="197"/>
      <c r="BA4" s="197" t="e" cm="1">
        <f t="array" ref="BA4">INDEX('1_入力シート【基本情報】'!DW319:'1_入力シート【基本情報】'!DW534,BA1)</f>
        <v>#N/A</v>
      </c>
      <c r="BB4" s="197" t="e" cm="1">
        <f t="array" ref="BB4">INDEX('1_入力シート【基本情報】'!DW319:'1_入力シート【基本情報】'!DW534,BB1)</f>
        <v>#N/A</v>
      </c>
      <c r="BC4" s="197" t="e" cm="1">
        <f t="array" ref="BC4">INDEX('1_入力シート【基本情報】'!DW319:'1_入力シート【基本情報】'!DW534,BC1)</f>
        <v>#N/A</v>
      </c>
      <c r="BD4" s="197" t="e" cm="1">
        <f t="array" ref="BD4">INDEX('1_入力シート【基本情報】'!DW319:'1_入力シート【基本情報】'!DW534,BD1)</f>
        <v>#N/A</v>
      </c>
      <c r="BE4" s="197" t="e" cm="1">
        <f t="array" ref="BE4">INDEX('1_入力シート【基本情報】'!DW319:'1_入力シート【基本情報】'!DW534,BE1)</f>
        <v>#N/A</v>
      </c>
      <c r="BF4" s="197" t="e" cm="1">
        <f t="array" ref="BF4">INDEX('1_入力シート【基本情報】'!DW319:'1_入力シート【基本情報】'!DW534,BF1)</f>
        <v>#N/A</v>
      </c>
      <c r="BG4" s="197" t="e" cm="1">
        <f t="array" ref="BG4">INDEX('1_入力シート【基本情報】'!DW319:'1_入力シート【基本情報】'!DW534,BG1)</f>
        <v>#N/A</v>
      </c>
      <c r="BH4" s="197" t="e" cm="1">
        <f t="array" ref="BH4">INDEX('1_入力シート【基本情報】'!DW319:'1_入力シート【基本情報】'!DW534,BH1)</f>
        <v>#N/A</v>
      </c>
      <c r="BI4" s="197" t="e" cm="1">
        <f t="array" ref="BI4">INDEX('1_入力シート【基本情報】'!DW319:'1_入力シート【基本情報】'!DW534,BI1)</f>
        <v>#N/A</v>
      </c>
      <c r="BJ4" s="197" t="e" cm="1">
        <f t="array" ref="BJ4">INDEX('1_入力シート【基本情報】'!DW319:'1_入力シート【基本情報】'!DW534,BJ1)</f>
        <v>#N/A</v>
      </c>
      <c r="BK4" s="197" t="e" cm="1">
        <f t="array" ref="BK4">INDEX('1_入力シート【基本情報】'!DW319:'1_入力シート【基本情報】'!DW534,BK1)</f>
        <v>#N/A</v>
      </c>
      <c r="BL4" s="197" t="e" cm="1">
        <f t="array" ref="BL4">INDEX('1_入力シート【基本情報】'!DW319:'1_入力シート【基本情報】'!DW534,BL1)</f>
        <v>#N/A</v>
      </c>
      <c r="BM4" s="197" t="e" cm="1">
        <f t="array" ref="BM4">INDEX('1_入力シート【基本情報】'!DW319:'1_入力シート【基本情報】'!DW534,BM1)</f>
        <v>#N/A</v>
      </c>
      <c r="BN4" s="197" t="e" cm="1">
        <f t="array" ref="BN4">INDEX('1_入力シート【基本情報】'!DW319:'1_入力シート【基本情報】'!DW534,BN1)</f>
        <v>#N/A</v>
      </c>
      <c r="BO4" s="197" t="e" cm="1">
        <f t="array" ref="BO4">INDEX('1_入力シート【基本情報】'!DW319:'1_入力シート【基本情報】'!DW534,BO1)</f>
        <v>#N/A</v>
      </c>
      <c r="BP4" s="197" t="e" cm="1">
        <f t="array" ref="BP4">INDEX('1_入力シート【基本情報】'!DW319:'1_入力シート【基本情報】'!DW534,BP1)</f>
        <v>#N/A</v>
      </c>
      <c r="BQ4" s="197" t="e" cm="1">
        <f t="array" ref="BQ4">INDEX('1_入力シート【基本情報】'!DW319:'1_入力シート【基本情報】'!DW534,BQ1)</f>
        <v>#N/A</v>
      </c>
      <c r="BR4" s="197" t="e" cm="1">
        <f t="array" ref="BR4">INDEX('1_入力シート【基本情報】'!DW319:'1_入力シート【基本情報】'!DW534,BR1)</f>
        <v>#N/A</v>
      </c>
      <c r="BS4" s="197" t="e" cm="1">
        <f t="array" ref="BS4">INDEX('1_入力シート【基本情報】'!DW319:'1_入力シート【基本情報】'!DW534,BS1)</f>
        <v>#N/A</v>
      </c>
      <c r="BT4" s="197" t="e" cm="1">
        <f t="array" ref="BT4">INDEX('1_入力シート【基本情報】'!DW319:'1_入力シート【基本情報】'!DW534,BT1)</f>
        <v>#N/A</v>
      </c>
    </row>
    <row r="5" spans="1:72" s="338" customFormat="1" ht="71.25" customHeight="1" x14ac:dyDescent="0.15">
      <c r="A5" s="374"/>
      <c r="B5" s="3015" t="s">
        <v>2105</v>
      </c>
      <c r="C5" s="3015"/>
      <c r="D5" s="3015"/>
      <c r="E5" s="3015"/>
      <c r="F5" s="3015"/>
      <c r="G5" s="3015"/>
      <c r="H5" s="3015"/>
      <c r="I5" s="3015"/>
      <c r="J5" s="3015"/>
      <c r="K5" s="3015"/>
      <c r="L5" s="3015"/>
      <c r="M5" s="3015"/>
      <c r="N5" s="3015"/>
      <c r="O5" s="3015"/>
      <c r="P5" s="3015"/>
      <c r="Q5" s="3015"/>
      <c r="R5" s="3015"/>
      <c r="S5" s="3015"/>
      <c r="T5" s="3015"/>
      <c r="U5" s="3015"/>
      <c r="V5" s="3015"/>
      <c r="W5" s="3015"/>
      <c r="X5" s="3015"/>
      <c r="Y5" s="3015"/>
      <c r="Z5" s="3015"/>
      <c r="AA5" s="3015"/>
      <c r="AB5" s="3015"/>
      <c r="AC5" s="3015"/>
      <c r="AD5" s="3015"/>
      <c r="AE5" s="3015"/>
      <c r="AF5" s="3015"/>
      <c r="AG5" s="3015"/>
      <c r="AH5" s="3015"/>
      <c r="AI5" s="3015"/>
      <c r="AJ5" s="3015"/>
      <c r="AK5" s="3015"/>
      <c r="AL5" s="3015"/>
      <c r="AM5" s="3015"/>
      <c r="AN5" s="3015"/>
      <c r="AO5" s="3015"/>
      <c r="AP5" s="3015"/>
      <c r="AQ5" s="3015"/>
      <c r="AR5" s="3015"/>
      <c r="AS5" s="3015"/>
      <c r="AT5" s="3015"/>
      <c r="AU5" s="3015"/>
      <c r="AV5" s="339"/>
      <c r="AW5" s="339"/>
      <c r="AX5" s="339"/>
      <c r="AY5" s="197"/>
      <c r="AZ5" s="197"/>
      <c r="BA5" s="197"/>
      <c r="BB5" s="197"/>
      <c r="BC5" s="197"/>
      <c r="BD5" s="197"/>
      <c r="BE5" s="197"/>
      <c r="BF5" s="197"/>
      <c r="BG5" s="197"/>
      <c r="BH5" s="197"/>
      <c r="BI5" s="197"/>
      <c r="BJ5" s="197"/>
      <c r="BK5" s="197"/>
      <c r="BL5" s="197"/>
      <c r="BM5" s="197"/>
      <c r="BN5" s="197"/>
      <c r="BO5" s="197"/>
      <c r="BP5" s="197"/>
      <c r="BQ5" s="197"/>
      <c r="BR5" s="197"/>
      <c r="BS5" s="197"/>
      <c r="BT5" s="197"/>
    </row>
    <row r="6" spans="1:72" ht="12.75" customHeight="1" x14ac:dyDescent="0.15">
      <c r="AW6" s="197"/>
      <c r="AX6" s="197"/>
    </row>
    <row r="7" spans="1:72" ht="12.75" customHeight="1" x14ac:dyDescent="0.15">
      <c r="A7" s="336" t="s">
        <v>18</v>
      </c>
      <c r="B7" s="336" t="s">
        <v>153</v>
      </c>
      <c r="C7" s="336">
        <v>2</v>
      </c>
      <c r="D7" s="336" t="s">
        <v>5</v>
      </c>
      <c r="E7" s="336" t="s">
        <v>6</v>
      </c>
      <c r="F7" s="336"/>
      <c r="G7" s="336" t="s">
        <v>25</v>
      </c>
      <c r="H7" s="336" t="s">
        <v>175</v>
      </c>
      <c r="I7" s="336">
        <v>4</v>
      </c>
      <c r="J7" s="336" t="s">
        <v>22</v>
      </c>
      <c r="AO7" s="423" t="str">
        <f>チェックシート!H3</f>
        <v>Kyoto City（R7.7） ver.120</v>
      </c>
      <c r="AP7" s="387" t="str">
        <f>IF('1_入力シート【基本情報】'!$AB$7="","",'1_入力シート【基本情報】'!$AB$7)</f>
        <v/>
      </c>
      <c r="AQ7" s="386" t="str">
        <f>IF('1_入力シート【基本情報】'!$AK$7="","",'1_入力シート【基本情報】'!$AK$7)</f>
        <v/>
      </c>
      <c r="AR7" s="2990" t="str">
        <f>IF('1_入力シート【基本情報】'!$AT$7="","",TEXT('1_入力シート【基本情報】'!$AT$7,"0000"))</f>
        <v/>
      </c>
      <c r="AS7" s="2991"/>
      <c r="AT7" s="2991"/>
      <c r="AU7" s="2992"/>
      <c r="AW7" s="197"/>
      <c r="AX7" s="197"/>
    </row>
    <row r="8" spans="1:72" ht="12.75" customHeight="1" x14ac:dyDescent="0.15">
      <c r="U8" s="3049" t="s">
        <v>174</v>
      </c>
      <c r="V8" s="3049"/>
      <c r="W8" s="3049"/>
      <c r="X8" s="3049"/>
      <c r="Y8" s="3049"/>
      <c r="Z8" s="3049"/>
      <c r="AW8" s="197"/>
      <c r="AX8" s="197"/>
    </row>
    <row r="9" spans="1:72" ht="12.75" customHeight="1" x14ac:dyDescent="0.15">
      <c r="AW9" s="197"/>
      <c r="AX9" s="197"/>
    </row>
    <row r="10" spans="1:72" ht="15.75" customHeight="1" x14ac:dyDescent="0.15">
      <c r="A10" s="3018" t="s">
        <v>154</v>
      </c>
      <c r="B10" s="3019"/>
      <c r="C10" s="3020"/>
      <c r="D10" s="3037" t="s">
        <v>155</v>
      </c>
      <c r="E10" s="3038"/>
      <c r="F10" s="3038"/>
      <c r="G10" s="3038"/>
      <c r="H10" s="3038"/>
      <c r="I10" s="3038"/>
      <c r="J10" s="3039"/>
      <c r="K10" s="340"/>
      <c r="L10" s="341"/>
      <c r="M10" s="341"/>
      <c r="N10" s="341"/>
      <c r="O10" s="341"/>
      <c r="P10" s="341"/>
      <c r="Q10" s="341"/>
      <c r="R10" s="341"/>
      <c r="S10" s="342" t="s">
        <v>7</v>
      </c>
      <c r="T10" s="342" t="s">
        <v>8</v>
      </c>
      <c r="U10" s="342" t="s">
        <v>9</v>
      </c>
      <c r="V10" s="342" t="s">
        <v>156</v>
      </c>
      <c r="W10" s="342"/>
      <c r="X10" s="342"/>
      <c r="Y10" s="342"/>
      <c r="Z10" s="342"/>
      <c r="AA10" s="342"/>
      <c r="AB10" s="342"/>
      <c r="AC10" s="342"/>
      <c r="AD10" s="342"/>
      <c r="AE10" s="342"/>
      <c r="AF10" s="342"/>
      <c r="AG10" s="342"/>
      <c r="AH10" s="342"/>
      <c r="AI10" s="343"/>
      <c r="AJ10" s="344"/>
      <c r="AK10" s="3038" t="s">
        <v>33</v>
      </c>
      <c r="AL10" s="3038"/>
      <c r="AM10" s="3038"/>
      <c r="AN10" s="3038"/>
      <c r="AO10" s="3038"/>
      <c r="AP10" s="3038"/>
      <c r="AQ10" s="3038"/>
      <c r="AR10" s="3038"/>
      <c r="AS10" s="3038"/>
      <c r="AT10" s="3038"/>
      <c r="AU10" s="345"/>
      <c r="AW10" s="197"/>
      <c r="AX10" s="197"/>
    </row>
    <row r="11" spans="1:72" ht="15.75" customHeight="1" thickBot="1" x14ac:dyDescent="0.2">
      <c r="A11" s="3031"/>
      <c r="B11" s="3032"/>
      <c r="C11" s="3033"/>
      <c r="D11" s="3053" t="str">
        <f>IFERROR(VLOOKUP(1,'1_入力シート【基本情報】'!$DU$319:$DX$534,3,FALSE),"")</f>
        <v/>
      </c>
      <c r="E11" s="3054"/>
      <c r="F11" s="3054"/>
      <c r="G11" s="3054"/>
      <c r="H11" s="3054"/>
      <c r="I11" s="3054"/>
      <c r="J11" s="3055"/>
      <c r="K11" s="3040" t="str">
        <f>IFERROR(VLOOKUP(1,'1_入力シート【基本情報】'!$DU$319:$DX$534,4,FALSE),"")</f>
        <v/>
      </c>
      <c r="L11" s="3041"/>
      <c r="M11" s="3041"/>
      <c r="N11" s="3041"/>
      <c r="O11" s="3041"/>
      <c r="P11" s="3041"/>
      <c r="Q11" s="3041"/>
      <c r="R11" s="3041"/>
      <c r="S11" s="3041"/>
      <c r="T11" s="3041"/>
      <c r="U11" s="3041"/>
      <c r="V11" s="3041"/>
      <c r="W11" s="3041"/>
      <c r="X11" s="3041"/>
      <c r="Y11" s="3041"/>
      <c r="Z11" s="3041"/>
      <c r="AA11" s="3041"/>
      <c r="AB11" s="3041"/>
      <c r="AC11" s="3041"/>
      <c r="AD11" s="3041"/>
      <c r="AE11" s="3041"/>
      <c r="AF11" s="3041"/>
      <c r="AG11" s="3041"/>
      <c r="AH11" s="3041"/>
      <c r="AI11" s="3042"/>
      <c r="AJ11" s="101"/>
      <c r="AK11" s="101"/>
      <c r="AL11" s="101"/>
      <c r="AM11" s="101"/>
      <c r="AN11" s="101"/>
      <c r="AO11" s="101"/>
      <c r="AP11" s="101"/>
      <c r="AQ11" s="101"/>
      <c r="AR11" s="101"/>
      <c r="AS11" s="101"/>
      <c r="AT11" s="101"/>
      <c r="AU11" s="106"/>
      <c r="AW11" s="197"/>
      <c r="AX11" s="197"/>
    </row>
    <row r="12" spans="1:72" ht="15.75" customHeight="1" thickBot="1" x14ac:dyDescent="0.2">
      <c r="A12" s="3031"/>
      <c r="B12" s="3032"/>
      <c r="C12" s="3033"/>
      <c r="D12" s="3056"/>
      <c r="E12" s="3057"/>
      <c r="F12" s="3057"/>
      <c r="G12" s="3057"/>
      <c r="H12" s="3057"/>
      <c r="I12" s="3057"/>
      <c r="J12" s="3058"/>
      <c r="K12" s="3043"/>
      <c r="L12" s="3044"/>
      <c r="M12" s="3044"/>
      <c r="N12" s="3044"/>
      <c r="O12" s="3044"/>
      <c r="P12" s="3044"/>
      <c r="Q12" s="3044"/>
      <c r="R12" s="3044"/>
      <c r="S12" s="3044"/>
      <c r="T12" s="3044"/>
      <c r="U12" s="3044"/>
      <c r="V12" s="3044"/>
      <c r="W12" s="3044"/>
      <c r="X12" s="3044"/>
      <c r="Y12" s="3044"/>
      <c r="Z12" s="3044"/>
      <c r="AA12" s="3044"/>
      <c r="AB12" s="3044"/>
      <c r="AC12" s="3044"/>
      <c r="AD12" s="3044"/>
      <c r="AE12" s="3044"/>
      <c r="AF12" s="3044"/>
      <c r="AG12" s="3044"/>
      <c r="AH12" s="3044"/>
      <c r="AI12" s="3045"/>
      <c r="AJ12" s="101"/>
      <c r="AK12" s="367" t="str">
        <f>IF(D11&lt;&gt;"","☑","☐")</f>
        <v>☐</v>
      </c>
      <c r="AL12" s="101" t="s">
        <v>14</v>
      </c>
      <c r="AM12" s="101" t="s">
        <v>21</v>
      </c>
      <c r="AN12" s="101" t="s">
        <v>15</v>
      </c>
      <c r="AO12" s="101"/>
      <c r="AP12" s="426" t="s">
        <v>2398</v>
      </c>
      <c r="AQ12" s="101" t="s">
        <v>27</v>
      </c>
      <c r="AR12" s="101" t="s">
        <v>23</v>
      </c>
      <c r="AS12" s="101" t="s">
        <v>13</v>
      </c>
      <c r="AT12" s="101"/>
      <c r="AU12" s="106"/>
      <c r="AV12" s="346"/>
      <c r="AW12" s="197"/>
      <c r="AX12" s="197"/>
      <c r="BA12" s="430" t="b">
        <f>AP12="☑"</f>
        <v>0</v>
      </c>
    </row>
    <row r="13" spans="1:72" ht="15.75" customHeight="1" x14ac:dyDescent="0.15">
      <c r="A13" s="3034"/>
      <c r="B13" s="3035"/>
      <c r="C13" s="3036"/>
      <c r="D13" s="3059"/>
      <c r="E13" s="3060"/>
      <c r="F13" s="3060"/>
      <c r="G13" s="3060"/>
      <c r="H13" s="3060"/>
      <c r="I13" s="3060"/>
      <c r="J13" s="3061"/>
      <c r="K13" s="3046"/>
      <c r="L13" s="3047"/>
      <c r="M13" s="3047"/>
      <c r="N13" s="3047"/>
      <c r="O13" s="3047"/>
      <c r="P13" s="3047"/>
      <c r="Q13" s="3047"/>
      <c r="R13" s="3047"/>
      <c r="S13" s="3047"/>
      <c r="T13" s="3047"/>
      <c r="U13" s="3047"/>
      <c r="V13" s="3047"/>
      <c r="W13" s="3047"/>
      <c r="X13" s="3047"/>
      <c r="Y13" s="3047"/>
      <c r="Z13" s="3047"/>
      <c r="AA13" s="3047"/>
      <c r="AB13" s="3047"/>
      <c r="AC13" s="3047"/>
      <c r="AD13" s="3047"/>
      <c r="AE13" s="3047"/>
      <c r="AF13" s="3047"/>
      <c r="AG13" s="3047"/>
      <c r="AH13" s="3047"/>
      <c r="AI13" s="3048"/>
      <c r="AJ13" s="102"/>
      <c r="AK13" s="102"/>
      <c r="AL13" s="102"/>
      <c r="AM13" s="102"/>
      <c r="AN13" s="102"/>
      <c r="AO13" s="102"/>
      <c r="AP13" s="102"/>
      <c r="AQ13" s="102"/>
      <c r="AR13" s="102"/>
      <c r="AS13" s="102"/>
      <c r="AT13" s="102"/>
      <c r="AU13" s="107"/>
      <c r="AW13" s="197"/>
      <c r="AX13" s="197"/>
    </row>
    <row r="14" spans="1:72" ht="15.75" customHeight="1" x14ac:dyDescent="0.15">
      <c r="A14" s="2"/>
      <c r="B14" s="335"/>
      <c r="C14" s="335"/>
      <c r="D14" s="335"/>
      <c r="E14" s="335"/>
      <c r="F14" s="335"/>
      <c r="G14" s="335"/>
      <c r="H14" s="335"/>
      <c r="I14" s="335"/>
      <c r="J14" s="335"/>
      <c r="K14" s="335"/>
      <c r="L14" s="335"/>
      <c r="M14" s="335"/>
      <c r="N14" s="335"/>
      <c r="O14" s="335"/>
      <c r="P14" s="335"/>
      <c r="Q14" s="335"/>
      <c r="R14" s="335"/>
      <c r="S14" s="335"/>
      <c r="T14" s="335"/>
      <c r="U14" s="335"/>
      <c r="V14" s="335"/>
      <c r="W14" s="335"/>
      <c r="X14" s="335"/>
      <c r="Y14" s="3"/>
      <c r="Z14" s="47"/>
      <c r="AA14" s="48" t="s">
        <v>11</v>
      </c>
      <c r="AB14" s="48" t="s">
        <v>10</v>
      </c>
      <c r="AC14" s="48" t="s">
        <v>16</v>
      </c>
      <c r="AD14" s="48" t="s">
        <v>9</v>
      </c>
      <c r="AE14" s="48"/>
      <c r="AF14" s="48"/>
      <c r="AG14" s="48"/>
      <c r="AH14" s="48"/>
      <c r="AI14" s="48"/>
      <c r="AJ14" s="49"/>
      <c r="AK14" s="49"/>
      <c r="AL14" s="49"/>
      <c r="AM14" s="49"/>
      <c r="AN14" s="49"/>
      <c r="AO14" s="49"/>
      <c r="AP14" s="49"/>
      <c r="AQ14" s="49"/>
      <c r="AR14" s="49"/>
      <c r="AS14" s="49"/>
      <c r="AT14" s="49"/>
      <c r="AU14" s="50"/>
      <c r="AW14" s="197"/>
      <c r="AX14" s="197"/>
    </row>
    <row r="15" spans="1:72" ht="15.75" customHeight="1" x14ac:dyDescent="0.15">
      <c r="A15" s="2"/>
      <c r="B15" s="335"/>
      <c r="C15" s="335"/>
      <c r="D15" s="335"/>
      <c r="E15" s="335"/>
      <c r="F15" s="335"/>
      <c r="G15" s="335"/>
      <c r="H15" s="335"/>
      <c r="I15" s="335"/>
      <c r="J15" s="335"/>
      <c r="K15" s="335"/>
      <c r="L15" s="335"/>
      <c r="M15" s="335"/>
      <c r="N15" s="335"/>
      <c r="O15" s="335"/>
      <c r="P15" s="335"/>
      <c r="Q15" s="335"/>
      <c r="R15" s="335"/>
      <c r="S15" s="335"/>
      <c r="T15" s="335"/>
      <c r="U15" s="335"/>
      <c r="V15" s="335"/>
      <c r="W15" s="335"/>
      <c r="X15" s="335"/>
      <c r="Y15" s="3"/>
      <c r="Z15" s="3062"/>
      <c r="AA15" s="3063"/>
      <c r="AB15" s="3063"/>
      <c r="AC15" s="3063"/>
      <c r="AD15" s="3063"/>
      <c r="AE15" s="3063"/>
      <c r="AF15" s="3063"/>
      <c r="AG15" s="3063"/>
      <c r="AH15" s="3063"/>
      <c r="AI15" s="3063"/>
      <c r="AJ15" s="3063"/>
      <c r="AK15" s="3063"/>
      <c r="AL15" s="3063"/>
      <c r="AM15" s="3063"/>
      <c r="AN15" s="3063"/>
      <c r="AO15" s="51"/>
      <c r="AP15" s="51"/>
      <c r="AQ15" s="51"/>
      <c r="AR15" s="51"/>
      <c r="AS15" s="51"/>
      <c r="AT15" s="51"/>
      <c r="AU15" s="52"/>
      <c r="AW15" s="197"/>
      <c r="AX15" s="197"/>
    </row>
    <row r="16" spans="1:72" ht="15.75" customHeight="1" x14ac:dyDescent="0.15">
      <c r="A16" s="2"/>
      <c r="B16" s="335"/>
      <c r="C16" s="335"/>
      <c r="D16" s="335"/>
      <c r="E16" s="335"/>
      <c r="F16" s="335"/>
      <c r="G16" s="335"/>
      <c r="H16" s="335"/>
      <c r="I16" s="335"/>
      <c r="J16" s="335"/>
      <c r="K16" s="335"/>
      <c r="L16" s="335"/>
      <c r="M16" s="335"/>
      <c r="N16" s="335"/>
      <c r="O16" s="335"/>
      <c r="P16" s="335"/>
      <c r="Q16" s="335"/>
      <c r="R16" s="335"/>
      <c r="S16" s="335"/>
      <c r="T16" s="335"/>
      <c r="U16" s="335"/>
      <c r="V16" s="335"/>
      <c r="W16" s="335"/>
      <c r="X16" s="335"/>
      <c r="Y16" s="3"/>
      <c r="Z16" s="2995" t="str">
        <f>IFERROR(VLOOKUP(1,'1_入力シート【基本情報】'!$DU$319:$DZ$534,5,FALSE),"")</f>
        <v/>
      </c>
      <c r="AA16" s="2996"/>
      <c r="AB16" s="2996"/>
      <c r="AC16" s="2996"/>
      <c r="AD16" s="2996"/>
      <c r="AE16" s="2996"/>
      <c r="AF16" s="2996"/>
      <c r="AG16" s="2996"/>
      <c r="AH16" s="2996"/>
      <c r="AI16" s="2996"/>
      <c r="AJ16" s="2996"/>
      <c r="AK16" s="2996"/>
      <c r="AL16" s="2996"/>
      <c r="AM16" s="2996"/>
      <c r="AN16" s="2996"/>
      <c r="AO16" s="2996"/>
      <c r="AP16" s="2996"/>
      <c r="AQ16" s="2996"/>
      <c r="AR16" s="2996"/>
      <c r="AS16" s="2996"/>
      <c r="AT16" s="2996"/>
      <c r="AU16" s="2997"/>
      <c r="AW16" s="197"/>
      <c r="AX16" s="197"/>
    </row>
    <row r="17" spans="1:50" ht="15.75" customHeight="1" x14ac:dyDescent="0.15">
      <c r="A17" s="2"/>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
      <c r="Z17" s="2998"/>
      <c r="AA17" s="2999"/>
      <c r="AB17" s="2999"/>
      <c r="AC17" s="2999"/>
      <c r="AD17" s="2999"/>
      <c r="AE17" s="2999"/>
      <c r="AF17" s="2999"/>
      <c r="AG17" s="2999"/>
      <c r="AH17" s="2999"/>
      <c r="AI17" s="2999"/>
      <c r="AJ17" s="2999"/>
      <c r="AK17" s="2999"/>
      <c r="AL17" s="2999"/>
      <c r="AM17" s="2999"/>
      <c r="AN17" s="2999"/>
      <c r="AO17" s="2999"/>
      <c r="AP17" s="2999"/>
      <c r="AQ17" s="2999"/>
      <c r="AR17" s="2999"/>
      <c r="AS17" s="2999"/>
      <c r="AT17" s="2999"/>
      <c r="AU17" s="3000"/>
      <c r="AW17" s="197"/>
      <c r="AX17" s="197"/>
    </row>
    <row r="18" spans="1:50" ht="15.75" customHeight="1" x14ac:dyDescent="0.15">
      <c r="A18" s="2"/>
      <c r="B18" s="335"/>
      <c r="C18" s="335"/>
      <c r="D18" s="335"/>
      <c r="E18" s="335"/>
      <c r="F18" s="335"/>
      <c r="G18" s="335"/>
      <c r="H18" s="335"/>
      <c r="I18" s="335"/>
      <c r="J18" s="335"/>
      <c r="K18" s="335"/>
      <c r="L18" s="335"/>
      <c r="M18" s="335"/>
      <c r="N18" s="335"/>
      <c r="O18" s="335"/>
      <c r="P18" s="335"/>
      <c r="Q18" s="335"/>
      <c r="R18" s="335"/>
      <c r="S18" s="335"/>
      <c r="T18" s="335"/>
      <c r="U18" s="335"/>
      <c r="V18" s="335"/>
      <c r="W18" s="335"/>
      <c r="X18" s="335"/>
      <c r="Y18" s="3"/>
      <c r="Z18" s="3050"/>
      <c r="AA18" s="3051"/>
      <c r="AB18" s="3051"/>
      <c r="AC18" s="3051"/>
      <c r="AD18" s="3051"/>
      <c r="AE18" s="3051"/>
      <c r="AF18" s="3051"/>
      <c r="AG18" s="3051"/>
      <c r="AH18" s="3051"/>
      <c r="AI18" s="3051"/>
      <c r="AJ18" s="3051"/>
      <c r="AK18" s="3051"/>
      <c r="AL18" s="3051"/>
      <c r="AM18" s="3051"/>
      <c r="AN18" s="3051"/>
      <c r="AO18" s="3051"/>
      <c r="AP18" s="3051"/>
      <c r="AQ18" s="3051"/>
      <c r="AR18" s="3051"/>
      <c r="AS18" s="3051"/>
      <c r="AT18" s="3051"/>
      <c r="AU18" s="3052"/>
      <c r="AW18" s="197"/>
      <c r="AX18" s="197"/>
    </row>
    <row r="19" spans="1:50" ht="15.75" customHeight="1" x14ac:dyDescent="0.15">
      <c r="A19" s="2"/>
      <c r="B19" s="335"/>
      <c r="C19" s="335"/>
      <c r="D19" s="335"/>
      <c r="E19" s="335"/>
      <c r="F19" s="335"/>
      <c r="G19" s="335"/>
      <c r="H19" s="335"/>
      <c r="I19" s="335"/>
      <c r="J19" s="335"/>
      <c r="K19" s="335"/>
      <c r="L19" s="335"/>
      <c r="M19" s="335"/>
      <c r="N19" s="335"/>
      <c r="O19" s="335"/>
      <c r="P19" s="335"/>
      <c r="Q19" s="335"/>
      <c r="R19" s="335"/>
      <c r="S19" s="335"/>
      <c r="T19" s="335"/>
      <c r="U19" s="335"/>
      <c r="V19" s="335"/>
      <c r="W19" s="335"/>
      <c r="X19" s="335"/>
      <c r="Y19" s="3"/>
      <c r="Z19" s="3004"/>
      <c r="AA19" s="3005"/>
      <c r="AB19" s="3005"/>
      <c r="AC19" s="3005"/>
      <c r="AD19" s="3005"/>
      <c r="AE19" s="3005"/>
      <c r="AF19" s="3005"/>
      <c r="AG19" s="3005"/>
      <c r="AH19" s="3005"/>
      <c r="AI19" s="3005"/>
      <c r="AJ19" s="3005"/>
      <c r="AK19" s="3005"/>
      <c r="AL19" s="3005"/>
      <c r="AM19" s="3005"/>
      <c r="AN19" s="3005"/>
      <c r="AO19" s="3005"/>
      <c r="AP19" s="3005"/>
      <c r="AQ19" s="3005"/>
      <c r="AR19" s="3005"/>
      <c r="AS19" s="3005"/>
      <c r="AT19" s="3005"/>
      <c r="AU19" s="3006"/>
      <c r="AW19" s="197"/>
      <c r="AX19" s="197"/>
    </row>
    <row r="20" spans="1:50" ht="15.75" customHeight="1" x14ac:dyDescent="0.15">
      <c r="A20" s="2"/>
      <c r="B20" s="335"/>
      <c r="C20" s="335"/>
      <c r="D20" s="335"/>
      <c r="E20" s="335"/>
      <c r="F20" s="335"/>
      <c r="G20" s="335"/>
      <c r="H20" s="335"/>
      <c r="I20" s="335"/>
      <c r="J20" s="335"/>
      <c r="K20" s="335"/>
      <c r="L20" s="335"/>
      <c r="M20" s="335"/>
      <c r="N20" s="335"/>
      <c r="O20" s="335"/>
      <c r="P20" s="335"/>
      <c r="Q20" s="335"/>
      <c r="R20" s="335"/>
      <c r="S20" s="335"/>
      <c r="T20" s="335"/>
      <c r="U20" s="335"/>
      <c r="V20" s="335"/>
      <c r="W20" s="335"/>
      <c r="X20" s="335"/>
      <c r="Y20" s="3"/>
      <c r="Z20" s="3004"/>
      <c r="AA20" s="3005"/>
      <c r="AB20" s="3005"/>
      <c r="AC20" s="3005"/>
      <c r="AD20" s="3005"/>
      <c r="AE20" s="3005"/>
      <c r="AF20" s="3005"/>
      <c r="AG20" s="3005"/>
      <c r="AH20" s="3005"/>
      <c r="AI20" s="3005"/>
      <c r="AJ20" s="3005"/>
      <c r="AK20" s="3005"/>
      <c r="AL20" s="3005"/>
      <c r="AM20" s="3005"/>
      <c r="AN20" s="3005"/>
      <c r="AO20" s="3005"/>
      <c r="AP20" s="3005"/>
      <c r="AQ20" s="3005"/>
      <c r="AR20" s="3005"/>
      <c r="AS20" s="3005"/>
      <c r="AT20" s="3005"/>
      <c r="AU20" s="3006"/>
      <c r="AW20" s="197"/>
      <c r="AX20" s="197"/>
    </row>
    <row r="21" spans="1:50" ht="15.75" customHeight="1" x14ac:dyDescent="0.15">
      <c r="A21" s="2"/>
      <c r="B21" s="335"/>
      <c r="C21" s="335"/>
      <c r="D21" s="335"/>
      <c r="E21" s="335"/>
      <c r="F21" s="335"/>
      <c r="G21" s="335"/>
      <c r="H21" s="335"/>
      <c r="I21" s="335"/>
      <c r="J21" s="335"/>
      <c r="K21" s="335"/>
      <c r="L21" s="335"/>
      <c r="M21" s="335"/>
      <c r="N21" s="335"/>
      <c r="O21" s="335"/>
      <c r="P21" s="335"/>
      <c r="Q21" s="335"/>
      <c r="R21" s="335"/>
      <c r="S21" s="335"/>
      <c r="T21" s="335"/>
      <c r="U21" s="335"/>
      <c r="V21" s="335"/>
      <c r="W21" s="335"/>
      <c r="X21" s="335"/>
      <c r="Y21" s="3"/>
      <c r="Z21" s="3004"/>
      <c r="AA21" s="3005"/>
      <c r="AB21" s="3005"/>
      <c r="AC21" s="3005"/>
      <c r="AD21" s="3005"/>
      <c r="AE21" s="3005"/>
      <c r="AF21" s="3005"/>
      <c r="AG21" s="3005"/>
      <c r="AH21" s="3005"/>
      <c r="AI21" s="3005"/>
      <c r="AJ21" s="3005"/>
      <c r="AK21" s="3005"/>
      <c r="AL21" s="3005"/>
      <c r="AM21" s="3005"/>
      <c r="AN21" s="3005"/>
      <c r="AO21" s="3005"/>
      <c r="AP21" s="3005"/>
      <c r="AQ21" s="3005"/>
      <c r="AR21" s="3005"/>
      <c r="AS21" s="3005"/>
      <c r="AT21" s="3005"/>
      <c r="AU21" s="3006"/>
      <c r="AW21" s="197"/>
      <c r="AX21" s="197"/>
    </row>
    <row r="22" spans="1:50" ht="15.75" customHeight="1" x14ac:dyDescent="0.15">
      <c r="A22" s="2"/>
      <c r="B22" s="335"/>
      <c r="C22" s="335"/>
      <c r="D22" s="335"/>
      <c r="E22" s="335"/>
      <c r="F22" s="335"/>
      <c r="G22" s="335"/>
      <c r="H22" s="335"/>
      <c r="I22" s="335"/>
      <c r="J22" s="335"/>
      <c r="K22" s="3013" t="s">
        <v>157</v>
      </c>
      <c r="L22" s="3013"/>
      <c r="M22" s="3013"/>
      <c r="N22" s="3013"/>
      <c r="O22" s="3013"/>
      <c r="P22" s="3013"/>
      <c r="Q22" s="335"/>
      <c r="R22" s="335"/>
      <c r="S22" s="335"/>
      <c r="T22" s="335"/>
      <c r="U22" s="335"/>
      <c r="V22" s="335"/>
      <c r="W22" s="335"/>
      <c r="X22" s="335"/>
      <c r="Y22" s="3"/>
      <c r="Z22" s="3004"/>
      <c r="AA22" s="3005"/>
      <c r="AB22" s="3005"/>
      <c r="AC22" s="3005"/>
      <c r="AD22" s="3005"/>
      <c r="AE22" s="3005"/>
      <c r="AF22" s="3005"/>
      <c r="AG22" s="3005"/>
      <c r="AH22" s="3005"/>
      <c r="AI22" s="3005"/>
      <c r="AJ22" s="3005"/>
      <c r="AK22" s="3005"/>
      <c r="AL22" s="3005"/>
      <c r="AM22" s="3005"/>
      <c r="AN22" s="3005"/>
      <c r="AO22" s="3005"/>
      <c r="AP22" s="3005"/>
      <c r="AQ22" s="3005"/>
      <c r="AR22" s="3005"/>
      <c r="AS22" s="3005"/>
      <c r="AT22" s="3005"/>
      <c r="AU22" s="3006"/>
      <c r="AW22" s="197"/>
      <c r="AX22" s="197"/>
    </row>
    <row r="23" spans="1:50" ht="15.75" customHeight="1" x14ac:dyDescent="0.15">
      <c r="A23" s="2"/>
      <c r="B23" s="335"/>
      <c r="C23" s="335"/>
      <c r="D23" s="335"/>
      <c r="E23" s="335"/>
      <c r="F23" s="335"/>
      <c r="G23" s="335"/>
      <c r="H23" s="335"/>
      <c r="I23" s="335"/>
      <c r="J23" s="335"/>
      <c r="K23" s="335"/>
      <c r="L23" s="335"/>
      <c r="M23" s="335"/>
      <c r="N23" s="335"/>
      <c r="O23" s="335"/>
      <c r="P23" s="335"/>
      <c r="Q23" s="335"/>
      <c r="R23" s="335"/>
      <c r="S23" s="335"/>
      <c r="T23" s="335"/>
      <c r="U23" s="335"/>
      <c r="V23" s="335"/>
      <c r="W23" s="335"/>
      <c r="X23" s="335"/>
      <c r="Y23" s="3"/>
      <c r="Z23" s="3004"/>
      <c r="AA23" s="3005"/>
      <c r="AB23" s="3005"/>
      <c r="AC23" s="3005"/>
      <c r="AD23" s="3005"/>
      <c r="AE23" s="3005"/>
      <c r="AF23" s="3005"/>
      <c r="AG23" s="3005"/>
      <c r="AH23" s="3005"/>
      <c r="AI23" s="3005"/>
      <c r="AJ23" s="3005"/>
      <c r="AK23" s="3005"/>
      <c r="AL23" s="3005"/>
      <c r="AM23" s="3005"/>
      <c r="AN23" s="3005"/>
      <c r="AO23" s="3005"/>
      <c r="AP23" s="3005"/>
      <c r="AQ23" s="3005"/>
      <c r="AR23" s="3005"/>
      <c r="AS23" s="3005"/>
      <c r="AT23" s="3005"/>
      <c r="AU23" s="3006"/>
      <c r="AW23" s="197"/>
      <c r="AX23" s="197"/>
    </row>
    <row r="24" spans="1:50" ht="15.75" customHeight="1" x14ac:dyDescent="0.15">
      <c r="A24" s="2"/>
      <c r="B24" s="335"/>
      <c r="C24" s="335"/>
      <c r="D24" s="335"/>
      <c r="E24" s="335"/>
      <c r="F24" s="335"/>
      <c r="G24" s="335"/>
      <c r="H24" s="335"/>
      <c r="I24" s="335"/>
      <c r="J24" s="335"/>
      <c r="K24" s="335"/>
      <c r="L24" s="335"/>
      <c r="M24" s="335"/>
      <c r="N24" s="335"/>
      <c r="O24" s="335"/>
      <c r="P24" s="335"/>
      <c r="Q24" s="335"/>
      <c r="R24" s="335"/>
      <c r="S24" s="335"/>
      <c r="T24" s="335"/>
      <c r="U24" s="335"/>
      <c r="V24" s="335"/>
      <c r="W24" s="335"/>
      <c r="X24" s="335"/>
      <c r="Y24" s="3"/>
      <c r="Z24" s="3004"/>
      <c r="AA24" s="3005"/>
      <c r="AB24" s="3005"/>
      <c r="AC24" s="3005"/>
      <c r="AD24" s="3005"/>
      <c r="AE24" s="3005"/>
      <c r="AF24" s="3005"/>
      <c r="AG24" s="3005"/>
      <c r="AH24" s="3005"/>
      <c r="AI24" s="3005"/>
      <c r="AJ24" s="3005"/>
      <c r="AK24" s="3005"/>
      <c r="AL24" s="3005"/>
      <c r="AM24" s="3005"/>
      <c r="AN24" s="3005"/>
      <c r="AO24" s="3005"/>
      <c r="AP24" s="3005"/>
      <c r="AQ24" s="3005"/>
      <c r="AR24" s="3005"/>
      <c r="AS24" s="3005"/>
      <c r="AT24" s="3005"/>
      <c r="AU24" s="3006"/>
      <c r="AW24" s="197"/>
      <c r="AX24" s="197"/>
    </row>
    <row r="25" spans="1:50" ht="15.75" customHeight="1" x14ac:dyDescent="0.15">
      <c r="A25" s="2"/>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
      <c r="Z25" s="3004"/>
      <c r="AA25" s="3005"/>
      <c r="AB25" s="3005"/>
      <c r="AC25" s="3005"/>
      <c r="AD25" s="3005"/>
      <c r="AE25" s="3005"/>
      <c r="AF25" s="3005"/>
      <c r="AG25" s="3005"/>
      <c r="AH25" s="3005"/>
      <c r="AI25" s="3005"/>
      <c r="AJ25" s="3005"/>
      <c r="AK25" s="3005"/>
      <c r="AL25" s="3005"/>
      <c r="AM25" s="3005"/>
      <c r="AN25" s="3005"/>
      <c r="AO25" s="3005"/>
      <c r="AP25" s="3005"/>
      <c r="AQ25" s="3005"/>
      <c r="AR25" s="3005"/>
      <c r="AS25" s="3005"/>
      <c r="AT25" s="3005"/>
      <c r="AU25" s="3006"/>
      <c r="AW25" s="197"/>
      <c r="AX25" s="197"/>
    </row>
    <row r="26" spans="1:50" ht="15.75" customHeight="1" x14ac:dyDescent="0.15">
      <c r="A26" s="2"/>
      <c r="B26" s="335"/>
      <c r="C26" s="335"/>
      <c r="D26" s="335"/>
      <c r="E26" s="335"/>
      <c r="F26" s="335"/>
      <c r="G26" s="335"/>
      <c r="H26" s="335"/>
      <c r="I26" s="335"/>
      <c r="J26" s="335"/>
      <c r="K26" s="335"/>
      <c r="L26" s="335"/>
      <c r="M26" s="335"/>
      <c r="N26" s="335"/>
      <c r="O26" s="335"/>
      <c r="P26" s="335"/>
      <c r="Q26" s="335"/>
      <c r="R26" s="335"/>
      <c r="S26" s="335"/>
      <c r="T26" s="335"/>
      <c r="U26" s="335"/>
      <c r="V26" s="335"/>
      <c r="W26" s="335"/>
      <c r="X26" s="335"/>
      <c r="Y26" s="3"/>
      <c r="Z26" s="3004"/>
      <c r="AA26" s="3005"/>
      <c r="AB26" s="3005"/>
      <c r="AC26" s="3005"/>
      <c r="AD26" s="3005"/>
      <c r="AE26" s="3005"/>
      <c r="AF26" s="3005"/>
      <c r="AG26" s="3005"/>
      <c r="AH26" s="3005"/>
      <c r="AI26" s="3005"/>
      <c r="AJ26" s="3005"/>
      <c r="AK26" s="3005"/>
      <c r="AL26" s="3005"/>
      <c r="AM26" s="3005"/>
      <c r="AN26" s="3005"/>
      <c r="AO26" s="3005"/>
      <c r="AP26" s="3005"/>
      <c r="AQ26" s="3005"/>
      <c r="AR26" s="3005"/>
      <c r="AS26" s="3005"/>
      <c r="AT26" s="3005"/>
      <c r="AU26" s="3006"/>
      <c r="AW26" s="197"/>
      <c r="AX26" s="197"/>
    </row>
    <row r="27" spans="1:50" ht="15.75" customHeight="1" x14ac:dyDescent="0.15">
      <c r="A27" s="2"/>
      <c r="B27" s="335"/>
      <c r="C27" s="335"/>
      <c r="D27" s="335"/>
      <c r="E27" s="335"/>
      <c r="F27" s="335"/>
      <c r="G27" s="335"/>
      <c r="H27" s="335"/>
      <c r="I27" s="335"/>
      <c r="J27" s="335"/>
      <c r="K27" s="335"/>
      <c r="L27" s="335"/>
      <c r="M27" s="335"/>
      <c r="N27" s="335"/>
      <c r="O27" s="335"/>
      <c r="P27" s="335"/>
      <c r="Q27" s="335"/>
      <c r="R27" s="335"/>
      <c r="S27" s="335"/>
      <c r="T27" s="335"/>
      <c r="U27" s="335"/>
      <c r="V27" s="335"/>
      <c r="W27" s="335"/>
      <c r="X27" s="335"/>
      <c r="Y27" s="3"/>
      <c r="Z27" s="3004"/>
      <c r="AA27" s="3005"/>
      <c r="AB27" s="3005"/>
      <c r="AC27" s="3005"/>
      <c r="AD27" s="3005"/>
      <c r="AE27" s="3005"/>
      <c r="AF27" s="3005"/>
      <c r="AG27" s="3005"/>
      <c r="AH27" s="3005"/>
      <c r="AI27" s="3005"/>
      <c r="AJ27" s="3005"/>
      <c r="AK27" s="3005"/>
      <c r="AL27" s="3005"/>
      <c r="AM27" s="3005"/>
      <c r="AN27" s="3005"/>
      <c r="AO27" s="3005"/>
      <c r="AP27" s="3005"/>
      <c r="AQ27" s="3005"/>
      <c r="AR27" s="3005"/>
      <c r="AS27" s="3005"/>
      <c r="AT27" s="3005"/>
      <c r="AU27" s="3006"/>
      <c r="AW27" s="197"/>
      <c r="AX27" s="197"/>
    </row>
    <row r="28" spans="1:50" ht="15.75" customHeight="1" x14ac:dyDescent="0.15">
      <c r="A28" s="2"/>
      <c r="B28" s="335"/>
      <c r="C28" s="335"/>
      <c r="D28" s="335"/>
      <c r="E28" s="335"/>
      <c r="F28" s="335"/>
      <c r="G28" s="335"/>
      <c r="H28" s="335"/>
      <c r="I28" s="335"/>
      <c r="J28" s="335"/>
      <c r="K28" s="335"/>
      <c r="L28" s="335"/>
      <c r="M28" s="335"/>
      <c r="N28" s="335"/>
      <c r="O28" s="335"/>
      <c r="P28" s="335"/>
      <c r="Q28" s="335"/>
      <c r="R28" s="335"/>
      <c r="S28" s="335"/>
      <c r="T28" s="335"/>
      <c r="U28" s="335"/>
      <c r="V28" s="335"/>
      <c r="W28" s="335"/>
      <c r="X28" s="335"/>
      <c r="Y28" s="3"/>
      <c r="Z28" s="3004"/>
      <c r="AA28" s="3005"/>
      <c r="AB28" s="3005"/>
      <c r="AC28" s="3005"/>
      <c r="AD28" s="3005"/>
      <c r="AE28" s="3005"/>
      <c r="AF28" s="3005"/>
      <c r="AG28" s="3005"/>
      <c r="AH28" s="3005"/>
      <c r="AI28" s="3005"/>
      <c r="AJ28" s="3005"/>
      <c r="AK28" s="3005"/>
      <c r="AL28" s="3005"/>
      <c r="AM28" s="3005"/>
      <c r="AN28" s="3005"/>
      <c r="AO28" s="3005"/>
      <c r="AP28" s="3005"/>
      <c r="AQ28" s="3005"/>
      <c r="AR28" s="3005"/>
      <c r="AS28" s="3005"/>
      <c r="AT28" s="3005"/>
      <c r="AU28" s="3006"/>
      <c r="AW28" s="197"/>
      <c r="AX28" s="197"/>
    </row>
    <row r="29" spans="1:50" ht="15.75" customHeight="1" x14ac:dyDescent="0.15">
      <c r="A29" s="2"/>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
      <c r="Z29" s="3004"/>
      <c r="AA29" s="3005"/>
      <c r="AB29" s="3005"/>
      <c r="AC29" s="3005"/>
      <c r="AD29" s="3005"/>
      <c r="AE29" s="3005"/>
      <c r="AF29" s="3005"/>
      <c r="AG29" s="3005"/>
      <c r="AH29" s="3005"/>
      <c r="AI29" s="3005"/>
      <c r="AJ29" s="3005"/>
      <c r="AK29" s="3005"/>
      <c r="AL29" s="3005"/>
      <c r="AM29" s="3005"/>
      <c r="AN29" s="3005"/>
      <c r="AO29" s="3005"/>
      <c r="AP29" s="3005"/>
      <c r="AQ29" s="3005"/>
      <c r="AR29" s="3005"/>
      <c r="AS29" s="3005"/>
      <c r="AT29" s="3005"/>
      <c r="AU29" s="3006"/>
      <c r="AW29" s="197"/>
      <c r="AX29" s="197"/>
    </row>
    <row r="30" spans="1:50" ht="15.75" customHeight="1" x14ac:dyDescent="0.15">
      <c r="A30" s="2"/>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
      <c r="Z30" s="3004"/>
      <c r="AA30" s="3005"/>
      <c r="AB30" s="3005"/>
      <c r="AC30" s="3005"/>
      <c r="AD30" s="3005"/>
      <c r="AE30" s="3005"/>
      <c r="AF30" s="3005"/>
      <c r="AG30" s="3005"/>
      <c r="AH30" s="3005"/>
      <c r="AI30" s="3005"/>
      <c r="AJ30" s="3005"/>
      <c r="AK30" s="3005"/>
      <c r="AL30" s="3005"/>
      <c r="AM30" s="3005"/>
      <c r="AN30" s="3005"/>
      <c r="AO30" s="3005"/>
      <c r="AP30" s="3005"/>
      <c r="AQ30" s="3005"/>
      <c r="AR30" s="3005"/>
      <c r="AS30" s="3005"/>
      <c r="AT30" s="3005"/>
      <c r="AU30" s="3006"/>
      <c r="AW30" s="197"/>
      <c r="AX30" s="197"/>
    </row>
    <row r="31" spans="1:50" ht="15.75" customHeight="1" x14ac:dyDescent="0.15">
      <c r="A31" s="6"/>
      <c r="B31" s="4"/>
      <c r="C31" s="4"/>
      <c r="D31" s="4"/>
      <c r="E31" s="4"/>
      <c r="F31" s="4"/>
      <c r="G31" s="4"/>
      <c r="H31" s="4"/>
      <c r="I31" s="4"/>
      <c r="J31" s="4"/>
      <c r="K31" s="4"/>
      <c r="L31" s="4"/>
      <c r="M31" s="4"/>
      <c r="N31" s="4"/>
      <c r="O31" s="4"/>
      <c r="P31" s="4"/>
      <c r="Q31" s="4"/>
      <c r="R31" s="4"/>
      <c r="S31" s="4"/>
      <c r="T31" s="4"/>
      <c r="U31" s="4"/>
      <c r="V31" s="4"/>
      <c r="W31" s="4"/>
      <c r="X31" s="4"/>
      <c r="Y31" s="5"/>
      <c r="Z31" s="3007"/>
      <c r="AA31" s="3008"/>
      <c r="AB31" s="3008"/>
      <c r="AC31" s="3008"/>
      <c r="AD31" s="3008"/>
      <c r="AE31" s="3008"/>
      <c r="AF31" s="3008"/>
      <c r="AG31" s="3008"/>
      <c r="AH31" s="3008"/>
      <c r="AI31" s="3008"/>
      <c r="AJ31" s="3008"/>
      <c r="AK31" s="3008"/>
      <c r="AL31" s="3008"/>
      <c r="AM31" s="3008"/>
      <c r="AN31" s="3008"/>
      <c r="AO31" s="3008"/>
      <c r="AP31" s="3008"/>
      <c r="AQ31" s="3008"/>
      <c r="AR31" s="3008"/>
      <c r="AS31" s="3008"/>
      <c r="AT31" s="3008"/>
      <c r="AU31" s="3009"/>
      <c r="AW31" s="197"/>
      <c r="AX31" s="197"/>
    </row>
    <row r="32" spans="1:50" ht="12.75" customHeight="1" x14ac:dyDescent="0.15">
      <c r="AW32" s="197"/>
      <c r="AX32" s="197"/>
    </row>
    <row r="33" spans="1:53" ht="15.75" customHeight="1" x14ac:dyDescent="0.15">
      <c r="A33" s="3018" t="s">
        <v>154</v>
      </c>
      <c r="B33" s="3019"/>
      <c r="C33" s="3020"/>
      <c r="D33" s="3037" t="s">
        <v>155</v>
      </c>
      <c r="E33" s="3038"/>
      <c r="F33" s="3038"/>
      <c r="G33" s="3038"/>
      <c r="H33" s="3038"/>
      <c r="I33" s="3038"/>
      <c r="J33" s="3039"/>
      <c r="K33" s="344"/>
      <c r="L33" s="341"/>
      <c r="M33" s="341"/>
      <c r="N33" s="341"/>
      <c r="O33" s="341"/>
      <c r="P33" s="341"/>
      <c r="Q33" s="341"/>
      <c r="R33" s="341"/>
      <c r="S33" s="342" t="s">
        <v>7</v>
      </c>
      <c r="T33" s="342" t="s">
        <v>8</v>
      </c>
      <c r="U33" s="342" t="s">
        <v>9</v>
      </c>
      <c r="V33" s="342" t="s">
        <v>156</v>
      </c>
      <c r="W33" s="342"/>
      <c r="X33" s="342"/>
      <c r="Y33" s="342"/>
      <c r="Z33" s="342"/>
      <c r="AA33" s="342"/>
      <c r="AB33" s="342"/>
      <c r="AC33" s="342"/>
      <c r="AD33" s="342"/>
      <c r="AE33" s="342"/>
      <c r="AF33" s="342"/>
      <c r="AG33" s="342"/>
      <c r="AH33" s="342"/>
      <c r="AI33" s="343"/>
      <c r="AJ33" s="344"/>
      <c r="AK33" s="3038" t="s">
        <v>33</v>
      </c>
      <c r="AL33" s="3038"/>
      <c r="AM33" s="3038"/>
      <c r="AN33" s="3038"/>
      <c r="AO33" s="3038"/>
      <c r="AP33" s="3038"/>
      <c r="AQ33" s="3038"/>
      <c r="AR33" s="3038"/>
      <c r="AS33" s="3038"/>
      <c r="AT33" s="3038"/>
      <c r="AU33" s="345"/>
      <c r="AW33" s="197"/>
      <c r="AX33" s="197"/>
    </row>
    <row r="34" spans="1:53" ht="15.75" customHeight="1" thickBot="1" x14ac:dyDescent="0.2">
      <c r="A34" s="3031"/>
      <c r="B34" s="3032"/>
      <c r="C34" s="3033"/>
      <c r="D34" s="3018" t="str">
        <f>IFERROR(VLOOKUP(2,'1_入力シート【基本情報】'!$DU$319:$DX$534,3,FALSE),"")</f>
        <v/>
      </c>
      <c r="E34" s="3019"/>
      <c r="F34" s="3019"/>
      <c r="G34" s="3019"/>
      <c r="H34" s="3019"/>
      <c r="I34" s="3019"/>
      <c r="J34" s="3020"/>
      <c r="K34" s="2995" t="str">
        <f>IFERROR(VLOOKUP(2,'1_入力シート【基本情報】'!$DU$319:$DX$534,4,FALSE),"")</f>
        <v/>
      </c>
      <c r="L34" s="2996"/>
      <c r="M34" s="2996"/>
      <c r="N34" s="2996"/>
      <c r="O34" s="2996"/>
      <c r="P34" s="2996"/>
      <c r="Q34" s="2996"/>
      <c r="R34" s="2996"/>
      <c r="S34" s="2996"/>
      <c r="T34" s="2996"/>
      <c r="U34" s="2996"/>
      <c r="V34" s="2996"/>
      <c r="W34" s="2996"/>
      <c r="X34" s="2996"/>
      <c r="Y34" s="2996"/>
      <c r="Z34" s="2996"/>
      <c r="AA34" s="2996"/>
      <c r="AB34" s="2996"/>
      <c r="AC34" s="2996"/>
      <c r="AD34" s="2996"/>
      <c r="AE34" s="2996"/>
      <c r="AF34" s="2996"/>
      <c r="AG34" s="2996"/>
      <c r="AH34" s="2996"/>
      <c r="AI34" s="2997"/>
      <c r="AJ34" s="367"/>
      <c r="AK34" s="367"/>
      <c r="AL34" s="367"/>
      <c r="AM34" s="367"/>
      <c r="AN34" s="367"/>
      <c r="AO34" s="367"/>
      <c r="AP34" s="367"/>
      <c r="AQ34" s="367"/>
      <c r="AR34" s="367"/>
      <c r="AS34" s="367"/>
      <c r="AT34" s="367"/>
      <c r="AU34" s="368"/>
      <c r="AW34" s="197"/>
      <c r="AX34" s="197"/>
    </row>
    <row r="35" spans="1:53" ht="15.75" customHeight="1" thickBot="1" x14ac:dyDescent="0.2">
      <c r="A35" s="3031"/>
      <c r="B35" s="3032"/>
      <c r="C35" s="3033"/>
      <c r="D35" s="3021"/>
      <c r="E35" s="3022"/>
      <c r="F35" s="3022"/>
      <c r="G35" s="3022"/>
      <c r="H35" s="3022"/>
      <c r="I35" s="3022"/>
      <c r="J35" s="3023"/>
      <c r="K35" s="2998"/>
      <c r="L35" s="2999"/>
      <c r="M35" s="2999"/>
      <c r="N35" s="2999"/>
      <c r="O35" s="2999"/>
      <c r="P35" s="2999"/>
      <c r="Q35" s="2999"/>
      <c r="R35" s="2999"/>
      <c r="S35" s="2999"/>
      <c r="T35" s="2999"/>
      <c r="U35" s="2999"/>
      <c r="V35" s="2999"/>
      <c r="W35" s="2999"/>
      <c r="X35" s="2999"/>
      <c r="Y35" s="2999"/>
      <c r="Z35" s="2999"/>
      <c r="AA35" s="2999"/>
      <c r="AB35" s="2999"/>
      <c r="AC35" s="2999"/>
      <c r="AD35" s="2999"/>
      <c r="AE35" s="2999"/>
      <c r="AF35" s="2999"/>
      <c r="AG35" s="2999"/>
      <c r="AH35" s="2999"/>
      <c r="AI35" s="3000"/>
      <c r="AJ35" s="367"/>
      <c r="AK35" s="367" t="str">
        <f>IF(D34&lt;&gt;"","☑","☐")</f>
        <v>☐</v>
      </c>
      <c r="AL35" s="367" t="s">
        <v>14</v>
      </c>
      <c r="AM35" s="367" t="s">
        <v>21</v>
      </c>
      <c r="AN35" s="367" t="s">
        <v>15</v>
      </c>
      <c r="AO35" s="367"/>
      <c r="AP35" s="426" t="s">
        <v>179</v>
      </c>
      <c r="AQ35" s="367" t="s">
        <v>27</v>
      </c>
      <c r="AR35" s="367" t="s">
        <v>23</v>
      </c>
      <c r="AS35" s="367" t="s">
        <v>13</v>
      </c>
      <c r="AT35" s="367"/>
      <c r="AU35" s="368"/>
      <c r="AW35" s="197"/>
      <c r="AX35" s="197"/>
      <c r="BA35" s="430" t="b">
        <f>AP35="☑"</f>
        <v>0</v>
      </c>
    </row>
    <row r="36" spans="1:53" ht="15.75" customHeight="1" x14ac:dyDescent="0.15">
      <c r="A36" s="3034"/>
      <c r="B36" s="3035"/>
      <c r="C36" s="3036"/>
      <c r="D36" s="3024"/>
      <c r="E36" s="3025"/>
      <c r="F36" s="3025"/>
      <c r="G36" s="3025"/>
      <c r="H36" s="3025"/>
      <c r="I36" s="3025"/>
      <c r="J36" s="3026"/>
      <c r="K36" s="3028"/>
      <c r="L36" s="3029"/>
      <c r="M36" s="3029"/>
      <c r="N36" s="3029"/>
      <c r="O36" s="3029"/>
      <c r="P36" s="3029"/>
      <c r="Q36" s="3029"/>
      <c r="R36" s="3029"/>
      <c r="S36" s="3029"/>
      <c r="T36" s="3029"/>
      <c r="U36" s="3029"/>
      <c r="V36" s="3029"/>
      <c r="W36" s="3029"/>
      <c r="X36" s="3029"/>
      <c r="Y36" s="3029"/>
      <c r="Z36" s="3029"/>
      <c r="AA36" s="3029"/>
      <c r="AB36" s="3029"/>
      <c r="AC36" s="3029"/>
      <c r="AD36" s="3029"/>
      <c r="AE36" s="3029"/>
      <c r="AF36" s="3029"/>
      <c r="AG36" s="3029"/>
      <c r="AH36" s="3029"/>
      <c r="AI36" s="3030"/>
      <c r="AJ36" s="369"/>
      <c r="AK36" s="369"/>
      <c r="AL36" s="369"/>
      <c r="AM36" s="369"/>
      <c r="AN36" s="369"/>
      <c r="AO36" s="369"/>
      <c r="AP36" s="369"/>
      <c r="AQ36" s="369"/>
      <c r="AR36" s="369"/>
      <c r="AS36" s="369"/>
      <c r="AT36" s="369"/>
      <c r="AU36" s="370"/>
      <c r="AW36" s="197"/>
      <c r="AX36" s="197"/>
    </row>
    <row r="37" spans="1:53" ht="15.75" customHeight="1" x14ac:dyDescent="0.15">
      <c r="A37" s="2"/>
      <c r="B37" s="335"/>
      <c r="C37" s="335"/>
      <c r="D37" s="335"/>
      <c r="E37" s="335"/>
      <c r="F37" s="335"/>
      <c r="G37" s="335"/>
      <c r="H37" s="335"/>
      <c r="I37" s="335"/>
      <c r="J37" s="335"/>
      <c r="K37" s="335"/>
      <c r="L37" s="335"/>
      <c r="M37" s="335"/>
      <c r="N37" s="335"/>
      <c r="O37" s="335"/>
      <c r="P37" s="335"/>
      <c r="Q37" s="335"/>
      <c r="R37" s="335"/>
      <c r="S37" s="335"/>
      <c r="T37" s="335"/>
      <c r="U37" s="335"/>
      <c r="V37" s="335"/>
      <c r="W37" s="335"/>
      <c r="X37" s="335"/>
      <c r="Y37" s="3"/>
      <c r="Z37" s="47"/>
      <c r="AA37" s="48" t="s">
        <v>11</v>
      </c>
      <c r="AB37" s="48" t="s">
        <v>10</v>
      </c>
      <c r="AC37" s="48" t="s">
        <v>16</v>
      </c>
      <c r="AD37" s="48" t="s">
        <v>9</v>
      </c>
      <c r="AE37" s="48"/>
      <c r="AF37" s="48"/>
      <c r="AG37" s="48"/>
      <c r="AH37" s="48"/>
      <c r="AI37" s="48"/>
      <c r="AJ37" s="49"/>
      <c r="AK37" s="49"/>
      <c r="AL37" s="49"/>
      <c r="AM37" s="49"/>
      <c r="AN37" s="49"/>
      <c r="AO37" s="49"/>
      <c r="AP37" s="49"/>
      <c r="AQ37" s="49"/>
      <c r="AR37" s="49"/>
      <c r="AS37" s="49"/>
      <c r="AT37" s="49"/>
      <c r="AU37" s="334"/>
      <c r="AW37" s="197"/>
      <c r="AX37" s="197"/>
    </row>
    <row r="38" spans="1:53" ht="15.75" customHeight="1" x14ac:dyDescent="0.15">
      <c r="A38" s="2"/>
      <c r="B38" s="335"/>
      <c r="C38" s="335"/>
      <c r="D38" s="335"/>
      <c r="E38" s="335"/>
      <c r="F38" s="335"/>
      <c r="G38" s="335"/>
      <c r="H38" s="335"/>
      <c r="I38" s="335"/>
      <c r="J38" s="335"/>
      <c r="K38" s="335"/>
      <c r="L38" s="335"/>
      <c r="M38" s="335"/>
      <c r="N38" s="335"/>
      <c r="O38" s="335"/>
      <c r="P38" s="335"/>
      <c r="Q38" s="335"/>
      <c r="R38" s="335"/>
      <c r="S38" s="335"/>
      <c r="T38" s="335"/>
      <c r="U38" s="335"/>
      <c r="V38" s="335"/>
      <c r="W38" s="335"/>
      <c r="X38" s="335"/>
      <c r="Y38" s="3"/>
      <c r="Z38" s="3010"/>
      <c r="AA38" s="3011"/>
      <c r="AB38" s="3011"/>
      <c r="AC38" s="3011"/>
      <c r="AD38" s="3011"/>
      <c r="AE38" s="3011"/>
      <c r="AF38" s="3011"/>
      <c r="AG38" s="3011"/>
      <c r="AH38" s="3011"/>
      <c r="AI38" s="3011"/>
      <c r="AJ38" s="3011"/>
      <c r="AK38" s="3011"/>
      <c r="AL38" s="3011"/>
      <c r="AM38" s="3011"/>
      <c r="AN38" s="3011"/>
      <c r="AO38" s="104"/>
      <c r="AP38" s="104"/>
      <c r="AQ38" s="104"/>
      <c r="AR38" s="104"/>
      <c r="AS38" s="104"/>
      <c r="AT38" s="104"/>
      <c r="AU38" s="105"/>
      <c r="AW38" s="197"/>
      <c r="AX38" s="197"/>
    </row>
    <row r="39" spans="1:53" ht="15.75" customHeight="1" x14ac:dyDescent="0.15">
      <c r="A39" s="2"/>
      <c r="B39" s="335"/>
      <c r="C39" s="335"/>
      <c r="D39" s="335"/>
      <c r="E39" s="335"/>
      <c r="F39" s="335"/>
      <c r="G39" s="335"/>
      <c r="H39" s="335"/>
      <c r="I39" s="335"/>
      <c r="J39" s="335"/>
      <c r="K39" s="335"/>
      <c r="L39" s="335"/>
      <c r="M39" s="335"/>
      <c r="N39" s="335"/>
      <c r="O39" s="335"/>
      <c r="P39" s="335"/>
      <c r="Q39" s="335"/>
      <c r="R39" s="335"/>
      <c r="S39" s="335"/>
      <c r="T39" s="335"/>
      <c r="U39" s="335"/>
      <c r="V39" s="335"/>
      <c r="W39" s="335"/>
      <c r="X39" s="335"/>
      <c r="Y39" s="3"/>
      <c r="Z39" s="2995" t="str">
        <f>IFERROR(VLOOKUP(2,'1_入力シート【基本情報】'!$DU$319:$DZ$534,5,FALSE),"")</f>
        <v/>
      </c>
      <c r="AA39" s="2996"/>
      <c r="AB39" s="2996"/>
      <c r="AC39" s="2996"/>
      <c r="AD39" s="2996"/>
      <c r="AE39" s="2996"/>
      <c r="AF39" s="2996"/>
      <c r="AG39" s="2996"/>
      <c r="AH39" s="2996"/>
      <c r="AI39" s="2996"/>
      <c r="AJ39" s="2996"/>
      <c r="AK39" s="2996"/>
      <c r="AL39" s="2996"/>
      <c r="AM39" s="2996"/>
      <c r="AN39" s="2996"/>
      <c r="AO39" s="2996"/>
      <c r="AP39" s="2996"/>
      <c r="AQ39" s="2996"/>
      <c r="AR39" s="2996"/>
      <c r="AS39" s="2996"/>
      <c r="AT39" s="2996"/>
      <c r="AU39" s="2997"/>
      <c r="AW39" s="197"/>
      <c r="AX39" s="197"/>
    </row>
    <row r="40" spans="1:53" ht="15.75" customHeight="1" x14ac:dyDescent="0.15">
      <c r="A40" s="2"/>
      <c r="B40" s="335"/>
      <c r="C40" s="335"/>
      <c r="D40" s="335"/>
      <c r="E40" s="335"/>
      <c r="F40" s="335"/>
      <c r="G40" s="335"/>
      <c r="H40" s="335"/>
      <c r="I40" s="335"/>
      <c r="J40" s="335"/>
      <c r="K40" s="335"/>
      <c r="L40" s="335"/>
      <c r="M40" s="335"/>
      <c r="N40" s="335"/>
      <c r="O40" s="335"/>
      <c r="P40" s="335"/>
      <c r="Q40" s="335"/>
      <c r="R40" s="335"/>
      <c r="S40" s="335"/>
      <c r="T40" s="335"/>
      <c r="U40" s="335"/>
      <c r="V40" s="335"/>
      <c r="W40" s="335"/>
      <c r="X40" s="335"/>
      <c r="Y40" s="3"/>
      <c r="Z40" s="2998"/>
      <c r="AA40" s="2999"/>
      <c r="AB40" s="2999"/>
      <c r="AC40" s="2999"/>
      <c r="AD40" s="2999"/>
      <c r="AE40" s="2999"/>
      <c r="AF40" s="2999"/>
      <c r="AG40" s="2999"/>
      <c r="AH40" s="2999"/>
      <c r="AI40" s="2999"/>
      <c r="AJ40" s="2999"/>
      <c r="AK40" s="2999"/>
      <c r="AL40" s="2999"/>
      <c r="AM40" s="2999"/>
      <c r="AN40" s="2999"/>
      <c r="AO40" s="2999"/>
      <c r="AP40" s="2999"/>
      <c r="AQ40" s="2999"/>
      <c r="AR40" s="2999"/>
      <c r="AS40" s="2999"/>
      <c r="AT40" s="2999"/>
      <c r="AU40" s="3000"/>
      <c r="AW40" s="197"/>
      <c r="AX40" s="197"/>
    </row>
    <row r="41" spans="1:53" ht="15.75" customHeight="1" x14ac:dyDescent="0.15">
      <c r="A41" s="2"/>
      <c r="B41" s="335"/>
      <c r="C41" s="335"/>
      <c r="D41" s="335"/>
      <c r="E41" s="335"/>
      <c r="F41" s="335"/>
      <c r="G41" s="335"/>
      <c r="H41" s="335"/>
      <c r="I41" s="335"/>
      <c r="J41" s="335"/>
      <c r="K41" s="335"/>
      <c r="L41" s="335"/>
      <c r="M41" s="335"/>
      <c r="N41" s="335"/>
      <c r="O41" s="335"/>
      <c r="P41" s="335"/>
      <c r="Q41" s="335"/>
      <c r="R41" s="335"/>
      <c r="S41" s="335"/>
      <c r="T41" s="335"/>
      <c r="U41" s="335"/>
      <c r="V41" s="335"/>
      <c r="W41" s="335"/>
      <c r="X41" s="335"/>
      <c r="Y41" s="3"/>
      <c r="Z41" s="3050"/>
      <c r="AA41" s="3051"/>
      <c r="AB41" s="3051"/>
      <c r="AC41" s="3051"/>
      <c r="AD41" s="3051"/>
      <c r="AE41" s="3051"/>
      <c r="AF41" s="3051"/>
      <c r="AG41" s="3051"/>
      <c r="AH41" s="3051"/>
      <c r="AI41" s="3051"/>
      <c r="AJ41" s="3051"/>
      <c r="AK41" s="3051"/>
      <c r="AL41" s="3051"/>
      <c r="AM41" s="3051"/>
      <c r="AN41" s="3051"/>
      <c r="AO41" s="3051"/>
      <c r="AP41" s="3051"/>
      <c r="AQ41" s="3051"/>
      <c r="AR41" s="3051"/>
      <c r="AS41" s="3051"/>
      <c r="AT41" s="3051"/>
      <c r="AU41" s="3052"/>
      <c r="AW41" s="197"/>
      <c r="AX41" s="197"/>
    </row>
    <row r="42" spans="1:53" ht="15.75" customHeight="1" x14ac:dyDescent="0.15">
      <c r="A42" s="2"/>
      <c r="B42" s="371"/>
      <c r="C42" s="371"/>
      <c r="D42" s="371"/>
      <c r="E42" s="371"/>
      <c r="F42" s="371"/>
      <c r="G42" s="371"/>
      <c r="H42" s="371"/>
      <c r="I42" s="371"/>
      <c r="J42" s="371"/>
      <c r="K42" s="371"/>
      <c r="L42" s="371"/>
      <c r="M42" s="371"/>
      <c r="N42" s="371"/>
      <c r="O42" s="371"/>
      <c r="P42" s="371"/>
      <c r="Q42" s="371"/>
      <c r="R42" s="371"/>
      <c r="S42" s="371"/>
      <c r="T42" s="371"/>
      <c r="U42" s="371"/>
      <c r="V42" s="371"/>
      <c r="W42" s="371"/>
      <c r="X42" s="371"/>
      <c r="Y42" s="3"/>
      <c r="Z42" s="3004"/>
      <c r="AA42" s="3005"/>
      <c r="AB42" s="3005"/>
      <c r="AC42" s="3005"/>
      <c r="AD42" s="3005"/>
      <c r="AE42" s="3005"/>
      <c r="AF42" s="3005"/>
      <c r="AG42" s="3005"/>
      <c r="AH42" s="3005"/>
      <c r="AI42" s="3005"/>
      <c r="AJ42" s="3005"/>
      <c r="AK42" s="3005"/>
      <c r="AL42" s="3005"/>
      <c r="AM42" s="3005"/>
      <c r="AN42" s="3005"/>
      <c r="AO42" s="3005"/>
      <c r="AP42" s="3005"/>
      <c r="AQ42" s="3005"/>
      <c r="AR42" s="3005"/>
      <c r="AS42" s="3005"/>
      <c r="AT42" s="3005"/>
      <c r="AU42" s="3006"/>
      <c r="AW42" s="197"/>
      <c r="AX42" s="197"/>
    </row>
    <row r="43" spans="1:53" ht="15.75" customHeight="1" x14ac:dyDescent="0.15">
      <c r="A43" s="2"/>
      <c r="B43" s="371"/>
      <c r="C43" s="371"/>
      <c r="D43" s="371"/>
      <c r="E43" s="371"/>
      <c r="F43" s="371"/>
      <c r="G43" s="371"/>
      <c r="H43" s="371"/>
      <c r="I43" s="371"/>
      <c r="J43" s="371"/>
      <c r="K43" s="371"/>
      <c r="L43" s="371"/>
      <c r="M43" s="371"/>
      <c r="N43" s="371"/>
      <c r="O43" s="371"/>
      <c r="P43" s="371"/>
      <c r="Q43" s="371"/>
      <c r="R43" s="371"/>
      <c r="S43" s="371"/>
      <c r="T43" s="371"/>
      <c r="U43" s="371"/>
      <c r="V43" s="371"/>
      <c r="W43" s="371"/>
      <c r="X43" s="371"/>
      <c r="Y43" s="3"/>
      <c r="Z43" s="3004"/>
      <c r="AA43" s="3005"/>
      <c r="AB43" s="3005"/>
      <c r="AC43" s="3005"/>
      <c r="AD43" s="3005"/>
      <c r="AE43" s="3005"/>
      <c r="AF43" s="3005"/>
      <c r="AG43" s="3005"/>
      <c r="AH43" s="3005"/>
      <c r="AI43" s="3005"/>
      <c r="AJ43" s="3005"/>
      <c r="AK43" s="3005"/>
      <c r="AL43" s="3005"/>
      <c r="AM43" s="3005"/>
      <c r="AN43" s="3005"/>
      <c r="AO43" s="3005"/>
      <c r="AP43" s="3005"/>
      <c r="AQ43" s="3005"/>
      <c r="AR43" s="3005"/>
      <c r="AS43" s="3005"/>
      <c r="AT43" s="3005"/>
      <c r="AU43" s="3006"/>
      <c r="AW43" s="197"/>
      <c r="AX43" s="197"/>
    </row>
    <row r="44" spans="1:53" ht="15.75" customHeight="1" x14ac:dyDescent="0.15">
      <c r="A44" s="2"/>
      <c r="B44" s="371"/>
      <c r="C44" s="371"/>
      <c r="D44" s="371"/>
      <c r="E44" s="371"/>
      <c r="F44" s="371"/>
      <c r="G44" s="371"/>
      <c r="H44" s="371"/>
      <c r="I44" s="371"/>
      <c r="J44" s="371"/>
      <c r="K44" s="371"/>
      <c r="L44" s="371"/>
      <c r="M44" s="371"/>
      <c r="N44" s="371"/>
      <c r="O44" s="371"/>
      <c r="P44" s="371"/>
      <c r="Q44" s="371"/>
      <c r="R44" s="371"/>
      <c r="S44" s="371"/>
      <c r="T44" s="371"/>
      <c r="U44" s="371"/>
      <c r="V44" s="371"/>
      <c r="W44" s="371"/>
      <c r="X44" s="371"/>
      <c r="Y44" s="3"/>
      <c r="Z44" s="3004"/>
      <c r="AA44" s="3005"/>
      <c r="AB44" s="3005"/>
      <c r="AC44" s="3005"/>
      <c r="AD44" s="3005"/>
      <c r="AE44" s="3005"/>
      <c r="AF44" s="3005"/>
      <c r="AG44" s="3005"/>
      <c r="AH44" s="3005"/>
      <c r="AI44" s="3005"/>
      <c r="AJ44" s="3005"/>
      <c r="AK44" s="3005"/>
      <c r="AL44" s="3005"/>
      <c r="AM44" s="3005"/>
      <c r="AN44" s="3005"/>
      <c r="AO44" s="3005"/>
      <c r="AP44" s="3005"/>
      <c r="AQ44" s="3005"/>
      <c r="AR44" s="3005"/>
      <c r="AS44" s="3005"/>
      <c r="AT44" s="3005"/>
      <c r="AU44" s="3006"/>
      <c r="AW44" s="197"/>
      <c r="AX44" s="197"/>
    </row>
    <row r="45" spans="1:53" ht="15.75" customHeight="1" x14ac:dyDescent="0.15">
      <c r="A45" s="2"/>
      <c r="B45" s="371"/>
      <c r="C45" s="371"/>
      <c r="D45" s="371"/>
      <c r="E45" s="371"/>
      <c r="F45" s="371"/>
      <c r="G45" s="371"/>
      <c r="H45" s="371"/>
      <c r="I45" s="371"/>
      <c r="J45" s="371"/>
      <c r="K45" s="3013" t="s">
        <v>157</v>
      </c>
      <c r="L45" s="3013"/>
      <c r="M45" s="3013"/>
      <c r="N45" s="3013"/>
      <c r="O45" s="3013"/>
      <c r="P45" s="3013"/>
      <c r="Q45" s="371"/>
      <c r="R45" s="371"/>
      <c r="S45" s="371"/>
      <c r="T45" s="371"/>
      <c r="U45" s="371"/>
      <c r="V45" s="371"/>
      <c r="W45" s="371"/>
      <c r="X45" s="371"/>
      <c r="Y45" s="3"/>
      <c r="Z45" s="3004"/>
      <c r="AA45" s="3005"/>
      <c r="AB45" s="3005"/>
      <c r="AC45" s="3005"/>
      <c r="AD45" s="3005"/>
      <c r="AE45" s="3005"/>
      <c r="AF45" s="3005"/>
      <c r="AG45" s="3005"/>
      <c r="AH45" s="3005"/>
      <c r="AI45" s="3005"/>
      <c r="AJ45" s="3005"/>
      <c r="AK45" s="3005"/>
      <c r="AL45" s="3005"/>
      <c r="AM45" s="3005"/>
      <c r="AN45" s="3005"/>
      <c r="AO45" s="3005"/>
      <c r="AP45" s="3005"/>
      <c r="AQ45" s="3005"/>
      <c r="AR45" s="3005"/>
      <c r="AS45" s="3005"/>
      <c r="AT45" s="3005"/>
      <c r="AU45" s="3006"/>
      <c r="AW45" s="197"/>
      <c r="AX45" s="197"/>
    </row>
    <row r="46" spans="1:53" ht="15.75" customHeight="1" x14ac:dyDescent="0.15">
      <c r="A46" s="2"/>
      <c r="B46" s="371"/>
      <c r="C46" s="371"/>
      <c r="D46" s="371"/>
      <c r="E46" s="371"/>
      <c r="F46" s="371"/>
      <c r="G46" s="371"/>
      <c r="H46" s="371"/>
      <c r="I46" s="371"/>
      <c r="J46" s="371"/>
      <c r="K46" s="371"/>
      <c r="L46" s="371"/>
      <c r="M46" s="371"/>
      <c r="N46" s="371"/>
      <c r="O46" s="371"/>
      <c r="P46" s="371"/>
      <c r="Q46" s="371"/>
      <c r="R46" s="371"/>
      <c r="S46" s="371"/>
      <c r="T46" s="371"/>
      <c r="U46" s="371"/>
      <c r="V46" s="371"/>
      <c r="W46" s="371"/>
      <c r="X46" s="371"/>
      <c r="Y46" s="3"/>
      <c r="Z46" s="3004"/>
      <c r="AA46" s="3005"/>
      <c r="AB46" s="3005"/>
      <c r="AC46" s="3005"/>
      <c r="AD46" s="3005"/>
      <c r="AE46" s="3005"/>
      <c r="AF46" s="3005"/>
      <c r="AG46" s="3005"/>
      <c r="AH46" s="3005"/>
      <c r="AI46" s="3005"/>
      <c r="AJ46" s="3005"/>
      <c r="AK46" s="3005"/>
      <c r="AL46" s="3005"/>
      <c r="AM46" s="3005"/>
      <c r="AN46" s="3005"/>
      <c r="AO46" s="3005"/>
      <c r="AP46" s="3005"/>
      <c r="AQ46" s="3005"/>
      <c r="AR46" s="3005"/>
      <c r="AS46" s="3005"/>
      <c r="AT46" s="3005"/>
      <c r="AU46" s="3006"/>
      <c r="AW46" s="197"/>
      <c r="AX46" s="197"/>
    </row>
    <row r="47" spans="1:53" ht="15.75" customHeight="1" x14ac:dyDescent="0.15">
      <c r="A47" s="2"/>
      <c r="B47" s="371"/>
      <c r="C47" s="371"/>
      <c r="D47" s="371"/>
      <c r="E47" s="371"/>
      <c r="F47" s="371"/>
      <c r="G47" s="371"/>
      <c r="H47" s="371"/>
      <c r="I47" s="371"/>
      <c r="J47" s="371"/>
      <c r="K47" s="371"/>
      <c r="L47" s="371"/>
      <c r="M47" s="371"/>
      <c r="N47" s="371"/>
      <c r="O47" s="371"/>
      <c r="P47" s="371"/>
      <c r="Q47" s="371"/>
      <c r="R47" s="371"/>
      <c r="S47" s="371"/>
      <c r="T47" s="371"/>
      <c r="U47" s="371"/>
      <c r="V47" s="371"/>
      <c r="W47" s="371"/>
      <c r="X47" s="371"/>
      <c r="Y47" s="3"/>
      <c r="Z47" s="3004"/>
      <c r="AA47" s="3005"/>
      <c r="AB47" s="3005"/>
      <c r="AC47" s="3005"/>
      <c r="AD47" s="3005"/>
      <c r="AE47" s="3005"/>
      <c r="AF47" s="3005"/>
      <c r="AG47" s="3005"/>
      <c r="AH47" s="3005"/>
      <c r="AI47" s="3005"/>
      <c r="AJ47" s="3005"/>
      <c r="AK47" s="3005"/>
      <c r="AL47" s="3005"/>
      <c r="AM47" s="3005"/>
      <c r="AN47" s="3005"/>
      <c r="AO47" s="3005"/>
      <c r="AP47" s="3005"/>
      <c r="AQ47" s="3005"/>
      <c r="AR47" s="3005"/>
      <c r="AS47" s="3005"/>
      <c r="AT47" s="3005"/>
      <c r="AU47" s="3006"/>
      <c r="AW47" s="197"/>
      <c r="AX47" s="197"/>
    </row>
    <row r="48" spans="1:53" ht="15.75" customHeight="1" x14ac:dyDescent="0.15">
      <c r="A48" s="2"/>
      <c r="B48" s="371"/>
      <c r="C48" s="371"/>
      <c r="D48" s="371"/>
      <c r="E48" s="371"/>
      <c r="F48" s="371"/>
      <c r="G48" s="371"/>
      <c r="H48" s="371"/>
      <c r="I48" s="371"/>
      <c r="J48" s="371"/>
      <c r="K48" s="371"/>
      <c r="L48" s="371"/>
      <c r="M48" s="371"/>
      <c r="N48" s="371"/>
      <c r="O48" s="371"/>
      <c r="P48" s="371"/>
      <c r="Q48" s="371"/>
      <c r="R48" s="371"/>
      <c r="S48" s="371"/>
      <c r="T48" s="371"/>
      <c r="U48" s="371"/>
      <c r="V48" s="371"/>
      <c r="W48" s="371"/>
      <c r="X48" s="371"/>
      <c r="Y48" s="3"/>
      <c r="Z48" s="3004"/>
      <c r="AA48" s="3005"/>
      <c r="AB48" s="3005"/>
      <c r="AC48" s="3005"/>
      <c r="AD48" s="3005"/>
      <c r="AE48" s="3005"/>
      <c r="AF48" s="3005"/>
      <c r="AG48" s="3005"/>
      <c r="AH48" s="3005"/>
      <c r="AI48" s="3005"/>
      <c r="AJ48" s="3005"/>
      <c r="AK48" s="3005"/>
      <c r="AL48" s="3005"/>
      <c r="AM48" s="3005"/>
      <c r="AN48" s="3005"/>
      <c r="AO48" s="3005"/>
      <c r="AP48" s="3005"/>
      <c r="AQ48" s="3005"/>
      <c r="AR48" s="3005"/>
      <c r="AS48" s="3005"/>
      <c r="AT48" s="3005"/>
      <c r="AU48" s="3006"/>
      <c r="AW48" s="197"/>
      <c r="AX48" s="197"/>
    </row>
    <row r="49" spans="1:50" ht="15.75" customHeight="1" x14ac:dyDescent="0.15">
      <c r="A49" s="2"/>
      <c r="B49" s="371"/>
      <c r="C49" s="371"/>
      <c r="D49" s="371"/>
      <c r="E49" s="371"/>
      <c r="F49" s="371"/>
      <c r="G49" s="371"/>
      <c r="H49" s="371"/>
      <c r="I49" s="371"/>
      <c r="J49" s="371"/>
      <c r="K49" s="371"/>
      <c r="L49" s="371"/>
      <c r="M49" s="371"/>
      <c r="N49" s="371"/>
      <c r="O49" s="371"/>
      <c r="P49" s="371"/>
      <c r="Q49" s="371"/>
      <c r="R49" s="371"/>
      <c r="S49" s="371"/>
      <c r="T49" s="371"/>
      <c r="U49" s="371"/>
      <c r="V49" s="371"/>
      <c r="W49" s="371"/>
      <c r="X49" s="371"/>
      <c r="Y49" s="3"/>
      <c r="Z49" s="3004"/>
      <c r="AA49" s="3005"/>
      <c r="AB49" s="3005"/>
      <c r="AC49" s="3005"/>
      <c r="AD49" s="3005"/>
      <c r="AE49" s="3005"/>
      <c r="AF49" s="3005"/>
      <c r="AG49" s="3005"/>
      <c r="AH49" s="3005"/>
      <c r="AI49" s="3005"/>
      <c r="AJ49" s="3005"/>
      <c r="AK49" s="3005"/>
      <c r="AL49" s="3005"/>
      <c r="AM49" s="3005"/>
      <c r="AN49" s="3005"/>
      <c r="AO49" s="3005"/>
      <c r="AP49" s="3005"/>
      <c r="AQ49" s="3005"/>
      <c r="AR49" s="3005"/>
      <c r="AS49" s="3005"/>
      <c r="AT49" s="3005"/>
      <c r="AU49" s="3006"/>
      <c r="AW49" s="197"/>
      <c r="AX49" s="197"/>
    </row>
    <row r="50" spans="1:50" ht="15.75" customHeight="1" x14ac:dyDescent="0.15">
      <c r="A50" s="2"/>
      <c r="B50" s="371"/>
      <c r="C50" s="371"/>
      <c r="D50" s="371"/>
      <c r="E50" s="371"/>
      <c r="F50" s="371"/>
      <c r="G50" s="371"/>
      <c r="H50" s="371"/>
      <c r="I50" s="371"/>
      <c r="J50" s="371"/>
      <c r="K50" s="371"/>
      <c r="L50" s="371"/>
      <c r="M50" s="371"/>
      <c r="N50" s="371"/>
      <c r="O50" s="371"/>
      <c r="P50" s="371"/>
      <c r="Q50" s="371"/>
      <c r="R50" s="371"/>
      <c r="S50" s="371"/>
      <c r="T50" s="371"/>
      <c r="U50" s="371"/>
      <c r="V50" s="371"/>
      <c r="W50" s="371"/>
      <c r="X50" s="371"/>
      <c r="Y50" s="3"/>
      <c r="Z50" s="3004"/>
      <c r="AA50" s="3005"/>
      <c r="AB50" s="3005"/>
      <c r="AC50" s="3005"/>
      <c r="AD50" s="3005"/>
      <c r="AE50" s="3005"/>
      <c r="AF50" s="3005"/>
      <c r="AG50" s="3005"/>
      <c r="AH50" s="3005"/>
      <c r="AI50" s="3005"/>
      <c r="AJ50" s="3005"/>
      <c r="AK50" s="3005"/>
      <c r="AL50" s="3005"/>
      <c r="AM50" s="3005"/>
      <c r="AN50" s="3005"/>
      <c r="AO50" s="3005"/>
      <c r="AP50" s="3005"/>
      <c r="AQ50" s="3005"/>
      <c r="AR50" s="3005"/>
      <c r="AS50" s="3005"/>
      <c r="AT50" s="3005"/>
      <c r="AU50" s="3006"/>
      <c r="AW50" s="197"/>
      <c r="AX50" s="197"/>
    </row>
    <row r="51" spans="1:50" ht="15.75" customHeight="1" x14ac:dyDescent="0.15">
      <c r="A51" s="2"/>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
      <c r="Z51" s="3004"/>
      <c r="AA51" s="3005"/>
      <c r="AB51" s="3005"/>
      <c r="AC51" s="3005"/>
      <c r="AD51" s="3005"/>
      <c r="AE51" s="3005"/>
      <c r="AF51" s="3005"/>
      <c r="AG51" s="3005"/>
      <c r="AH51" s="3005"/>
      <c r="AI51" s="3005"/>
      <c r="AJ51" s="3005"/>
      <c r="AK51" s="3005"/>
      <c r="AL51" s="3005"/>
      <c r="AM51" s="3005"/>
      <c r="AN51" s="3005"/>
      <c r="AO51" s="3005"/>
      <c r="AP51" s="3005"/>
      <c r="AQ51" s="3005"/>
      <c r="AR51" s="3005"/>
      <c r="AS51" s="3005"/>
      <c r="AT51" s="3005"/>
      <c r="AU51" s="3006"/>
      <c r="AW51" s="197"/>
      <c r="AX51" s="197"/>
    </row>
    <row r="52" spans="1:50" ht="15.75" customHeight="1" x14ac:dyDescent="0.15">
      <c r="A52" s="2"/>
      <c r="B52" s="371"/>
      <c r="C52" s="371"/>
      <c r="D52" s="371"/>
      <c r="E52" s="371"/>
      <c r="F52" s="371"/>
      <c r="G52" s="371"/>
      <c r="H52" s="371"/>
      <c r="I52" s="371"/>
      <c r="J52" s="371"/>
      <c r="K52" s="371"/>
      <c r="L52" s="371"/>
      <c r="M52" s="371"/>
      <c r="N52" s="371"/>
      <c r="O52" s="371"/>
      <c r="P52" s="371"/>
      <c r="Q52" s="371"/>
      <c r="R52" s="371"/>
      <c r="S52" s="371"/>
      <c r="T52" s="371"/>
      <c r="U52" s="371"/>
      <c r="V52" s="371"/>
      <c r="W52" s="371"/>
      <c r="X52" s="371"/>
      <c r="Y52" s="3"/>
      <c r="Z52" s="3004"/>
      <c r="AA52" s="3005"/>
      <c r="AB52" s="3005"/>
      <c r="AC52" s="3005"/>
      <c r="AD52" s="3005"/>
      <c r="AE52" s="3005"/>
      <c r="AF52" s="3005"/>
      <c r="AG52" s="3005"/>
      <c r="AH52" s="3005"/>
      <c r="AI52" s="3005"/>
      <c r="AJ52" s="3005"/>
      <c r="AK52" s="3005"/>
      <c r="AL52" s="3005"/>
      <c r="AM52" s="3005"/>
      <c r="AN52" s="3005"/>
      <c r="AO52" s="3005"/>
      <c r="AP52" s="3005"/>
      <c r="AQ52" s="3005"/>
      <c r="AR52" s="3005"/>
      <c r="AS52" s="3005"/>
      <c r="AT52" s="3005"/>
      <c r="AU52" s="3006"/>
      <c r="AW52" s="197"/>
      <c r="AX52" s="197"/>
    </row>
    <row r="53" spans="1:50" ht="15.75" customHeight="1" x14ac:dyDescent="0.15">
      <c r="A53" s="2"/>
      <c r="B53" s="371"/>
      <c r="C53" s="371"/>
      <c r="D53" s="371"/>
      <c r="E53" s="371"/>
      <c r="F53" s="371"/>
      <c r="G53" s="371"/>
      <c r="H53" s="371"/>
      <c r="I53" s="371"/>
      <c r="J53" s="371"/>
      <c r="K53" s="371"/>
      <c r="L53" s="371"/>
      <c r="M53" s="371"/>
      <c r="N53" s="371"/>
      <c r="O53" s="371"/>
      <c r="P53" s="371"/>
      <c r="Q53" s="371"/>
      <c r="R53" s="371"/>
      <c r="S53" s="371"/>
      <c r="T53" s="371"/>
      <c r="U53" s="371"/>
      <c r="V53" s="371"/>
      <c r="W53" s="371"/>
      <c r="X53" s="371"/>
      <c r="Y53" s="3"/>
      <c r="Z53" s="3004"/>
      <c r="AA53" s="3005"/>
      <c r="AB53" s="3005"/>
      <c r="AC53" s="3005"/>
      <c r="AD53" s="3005"/>
      <c r="AE53" s="3005"/>
      <c r="AF53" s="3005"/>
      <c r="AG53" s="3005"/>
      <c r="AH53" s="3005"/>
      <c r="AI53" s="3005"/>
      <c r="AJ53" s="3005"/>
      <c r="AK53" s="3005"/>
      <c r="AL53" s="3005"/>
      <c r="AM53" s="3005"/>
      <c r="AN53" s="3005"/>
      <c r="AO53" s="3005"/>
      <c r="AP53" s="3005"/>
      <c r="AQ53" s="3005"/>
      <c r="AR53" s="3005"/>
      <c r="AS53" s="3005"/>
      <c r="AT53" s="3005"/>
      <c r="AU53" s="3006"/>
      <c r="AW53" s="197"/>
      <c r="AX53" s="197"/>
    </row>
    <row r="54" spans="1:50" ht="15.75" customHeight="1" x14ac:dyDescent="0.15">
      <c r="A54" s="6"/>
      <c r="B54" s="4"/>
      <c r="C54" s="4"/>
      <c r="D54" s="4"/>
      <c r="E54" s="4"/>
      <c r="F54" s="4"/>
      <c r="G54" s="4"/>
      <c r="H54" s="4"/>
      <c r="I54" s="4"/>
      <c r="J54" s="4"/>
      <c r="K54" s="4"/>
      <c r="L54" s="4"/>
      <c r="M54" s="4"/>
      <c r="N54" s="4"/>
      <c r="O54" s="4"/>
      <c r="P54" s="4"/>
      <c r="Q54" s="4"/>
      <c r="R54" s="4"/>
      <c r="S54" s="4"/>
      <c r="T54" s="4"/>
      <c r="U54" s="4"/>
      <c r="V54" s="4"/>
      <c r="W54" s="4"/>
      <c r="X54" s="4"/>
      <c r="Y54" s="5"/>
      <c r="Z54" s="3007"/>
      <c r="AA54" s="3008"/>
      <c r="AB54" s="3008"/>
      <c r="AC54" s="3008"/>
      <c r="AD54" s="3008"/>
      <c r="AE54" s="3008"/>
      <c r="AF54" s="3008"/>
      <c r="AG54" s="3008"/>
      <c r="AH54" s="3008"/>
      <c r="AI54" s="3008"/>
      <c r="AJ54" s="3008"/>
      <c r="AK54" s="3008"/>
      <c r="AL54" s="3008"/>
      <c r="AM54" s="3008"/>
      <c r="AN54" s="3008"/>
      <c r="AO54" s="3008"/>
      <c r="AP54" s="3008"/>
      <c r="AQ54" s="3008"/>
      <c r="AR54" s="3008"/>
      <c r="AS54" s="3008"/>
      <c r="AT54" s="3008"/>
      <c r="AU54" s="3009"/>
      <c r="AW54" s="197"/>
      <c r="AX54" s="197"/>
    </row>
    <row r="55" spans="1:50" ht="12.75" customHeight="1" x14ac:dyDescent="0.15">
      <c r="AW55" s="197"/>
      <c r="AX55" s="197"/>
    </row>
    <row r="56" spans="1:50" ht="12.75" customHeight="1" x14ac:dyDescent="0.15">
      <c r="A56" s="3027" t="s">
        <v>150</v>
      </c>
      <c r="B56" s="3027"/>
      <c r="C56" s="3027"/>
      <c r="D56" s="3027"/>
      <c r="AU56" s="337"/>
      <c r="AW56" s="197"/>
      <c r="AX56" s="197"/>
    </row>
    <row r="57" spans="1:50" ht="12.75" customHeight="1" x14ac:dyDescent="0.15">
      <c r="B57" s="338" t="s">
        <v>151</v>
      </c>
      <c r="C57" s="2993" t="s">
        <v>169</v>
      </c>
      <c r="D57" s="3012"/>
      <c r="E57" s="3012"/>
      <c r="F57" s="3012"/>
      <c r="G57" s="3012"/>
      <c r="H57" s="3012"/>
      <c r="I57" s="3012"/>
      <c r="J57" s="3012"/>
      <c r="K57" s="3012"/>
      <c r="L57" s="3012"/>
      <c r="M57" s="3012"/>
      <c r="N57" s="3012"/>
      <c r="O57" s="3012"/>
      <c r="P57" s="3012"/>
      <c r="Q57" s="3012"/>
      <c r="R57" s="3012"/>
      <c r="S57" s="3012"/>
      <c r="T57" s="3012"/>
      <c r="U57" s="3012"/>
      <c r="V57" s="3012"/>
      <c r="W57" s="3012"/>
      <c r="X57" s="3012"/>
      <c r="Y57" s="3012"/>
      <c r="Z57" s="3012"/>
      <c r="AA57" s="3012"/>
      <c r="AB57" s="3012"/>
      <c r="AC57" s="3012"/>
      <c r="AD57" s="3012"/>
      <c r="AE57" s="3012"/>
      <c r="AF57" s="3012"/>
      <c r="AG57" s="3012"/>
      <c r="AH57" s="3012"/>
      <c r="AI57" s="3012"/>
      <c r="AJ57" s="3012"/>
      <c r="AK57" s="3012"/>
      <c r="AL57" s="3012"/>
      <c r="AM57" s="3012"/>
      <c r="AN57" s="3012"/>
      <c r="AO57" s="3012"/>
      <c r="AP57" s="3012"/>
      <c r="AQ57" s="3012"/>
      <c r="AR57" s="3012"/>
      <c r="AS57" s="3012"/>
      <c r="AT57" s="3012"/>
      <c r="AU57" s="337"/>
      <c r="AW57" s="197"/>
      <c r="AX57" s="197"/>
    </row>
    <row r="58" spans="1:50" ht="12.75" customHeight="1" x14ac:dyDescent="0.15">
      <c r="B58" s="338"/>
      <c r="C58" s="2994" t="s">
        <v>170</v>
      </c>
      <c r="D58" s="2994"/>
      <c r="E58" s="2994"/>
      <c r="F58" s="2994"/>
      <c r="G58" s="2994"/>
      <c r="H58" s="2994"/>
      <c r="I58" s="2994"/>
      <c r="J58" s="2994"/>
      <c r="K58" s="2994"/>
      <c r="L58" s="2994"/>
      <c r="M58" s="2994"/>
      <c r="N58" s="2994"/>
      <c r="O58" s="2994"/>
      <c r="P58" s="2994"/>
      <c r="Q58" s="2994"/>
      <c r="R58" s="2994"/>
      <c r="S58" s="2994"/>
      <c r="T58" s="2994"/>
      <c r="U58" s="2994"/>
      <c r="V58" s="2994"/>
      <c r="W58" s="2994"/>
      <c r="X58" s="2994"/>
      <c r="Y58" s="2994"/>
      <c r="Z58" s="2994"/>
      <c r="AA58" s="2994"/>
      <c r="AB58" s="2994"/>
      <c r="AC58" s="2994"/>
      <c r="AD58" s="2994"/>
      <c r="AE58" s="2994"/>
      <c r="AF58" s="2994"/>
      <c r="AG58" s="2994"/>
      <c r="AH58" s="2994"/>
      <c r="AI58" s="2994"/>
      <c r="AJ58" s="2994"/>
      <c r="AK58" s="2994"/>
      <c r="AL58" s="2994"/>
      <c r="AM58" s="2994"/>
      <c r="AN58" s="2994"/>
      <c r="AO58" s="2994"/>
      <c r="AP58" s="2994"/>
      <c r="AQ58" s="2994"/>
      <c r="AR58" s="2994"/>
      <c r="AS58" s="2994"/>
      <c r="AT58" s="2994"/>
      <c r="AU58" s="337"/>
      <c r="AW58" s="197"/>
      <c r="AX58" s="197"/>
    </row>
    <row r="59" spans="1:50" ht="12.75" customHeight="1" x14ac:dyDescent="0.15">
      <c r="B59" s="338"/>
      <c r="C59" s="2994" t="s">
        <v>171</v>
      </c>
      <c r="D59" s="2994"/>
      <c r="E59" s="2994"/>
      <c r="F59" s="2994"/>
      <c r="G59" s="2994"/>
      <c r="H59" s="2994"/>
      <c r="I59" s="2994"/>
      <c r="J59" s="2994"/>
      <c r="K59" s="2994"/>
      <c r="L59" s="2994"/>
      <c r="M59" s="2994"/>
      <c r="N59" s="2994"/>
      <c r="O59" s="2994"/>
      <c r="P59" s="2994"/>
      <c r="Q59" s="2994"/>
      <c r="R59" s="2994"/>
      <c r="S59" s="2994"/>
      <c r="T59" s="2994"/>
      <c r="U59" s="2994"/>
      <c r="V59" s="2994"/>
      <c r="W59" s="2994"/>
      <c r="X59" s="2994"/>
      <c r="Y59" s="2994"/>
      <c r="Z59" s="2994"/>
      <c r="AA59" s="2994"/>
      <c r="AB59" s="2994"/>
      <c r="AC59" s="2994"/>
      <c r="AD59" s="2994"/>
      <c r="AE59" s="2994"/>
      <c r="AF59" s="2994"/>
      <c r="AG59" s="2994"/>
      <c r="AH59" s="2994"/>
      <c r="AI59" s="2994"/>
      <c r="AJ59" s="2994"/>
      <c r="AK59" s="2994"/>
      <c r="AL59" s="2994"/>
      <c r="AM59" s="2994"/>
      <c r="AN59" s="2994"/>
      <c r="AO59" s="2994"/>
      <c r="AP59" s="2994"/>
      <c r="AQ59" s="2994"/>
      <c r="AR59" s="2994"/>
      <c r="AS59" s="2994"/>
      <c r="AT59" s="2994"/>
      <c r="AU59" s="337"/>
      <c r="AW59" s="197"/>
      <c r="AX59" s="197"/>
    </row>
    <row r="60" spans="1:50" ht="12.75" customHeight="1" x14ac:dyDescent="0.15">
      <c r="B60" s="338" t="s">
        <v>158</v>
      </c>
      <c r="C60" s="2994" t="s">
        <v>159</v>
      </c>
      <c r="D60" s="2994"/>
      <c r="E60" s="2994"/>
      <c r="F60" s="2994"/>
      <c r="G60" s="2994"/>
      <c r="H60" s="2994"/>
      <c r="I60" s="2994"/>
      <c r="J60" s="2994"/>
      <c r="K60" s="2994"/>
      <c r="L60" s="2994"/>
      <c r="M60" s="2994"/>
      <c r="N60" s="2994"/>
      <c r="O60" s="2994"/>
      <c r="P60" s="2994"/>
      <c r="Q60" s="2994"/>
      <c r="R60" s="2994"/>
      <c r="S60" s="2994"/>
      <c r="T60" s="2994"/>
      <c r="U60" s="2994"/>
      <c r="V60" s="2994"/>
      <c r="W60" s="2994"/>
      <c r="X60" s="2994"/>
      <c r="Y60" s="2994"/>
      <c r="Z60" s="2994"/>
      <c r="AA60" s="2994"/>
      <c r="AB60" s="2994"/>
      <c r="AC60" s="2994"/>
      <c r="AD60" s="2994"/>
      <c r="AE60" s="2994"/>
      <c r="AF60" s="2994"/>
      <c r="AG60" s="2994"/>
      <c r="AH60" s="2994"/>
      <c r="AI60" s="2994"/>
      <c r="AJ60" s="2994"/>
      <c r="AK60" s="2994"/>
      <c r="AL60" s="2994"/>
      <c r="AM60" s="2994"/>
      <c r="AN60" s="2994"/>
      <c r="AO60" s="2994"/>
      <c r="AP60" s="2994"/>
      <c r="AQ60" s="2994"/>
      <c r="AR60" s="2994"/>
      <c r="AS60" s="2994"/>
      <c r="AT60" s="2994"/>
      <c r="AU60" s="337"/>
      <c r="AW60" s="197"/>
      <c r="AX60" s="197"/>
    </row>
    <row r="61" spans="1:50" ht="12.75" customHeight="1" x14ac:dyDescent="0.15">
      <c r="B61" s="338" t="s">
        <v>152</v>
      </c>
      <c r="C61" s="2994" t="s">
        <v>0</v>
      </c>
      <c r="D61" s="2994"/>
      <c r="E61" s="2994"/>
      <c r="F61" s="2994"/>
      <c r="G61" s="2994"/>
      <c r="H61" s="2994"/>
      <c r="I61" s="2994"/>
      <c r="J61" s="2994"/>
      <c r="K61" s="2994"/>
      <c r="L61" s="2994"/>
      <c r="M61" s="2994"/>
      <c r="N61" s="2994"/>
      <c r="O61" s="2994"/>
      <c r="P61" s="2994"/>
      <c r="Q61" s="2994"/>
      <c r="R61" s="2994"/>
      <c r="S61" s="2994"/>
      <c r="T61" s="2994"/>
      <c r="U61" s="2994"/>
      <c r="V61" s="2994"/>
      <c r="W61" s="2994"/>
      <c r="X61" s="2994"/>
      <c r="Y61" s="2994"/>
      <c r="Z61" s="2994"/>
      <c r="AA61" s="2994"/>
      <c r="AB61" s="2994"/>
      <c r="AC61" s="2994"/>
      <c r="AD61" s="2994"/>
      <c r="AE61" s="2994"/>
      <c r="AF61" s="2994"/>
      <c r="AG61" s="2994"/>
      <c r="AH61" s="2994"/>
      <c r="AI61" s="2994"/>
      <c r="AJ61" s="2994"/>
      <c r="AK61" s="2994"/>
      <c r="AL61" s="2994"/>
      <c r="AM61" s="2994"/>
      <c r="AN61" s="2994"/>
      <c r="AO61" s="2994"/>
      <c r="AP61" s="2994"/>
      <c r="AQ61" s="2994"/>
      <c r="AR61" s="2994"/>
      <c r="AS61" s="2994"/>
      <c r="AT61" s="2994"/>
      <c r="AW61" s="197"/>
      <c r="AX61" s="197"/>
    </row>
    <row r="62" spans="1:50" ht="12.75" customHeight="1" x14ac:dyDescent="0.15">
      <c r="B62" s="338" t="s">
        <v>160</v>
      </c>
      <c r="C62" s="2994" t="s">
        <v>172</v>
      </c>
      <c r="D62" s="2994"/>
      <c r="E62" s="2994"/>
      <c r="F62" s="2994"/>
      <c r="G62" s="2994"/>
      <c r="H62" s="2994"/>
      <c r="I62" s="2994"/>
      <c r="J62" s="2994"/>
      <c r="K62" s="2994"/>
      <c r="L62" s="2994"/>
      <c r="M62" s="2994"/>
      <c r="N62" s="2994"/>
      <c r="O62" s="2994"/>
      <c r="P62" s="2994"/>
      <c r="Q62" s="2994"/>
      <c r="R62" s="2994"/>
      <c r="S62" s="2994"/>
      <c r="T62" s="2994"/>
      <c r="U62" s="2994"/>
      <c r="V62" s="2994"/>
      <c r="W62" s="2994"/>
      <c r="X62" s="2994"/>
      <c r="Y62" s="2994"/>
      <c r="Z62" s="2994"/>
      <c r="AA62" s="2994"/>
      <c r="AB62" s="2994"/>
      <c r="AC62" s="2994"/>
      <c r="AD62" s="2994"/>
      <c r="AE62" s="2994"/>
      <c r="AF62" s="2994"/>
      <c r="AG62" s="2994"/>
      <c r="AH62" s="2994"/>
      <c r="AI62" s="2994"/>
      <c r="AJ62" s="2994"/>
      <c r="AK62" s="2994"/>
      <c r="AL62" s="2994"/>
      <c r="AM62" s="2994"/>
      <c r="AN62" s="2994"/>
      <c r="AO62" s="2994"/>
      <c r="AP62" s="2994"/>
      <c r="AQ62" s="2994"/>
      <c r="AR62" s="2994"/>
      <c r="AS62" s="2994"/>
      <c r="AT62" s="2994"/>
      <c r="AU62" s="337"/>
      <c r="AW62" s="197"/>
      <c r="AX62" s="197"/>
    </row>
    <row r="63" spans="1:50" ht="12.75" customHeight="1" x14ac:dyDescent="0.15">
      <c r="C63" s="2994" t="s">
        <v>173</v>
      </c>
      <c r="D63" s="2994"/>
      <c r="E63" s="2994"/>
      <c r="F63" s="2994"/>
      <c r="G63" s="2994"/>
      <c r="H63" s="2994"/>
      <c r="I63" s="2994"/>
      <c r="J63" s="2994"/>
      <c r="K63" s="2994"/>
      <c r="L63" s="2994"/>
      <c r="M63" s="2994"/>
      <c r="N63" s="2994"/>
      <c r="O63" s="2994"/>
      <c r="P63" s="2994"/>
      <c r="Q63" s="2994"/>
      <c r="R63" s="2994"/>
      <c r="S63" s="2994"/>
      <c r="T63" s="2994"/>
      <c r="U63" s="2994"/>
      <c r="V63" s="2994"/>
      <c r="W63" s="2994"/>
      <c r="X63" s="2994"/>
      <c r="Y63" s="2994"/>
      <c r="Z63" s="2994"/>
      <c r="AA63" s="2994"/>
      <c r="AB63" s="2994"/>
      <c r="AC63" s="2994"/>
      <c r="AD63" s="2994"/>
      <c r="AE63" s="2994"/>
      <c r="AF63" s="2994"/>
      <c r="AG63" s="2994"/>
      <c r="AH63" s="2994"/>
      <c r="AI63" s="2994"/>
      <c r="AJ63" s="2994"/>
      <c r="AK63" s="2994"/>
      <c r="AL63" s="2994"/>
      <c r="AM63" s="2994"/>
      <c r="AN63" s="2994"/>
      <c r="AO63" s="2994"/>
      <c r="AP63" s="2994"/>
      <c r="AQ63" s="2994"/>
      <c r="AR63" s="2994"/>
      <c r="AS63" s="2994"/>
      <c r="AT63" s="2994"/>
      <c r="AU63" s="337"/>
      <c r="AW63" s="197"/>
      <c r="AX63" s="197"/>
    </row>
    <row r="64" spans="1:50" ht="12.75" customHeight="1" x14ac:dyDescent="0.15">
      <c r="B64" s="338" t="s">
        <v>1</v>
      </c>
      <c r="C64" s="2994" t="s">
        <v>2</v>
      </c>
      <c r="D64" s="2994"/>
      <c r="E64" s="2994"/>
      <c r="F64" s="2994"/>
      <c r="G64" s="2994"/>
      <c r="H64" s="2994"/>
      <c r="I64" s="2994"/>
      <c r="J64" s="2994"/>
      <c r="K64" s="2994"/>
      <c r="L64" s="2994"/>
      <c r="M64" s="2994"/>
      <c r="N64" s="2994"/>
      <c r="O64" s="2994"/>
      <c r="P64" s="2994"/>
      <c r="Q64" s="2994"/>
      <c r="R64" s="2994"/>
      <c r="S64" s="2994"/>
      <c r="T64" s="2994"/>
      <c r="U64" s="2994"/>
      <c r="V64" s="2994"/>
      <c r="W64" s="2994"/>
      <c r="X64" s="2994"/>
      <c r="Y64" s="2994"/>
      <c r="Z64" s="2994"/>
      <c r="AA64" s="2994"/>
      <c r="AB64" s="2994"/>
      <c r="AC64" s="2994"/>
      <c r="AD64" s="2994"/>
      <c r="AE64" s="2994"/>
      <c r="AF64" s="2994"/>
      <c r="AG64" s="2994"/>
      <c r="AH64" s="2994"/>
      <c r="AI64" s="2994"/>
      <c r="AJ64" s="2994"/>
      <c r="AK64" s="2994"/>
      <c r="AL64" s="2994"/>
      <c r="AM64" s="2994"/>
      <c r="AN64" s="2994"/>
      <c r="AO64" s="2994"/>
      <c r="AP64" s="2994"/>
      <c r="AQ64" s="2994"/>
      <c r="AR64" s="2994"/>
      <c r="AS64" s="2994"/>
      <c r="AT64" s="2994"/>
      <c r="AU64" s="337"/>
      <c r="AW64" s="197"/>
      <c r="AX64" s="197"/>
    </row>
    <row r="65" spans="1:53" ht="12.75" customHeight="1" x14ac:dyDescent="0.15">
      <c r="AG65" s="337"/>
      <c r="AH65" s="337"/>
      <c r="AI65" s="337"/>
      <c r="AJ65" s="337"/>
      <c r="AK65" s="337"/>
      <c r="AL65" s="337"/>
      <c r="AM65" s="337"/>
      <c r="AN65" s="337"/>
      <c r="AO65" s="337"/>
      <c r="AP65" s="337"/>
      <c r="AQ65" s="337"/>
      <c r="AR65" s="337"/>
      <c r="AS65" s="337"/>
      <c r="AT65" s="337"/>
      <c r="AW65" s="197"/>
      <c r="AX65" s="197"/>
    </row>
    <row r="66" spans="1:53" ht="12.75" customHeight="1" x14ac:dyDescent="0.15">
      <c r="A66" s="336" t="s">
        <v>18</v>
      </c>
      <c r="B66" s="336" t="s">
        <v>153</v>
      </c>
      <c r="C66" s="336">
        <v>2</v>
      </c>
      <c r="D66" s="336" t="s">
        <v>5</v>
      </c>
      <c r="E66" s="336" t="s">
        <v>6</v>
      </c>
      <c r="F66" s="336"/>
      <c r="G66" s="336" t="s">
        <v>25</v>
      </c>
      <c r="H66" s="336" t="s">
        <v>175</v>
      </c>
      <c r="I66" s="336">
        <v>4</v>
      </c>
      <c r="J66" s="336" t="s">
        <v>22</v>
      </c>
      <c r="AO66" s="423" t="str">
        <f>$AO$7</f>
        <v>Kyoto City（R7.7） ver.120</v>
      </c>
      <c r="AP66" s="387" t="str">
        <f>IF('1_入力シート【基本情報】'!$AB$7="","",'1_入力シート【基本情報】'!$AB$7)</f>
        <v/>
      </c>
      <c r="AQ66" s="386" t="str">
        <f>IF('1_入力シート【基本情報】'!$AK$7="","",'1_入力シート【基本情報】'!$AK$7)</f>
        <v/>
      </c>
      <c r="AR66" s="2990" t="str">
        <f>IF('1_入力シート【基本情報】'!$AT$7="","",TEXT('1_入力シート【基本情報】'!$AT$7,"0000"))</f>
        <v/>
      </c>
      <c r="AS66" s="2991"/>
      <c r="AT66" s="2991"/>
      <c r="AU66" s="2992"/>
      <c r="AW66" s="197"/>
      <c r="AX66" s="197"/>
    </row>
    <row r="67" spans="1:53" ht="12.75" customHeight="1" x14ac:dyDescent="0.15">
      <c r="U67" s="3049" t="s">
        <v>174</v>
      </c>
      <c r="V67" s="3049"/>
      <c r="W67" s="3049"/>
      <c r="X67" s="3049"/>
      <c r="Y67" s="3049"/>
      <c r="Z67" s="3049"/>
      <c r="AW67" s="197"/>
      <c r="AX67" s="197"/>
    </row>
    <row r="68" spans="1:53" ht="12.75" customHeight="1" x14ac:dyDescent="0.15">
      <c r="AW68" s="197"/>
      <c r="AX68" s="197"/>
    </row>
    <row r="69" spans="1:53" ht="15.75" customHeight="1" x14ac:dyDescent="0.15">
      <c r="A69" s="3018" t="s">
        <v>154</v>
      </c>
      <c r="B69" s="3019"/>
      <c r="C69" s="3020"/>
      <c r="D69" s="3037" t="s">
        <v>155</v>
      </c>
      <c r="E69" s="3038"/>
      <c r="F69" s="3038"/>
      <c r="G69" s="3038"/>
      <c r="H69" s="3038"/>
      <c r="I69" s="3038"/>
      <c r="J69" s="3039"/>
      <c r="K69" s="340"/>
      <c r="L69" s="341"/>
      <c r="M69" s="341"/>
      <c r="N69" s="341"/>
      <c r="O69" s="341"/>
      <c r="P69" s="341"/>
      <c r="Q69" s="341"/>
      <c r="R69" s="341"/>
      <c r="S69" s="342" t="s">
        <v>7</v>
      </c>
      <c r="T69" s="342" t="s">
        <v>8</v>
      </c>
      <c r="U69" s="342" t="s">
        <v>9</v>
      </c>
      <c r="V69" s="342" t="s">
        <v>156</v>
      </c>
      <c r="W69" s="342"/>
      <c r="X69" s="342"/>
      <c r="Y69" s="342"/>
      <c r="Z69" s="342"/>
      <c r="AA69" s="342"/>
      <c r="AB69" s="342"/>
      <c r="AC69" s="342"/>
      <c r="AD69" s="342"/>
      <c r="AE69" s="342"/>
      <c r="AF69" s="342"/>
      <c r="AG69" s="342"/>
      <c r="AH69" s="342"/>
      <c r="AI69" s="343"/>
      <c r="AJ69" s="344"/>
      <c r="AK69" s="3038" t="s">
        <v>33</v>
      </c>
      <c r="AL69" s="3038"/>
      <c r="AM69" s="3038"/>
      <c r="AN69" s="3038"/>
      <c r="AO69" s="3038"/>
      <c r="AP69" s="3038"/>
      <c r="AQ69" s="3038"/>
      <c r="AR69" s="3038"/>
      <c r="AS69" s="3038"/>
      <c r="AT69" s="3038"/>
      <c r="AU69" s="345"/>
      <c r="AW69" s="197"/>
      <c r="AX69" s="197"/>
    </row>
    <row r="70" spans="1:53" ht="15.75" customHeight="1" thickBot="1" x14ac:dyDescent="0.2">
      <c r="A70" s="3031"/>
      <c r="B70" s="3032"/>
      <c r="C70" s="3033"/>
      <c r="D70" s="3018" t="str">
        <f>IFERROR(VLOOKUP(3,'1_入力シート【基本情報】'!$DU$319:$DX$534,3,FALSE),"")</f>
        <v/>
      </c>
      <c r="E70" s="3019"/>
      <c r="F70" s="3019"/>
      <c r="G70" s="3019"/>
      <c r="H70" s="3019"/>
      <c r="I70" s="3019"/>
      <c r="J70" s="3020"/>
      <c r="K70" s="2995" t="str">
        <f>IFERROR(VLOOKUP(3,'1_入力シート【基本情報】'!$DU$319:$DX$534,4,FALSE),"")</f>
        <v/>
      </c>
      <c r="L70" s="2996"/>
      <c r="M70" s="2996"/>
      <c r="N70" s="2996"/>
      <c r="O70" s="2996"/>
      <c r="P70" s="2996"/>
      <c r="Q70" s="2996"/>
      <c r="R70" s="2996"/>
      <c r="S70" s="2996"/>
      <c r="T70" s="2996"/>
      <c r="U70" s="2996"/>
      <c r="V70" s="2996"/>
      <c r="W70" s="2996"/>
      <c r="X70" s="2996"/>
      <c r="Y70" s="2996"/>
      <c r="Z70" s="2996"/>
      <c r="AA70" s="2996"/>
      <c r="AB70" s="2996"/>
      <c r="AC70" s="2996"/>
      <c r="AD70" s="2996"/>
      <c r="AE70" s="2996"/>
      <c r="AF70" s="2996"/>
      <c r="AG70" s="2996"/>
      <c r="AH70" s="2996"/>
      <c r="AI70" s="2997"/>
      <c r="AJ70" s="367"/>
      <c r="AK70" s="367"/>
      <c r="AL70" s="367"/>
      <c r="AM70" s="367"/>
      <c r="AN70" s="367"/>
      <c r="AO70" s="367"/>
      <c r="AP70" s="367"/>
      <c r="AQ70" s="367"/>
      <c r="AR70" s="367"/>
      <c r="AS70" s="367"/>
      <c r="AT70" s="367"/>
      <c r="AU70" s="368"/>
      <c r="AW70" s="197"/>
      <c r="AX70" s="197"/>
    </row>
    <row r="71" spans="1:53" ht="15.75" customHeight="1" thickBot="1" x14ac:dyDescent="0.2">
      <c r="A71" s="3031"/>
      <c r="B71" s="3032"/>
      <c r="C71" s="3033"/>
      <c r="D71" s="3021"/>
      <c r="E71" s="3022"/>
      <c r="F71" s="3022"/>
      <c r="G71" s="3022"/>
      <c r="H71" s="3022"/>
      <c r="I71" s="3022"/>
      <c r="J71" s="3023"/>
      <c r="K71" s="2998"/>
      <c r="L71" s="2999"/>
      <c r="M71" s="2999"/>
      <c r="N71" s="2999"/>
      <c r="O71" s="2999"/>
      <c r="P71" s="2999"/>
      <c r="Q71" s="2999"/>
      <c r="R71" s="2999"/>
      <c r="S71" s="2999"/>
      <c r="T71" s="2999"/>
      <c r="U71" s="2999"/>
      <c r="V71" s="2999"/>
      <c r="W71" s="2999"/>
      <c r="X71" s="2999"/>
      <c r="Y71" s="2999"/>
      <c r="Z71" s="2999"/>
      <c r="AA71" s="2999"/>
      <c r="AB71" s="2999"/>
      <c r="AC71" s="2999"/>
      <c r="AD71" s="2999"/>
      <c r="AE71" s="2999"/>
      <c r="AF71" s="2999"/>
      <c r="AG71" s="2999"/>
      <c r="AH71" s="2999"/>
      <c r="AI71" s="3000"/>
      <c r="AJ71" s="367"/>
      <c r="AK71" s="367" t="str">
        <f>IF(D70&lt;&gt;"","☑","☐")</f>
        <v>☐</v>
      </c>
      <c r="AL71" s="367" t="s">
        <v>14</v>
      </c>
      <c r="AM71" s="367" t="s">
        <v>21</v>
      </c>
      <c r="AN71" s="367" t="s">
        <v>15</v>
      </c>
      <c r="AO71" s="367"/>
      <c r="AP71" s="426" t="s">
        <v>179</v>
      </c>
      <c r="AQ71" s="367" t="s">
        <v>27</v>
      </c>
      <c r="AR71" s="367" t="s">
        <v>23</v>
      </c>
      <c r="AS71" s="367" t="s">
        <v>13</v>
      </c>
      <c r="AT71" s="367"/>
      <c r="AU71" s="368"/>
      <c r="AV71" s="346"/>
      <c r="AW71" s="197"/>
      <c r="AX71" s="197"/>
      <c r="BA71" s="430" t="b">
        <f>AP71="☑"</f>
        <v>0</v>
      </c>
    </row>
    <row r="72" spans="1:53" ht="15.75" customHeight="1" x14ac:dyDescent="0.15">
      <c r="A72" s="3034"/>
      <c r="B72" s="3035"/>
      <c r="C72" s="3036"/>
      <c r="D72" s="3024"/>
      <c r="E72" s="3025"/>
      <c r="F72" s="3025"/>
      <c r="G72" s="3025"/>
      <c r="H72" s="3025"/>
      <c r="I72" s="3025"/>
      <c r="J72" s="3026"/>
      <c r="K72" s="3028"/>
      <c r="L72" s="3029"/>
      <c r="M72" s="3029"/>
      <c r="N72" s="3029"/>
      <c r="O72" s="3029"/>
      <c r="P72" s="3029"/>
      <c r="Q72" s="3029"/>
      <c r="R72" s="3029"/>
      <c r="S72" s="3029"/>
      <c r="T72" s="3029"/>
      <c r="U72" s="3029"/>
      <c r="V72" s="3029"/>
      <c r="W72" s="3029"/>
      <c r="X72" s="3029"/>
      <c r="Y72" s="3029"/>
      <c r="Z72" s="3029"/>
      <c r="AA72" s="3029"/>
      <c r="AB72" s="3029"/>
      <c r="AC72" s="3029"/>
      <c r="AD72" s="3029"/>
      <c r="AE72" s="3029"/>
      <c r="AF72" s="3029"/>
      <c r="AG72" s="3029"/>
      <c r="AH72" s="3029"/>
      <c r="AI72" s="3030"/>
      <c r="AJ72" s="369"/>
      <c r="AK72" s="369"/>
      <c r="AL72" s="369"/>
      <c r="AM72" s="369"/>
      <c r="AN72" s="369"/>
      <c r="AO72" s="369"/>
      <c r="AP72" s="369"/>
      <c r="AQ72" s="369"/>
      <c r="AR72" s="369"/>
      <c r="AS72" s="369"/>
      <c r="AT72" s="369"/>
      <c r="AU72" s="370"/>
      <c r="AW72" s="197"/>
      <c r="AX72" s="197"/>
    </row>
    <row r="73" spans="1:53" ht="15.75" customHeight="1" x14ac:dyDescent="0.15">
      <c r="A73" s="2"/>
      <c r="B73" s="335"/>
      <c r="C73" s="335"/>
      <c r="D73" s="335"/>
      <c r="E73" s="335"/>
      <c r="F73" s="335"/>
      <c r="G73" s="335"/>
      <c r="H73" s="335"/>
      <c r="I73" s="335"/>
      <c r="J73" s="335"/>
      <c r="K73" s="335"/>
      <c r="L73" s="335"/>
      <c r="M73" s="335"/>
      <c r="N73" s="335"/>
      <c r="O73" s="335"/>
      <c r="P73" s="335"/>
      <c r="Q73" s="335"/>
      <c r="R73" s="335"/>
      <c r="S73" s="335"/>
      <c r="T73" s="335"/>
      <c r="U73" s="335"/>
      <c r="V73" s="335"/>
      <c r="W73" s="335"/>
      <c r="X73" s="335"/>
      <c r="Y73" s="3"/>
      <c r="Z73" s="47"/>
      <c r="AA73" s="48" t="s">
        <v>11</v>
      </c>
      <c r="AB73" s="48" t="s">
        <v>10</v>
      </c>
      <c r="AC73" s="48" t="s">
        <v>16</v>
      </c>
      <c r="AD73" s="48" t="s">
        <v>9</v>
      </c>
      <c r="AE73" s="48"/>
      <c r="AF73" s="48"/>
      <c r="AG73" s="48"/>
      <c r="AH73" s="48"/>
      <c r="AI73" s="48"/>
      <c r="AJ73" s="49"/>
      <c r="AK73" s="49"/>
      <c r="AL73" s="49"/>
      <c r="AM73" s="49"/>
      <c r="AN73" s="49"/>
      <c r="AO73" s="49"/>
      <c r="AP73" s="49"/>
      <c r="AQ73" s="49"/>
      <c r="AR73" s="49"/>
      <c r="AS73" s="49"/>
      <c r="AT73" s="49"/>
      <c r="AU73" s="50"/>
      <c r="AW73" s="197"/>
      <c r="AX73" s="197"/>
    </row>
    <row r="74" spans="1:53" ht="15.75" customHeight="1" x14ac:dyDescent="0.15">
      <c r="A74" s="2"/>
      <c r="B74" s="335"/>
      <c r="C74" s="335"/>
      <c r="D74" s="335"/>
      <c r="E74" s="335"/>
      <c r="F74" s="335"/>
      <c r="G74" s="335"/>
      <c r="H74" s="335"/>
      <c r="I74" s="335"/>
      <c r="J74" s="335"/>
      <c r="K74" s="335"/>
      <c r="L74" s="335"/>
      <c r="M74" s="335"/>
      <c r="N74" s="335"/>
      <c r="O74" s="335"/>
      <c r="P74" s="335"/>
      <c r="Q74" s="335"/>
      <c r="R74" s="335"/>
      <c r="S74" s="335"/>
      <c r="T74" s="335"/>
      <c r="U74" s="335"/>
      <c r="V74" s="335"/>
      <c r="W74" s="335"/>
      <c r="X74" s="335"/>
      <c r="Y74" s="3"/>
      <c r="Z74" s="3010"/>
      <c r="AA74" s="3011"/>
      <c r="AB74" s="3011"/>
      <c r="AC74" s="3011"/>
      <c r="AD74" s="3011"/>
      <c r="AE74" s="3011"/>
      <c r="AF74" s="3011"/>
      <c r="AG74" s="3011"/>
      <c r="AH74" s="3011"/>
      <c r="AI74" s="3011"/>
      <c r="AJ74" s="3011"/>
      <c r="AK74" s="3011"/>
      <c r="AL74" s="3011"/>
      <c r="AM74" s="3011"/>
      <c r="AN74" s="3011"/>
      <c r="AO74" s="104"/>
      <c r="AP74" s="104"/>
      <c r="AQ74" s="104"/>
      <c r="AR74" s="104"/>
      <c r="AS74" s="104"/>
      <c r="AT74" s="104"/>
      <c r="AU74" s="105"/>
      <c r="AW74" s="197"/>
      <c r="AX74" s="197"/>
    </row>
    <row r="75" spans="1:53" ht="15.75" customHeight="1" x14ac:dyDescent="0.15">
      <c r="A75" s="2"/>
      <c r="B75" s="335"/>
      <c r="C75" s="335"/>
      <c r="D75" s="335"/>
      <c r="E75" s="335"/>
      <c r="F75" s="335"/>
      <c r="G75" s="335"/>
      <c r="H75" s="335"/>
      <c r="I75" s="335"/>
      <c r="J75" s="335"/>
      <c r="K75" s="335"/>
      <c r="L75" s="335"/>
      <c r="M75" s="335"/>
      <c r="N75" s="335"/>
      <c r="O75" s="335"/>
      <c r="P75" s="335"/>
      <c r="Q75" s="335"/>
      <c r="R75" s="335"/>
      <c r="S75" s="335"/>
      <c r="T75" s="335"/>
      <c r="U75" s="335"/>
      <c r="V75" s="335"/>
      <c r="W75" s="335"/>
      <c r="X75" s="335"/>
      <c r="Y75" s="3"/>
      <c r="Z75" s="2995" t="str">
        <f>IFERROR(VLOOKUP(3,'1_入力シート【基本情報】'!$DU$319:$DZ$534,5,FALSE),"")</f>
        <v/>
      </c>
      <c r="AA75" s="2996"/>
      <c r="AB75" s="2996"/>
      <c r="AC75" s="2996"/>
      <c r="AD75" s="2996"/>
      <c r="AE75" s="2996"/>
      <c r="AF75" s="2996"/>
      <c r="AG75" s="2996"/>
      <c r="AH75" s="2996"/>
      <c r="AI75" s="2996"/>
      <c r="AJ75" s="2996"/>
      <c r="AK75" s="2996"/>
      <c r="AL75" s="2996"/>
      <c r="AM75" s="2996"/>
      <c r="AN75" s="2996"/>
      <c r="AO75" s="2996"/>
      <c r="AP75" s="2996"/>
      <c r="AQ75" s="2996"/>
      <c r="AR75" s="2996"/>
      <c r="AS75" s="2996"/>
      <c r="AT75" s="2996"/>
      <c r="AU75" s="2997"/>
      <c r="AW75" s="197"/>
      <c r="AX75" s="197"/>
    </row>
    <row r="76" spans="1:53" ht="15.75" customHeight="1" x14ac:dyDescent="0.15">
      <c r="A76" s="2"/>
      <c r="B76" s="335"/>
      <c r="C76" s="335"/>
      <c r="D76" s="335"/>
      <c r="E76" s="335"/>
      <c r="F76" s="335"/>
      <c r="G76" s="335"/>
      <c r="H76" s="335"/>
      <c r="I76" s="335"/>
      <c r="J76" s="335"/>
      <c r="K76" s="335"/>
      <c r="L76" s="335"/>
      <c r="M76" s="335"/>
      <c r="N76" s="335"/>
      <c r="O76" s="335"/>
      <c r="P76" s="335"/>
      <c r="Q76" s="335"/>
      <c r="R76" s="335"/>
      <c r="S76" s="335"/>
      <c r="T76" s="335"/>
      <c r="U76" s="335"/>
      <c r="V76" s="335"/>
      <c r="W76" s="335"/>
      <c r="X76" s="335"/>
      <c r="Y76" s="3"/>
      <c r="Z76" s="2998"/>
      <c r="AA76" s="2999"/>
      <c r="AB76" s="2999"/>
      <c r="AC76" s="2999"/>
      <c r="AD76" s="2999"/>
      <c r="AE76" s="2999"/>
      <c r="AF76" s="2999"/>
      <c r="AG76" s="2999"/>
      <c r="AH76" s="2999"/>
      <c r="AI76" s="2999"/>
      <c r="AJ76" s="2999"/>
      <c r="AK76" s="2999"/>
      <c r="AL76" s="2999"/>
      <c r="AM76" s="2999"/>
      <c r="AN76" s="2999"/>
      <c r="AO76" s="2999"/>
      <c r="AP76" s="2999"/>
      <c r="AQ76" s="2999"/>
      <c r="AR76" s="2999"/>
      <c r="AS76" s="2999"/>
      <c r="AT76" s="2999"/>
      <c r="AU76" s="3000"/>
      <c r="AW76" s="197"/>
      <c r="AX76" s="197"/>
    </row>
    <row r="77" spans="1:53" ht="15.75" customHeight="1" x14ac:dyDescent="0.15">
      <c r="A77" s="2"/>
      <c r="B77" s="335"/>
      <c r="C77" s="335"/>
      <c r="D77" s="335"/>
      <c r="E77" s="335"/>
      <c r="F77" s="335"/>
      <c r="G77" s="335"/>
      <c r="H77" s="335"/>
      <c r="I77" s="335"/>
      <c r="J77" s="335"/>
      <c r="K77" s="335"/>
      <c r="L77" s="335"/>
      <c r="M77" s="335"/>
      <c r="N77" s="335"/>
      <c r="O77" s="335"/>
      <c r="P77" s="335"/>
      <c r="Q77" s="335"/>
      <c r="R77" s="335"/>
      <c r="S77" s="335"/>
      <c r="T77" s="335"/>
      <c r="U77" s="335"/>
      <c r="V77" s="335"/>
      <c r="W77" s="335"/>
      <c r="X77" s="335"/>
      <c r="Y77" s="3"/>
      <c r="Z77" s="3001"/>
      <c r="AA77" s="3002"/>
      <c r="AB77" s="3002"/>
      <c r="AC77" s="3002"/>
      <c r="AD77" s="3002"/>
      <c r="AE77" s="3002"/>
      <c r="AF77" s="3002"/>
      <c r="AG77" s="3002"/>
      <c r="AH77" s="3002"/>
      <c r="AI77" s="3002"/>
      <c r="AJ77" s="3002"/>
      <c r="AK77" s="3002"/>
      <c r="AL77" s="3002"/>
      <c r="AM77" s="3002"/>
      <c r="AN77" s="3002"/>
      <c r="AO77" s="3002"/>
      <c r="AP77" s="3002"/>
      <c r="AQ77" s="3002"/>
      <c r="AR77" s="3002"/>
      <c r="AS77" s="3002"/>
      <c r="AT77" s="3002"/>
      <c r="AU77" s="3003"/>
      <c r="AW77" s="197"/>
      <c r="AX77" s="197"/>
    </row>
    <row r="78" spans="1:53" ht="15.75" customHeight="1" x14ac:dyDescent="0.15">
      <c r="A78" s="2"/>
      <c r="B78" s="371"/>
      <c r="C78" s="371"/>
      <c r="D78" s="371"/>
      <c r="E78" s="371"/>
      <c r="F78" s="371"/>
      <c r="G78" s="371"/>
      <c r="H78" s="371"/>
      <c r="I78" s="371"/>
      <c r="J78" s="371"/>
      <c r="K78" s="371"/>
      <c r="L78" s="371"/>
      <c r="M78" s="371"/>
      <c r="N78" s="371"/>
      <c r="O78" s="371"/>
      <c r="P78" s="371"/>
      <c r="Q78" s="371"/>
      <c r="R78" s="371"/>
      <c r="S78" s="371"/>
      <c r="T78" s="371"/>
      <c r="U78" s="371"/>
      <c r="V78" s="371"/>
      <c r="W78" s="371"/>
      <c r="X78" s="371"/>
      <c r="Y78" s="3"/>
      <c r="Z78" s="3004"/>
      <c r="AA78" s="3005"/>
      <c r="AB78" s="3005"/>
      <c r="AC78" s="3005"/>
      <c r="AD78" s="3005"/>
      <c r="AE78" s="3005"/>
      <c r="AF78" s="3005"/>
      <c r="AG78" s="3005"/>
      <c r="AH78" s="3005"/>
      <c r="AI78" s="3005"/>
      <c r="AJ78" s="3005"/>
      <c r="AK78" s="3005"/>
      <c r="AL78" s="3005"/>
      <c r="AM78" s="3005"/>
      <c r="AN78" s="3005"/>
      <c r="AO78" s="3005"/>
      <c r="AP78" s="3005"/>
      <c r="AQ78" s="3005"/>
      <c r="AR78" s="3005"/>
      <c r="AS78" s="3005"/>
      <c r="AT78" s="3005"/>
      <c r="AU78" s="3006"/>
      <c r="AW78" s="197"/>
      <c r="AX78" s="197"/>
    </row>
    <row r="79" spans="1:53" ht="15.75" customHeight="1" x14ac:dyDescent="0.15">
      <c r="A79" s="2"/>
      <c r="B79" s="371"/>
      <c r="C79" s="371"/>
      <c r="D79" s="371"/>
      <c r="E79" s="371"/>
      <c r="F79" s="371"/>
      <c r="G79" s="371"/>
      <c r="H79" s="371"/>
      <c r="I79" s="371"/>
      <c r="J79" s="371"/>
      <c r="K79" s="371"/>
      <c r="L79" s="371"/>
      <c r="M79" s="371"/>
      <c r="N79" s="371"/>
      <c r="O79" s="371"/>
      <c r="P79" s="371"/>
      <c r="Q79" s="371"/>
      <c r="R79" s="371"/>
      <c r="S79" s="371"/>
      <c r="T79" s="371"/>
      <c r="U79" s="371"/>
      <c r="V79" s="371"/>
      <c r="W79" s="371"/>
      <c r="X79" s="371"/>
      <c r="Y79" s="3"/>
      <c r="Z79" s="3004"/>
      <c r="AA79" s="3005"/>
      <c r="AB79" s="3005"/>
      <c r="AC79" s="3005"/>
      <c r="AD79" s="3005"/>
      <c r="AE79" s="3005"/>
      <c r="AF79" s="3005"/>
      <c r="AG79" s="3005"/>
      <c r="AH79" s="3005"/>
      <c r="AI79" s="3005"/>
      <c r="AJ79" s="3005"/>
      <c r="AK79" s="3005"/>
      <c r="AL79" s="3005"/>
      <c r="AM79" s="3005"/>
      <c r="AN79" s="3005"/>
      <c r="AO79" s="3005"/>
      <c r="AP79" s="3005"/>
      <c r="AQ79" s="3005"/>
      <c r="AR79" s="3005"/>
      <c r="AS79" s="3005"/>
      <c r="AT79" s="3005"/>
      <c r="AU79" s="3006"/>
      <c r="AW79" s="197"/>
      <c r="AX79" s="197"/>
    </row>
    <row r="80" spans="1:53" ht="15.75" customHeight="1" x14ac:dyDescent="0.15">
      <c r="A80" s="2"/>
      <c r="B80" s="371"/>
      <c r="C80" s="371"/>
      <c r="D80" s="371"/>
      <c r="E80" s="371"/>
      <c r="F80" s="371"/>
      <c r="G80" s="371"/>
      <c r="H80" s="371"/>
      <c r="I80" s="371"/>
      <c r="J80" s="371"/>
      <c r="K80" s="371"/>
      <c r="L80" s="371"/>
      <c r="M80" s="371"/>
      <c r="N80" s="371"/>
      <c r="O80" s="371"/>
      <c r="P80" s="371"/>
      <c r="Q80" s="371"/>
      <c r="R80" s="371"/>
      <c r="S80" s="371"/>
      <c r="T80" s="371"/>
      <c r="U80" s="371"/>
      <c r="V80" s="371"/>
      <c r="W80" s="371"/>
      <c r="X80" s="371"/>
      <c r="Y80" s="3"/>
      <c r="Z80" s="3004"/>
      <c r="AA80" s="3005"/>
      <c r="AB80" s="3005"/>
      <c r="AC80" s="3005"/>
      <c r="AD80" s="3005"/>
      <c r="AE80" s="3005"/>
      <c r="AF80" s="3005"/>
      <c r="AG80" s="3005"/>
      <c r="AH80" s="3005"/>
      <c r="AI80" s="3005"/>
      <c r="AJ80" s="3005"/>
      <c r="AK80" s="3005"/>
      <c r="AL80" s="3005"/>
      <c r="AM80" s="3005"/>
      <c r="AN80" s="3005"/>
      <c r="AO80" s="3005"/>
      <c r="AP80" s="3005"/>
      <c r="AQ80" s="3005"/>
      <c r="AR80" s="3005"/>
      <c r="AS80" s="3005"/>
      <c r="AT80" s="3005"/>
      <c r="AU80" s="3006"/>
      <c r="AW80" s="197"/>
      <c r="AX80" s="197"/>
    </row>
    <row r="81" spans="1:53" ht="15.75" customHeight="1" x14ac:dyDescent="0.15">
      <c r="A81" s="2"/>
      <c r="B81" s="371"/>
      <c r="C81" s="371"/>
      <c r="D81" s="371"/>
      <c r="E81" s="371"/>
      <c r="F81" s="371"/>
      <c r="G81" s="371"/>
      <c r="H81" s="371"/>
      <c r="I81" s="371"/>
      <c r="J81" s="371"/>
      <c r="K81" s="3013" t="s">
        <v>157</v>
      </c>
      <c r="L81" s="3013"/>
      <c r="M81" s="3013"/>
      <c r="N81" s="3013"/>
      <c r="O81" s="3013"/>
      <c r="P81" s="3013"/>
      <c r="Q81" s="371"/>
      <c r="R81" s="371"/>
      <c r="S81" s="371"/>
      <c r="T81" s="371"/>
      <c r="U81" s="371"/>
      <c r="V81" s="371"/>
      <c r="W81" s="371"/>
      <c r="X81" s="371"/>
      <c r="Y81" s="3"/>
      <c r="Z81" s="3004"/>
      <c r="AA81" s="3005"/>
      <c r="AB81" s="3005"/>
      <c r="AC81" s="3005"/>
      <c r="AD81" s="3005"/>
      <c r="AE81" s="3005"/>
      <c r="AF81" s="3005"/>
      <c r="AG81" s="3005"/>
      <c r="AH81" s="3005"/>
      <c r="AI81" s="3005"/>
      <c r="AJ81" s="3005"/>
      <c r="AK81" s="3005"/>
      <c r="AL81" s="3005"/>
      <c r="AM81" s="3005"/>
      <c r="AN81" s="3005"/>
      <c r="AO81" s="3005"/>
      <c r="AP81" s="3005"/>
      <c r="AQ81" s="3005"/>
      <c r="AR81" s="3005"/>
      <c r="AS81" s="3005"/>
      <c r="AT81" s="3005"/>
      <c r="AU81" s="3006"/>
      <c r="AW81" s="197"/>
      <c r="AX81" s="197"/>
    </row>
    <row r="82" spans="1:53" ht="15.75" customHeight="1" x14ac:dyDescent="0.15">
      <c r="A82" s="2"/>
      <c r="B82" s="371"/>
      <c r="C82" s="371"/>
      <c r="D82" s="371"/>
      <c r="E82" s="371"/>
      <c r="F82" s="371"/>
      <c r="G82" s="371"/>
      <c r="H82" s="371"/>
      <c r="I82" s="371"/>
      <c r="J82" s="371"/>
      <c r="K82" s="371"/>
      <c r="L82" s="371"/>
      <c r="M82" s="371"/>
      <c r="N82" s="371"/>
      <c r="O82" s="371"/>
      <c r="P82" s="371"/>
      <c r="Q82" s="371"/>
      <c r="R82" s="371"/>
      <c r="S82" s="371"/>
      <c r="T82" s="371"/>
      <c r="U82" s="371"/>
      <c r="V82" s="371"/>
      <c r="W82" s="371"/>
      <c r="X82" s="371"/>
      <c r="Y82" s="3"/>
      <c r="Z82" s="3004"/>
      <c r="AA82" s="3005"/>
      <c r="AB82" s="3005"/>
      <c r="AC82" s="3005"/>
      <c r="AD82" s="3005"/>
      <c r="AE82" s="3005"/>
      <c r="AF82" s="3005"/>
      <c r="AG82" s="3005"/>
      <c r="AH82" s="3005"/>
      <c r="AI82" s="3005"/>
      <c r="AJ82" s="3005"/>
      <c r="AK82" s="3005"/>
      <c r="AL82" s="3005"/>
      <c r="AM82" s="3005"/>
      <c r="AN82" s="3005"/>
      <c r="AO82" s="3005"/>
      <c r="AP82" s="3005"/>
      <c r="AQ82" s="3005"/>
      <c r="AR82" s="3005"/>
      <c r="AS82" s="3005"/>
      <c r="AT82" s="3005"/>
      <c r="AU82" s="3006"/>
      <c r="AW82" s="197"/>
      <c r="AX82" s="197"/>
    </row>
    <row r="83" spans="1:53" ht="15.75" customHeight="1" x14ac:dyDescent="0.15">
      <c r="A83" s="2"/>
      <c r="B83" s="371"/>
      <c r="C83" s="371"/>
      <c r="D83" s="371"/>
      <c r="E83" s="371"/>
      <c r="F83" s="371"/>
      <c r="G83" s="371"/>
      <c r="H83" s="371"/>
      <c r="I83" s="371"/>
      <c r="J83" s="371"/>
      <c r="K83" s="371"/>
      <c r="L83" s="371"/>
      <c r="M83" s="371"/>
      <c r="N83" s="371"/>
      <c r="O83" s="371"/>
      <c r="P83" s="371"/>
      <c r="Q83" s="371"/>
      <c r="R83" s="371"/>
      <c r="S83" s="371"/>
      <c r="T83" s="371"/>
      <c r="U83" s="371"/>
      <c r="V83" s="371"/>
      <c r="W83" s="371"/>
      <c r="X83" s="371"/>
      <c r="Y83" s="3"/>
      <c r="Z83" s="3004"/>
      <c r="AA83" s="3005"/>
      <c r="AB83" s="3005"/>
      <c r="AC83" s="3005"/>
      <c r="AD83" s="3005"/>
      <c r="AE83" s="3005"/>
      <c r="AF83" s="3005"/>
      <c r="AG83" s="3005"/>
      <c r="AH83" s="3005"/>
      <c r="AI83" s="3005"/>
      <c r="AJ83" s="3005"/>
      <c r="AK83" s="3005"/>
      <c r="AL83" s="3005"/>
      <c r="AM83" s="3005"/>
      <c r="AN83" s="3005"/>
      <c r="AO83" s="3005"/>
      <c r="AP83" s="3005"/>
      <c r="AQ83" s="3005"/>
      <c r="AR83" s="3005"/>
      <c r="AS83" s="3005"/>
      <c r="AT83" s="3005"/>
      <c r="AU83" s="3006"/>
      <c r="AW83" s="197"/>
      <c r="AX83" s="197"/>
    </row>
    <row r="84" spans="1:53" ht="15.75" customHeight="1" x14ac:dyDescent="0.15">
      <c r="A84" s="2"/>
      <c r="B84" s="371"/>
      <c r="C84" s="371"/>
      <c r="D84" s="371"/>
      <c r="E84" s="371"/>
      <c r="F84" s="371"/>
      <c r="G84" s="371"/>
      <c r="H84" s="371"/>
      <c r="I84" s="371"/>
      <c r="J84" s="371"/>
      <c r="K84" s="371"/>
      <c r="L84" s="371"/>
      <c r="M84" s="371"/>
      <c r="N84" s="371"/>
      <c r="O84" s="371"/>
      <c r="P84" s="371"/>
      <c r="Q84" s="371"/>
      <c r="R84" s="371"/>
      <c r="S84" s="371"/>
      <c r="T84" s="371"/>
      <c r="U84" s="371"/>
      <c r="V84" s="371"/>
      <c r="W84" s="371"/>
      <c r="X84" s="371"/>
      <c r="Y84" s="3"/>
      <c r="Z84" s="3004"/>
      <c r="AA84" s="3005"/>
      <c r="AB84" s="3005"/>
      <c r="AC84" s="3005"/>
      <c r="AD84" s="3005"/>
      <c r="AE84" s="3005"/>
      <c r="AF84" s="3005"/>
      <c r="AG84" s="3005"/>
      <c r="AH84" s="3005"/>
      <c r="AI84" s="3005"/>
      <c r="AJ84" s="3005"/>
      <c r="AK84" s="3005"/>
      <c r="AL84" s="3005"/>
      <c r="AM84" s="3005"/>
      <c r="AN84" s="3005"/>
      <c r="AO84" s="3005"/>
      <c r="AP84" s="3005"/>
      <c r="AQ84" s="3005"/>
      <c r="AR84" s="3005"/>
      <c r="AS84" s="3005"/>
      <c r="AT84" s="3005"/>
      <c r="AU84" s="3006"/>
      <c r="AW84" s="197"/>
      <c r="AX84" s="197"/>
    </row>
    <row r="85" spans="1:53" ht="15.75" customHeight="1" x14ac:dyDescent="0.15">
      <c r="A85" s="2"/>
      <c r="B85" s="371"/>
      <c r="C85" s="371"/>
      <c r="D85" s="371"/>
      <c r="E85" s="371"/>
      <c r="F85" s="371"/>
      <c r="G85" s="371"/>
      <c r="H85" s="371"/>
      <c r="I85" s="371"/>
      <c r="J85" s="371"/>
      <c r="K85" s="371"/>
      <c r="L85" s="371"/>
      <c r="M85" s="371"/>
      <c r="N85" s="371"/>
      <c r="O85" s="371"/>
      <c r="P85" s="371"/>
      <c r="Q85" s="371"/>
      <c r="R85" s="371"/>
      <c r="S85" s="371"/>
      <c r="T85" s="371"/>
      <c r="U85" s="371"/>
      <c r="V85" s="371"/>
      <c r="W85" s="371"/>
      <c r="X85" s="371"/>
      <c r="Y85" s="3"/>
      <c r="Z85" s="3004"/>
      <c r="AA85" s="3005"/>
      <c r="AB85" s="3005"/>
      <c r="AC85" s="3005"/>
      <c r="AD85" s="3005"/>
      <c r="AE85" s="3005"/>
      <c r="AF85" s="3005"/>
      <c r="AG85" s="3005"/>
      <c r="AH85" s="3005"/>
      <c r="AI85" s="3005"/>
      <c r="AJ85" s="3005"/>
      <c r="AK85" s="3005"/>
      <c r="AL85" s="3005"/>
      <c r="AM85" s="3005"/>
      <c r="AN85" s="3005"/>
      <c r="AO85" s="3005"/>
      <c r="AP85" s="3005"/>
      <c r="AQ85" s="3005"/>
      <c r="AR85" s="3005"/>
      <c r="AS85" s="3005"/>
      <c r="AT85" s="3005"/>
      <c r="AU85" s="3006"/>
      <c r="AW85" s="197"/>
      <c r="AX85" s="197"/>
    </row>
    <row r="86" spans="1:53" ht="15.75" customHeight="1" x14ac:dyDescent="0.15">
      <c r="A86" s="2"/>
      <c r="B86" s="371"/>
      <c r="C86" s="371"/>
      <c r="D86" s="371"/>
      <c r="E86" s="371"/>
      <c r="F86" s="371"/>
      <c r="G86" s="371"/>
      <c r="H86" s="371"/>
      <c r="I86" s="371"/>
      <c r="J86" s="371"/>
      <c r="K86" s="371"/>
      <c r="L86" s="371"/>
      <c r="M86" s="371"/>
      <c r="N86" s="371"/>
      <c r="O86" s="371"/>
      <c r="P86" s="371"/>
      <c r="Q86" s="371"/>
      <c r="R86" s="371"/>
      <c r="S86" s="371"/>
      <c r="T86" s="371"/>
      <c r="U86" s="371"/>
      <c r="V86" s="371"/>
      <c r="W86" s="371"/>
      <c r="X86" s="371"/>
      <c r="Y86" s="3"/>
      <c r="Z86" s="3004"/>
      <c r="AA86" s="3005"/>
      <c r="AB86" s="3005"/>
      <c r="AC86" s="3005"/>
      <c r="AD86" s="3005"/>
      <c r="AE86" s="3005"/>
      <c r="AF86" s="3005"/>
      <c r="AG86" s="3005"/>
      <c r="AH86" s="3005"/>
      <c r="AI86" s="3005"/>
      <c r="AJ86" s="3005"/>
      <c r="AK86" s="3005"/>
      <c r="AL86" s="3005"/>
      <c r="AM86" s="3005"/>
      <c r="AN86" s="3005"/>
      <c r="AO86" s="3005"/>
      <c r="AP86" s="3005"/>
      <c r="AQ86" s="3005"/>
      <c r="AR86" s="3005"/>
      <c r="AS86" s="3005"/>
      <c r="AT86" s="3005"/>
      <c r="AU86" s="3006"/>
      <c r="AW86" s="197"/>
      <c r="AX86" s="197"/>
    </row>
    <row r="87" spans="1:53" ht="15.75" customHeight="1" x14ac:dyDescent="0.15">
      <c r="A87" s="2"/>
      <c r="B87" s="371"/>
      <c r="C87" s="371"/>
      <c r="D87" s="371"/>
      <c r="E87" s="371"/>
      <c r="F87" s="371"/>
      <c r="G87" s="371"/>
      <c r="H87" s="371"/>
      <c r="I87" s="371"/>
      <c r="J87" s="371"/>
      <c r="K87" s="371"/>
      <c r="L87" s="371"/>
      <c r="M87" s="371"/>
      <c r="N87" s="371"/>
      <c r="O87" s="371"/>
      <c r="P87" s="371"/>
      <c r="Q87" s="371"/>
      <c r="R87" s="371"/>
      <c r="S87" s="371"/>
      <c r="T87" s="371"/>
      <c r="U87" s="371"/>
      <c r="V87" s="371"/>
      <c r="W87" s="371"/>
      <c r="X87" s="371"/>
      <c r="Y87" s="3"/>
      <c r="Z87" s="3004"/>
      <c r="AA87" s="3005"/>
      <c r="AB87" s="3005"/>
      <c r="AC87" s="3005"/>
      <c r="AD87" s="3005"/>
      <c r="AE87" s="3005"/>
      <c r="AF87" s="3005"/>
      <c r="AG87" s="3005"/>
      <c r="AH87" s="3005"/>
      <c r="AI87" s="3005"/>
      <c r="AJ87" s="3005"/>
      <c r="AK87" s="3005"/>
      <c r="AL87" s="3005"/>
      <c r="AM87" s="3005"/>
      <c r="AN87" s="3005"/>
      <c r="AO87" s="3005"/>
      <c r="AP87" s="3005"/>
      <c r="AQ87" s="3005"/>
      <c r="AR87" s="3005"/>
      <c r="AS87" s="3005"/>
      <c r="AT87" s="3005"/>
      <c r="AU87" s="3006"/>
      <c r="AW87" s="197"/>
      <c r="AX87" s="197"/>
    </row>
    <row r="88" spans="1:53" ht="15.75" customHeight="1" x14ac:dyDescent="0.15">
      <c r="A88" s="2"/>
      <c r="B88" s="371"/>
      <c r="C88" s="371"/>
      <c r="D88" s="371"/>
      <c r="E88" s="371"/>
      <c r="F88" s="371"/>
      <c r="G88" s="371"/>
      <c r="H88" s="371"/>
      <c r="I88" s="371"/>
      <c r="J88" s="371"/>
      <c r="K88" s="371"/>
      <c r="L88" s="371"/>
      <c r="M88" s="371"/>
      <c r="N88" s="371"/>
      <c r="O88" s="371"/>
      <c r="P88" s="371"/>
      <c r="Q88" s="371"/>
      <c r="R88" s="371"/>
      <c r="S88" s="371"/>
      <c r="T88" s="371"/>
      <c r="U88" s="371"/>
      <c r="V88" s="371"/>
      <c r="W88" s="371"/>
      <c r="X88" s="371"/>
      <c r="Y88" s="3"/>
      <c r="Z88" s="3004"/>
      <c r="AA88" s="3005"/>
      <c r="AB88" s="3005"/>
      <c r="AC88" s="3005"/>
      <c r="AD88" s="3005"/>
      <c r="AE88" s="3005"/>
      <c r="AF88" s="3005"/>
      <c r="AG88" s="3005"/>
      <c r="AH88" s="3005"/>
      <c r="AI88" s="3005"/>
      <c r="AJ88" s="3005"/>
      <c r="AK88" s="3005"/>
      <c r="AL88" s="3005"/>
      <c r="AM88" s="3005"/>
      <c r="AN88" s="3005"/>
      <c r="AO88" s="3005"/>
      <c r="AP88" s="3005"/>
      <c r="AQ88" s="3005"/>
      <c r="AR88" s="3005"/>
      <c r="AS88" s="3005"/>
      <c r="AT88" s="3005"/>
      <c r="AU88" s="3006"/>
      <c r="AW88" s="197"/>
      <c r="AX88" s="197"/>
    </row>
    <row r="89" spans="1:53" ht="15.75" customHeight="1" x14ac:dyDescent="0.15">
      <c r="A89" s="2"/>
      <c r="B89" s="371"/>
      <c r="C89" s="371"/>
      <c r="D89" s="371"/>
      <c r="E89" s="371"/>
      <c r="F89" s="371"/>
      <c r="G89" s="371"/>
      <c r="H89" s="371"/>
      <c r="I89" s="371"/>
      <c r="J89" s="371"/>
      <c r="K89" s="371"/>
      <c r="L89" s="371"/>
      <c r="M89" s="371"/>
      <c r="N89" s="371"/>
      <c r="O89" s="371"/>
      <c r="P89" s="371"/>
      <c r="Q89" s="371"/>
      <c r="R89" s="371"/>
      <c r="S89" s="371"/>
      <c r="T89" s="371"/>
      <c r="U89" s="371"/>
      <c r="V89" s="371"/>
      <c r="W89" s="371"/>
      <c r="X89" s="371"/>
      <c r="Y89" s="3"/>
      <c r="Z89" s="3004"/>
      <c r="AA89" s="3005"/>
      <c r="AB89" s="3005"/>
      <c r="AC89" s="3005"/>
      <c r="AD89" s="3005"/>
      <c r="AE89" s="3005"/>
      <c r="AF89" s="3005"/>
      <c r="AG89" s="3005"/>
      <c r="AH89" s="3005"/>
      <c r="AI89" s="3005"/>
      <c r="AJ89" s="3005"/>
      <c r="AK89" s="3005"/>
      <c r="AL89" s="3005"/>
      <c r="AM89" s="3005"/>
      <c r="AN89" s="3005"/>
      <c r="AO89" s="3005"/>
      <c r="AP89" s="3005"/>
      <c r="AQ89" s="3005"/>
      <c r="AR89" s="3005"/>
      <c r="AS89" s="3005"/>
      <c r="AT89" s="3005"/>
      <c r="AU89" s="3006"/>
      <c r="AW89" s="197"/>
      <c r="AX89" s="197"/>
    </row>
    <row r="90" spans="1:53" ht="15.75" customHeight="1" x14ac:dyDescent="0.15">
      <c r="A90" s="6"/>
      <c r="B90" s="4"/>
      <c r="C90" s="4"/>
      <c r="D90" s="4"/>
      <c r="E90" s="4"/>
      <c r="F90" s="4"/>
      <c r="G90" s="4"/>
      <c r="H90" s="4"/>
      <c r="I90" s="4"/>
      <c r="J90" s="4"/>
      <c r="K90" s="4"/>
      <c r="L90" s="4"/>
      <c r="M90" s="4"/>
      <c r="N90" s="4"/>
      <c r="O90" s="4"/>
      <c r="P90" s="4"/>
      <c r="Q90" s="4"/>
      <c r="R90" s="4"/>
      <c r="S90" s="4"/>
      <c r="T90" s="4"/>
      <c r="U90" s="4"/>
      <c r="V90" s="4"/>
      <c r="W90" s="4"/>
      <c r="X90" s="4"/>
      <c r="Y90" s="5"/>
      <c r="Z90" s="3007"/>
      <c r="AA90" s="3008"/>
      <c r="AB90" s="3008"/>
      <c r="AC90" s="3008"/>
      <c r="AD90" s="3008"/>
      <c r="AE90" s="3008"/>
      <c r="AF90" s="3008"/>
      <c r="AG90" s="3008"/>
      <c r="AH90" s="3008"/>
      <c r="AI90" s="3008"/>
      <c r="AJ90" s="3008"/>
      <c r="AK90" s="3008"/>
      <c r="AL90" s="3008"/>
      <c r="AM90" s="3008"/>
      <c r="AN90" s="3008"/>
      <c r="AO90" s="3008"/>
      <c r="AP90" s="3008"/>
      <c r="AQ90" s="3008"/>
      <c r="AR90" s="3008"/>
      <c r="AS90" s="3008"/>
      <c r="AT90" s="3008"/>
      <c r="AU90" s="3009"/>
      <c r="AW90" s="197"/>
      <c r="AX90" s="197"/>
    </row>
    <row r="91" spans="1:53" ht="12.75" customHeight="1" x14ac:dyDescent="0.15">
      <c r="AW91" s="197"/>
      <c r="AX91" s="197"/>
    </row>
    <row r="92" spans="1:53" ht="15.75" customHeight="1" x14ac:dyDescent="0.15">
      <c r="A92" s="3018" t="s">
        <v>154</v>
      </c>
      <c r="B92" s="3019"/>
      <c r="C92" s="3020"/>
      <c r="D92" s="3037" t="s">
        <v>155</v>
      </c>
      <c r="E92" s="3038"/>
      <c r="F92" s="3038"/>
      <c r="G92" s="3038"/>
      <c r="H92" s="3038"/>
      <c r="I92" s="3038"/>
      <c r="J92" s="3039"/>
      <c r="K92" s="344"/>
      <c r="L92" s="341"/>
      <c r="M92" s="341"/>
      <c r="N92" s="341"/>
      <c r="O92" s="341"/>
      <c r="P92" s="341"/>
      <c r="Q92" s="341"/>
      <c r="R92" s="341"/>
      <c r="S92" s="342" t="s">
        <v>7</v>
      </c>
      <c r="T92" s="342" t="s">
        <v>8</v>
      </c>
      <c r="U92" s="342" t="s">
        <v>9</v>
      </c>
      <c r="V92" s="342" t="s">
        <v>156</v>
      </c>
      <c r="W92" s="342"/>
      <c r="X92" s="342"/>
      <c r="Y92" s="342"/>
      <c r="Z92" s="342"/>
      <c r="AA92" s="342"/>
      <c r="AB92" s="342"/>
      <c r="AC92" s="342"/>
      <c r="AD92" s="342"/>
      <c r="AE92" s="342"/>
      <c r="AF92" s="342"/>
      <c r="AG92" s="342"/>
      <c r="AH92" s="342"/>
      <c r="AI92" s="343"/>
      <c r="AJ92" s="344"/>
      <c r="AK92" s="3038" t="s">
        <v>33</v>
      </c>
      <c r="AL92" s="3038"/>
      <c r="AM92" s="3038"/>
      <c r="AN92" s="3038"/>
      <c r="AO92" s="3038"/>
      <c r="AP92" s="3038"/>
      <c r="AQ92" s="3038"/>
      <c r="AR92" s="3038"/>
      <c r="AS92" s="3038"/>
      <c r="AT92" s="3038"/>
      <c r="AU92" s="345"/>
      <c r="AW92" s="197"/>
      <c r="AX92" s="197"/>
    </row>
    <row r="93" spans="1:53" ht="15.75" customHeight="1" thickBot="1" x14ac:dyDescent="0.2">
      <c r="A93" s="3031"/>
      <c r="B93" s="3032"/>
      <c r="C93" s="3033"/>
      <c r="D93" s="3018" t="str">
        <f>IFERROR(VLOOKUP(4,'1_入力シート【基本情報】'!$DU$319:$DX$534,3,FALSE),"")</f>
        <v/>
      </c>
      <c r="E93" s="3019"/>
      <c r="F93" s="3019"/>
      <c r="G93" s="3019"/>
      <c r="H93" s="3019"/>
      <c r="I93" s="3019"/>
      <c r="J93" s="3020"/>
      <c r="K93" s="2995" t="str">
        <f>IFERROR(VLOOKUP(4,'1_入力シート【基本情報】'!$DU$319:$DX$534,4,FALSE),"")</f>
        <v/>
      </c>
      <c r="L93" s="2996"/>
      <c r="M93" s="2996"/>
      <c r="N93" s="2996"/>
      <c r="O93" s="2996"/>
      <c r="P93" s="2996"/>
      <c r="Q93" s="2996"/>
      <c r="R93" s="2996"/>
      <c r="S93" s="2996"/>
      <c r="T93" s="2996"/>
      <c r="U93" s="2996"/>
      <c r="V93" s="2996"/>
      <c r="W93" s="2996"/>
      <c r="X93" s="2996"/>
      <c r="Y93" s="2996"/>
      <c r="Z93" s="2996"/>
      <c r="AA93" s="2996"/>
      <c r="AB93" s="2996"/>
      <c r="AC93" s="2996"/>
      <c r="AD93" s="2996"/>
      <c r="AE93" s="2996"/>
      <c r="AF93" s="2996"/>
      <c r="AG93" s="2996"/>
      <c r="AH93" s="2996"/>
      <c r="AI93" s="2997"/>
      <c r="AJ93" s="367"/>
      <c r="AK93" s="367"/>
      <c r="AL93" s="367"/>
      <c r="AM93" s="367"/>
      <c r="AN93" s="367"/>
      <c r="AO93" s="367"/>
      <c r="AP93" s="367"/>
      <c r="AQ93" s="367"/>
      <c r="AR93" s="367"/>
      <c r="AS93" s="367"/>
      <c r="AT93" s="367"/>
      <c r="AU93" s="368"/>
      <c r="AW93" s="197"/>
      <c r="AX93" s="197"/>
    </row>
    <row r="94" spans="1:53" ht="15.75" customHeight="1" thickBot="1" x14ac:dyDescent="0.2">
      <c r="A94" s="3031"/>
      <c r="B94" s="3032"/>
      <c r="C94" s="3033"/>
      <c r="D94" s="3021"/>
      <c r="E94" s="3022"/>
      <c r="F94" s="3022"/>
      <c r="G94" s="3022"/>
      <c r="H94" s="3022"/>
      <c r="I94" s="3022"/>
      <c r="J94" s="3023"/>
      <c r="K94" s="2998"/>
      <c r="L94" s="2999"/>
      <c r="M94" s="2999"/>
      <c r="N94" s="2999"/>
      <c r="O94" s="2999"/>
      <c r="P94" s="2999"/>
      <c r="Q94" s="2999"/>
      <c r="R94" s="2999"/>
      <c r="S94" s="2999"/>
      <c r="T94" s="2999"/>
      <c r="U94" s="2999"/>
      <c r="V94" s="2999"/>
      <c r="W94" s="2999"/>
      <c r="X94" s="2999"/>
      <c r="Y94" s="2999"/>
      <c r="Z94" s="2999"/>
      <c r="AA94" s="2999"/>
      <c r="AB94" s="2999"/>
      <c r="AC94" s="2999"/>
      <c r="AD94" s="2999"/>
      <c r="AE94" s="2999"/>
      <c r="AF94" s="2999"/>
      <c r="AG94" s="2999"/>
      <c r="AH94" s="2999"/>
      <c r="AI94" s="3000"/>
      <c r="AJ94" s="367"/>
      <c r="AK94" s="367" t="str">
        <f>IF(D93&lt;&gt;"","☑","☐")</f>
        <v>☐</v>
      </c>
      <c r="AL94" s="367" t="s">
        <v>14</v>
      </c>
      <c r="AM94" s="367" t="s">
        <v>21</v>
      </c>
      <c r="AN94" s="367" t="s">
        <v>15</v>
      </c>
      <c r="AO94" s="367"/>
      <c r="AP94" s="426" t="s">
        <v>179</v>
      </c>
      <c r="AQ94" s="367" t="s">
        <v>27</v>
      </c>
      <c r="AR94" s="367" t="s">
        <v>23</v>
      </c>
      <c r="AS94" s="367" t="s">
        <v>13</v>
      </c>
      <c r="AT94" s="367"/>
      <c r="AU94" s="368"/>
      <c r="AW94" s="197"/>
      <c r="AX94" s="197"/>
      <c r="BA94" s="430" t="b">
        <f>AP94="☑"</f>
        <v>0</v>
      </c>
    </row>
    <row r="95" spans="1:53" ht="15.75" customHeight="1" x14ac:dyDescent="0.15">
      <c r="A95" s="3034"/>
      <c r="B95" s="3035"/>
      <c r="C95" s="3036"/>
      <c r="D95" s="3024"/>
      <c r="E95" s="3025"/>
      <c r="F95" s="3025"/>
      <c r="G95" s="3025"/>
      <c r="H95" s="3025"/>
      <c r="I95" s="3025"/>
      <c r="J95" s="3026"/>
      <c r="K95" s="3028"/>
      <c r="L95" s="3029"/>
      <c r="M95" s="3029"/>
      <c r="N95" s="3029"/>
      <c r="O95" s="3029"/>
      <c r="P95" s="3029"/>
      <c r="Q95" s="3029"/>
      <c r="R95" s="3029"/>
      <c r="S95" s="3029"/>
      <c r="T95" s="3029"/>
      <c r="U95" s="3029"/>
      <c r="V95" s="3029"/>
      <c r="W95" s="3029"/>
      <c r="X95" s="3029"/>
      <c r="Y95" s="3029"/>
      <c r="Z95" s="3029"/>
      <c r="AA95" s="3029"/>
      <c r="AB95" s="3029"/>
      <c r="AC95" s="3029"/>
      <c r="AD95" s="3029"/>
      <c r="AE95" s="3029"/>
      <c r="AF95" s="3029"/>
      <c r="AG95" s="3029"/>
      <c r="AH95" s="3029"/>
      <c r="AI95" s="3030"/>
      <c r="AJ95" s="369"/>
      <c r="AK95" s="369"/>
      <c r="AL95" s="369"/>
      <c r="AM95" s="369"/>
      <c r="AN95" s="369"/>
      <c r="AO95" s="369"/>
      <c r="AP95" s="369"/>
      <c r="AQ95" s="369"/>
      <c r="AR95" s="369"/>
      <c r="AS95" s="369"/>
      <c r="AT95" s="369"/>
      <c r="AU95" s="370"/>
      <c r="AW95" s="197"/>
      <c r="AX95" s="197"/>
    </row>
    <row r="96" spans="1:53" ht="15.75" customHeight="1" x14ac:dyDescent="0.15">
      <c r="A96" s="2"/>
      <c r="B96" s="335"/>
      <c r="C96" s="335"/>
      <c r="D96" s="335"/>
      <c r="E96" s="335"/>
      <c r="F96" s="335"/>
      <c r="G96" s="335"/>
      <c r="H96" s="335"/>
      <c r="I96" s="335"/>
      <c r="J96" s="335"/>
      <c r="K96" s="335"/>
      <c r="L96" s="335"/>
      <c r="M96" s="335"/>
      <c r="N96" s="335"/>
      <c r="O96" s="335"/>
      <c r="P96" s="335"/>
      <c r="Q96" s="335"/>
      <c r="R96" s="335"/>
      <c r="S96" s="335"/>
      <c r="T96" s="335"/>
      <c r="U96" s="335"/>
      <c r="V96" s="335"/>
      <c r="W96" s="335"/>
      <c r="X96" s="335"/>
      <c r="Y96" s="3"/>
      <c r="Z96" s="47"/>
      <c r="AA96" s="48" t="s">
        <v>11</v>
      </c>
      <c r="AB96" s="48" t="s">
        <v>10</v>
      </c>
      <c r="AC96" s="48" t="s">
        <v>16</v>
      </c>
      <c r="AD96" s="48" t="s">
        <v>9</v>
      </c>
      <c r="AE96" s="48"/>
      <c r="AF96" s="48"/>
      <c r="AG96" s="48"/>
      <c r="AH96" s="48"/>
      <c r="AI96" s="48"/>
      <c r="AJ96" s="49"/>
      <c r="AK96" s="49"/>
      <c r="AL96" s="49"/>
      <c r="AM96" s="49"/>
      <c r="AN96" s="49"/>
      <c r="AO96" s="49"/>
      <c r="AP96" s="49"/>
      <c r="AQ96" s="49"/>
      <c r="AR96" s="49"/>
      <c r="AS96" s="49"/>
      <c r="AT96" s="49"/>
      <c r="AU96" s="334"/>
      <c r="AW96" s="197"/>
      <c r="AX96" s="197"/>
    </row>
    <row r="97" spans="1:50" ht="15.75" customHeight="1" x14ac:dyDescent="0.15">
      <c r="A97" s="2"/>
      <c r="B97" s="335"/>
      <c r="C97" s="335"/>
      <c r="D97" s="335"/>
      <c r="E97" s="335"/>
      <c r="F97" s="335"/>
      <c r="G97" s="335"/>
      <c r="H97" s="335"/>
      <c r="I97" s="335"/>
      <c r="J97" s="335"/>
      <c r="K97" s="335"/>
      <c r="L97" s="335"/>
      <c r="M97" s="335"/>
      <c r="N97" s="335"/>
      <c r="O97" s="335"/>
      <c r="P97" s="335"/>
      <c r="Q97" s="335"/>
      <c r="R97" s="335"/>
      <c r="S97" s="335"/>
      <c r="T97" s="335"/>
      <c r="U97" s="335"/>
      <c r="V97" s="335"/>
      <c r="W97" s="335"/>
      <c r="X97" s="335"/>
      <c r="Y97" s="3"/>
      <c r="Z97" s="3010"/>
      <c r="AA97" s="3011"/>
      <c r="AB97" s="3011"/>
      <c r="AC97" s="3011"/>
      <c r="AD97" s="3011"/>
      <c r="AE97" s="3011"/>
      <c r="AF97" s="3011"/>
      <c r="AG97" s="3011"/>
      <c r="AH97" s="3011"/>
      <c r="AI97" s="3011"/>
      <c r="AJ97" s="3011"/>
      <c r="AK97" s="3011"/>
      <c r="AL97" s="3011"/>
      <c r="AM97" s="3011"/>
      <c r="AN97" s="3011"/>
      <c r="AO97" s="104"/>
      <c r="AP97" s="104"/>
      <c r="AQ97" s="104"/>
      <c r="AR97" s="104"/>
      <c r="AS97" s="104"/>
      <c r="AT97" s="104"/>
      <c r="AU97" s="105"/>
      <c r="AW97" s="197"/>
      <c r="AX97" s="197"/>
    </row>
    <row r="98" spans="1:50" ht="15.75" customHeight="1" x14ac:dyDescent="0.15">
      <c r="A98" s="2"/>
      <c r="B98" s="335"/>
      <c r="C98" s="335"/>
      <c r="D98" s="335"/>
      <c r="E98" s="335"/>
      <c r="F98" s="335"/>
      <c r="G98" s="335"/>
      <c r="H98" s="335"/>
      <c r="I98" s="335"/>
      <c r="J98" s="335"/>
      <c r="K98" s="335"/>
      <c r="L98" s="335"/>
      <c r="M98" s="335"/>
      <c r="N98" s="335"/>
      <c r="O98" s="335"/>
      <c r="P98" s="335"/>
      <c r="Q98" s="335"/>
      <c r="R98" s="335"/>
      <c r="S98" s="335"/>
      <c r="T98" s="335"/>
      <c r="U98" s="335"/>
      <c r="V98" s="335"/>
      <c r="W98" s="335"/>
      <c r="X98" s="335"/>
      <c r="Y98" s="3"/>
      <c r="Z98" s="2995" t="str">
        <f>IFERROR(VLOOKUP(4,'1_入力シート【基本情報】'!$DU$319:$DZ$534,5,FALSE),"")</f>
        <v/>
      </c>
      <c r="AA98" s="2996"/>
      <c r="AB98" s="2996"/>
      <c r="AC98" s="2996"/>
      <c r="AD98" s="2996"/>
      <c r="AE98" s="2996"/>
      <c r="AF98" s="2996"/>
      <c r="AG98" s="2996"/>
      <c r="AH98" s="2996"/>
      <c r="AI98" s="2996"/>
      <c r="AJ98" s="2996"/>
      <c r="AK98" s="2996"/>
      <c r="AL98" s="2996"/>
      <c r="AM98" s="2996"/>
      <c r="AN98" s="2996"/>
      <c r="AO98" s="2996"/>
      <c r="AP98" s="2996"/>
      <c r="AQ98" s="2996"/>
      <c r="AR98" s="2996"/>
      <c r="AS98" s="2996"/>
      <c r="AT98" s="2996"/>
      <c r="AU98" s="2997"/>
      <c r="AW98" s="197"/>
      <c r="AX98" s="197"/>
    </row>
    <row r="99" spans="1:50" ht="15.75" customHeight="1" x14ac:dyDescent="0.15">
      <c r="A99" s="2"/>
      <c r="B99" s="335"/>
      <c r="C99" s="335"/>
      <c r="D99" s="335"/>
      <c r="E99" s="335"/>
      <c r="F99" s="335"/>
      <c r="G99" s="335"/>
      <c r="H99" s="335"/>
      <c r="I99" s="335"/>
      <c r="J99" s="335"/>
      <c r="K99" s="335"/>
      <c r="L99" s="335"/>
      <c r="M99" s="335"/>
      <c r="N99" s="335"/>
      <c r="O99" s="335"/>
      <c r="P99" s="335"/>
      <c r="Q99" s="335"/>
      <c r="R99" s="335"/>
      <c r="S99" s="335"/>
      <c r="T99" s="335"/>
      <c r="U99" s="335"/>
      <c r="V99" s="335"/>
      <c r="W99" s="335"/>
      <c r="X99" s="335"/>
      <c r="Y99" s="3"/>
      <c r="Z99" s="2998"/>
      <c r="AA99" s="2999"/>
      <c r="AB99" s="2999"/>
      <c r="AC99" s="2999"/>
      <c r="AD99" s="2999"/>
      <c r="AE99" s="2999"/>
      <c r="AF99" s="2999"/>
      <c r="AG99" s="2999"/>
      <c r="AH99" s="2999"/>
      <c r="AI99" s="2999"/>
      <c r="AJ99" s="2999"/>
      <c r="AK99" s="2999"/>
      <c r="AL99" s="2999"/>
      <c r="AM99" s="2999"/>
      <c r="AN99" s="2999"/>
      <c r="AO99" s="2999"/>
      <c r="AP99" s="2999"/>
      <c r="AQ99" s="2999"/>
      <c r="AR99" s="2999"/>
      <c r="AS99" s="2999"/>
      <c r="AT99" s="2999"/>
      <c r="AU99" s="3000"/>
      <c r="AW99" s="197"/>
      <c r="AX99" s="197"/>
    </row>
    <row r="100" spans="1:50" ht="15.75" customHeight="1" x14ac:dyDescent="0.15">
      <c r="A100" s="2"/>
      <c r="B100" s="335"/>
      <c r="C100" s="335"/>
      <c r="D100" s="335"/>
      <c r="E100" s="335"/>
      <c r="F100" s="335"/>
      <c r="G100" s="335"/>
      <c r="H100" s="335"/>
      <c r="I100" s="335"/>
      <c r="J100" s="335"/>
      <c r="K100" s="335"/>
      <c r="L100" s="335"/>
      <c r="M100" s="335"/>
      <c r="N100" s="335"/>
      <c r="O100" s="335"/>
      <c r="P100" s="335"/>
      <c r="Q100" s="335"/>
      <c r="R100" s="335"/>
      <c r="S100" s="335"/>
      <c r="T100" s="335"/>
      <c r="U100" s="335"/>
      <c r="V100" s="335"/>
      <c r="W100" s="335"/>
      <c r="X100" s="335"/>
      <c r="Y100" s="3"/>
      <c r="Z100" s="3001"/>
      <c r="AA100" s="3002"/>
      <c r="AB100" s="3002"/>
      <c r="AC100" s="3002"/>
      <c r="AD100" s="3002"/>
      <c r="AE100" s="3002"/>
      <c r="AF100" s="3002"/>
      <c r="AG100" s="3002"/>
      <c r="AH100" s="3002"/>
      <c r="AI100" s="3002"/>
      <c r="AJ100" s="3002"/>
      <c r="AK100" s="3002"/>
      <c r="AL100" s="3002"/>
      <c r="AM100" s="3002"/>
      <c r="AN100" s="3002"/>
      <c r="AO100" s="3002"/>
      <c r="AP100" s="3002"/>
      <c r="AQ100" s="3002"/>
      <c r="AR100" s="3002"/>
      <c r="AS100" s="3002"/>
      <c r="AT100" s="3002"/>
      <c r="AU100" s="3003"/>
      <c r="AW100" s="197"/>
      <c r="AX100" s="197"/>
    </row>
    <row r="101" spans="1:50" ht="15.75" customHeight="1" x14ac:dyDescent="0.15">
      <c r="A101" s="2"/>
      <c r="B101" s="371"/>
      <c r="C101" s="371"/>
      <c r="D101" s="371"/>
      <c r="E101" s="371"/>
      <c r="F101" s="371"/>
      <c r="G101" s="371"/>
      <c r="H101" s="371"/>
      <c r="I101" s="371"/>
      <c r="J101" s="371"/>
      <c r="K101" s="371"/>
      <c r="L101" s="371"/>
      <c r="M101" s="371"/>
      <c r="N101" s="371"/>
      <c r="O101" s="371"/>
      <c r="P101" s="371"/>
      <c r="Q101" s="371"/>
      <c r="R101" s="371"/>
      <c r="S101" s="371"/>
      <c r="T101" s="371"/>
      <c r="U101" s="371"/>
      <c r="V101" s="371"/>
      <c r="W101" s="371"/>
      <c r="X101" s="371"/>
      <c r="Y101" s="3"/>
      <c r="Z101" s="3004"/>
      <c r="AA101" s="3005"/>
      <c r="AB101" s="3005"/>
      <c r="AC101" s="3005"/>
      <c r="AD101" s="3005"/>
      <c r="AE101" s="3005"/>
      <c r="AF101" s="3005"/>
      <c r="AG101" s="3005"/>
      <c r="AH101" s="3005"/>
      <c r="AI101" s="3005"/>
      <c r="AJ101" s="3005"/>
      <c r="AK101" s="3005"/>
      <c r="AL101" s="3005"/>
      <c r="AM101" s="3005"/>
      <c r="AN101" s="3005"/>
      <c r="AO101" s="3005"/>
      <c r="AP101" s="3005"/>
      <c r="AQ101" s="3005"/>
      <c r="AR101" s="3005"/>
      <c r="AS101" s="3005"/>
      <c r="AT101" s="3005"/>
      <c r="AU101" s="3006"/>
      <c r="AW101" s="197"/>
      <c r="AX101" s="197"/>
    </row>
    <row r="102" spans="1:50" ht="15.75" customHeight="1" x14ac:dyDescent="0.15">
      <c r="A102" s="2"/>
      <c r="B102" s="371"/>
      <c r="C102" s="371"/>
      <c r="D102" s="371"/>
      <c r="E102" s="371"/>
      <c r="F102" s="371"/>
      <c r="G102" s="371"/>
      <c r="H102" s="371"/>
      <c r="I102" s="371"/>
      <c r="J102" s="371"/>
      <c r="K102" s="371"/>
      <c r="L102" s="371"/>
      <c r="M102" s="371"/>
      <c r="N102" s="371"/>
      <c r="O102" s="371"/>
      <c r="P102" s="371"/>
      <c r="Q102" s="371"/>
      <c r="R102" s="371"/>
      <c r="S102" s="371"/>
      <c r="T102" s="371"/>
      <c r="U102" s="371"/>
      <c r="V102" s="371"/>
      <c r="W102" s="371"/>
      <c r="X102" s="371"/>
      <c r="Y102" s="3"/>
      <c r="Z102" s="3004"/>
      <c r="AA102" s="3005"/>
      <c r="AB102" s="3005"/>
      <c r="AC102" s="3005"/>
      <c r="AD102" s="3005"/>
      <c r="AE102" s="3005"/>
      <c r="AF102" s="3005"/>
      <c r="AG102" s="3005"/>
      <c r="AH102" s="3005"/>
      <c r="AI102" s="3005"/>
      <c r="AJ102" s="3005"/>
      <c r="AK102" s="3005"/>
      <c r="AL102" s="3005"/>
      <c r="AM102" s="3005"/>
      <c r="AN102" s="3005"/>
      <c r="AO102" s="3005"/>
      <c r="AP102" s="3005"/>
      <c r="AQ102" s="3005"/>
      <c r="AR102" s="3005"/>
      <c r="AS102" s="3005"/>
      <c r="AT102" s="3005"/>
      <c r="AU102" s="3006"/>
      <c r="AW102" s="197"/>
      <c r="AX102" s="197"/>
    </row>
    <row r="103" spans="1:50" ht="15.75" customHeight="1" x14ac:dyDescent="0.15">
      <c r="A103" s="2"/>
      <c r="B103" s="371"/>
      <c r="C103" s="371"/>
      <c r="D103" s="371"/>
      <c r="E103" s="371"/>
      <c r="F103" s="371"/>
      <c r="G103" s="371"/>
      <c r="H103" s="371"/>
      <c r="I103" s="371"/>
      <c r="J103" s="371"/>
      <c r="K103" s="371"/>
      <c r="L103" s="371"/>
      <c r="M103" s="371"/>
      <c r="N103" s="371"/>
      <c r="O103" s="371"/>
      <c r="P103" s="371"/>
      <c r="Q103" s="371"/>
      <c r="R103" s="371"/>
      <c r="S103" s="371"/>
      <c r="T103" s="371"/>
      <c r="U103" s="371"/>
      <c r="V103" s="371"/>
      <c r="W103" s="371"/>
      <c r="X103" s="371"/>
      <c r="Y103" s="3"/>
      <c r="Z103" s="3004"/>
      <c r="AA103" s="3005"/>
      <c r="AB103" s="3005"/>
      <c r="AC103" s="3005"/>
      <c r="AD103" s="3005"/>
      <c r="AE103" s="3005"/>
      <c r="AF103" s="3005"/>
      <c r="AG103" s="3005"/>
      <c r="AH103" s="3005"/>
      <c r="AI103" s="3005"/>
      <c r="AJ103" s="3005"/>
      <c r="AK103" s="3005"/>
      <c r="AL103" s="3005"/>
      <c r="AM103" s="3005"/>
      <c r="AN103" s="3005"/>
      <c r="AO103" s="3005"/>
      <c r="AP103" s="3005"/>
      <c r="AQ103" s="3005"/>
      <c r="AR103" s="3005"/>
      <c r="AS103" s="3005"/>
      <c r="AT103" s="3005"/>
      <c r="AU103" s="3006"/>
      <c r="AW103" s="197"/>
      <c r="AX103" s="197"/>
    </row>
    <row r="104" spans="1:50" ht="15.75" customHeight="1" x14ac:dyDescent="0.15">
      <c r="A104" s="2"/>
      <c r="B104" s="371"/>
      <c r="C104" s="371"/>
      <c r="D104" s="371"/>
      <c r="E104" s="371"/>
      <c r="F104" s="371"/>
      <c r="G104" s="371"/>
      <c r="H104" s="371"/>
      <c r="I104" s="371"/>
      <c r="J104" s="371"/>
      <c r="K104" s="3013" t="s">
        <v>157</v>
      </c>
      <c r="L104" s="3013"/>
      <c r="M104" s="3013"/>
      <c r="N104" s="3013"/>
      <c r="O104" s="3013"/>
      <c r="P104" s="3013"/>
      <c r="Q104" s="371"/>
      <c r="R104" s="371"/>
      <c r="S104" s="371"/>
      <c r="T104" s="371"/>
      <c r="U104" s="371"/>
      <c r="V104" s="371"/>
      <c r="W104" s="371"/>
      <c r="X104" s="371"/>
      <c r="Y104" s="3"/>
      <c r="Z104" s="3004"/>
      <c r="AA104" s="3005"/>
      <c r="AB104" s="3005"/>
      <c r="AC104" s="3005"/>
      <c r="AD104" s="3005"/>
      <c r="AE104" s="3005"/>
      <c r="AF104" s="3005"/>
      <c r="AG104" s="3005"/>
      <c r="AH104" s="3005"/>
      <c r="AI104" s="3005"/>
      <c r="AJ104" s="3005"/>
      <c r="AK104" s="3005"/>
      <c r="AL104" s="3005"/>
      <c r="AM104" s="3005"/>
      <c r="AN104" s="3005"/>
      <c r="AO104" s="3005"/>
      <c r="AP104" s="3005"/>
      <c r="AQ104" s="3005"/>
      <c r="AR104" s="3005"/>
      <c r="AS104" s="3005"/>
      <c r="AT104" s="3005"/>
      <c r="AU104" s="3006"/>
      <c r="AW104" s="197"/>
      <c r="AX104" s="197"/>
    </row>
    <row r="105" spans="1:50" ht="15.75" customHeight="1" x14ac:dyDescent="0.15">
      <c r="A105" s="2"/>
      <c r="B105" s="371"/>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
      <c r="Z105" s="3004"/>
      <c r="AA105" s="3005"/>
      <c r="AB105" s="3005"/>
      <c r="AC105" s="3005"/>
      <c r="AD105" s="3005"/>
      <c r="AE105" s="3005"/>
      <c r="AF105" s="3005"/>
      <c r="AG105" s="3005"/>
      <c r="AH105" s="3005"/>
      <c r="AI105" s="3005"/>
      <c r="AJ105" s="3005"/>
      <c r="AK105" s="3005"/>
      <c r="AL105" s="3005"/>
      <c r="AM105" s="3005"/>
      <c r="AN105" s="3005"/>
      <c r="AO105" s="3005"/>
      <c r="AP105" s="3005"/>
      <c r="AQ105" s="3005"/>
      <c r="AR105" s="3005"/>
      <c r="AS105" s="3005"/>
      <c r="AT105" s="3005"/>
      <c r="AU105" s="3006"/>
      <c r="AW105" s="197"/>
      <c r="AX105" s="197"/>
    </row>
    <row r="106" spans="1:50" ht="15.75" customHeight="1" x14ac:dyDescent="0.15">
      <c r="A106" s="2"/>
      <c r="B106" s="371"/>
      <c r="C106" s="371"/>
      <c r="D106" s="371"/>
      <c r="E106" s="371"/>
      <c r="F106" s="371"/>
      <c r="G106" s="371"/>
      <c r="H106" s="371"/>
      <c r="I106" s="371"/>
      <c r="J106" s="371"/>
      <c r="K106" s="371"/>
      <c r="L106" s="371"/>
      <c r="M106" s="371"/>
      <c r="N106" s="371"/>
      <c r="O106" s="371"/>
      <c r="P106" s="371"/>
      <c r="Q106" s="371"/>
      <c r="R106" s="371"/>
      <c r="S106" s="371"/>
      <c r="T106" s="371"/>
      <c r="U106" s="371"/>
      <c r="V106" s="371"/>
      <c r="W106" s="371"/>
      <c r="X106" s="371"/>
      <c r="Y106" s="3"/>
      <c r="Z106" s="3004"/>
      <c r="AA106" s="3005"/>
      <c r="AB106" s="3005"/>
      <c r="AC106" s="3005"/>
      <c r="AD106" s="3005"/>
      <c r="AE106" s="3005"/>
      <c r="AF106" s="3005"/>
      <c r="AG106" s="3005"/>
      <c r="AH106" s="3005"/>
      <c r="AI106" s="3005"/>
      <c r="AJ106" s="3005"/>
      <c r="AK106" s="3005"/>
      <c r="AL106" s="3005"/>
      <c r="AM106" s="3005"/>
      <c r="AN106" s="3005"/>
      <c r="AO106" s="3005"/>
      <c r="AP106" s="3005"/>
      <c r="AQ106" s="3005"/>
      <c r="AR106" s="3005"/>
      <c r="AS106" s="3005"/>
      <c r="AT106" s="3005"/>
      <c r="AU106" s="3006"/>
      <c r="AW106" s="197"/>
      <c r="AX106" s="197"/>
    </row>
    <row r="107" spans="1:50" ht="15.75" customHeight="1" x14ac:dyDescent="0.15">
      <c r="A107" s="2"/>
      <c r="B107" s="371"/>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
      <c r="Z107" s="3004"/>
      <c r="AA107" s="3005"/>
      <c r="AB107" s="3005"/>
      <c r="AC107" s="3005"/>
      <c r="AD107" s="3005"/>
      <c r="AE107" s="3005"/>
      <c r="AF107" s="3005"/>
      <c r="AG107" s="3005"/>
      <c r="AH107" s="3005"/>
      <c r="AI107" s="3005"/>
      <c r="AJ107" s="3005"/>
      <c r="AK107" s="3005"/>
      <c r="AL107" s="3005"/>
      <c r="AM107" s="3005"/>
      <c r="AN107" s="3005"/>
      <c r="AO107" s="3005"/>
      <c r="AP107" s="3005"/>
      <c r="AQ107" s="3005"/>
      <c r="AR107" s="3005"/>
      <c r="AS107" s="3005"/>
      <c r="AT107" s="3005"/>
      <c r="AU107" s="3006"/>
      <c r="AW107" s="197"/>
      <c r="AX107" s="197"/>
    </row>
    <row r="108" spans="1:50" ht="15.75" customHeight="1" x14ac:dyDescent="0.15">
      <c r="A108" s="2"/>
      <c r="B108" s="371"/>
      <c r="C108" s="371"/>
      <c r="D108" s="371"/>
      <c r="E108" s="371"/>
      <c r="F108" s="371"/>
      <c r="G108" s="371"/>
      <c r="H108" s="371"/>
      <c r="I108" s="371"/>
      <c r="J108" s="371"/>
      <c r="K108" s="371"/>
      <c r="L108" s="371"/>
      <c r="M108" s="371"/>
      <c r="N108" s="371"/>
      <c r="O108" s="371"/>
      <c r="P108" s="371"/>
      <c r="Q108" s="371"/>
      <c r="R108" s="371"/>
      <c r="S108" s="371"/>
      <c r="T108" s="371"/>
      <c r="U108" s="371"/>
      <c r="V108" s="371"/>
      <c r="W108" s="371"/>
      <c r="X108" s="371"/>
      <c r="Y108" s="3"/>
      <c r="Z108" s="3004"/>
      <c r="AA108" s="3005"/>
      <c r="AB108" s="3005"/>
      <c r="AC108" s="3005"/>
      <c r="AD108" s="3005"/>
      <c r="AE108" s="3005"/>
      <c r="AF108" s="3005"/>
      <c r="AG108" s="3005"/>
      <c r="AH108" s="3005"/>
      <c r="AI108" s="3005"/>
      <c r="AJ108" s="3005"/>
      <c r="AK108" s="3005"/>
      <c r="AL108" s="3005"/>
      <c r="AM108" s="3005"/>
      <c r="AN108" s="3005"/>
      <c r="AO108" s="3005"/>
      <c r="AP108" s="3005"/>
      <c r="AQ108" s="3005"/>
      <c r="AR108" s="3005"/>
      <c r="AS108" s="3005"/>
      <c r="AT108" s="3005"/>
      <c r="AU108" s="3006"/>
      <c r="AW108" s="197"/>
      <c r="AX108" s="197"/>
    </row>
    <row r="109" spans="1:50" ht="15.75" customHeight="1" x14ac:dyDescent="0.15">
      <c r="A109" s="2"/>
      <c r="B109" s="371"/>
      <c r="C109" s="371"/>
      <c r="D109" s="371"/>
      <c r="E109" s="371"/>
      <c r="F109" s="371"/>
      <c r="G109" s="371"/>
      <c r="H109" s="371"/>
      <c r="I109" s="371"/>
      <c r="J109" s="371"/>
      <c r="K109" s="371"/>
      <c r="L109" s="371"/>
      <c r="M109" s="371"/>
      <c r="N109" s="371"/>
      <c r="O109" s="371"/>
      <c r="P109" s="371"/>
      <c r="Q109" s="371"/>
      <c r="R109" s="371"/>
      <c r="S109" s="371"/>
      <c r="T109" s="371"/>
      <c r="U109" s="371"/>
      <c r="V109" s="371"/>
      <c r="W109" s="371"/>
      <c r="X109" s="371"/>
      <c r="Y109" s="3"/>
      <c r="Z109" s="3004"/>
      <c r="AA109" s="3005"/>
      <c r="AB109" s="3005"/>
      <c r="AC109" s="3005"/>
      <c r="AD109" s="3005"/>
      <c r="AE109" s="3005"/>
      <c r="AF109" s="3005"/>
      <c r="AG109" s="3005"/>
      <c r="AH109" s="3005"/>
      <c r="AI109" s="3005"/>
      <c r="AJ109" s="3005"/>
      <c r="AK109" s="3005"/>
      <c r="AL109" s="3005"/>
      <c r="AM109" s="3005"/>
      <c r="AN109" s="3005"/>
      <c r="AO109" s="3005"/>
      <c r="AP109" s="3005"/>
      <c r="AQ109" s="3005"/>
      <c r="AR109" s="3005"/>
      <c r="AS109" s="3005"/>
      <c r="AT109" s="3005"/>
      <c r="AU109" s="3006"/>
      <c r="AW109" s="197"/>
      <c r="AX109" s="197"/>
    </row>
    <row r="110" spans="1:50" ht="15.75" customHeight="1" x14ac:dyDescent="0.15">
      <c r="A110" s="2"/>
      <c r="B110" s="371"/>
      <c r="C110" s="371"/>
      <c r="D110" s="371"/>
      <c r="E110" s="371"/>
      <c r="F110" s="371"/>
      <c r="G110" s="371"/>
      <c r="H110" s="371"/>
      <c r="I110" s="371"/>
      <c r="J110" s="371"/>
      <c r="K110" s="371"/>
      <c r="L110" s="371"/>
      <c r="M110" s="371"/>
      <c r="N110" s="371"/>
      <c r="O110" s="371"/>
      <c r="P110" s="371"/>
      <c r="Q110" s="371"/>
      <c r="R110" s="371"/>
      <c r="S110" s="371"/>
      <c r="T110" s="371"/>
      <c r="U110" s="371"/>
      <c r="V110" s="371"/>
      <c r="W110" s="371"/>
      <c r="X110" s="371"/>
      <c r="Y110" s="3"/>
      <c r="Z110" s="3004"/>
      <c r="AA110" s="3005"/>
      <c r="AB110" s="3005"/>
      <c r="AC110" s="3005"/>
      <c r="AD110" s="3005"/>
      <c r="AE110" s="3005"/>
      <c r="AF110" s="3005"/>
      <c r="AG110" s="3005"/>
      <c r="AH110" s="3005"/>
      <c r="AI110" s="3005"/>
      <c r="AJ110" s="3005"/>
      <c r="AK110" s="3005"/>
      <c r="AL110" s="3005"/>
      <c r="AM110" s="3005"/>
      <c r="AN110" s="3005"/>
      <c r="AO110" s="3005"/>
      <c r="AP110" s="3005"/>
      <c r="AQ110" s="3005"/>
      <c r="AR110" s="3005"/>
      <c r="AS110" s="3005"/>
      <c r="AT110" s="3005"/>
      <c r="AU110" s="3006"/>
      <c r="AW110" s="197"/>
      <c r="AX110" s="197"/>
    </row>
    <row r="111" spans="1:50" ht="15.75" customHeight="1" x14ac:dyDescent="0.15">
      <c r="A111" s="2"/>
      <c r="B111" s="371"/>
      <c r="C111" s="371"/>
      <c r="D111" s="371"/>
      <c r="E111" s="371"/>
      <c r="F111" s="371"/>
      <c r="G111" s="371"/>
      <c r="H111" s="371"/>
      <c r="I111" s="371"/>
      <c r="J111" s="371"/>
      <c r="K111" s="371"/>
      <c r="L111" s="371"/>
      <c r="M111" s="371"/>
      <c r="N111" s="371"/>
      <c r="O111" s="371"/>
      <c r="P111" s="371"/>
      <c r="Q111" s="371"/>
      <c r="R111" s="371"/>
      <c r="S111" s="371"/>
      <c r="T111" s="371"/>
      <c r="U111" s="371"/>
      <c r="V111" s="371"/>
      <c r="W111" s="371"/>
      <c r="X111" s="371"/>
      <c r="Y111" s="3"/>
      <c r="Z111" s="3004"/>
      <c r="AA111" s="3005"/>
      <c r="AB111" s="3005"/>
      <c r="AC111" s="3005"/>
      <c r="AD111" s="3005"/>
      <c r="AE111" s="3005"/>
      <c r="AF111" s="3005"/>
      <c r="AG111" s="3005"/>
      <c r="AH111" s="3005"/>
      <c r="AI111" s="3005"/>
      <c r="AJ111" s="3005"/>
      <c r="AK111" s="3005"/>
      <c r="AL111" s="3005"/>
      <c r="AM111" s="3005"/>
      <c r="AN111" s="3005"/>
      <c r="AO111" s="3005"/>
      <c r="AP111" s="3005"/>
      <c r="AQ111" s="3005"/>
      <c r="AR111" s="3005"/>
      <c r="AS111" s="3005"/>
      <c r="AT111" s="3005"/>
      <c r="AU111" s="3006"/>
      <c r="AW111" s="197"/>
      <c r="AX111" s="197"/>
    </row>
    <row r="112" spans="1:50" ht="15.75" customHeight="1" x14ac:dyDescent="0.15">
      <c r="A112" s="2"/>
      <c r="B112" s="371"/>
      <c r="C112" s="371"/>
      <c r="D112" s="371"/>
      <c r="E112" s="371"/>
      <c r="F112" s="371"/>
      <c r="G112" s="371"/>
      <c r="H112" s="371"/>
      <c r="I112" s="371"/>
      <c r="J112" s="371"/>
      <c r="K112" s="371"/>
      <c r="L112" s="371"/>
      <c r="M112" s="371"/>
      <c r="N112" s="371"/>
      <c r="O112" s="371"/>
      <c r="P112" s="371"/>
      <c r="Q112" s="371"/>
      <c r="R112" s="371"/>
      <c r="S112" s="371"/>
      <c r="T112" s="371"/>
      <c r="U112" s="371"/>
      <c r="V112" s="371"/>
      <c r="W112" s="371"/>
      <c r="X112" s="371"/>
      <c r="Y112" s="3"/>
      <c r="Z112" s="3004"/>
      <c r="AA112" s="3005"/>
      <c r="AB112" s="3005"/>
      <c r="AC112" s="3005"/>
      <c r="AD112" s="3005"/>
      <c r="AE112" s="3005"/>
      <c r="AF112" s="3005"/>
      <c r="AG112" s="3005"/>
      <c r="AH112" s="3005"/>
      <c r="AI112" s="3005"/>
      <c r="AJ112" s="3005"/>
      <c r="AK112" s="3005"/>
      <c r="AL112" s="3005"/>
      <c r="AM112" s="3005"/>
      <c r="AN112" s="3005"/>
      <c r="AO112" s="3005"/>
      <c r="AP112" s="3005"/>
      <c r="AQ112" s="3005"/>
      <c r="AR112" s="3005"/>
      <c r="AS112" s="3005"/>
      <c r="AT112" s="3005"/>
      <c r="AU112" s="3006"/>
      <c r="AW112" s="197"/>
      <c r="AX112" s="197"/>
    </row>
    <row r="113" spans="1:50" ht="15.75" customHeight="1" x14ac:dyDescent="0.15">
      <c r="A113" s="6"/>
      <c r="B113" s="4"/>
      <c r="C113" s="4"/>
      <c r="D113" s="4"/>
      <c r="E113" s="4"/>
      <c r="F113" s="4"/>
      <c r="G113" s="4"/>
      <c r="H113" s="4"/>
      <c r="I113" s="4"/>
      <c r="J113" s="4"/>
      <c r="K113" s="4"/>
      <c r="L113" s="4"/>
      <c r="M113" s="4"/>
      <c r="N113" s="4"/>
      <c r="O113" s="4"/>
      <c r="P113" s="4"/>
      <c r="Q113" s="4"/>
      <c r="R113" s="4"/>
      <c r="S113" s="4"/>
      <c r="T113" s="4"/>
      <c r="U113" s="4"/>
      <c r="V113" s="4"/>
      <c r="W113" s="4"/>
      <c r="X113" s="4"/>
      <c r="Y113" s="5"/>
      <c r="Z113" s="3007"/>
      <c r="AA113" s="3008"/>
      <c r="AB113" s="3008"/>
      <c r="AC113" s="3008"/>
      <c r="AD113" s="3008"/>
      <c r="AE113" s="3008"/>
      <c r="AF113" s="3008"/>
      <c r="AG113" s="3008"/>
      <c r="AH113" s="3008"/>
      <c r="AI113" s="3008"/>
      <c r="AJ113" s="3008"/>
      <c r="AK113" s="3008"/>
      <c r="AL113" s="3008"/>
      <c r="AM113" s="3008"/>
      <c r="AN113" s="3008"/>
      <c r="AO113" s="3008"/>
      <c r="AP113" s="3008"/>
      <c r="AQ113" s="3008"/>
      <c r="AR113" s="3008"/>
      <c r="AS113" s="3008"/>
      <c r="AT113" s="3008"/>
      <c r="AU113" s="3009"/>
      <c r="AW113" s="197"/>
      <c r="AX113" s="197"/>
    </row>
    <row r="114" spans="1:50" ht="12.75" customHeight="1" x14ac:dyDescent="0.15">
      <c r="AW114" s="197"/>
      <c r="AX114" s="197"/>
    </row>
    <row r="115" spans="1:50" ht="12.75" customHeight="1" x14ac:dyDescent="0.15">
      <c r="A115" s="3027" t="s">
        <v>150</v>
      </c>
      <c r="B115" s="3027"/>
      <c r="C115" s="3027"/>
      <c r="D115" s="3027"/>
      <c r="AU115" s="337"/>
      <c r="AW115" s="197"/>
      <c r="AX115" s="197"/>
    </row>
    <row r="116" spans="1:50" ht="12.75" customHeight="1" x14ac:dyDescent="0.15">
      <c r="B116" s="338" t="s">
        <v>151</v>
      </c>
      <c r="C116" s="2993" t="s">
        <v>169</v>
      </c>
      <c r="D116" s="3012"/>
      <c r="E116" s="3012"/>
      <c r="F116" s="3012"/>
      <c r="G116" s="3012"/>
      <c r="H116" s="3012"/>
      <c r="I116" s="3012"/>
      <c r="J116" s="3012"/>
      <c r="K116" s="3012"/>
      <c r="L116" s="3012"/>
      <c r="M116" s="3012"/>
      <c r="N116" s="3012"/>
      <c r="O116" s="3012"/>
      <c r="P116" s="3012"/>
      <c r="Q116" s="3012"/>
      <c r="R116" s="3012"/>
      <c r="S116" s="3012"/>
      <c r="T116" s="3012"/>
      <c r="U116" s="3012"/>
      <c r="V116" s="3012"/>
      <c r="W116" s="3012"/>
      <c r="X116" s="3012"/>
      <c r="Y116" s="3012"/>
      <c r="Z116" s="3012"/>
      <c r="AA116" s="3012"/>
      <c r="AB116" s="3012"/>
      <c r="AC116" s="3012"/>
      <c r="AD116" s="3012"/>
      <c r="AE116" s="3012"/>
      <c r="AF116" s="3012"/>
      <c r="AG116" s="3012"/>
      <c r="AH116" s="3012"/>
      <c r="AI116" s="3012"/>
      <c r="AJ116" s="3012"/>
      <c r="AK116" s="3012"/>
      <c r="AL116" s="3012"/>
      <c r="AM116" s="3012"/>
      <c r="AN116" s="3012"/>
      <c r="AO116" s="3012"/>
      <c r="AP116" s="3012"/>
      <c r="AQ116" s="3012"/>
      <c r="AR116" s="3012"/>
      <c r="AS116" s="3012"/>
      <c r="AT116" s="3012"/>
      <c r="AU116" s="337"/>
      <c r="AW116" s="197"/>
      <c r="AX116" s="197"/>
    </row>
    <row r="117" spans="1:50" ht="12.75" customHeight="1" x14ac:dyDescent="0.15">
      <c r="B117" s="338"/>
      <c r="C117" s="2994" t="s">
        <v>170</v>
      </c>
      <c r="D117" s="2994"/>
      <c r="E117" s="2994"/>
      <c r="F117" s="2994"/>
      <c r="G117" s="2994"/>
      <c r="H117" s="2994"/>
      <c r="I117" s="2994"/>
      <c r="J117" s="2994"/>
      <c r="K117" s="2994"/>
      <c r="L117" s="2994"/>
      <c r="M117" s="2994"/>
      <c r="N117" s="2994"/>
      <c r="O117" s="2994"/>
      <c r="P117" s="2994"/>
      <c r="Q117" s="2994"/>
      <c r="R117" s="2994"/>
      <c r="S117" s="2994"/>
      <c r="T117" s="2994"/>
      <c r="U117" s="2994"/>
      <c r="V117" s="2994"/>
      <c r="W117" s="2994"/>
      <c r="X117" s="2994"/>
      <c r="Y117" s="2994"/>
      <c r="Z117" s="2994"/>
      <c r="AA117" s="2994"/>
      <c r="AB117" s="2994"/>
      <c r="AC117" s="2994"/>
      <c r="AD117" s="2994"/>
      <c r="AE117" s="2994"/>
      <c r="AF117" s="2994"/>
      <c r="AG117" s="2994"/>
      <c r="AH117" s="2994"/>
      <c r="AI117" s="2994"/>
      <c r="AJ117" s="2994"/>
      <c r="AK117" s="2994"/>
      <c r="AL117" s="2994"/>
      <c r="AM117" s="2994"/>
      <c r="AN117" s="2994"/>
      <c r="AO117" s="2994"/>
      <c r="AP117" s="2994"/>
      <c r="AQ117" s="2994"/>
      <c r="AR117" s="2994"/>
      <c r="AS117" s="2994"/>
      <c r="AT117" s="2994"/>
      <c r="AU117" s="337"/>
      <c r="AW117" s="197"/>
      <c r="AX117" s="197"/>
    </row>
    <row r="118" spans="1:50" ht="12.75" customHeight="1" x14ac:dyDescent="0.15">
      <c r="B118" s="338"/>
      <c r="C118" s="2994" t="s">
        <v>171</v>
      </c>
      <c r="D118" s="2994"/>
      <c r="E118" s="2994"/>
      <c r="F118" s="2994"/>
      <c r="G118" s="2994"/>
      <c r="H118" s="2994"/>
      <c r="I118" s="2994"/>
      <c r="J118" s="2994"/>
      <c r="K118" s="2994"/>
      <c r="L118" s="2994"/>
      <c r="M118" s="2994"/>
      <c r="N118" s="2994"/>
      <c r="O118" s="2994"/>
      <c r="P118" s="2994"/>
      <c r="Q118" s="2994"/>
      <c r="R118" s="2994"/>
      <c r="S118" s="2994"/>
      <c r="T118" s="2994"/>
      <c r="U118" s="2994"/>
      <c r="V118" s="2994"/>
      <c r="W118" s="2994"/>
      <c r="X118" s="2994"/>
      <c r="Y118" s="2994"/>
      <c r="Z118" s="2994"/>
      <c r="AA118" s="2994"/>
      <c r="AB118" s="2994"/>
      <c r="AC118" s="2994"/>
      <c r="AD118" s="2994"/>
      <c r="AE118" s="2994"/>
      <c r="AF118" s="2994"/>
      <c r="AG118" s="2994"/>
      <c r="AH118" s="2994"/>
      <c r="AI118" s="2994"/>
      <c r="AJ118" s="2994"/>
      <c r="AK118" s="2994"/>
      <c r="AL118" s="2994"/>
      <c r="AM118" s="2994"/>
      <c r="AN118" s="2994"/>
      <c r="AO118" s="2994"/>
      <c r="AP118" s="2994"/>
      <c r="AQ118" s="2994"/>
      <c r="AR118" s="2994"/>
      <c r="AS118" s="2994"/>
      <c r="AT118" s="2994"/>
      <c r="AU118" s="337"/>
      <c r="AW118" s="197"/>
      <c r="AX118" s="197"/>
    </row>
    <row r="119" spans="1:50" ht="12.75" customHeight="1" x14ac:dyDescent="0.15">
      <c r="B119" s="338" t="s">
        <v>158</v>
      </c>
      <c r="C119" s="2994" t="s">
        <v>159</v>
      </c>
      <c r="D119" s="2994"/>
      <c r="E119" s="2994"/>
      <c r="F119" s="2994"/>
      <c r="G119" s="2994"/>
      <c r="H119" s="2994"/>
      <c r="I119" s="2994"/>
      <c r="J119" s="2994"/>
      <c r="K119" s="2994"/>
      <c r="L119" s="2994"/>
      <c r="M119" s="2994"/>
      <c r="N119" s="2994"/>
      <c r="O119" s="2994"/>
      <c r="P119" s="2994"/>
      <c r="Q119" s="2994"/>
      <c r="R119" s="2994"/>
      <c r="S119" s="2994"/>
      <c r="T119" s="2994"/>
      <c r="U119" s="2994"/>
      <c r="V119" s="2994"/>
      <c r="W119" s="2994"/>
      <c r="X119" s="2994"/>
      <c r="Y119" s="2994"/>
      <c r="Z119" s="2994"/>
      <c r="AA119" s="2994"/>
      <c r="AB119" s="2994"/>
      <c r="AC119" s="2994"/>
      <c r="AD119" s="2994"/>
      <c r="AE119" s="2994"/>
      <c r="AF119" s="2994"/>
      <c r="AG119" s="2994"/>
      <c r="AH119" s="2994"/>
      <c r="AI119" s="2994"/>
      <c r="AJ119" s="2994"/>
      <c r="AK119" s="2994"/>
      <c r="AL119" s="2994"/>
      <c r="AM119" s="2994"/>
      <c r="AN119" s="2994"/>
      <c r="AO119" s="2994"/>
      <c r="AP119" s="2994"/>
      <c r="AQ119" s="2994"/>
      <c r="AR119" s="2994"/>
      <c r="AS119" s="2994"/>
      <c r="AT119" s="2994"/>
      <c r="AU119" s="337"/>
      <c r="AW119" s="197"/>
      <c r="AX119" s="197"/>
    </row>
    <row r="120" spans="1:50" ht="12.75" customHeight="1" x14ac:dyDescent="0.15">
      <c r="B120" s="338" t="s">
        <v>152</v>
      </c>
      <c r="C120" s="2994" t="s">
        <v>0</v>
      </c>
      <c r="D120" s="2994"/>
      <c r="E120" s="2994"/>
      <c r="F120" s="2994"/>
      <c r="G120" s="2994"/>
      <c r="H120" s="2994"/>
      <c r="I120" s="2994"/>
      <c r="J120" s="2994"/>
      <c r="K120" s="2994"/>
      <c r="L120" s="2994"/>
      <c r="M120" s="2994"/>
      <c r="N120" s="2994"/>
      <c r="O120" s="2994"/>
      <c r="P120" s="2994"/>
      <c r="Q120" s="2994"/>
      <c r="R120" s="2994"/>
      <c r="S120" s="2994"/>
      <c r="T120" s="2994"/>
      <c r="U120" s="2994"/>
      <c r="V120" s="2994"/>
      <c r="W120" s="2994"/>
      <c r="X120" s="2994"/>
      <c r="Y120" s="2994"/>
      <c r="Z120" s="2994"/>
      <c r="AA120" s="2994"/>
      <c r="AB120" s="2994"/>
      <c r="AC120" s="2994"/>
      <c r="AD120" s="2994"/>
      <c r="AE120" s="2994"/>
      <c r="AF120" s="2994"/>
      <c r="AG120" s="2994"/>
      <c r="AH120" s="2994"/>
      <c r="AI120" s="2994"/>
      <c r="AJ120" s="2994"/>
      <c r="AK120" s="2994"/>
      <c r="AL120" s="2994"/>
      <c r="AM120" s="2994"/>
      <c r="AN120" s="2994"/>
      <c r="AO120" s="2994"/>
      <c r="AP120" s="2994"/>
      <c r="AQ120" s="2994"/>
      <c r="AR120" s="2994"/>
      <c r="AS120" s="2994"/>
      <c r="AT120" s="2994"/>
      <c r="AW120" s="197"/>
      <c r="AX120" s="197"/>
    </row>
    <row r="121" spans="1:50" ht="12.75" customHeight="1" x14ac:dyDescent="0.15">
      <c r="B121" s="338" t="s">
        <v>160</v>
      </c>
      <c r="C121" s="2994" t="s">
        <v>172</v>
      </c>
      <c r="D121" s="2994"/>
      <c r="E121" s="2994"/>
      <c r="F121" s="2994"/>
      <c r="G121" s="2994"/>
      <c r="H121" s="2994"/>
      <c r="I121" s="2994"/>
      <c r="J121" s="2994"/>
      <c r="K121" s="2994"/>
      <c r="L121" s="2994"/>
      <c r="M121" s="2994"/>
      <c r="N121" s="2994"/>
      <c r="O121" s="2994"/>
      <c r="P121" s="2994"/>
      <c r="Q121" s="2994"/>
      <c r="R121" s="2994"/>
      <c r="S121" s="2994"/>
      <c r="T121" s="2994"/>
      <c r="U121" s="2994"/>
      <c r="V121" s="2994"/>
      <c r="W121" s="2994"/>
      <c r="X121" s="2994"/>
      <c r="Y121" s="2994"/>
      <c r="Z121" s="2994"/>
      <c r="AA121" s="2994"/>
      <c r="AB121" s="2994"/>
      <c r="AC121" s="2994"/>
      <c r="AD121" s="2994"/>
      <c r="AE121" s="2994"/>
      <c r="AF121" s="2994"/>
      <c r="AG121" s="2994"/>
      <c r="AH121" s="2994"/>
      <c r="AI121" s="2994"/>
      <c r="AJ121" s="2994"/>
      <c r="AK121" s="2994"/>
      <c r="AL121" s="2994"/>
      <c r="AM121" s="2994"/>
      <c r="AN121" s="2994"/>
      <c r="AO121" s="2994"/>
      <c r="AP121" s="2994"/>
      <c r="AQ121" s="2994"/>
      <c r="AR121" s="2994"/>
      <c r="AS121" s="2994"/>
      <c r="AT121" s="2994"/>
      <c r="AU121" s="337"/>
      <c r="AW121" s="197"/>
      <c r="AX121" s="197"/>
    </row>
    <row r="122" spans="1:50" ht="12.75" customHeight="1" x14ac:dyDescent="0.15">
      <c r="C122" s="2994" t="s">
        <v>173</v>
      </c>
      <c r="D122" s="2994"/>
      <c r="E122" s="2994"/>
      <c r="F122" s="2994"/>
      <c r="G122" s="2994"/>
      <c r="H122" s="2994"/>
      <c r="I122" s="2994"/>
      <c r="J122" s="2994"/>
      <c r="K122" s="2994"/>
      <c r="L122" s="2994"/>
      <c r="M122" s="2994"/>
      <c r="N122" s="2994"/>
      <c r="O122" s="2994"/>
      <c r="P122" s="2994"/>
      <c r="Q122" s="2994"/>
      <c r="R122" s="2994"/>
      <c r="S122" s="2994"/>
      <c r="T122" s="2994"/>
      <c r="U122" s="2994"/>
      <c r="V122" s="2994"/>
      <c r="W122" s="2994"/>
      <c r="X122" s="2994"/>
      <c r="Y122" s="2994"/>
      <c r="Z122" s="2994"/>
      <c r="AA122" s="2994"/>
      <c r="AB122" s="2994"/>
      <c r="AC122" s="2994"/>
      <c r="AD122" s="2994"/>
      <c r="AE122" s="2994"/>
      <c r="AF122" s="2994"/>
      <c r="AG122" s="2994"/>
      <c r="AH122" s="2994"/>
      <c r="AI122" s="2994"/>
      <c r="AJ122" s="2994"/>
      <c r="AK122" s="2994"/>
      <c r="AL122" s="2994"/>
      <c r="AM122" s="2994"/>
      <c r="AN122" s="2994"/>
      <c r="AO122" s="2994"/>
      <c r="AP122" s="2994"/>
      <c r="AQ122" s="2994"/>
      <c r="AR122" s="2994"/>
      <c r="AS122" s="2994"/>
      <c r="AT122" s="2994"/>
      <c r="AU122" s="337"/>
      <c r="AW122" s="197"/>
      <c r="AX122" s="197"/>
    </row>
    <row r="123" spans="1:50" ht="12.75" customHeight="1" x14ac:dyDescent="0.15">
      <c r="B123" s="338" t="s">
        <v>1</v>
      </c>
      <c r="C123" s="2994" t="s">
        <v>2</v>
      </c>
      <c r="D123" s="2994"/>
      <c r="E123" s="2994"/>
      <c r="F123" s="2994"/>
      <c r="G123" s="2994"/>
      <c r="H123" s="2994"/>
      <c r="I123" s="2994"/>
      <c r="J123" s="2994"/>
      <c r="K123" s="2994"/>
      <c r="L123" s="2994"/>
      <c r="M123" s="2994"/>
      <c r="N123" s="2994"/>
      <c r="O123" s="2994"/>
      <c r="P123" s="2994"/>
      <c r="Q123" s="2994"/>
      <c r="R123" s="2994"/>
      <c r="S123" s="2994"/>
      <c r="T123" s="2994"/>
      <c r="U123" s="2994"/>
      <c r="V123" s="2994"/>
      <c r="W123" s="2994"/>
      <c r="X123" s="2994"/>
      <c r="Y123" s="2994"/>
      <c r="Z123" s="2994"/>
      <c r="AA123" s="2994"/>
      <c r="AB123" s="2994"/>
      <c r="AC123" s="2994"/>
      <c r="AD123" s="2994"/>
      <c r="AE123" s="2994"/>
      <c r="AF123" s="2994"/>
      <c r="AG123" s="2994"/>
      <c r="AH123" s="2994"/>
      <c r="AI123" s="2994"/>
      <c r="AJ123" s="2994"/>
      <c r="AK123" s="2994"/>
      <c r="AL123" s="2994"/>
      <c r="AM123" s="2994"/>
      <c r="AN123" s="2994"/>
      <c r="AO123" s="2994"/>
      <c r="AP123" s="2994"/>
      <c r="AQ123" s="2994"/>
      <c r="AR123" s="2994"/>
      <c r="AS123" s="2994"/>
      <c r="AT123" s="2994"/>
      <c r="AU123" s="337"/>
      <c r="AW123" s="197"/>
      <c r="AX123" s="197"/>
    </row>
    <row r="124" spans="1:50" ht="12.75" customHeight="1" x14ac:dyDescent="0.15">
      <c r="AG124" s="337"/>
      <c r="AH124" s="337"/>
      <c r="AI124" s="337"/>
      <c r="AJ124" s="337"/>
      <c r="AK124" s="337"/>
      <c r="AL124" s="337"/>
      <c r="AM124" s="337"/>
      <c r="AN124" s="337"/>
      <c r="AO124" s="337"/>
      <c r="AP124" s="337"/>
      <c r="AQ124" s="337"/>
      <c r="AR124" s="337"/>
      <c r="AS124" s="337"/>
      <c r="AT124" s="337"/>
      <c r="AW124" s="197"/>
      <c r="AX124" s="197"/>
    </row>
    <row r="125" spans="1:50" ht="12.75" customHeight="1" x14ac:dyDescent="0.15">
      <c r="AW125" s="197"/>
      <c r="AX125" s="197"/>
    </row>
    <row r="126" spans="1:50" ht="12.75" customHeight="1" x14ac:dyDescent="0.15">
      <c r="A126" s="336" t="s">
        <v>18</v>
      </c>
      <c r="B126" s="336" t="s">
        <v>153</v>
      </c>
      <c r="C126" s="336">
        <v>2</v>
      </c>
      <c r="D126" s="336" t="s">
        <v>5</v>
      </c>
      <c r="E126" s="336" t="s">
        <v>6</v>
      </c>
      <c r="F126" s="336"/>
      <c r="G126" s="336" t="s">
        <v>25</v>
      </c>
      <c r="H126" s="336" t="s">
        <v>175</v>
      </c>
      <c r="I126" s="336">
        <v>4</v>
      </c>
      <c r="J126" s="336" t="s">
        <v>22</v>
      </c>
      <c r="AO126" s="423" t="str">
        <f>$AO$7</f>
        <v>Kyoto City（R7.7） ver.120</v>
      </c>
      <c r="AP126" s="387" t="str">
        <f>IF('1_入力シート【基本情報】'!$AB$7="","",'1_入力シート【基本情報】'!$AB$7)</f>
        <v/>
      </c>
      <c r="AQ126" s="386" t="str">
        <f>IF('1_入力シート【基本情報】'!$AK$7="","",'1_入力シート【基本情報】'!$AK$7)</f>
        <v/>
      </c>
      <c r="AR126" s="2990" t="str">
        <f>IF('1_入力シート【基本情報】'!$AT$7="","",TEXT('1_入力シート【基本情報】'!$AT$7,"0000"))</f>
        <v/>
      </c>
      <c r="AS126" s="2991"/>
      <c r="AT126" s="2991"/>
      <c r="AU126" s="2992"/>
      <c r="AW126" s="197"/>
      <c r="AX126" s="197"/>
    </row>
    <row r="127" spans="1:50" ht="12.75" customHeight="1" x14ac:dyDescent="0.15">
      <c r="U127" s="3049" t="s">
        <v>174</v>
      </c>
      <c r="V127" s="3049"/>
      <c r="W127" s="3049"/>
      <c r="X127" s="3049"/>
      <c r="Y127" s="3049"/>
      <c r="Z127" s="3049"/>
      <c r="AW127" s="197"/>
      <c r="AX127" s="197"/>
    </row>
    <row r="128" spans="1:50" ht="12.75" customHeight="1" x14ac:dyDescent="0.15">
      <c r="AW128" s="197"/>
      <c r="AX128" s="197"/>
    </row>
    <row r="129" spans="1:53" ht="15.75" customHeight="1" x14ac:dyDescent="0.15">
      <c r="A129" s="3018" t="s">
        <v>154</v>
      </c>
      <c r="B129" s="3019"/>
      <c r="C129" s="3020"/>
      <c r="D129" s="3037" t="s">
        <v>155</v>
      </c>
      <c r="E129" s="3038"/>
      <c r="F129" s="3038"/>
      <c r="G129" s="3038"/>
      <c r="H129" s="3038"/>
      <c r="I129" s="3038"/>
      <c r="J129" s="3039"/>
      <c r="K129" s="340"/>
      <c r="L129" s="341"/>
      <c r="M129" s="341"/>
      <c r="N129" s="341"/>
      <c r="O129" s="341"/>
      <c r="P129" s="341"/>
      <c r="Q129" s="341"/>
      <c r="R129" s="341"/>
      <c r="S129" s="342" t="s">
        <v>7</v>
      </c>
      <c r="T129" s="342" t="s">
        <v>8</v>
      </c>
      <c r="U129" s="342" t="s">
        <v>9</v>
      </c>
      <c r="V129" s="342" t="s">
        <v>156</v>
      </c>
      <c r="W129" s="342"/>
      <c r="X129" s="342"/>
      <c r="Y129" s="342"/>
      <c r="Z129" s="342"/>
      <c r="AA129" s="342"/>
      <c r="AB129" s="342"/>
      <c r="AC129" s="342"/>
      <c r="AD129" s="342"/>
      <c r="AE129" s="342"/>
      <c r="AF129" s="342"/>
      <c r="AG129" s="342"/>
      <c r="AH129" s="342"/>
      <c r="AI129" s="343"/>
      <c r="AJ129" s="344"/>
      <c r="AK129" s="3038" t="s">
        <v>33</v>
      </c>
      <c r="AL129" s="3038"/>
      <c r="AM129" s="3038"/>
      <c r="AN129" s="3038"/>
      <c r="AO129" s="3038"/>
      <c r="AP129" s="3038"/>
      <c r="AQ129" s="3038"/>
      <c r="AR129" s="3038"/>
      <c r="AS129" s="3038"/>
      <c r="AT129" s="3038"/>
      <c r="AU129" s="345"/>
      <c r="AW129" s="197"/>
      <c r="AX129" s="197"/>
    </row>
    <row r="130" spans="1:53" ht="15.75" customHeight="1" thickBot="1" x14ac:dyDescent="0.2">
      <c r="A130" s="3031"/>
      <c r="B130" s="3032"/>
      <c r="C130" s="3033"/>
      <c r="D130" s="3018" t="str">
        <f>IFERROR(VLOOKUP(5,'1_入力シート【基本情報】'!$DU$319:$DX$534,3,FALSE),"")</f>
        <v/>
      </c>
      <c r="E130" s="3019"/>
      <c r="F130" s="3019"/>
      <c r="G130" s="3019"/>
      <c r="H130" s="3019"/>
      <c r="I130" s="3019"/>
      <c r="J130" s="3020"/>
      <c r="K130" s="2995" t="str">
        <f>IFERROR(VLOOKUP(5,'1_入力シート【基本情報】'!$DU$319:$DX$534,4,FALSE),"")</f>
        <v/>
      </c>
      <c r="L130" s="2996"/>
      <c r="M130" s="2996"/>
      <c r="N130" s="2996"/>
      <c r="O130" s="2996"/>
      <c r="P130" s="2996"/>
      <c r="Q130" s="2996"/>
      <c r="R130" s="2996"/>
      <c r="S130" s="2996"/>
      <c r="T130" s="2996"/>
      <c r="U130" s="2996"/>
      <c r="V130" s="2996"/>
      <c r="W130" s="2996"/>
      <c r="X130" s="2996"/>
      <c r="Y130" s="2996"/>
      <c r="Z130" s="2996"/>
      <c r="AA130" s="2996"/>
      <c r="AB130" s="2996"/>
      <c r="AC130" s="2996"/>
      <c r="AD130" s="2996"/>
      <c r="AE130" s="2996"/>
      <c r="AF130" s="2996"/>
      <c r="AG130" s="2996"/>
      <c r="AH130" s="2996"/>
      <c r="AI130" s="2997"/>
      <c r="AJ130" s="367"/>
      <c r="AK130" s="367"/>
      <c r="AL130" s="367"/>
      <c r="AM130" s="367"/>
      <c r="AN130" s="367"/>
      <c r="AO130" s="367"/>
      <c r="AP130" s="367"/>
      <c r="AQ130" s="367"/>
      <c r="AR130" s="367"/>
      <c r="AS130" s="367"/>
      <c r="AT130" s="367"/>
      <c r="AU130" s="368"/>
      <c r="AW130" s="197"/>
      <c r="AX130" s="197"/>
    </row>
    <row r="131" spans="1:53" ht="15.75" customHeight="1" thickBot="1" x14ac:dyDescent="0.2">
      <c r="A131" s="3031"/>
      <c r="B131" s="3032"/>
      <c r="C131" s="3033"/>
      <c r="D131" s="3021"/>
      <c r="E131" s="3022"/>
      <c r="F131" s="3022"/>
      <c r="G131" s="3022"/>
      <c r="H131" s="3022"/>
      <c r="I131" s="3022"/>
      <c r="J131" s="3023"/>
      <c r="K131" s="2998"/>
      <c r="L131" s="2999"/>
      <c r="M131" s="2999"/>
      <c r="N131" s="2999"/>
      <c r="O131" s="2999"/>
      <c r="P131" s="2999"/>
      <c r="Q131" s="2999"/>
      <c r="R131" s="2999"/>
      <c r="S131" s="2999"/>
      <c r="T131" s="2999"/>
      <c r="U131" s="2999"/>
      <c r="V131" s="2999"/>
      <c r="W131" s="2999"/>
      <c r="X131" s="2999"/>
      <c r="Y131" s="2999"/>
      <c r="Z131" s="2999"/>
      <c r="AA131" s="2999"/>
      <c r="AB131" s="2999"/>
      <c r="AC131" s="2999"/>
      <c r="AD131" s="2999"/>
      <c r="AE131" s="2999"/>
      <c r="AF131" s="2999"/>
      <c r="AG131" s="2999"/>
      <c r="AH131" s="2999"/>
      <c r="AI131" s="3000"/>
      <c r="AJ131" s="367"/>
      <c r="AK131" s="367" t="str">
        <f>IF(D130&lt;&gt;"","☑","☐")</f>
        <v>☐</v>
      </c>
      <c r="AL131" s="367" t="s">
        <v>14</v>
      </c>
      <c r="AM131" s="367" t="s">
        <v>21</v>
      </c>
      <c r="AN131" s="367" t="s">
        <v>15</v>
      </c>
      <c r="AO131" s="367"/>
      <c r="AP131" s="426" t="s">
        <v>179</v>
      </c>
      <c r="AQ131" s="367" t="s">
        <v>27</v>
      </c>
      <c r="AR131" s="367" t="s">
        <v>23</v>
      </c>
      <c r="AS131" s="367" t="s">
        <v>13</v>
      </c>
      <c r="AT131" s="367"/>
      <c r="AU131" s="368"/>
      <c r="AV131" s="346"/>
      <c r="AW131" s="197"/>
      <c r="AX131" s="197"/>
      <c r="BA131" s="430" t="b">
        <f>AP131="☑"</f>
        <v>0</v>
      </c>
    </row>
    <row r="132" spans="1:53" ht="15.75" customHeight="1" x14ac:dyDescent="0.15">
      <c r="A132" s="3034"/>
      <c r="B132" s="3035"/>
      <c r="C132" s="3036"/>
      <c r="D132" s="3024"/>
      <c r="E132" s="3025"/>
      <c r="F132" s="3025"/>
      <c r="G132" s="3025"/>
      <c r="H132" s="3025"/>
      <c r="I132" s="3025"/>
      <c r="J132" s="3026"/>
      <c r="K132" s="3028"/>
      <c r="L132" s="3029"/>
      <c r="M132" s="3029"/>
      <c r="N132" s="3029"/>
      <c r="O132" s="3029"/>
      <c r="P132" s="3029"/>
      <c r="Q132" s="3029"/>
      <c r="R132" s="3029"/>
      <c r="S132" s="3029"/>
      <c r="T132" s="3029"/>
      <c r="U132" s="3029"/>
      <c r="V132" s="3029"/>
      <c r="W132" s="3029"/>
      <c r="X132" s="3029"/>
      <c r="Y132" s="3029"/>
      <c r="Z132" s="3029"/>
      <c r="AA132" s="3029"/>
      <c r="AB132" s="3029"/>
      <c r="AC132" s="3029"/>
      <c r="AD132" s="3029"/>
      <c r="AE132" s="3029"/>
      <c r="AF132" s="3029"/>
      <c r="AG132" s="3029"/>
      <c r="AH132" s="3029"/>
      <c r="AI132" s="3030"/>
      <c r="AJ132" s="369"/>
      <c r="AK132" s="369"/>
      <c r="AL132" s="369"/>
      <c r="AM132" s="369"/>
      <c r="AN132" s="369"/>
      <c r="AO132" s="369"/>
      <c r="AP132" s="369"/>
      <c r="AQ132" s="369"/>
      <c r="AR132" s="369"/>
      <c r="AS132" s="369"/>
      <c r="AT132" s="369"/>
      <c r="AU132" s="370"/>
      <c r="AW132" s="197"/>
      <c r="AX132" s="197"/>
    </row>
    <row r="133" spans="1:53" ht="15.75" customHeight="1" x14ac:dyDescent="0.15">
      <c r="A133" s="2"/>
      <c r="B133" s="335"/>
      <c r="C133" s="335"/>
      <c r="D133" s="335"/>
      <c r="E133" s="335"/>
      <c r="F133" s="335"/>
      <c r="G133" s="335"/>
      <c r="H133" s="335"/>
      <c r="I133" s="335"/>
      <c r="J133" s="335"/>
      <c r="K133" s="335"/>
      <c r="L133" s="335"/>
      <c r="M133" s="335"/>
      <c r="N133" s="335"/>
      <c r="O133" s="335"/>
      <c r="P133" s="335"/>
      <c r="Q133" s="335"/>
      <c r="R133" s="335"/>
      <c r="S133" s="335"/>
      <c r="T133" s="335"/>
      <c r="U133" s="335"/>
      <c r="V133" s="335"/>
      <c r="W133" s="335"/>
      <c r="X133" s="335"/>
      <c r="Y133" s="3"/>
      <c r="Z133" s="47"/>
      <c r="AA133" s="48" t="s">
        <v>11</v>
      </c>
      <c r="AB133" s="48" t="s">
        <v>10</v>
      </c>
      <c r="AC133" s="48" t="s">
        <v>16</v>
      </c>
      <c r="AD133" s="48" t="s">
        <v>9</v>
      </c>
      <c r="AE133" s="48"/>
      <c r="AF133" s="48"/>
      <c r="AG133" s="48"/>
      <c r="AH133" s="48"/>
      <c r="AI133" s="48"/>
      <c r="AJ133" s="49"/>
      <c r="AK133" s="49"/>
      <c r="AL133" s="49"/>
      <c r="AM133" s="49"/>
      <c r="AN133" s="49"/>
      <c r="AO133" s="49"/>
      <c r="AP133" s="49"/>
      <c r="AQ133" s="49"/>
      <c r="AR133" s="49"/>
      <c r="AS133" s="49"/>
      <c r="AT133" s="49"/>
      <c r="AU133" s="50"/>
      <c r="AW133" s="197"/>
      <c r="AX133" s="197"/>
    </row>
    <row r="134" spans="1:53" ht="15.75" customHeight="1" x14ac:dyDescent="0.15">
      <c r="A134" s="2"/>
      <c r="B134" s="335"/>
      <c r="C134" s="335"/>
      <c r="D134" s="335"/>
      <c r="E134" s="335"/>
      <c r="F134" s="335"/>
      <c r="G134" s="335"/>
      <c r="H134" s="335"/>
      <c r="I134" s="335"/>
      <c r="J134" s="335"/>
      <c r="K134" s="335"/>
      <c r="L134" s="335"/>
      <c r="M134" s="335"/>
      <c r="N134" s="335"/>
      <c r="O134" s="335"/>
      <c r="P134" s="335"/>
      <c r="Q134" s="335"/>
      <c r="R134" s="335"/>
      <c r="S134" s="335"/>
      <c r="T134" s="335"/>
      <c r="U134" s="335"/>
      <c r="V134" s="335"/>
      <c r="W134" s="335"/>
      <c r="X134" s="335"/>
      <c r="Y134" s="3"/>
      <c r="Z134" s="3010"/>
      <c r="AA134" s="3011"/>
      <c r="AB134" s="3011"/>
      <c r="AC134" s="3011"/>
      <c r="AD134" s="3011"/>
      <c r="AE134" s="3011"/>
      <c r="AF134" s="3011"/>
      <c r="AG134" s="3011"/>
      <c r="AH134" s="3011"/>
      <c r="AI134" s="3011"/>
      <c r="AJ134" s="3011"/>
      <c r="AK134" s="3011"/>
      <c r="AL134" s="3011"/>
      <c r="AM134" s="3011"/>
      <c r="AN134" s="3011"/>
      <c r="AO134" s="104"/>
      <c r="AP134" s="104"/>
      <c r="AQ134" s="104"/>
      <c r="AR134" s="104"/>
      <c r="AS134" s="104"/>
      <c r="AT134" s="104"/>
      <c r="AU134" s="105"/>
      <c r="AW134" s="197"/>
      <c r="AX134" s="197"/>
    </row>
    <row r="135" spans="1:53" ht="15.75" customHeight="1" x14ac:dyDescent="0.15">
      <c r="A135" s="2"/>
      <c r="B135" s="335"/>
      <c r="C135" s="335"/>
      <c r="D135" s="335"/>
      <c r="E135" s="335"/>
      <c r="F135" s="335"/>
      <c r="G135" s="335"/>
      <c r="H135" s="335"/>
      <c r="I135" s="335"/>
      <c r="J135" s="335"/>
      <c r="K135" s="335"/>
      <c r="L135" s="335"/>
      <c r="M135" s="335"/>
      <c r="N135" s="335"/>
      <c r="O135" s="335"/>
      <c r="P135" s="335"/>
      <c r="Q135" s="335"/>
      <c r="R135" s="335"/>
      <c r="S135" s="335"/>
      <c r="T135" s="335"/>
      <c r="U135" s="335"/>
      <c r="V135" s="335"/>
      <c r="W135" s="335"/>
      <c r="X135" s="335"/>
      <c r="Y135" s="3"/>
      <c r="Z135" s="2995" t="str">
        <f>IFERROR(VLOOKUP(5,'1_入力シート【基本情報】'!$DU$319:$DZ$534,5,FALSE),"")</f>
        <v/>
      </c>
      <c r="AA135" s="2996"/>
      <c r="AB135" s="2996"/>
      <c r="AC135" s="2996"/>
      <c r="AD135" s="2996"/>
      <c r="AE135" s="2996"/>
      <c r="AF135" s="2996"/>
      <c r="AG135" s="2996"/>
      <c r="AH135" s="2996"/>
      <c r="AI135" s="2996"/>
      <c r="AJ135" s="2996"/>
      <c r="AK135" s="2996"/>
      <c r="AL135" s="2996"/>
      <c r="AM135" s="2996"/>
      <c r="AN135" s="2996"/>
      <c r="AO135" s="2996"/>
      <c r="AP135" s="2996"/>
      <c r="AQ135" s="2996"/>
      <c r="AR135" s="2996"/>
      <c r="AS135" s="2996"/>
      <c r="AT135" s="2996"/>
      <c r="AU135" s="2997"/>
      <c r="AW135" s="197"/>
      <c r="AX135" s="197"/>
    </row>
    <row r="136" spans="1:53" ht="15.75" customHeight="1" x14ac:dyDescent="0.15">
      <c r="A136" s="2"/>
      <c r="B136" s="335"/>
      <c r="C136" s="335"/>
      <c r="D136" s="335"/>
      <c r="E136" s="335"/>
      <c r="F136" s="335"/>
      <c r="G136" s="335"/>
      <c r="H136" s="335"/>
      <c r="I136" s="335"/>
      <c r="J136" s="335"/>
      <c r="K136" s="335"/>
      <c r="L136" s="335"/>
      <c r="M136" s="335"/>
      <c r="N136" s="335"/>
      <c r="O136" s="335"/>
      <c r="P136" s="335"/>
      <c r="Q136" s="335"/>
      <c r="R136" s="335"/>
      <c r="S136" s="335"/>
      <c r="T136" s="335"/>
      <c r="U136" s="335"/>
      <c r="V136" s="335"/>
      <c r="W136" s="335"/>
      <c r="X136" s="335"/>
      <c r="Y136" s="3"/>
      <c r="Z136" s="2998"/>
      <c r="AA136" s="2999"/>
      <c r="AB136" s="2999"/>
      <c r="AC136" s="2999"/>
      <c r="AD136" s="2999"/>
      <c r="AE136" s="2999"/>
      <c r="AF136" s="2999"/>
      <c r="AG136" s="2999"/>
      <c r="AH136" s="2999"/>
      <c r="AI136" s="2999"/>
      <c r="AJ136" s="2999"/>
      <c r="AK136" s="2999"/>
      <c r="AL136" s="2999"/>
      <c r="AM136" s="2999"/>
      <c r="AN136" s="2999"/>
      <c r="AO136" s="2999"/>
      <c r="AP136" s="2999"/>
      <c r="AQ136" s="2999"/>
      <c r="AR136" s="2999"/>
      <c r="AS136" s="2999"/>
      <c r="AT136" s="2999"/>
      <c r="AU136" s="3000"/>
      <c r="AW136" s="197"/>
      <c r="AX136" s="197"/>
    </row>
    <row r="137" spans="1:53" ht="15.75" customHeight="1" x14ac:dyDescent="0.15">
      <c r="A137" s="2"/>
      <c r="B137" s="335"/>
      <c r="C137" s="335"/>
      <c r="D137" s="335"/>
      <c r="E137" s="335"/>
      <c r="F137" s="335"/>
      <c r="G137" s="335"/>
      <c r="H137" s="335"/>
      <c r="I137" s="335"/>
      <c r="J137" s="335"/>
      <c r="K137" s="335"/>
      <c r="L137" s="335"/>
      <c r="M137" s="335"/>
      <c r="N137" s="335"/>
      <c r="O137" s="335"/>
      <c r="P137" s="335"/>
      <c r="Q137" s="335"/>
      <c r="R137" s="335"/>
      <c r="S137" s="335"/>
      <c r="T137" s="335"/>
      <c r="U137" s="335"/>
      <c r="V137" s="335"/>
      <c r="W137" s="335"/>
      <c r="X137" s="335"/>
      <c r="Y137" s="3"/>
      <c r="Z137" s="3001"/>
      <c r="AA137" s="3002"/>
      <c r="AB137" s="3002"/>
      <c r="AC137" s="3002"/>
      <c r="AD137" s="3002"/>
      <c r="AE137" s="3002"/>
      <c r="AF137" s="3002"/>
      <c r="AG137" s="3002"/>
      <c r="AH137" s="3002"/>
      <c r="AI137" s="3002"/>
      <c r="AJ137" s="3002"/>
      <c r="AK137" s="3002"/>
      <c r="AL137" s="3002"/>
      <c r="AM137" s="3002"/>
      <c r="AN137" s="3002"/>
      <c r="AO137" s="3002"/>
      <c r="AP137" s="3002"/>
      <c r="AQ137" s="3002"/>
      <c r="AR137" s="3002"/>
      <c r="AS137" s="3002"/>
      <c r="AT137" s="3002"/>
      <c r="AU137" s="3003"/>
      <c r="AW137" s="197"/>
      <c r="AX137" s="197"/>
    </row>
    <row r="138" spans="1:53" ht="15.75" customHeight="1" x14ac:dyDescent="0.15">
      <c r="A138" s="2"/>
      <c r="B138" s="371"/>
      <c r="C138" s="371"/>
      <c r="D138" s="371"/>
      <c r="E138" s="371"/>
      <c r="F138" s="371"/>
      <c r="G138" s="371"/>
      <c r="H138" s="371"/>
      <c r="I138" s="371"/>
      <c r="J138" s="371"/>
      <c r="K138" s="371"/>
      <c r="L138" s="371"/>
      <c r="M138" s="371"/>
      <c r="N138" s="371"/>
      <c r="O138" s="371"/>
      <c r="P138" s="371"/>
      <c r="Q138" s="371"/>
      <c r="R138" s="371"/>
      <c r="S138" s="371"/>
      <c r="T138" s="371"/>
      <c r="U138" s="371"/>
      <c r="V138" s="371"/>
      <c r="W138" s="371"/>
      <c r="X138" s="371"/>
      <c r="Y138" s="3"/>
      <c r="Z138" s="3004"/>
      <c r="AA138" s="3005"/>
      <c r="AB138" s="3005"/>
      <c r="AC138" s="3005"/>
      <c r="AD138" s="3005"/>
      <c r="AE138" s="3005"/>
      <c r="AF138" s="3005"/>
      <c r="AG138" s="3005"/>
      <c r="AH138" s="3005"/>
      <c r="AI138" s="3005"/>
      <c r="AJ138" s="3005"/>
      <c r="AK138" s="3005"/>
      <c r="AL138" s="3005"/>
      <c r="AM138" s="3005"/>
      <c r="AN138" s="3005"/>
      <c r="AO138" s="3005"/>
      <c r="AP138" s="3005"/>
      <c r="AQ138" s="3005"/>
      <c r="AR138" s="3005"/>
      <c r="AS138" s="3005"/>
      <c r="AT138" s="3005"/>
      <c r="AU138" s="3006"/>
      <c r="AW138" s="197"/>
      <c r="AX138" s="197"/>
    </row>
    <row r="139" spans="1:53" ht="15.75" customHeight="1" x14ac:dyDescent="0.15">
      <c r="A139" s="2"/>
      <c r="B139" s="371"/>
      <c r="C139" s="371"/>
      <c r="D139" s="371"/>
      <c r="E139" s="371"/>
      <c r="F139" s="371"/>
      <c r="G139" s="371"/>
      <c r="H139" s="371"/>
      <c r="I139" s="371"/>
      <c r="J139" s="371"/>
      <c r="K139" s="371"/>
      <c r="L139" s="371"/>
      <c r="M139" s="371"/>
      <c r="N139" s="371"/>
      <c r="O139" s="371"/>
      <c r="P139" s="371"/>
      <c r="Q139" s="371"/>
      <c r="R139" s="371"/>
      <c r="S139" s="371"/>
      <c r="T139" s="371"/>
      <c r="U139" s="371"/>
      <c r="V139" s="371"/>
      <c r="W139" s="371"/>
      <c r="X139" s="371"/>
      <c r="Y139" s="3"/>
      <c r="Z139" s="3004"/>
      <c r="AA139" s="3005"/>
      <c r="AB139" s="3005"/>
      <c r="AC139" s="3005"/>
      <c r="AD139" s="3005"/>
      <c r="AE139" s="3005"/>
      <c r="AF139" s="3005"/>
      <c r="AG139" s="3005"/>
      <c r="AH139" s="3005"/>
      <c r="AI139" s="3005"/>
      <c r="AJ139" s="3005"/>
      <c r="AK139" s="3005"/>
      <c r="AL139" s="3005"/>
      <c r="AM139" s="3005"/>
      <c r="AN139" s="3005"/>
      <c r="AO139" s="3005"/>
      <c r="AP139" s="3005"/>
      <c r="AQ139" s="3005"/>
      <c r="AR139" s="3005"/>
      <c r="AS139" s="3005"/>
      <c r="AT139" s="3005"/>
      <c r="AU139" s="3006"/>
      <c r="AW139" s="197"/>
      <c r="AX139" s="197"/>
    </row>
    <row r="140" spans="1:53" ht="15.75" customHeight="1" x14ac:dyDescent="0.15">
      <c r="A140" s="2"/>
      <c r="B140" s="371"/>
      <c r="C140" s="371"/>
      <c r="D140" s="371"/>
      <c r="E140" s="371"/>
      <c r="F140" s="371"/>
      <c r="G140" s="371"/>
      <c r="H140" s="371"/>
      <c r="I140" s="371"/>
      <c r="J140" s="371"/>
      <c r="K140" s="371"/>
      <c r="L140" s="371"/>
      <c r="M140" s="371"/>
      <c r="N140" s="371"/>
      <c r="O140" s="371"/>
      <c r="P140" s="371"/>
      <c r="Q140" s="371"/>
      <c r="R140" s="371"/>
      <c r="S140" s="371"/>
      <c r="T140" s="371"/>
      <c r="U140" s="371"/>
      <c r="V140" s="371"/>
      <c r="W140" s="371"/>
      <c r="X140" s="371"/>
      <c r="Y140" s="3"/>
      <c r="Z140" s="3004"/>
      <c r="AA140" s="3005"/>
      <c r="AB140" s="3005"/>
      <c r="AC140" s="3005"/>
      <c r="AD140" s="3005"/>
      <c r="AE140" s="3005"/>
      <c r="AF140" s="3005"/>
      <c r="AG140" s="3005"/>
      <c r="AH140" s="3005"/>
      <c r="AI140" s="3005"/>
      <c r="AJ140" s="3005"/>
      <c r="AK140" s="3005"/>
      <c r="AL140" s="3005"/>
      <c r="AM140" s="3005"/>
      <c r="AN140" s="3005"/>
      <c r="AO140" s="3005"/>
      <c r="AP140" s="3005"/>
      <c r="AQ140" s="3005"/>
      <c r="AR140" s="3005"/>
      <c r="AS140" s="3005"/>
      <c r="AT140" s="3005"/>
      <c r="AU140" s="3006"/>
      <c r="AW140" s="197"/>
      <c r="AX140" s="197"/>
    </row>
    <row r="141" spans="1:53" ht="15.75" customHeight="1" x14ac:dyDescent="0.15">
      <c r="A141" s="2"/>
      <c r="B141" s="371"/>
      <c r="C141" s="371"/>
      <c r="D141" s="371"/>
      <c r="E141" s="371"/>
      <c r="F141" s="371"/>
      <c r="G141" s="371"/>
      <c r="H141" s="371"/>
      <c r="I141" s="371"/>
      <c r="J141" s="371"/>
      <c r="K141" s="3013" t="s">
        <v>157</v>
      </c>
      <c r="L141" s="3013"/>
      <c r="M141" s="3013"/>
      <c r="N141" s="3013"/>
      <c r="O141" s="3013"/>
      <c r="P141" s="3013"/>
      <c r="Q141" s="371"/>
      <c r="R141" s="371"/>
      <c r="S141" s="371"/>
      <c r="T141" s="371"/>
      <c r="U141" s="371"/>
      <c r="V141" s="371"/>
      <c r="W141" s="371"/>
      <c r="X141" s="371"/>
      <c r="Y141" s="3"/>
      <c r="Z141" s="3004"/>
      <c r="AA141" s="3005"/>
      <c r="AB141" s="3005"/>
      <c r="AC141" s="3005"/>
      <c r="AD141" s="3005"/>
      <c r="AE141" s="3005"/>
      <c r="AF141" s="3005"/>
      <c r="AG141" s="3005"/>
      <c r="AH141" s="3005"/>
      <c r="AI141" s="3005"/>
      <c r="AJ141" s="3005"/>
      <c r="AK141" s="3005"/>
      <c r="AL141" s="3005"/>
      <c r="AM141" s="3005"/>
      <c r="AN141" s="3005"/>
      <c r="AO141" s="3005"/>
      <c r="AP141" s="3005"/>
      <c r="AQ141" s="3005"/>
      <c r="AR141" s="3005"/>
      <c r="AS141" s="3005"/>
      <c r="AT141" s="3005"/>
      <c r="AU141" s="3006"/>
      <c r="AW141" s="197"/>
      <c r="AX141" s="197"/>
    </row>
    <row r="142" spans="1:53" ht="15.75" customHeight="1" x14ac:dyDescent="0.15">
      <c r="A142" s="2"/>
      <c r="B142" s="371"/>
      <c r="C142" s="371"/>
      <c r="D142" s="371"/>
      <c r="E142" s="371"/>
      <c r="F142" s="371"/>
      <c r="G142" s="371"/>
      <c r="H142" s="371"/>
      <c r="I142" s="371"/>
      <c r="J142" s="371"/>
      <c r="K142" s="371"/>
      <c r="L142" s="371"/>
      <c r="M142" s="371"/>
      <c r="N142" s="371"/>
      <c r="O142" s="371"/>
      <c r="P142" s="371"/>
      <c r="Q142" s="371"/>
      <c r="R142" s="371"/>
      <c r="S142" s="371"/>
      <c r="T142" s="371"/>
      <c r="U142" s="371"/>
      <c r="V142" s="371"/>
      <c r="W142" s="371"/>
      <c r="X142" s="371"/>
      <c r="Y142" s="3"/>
      <c r="Z142" s="3004"/>
      <c r="AA142" s="3005"/>
      <c r="AB142" s="3005"/>
      <c r="AC142" s="3005"/>
      <c r="AD142" s="3005"/>
      <c r="AE142" s="3005"/>
      <c r="AF142" s="3005"/>
      <c r="AG142" s="3005"/>
      <c r="AH142" s="3005"/>
      <c r="AI142" s="3005"/>
      <c r="AJ142" s="3005"/>
      <c r="AK142" s="3005"/>
      <c r="AL142" s="3005"/>
      <c r="AM142" s="3005"/>
      <c r="AN142" s="3005"/>
      <c r="AO142" s="3005"/>
      <c r="AP142" s="3005"/>
      <c r="AQ142" s="3005"/>
      <c r="AR142" s="3005"/>
      <c r="AS142" s="3005"/>
      <c r="AT142" s="3005"/>
      <c r="AU142" s="3006"/>
      <c r="AW142" s="197"/>
      <c r="AX142" s="197"/>
    </row>
    <row r="143" spans="1:53" ht="15.75" customHeight="1" x14ac:dyDescent="0.15">
      <c r="A143" s="2"/>
      <c r="B143" s="371"/>
      <c r="C143" s="371"/>
      <c r="D143" s="371"/>
      <c r="E143" s="371"/>
      <c r="F143" s="371"/>
      <c r="G143" s="371"/>
      <c r="H143" s="371"/>
      <c r="I143" s="371"/>
      <c r="J143" s="371"/>
      <c r="K143" s="371"/>
      <c r="L143" s="371"/>
      <c r="M143" s="371"/>
      <c r="N143" s="371"/>
      <c r="O143" s="371"/>
      <c r="P143" s="371"/>
      <c r="Q143" s="371"/>
      <c r="R143" s="371"/>
      <c r="S143" s="371"/>
      <c r="T143" s="371"/>
      <c r="U143" s="371"/>
      <c r="V143" s="371"/>
      <c r="W143" s="371"/>
      <c r="X143" s="371"/>
      <c r="Y143" s="3"/>
      <c r="Z143" s="3004"/>
      <c r="AA143" s="3005"/>
      <c r="AB143" s="3005"/>
      <c r="AC143" s="3005"/>
      <c r="AD143" s="3005"/>
      <c r="AE143" s="3005"/>
      <c r="AF143" s="3005"/>
      <c r="AG143" s="3005"/>
      <c r="AH143" s="3005"/>
      <c r="AI143" s="3005"/>
      <c r="AJ143" s="3005"/>
      <c r="AK143" s="3005"/>
      <c r="AL143" s="3005"/>
      <c r="AM143" s="3005"/>
      <c r="AN143" s="3005"/>
      <c r="AO143" s="3005"/>
      <c r="AP143" s="3005"/>
      <c r="AQ143" s="3005"/>
      <c r="AR143" s="3005"/>
      <c r="AS143" s="3005"/>
      <c r="AT143" s="3005"/>
      <c r="AU143" s="3006"/>
      <c r="AW143" s="197"/>
      <c r="AX143" s="197"/>
    </row>
    <row r="144" spans="1:53" ht="15.75" customHeight="1" x14ac:dyDescent="0.15">
      <c r="A144" s="2"/>
      <c r="B144" s="371"/>
      <c r="C144" s="371"/>
      <c r="D144" s="371"/>
      <c r="E144" s="371"/>
      <c r="F144" s="371"/>
      <c r="G144" s="371"/>
      <c r="H144" s="371"/>
      <c r="I144" s="371"/>
      <c r="J144" s="371"/>
      <c r="K144" s="371"/>
      <c r="L144" s="371"/>
      <c r="M144" s="371"/>
      <c r="N144" s="371"/>
      <c r="O144" s="371"/>
      <c r="P144" s="371"/>
      <c r="Q144" s="371"/>
      <c r="R144" s="371"/>
      <c r="S144" s="371"/>
      <c r="T144" s="371"/>
      <c r="U144" s="371"/>
      <c r="V144" s="371"/>
      <c r="W144" s="371"/>
      <c r="X144" s="371"/>
      <c r="Y144" s="3"/>
      <c r="Z144" s="3004"/>
      <c r="AA144" s="3005"/>
      <c r="AB144" s="3005"/>
      <c r="AC144" s="3005"/>
      <c r="AD144" s="3005"/>
      <c r="AE144" s="3005"/>
      <c r="AF144" s="3005"/>
      <c r="AG144" s="3005"/>
      <c r="AH144" s="3005"/>
      <c r="AI144" s="3005"/>
      <c r="AJ144" s="3005"/>
      <c r="AK144" s="3005"/>
      <c r="AL144" s="3005"/>
      <c r="AM144" s="3005"/>
      <c r="AN144" s="3005"/>
      <c r="AO144" s="3005"/>
      <c r="AP144" s="3005"/>
      <c r="AQ144" s="3005"/>
      <c r="AR144" s="3005"/>
      <c r="AS144" s="3005"/>
      <c r="AT144" s="3005"/>
      <c r="AU144" s="3006"/>
      <c r="AW144" s="197"/>
      <c r="AX144" s="197"/>
    </row>
    <row r="145" spans="1:53" ht="15.75" customHeight="1" x14ac:dyDescent="0.15">
      <c r="A145" s="2"/>
      <c r="B145" s="371"/>
      <c r="C145" s="371"/>
      <c r="D145" s="371"/>
      <c r="E145" s="371"/>
      <c r="F145" s="371"/>
      <c r="G145" s="371"/>
      <c r="H145" s="371"/>
      <c r="I145" s="371"/>
      <c r="J145" s="371"/>
      <c r="K145" s="371"/>
      <c r="L145" s="371"/>
      <c r="M145" s="371"/>
      <c r="N145" s="371"/>
      <c r="O145" s="371"/>
      <c r="P145" s="371"/>
      <c r="Q145" s="371"/>
      <c r="R145" s="371"/>
      <c r="S145" s="371"/>
      <c r="T145" s="371"/>
      <c r="U145" s="371"/>
      <c r="V145" s="371"/>
      <c r="W145" s="371"/>
      <c r="X145" s="371"/>
      <c r="Y145" s="3"/>
      <c r="Z145" s="3004"/>
      <c r="AA145" s="3005"/>
      <c r="AB145" s="3005"/>
      <c r="AC145" s="3005"/>
      <c r="AD145" s="3005"/>
      <c r="AE145" s="3005"/>
      <c r="AF145" s="3005"/>
      <c r="AG145" s="3005"/>
      <c r="AH145" s="3005"/>
      <c r="AI145" s="3005"/>
      <c r="AJ145" s="3005"/>
      <c r="AK145" s="3005"/>
      <c r="AL145" s="3005"/>
      <c r="AM145" s="3005"/>
      <c r="AN145" s="3005"/>
      <c r="AO145" s="3005"/>
      <c r="AP145" s="3005"/>
      <c r="AQ145" s="3005"/>
      <c r="AR145" s="3005"/>
      <c r="AS145" s="3005"/>
      <c r="AT145" s="3005"/>
      <c r="AU145" s="3006"/>
      <c r="AW145" s="197"/>
      <c r="AX145" s="197"/>
    </row>
    <row r="146" spans="1:53" ht="15.75" customHeight="1" x14ac:dyDescent="0.15">
      <c r="A146" s="2"/>
      <c r="B146" s="371"/>
      <c r="C146" s="371"/>
      <c r="D146" s="371"/>
      <c r="E146" s="371"/>
      <c r="F146" s="371"/>
      <c r="G146" s="371"/>
      <c r="H146" s="371"/>
      <c r="I146" s="371"/>
      <c r="J146" s="371"/>
      <c r="K146" s="371"/>
      <c r="L146" s="371"/>
      <c r="M146" s="371"/>
      <c r="N146" s="371"/>
      <c r="O146" s="371"/>
      <c r="P146" s="371"/>
      <c r="Q146" s="371"/>
      <c r="R146" s="371"/>
      <c r="S146" s="371"/>
      <c r="T146" s="371"/>
      <c r="U146" s="371"/>
      <c r="V146" s="371"/>
      <c r="W146" s="371"/>
      <c r="X146" s="371"/>
      <c r="Y146" s="3"/>
      <c r="Z146" s="3004"/>
      <c r="AA146" s="3005"/>
      <c r="AB146" s="3005"/>
      <c r="AC146" s="3005"/>
      <c r="AD146" s="3005"/>
      <c r="AE146" s="3005"/>
      <c r="AF146" s="3005"/>
      <c r="AG146" s="3005"/>
      <c r="AH146" s="3005"/>
      <c r="AI146" s="3005"/>
      <c r="AJ146" s="3005"/>
      <c r="AK146" s="3005"/>
      <c r="AL146" s="3005"/>
      <c r="AM146" s="3005"/>
      <c r="AN146" s="3005"/>
      <c r="AO146" s="3005"/>
      <c r="AP146" s="3005"/>
      <c r="AQ146" s="3005"/>
      <c r="AR146" s="3005"/>
      <c r="AS146" s="3005"/>
      <c r="AT146" s="3005"/>
      <c r="AU146" s="3006"/>
      <c r="AW146" s="197"/>
      <c r="AX146" s="197"/>
    </row>
    <row r="147" spans="1:53" ht="15.75" customHeight="1" x14ac:dyDescent="0.15">
      <c r="A147" s="2"/>
      <c r="B147" s="371"/>
      <c r="C147" s="371"/>
      <c r="D147" s="371"/>
      <c r="E147" s="371"/>
      <c r="F147" s="371"/>
      <c r="G147" s="371"/>
      <c r="H147" s="371"/>
      <c r="I147" s="371"/>
      <c r="J147" s="371"/>
      <c r="K147" s="371"/>
      <c r="L147" s="371"/>
      <c r="M147" s="371"/>
      <c r="N147" s="371"/>
      <c r="O147" s="371"/>
      <c r="P147" s="371"/>
      <c r="Q147" s="371"/>
      <c r="R147" s="371"/>
      <c r="S147" s="371"/>
      <c r="T147" s="371"/>
      <c r="U147" s="371"/>
      <c r="V147" s="371"/>
      <c r="W147" s="371"/>
      <c r="X147" s="371"/>
      <c r="Y147" s="3"/>
      <c r="Z147" s="3004"/>
      <c r="AA147" s="3005"/>
      <c r="AB147" s="3005"/>
      <c r="AC147" s="3005"/>
      <c r="AD147" s="3005"/>
      <c r="AE147" s="3005"/>
      <c r="AF147" s="3005"/>
      <c r="AG147" s="3005"/>
      <c r="AH147" s="3005"/>
      <c r="AI147" s="3005"/>
      <c r="AJ147" s="3005"/>
      <c r="AK147" s="3005"/>
      <c r="AL147" s="3005"/>
      <c r="AM147" s="3005"/>
      <c r="AN147" s="3005"/>
      <c r="AO147" s="3005"/>
      <c r="AP147" s="3005"/>
      <c r="AQ147" s="3005"/>
      <c r="AR147" s="3005"/>
      <c r="AS147" s="3005"/>
      <c r="AT147" s="3005"/>
      <c r="AU147" s="3006"/>
      <c r="AW147" s="197"/>
      <c r="AX147" s="197"/>
    </row>
    <row r="148" spans="1:53" ht="15.75" customHeight="1" x14ac:dyDescent="0.15">
      <c r="A148" s="2"/>
      <c r="B148" s="371"/>
      <c r="C148" s="371"/>
      <c r="D148" s="371"/>
      <c r="E148" s="371"/>
      <c r="F148" s="371"/>
      <c r="G148" s="371"/>
      <c r="H148" s="371"/>
      <c r="I148" s="371"/>
      <c r="J148" s="371"/>
      <c r="K148" s="371"/>
      <c r="L148" s="371"/>
      <c r="M148" s="371"/>
      <c r="N148" s="371"/>
      <c r="O148" s="371"/>
      <c r="P148" s="371"/>
      <c r="Q148" s="371"/>
      <c r="R148" s="371"/>
      <c r="S148" s="371"/>
      <c r="T148" s="371"/>
      <c r="U148" s="371"/>
      <c r="V148" s="371"/>
      <c r="W148" s="371"/>
      <c r="X148" s="371"/>
      <c r="Y148" s="3"/>
      <c r="Z148" s="3004"/>
      <c r="AA148" s="3005"/>
      <c r="AB148" s="3005"/>
      <c r="AC148" s="3005"/>
      <c r="AD148" s="3005"/>
      <c r="AE148" s="3005"/>
      <c r="AF148" s="3005"/>
      <c r="AG148" s="3005"/>
      <c r="AH148" s="3005"/>
      <c r="AI148" s="3005"/>
      <c r="AJ148" s="3005"/>
      <c r="AK148" s="3005"/>
      <c r="AL148" s="3005"/>
      <c r="AM148" s="3005"/>
      <c r="AN148" s="3005"/>
      <c r="AO148" s="3005"/>
      <c r="AP148" s="3005"/>
      <c r="AQ148" s="3005"/>
      <c r="AR148" s="3005"/>
      <c r="AS148" s="3005"/>
      <c r="AT148" s="3005"/>
      <c r="AU148" s="3006"/>
      <c r="AW148" s="197"/>
      <c r="AX148" s="197"/>
    </row>
    <row r="149" spans="1:53" ht="15.75" customHeight="1" x14ac:dyDescent="0.15">
      <c r="A149" s="2"/>
      <c r="B149" s="371"/>
      <c r="C149" s="371"/>
      <c r="D149" s="371"/>
      <c r="E149" s="371"/>
      <c r="F149" s="371"/>
      <c r="G149" s="371"/>
      <c r="H149" s="371"/>
      <c r="I149" s="371"/>
      <c r="J149" s="371"/>
      <c r="K149" s="371"/>
      <c r="L149" s="371"/>
      <c r="M149" s="371"/>
      <c r="N149" s="371"/>
      <c r="O149" s="371"/>
      <c r="P149" s="371"/>
      <c r="Q149" s="371"/>
      <c r="R149" s="371"/>
      <c r="S149" s="371"/>
      <c r="T149" s="371"/>
      <c r="U149" s="371"/>
      <c r="V149" s="371"/>
      <c r="W149" s="371"/>
      <c r="X149" s="371"/>
      <c r="Y149" s="3"/>
      <c r="Z149" s="3004"/>
      <c r="AA149" s="3005"/>
      <c r="AB149" s="3005"/>
      <c r="AC149" s="3005"/>
      <c r="AD149" s="3005"/>
      <c r="AE149" s="3005"/>
      <c r="AF149" s="3005"/>
      <c r="AG149" s="3005"/>
      <c r="AH149" s="3005"/>
      <c r="AI149" s="3005"/>
      <c r="AJ149" s="3005"/>
      <c r="AK149" s="3005"/>
      <c r="AL149" s="3005"/>
      <c r="AM149" s="3005"/>
      <c r="AN149" s="3005"/>
      <c r="AO149" s="3005"/>
      <c r="AP149" s="3005"/>
      <c r="AQ149" s="3005"/>
      <c r="AR149" s="3005"/>
      <c r="AS149" s="3005"/>
      <c r="AT149" s="3005"/>
      <c r="AU149" s="3006"/>
      <c r="AW149" s="197"/>
      <c r="AX149" s="197"/>
    </row>
    <row r="150" spans="1:53" ht="15.75" customHeight="1" x14ac:dyDescent="0.15">
      <c r="A150" s="6"/>
      <c r="B150" s="4"/>
      <c r="C150" s="4"/>
      <c r="D150" s="4"/>
      <c r="E150" s="4"/>
      <c r="F150" s="4"/>
      <c r="G150" s="4"/>
      <c r="H150" s="4"/>
      <c r="I150" s="4"/>
      <c r="J150" s="4"/>
      <c r="K150" s="4"/>
      <c r="L150" s="4"/>
      <c r="M150" s="4"/>
      <c r="N150" s="4"/>
      <c r="O150" s="4"/>
      <c r="P150" s="4"/>
      <c r="Q150" s="4"/>
      <c r="R150" s="4"/>
      <c r="S150" s="4"/>
      <c r="T150" s="4"/>
      <c r="U150" s="4"/>
      <c r="V150" s="4"/>
      <c r="W150" s="4"/>
      <c r="X150" s="4"/>
      <c r="Y150" s="5"/>
      <c r="Z150" s="3007"/>
      <c r="AA150" s="3008"/>
      <c r="AB150" s="3008"/>
      <c r="AC150" s="3008"/>
      <c r="AD150" s="3008"/>
      <c r="AE150" s="3008"/>
      <c r="AF150" s="3008"/>
      <c r="AG150" s="3008"/>
      <c r="AH150" s="3008"/>
      <c r="AI150" s="3008"/>
      <c r="AJ150" s="3008"/>
      <c r="AK150" s="3008"/>
      <c r="AL150" s="3008"/>
      <c r="AM150" s="3008"/>
      <c r="AN150" s="3008"/>
      <c r="AO150" s="3008"/>
      <c r="AP150" s="3008"/>
      <c r="AQ150" s="3008"/>
      <c r="AR150" s="3008"/>
      <c r="AS150" s="3008"/>
      <c r="AT150" s="3008"/>
      <c r="AU150" s="3009"/>
      <c r="AW150" s="197"/>
      <c r="AX150" s="197"/>
    </row>
    <row r="151" spans="1:53" ht="12.75" customHeight="1" x14ac:dyDescent="0.15">
      <c r="AW151" s="197"/>
      <c r="AX151" s="197"/>
    </row>
    <row r="152" spans="1:53" ht="15.75" customHeight="1" x14ac:dyDescent="0.15">
      <c r="A152" s="3018" t="s">
        <v>154</v>
      </c>
      <c r="B152" s="3019"/>
      <c r="C152" s="3020"/>
      <c r="D152" s="3037" t="s">
        <v>155</v>
      </c>
      <c r="E152" s="3038"/>
      <c r="F152" s="3038"/>
      <c r="G152" s="3038"/>
      <c r="H152" s="3038"/>
      <c r="I152" s="3038"/>
      <c r="J152" s="3039"/>
      <c r="K152" s="344"/>
      <c r="L152" s="341"/>
      <c r="M152" s="341"/>
      <c r="N152" s="341"/>
      <c r="O152" s="341"/>
      <c r="P152" s="341"/>
      <c r="Q152" s="341"/>
      <c r="R152" s="341"/>
      <c r="S152" s="342" t="s">
        <v>7</v>
      </c>
      <c r="T152" s="342" t="s">
        <v>8</v>
      </c>
      <c r="U152" s="342" t="s">
        <v>9</v>
      </c>
      <c r="V152" s="342" t="s">
        <v>156</v>
      </c>
      <c r="W152" s="342"/>
      <c r="X152" s="342"/>
      <c r="Y152" s="342"/>
      <c r="Z152" s="342"/>
      <c r="AA152" s="342"/>
      <c r="AB152" s="342"/>
      <c r="AC152" s="342"/>
      <c r="AD152" s="342"/>
      <c r="AE152" s="342"/>
      <c r="AF152" s="342"/>
      <c r="AG152" s="342"/>
      <c r="AH152" s="342"/>
      <c r="AI152" s="343"/>
      <c r="AJ152" s="344"/>
      <c r="AK152" s="3038" t="s">
        <v>33</v>
      </c>
      <c r="AL152" s="3038"/>
      <c r="AM152" s="3038"/>
      <c r="AN152" s="3038"/>
      <c r="AO152" s="3038"/>
      <c r="AP152" s="3038"/>
      <c r="AQ152" s="3038"/>
      <c r="AR152" s="3038"/>
      <c r="AS152" s="3038"/>
      <c r="AT152" s="3038"/>
      <c r="AU152" s="345"/>
      <c r="AW152" s="197"/>
      <c r="AX152" s="197"/>
    </row>
    <row r="153" spans="1:53" ht="15.75" customHeight="1" thickBot="1" x14ac:dyDescent="0.2">
      <c r="A153" s="3031"/>
      <c r="B153" s="3032"/>
      <c r="C153" s="3033"/>
      <c r="D153" s="3018" t="str">
        <f>IFERROR(VLOOKUP(6,'1_入力シート【基本情報】'!$DU$319:$DX$534,3,FALSE),"")</f>
        <v/>
      </c>
      <c r="E153" s="3019"/>
      <c r="F153" s="3019"/>
      <c r="G153" s="3019"/>
      <c r="H153" s="3019"/>
      <c r="I153" s="3019"/>
      <c r="J153" s="3020"/>
      <c r="K153" s="2995" t="str">
        <f>IFERROR(VLOOKUP(6,'1_入力シート【基本情報】'!$DU$319:$DX$534,4,FALSE),"")</f>
        <v/>
      </c>
      <c r="L153" s="2996"/>
      <c r="M153" s="2996"/>
      <c r="N153" s="2996"/>
      <c r="O153" s="2996"/>
      <c r="P153" s="2996"/>
      <c r="Q153" s="2996"/>
      <c r="R153" s="2996"/>
      <c r="S153" s="2996"/>
      <c r="T153" s="2996"/>
      <c r="U153" s="2996"/>
      <c r="V153" s="2996"/>
      <c r="W153" s="2996"/>
      <c r="X153" s="2996"/>
      <c r="Y153" s="2996"/>
      <c r="Z153" s="2996"/>
      <c r="AA153" s="2996"/>
      <c r="AB153" s="2996"/>
      <c r="AC153" s="2996"/>
      <c r="AD153" s="2996"/>
      <c r="AE153" s="2996"/>
      <c r="AF153" s="2996"/>
      <c r="AG153" s="2996"/>
      <c r="AH153" s="2996"/>
      <c r="AI153" s="2997"/>
      <c r="AJ153" s="367"/>
      <c r="AK153" s="367"/>
      <c r="AL153" s="367"/>
      <c r="AM153" s="367"/>
      <c r="AN153" s="367"/>
      <c r="AO153" s="367"/>
      <c r="AP153" s="367"/>
      <c r="AQ153" s="367"/>
      <c r="AR153" s="367"/>
      <c r="AS153" s="367"/>
      <c r="AT153" s="367"/>
      <c r="AU153" s="368"/>
      <c r="AW153" s="197"/>
      <c r="AX153" s="197"/>
    </row>
    <row r="154" spans="1:53" ht="15.75" customHeight="1" thickBot="1" x14ac:dyDescent="0.2">
      <c r="A154" s="3031"/>
      <c r="B154" s="3032"/>
      <c r="C154" s="3033"/>
      <c r="D154" s="3021"/>
      <c r="E154" s="3022"/>
      <c r="F154" s="3022"/>
      <c r="G154" s="3022"/>
      <c r="H154" s="3022"/>
      <c r="I154" s="3022"/>
      <c r="J154" s="3023"/>
      <c r="K154" s="2998"/>
      <c r="L154" s="2999"/>
      <c r="M154" s="2999"/>
      <c r="N154" s="2999"/>
      <c r="O154" s="2999"/>
      <c r="P154" s="2999"/>
      <c r="Q154" s="2999"/>
      <c r="R154" s="2999"/>
      <c r="S154" s="2999"/>
      <c r="T154" s="2999"/>
      <c r="U154" s="2999"/>
      <c r="V154" s="2999"/>
      <c r="W154" s="2999"/>
      <c r="X154" s="2999"/>
      <c r="Y154" s="2999"/>
      <c r="Z154" s="2999"/>
      <c r="AA154" s="2999"/>
      <c r="AB154" s="2999"/>
      <c r="AC154" s="2999"/>
      <c r="AD154" s="2999"/>
      <c r="AE154" s="2999"/>
      <c r="AF154" s="2999"/>
      <c r="AG154" s="2999"/>
      <c r="AH154" s="2999"/>
      <c r="AI154" s="3000"/>
      <c r="AJ154" s="367"/>
      <c r="AK154" s="367" t="str">
        <f>IF(D153&lt;&gt;"","☑","☐")</f>
        <v>☐</v>
      </c>
      <c r="AL154" s="367" t="s">
        <v>14</v>
      </c>
      <c r="AM154" s="367" t="s">
        <v>21</v>
      </c>
      <c r="AN154" s="367" t="s">
        <v>15</v>
      </c>
      <c r="AO154" s="367"/>
      <c r="AP154" s="426" t="s">
        <v>179</v>
      </c>
      <c r="AQ154" s="367" t="s">
        <v>27</v>
      </c>
      <c r="AR154" s="367" t="s">
        <v>23</v>
      </c>
      <c r="AS154" s="367" t="s">
        <v>13</v>
      </c>
      <c r="AT154" s="367"/>
      <c r="AU154" s="368"/>
      <c r="AW154" s="197"/>
      <c r="AX154" s="197"/>
      <c r="BA154" s="430" t="b">
        <f>AP154="☑"</f>
        <v>0</v>
      </c>
    </row>
    <row r="155" spans="1:53" ht="15.75" customHeight="1" x14ac:dyDescent="0.15">
      <c r="A155" s="3034"/>
      <c r="B155" s="3035"/>
      <c r="C155" s="3036"/>
      <c r="D155" s="3024"/>
      <c r="E155" s="3025"/>
      <c r="F155" s="3025"/>
      <c r="G155" s="3025"/>
      <c r="H155" s="3025"/>
      <c r="I155" s="3025"/>
      <c r="J155" s="3026"/>
      <c r="K155" s="3028"/>
      <c r="L155" s="3029"/>
      <c r="M155" s="3029"/>
      <c r="N155" s="3029"/>
      <c r="O155" s="3029"/>
      <c r="P155" s="3029"/>
      <c r="Q155" s="3029"/>
      <c r="R155" s="3029"/>
      <c r="S155" s="3029"/>
      <c r="T155" s="3029"/>
      <c r="U155" s="3029"/>
      <c r="V155" s="3029"/>
      <c r="W155" s="3029"/>
      <c r="X155" s="3029"/>
      <c r="Y155" s="3029"/>
      <c r="Z155" s="3029"/>
      <c r="AA155" s="3029"/>
      <c r="AB155" s="3029"/>
      <c r="AC155" s="3029"/>
      <c r="AD155" s="3029"/>
      <c r="AE155" s="3029"/>
      <c r="AF155" s="3029"/>
      <c r="AG155" s="3029"/>
      <c r="AH155" s="3029"/>
      <c r="AI155" s="3030"/>
      <c r="AJ155" s="369"/>
      <c r="AK155" s="369"/>
      <c r="AL155" s="369"/>
      <c r="AM155" s="369"/>
      <c r="AN155" s="369"/>
      <c r="AO155" s="369"/>
      <c r="AP155" s="369"/>
      <c r="AQ155" s="369"/>
      <c r="AR155" s="369"/>
      <c r="AS155" s="369"/>
      <c r="AT155" s="369"/>
      <c r="AU155" s="370"/>
      <c r="AW155" s="197"/>
      <c r="AX155" s="197"/>
    </row>
    <row r="156" spans="1:53" ht="15.75" customHeight="1" x14ac:dyDescent="0.15">
      <c r="A156" s="2"/>
      <c r="B156" s="335"/>
      <c r="C156" s="335"/>
      <c r="D156" s="335"/>
      <c r="E156" s="335"/>
      <c r="F156" s="335"/>
      <c r="G156" s="335"/>
      <c r="H156" s="335"/>
      <c r="I156" s="335"/>
      <c r="J156" s="335"/>
      <c r="K156" s="335"/>
      <c r="L156" s="335"/>
      <c r="M156" s="335"/>
      <c r="N156" s="335"/>
      <c r="O156" s="335"/>
      <c r="P156" s="335"/>
      <c r="Q156" s="335"/>
      <c r="R156" s="335"/>
      <c r="S156" s="335"/>
      <c r="T156" s="335"/>
      <c r="U156" s="335"/>
      <c r="V156" s="335"/>
      <c r="W156" s="335"/>
      <c r="X156" s="335"/>
      <c r="Y156" s="3"/>
      <c r="Z156" s="47"/>
      <c r="AA156" s="48" t="s">
        <v>11</v>
      </c>
      <c r="AB156" s="48" t="s">
        <v>10</v>
      </c>
      <c r="AC156" s="48" t="s">
        <v>16</v>
      </c>
      <c r="AD156" s="48" t="s">
        <v>9</v>
      </c>
      <c r="AE156" s="48"/>
      <c r="AF156" s="48"/>
      <c r="AG156" s="48"/>
      <c r="AH156" s="48"/>
      <c r="AI156" s="48"/>
      <c r="AJ156" s="49"/>
      <c r="AK156" s="49"/>
      <c r="AL156" s="49"/>
      <c r="AM156" s="49"/>
      <c r="AN156" s="49"/>
      <c r="AO156" s="49"/>
      <c r="AP156" s="49"/>
      <c r="AQ156" s="49"/>
      <c r="AR156" s="49"/>
      <c r="AS156" s="49"/>
      <c r="AT156" s="49"/>
      <c r="AU156" s="334"/>
      <c r="AW156" s="197"/>
      <c r="AX156" s="197"/>
    </row>
    <row r="157" spans="1:53" ht="15.75" customHeight="1" x14ac:dyDescent="0.15">
      <c r="A157" s="2"/>
      <c r="B157" s="335"/>
      <c r="C157" s="335"/>
      <c r="D157" s="335"/>
      <c r="E157" s="335"/>
      <c r="F157" s="335"/>
      <c r="G157" s="335"/>
      <c r="H157" s="335"/>
      <c r="I157" s="335"/>
      <c r="J157" s="335"/>
      <c r="K157" s="335"/>
      <c r="L157" s="335"/>
      <c r="M157" s="335"/>
      <c r="N157" s="335"/>
      <c r="O157" s="335"/>
      <c r="P157" s="335"/>
      <c r="Q157" s="335"/>
      <c r="R157" s="335"/>
      <c r="S157" s="335"/>
      <c r="T157" s="335"/>
      <c r="U157" s="335"/>
      <c r="V157" s="335"/>
      <c r="W157" s="335"/>
      <c r="X157" s="335"/>
      <c r="Y157" s="3"/>
      <c r="Z157" s="3010"/>
      <c r="AA157" s="3011"/>
      <c r="AB157" s="3011"/>
      <c r="AC157" s="3011"/>
      <c r="AD157" s="3011"/>
      <c r="AE157" s="3011"/>
      <c r="AF157" s="3011"/>
      <c r="AG157" s="3011"/>
      <c r="AH157" s="3011"/>
      <c r="AI157" s="3011"/>
      <c r="AJ157" s="3011"/>
      <c r="AK157" s="3011"/>
      <c r="AL157" s="3011"/>
      <c r="AM157" s="3011"/>
      <c r="AN157" s="3011"/>
      <c r="AO157" s="104"/>
      <c r="AP157" s="104"/>
      <c r="AQ157" s="104"/>
      <c r="AR157" s="104"/>
      <c r="AS157" s="104"/>
      <c r="AT157" s="104"/>
      <c r="AU157" s="105"/>
      <c r="AW157" s="197"/>
      <c r="AX157" s="197"/>
    </row>
    <row r="158" spans="1:53" ht="15.75" customHeight="1" x14ac:dyDescent="0.15">
      <c r="A158" s="2"/>
      <c r="B158" s="335"/>
      <c r="C158" s="335"/>
      <c r="D158" s="335"/>
      <c r="E158" s="335"/>
      <c r="F158" s="335"/>
      <c r="G158" s="335"/>
      <c r="H158" s="335"/>
      <c r="I158" s="335"/>
      <c r="J158" s="335"/>
      <c r="K158" s="335"/>
      <c r="L158" s="335"/>
      <c r="M158" s="335"/>
      <c r="N158" s="335"/>
      <c r="O158" s="335"/>
      <c r="P158" s="335"/>
      <c r="Q158" s="335"/>
      <c r="R158" s="335"/>
      <c r="S158" s="335"/>
      <c r="T158" s="335"/>
      <c r="U158" s="335"/>
      <c r="V158" s="335"/>
      <c r="W158" s="335"/>
      <c r="X158" s="335"/>
      <c r="Y158" s="3"/>
      <c r="Z158" s="2995" t="str">
        <f>IFERROR(VLOOKUP(6,'1_入力シート【基本情報】'!$DU$319:$DZ$534,5,FALSE),"")</f>
        <v/>
      </c>
      <c r="AA158" s="2996"/>
      <c r="AB158" s="2996"/>
      <c r="AC158" s="2996"/>
      <c r="AD158" s="2996"/>
      <c r="AE158" s="2996"/>
      <c r="AF158" s="2996"/>
      <c r="AG158" s="2996"/>
      <c r="AH158" s="2996"/>
      <c r="AI158" s="2996"/>
      <c r="AJ158" s="2996"/>
      <c r="AK158" s="2996"/>
      <c r="AL158" s="2996"/>
      <c r="AM158" s="2996"/>
      <c r="AN158" s="2996"/>
      <c r="AO158" s="2996"/>
      <c r="AP158" s="2996"/>
      <c r="AQ158" s="2996"/>
      <c r="AR158" s="2996"/>
      <c r="AS158" s="2996"/>
      <c r="AT158" s="2996"/>
      <c r="AU158" s="2997"/>
      <c r="AW158" s="197"/>
      <c r="AX158" s="197"/>
    </row>
    <row r="159" spans="1:53" ht="15.75" customHeight="1" x14ac:dyDescent="0.15">
      <c r="A159" s="2"/>
      <c r="B159" s="335"/>
      <c r="C159" s="335"/>
      <c r="D159" s="335"/>
      <c r="E159" s="335"/>
      <c r="F159" s="335"/>
      <c r="G159" s="335"/>
      <c r="H159" s="335"/>
      <c r="I159" s="335"/>
      <c r="J159" s="335"/>
      <c r="K159" s="335"/>
      <c r="L159" s="335"/>
      <c r="M159" s="335"/>
      <c r="N159" s="335"/>
      <c r="O159" s="335"/>
      <c r="P159" s="335"/>
      <c r="Q159" s="335"/>
      <c r="R159" s="335"/>
      <c r="S159" s="335"/>
      <c r="T159" s="335"/>
      <c r="U159" s="335"/>
      <c r="V159" s="335"/>
      <c r="W159" s="335"/>
      <c r="X159" s="335"/>
      <c r="Y159" s="3"/>
      <c r="Z159" s="2998"/>
      <c r="AA159" s="2999"/>
      <c r="AB159" s="2999"/>
      <c r="AC159" s="2999"/>
      <c r="AD159" s="2999"/>
      <c r="AE159" s="2999"/>
      <c r="AF159" s="2999"/>
      <c r="AG159" s="2999"/>
      <c r="AH159" s="2999"/>
      <c r="AI159" s="2999"/>
      <c r="AJ159" s="2999"/>
      <c r="AK159" s="2999"/>
      <c r="AL159" s="2999"/>
      <c r="AM159" s="2999"/>
      <c r="AN159" s="2999"/>
      <c r="AO159" s="2999"/>
      <c r="AP159" s="2999"/>
      <c r="AQ159" s="2999"/>
      <c r="AR159" s="2999"/>
      <c r="AS159" s="2999"/>
      <c r="AT159" s="2999"/>
      <c r="AU159" s="3000"/>
      <c r="AW159" s="197"/>
      <c r="AX159" s="197"/>
    </row>
    <row r="160" spans="1:53" ht="15.75" customHeight="1" x14ac:dyDescent="0.15">
      <c r="A160" s="2"/>
      <c r="B160" s="335"/>
      <c r="C160" s="335"/>
      <c r="D160" s="335"/>
      <c r="E160" s="335"/>
      <c r="F160" s="335"/>
      <c r="G160" s="335"/>
      <c r="H160" s="335"/>
      <c r="I160" s="335"/>
      <c r="J160" s="335"/>
      <c r="K160" s="335"/>
      <c r="L160" s="335"/>
      <c r="M160" s="335"/>
      <c r="N160" s="335"/>
      <c r="O160" s="335"/>
      <c r="P160" s="335"/>
      <c r="Q160" s="335"/>
      <c r="R160" s="335"/>
      <c r="S160" s="335"/>
      <c r="T160" s="335"/>
      <c r="U160" s="335"/>
      <c r="V160" s="335"/>
      <c r="W160" s="335"/>
      <c r="X160" s="335"/>
      <c r="Y160" s="3"/>
      <c r="Z160" s="3001"/>
      <c r="AA160" s="3002"/>
      <c r="AB160" s="3002"/>
      <c r="AC160" s="3002"/>
      <c r="AD160" s="3002"/>
      <c r="AE160" s="3002"/>
      <c r="AF160" s="3002"/>
      <c r="AG160" s="3002"/>
      <c r="AH160" s="3002"/>
      <c r="AI160" s="3002"/>
      <c r="AJ160" s="3002"/>
      <c r="AK160" s="3002"/>
      <c r="AL160" s="3002"/>
      <c r="AM160" s="3002"/>
      <c r="AN160" s="3002"/>
      <c r="AO160" s="3002"/>
      <c r="AP160" s="3002"/>
      <c r="AQ160" s="3002"/>
      <c r="AR160" s="3002"/>
      <c r="AS160" s="3002"/>
      <c r="AT160" s="3002"/>
      <c r="AU160" s="3003"/>
      <c r="AW160" s="197"/>
      <c r="AX160" s="197"/>
    </row>
    <row r="161" spans="1:50" ht="15.75" customHeight="1" x14ac:dyDescent="0.15">
      <c r="A161" s="2"/>
      <c r="B161" s="371"/>
      <c r="C161" s="371"/>
      <c r="D161" s="371"/>
      <c r="E161" s="371"/>
      <c r="F161" s="371"/>
      <c r="G161" s="371"/>
      <c r="H161" s="371"/>
      <c r="I161" s="371"/>
      <c r="J161" s="371"/>
      <c r="K161" s="371"/>
      <c r="L161" s="371"/>
      <c r="M161" s="371"/>
      <c r="N161" s="371"/>
      <c r="O161" s="371"/>
      <c r="P161" s="371"/>
      <c r="Q161" s="371"/>
      <c r="R161" s="371"/>
      <c r="S161" s="371"/>
      <c r="T161" s="371"/>
      <c r="U161" s="371"/>
      <c r="V161" s="371"/>
      <c r="W161" s="371"/>
      <c r="X161" s="371"/>
      <c r="Y161" s="3"/>
      <c r="Z161" s="3004"/>
      <c r="AA161" s="3005"/>
      <c r="AB161" s="3005"/>
      <c r="AC161" s="3005"/>
      <c r="AD161" s="3005"/>
      <c r="AE161" s="3005"/>
      <c r="AF161" s="3005"/>
      <c r="AG161" s="3005"/>
      <c r="AH161" s="3005"/>
      <c r="AI161" s="3005"/>
      <c r="AJ161" s="3005"/>
      <c r="AK161" s="3005"/>
      <c r="AL161" s="3005"/>
      <c r="AM161" s="3005"/>
      <c r="AN161" s="3005"/>
      <c r="AO161" s="3005"/>
      <c r="AP161" s="3005"/>
      <c r="AQ161" s="3005"/>
      <c r="AR161" s="3005"/>
      <c r="AS161" s="3005"/>
      <c r="AT161" s="3005"/>
      <c r="AU161" s="3006"/>
      <c r="AW161" s="197"/>
      <c r="AX161" s="197"/>
    </row>
    <row r="162" spans="1:50" ht="15.75" customHeight="1" x14ac:dyDescent="0.15">
      <c r="A162" s="2"/>
      <c r="B162" s="371"/>
      <c r="C162" s="371"/>
      <c r="D162" s="371"/>
      <c r="E162" s="371"/>
      <c r="F162" s="371"/>
      <c r="G162" s="371"/>
      <c r="H162" s="371"/>
      <c r="I162" s="371"/>
      <c r="J162" s="371"/>
      <c r="K162" s="371"/>
      <c r="L162" s="371"/>
      <c r="M162" s="371"/>
      <c r="N162" s="371"/>
      <c r="O162" s="371"/>
      <c r="P162" s="371"/>
      <c r="Q162" s="371"/>
      <c r="R162" s="371"/>
      <c r="S162" s="371"/>
      <c r="T162" s="371"/>
      <c r="U162" s="371"/>
      <c r="V162" s="371"/>
      <c r="W162" s="371"/>
      <c r="X162" s="371"/>
      <c r="Y162" s="3"/>
      <c r="Z162" s="3004"/>
      <c r="AA162" s="3005"/>
      <c r="AB162" s="3005"/>
      <c r="AC162" s="3005"/>
      <c r="AD162" s="3005"/>
      <c r="AE162" s="3005"/>
      <c r="AF162" s="3005"/>
      <c r="AG162" s="3005"/>
      <c r="AH162" s="3005"/>
      <c r="AI162" s="3005"/>
      <c r="AJ162" s="3005"/>
      <c r="AK162" s="3005"/>
      <c r="AL162" s="3005"/>
      <c r="AM162" s="3005"/>
      <c r="AN162" s="3005"/>
      <c r="AO162" s="3005"/>
      <c r="AP162" s="3005"/>
      <c r="AQ162" s="3005"/>
      <c r="AR162" s="3005"/>
      <c r="AS162" s="3005"/>
      <c r="AT162" s="3005"/>
      <c r="AU162" s="3006"/>
      <c r="AW162" s="197"/>
      <c r="AX162" s="197"/>
    </row>
    <row r="163" spans="1:50" ht="15.75" customHeight="1" x14ac:dyDescent="0.15">
      <c r="A163" s="2"/>
      <c r="B163" s="371"/>
      <c r="C163" s="371"/>
      <c r="D163" s="371"/>
      <c r="E163" s="371"/>
      <c r="F163" s="371"/>
      <c r="G163" s="371"/>
      <c r="H163" s="371"/>
      <c r="I163" s="371"/>
      <c r="J163" s="371"/>
      <c r="K163" s="371"/>
      <c r="L163" s="371"/>
      <c r="M163" s="371"/>
      <c r="N163" s="371"/>
      <c r="O163" s="371"/>
      <c r="P163" s="371"/>
      <c r="Q163" s="371"/>
      <c r="R163" s="371"/>
      <c r="S163" s="371"/>
      <c r="T163" s="371"/>
      <c r="U163" s="371"/>
      <c r="V163" s="371"/>
      <c r="W163" s="371"/>
      <c r="X163" s="371"/>
      <c r="Y163" s="3"/>
      <c r="Z163" s="3004"/>
      <c r="AA163" s="3005"/>
      <c r="AB163" s="3005"/>
      <c r="AC163" s="3005"/>
      <c r="AD163" s="3005"/>
      <c r="AE163" s="3005"/>
      <c r="AF163" s="3005"/>
      <c r="AG163" s="3005"/>
      <c r="AH163" s="3005"/>
      <c r="AI163" s="3005"/>
      <c r="AJ163" s="3005"/>
      <c r="AK163" s="3005"/>
      <c r="AL163" s="3005"/>
      <c r="AM163" s="3005"/>
      <c r="AN163" s="3005"/>
      <c r="AO163" s="3005"/>
      <c r="AP163" s="3005"/>
      <c r="AQ163" s="3005"/>
      <c r="AR163" s="3005"/>
      <c r="AS163" s="3005"/>
      <c r="AT163" s="3005"/>
      <c r="AU163" s="3006"/>
      <c r="AW163" s="197"/>
      <c r="AX163" s="197"/>
    </row>
    <row r="164" spans="1:50" ht="15.75" customHeight="1" x14ac:dyDescent="0.15">
      <c r="A164" s="2"/>
      <c r="B164" s="371"/>
      <c r="C164" s="371"/>
      <c r="D164" s="371"/>
      <c r="E164" s="371"/>
      <c r="F164" s="371"/>
      <c r="G164" s="371"/>
      <c r="H164" s="371"/>
      <c r="I164" s="371"/>
      <c r="J164" s="371"/>
      <c r="K164" s="3013" t="s">
        <v>157</v>
      </c>
      <c r="L164" s="3013"/>
      <c r="M164" s="3013"/>
      <c r="N164" s="3013"/>
      <c r="O164" s="3013"/>
      <c r="P164" s="3013"/>
      <c r="Q164" s="371"/>
      <c r="R164" s="371"/>
      <c r="S164" s="371"/>
      <c r="T164" s="371"/>
      <c r="U164" s="371"/>
      <c r="V164" s="371"/>
      <c r="W164" s="371"/>
      <c r="X164" s="371"/>
      <c r="Y164" s="3"/>
      <c r="Z164" s="3004"/>
      <c r="AA164" s="3005"/>
      <c r="AB164" s="3005"/>
      <c r="AC164" s="3005"/>
      <c r="AD164" s="3005"/>
      <c r="AE164" s="3005"/>
      <c r="AF164" s="3005"/>
      <c r="AG164" s="3005"/>
      <c r="AH164" s="3005"/>
      <c r="AI164" s="3005"/>
      <c r="AJ164" s="3005"/>
      <c r="AK164" s="3005"/>
      <c r="AL164" s="3005"/>
      <c r="AM164" s="3005"/>
      <c r="AN164" s="3005"/>
      <c r="AO164" s="3005"/>
      <c r="AP164" s="3005"/>
      <c r="AQ164" s="3005"/>
      <c r="AR164" s="3005"/>
      <c r="AS164" s="3005"/>
      <c r="AT164" s="3005"/>
      <c r="AU164" s="3006"/>
      <c r="AW164" s="197"/>
      <c r="AX164" s="197"/>
    </row>
    <row r="165" spans="1:50" ht="15.75" customHeight="1" x14ac:dyDescent="0.15">
      <c r="A165" s="2"/>
      <c r="B165" s="371"/>
      <c r="C165" s="371"/>
      <c r="D165" s="371"/>
      <c r="E165" s="371"/>
      <c r="F165" s="371"/>
      <c r="G165" s="371"/>
      <c r="H165" s="371"/>
      <c r="I165" s="371"/>
      <c r="J165" s="371"/>
      <c r="K165" s="371"/>
      <c r="L165" s="371"/>
      <c r="M165" s="371"/>
      <c r="N165" s="371"/>
      <c r="O165" s="371"/>
      <c r="P165" s="371"/>
      <c r="Q165" s="371"/>
      <c r="R165" s="371"/>
      <c r="S165" s="371"/>
      <c r="T165" s="371"/>
      <c r="U165" s="371"/>
      <c r="V165" s="371"/>
      <c r="W165" s="371"/>
      <c r="X165" s="371"/>
      <c r="Y165" s="3"/>
      <c r="Z165" s="3004"/>
      <c r="AA165" s="3005"/>
      <c r="AB165" s="3005"/>
      <c r="AC165" s="3005"/>
      <c r="AD165" s="3005"/>
      <c r="AE165" s="3005"/>
      <c r="AF165" s="3005"/>
      <c r="AG165" s="3005"/>
      <c r="AH165" s="3005"/>
      <c r="AI165" s="3005"/>
      <c r="AJ165" s="3005"/>
      <c r="AK165" s="3005"/>
      <c r="AL165" s="3005"/>
      <c r="AM165" s="3005"/>
      <c r="AN165" s="3005"/>
      <c r="AO165" s="3005"/>
      <c r="AP165" s="3005"/>
      <c r="AQ165" s="3005"/>
      <c r="AR165" s="3005"/>
      <c r="AS165" s="3005"/>
      <c r="AT165" s="3005"/>
      <c r="AU165" s="3006"/>
      <c r="AW165" s="197"/>
      <c r="AX165" s="197"/>
    </row>
    <row r="166" spans="1:50" ht="15.75" customHeight="1" x14ac:dyDescent="0.15">
      <c r="A166" s="2"/>
      <c r="B166" s="371"/>
      <c r="C166" s="371"/>
      <c r="D166" s="371"/>
      <c r="E166" s="371"/>
      <c r="F166" s="371"/>
      <c r="G166" s="371"/>
      <c r="H166" s="371"/>
      <c r="I166" s="371"/>
      <c r="J166" s="371"/>
      <c r="K166" s="371"/>
      <c r="L166" s="371"/>
      <c r="M166" s="371"/>
      <c r="N166" s="371"/>
      <c r="O166" s="371"/>
      <c r="P166" s="371"/>
      <c r="Q166" s="371"/>
      <c r="R166" s="371"/>
      <c r="S166" s="371"/>
      <c r="T166" s="371"/>
      <c r="U166" s="371"/>
      <c r="V166" s="371"/>
      <c r="W166" s="371"/>
      <c r="X166" s="371"/>
      <c r="Y166" s="3"/>
      <c r="Z166" s="3004"/>
      <c r="AA166" s="3005"/>
      <c r="AB166" s="3005"/>
      <c r="AC166" s="3005"/>
      <c r="AD166" s="3005"/>
      <c r="AE166" s="3005"/>
      <c r="AF166" s="3005"/>
      <c r="AG166" s="3005"/>
      <c r="AH166" s="3005"/>
      <c r="AI166" s="3005"/>
      <c r="AJ166" s="3005"/>
      <c r="AK166" s="3005"/>
      <c r="AL166" s="3005"/>
      <c r="AM166" s="3005"/>
      <c r="AN166" s="3005"/>
      <c r="AO166" s="3005"/>
      <c r="AP166" s="3005"/>
      <c r="AQ166" s="3005"/>
      <c r="AR166" s="3005"/>
      <c r="AS166" s="3005"/>
      <c r="AT166" s="3005"/>
      <c r="AU166" s="3006"/>
      <c r="AW166" s="197"/>
      <c r="AX166" s="197"/>
    </row>
    <row r="167" spans="1:50" ht="15.75" customHeight="1" x14ac:dyDescent="0.15">
      <c r="A167" s="2"/>
      <c r="B167" s="371"/>
      <c r="C167" s="371"/>
      <c r="D167" s="371"/>
      <c r="E167" s="371"/>
      <c r="F167" s="371"/>
      <c r="G167" s="371"/>
      <c r="H167" s="371"/>
      <c r="I167" s="371"/>
      <c r="J167" s="371"/>
      <c r="K167" s="371"/>
      <c r="L167" s="371"/>
      <c r="M167" s="371"/>
      <c r="N167" s="371"/>
      <c r="O167" s="371"/>
      <c r="P167" s="371"/>
      <c r="Q167" s="371"/>
      <c r="R167" s="371"/>
      <c r="S167" s="371"/>
      <c r="T167" s="371"/>
      <c r="U167" s="371"/>
      <c r="V167" s="371"/>
      <c r="W167" s="371"/>
      <c r="X167" s="371"/>
      <c r="Y167" s="3"/>
      <c r="Z167" s="3004"/>
      <c r="AA167" s="3005"/>
      <c r="AB167" s="3005"/>
      <c r="AC167" s="3005"/>
      <c r="AD167" s="3005"/>
      <c r="AE167" s="3005"/>
      <c r="AF167" s="3005"/>
      <c r="AG167" s="3005"/>
      <c r="AH167" s="3005"/>
      <c r="AI167" s="3005"/>
      <c r="AJ167" s="3005"/>
      <c r="AK167" s="3005"/>
      <c r="AL167" s="3005"/>
      <c r="AM167" s="3005"/>
      <c r="AN167" s="3005"/>
      <c r="AO167" s="3005"/>
      <c r="AP167" s="3005"/>
      <c r="AQ167" s="3005"/>
      <c r="AR167" s="3005"/>
      <c r="AS167" s="3005"/>
      <c r="AT167" s="3005"/>
      <c r="AU167" s="3006"/>
      <c r="AW167" s="197"/>
      <c r="AX167" s="197"/>
    </row>
    <row r="168" spans="1:50" ht="15.75" customHeight="1" x14ac:dyDescent="0.15">
      <c r="A168" s="2"/>
      <c r="B168" s="371"/>
      <c r="C168" s="371"/>
      <c r="D168" s="371"/>
      <c r="E168" s="371"/>
      <c r="F168" s="371"/>
      <c r="G168" s="371"/>
      <c r="H168" s="371"/>
      <c r="I168" s="371"/>
      <c r="J168" s="371"/>
      <c r="K168" s="371"/>
      <c r="L168" s="371"/>
      <c r="M168" s="371"/>
      <c r="N168" s="371"/>
      <c r="O168" s="371"/>
      <c r="P168" s="371"/>
      <c r="Q168" s="371"/>
      <c r="R168" s="371"/>
      <c r="S168" s="371"/>
      <c r="T168" s="371"/>
      <c r="U168" s="371"/>
      <c r="V168" s="371"/>
      <c r="W168" s="371"/>
      <c r="X168" s="371"/>
      <c r="Y168" s="3"/>
      <c r="Z168" s="3004"/>
      <c r="AA168" s="3005"/>
      <c r="AB168" s="3005"/>
      <c r="AC168" s="3005"/>
      <c r="AD168" s="3005"/>
      <c r="AE168" s="3005"/>
      <c r="AF168" s="3005"/>
      <c r="AG168" s="3005"/>
      <c r="AH168" s="3005"/>
      <c r="AI168" s="3005"/>
      <c r="AJ168" s="3005"/>
      <c r="AK168" s="3005"/>
      <c r="AL168" s="3005"/>
      <c r="AM168" s="3005"/>
      <c r="AN168" s="3005"/>
      <c r="AO168" s="3005"/>
      <c r="AP168" s="3005"/>
      <c r="AQ168" s="3005"/>
      <c r="AR168" s="3005"/>
      <c r="AS168" s="3005"/>
      <c r="AT168" s="3005"/>
      <c r="AU168" s="3006"/>
      <c r="AW168" s="197"/>
      <c r="AX168" s="197"/>
    </row>
    <row r="169" spans="1:50" ht="15.75" customHeight="1" x14ac:dyDescent="0.15">
      <c r="A169" s="2"/>
      <c r="B169" s="371"/>
      <c r="C169" s="371"/>
      <c r="D169" s="371"/>
      <c r="E169" s="371"/>
      <c r="F169" s="371"/>
      <c r="G169" s="371"/>
      <c r="H169" s="371"/>
      <c r="I169" s="371"/>
      <c r="J169" s="371"/>
      <c r="K169" s="371"/>
      <c r="L169" s="371"/>
      <c r="M169" s="371"/>
      <c r="N169" s="371"/>
      <c r="O169" s="371"/>
      <c r="P169" s="371"/>
      <c r="Q169" s="371"/>
      <c r="R169" s="371"/>
      <c r="S169" s="371"/>
      <c r="T169" s="371"/>
      <c r="U169" s="371"/>
      <c r="V169" s="371"/>
      <c r="W169" s="371"/>
      <c r="X169" s="371"/>
      <c r="Y169" s="3"/>
      <c r="Z169" s="3004"/>
      <c r="AA169" s="3005"/>
      <c r="AB169" s="3005"/>
      <c r="AC169" s="3005"/>
      <c r="AD169" s="3005"/>
      <c r="AE169" s="3005"/>
      <c r="AF169" s="3005"/>
      <c r="AG169" s="3005"/>
      <c r="AH169" s="3005"/>
      <c r="AI169" s="3005"/>
      <c r="AJ169" s="3005"/>
      <c r="AK169" s="3005"/>
      <c r="AL169" s="3005"/>
      <c r="AM169" s="3005"/>
      <c r="AN169" s="3005"/>
      <c r="AO169" s="3005"/>
      <c r="AP169" s="3005"/>
      <c r="AQ169" s="3005"/>
      <c r="AR169" s="3005"/>
      <c r="AS169" s="3005"/>
      <c r="AT169" s="3005"/>
      <c r="AU169" s="3006"/>
      <c r="AW169" s="197"/>
      <c r="AX169" s="197"/>
    </row>
    <row r="170" spans="1:50" ht="15.75" customHeight="1" x14ac:dyDescent="0.15">
      <c r="A170" s="2"/>
      <c r="B170" s="371"/>
      <c r="C170" s="371"/>
      <c r="D170" s="371"/>
      <c r="E170" s="371"/>
      <c r="F170" s="371"/>
      <c r="G170" s="371"/>
      <c r="H170" s="371"/>
      <c r="I170" s="371"/>
      <c r="J170" s="371"/>
      <c r="K170" s="371"/>
      <c r="L170" s="371"/>
      <c r="M170" s="371"/>
      <c r="N170" s="371"/>
      <c r="O170" s="371"/>
      <c r="P170" s="371"/>
      <c r="Q170" s="371"/>
      <c r="R170" s="371"/>
      <c r="S170" s="371"/>
      <c r="T170" s="371"/>
      <c r="U170" s="371"/>
      <c r="V170" s="371"/>
      <c r="W170" s="371"/>
      <c r="X170" s="371"/>
      <c r="Y170" s="3"/>
      <c r="Z170" s="3004"/>
      <c r="AA170" s="3005"/>
      <c r="AB170" s="3005"/>
      <c r="AC170" s="3005"/>
      <c r="AD170" s="3005"/>
      <c r="AE170" s="3005"/>
      <c r="AF170" s="3005"/>
      <c r="AG170" s="3005"/>
      <c r="AH170" s="3005"/>
      <c r="AI170" s="3005"/>
      <c r="AJ170" s="3005"/>
      <c r="AK170" s="3005"/>
      <c r="AL170" s="3005"/>
      <c r="AM170" s="3005"/>
      <c r="AN170" s="3005"/>
      <c r="AO170" s="3005"/>
      <c r="AP170" s="3005"/>
      <c r="AQ170" s="3005"/>
      <c r="AR170" s="3005"/>
      <c r="AS170" s="3005"/>
      <c r="AT170" s="3005"/>
      <c r="AU170" s="3006"/>
      <c r="AW170" s="197"/>
      <c r="AX170" s="197"/>
    </row>
    <row r="171" spans="1:50" ht="15.75" customHeight="1" x14ac:dyDescent="0.15">
      <c r="A171" s="2"/>
      <c r="B171" s="371"/>
      <c r="C171" s="371"/>
      <c r="D171" s="371"/>
      <c r="E171" s="371"/>
      <c r="F171" s="371"/>
      <c r="G171" s="371"/>
      <c r="H171" s="371"/>
      <c r="I171" s="371"/>
      <c r="J171" s="371"/>
      <c r="K171" s="371"/>
      <c r="L171" s="371"/>
      <c r="M171" s="371"/>
      <c r="N171" s="371"/>
      <c r="O171" s="371"/>
      <c r="P171" s="371"/>
      <c r="Q171" s="371"/>
      <c r="R171" s="371"/>
      <c r="S171" s="371"/>
      <c r="T171" s="371"/>
      <c r="U171" s="371"/>
      <c r="V171" s="371"/>
      <c r="W171" s="371"/>
      <c r="X171" s="371"/>
      <c r="Y171" s="3"/>
      <c r="Z171" s="3004"/>
      <c r="AA171" s="3005"/>
      <c r="AB171" s="3005"/>
      <c r="AC171" s="3005"/>
      <c r="AD171" s="3005"/>
      <c r="AE171" s="3005"/>
      <c r="AF171" s="3005"/>
      <c r="AG171" s="3005"/>
      <c r="AH171" s="3005"/>
      <c r="AI171" s="3005"/>
      <c r="AJ171" s="3005"/>
      <c r="AK171" s="3005"/>
      <c r="AL171" s="3005"/>
      <c r="AM171" s="3005"/>
      <c r="AN171" s="3005"/>
      <c r="AO171" s="3005"/>
      <c r="AP171" s="3005"/>
      <c r="AQ171" s="3005"/>
      <c r="AR171" s="3005"/>
      <c r="AS171" s="3005"/>
      <c r="AT171" s="3005"/>
      <c r="AU171" s="3006"/>
      <c r="AW171" s="197"/>
      <c r="AX171" s="197"/>
    </row>
    <row r="172" spans="1:50" ht="15.75" customHeight="1" x14ac:dyDescent="0.15">
      <c r="A172" s="2"/>
      <c r="B172" s="371"/>
      <c r="C172" s="371"/>
      <c r="D172" s="371"/>
      <c r="E172" s="371"/>
      <c r="F172" s="371"/>
      <c r="G172" s="371"/>
      <c r="H172" s="371"/>
      <c r="I172" s="371"/>
      <c r="J172" s="371"/>
      <c r="K172" s="371"/>
      <c r="L172" s="371"/>
      <c r="M172" s="371"/>
      <c r="N172" s="371"/>
      <c r="O172" s="371"/>
      <c r="P172" s="371"/>
      <c r="Q172" s="371"/>
      <c r="R172" s="371"/>
      <c r="S172" s="371"/>
      <c r="T172" s="371"/>
      <c r="U172" s="371"/>
      <c r="V172" s="371"/>
      <c r="W172" s="371"/>
      <c r="X172" s="371"/>
      <c r="Y172" s="3"/>
      <c r="Z172" s="3004"/>
      <c r="AA172" s="3005"/>
      <c r="AB172" s="3005"/>
      <c r="AC172" s="3005"/>
      <c r="AD172" s="3005"/>
      <c r="AE172" s="3005"/>
      <c r="AF172" s="3005"/>
      <c r="AG172" s="3005"/>
      <c r="AH172" s="3005"/>
      <c r="AI172" s="3005"/>
      <c r="AJ172" s="3005"/>
      <c r="AK172" s="3005"/>
      <c r="AL172" s="3005"/>
      <c r="AM172" s="3005"/>
      <c r="AN172" s="3005"/>
      <c r="AO172" s="3005"/>
      <c r="AP172" s="3005"/>
      <c r="AQ172" s="3005"/>
      <c r="AR172" s="3005"/>
      <c r="AS172" s="3005"/>
      <c r="AT172" s="3005"/>
      <c r="AU172" s="3006"/>
      <c r="AW172" s="197"/>
      <c r="AX172" s="197"/>
    </row>
    <row r="173" spans="1:50" ht="15.75" customHeight="1" x14ac:dyDescent="0.15">
      <c r="A173" s="6"/>
      <c r="B173" s="4"/>
      <c r="C173" s="4"/>
      <c r="D173" s="4"/>
      <c r="E173" s="4"/>
      <c r="F173" s="4"/>
      <c r="G173" s="4"/>
      <c r="H173" s="4"/>
      <c r="I173" s="4"/>
      <c r="J173" s="4"/>
      <c r="K173" s="4"/>
      <c r="L173" s="4"/>
      <c r="M173" s="4"/>
      <c r="N173" s="4"/>
      <c r="O173" s="4"/>
      <c r="P173" s="4"/>
      <c r="Q173" s="4"/>
      <c r="R173" s="4"/>
      <c r="S173" s="4"/>
      <c r="T173" s="4"/>
      <c r="U173" s="4"/>
      <c r="V173" s="4"/>
      <c r="W173" s="4"/>
      <c r="X173" s="4"/>
      <c r="Y173" s="5"/>
      <c r="Z173" s="3007"/>
      <c r="AA173" s="3008"/>
      <c r="AB173" s="3008"/>
      <c r="AC173" s="3008"/>
      <c r="AD173" s="3008"/>
      <c r="AE173" s="3008"/>
      <c r="AF173" s="3008"/>
      <c r="AG173" s="3008"/>
      <c r="AH173" s="3008"/>
      <c r="AI173" s="3008"/>
      <c r="AJ173" s="3008"/>
      <c r="AK173" s="3008"/>
      <c r="AL173" s="3008"/>
      <c r="AM173" s="3008"/>
      <c r="AN173" s="3008"/>
      <c r="AO173" s="3008"/>
      <c r="AP173" s="3008"/>
      <c r="AQ173" s="3008"/>
      <c r="AR173" s="3008"/>
      <c r="AS173" s="3008"/>
      <c r="AT173" s="3008"/>
      <c r="AU173" s="3009"/>
      <c r="AW173" s="197"/>
      <c r="AX173" s="197"/>
    </row>
    <row r="174" spans="1:50" ht="12.75" customHeight="1" x14ac:dyDescent="0.15">
      <c r="AW174" s="197"/>
      <c r="AX174" s="197"/>
    </row>
    <row r="175" spans="1:50" ht="12.75" customHeight="1" x14ac:dyDescent="0.15">
      <c r="A175" s="3027" t="s">
        <v>150</v>
      </c>
      <c r="B175" s="3027"/>
      <c r="C175" s="3027"/>
      <c r="D175" s="3027"/>
      <c r="AU175" s="337"/>
      <c r="AW175" s="197"/>
      <c r="AX175" s="197"/>
    </row>
    <row r="176" spans="1:50" ht="12.75" customHeight="1" x14ac:dyDescent="0.15">
      <c r="B176" s="338" t="s">
        <v>151</v>
      </c>
      <c r="C176" s="2993" t="s">
        <v>169</v>
      </c>
      <c r="D176" s="3012"/>
      <c r="E176" s="3012"/>
      <c r="F176" s="3012"/>
      <c r="G176" s="3012"/>
      <c r="H176" s="3012"/>
      <c r="I176" s="3012"/>
      <c r="J176" s="3012"/>
      <c r="K176" s="3012"/>
      <c r="L176" s="3012"/>
      <c r="M176" s="3012"/>
      <c r="N176" s="3012"/>
      <c r="O176" s="3012"/>
      <c r="P176" s="3012"/>
      <c r="Q176" s="3012"/>
      <c r="R176" s="3012"/>
      <c r="S176" s="3012"/>
      <c r="T176" s="3012"/>
      <c r="U176" s="3012"/>
      <c r="V176" s="3012"/>
      <c r="W176" s="3012"/>
      <c r="X176" s="3012"/>
      <c r="Y176" s="3012"/>
      <c r="Z176" s="3012"/>
      <c r="AA176" s="3012"/>
      <c r="AB176" s="3012"/>
      <c r="AC176" s="3012"/>
      <c r="AD176" s="3012"/>
      <c r="AE176" s="3012"/>
      <c r="AF176" s="3012"/>
      <c r="AG176" s="3012"/>
      <c r="AH176" s="3012"/>
      <c r="AI176" s="3012"/>
      <c r="AJ176" s="3012"/>
      <c r="AK176" s="3012"/>
      <c r="AL176" s="3012"/>
      <c r="AM176" s="3012"/>
      <c r="AN176" s="3012"/>
      <c r="AO176" s="3012"/>
      <c r="AP176" s="3012"/>
      <c r="AQ176" s="3012"/>
      <c r="AR176" s="3012"/>
      <c r="AS176" s="3012"/>
      <c r="AT176" s="3012"/>
      <c r="AU176" s="337"/>
      <c r="AW176" s="197"/>
      <c r="AX176" s="197"/>
    </row>
    <row r="177" spans="1:53" ht="12.75" customHeight="1" x14ac:dyDescent="0.15">
      <c r="B177" s="338"/>
      <c r="C177" s="2994" t="s">
        <v>170</v>
      </c>
      <c r="D177" s="2994"/>
      <c r="E177" s="2994"/>
      <c r="F177" s="2994"/>
      <c r="G177" s="2994"/>
      <c r="H177" s="2994"/>
      <c r="I177" s="2994"/>
      <c r="J177" s="2994"/>
      <c r="K177" s="2994"/>
      <c r="L177" s="2994"/>
      <c r="M177" s="2994"/>
      <c r="N177" s="2994"/>
      <c r="O177" s="2994"/>
      <c r="P177" s="2994"/>
      <c r="Q177" s="2994"/>
      <c r="R177" s="2994"/>
      <c r="S177" s="2994"/>
      <c r="T177" s="2994"/>
      <c r="U177" s="2994"/>
      <c r="V177" s="2994"/>
      <c r="W177" s="2994"/>
      <c r="X177" s="2994"/>
      <c r="Y177" s="2994"/>
      <c r="Z177" s="2994"/>
      <c r="AA177" s="2994"/>
      <c r="AB177" s="2994"/>
      <c r="AC177" s="2994"/>
      <c r="AD177" s="2994"/>
      <c r="AE177" s="2994"/>
      <c r="AF177" s="2994"/>
      <c r="AG177" s="2994"/>
      <c r="AH177" s="2994"/>
      <c r="AI177" s="2994"/>
      <c r="AJ177" s="2994"/>
      <c r="AK177" s="2994"/>
      <c r="AL177" s="2994"/>
      <c r="AM177" s="2994"/>
      <c r="AN177" s="2994"/>
      <c r="AO177" s="2994"/>
      <c r="AP177" s="2994"/>
      <c r="AQ177" s="2994"/>
      <c r="AR177" s="2994"/>
      <c r="AS177" s="2994"/>
      <c r="AT177" s="2994"/>
      <c r="AU177" s="337"/>
      <c r="AW177" s="197"/>
      <c r="AX177" s="197"/>
    </row>
    <row r="178" spans="1:53" ht="12.75" customHeight="1" x14ac:dyDescent="0.15">
      <c r="B178" s="338"/>
      <c r="C178" s="2994" t="s">
        <v>171</v>
      </c>
      <c r="D178" s="2994"/>
      <c r="E178" s="2994"/>
      <c r="F178" s="2994"/>
      <c r="G178" s="2994"/>
      <c r="H178" s="2994"/>
      <c r="I178" s="2994"/>
      <c r="J178" s="2994"/>
      <c r="K178" s="2994"/>
      <c r="L178" s="2994"/>
      <c r="M178" s="2994"/>
      <c r="N178" s="2994"/>
      <c r="O178" s="2994"/>
      <c r="P178" s="2994"/>
      <c r="Q178" s="2994"/>
      <c r="R178" s="2994"/>
      <c r="S178" s="2994"/>
      <c r="T178" s="2994"/>
      <c r="U178" s="2994"/>
      <c r="V178" s="2994"/>
      <c r="W178" s="2994"/>
      <c r="X178" s="2994"/>
      <c r="Y178" s="2994"/>
      <c r="Z178" s="2994"/>
      <c r="AA178" s="2994"/>
      <c r="AB178" s="2994"/>
      <c r="AC178" s="2994"/>
      <c r="AD178" s="2994"/>
      <c r="AE178" s="2994"/>
      <c r="AF178" s="2994"/>
      <c r="AG178" s="2994"/>
      <c r="AH178" s="2994"/>
      <c r="AI178" s="2994"/>
      <c r="AJ178" s="2994"/>
      <c r="AK178" s="2994"/>
      <c r="AL178" s="2994"/>
      <c r="AM178" s="2994"/>
      <c r="AN178" s="2994"/>
      <c r="AO178" s="2994"/>
      <c r="AP178" s="2994"/>
      <c r="AQ178" s="2994"/>
      <c r="AR178" s="2994"/>
      <c r="AS178" s="2994"/>
      <c r="AT178" s="2994"/>
      <c r="AU178" s="337"/>
      <c r="AW178" s="197"/>
      <c r="AX178" s="197"/>
    </row>
    <row r="179" spans="1:53" ht="12.75" customHeight="1" x14ac:dyDescent="0.15">
      <c r="B179" s="338" t="s">
        <v>158</v>
      </c>
      <c r="C179" s="2994" t="s">
        <v>159</v>
      </c>
      <c r="D179" s="2994"/>
      <c r="E179" s="2994"/>
      <c r="F179" s="2994"/>
      <c r="G179" s="2994"/>
      <c r="H179" s="2994"/>
      <c r="I179" s="2994"/>
      <c r="J179" s="2994"/>
      <c r="K179" s="2994"/>
      <c r="L179" s="2994"/>
      <c r="M179" s="2994"/>
      <c r="N179" s="2994"/>
      <c r="O179" s="2994"/>
      <c r="P179" s="2994"/>
      <c r="Q179" s="2994"/>
      <c r="R179" s="2994"/>
      <c r="S179" s="2994"/>
      <c r="T179" s="2994"/>
      <c r="U179" s="2994"/>
      <c r="V179" s="2994"/>
      <c r="W179" s="2994"/>
      <c r="X179" s="2994"/>
      <c r="Y179" s="2994"/>
      <c r="Z179" s="2994"/>
      <c r="AA179" s="2994"/>
      <c r="AB179" s="2994"/>
      <c r="AC179" s="2994"/>
      <c r="AD179" s="2994"/>
      <c r="AE179" s="2994"/>
      <c r="AF179" s="2994"/>
      <c r="AG179" s="2994"/>
      <c r="AH179" s="2994"/>
      <c r="AI179" s="2994"/>
      <c r="AJ179" s="2994"/>
      <c r="AK179" s="2994"/>
      <c r="AL179" s="2994"/>
      <c r="AM179" s="2994"/>
      <c r="AN179" s="2994"/>
      <c r="AO179" s="2994"/>
      <c r="AP179" s="2994"/>
      <c r="AQ179" s="2994"/>
      <c r="AR179" s="2994"/>
      <c r="AS179" s="2994"/>
      <c r="AT179" s="2994"/>
      <c r="AU179" s="337"/>
      <c r="AW179" s="197"/>
      <c r="AX179" s="197"/>
    </row>
    <row r="180" spans="1:53" ht="12.75" customHeight="1" x14ac:dyDescent="0.15">
      <c r="B180" s="338" t="s">
        <v>152</v>
      </c>
      <c r="C180" s="2994" t="s">
        <v>0</v>
      </c>
      <c r="D180" s="2994"/>
      <c r="E180" s="2994"/>
      <c r="F180" s="2994"/>
      <c r="G180" s="2994"/>
      <c r="H180" s="2994"/>
      <c r="I180" s="2994"/>
      <c r="J180" s="2994"/>
      <c r="K180" s="2994"/>
      <c r="L180" s="2994"/>
      <c r="M180" s="2994"/>
      <c r="N180" s="2994"/>
      <c r="O180" s="2994"/>
      <c r="P180" s="2994"/>
      <c r="Q180" s="2994"/>
      <c r="R180" s="2994"/>
      <c r="S180" s="2994"/>
      <c r="T180" s="2994"/>
      <c r="U180" s="2994"/>
      <c r="V180" s="2994"/>
      <c r="W180" s="2994"/>
      <c r="X180" s="2994"/>
      <c r="Y180" s="2994"/>
      <c r="Z180" s="2994"/>
      <c r="AA180" s="2994"/>
      <c r="AB180" s="2994"/>
      <c r="AC180" s="2994"/>
      <c r="AD180" s="2994"/>
      <c r="AE180" s="2994"/>
      <c r="AF180" s="2994"/>
      <c r="AG180" s="2994"/>
      <c r="AH180" s="2994"/>
      <c r="AI180" s="2994"/>
      <c r="AJ180" s="2994"/>
      <c r="AK180" s="2994"/>
      <c r="AL180" s="2994"/>
      <c r="AM180" s="2994"/>
      <c r="AN180" s="2994"/>
      <c r="AO180" s="2994"/>
      <c r="AP180" s="2994"/>
      <c r="AQ180" s="2994"/>
      <c r="AR180" s="2994"/>
      <c r="AS180" s="2994"/>
      <c r="AT180" s="2994"/>
      <c r="AW180" s="197"/>
      <c r="AX180" s="197"/>
    </row>
    <row r="181" spans="1:53" ht="12.75" customHeight="1" x14ac:dyDescent="0.15">
      <c r="B181" s="338" t="s">
        <v>160</v>
      </c>
      <c r="C181" s="2994" t="s">
        <v>172</v>
      </c>
      <c r="D181" s="2994"/>
      <c r="E181" s="2994"/>
      <c r="F181" s="2994"/>
      <c r="G181" s="2994"/>
      <c r="H181" s="2994"/>
      <c r="I181" s="2994"/>
      <c r="J181" s="2994"/>
      <c r="K181" s="2994"/>
      <c r="L181" s="2994"/>
      <c r="M181" s="2994"/>
      <c r="N181" s="2994"/>
      <c r="O181" s="2994"/>
      <c r="P181" s="2994"/>
      <c r="Q181" s="2994"/>
      <c r="R181" s="2994"/>
      <c r="S181" s="2994"/>
      <c r="T181" s="2994"/>
      <c r="U181" s="2994"/>
      <c r="V181" s="2994"/>
      <c r="W181" s="2994"/>
      <c r="X181" s="2994"/>
      <c r="Y181" s="2994"/>
      <c r="Z181" s="2994"/>
      <c r="AA181" s="2994"/>
      <c r="AB181" s="2994"/>
      <c r="AC181" s="2994"/>
      <c r="AD181" s="2994"/>
      <c r="AE181" s="2994"/>
      <c r="AF181" s="2994"/>
      <c r="AG181" s="2994"/>
      <c r="AH181" s="2994"/>
      <c r="AI181" s="2994"/>
      <c r="AJ181" s="2994"/>
      <c r="AK181" s="2994"/>
      <c r="AL181" s="2994"/>
      <c r="AM181" s="2994"/>
      <c r="AN181" s="2994"/>
      <c r="AO181" s="2994"/>
      <c r="AP181" s="2994"/>
      <c r="AQ181" s="2994"/>
      <c r="AR181" s="2994"/>
      <c r="AS181" s="2994"/>
      <c r="AT181" s="2994"/>
      <c r="AU181" s="337"/>
      <c r="AW181" s="197"/>
      <c r="AX181" s="197"/>
    </row>
    <row r="182" spans="1:53" ht="12.75" customHeight="1" x14ac:dyDescent="0.15">
      <c r="C182" s="2994" t="s">
        <v>173</v>
      </c>
      <c r="D182" s="2994"/>
      <c r="E182" s="2994"/>
      <c r="F182" s="2994"/>
      <c r="G182" s="2994"/>
      <c r="H182" s="2994"/>
      <c r="I182" s="2994"/>
      <c r="J182" s="2994"/>
      <c r="K182" s="2994"/>
      <c r="L182" s="2994"/>
      <c r="M182" s="2994"/>
      <c r="N182" s="2994"/>
      <c r="O182" s="2994"/>
      <c r="P182" s="2994"/>
      <c r="Q182" s="2994"/>
      <c r="R182" s="2994"/>
      <c r="S182" s="2994"/>
      <c r="T182" s="2994"/>
      <c r="U182" s="2994"/>
      <c r="V182" s="2994"/>
      <c r="W182" s="2994"/>
      <c r="X182" s="2994"/>
      <c r="Y182" s="2994"/>
      <c r="Z182" s="2994"/>
      <c r="AA182" s="2994"/>
      <c r="AB182" s="2994"/>
      <c r="AC182" s="2994"/>
      <c r="AD182" s="2994"/>
      <c r="AE182" s="2994"/>
      <c r="AF182" s="2994"/>
      <c r="AG182" s="2994"/>
      <c r="AH182" s="2994"/>
      <c r="AI182" s="2994"/>
      <c r="AJ182" s="2994"/>
      <c r="AK182" s="2994"/>
      <c r="AL182" s="2994"/>
      <c r="AM182" s="2994"/>
      <c r="AN182" s="2994"/>
      <c r="AO182" s="2994"/>
      <c r="AP182" s="2994"/>
      <c r="AQ182" s="2994"/>
      <c r="AR182" s="2994"/>
      <c r="AS182" s="2994"/>
      <c r="AT182" s="2994"/>
      <c r="AU182" s="337"/>
      <c r="AW182" s="197"/>
      <c r="AX182" s="197"/>
    </row>
    <row r="183" spans="1:53" ht="12.75" customHeight="1" x14ac:dyDescent="0.15">
      <c r="B183" s="338" t="s">
        <v>1</v>
      </c>
      <c r="C183" s="2994" t="s">
        <v>2</v>
      </c>
      <c r="D183" s="2994"/>
      <c r="E183" s="2994"/>
      <c r="F183" s="2994"/>
      <c r="G183" s="2994"/>
      <c r="H183" s="2994"/>
      <c r="I183" s="2994"/>
      <c r="J183" s="2994"/>
      <c r="K183" s="2994"/>
      <c r="L183" s="2994"/>
      <c r="M183" s="2994"/>
      <c r="N183" s="2994"/>
      <c r="O183" s="2994"/>
      <c r="P183" s="2994"/>
      <c r="Q183" s="2994"/>
      <c r="R183" s="2994"/>
      <c r="S183" s="2994"/>
      <c r="T183" s="2994"/>
      <c r="U183" s="2994"/>
      <c r="V183" s="2994"/>
      <c r="W183" s="2994"/>
      <c r="X183" s="2994"/>
      <c r="Y183" s="2994"/>
      <c r="Z183" s="2994"/>
      <c r="AA183" s="2994"/>
      <c r="AB183" s="2994"/>
      <c r="AC183" s="2994"/>
      <c r="AD183" s="2994"/>
      <c r="AE183" s="2994"/>
      <c r="AF183" s="2994"/>
      <c r="AG183" s="2994"/>
      <c r="AH183" s="2994"/>
      <c r="AI183" s="2994"/>
      <c r="AJ183" s="2994"/>
      <c r="AK183" s="2994"/>
      <c r="AL183" s="2994"/>
      <c r="AM183" s="2994"/>
      <c r="AN183" s="2994"/>
      <c r="AO183" s="2994"/>
      <c r="AP183" s="2994"/>
      <c r="AQ183" s="2994"/>
      <c r="AR183" s="2994"/>
      <c r="AS183" s="2994"/>
      <c r="AT183" s="2994"/>
      <c r="AU183" s="337"/>
      <c r="AW183" s="197"/>
      <c r="AX183" s="197"/>
    </row>
    <row r="184" spans="1:53" ht="12.75" customHeight="1" x14ac:dyDescent="0.15">
      <c r="AG184" s="337"/>
      <c r="AH184" s="337"/>
      <c r="AI184" s="337"/>
      <c r="AJ184" s="337"/>
      <c r="AK184" s="337"/>
      <c r="AL184" s="337"/>
      <c r="AM184" s="337"/>
      <c r="AN184" s="337"/>
      <c r="AO184" s="337"/>
      <c r="AP184" s="337"/>
      <c r="AQ184" s="337"/>
      <c r="AR184" s="337"/>
      <c r="AS184" s="337"/>
      <c r="AT184" s="337"/>
      <c r="AW184" s="197"/>
      <c r="AX184" s="197"/>
    </row>
    <row r="185" spans="1:53" ht="12.75" customHeight="1" x14ac:dyDescent="0.15">
      <c r="AW185" s="197"/>
      <c r="AX185" s="197"/>
    </row>
    <row r="186" spans="1:53" ht="12.75" customHeight="1" x14ac:dyDescent="0.15">
      <c r="A186" s="336" t="s">
        <v>18</v>
      </c>
      <c r="B186" s="336" t="s">
        <v>153</v>
      </c>
      <c r="C186" s="336">
        <v>2</v>
      </c>
      <c r="D186" s="336" t="s">
        <v>5</v>
      </c>
      <c r="E186" s="336" t="s">
        <v>6</v>
      </c>
      <c r="F186" s="336"/>
      <c r="G186" s="336" t="s">
        <v>25</v>
      </c>
      <c r="H186" s="336" t="s">
        <v>175</v>
      </c>
      <c r="I186" s="336">
        <v>4</v>
      </c>
      <c r="J186" s="336" t="s">
        <v>22</v>
      </c>
      <c r="AO186" s="423" t="str">
        <f>$AO$7</f>
        <v>Kyoto City（R7.7） ver.120</v>
      </c>
      <c r="AP186" s="387" t="str">
        <f>IF('1_入力シート【基本情報】'!$AB$7="","",'1_入力シート【基本情報】'!$AB$7)</f>
        <v/>
      </c>
      <c r="AQ186" s="386" t="str">
        <f>IF('1_入力シート【基本情報】'!$AK$7="","",'1_入力シート【基本情報】'!$AK$7)</f>
        <v/>
      </c>
      <c r="AR186" s="2990" t="str">
        <f>IF('1_入力シート【基本情報】'!$AT$7="","",TEXT('1_入力シート【基本情報】'!$AT$7,"0000"))</f>
        <v/>
      </c>
      <c r="AS186" s="2991"/>
      <c r="AT186" s="2991"/>
      <c r="AU186" s="2992"/>
      <c r="AW186" s="197"/>
      <c r="AX186" s="197"/>
    </row>
    <row r="187" spans="1:53" ht="12.75" customHeight="1" x14ac:dyDescent="0.15">
      <c r="U187" s="3049" t="s">
        <v>174</v>
      </c>
      <c r="V187" s="3049"/>
      <c r="W187" s="3049"/>
      <c r="X187" s="3049"/>
      <c r="Y187" s="3049"/>
      <c r="Z187" s="3049"/>
      <c r="AW187" s="197"/>
      <c r="AX187" s="197"/>
    </row>
    <row r="188" spans="1:53" ht="12.75" customHeight="1" x14ac:dyDescent="0.15">
      <c r="AW188" s="197"/>
      <c r="AX188" s="197"/>
    </row>
    <row r="189" spans="1:53" ht="15.75" customHeight="1" x14ac:dyDescent="0.15">
      <c r="A189" s="3018" t="s">
        <v>154</v>
      </c>
      <c r="B189" s="3019"/>
      <c r="C189" s="3020"/>
      <c r="D189" s="3037" t="s">
        <v>155</v>
      </c>
      <c r="E189" s="3038"/>
      <c r="F189" s="3038"/>
      <c r="G189" s="3038"/>
      <c r="H189" s="3038"/>
      <c r="I189" s="3038"/>
      <c r="J189" s="3039"/>
      <c r="K189" s="340"/>
      <c r="L189" s="341"/>
      <c r="M189" s="341"/>
      <c r="N189" s="341"/>
      <c r="O189" s="341"/>
      <c r="P189" s="341"/>
      <c r="Q189" s="341"/>
      <c r="R189" s="341"/>
      <c r="S189" s="342" t="s">
        <v>7</v>
      </c>
      <c r="T189" s="342" t="s">
        <v>8</v>
      </c>
      <c r="U189" s="342" t="s">
        <v>9</v>
      </c>
      <c r="V189" s="342" t="s">
        <v>156</v>
      </c>
      <c r="W189" s="342"/>
      <c r="X189" s="342"/>
      <c r="Y189" s="342"/>
      <c r="Z189" s="342"/>
      <c r="AA189" s="342"/>
      <c r="AB189" s="342"/>
      <c r="AC189" s="342"/>
      <c r="AD189" s="342"/>
      <c r="AE189" s="342"/>
      <c r="AF189" s="342"/>
      <c r="AG189" s="342"/>
      <c r="AH189" s="342"/>
      <c r="AI189" s="343"/>
      <c r="AJ189" s="344"/>
      <c r="AK189" s="3038" t="s">
        <v>33</v>
      </c>
      <c r="AL189" s="3038"/>
      <c r="AM189" s="3038"/>
      <c r="AN189" s="3038"/>
      <c r="AO189" s="3038"/>
      <c r="AP189" s="3038"/>
      <c r="AQ189" s="3038"/>
      <c r="AR189" s="3038"/>
      <c r="AS189" s="3038"/>
      <c r="AT189" s="3038"/>
      <c r="AU189" s="345"/>
      <c r="AW189" s="197"/>
      <c r="AX189" s="197"/>
    </row>
    <row r="190" spans="1:53" ht="15.75" customHeight="1" thickBot="1" x14ac:dyDescent="0.2">
      <c r="A190" s="3031"/>
      <c r="B190" s="3032"/>
      <c r="C190" s="3033"/>
      <c r="D190" s="3018" t="str">
        <f>IFERROR(VLOOKUP(7,'1_入力シート【基本情報】'!$DU$319:$DX$534,3,FALSE),"")</f>
        <v/>
      </c>
      <c r="E190" s="3019"/>
      <c r="F190" s="3019"/>
      <c r="G190" s="3019"/>
      <c r="H190" s="3019"/>
      <c r="I190" s="3019"/>
      <c r="J190" s="3020"/>
      <c r="K190" s="2995" t="str">
        <f>IFERROR(VLOOKUP(7,'1_入力シート【基本情報】'!$DU$319:$DX$534,4,FALSE),"")</f>
        <v/>
      </c>
      <c r="L190" s="2996"/>
      <c r="M190" s="2996"/>
      <c r="N190" s="2996"/>
      <c r="O190" s="2996"/>
      <c r="P190" s="2996"/>
      <c r="Q190" s="2996"/>
      <c r="R190" s="2996"/>
      <c r="S190" s="2996"/>
      <c r="T190" s="2996"/>
      <c r="U190" s="2996"/>
      <c r="V190" s="2996"/>
      <c r="W190" s="2996"/>
      <c r="X190" s="2996"/>
      <c r="Y190" s="2996"/>
      <c r="Z190" s="2996"/>
      <c r="AA190" s="2996"/>
      <c r="AB190" s="2996"/>
      <c r="AC190" s="2996"/>
      <c r="AD190" s="2996"/>
      <c r="AE190" s="2996"/>
      <c r="AF190" s="2996"/>
      <c r="AG190" s="2996"/>
      <c r="AH190" s="2996"/>
      <c r="AI190" s="2997"/>
      <c r="AJ190" s="367"/>
      <c r="AK190" s="367"/>
      <c r="AL190" s="367"/>
      <c r="AM190" s="367"/>
      <c r="AN190" s="367"/>
      <c r="AO190" s="367"/>
      <c r="AP190" s="367"/>
      <c r="AQ190" s="367"/>
      <c r="AR190" s="367"/>
      <c r="AS190" s="367"/>
      <c r="AT190" s="367"/>
      <c r="AU190" s="368"/>
      <c r="AW190" s="197"/>
      <c r="AX190" s="197"/>
    </row>
    <row r="191" spans="1:53" ht="15.75" customHeight="1" thickBot="1" x14ac:dyDescent="0.2">
      <c r="A191" s="3031"/>
      <c r="B191" s="3032"/>
      <c r="C191" s="3033"/>
      <c r="D191" s="3021"/>
      <c r="E191" s="3022"/>
      <c r="F191" s="3022"/>
      <c r="G191" s="3022"/>
      <c r="H191" s="3022"/>
      <c r="I191" s="3022"/>
      <c r="J191" s="3023"/>
      <c r="K191" s="2998"/>
      <c r="L191" s="2999"/>
      <c r="M191" s="2999"/>
      <c r="N191" s="2999"/>
      <c r="O191" s="2999"/>
      <c r="P191" s="2999"/>
      <c r="Q191" s="2999"/>
      <c r="R191" s="2999"/>
      <c r="S191" s="2999"/>
      <c r="T191" s="2999"/>
      <c r="U191" s="2999"/>
      <c r="V191" s="2999"/>
      <c r="W191" s="2999"/>
      <c r="X191" s="2999"/>
      <c r="Y191" s="2999"/>
      <c r="Z191" s="2999"/>
      <c r="AA191" s="2999"/>
      <c r="AB191" s="2999"/>
      <c r="AC191" s="2999"/>
      <c r="AD191" s="2999"/>
      <c r="AE191" s="2999"/>
      <c r="AF191" s="2999"/>
      <c r="AG191" s="2999"/>
      <c r="AH191" s="2999"/>
      <c r="AI191" s="3000"/>
      <c r="AJ191" s="367"/>
      <c r="AK191" s="367" t="str">
        <f>IF(D190&lt;&gt;"","☑","☐")</f>
        <v>☐</v>
      </c>
      <c r="AL191" s="367" t="s">
        <v>14</v>
      </c>
      <c r="AM191" s="367" t="s">
        <v>21</v>
      </c>
      <c r="AN191" s="367" t="s">
        <v>15</v>
      </c>
      <c r="AO191" s="367"/>
      <c r="AP191" s="426" t="s">
        <v>179</v>
      </c>
      <c r="AQ191" s="367" t="s">
        <v>27</v>
      </c>
      <c r="AR191" s="367" t="s">
        <v>23</v>
      </c>
      <c r="AS191" s="367" t="s">
        <v>13</v>
      </c>
      <c r="AT191" s="367"/>
      <c r="AU191" s="368"/>
      <c r="AV191" s="346"/>
      <c r="AW191" s="197"/>
      <c r="AX191" s="197"/>
      <c r="BA191" s="430" t="b">
        <f>AP191="☑"</f>
        <v>0</v>
      </c>
    </row>
    <row r="192" spans="1:53" ht="15.75" customHeight="1" x14ac:dyDescent="0.15">
      <c r="A192" s="3034"/>
      <c r="B192" s="3035"/>
      <c r="C192" s="3036"/>
      <c r="D192" s="3024"/>
      <c r="E192" s="3025"/>
      <c r="F192" s="3025"/>
      <c r="G192" s="3025"/>
      <c r="H192" s="3025"/>
      <c r="I192" s="3025"/>
      <c r="J192" s="3026"/>
      <c r="K192" s="3028"/>
      <c r="L192" s="3029"/>
      <c r="M192" s="3029"/>
      <c r="N192" s="3029"/>
      <c r="O192" s="3029"/>
      <c r="P192" s="3029"/>
      <c r="Q192" s="3029"/>
      <c r="R192" s="3029"/>
      <c r="S192" s="3029"/>
      <c r="T192" s="3029"/>
      <c r="U192" s="3029"/>
      <c r="V192" s="3029"/>
      <c r="W192" s="3029"/>
      <c r="X192" s="3029"/>
      <c r="Y192" s="3029"/>
      <c r="Z192" s="3029"/>
      <c r="AA192" s="3029"/>
      <c r="AB192" s="3029"/>
      <c r="AC192" s="3029"/>
      <c r="AD192" s="3029"/>
      <c r="AE192" s="3029"/>
      <c r="AF192" s="3029"/>
      <c r="AG192" s="3029"/>
      <c r="AH192" s="3029"/>
      <c r="AI192" s="3030"/>
      <c r="AJ192" s="369"/>
      <c r="AK192" s="369"/>
      <c r="AL192" s="369"/>
      <c r="AM192" s="369"/>
      <c r="AN192" s="369"/>
      <c r="AO192" s="369"/>
      <c r="AP192" s="369"/>
      <c r="AQ192" s="369"/>
      <c r="AR192" s="369"/>
      <c r="AS192" s="369"/>
      <c r="AT192" s="369"/>
      <c r="AU192" s="370"/>
      <c r="AW192" s="197"/>
      <c r="AX192" s="197"/>
    </row>
    <row r="193" spans="1:50" ht="15.75" customHeight="1" x14ac:dyDescent="0.15">
      <c r="A193" s="2"/>
      <c r="B193" s="335"/>
      <c r="C193" s="335"/>
      <c r="D193" s="335"/>
      <c r="E193" s="335"/>
      <c r="F193" s="335"/>
      <c r="G193" s="335"/>
      <c r="H193" s="335"/>
      <c r="I193" s="335"/>
      <c r="J193" s="335"/>
      <c r="K193" s="335"/>
      <c r="L193" s="335"/>
      <c r="M193" s="335"/>
      <c r="N193" s="335"/>
      <c r="O193" s="335"/>
      <c r="P193" s="335"/>
      <c r="Q193" s="335"/>
      <c r="R193" s="335"/>
      <c r="S193" s="335"/>
      <c r="T193" s="335"/>
      <c r="U193" s="335"/>
      <c r="V193" s="335"/>
      <c r="W193" s="335"/>
      <c r="X193" s="335"/>
      <c r="Y193" s="3"/>
      <c r="Z193" s="47"/>
      <c r="AA193" s="48" t="s">
        <v>11</v>
      </c>
      <c r="AB193" s="48" t="s">
        <v>10</v>
      </c>
      <c r="AC193" s="48" t="s">
        <v>16</v>
      </c>
      <c r="AD193" s="48" t="s">
        <v>9</v>
      </c>
      <c r="AE193" s="48"/>
      <c r="AF193" s="48"/>
      <c r="AG193" s="48"/>
      <c r="AH193" s="48"/>
      <c r="AI193" s="48"/>
      <c r="AJ193" s="49"/>
      <c r="AK193" s="49"/>
      <c r="AL193" s="49"/>
      <c r="AM193" s="49"/>
      <c r="AN193" s="49"/>
      <c r="AO193" s="49"/>
      <c r="AP193" s="49"/>
      <c r="AQ193" s="49"/>
      <c r="AR193" s="49"/>
      <c r="AS193" s="49"/>
      <c r="AT193" s="49"/>
      <c r="AU193" s="50"/>
      <c r="AW193" s="197"/>
      <c r="AX193" s="197"/>
    </row>
    <row r="194" spans="1:50" ht="15.75" customHeight="1" x14ac:dyDescent="0.15">
      <c r="A194" s="2"/>
      <c r="B194" s="335"/>
      <c r="C194" s="335"/>
      <c r="D194" s="335"/>
      <c r="E194" s="335"/>
      <c r="F194" s="335"/>
      <c r="G194" s="335"/>
      <c r="H194" s="335"/>
      <c r="I194" s="335"/>
      <c r="J194" s="335"/>
      <c r="K194" s="335"/>
      <c r="L194" s="335"/>
      <c r="M194" s="335"/>
      <c r="N194" s="335"/>
      <c r="O194" s="335"/>
      <c r="P194" s="335"/>
      <c r="Q194" s="335"/>
      <c r="R194" s="335"/>
      <c r="S194" s="335"/>
      <c r="T194" s="335"/>
      <c r="U194" s="335"/>
      <c r="V194" s="335"/>
      <c r="W194" s="335"/>
      <c r="X194" s="335"/>
      <c r="Y194" s="3"/>
      <c r="Z194" s="3010"/>
      <c r="AA194" s="3011"/>
      <c r="AB194" s="3011"/>
      <c r="AC194" s="3011"/>
      <c r="AD194" s="3011"/>
      <c r="AE194" s="3011"/>
      <c r="AF194" s="3011"/>
      <c r="AG194" s="3011"/>
      <c r="AH194" s="3011"/>
      <c r="AI194" s="3011"/>
      <c r="AJ194" s="3011"/>
      <c r="AK194" s="3011"/>
      <c r="AL194" s="3011"/>
      <c r="AM194" s="3011"/>
      <c r="AN194" s="3011"/>
      <c r="AO194" s="104"/>
      <c r="AP194" s="104"/>
      <c r="AQ194" s="104"/>
      <c r="AR194" s="104"/>
      <c r="AS194" s="104"/>
      <c r="AT194" s="104"/>
      <c r="AU194" s="105"/>
      <c r="AW194" s="197"/>
      <c r="AX194" s="197"/>
    </row>
    <row r="195" spans="1:50" ht="15.75" customHeight="1" x14ac:dyDescent="0.15">
      <c r="A195" s="2"/>
      <c r="B195" s="335"/>
      <c r="C195" s="335"/>
      <c r="D195" s="335"/>
      <c r="E195" s="335"/>
      <c r="F195" s="335"/>
      <c r="G195" s="335"/>
      <c r="H195" s="335"/>
      <c r="I195" s="335"/>
      <c r="J195" s="335"/>
      <c r="K195" s="335"/>
      <c r="L195" s="335"/>
      <c r="M195" s="335"/>
      <c r="N195" s="335"/>
      <c r="O195" s="335"/>
      <c r="P195" s="335"/>
      <c r="Q195" s="335"/>
      <c r="R195" s="335"/>
      <c r="S195" s="335"/>
      <c r="T195" s="335"/>
      <c r="U195" s="335"/>
      <c r="V195" s="335"/>
      <c r="W195" s="335"/>
      <c r="X195" s="335"/>
      <c r="Y195" s="3"/>
      <c r="Z195" s="2995" t="str">
        <f>IFERROR(VLOOKUP(7,'1_入力シート【基本情報】'!$DU$319:$DZ$534,5,FALSE),"")</f>
        <v/>
      </c>
      <c r="AA195" s="2996"/>
      <c r="AB195" s="2996"/>
      <c r="AC195" s="2996"/>
      <c r="AD195" s="2996"/>
      <c r="AE195" s="2996"/>
      <c r="AF195" s="2996"/>
      <c r="AG195" s="2996"/>
      <c r="AH195" s="2996"/>
      <c r="AI195" s="2996"/>
      <c r="AJ195" s="2996"/>
      <c r="AK195" s="2996"/>
      <c r="AL195" s="2996"/>
      <c r="AM195" s="2996"/>
      <c r="AN195" s="2996"/>
      <c r="AO195" s="2996"/>
      <c r="AP195" s="2996"/>
      <c r="AQ195" s="2996"/>
      <c r="AR195" s="2996"/>
      <c r="AS195" s="2996"/>
      <c r="AT195" s="2996"/>
      <c r="AU195" s="2997"/>
      <c r="AW195" s="197"/>
      <c r="AX195" s="197"/>
    </row>
    <row r="196" spans="1:50" ht="15.75" customHeight="1" x14ac:dyDescent="0.15">
      <c r="A196" s="2"/>
      <c r="B196" s="335"/>
      <c r="C196" s="335"/>
      <c r="D196" s="335"/>
      <c r="E196" s="335"/>
      <c r="F196" s="335"/>
      <c r="G196" s="335"/>
      <c r="H196" s="335"/>
      <c r="I196" s="335"/>
      <c r="J196" s="335"/>
      <c r="K196" s="335"/>
      <c r="L196" s="335"/>
      <c r="M196" s="335"/>
      <c r="N196" s="335"/>
      <c r="O196" s="335"/>
      <c r="P196" s="335"/>
      <c r="Q196" s="335"/>
      <c r="R196" s="335"/>
      <c r="S196" s="335"/>
      <c r="T196" s="335"/>
      <c r="U196" s="335"/>
      <c r="V196" s="335"/>
      <c r="W196" s="335"/>
      <c r="X196" s="335"/>
      <c r="Y196" s="3"/>
      <c r="Z196" s="2998"/>
      <c r="AA196" s="2999"/>
      <c r="AB196" s="2999"/>
      <c r="AC196" s="2999"/>
      <c r="AD196" s="2999"/>
      <c r="AE196" s="2999"/>
      <c r="AF196" s="2999"/>
      <c r="AG196" s="2999"/>
      <c r="AH196" s="2999"/>
      <c r="AI196" s="2999"/>
      <c r="AJ196" s="2999"/>
      <c r="AK196" s="2999"/>
      <c r="AL196" s="2999"/>
      <c r="AM196" s="2999"/>
      <c r="AN196" s="2999"/>
      <c r="AO196" s="2999"/>
      <c r="AP196" s="2999"/>
      <c r="AQ196" s="2999"/>
      <c r="AR196" s="2999"/>
      <c r="AS196" s="2999"/>
      <c r="AT196" s="2999"/>
      <c r="AU196" s="3000"/>
      <c r="AW196" s="197"/>
      <c r="AX196" s="197"/>
    </row>
    <row r="197" spans="1:50" ht="15.75" customHeight="1" x14ac:dyDescent="0.15">
      <c r="A197" s="2"/>
      <c r="B197" s="335"/>
      <c r="C197" s="335"/>
      <c r="D197" s="335"/>
      <c r="E197" s="335"/>
      <c r="F197" s="335"/>
      <c r="G197" s="335"/>
      <c r="H197" s="335"/>
      <c r="I197" s="335"/>
      <c r="J197" s="335"/>
      <c r="K197" s="335"/>
      <c r="L197" s="335"/>
      <c r="M197" s="335"/>
      <c r="N197" s="335"/>
      <c r="O197" s="335"/>
      <c r="P197" s="335"/>
      <c r="Q197" s="335"/>
      <c r="R197" s="335"/>
      <c r="S197" s="335"/>
      <c r="T197" s="335"/>
      <c r="U197" s="335"/>
      <c r="V197" s="335"/>
      <c r="W197" s="335"/>
      <c r="X197" s="335"/>
      <c r="Y197" s="3"/>
      <c r="Z197" s="3001"/>
      <c r="AA197" s="3002"/>
      <c r="AB197" s="3002"/>
      <c r="AC197" s="3002"/>
      <c r="AD197" s="3002"/>
      <c r="AE197" s="3002"/>
      <c r="AF197" s="3002"/>
      <c r="AG197" s="3002"/>
      <c r="AH197" s="3002"/>
      <c r="AI197" s="3002"/>
      <c r="AJ197" s="3002"/>
      <c r="AK197" s="3002"/>
      <c r="AL197" s="3002"/>
      <c r="AM197" s="3002"/>
      <c r="AN197" s="3002"/>
      <c r="AO197" s="3002"/>
      <c r="AP197" s="3002"/>
      <c r="AQ197" s="3002"/>
      <c r="AR197" s="3002"/>
      <c r="AS197" s="3002"/>
      <c r="AT197" s="3002"/>
      <c r="AU197" s="3003"/>
      <c r="AW197" s="197"/>
      <c r="AX197" s="197"/>
    </row>
    <row r="198" spans="1:50" ht="15.75" customHeight="1" x14ac:dyDescent="0.15">
      <c r="A198" s="2"/>
      <c r="B198" s="371"/>
      <c r="C198" s="371"/>
      <c r="D198" s="371"/>
      <c r="E198" s="371"/>
      <c r="F198" s="371"/>
      <c r="G198" s="371"/>
      <c r="H198" s="371"/>
      <c r="I198" s="371"/>
      <c r="J198" s="371"/>
      <c r="K198" s="371"/>
      <c r="L198" s="371"/>
      <c r="M198" s="371"/>
      <c r="N198" s="371"/>
      <c r="O198" s="371"/>
      <c r="P198" s="371"/>
      <c r="Q198" s="371"/>
      <c r="R198" s="371"/>
      <c r="S198" s="371"/>
      <c r="T198" s="371"/>
      <c r="U198" s="371"/>
      <c r="V198" s="371"/>
      <c r="W198" s="371"/>
      <c r="X198" s="371"/>
      <c r="Y198" s="3"/>
      <c r="Z198" s="3004"/>
      <c r="AA198" s="3005"/>
      <c r="AB198" s="3005"/>
      <c r="AC198" s="3005"/>
      <c r="AD198" s="3005"/>
      <c r="AE198" s="3005"/>
      <c r="AF198" s="3005"/>
      <c r="AG198" s="3005"/>
      <c r="AH198" s="3005"/>
      <c r="AI198" s="3005"/>
      <c r="AJ198" s="3005"/>
      <c r="AK198" s="3005"/>
      <c r="AL198" s="3005"/>
      <c r="AM198" s="3005"/>
      <c r="AN198" s="3005"/>
      <c r="AO198" s="3005"/>
      <c r="AP198" s="3005"/>
      <c r="AQ198" s="3005"/>
      <c r="AR198" s="3005"/>
      <c r="AS198" s="3005"/>
      <c r="AT198" s="3005"/>
      <c r="AU198" s="3006"/>
      <c r="AW198" s="197"/>
      <c r="AX198" s="197"/>
    </row>
    <row r="199" spans="1:50" ht="15.75" customHeight="1" x14ac:dyDescent="0.15">
      <c r="A199" s="2"/>
      <c r="B199" s="371"/>
      <c r="C199" s="371"/>
      <c r="D199" s="371"/>
      <c r="E199" s="371"/>
      <c r="F199" s="371"/>
      <c r="G199" s="371"/>
      <c r="H199" s="371"/>
      <c r="I199" s="371"/>
      <c r="J199" s="371"/>
      <c r="K199" s="371"/>
      <c r="L199" s="371"/>
      <c r="M199" s="371"/>
      <c r="N199" s="371"/>
      <c r="O199" s="371"/>
      <c r="P199" s="371"/>
      <c r="Q199" s="371"/>
      <c r="R199" s="371"/>
      <c r="S199" s="371"/>
      <c r="T199" s="371"/>
      <c r="U199" s="371"/>
      <c r="V199" s="371"/>
      <c r="W199" s="371"/>
      <c r="X199" s="371"/>
      <c r="Y199" s="3"/>
      <c r="Z199" s="3004"/>
      <c r="AA199" s="3005"/>
      <c r="AB199" s="3005"/>
      <c r="AC199" s="3005"/>
      <c r="AD199" s="3005"/>
      <c r="AE199" s="3005"/>
      <c r="AF199" s="3005"/>
      <c r="AG199" s="3005"/>
      <c r="AH199" s="3005"/>
      <c r="AI199" s="3005"/>
      <c r="AJ199" s="3005"/>
      <c r="AK199" s="3005"/>
      <c r="AL199" s="3005"/>
      <c r="AM199" s="3005"/>
      <c r="AN199" s="3005"/>
      <c r="AO199" s="3005"/>
      <c r="AP199" s="3005"/>
      <c r="AQ199" s="3005"/>
      <c r="AR199" s="3005"/>
      <c r="AS199" s="3005"/>
      <c r="AT199" s="3005"/>
      <c r="AU199" s="3006"/>
      <c r="AW199" s="197"/>
      <c r="AX199" s="197"/>
    </row>
    <row r="200" spans="1:50" ht="15.75" customHeight="1" x14ac:dyDescent="0.15">
      <c r="A200" s="2"/>
      <c r="B200" s="371"/>
      <c r="C200" s="371"/>
      <c r="D200" s="371"/>
      <c r="E200" s="371"/>
      <c r="F200" s="371"/>
      <c r="G200" s="371"/>
      <c r="H200" s="371"/>
      <c r="I200" s="371"/>
      <c r="J200" s="371"/>
      <c r="K200" s="371"/>
      <c r="L200" s="371"/>
      <c r="M200" s="371"/>
      <c r="N200" s="371"/>
      <c r="O200" s="371"/>
      <c r="P200" s="371"/>
      <c r="Q200" s="371"/>
      <c r="R200" s="371"/>
      <c r="S200" s="371"/>
      <c r="T200" s="371"/>
      <c r="U200" s="371"/>
      <c r="V200" s="371"/>
      <c r="W200" s="371"/>
      <c r="X200" s="371"/>
      <c r="Y200" s="3"/>
      <c r="Z200" s="3004"/>
      <c r="AA200" s="3005"/>
      <c r="AB200" s="3005"/>
      <c r="AC200" s="3005"/>
      <c r="AD200" s="3005"/>
      <c r="AE200" s="3005"/>
      <c r="AF200" s="3005"/>
      <c r="AG200" s="3005"/>
      <c r="AH200" s="3005"/>
      <c r="AI200" s="3005"/>
      <c r="AJ200" s="3005"/>
      <c r="AK200" s="3005"/>
      <c r="AL200" s="3005"/>
      <c r="AM200" s="3005"/>
      <c r="AN200" s="3005"/>
      <c r="AO200" s="3005"/>
      <c r="AP200" s="3005"/>
      <c r="AQ200" s="3005"/>
      <c r="AR200" s="3005"/>
      <c r="AS200" s="3005"/>
      <c r="AT200" s="3005"/>
      <c r="AU200" s="3006"/>
      <c r="AW200" s="197"/>
      <c r="AX200" s="197"/>
    </row>
    <row r="201" spans="1:50" ht="15.75" customHeight="1" x14ac:dyDescent="0.15">
      <c r="A201" s="2"/>
      <c r="B201" s="371"/>
      <c r="C201" s="371"/>
      <c r="D201" s="371"/>
      <c r="E201" s="371"/>
      <c r="F201" s="371"/>
      <c r="G201" s="371"/>
      <c r="H201" s="371"/>
      <c r="I201" s="371"/>
      <c r="J201" s="371"/>
      <c r="K201" s="3013" t="s">
        <v>157</v>
      </c>
      <c r="L201" s="3013"/>
      <c r="M201" s="3013"/>
      <c r="N201" s="3013"/>
      <c r="O201" s="3013"/>
      <c r="P201" s="3013"/>
      <c r="Q201" s="371"/>
      <c r="R201" s="371"/>
      <c r="S201" s="371"/>
      <c r="T201" s="371"/>
      <c r="U201" s="371"/>
      <c r="V201" s="371"/>
      <c r="W201" s="371"/>
      <c r="X201" s="371"/>
      <c r="Y201" s="3"/>
      <c r="Z201" s="3004"/>
      <c r="AA201" s="3005"/>
      <c r="AB201" s="3005"/>
      <c r="AC201" s="3005"/>
      <c r="AD201" s="3005"/>
      <c r="AE201" s="3005"/>
      <c r="AF201" s="3005"/>
      <c r="AG201" s="3005"/>
      <c r="AH201" s="3005"/>
      <c r="AI201" s="3005"/>
      <c r="AJ201" s="3005"/>
      <c r="AK201" s="3005"/>
      <c r="AL201" s="3005"/>
      <c r="AM201" s="3005"/>
      <c r="AN201" s="3005"/>
      <c r="AO201" s="3005"/>
      <c r="AP201" s="3005"/>
      <c r="AQ201" s="3005"/>
      <c r="AR201" s="3005"/>
      <c r="AS201" s="3005"/>
      <c r="AT201" s="3005"/>
      <c r="AU201" s="3006"/>
      <c r="AW201" s="197"/>
      <c r="AX201" s="197"/>
    </row>
    <row r="202" spans="1:50" ht="15.75" customHeight="1" x14ac:dyDescent="0.15">
      <c r="A202" s="2"/>
      <c r="B202" s="371"/>
      <c r="C202" s="371"/>
      <c r="D202" s="371"/>
      <c r="E202" s="371"/>
      <c r="F202" s="371"/>
      <c r="G202" s="371"/>
      <c r="H202" s="371"/>
      <c r="I202" s="371"/>
      <c r="J202" s="371"/>
      <c r="K202" s="371"/>
      <c r="L202" s="371"/>
      <c r="M202" s="371"/>
      <c r="N202" s="371"/>
      <c r="O202" s="371"/>
      <c r="P202" s="371"/>
      <c r="Q202" s="371"/>
      <c r="R202" s="371"/>
      <c r="S202" s="371"/>
      <c r="T202" s="371"/>
      <c r="U202" s="371"/>
      <c r="V202" s="371"/>
      <c r="W202" s="371"/>
      <c r="X202" s="371"/>
      <c r="Y202" s="3"/>
      <c r="Z202" s="3004"/>
      <c r="AA202" s="3005"/>
      <c r="AB202" s="3005"/>
      <c r="AC202" s="3005"/>
      <c r="AD202" s="3005"/>
      <c r="AE202" s="3005"/>
      <c r="AF202" s="3005"/>
      <c r="AG202" s="3005"/>
      <c r="AH202" s="3005"/>
      <c r="AI202" s="3005"/>
      <c r="AJ202" s="3005"/>
      <c r="AK202" s="3005"/>
      <c r="AL202" s="3005"/>
      <c r="AM202" s="3005"/>
      <c r="AN202" s="3005"/>
      <c r="AO202" s="3005"/>
      <c r="AP202" s="3005"/>
      <c r="AQ202" s="3005"/>
      <c r="AR202" s="3005"/>
      <c r="AS202" s="3005"/>
      <c r="AT202" s="3005"/>
      <c r="AU202" s="3006"/>
      <c r="AW202" s="197"/>
      <c r="AX202" s="197"/>
    </row>
    <row r="203" spans="1:50" ht="15.75" customHeight="1" x14ac:dyDescent="0.15">
      <c r="A203" s="2"/>
      <c r="B203" s="371"/>
      <c r="C203" s="371"/>
      <c r="D203" s="371"/>
      <c r="E203" s="371"/>
      <c r="F203" s="371"/>
      <c r="G203" s="371"/>
      <c r="H203" s="371"/>
      <c r="I203" s="371"/>
      <c r="J203" s="371"/>
      <c r="K203" s="371"/>
      <c r="L203" s="371"/>
      <c r="M203" s="371"/>
      <c r="N203" s="371"/>
      <c r="O203" s="371"/>
      <c r="P203" s="371"/>
      <c r="Q203" s="371"/>
      <c r="R203" s="371"/>
      <c r="S203" s="371"/>
      <c r="T203" s="371"/>
      <c r="U203" s="371"/>
      <c r="V203" s="371"/>
      <c r="W203" s="371"/>
      <c r="X203" s="371"/>
      <c r="Y203" s="3"/>
      <c r="Z203" s="3004"/>
      <c r="AA203" s="3005"/>
      <c r="AB203" s="3005"/>
      <c r="AC203" s="3005"/>
      <c r="AD203" s="3005"/>
      <c r="AE203" s="3005"/>
      <c r="AF203" s="3005"/>
      <c r="AG203" s="3005"/>
      <c r="AH203" s="3005"/>
      <c r="AI203" s="3005"/>
      <c r="AJ203" s="3005"/>
      <c r="AK203" s="3005"/>
      <c r="AL203" s="3005"/>
      <c r="AM203" s="3005"/>
      <c r="AN203" s="3005"/>
      <c r="AO203" s="3005"/>
      <c r="AP203" s="3005"/>
      <c r="AQ203" s="3005"/>
      <c r="AR203" s="3005"/>
      <c r="AS203" s="3005"/>
      <c r="AT203" s="3005"/>
      <c r="AU203" s="3006"/>
      <c r="AW203" s="197"/>
      <c r="AX203" s="197"/>
    </row>
    <row r="204" spans="1:50" ht="15.75" customHeight="1" x14ac:dyDescent="0.15">
      <c r="A204" s="2"/>
      <c r="B204" s="371"/>
      <c r="C204" s="371"/>
      <c r="D204" s="371"/>
      <c r="E204" s="371"/>
      <c r="F204" s="371"/>
      <c r="G204" s="371"/>
      <c r="H204" s="371"/>
      <c r="I204" s="371"/>
      <c r="J204" s="371"/>
      <c r="K204" s="371"/>
      <c r="L204" s="371"/>
      <c r="M204" s="371"/>
      <c r="N204" s="371"/>
      <c r="O204" s="371"/>
      <c r="P204" s="371"/>
      <c r="Q204" s="371"/>
      <c r="R204" s="371"/>
      <c r="S204" s="371"/>
      <c r="T204" s="371"/>
      <c r="U204" s="371"/>
      <c r="V204" s="371"/>
      <c r="W204" s="371"/>
      <c r="X204" s="371"/>
      <c r="Y204" s="3"/>
      <c r="Z204" s="3004"/>
      <c r="AA204" s="3005"/>
      <c r="AB204" s="3005"/>
      <c r="AC204" s="3005"/>
      <c r="AD204" s="3005"/>
      <c r="AE204" s="3005"/>
      <c r="AF204" s="3005"/>
      <c r="AG204" s="3005"/>
      <c r="AH204" s="3005"/>
      <c r="AI204" s="3005"/>
      <c r="AJ204" s="3005"/>
      <c r="AK204" s="3005"/>
      <c r="AL204" s="3005"/>
      <c r="AM204" s="3005"/>
      <c r="AN204" s="3005"/>
      <c r="AO204" s="3005"/>
      <c r="AP204" s="3005"/>
      <c r="AQ204" s="3005"/>
      <c r="AR204" s="3005"/>
      <c r="AS204" s="3005"/>
      <c r="AT204" s="3005"/>
      <c r="AU204" s="3006"/>
      <c r="AW204" s="197"/>
      <c r="AX204" s="197"/>
    </row>
    <row r="205" spans="1:50" ht="15.75" customHeight="1" x14ac:dyDescent="0.15">
      <c r="A205" s="2"/>
      <c r="B205" s="371"/>
      <c r="C205" s="371"/>
      <c r="D205" s="371"/>
      <c r="E205" s="371"/>
      <c r="F205" s="371"/>
      <c r="G205" s="371"/>
      <c r="H205" s="371"/>
      <c r="I205" s="371"/>
      <c r="J205" s="371"/>
      <c r="K205" s="371"/>
      <c r="L205" s="371"/>
      <c r="M205" s="371"/>
      <c r="N205" s="371"/>
      <c r="O205" s="371"/>
      <c r="P205" s="371"/>
      <c r="Q205" s="371"/>
      <c r="R205" s="371"/>
      <c r="S205" s="371"/>
      <c r="T205" s="371"/>
      <c r="U205" s="371"/>
      <c r="V205" s="371"/>
      <c r="W205" s="371"/>
      <c r="X205" s="371"/>
      <c r="Y205" s="3"/>
      <c r="Z205" s="3004"/>
      <c r="AA205" s="3005"/>
      <c r="AB205" s="3005"/>
      <c r="AC205" s="3005"/>
      <c r="AD205" s="3005"/>
      <c r="AE205" s="3005"/>
      <c r="AF205" s="3005"/>
      <c r="AG205" s="3005"/>
      <c r="AH205" s="3005"/>
      <c r="AI205" s="3005"/>
      <c r="AJ205" s="3005"/>
      <c r="AK205" s="3005"/>
      <c r="AL205" s="3005"/>
      <c r="AM205" s="3005"/>
      <c r="AN205" s="3005"/>
      <c r="AO205" s="3005"/>
      <c r="AP205" s="3005"/>
      <c r="AQ205" s="3005"/>
      <c r="AR205" s="3005"/>
      <c r="AS205" s="3005"/>
      <c r="AT205" s="3005"/>
      <c r="AU205" s="3006"/>
      <c r="AW205" s="197"/>
      <c r="AX205" s="197"/>
    </row>
    <row r="206" spans="1:50" ht="15.75" customHeight="1" x14ac:dyDescent="0.15">
      <c r="A206" s="2"/>
      <c r="B206" s="371"/>
      <c r="C206" s="371"/>
      <c r="D206" s="371"/>
      <c r="E206" s="371"/>
      <c r="F206" s="371"/>
      <c r="G206" s="371"/>
      <c r="H206" s="371"/>
      <c r="I206" s="371"/>
      <c r="J206" s="371"/>
      <c r="K206" s="371"/>
      <c r="L206" s="371"/>
      <c r="M206" s="371"/>
      <c r="N206" s="371"/>
      <c r="O206" s="371"/>
      <c r="P206" s="371"/>
      <c r="Q206" s="371"/>
      <c r="R206" s="371"/>
      <c r="S206" s="371"/>
      <c r="T206" s="371"/>
      <c r="U206" s="371"/>
      <c r="V206" s="371"/>
      <c r="W206" s="371"/>
      <c r="X206" s="371"/>
      <c r="Y206" s="3"/>
      <c r="Z206" s="3004"/>
      <c r="AA206" s="3005"/>
      <c r="AB206" s="3005"/>
      <c r="AC206" s="3005"/>
      <c r="AD206" s="3005"/>
      <c r="AE206" s="3005"/>
      <c r="AF206" s="3005"/>
      <c r="AG206" s="3005"/>
      <c r="AH206" s="3005"/>
      <c r="AI206" s="3005"/>
      <c r="AJ206" s="3005"/>
      <c r="AK206" s="3005"/>
      <c r="AL206" s="3005"/>
      <c r="AM206" s="3005"/>
      <c r="AN206" s="3005"/>
      <c r="AO206" s="3005"/>
      <c r="AP206" s="3005"/>
      <c r="AQ206" s="3005"/>
      <c r="AR206" s="3005"/>
      <c r="AS206" s="3005"/>
      <c r="AT206" s="3005"/>
      <c r="AU206" s="3006"/>
      <c r="AW206" s="197"/>
      <c r="AX206" s="197"/>
    </row>
    <row r="207" spans="1:50" ht="15.75" customHeight="1" x14ac:dyDescent="0.15">
      <c r="A207" s="2"/>
      <c r="B207" s="371"/>
      <c r="C207" s="371"/>
      <c r="D207" s="371"/>
      <c r="E207" s="371"/>
      <c r="F207" s="371"/>
      <c r="G207" s="371"/>
      <c r="H207" s="371"/>
      <c r="I207" s="371"/>
      <c r="J207" s="371"/>
      <c r="K207" s="371"/>
      <c r="L207" s="371"/>
      <c r="M207" s="371"/>
      <c r="N207" s="371"/>
      <c r="O207" s="371"/>
      <c r="P207" s="371"/>
      <c r="Q207" s="371"/>
      <c r="R207" s="371"/>
      <c r="S207" s="371"/>
      <c r="T207" s="371"/>
      <c r="U207" s="371"/>
      <c r="V207" s="371"/>
      <c r="W207" s="371"/>
      <c r="X207" s="371"/>
      <c r="Y207" s="3"/>
      <c r="Z207" s="3004"/>
      <c r="AA207" s="3005"/>
      <c r="AB207" s="3005"/>
      <c r="AC207" s="3005"/>
      <c r="AD207" s="3005"/>
      <c r="AE207" s="3005"/>
      <c r="AF207" s="3005"/>
      <c r="AG207" s="3005"/>
      <c r="AH207" s="3005"/>
      <c r="AI207" s="3005"/>
      <c r="AJ207" s="3005"/>
      <c r="AK207" s="3005"/>
      <c r="AL207" s="3005"/>
      <c r="AM207" s="3005"/>
      <c r="AN207" s="3005"/>
      <c r="AO207" s="3005"/>
      <c r="AP207" s="3005"/>
      <c r="AQ207" s="3005"/>
      <c r="AR207" s="3005"/>
      <c r="AS207" s="3005"/>
      <c r="AT207" s="3005"/>
      <c r="AU207" s="3006"/>
      <c r="AW207" s="197"/>
      <c r="AX207" s="197"/>
    </row>
    <row r="208" spans="1:50" ht="15.75" customHeight="1" x14ac:dyDescent="0.15">
      <c r="A208" s="2"/>
      <c r="B208" s="371"/>
      <c r="C208" s="371"/>
      <c r="D208" s="371"/>
      <c r="E208" s="371"/>
      <c r="F208" s="371"/>
      <c r="G208" s="371"/>
      <c r="H208" s="371"/>
      <c r="I208" s="371"/>
      <c r="J208" s="371"/>
      <c r="K208" s="371"/>
      <c r="L208" s="371"/>
      <c r="M208" s="371"/>
      <c r="N208" s="371"/>
      <c r="O208" s="371"/>
      <c r="P208" s="371"/>
      <c r="Q208" s="371"/>
      <c r="R208" s="371"/>
      <c r="S208" s="371"/>
      <c r="T208" s="371"/>
      <c r="U208" s="371"/>
      <c r="V208" s="371"/>
      <c r="W208" s="371"/>
      <c r="X208" s="371"/>
      <c r="Y208" s="3"/>
      <c r="Z208" s="3004"/>
      <c r="AA208" s="3005"/>
      <c r="AB208" s="3005"/>
      <c r="AC208" s="3005"/>
      <c r="AD208" s="3005"/>
      <c r="AE208" s="3005"/>
      <c r="AF208" s="3005"/>
      <c r="AG208" s="3005"/>
      <c r="AH208" s="3005"/>
      <c r="AI208" s="3005"/>
      <c r="AJ208" s="3005"/>
      <c r="AK208" s="3005"/>
      <c r="AL208" s="3005"/>
      <c r="AM208" s="3005"/>
      <c r="AN208" s="3005"/>
      <c r="AO208" s="3005"/>
      <c r="AP208" s="3005"/>
      <c r="AQ208" s="3005"/>
      <c r="AR208" s="3005"/>
      <c r="AS208" s="3005"/>
      <c r="AT208" s="3005"/>
      <c r="AU208" s="3006"/>
      <c r="AW208" s="197"/>
      <c r="AX208" s="197"/>
    </row>
    <row r="209" spans="1:53" ht="15.75" customHeight="1" x14ac:dyDescent="0.15">
      <c r="A209" s="2"/>
      <c r="B209" s="371"/>
      <c r="C209" s="371"/>
      <c r="D209" s="371"/>
      <c r="E209" s="371"/>
      <c r="F209" s="371"/>
      <c r="G209" s="371"/>
      <c r="H209" s="371"/>
      <c r="I209" s="371"/>
      <c r="J209" s="371"/>
      <c r="K209" s="371"/>
      <c r="L209" s="371"/>
      <c r="M209" s="371"/>
      <c r="N209" s="371"/>
      <c r="O209" s="371"/>
      <c r="P209" s="371"/>
      <c r="Q209" s="371"/>
      <c r="R209" s="371"/>
      <c r="S209" s="371"/>
      <c r="T209" s="371"/>
      <c r="U209" s="371"/>
      <c r="V209" s="371"/>
      <c r="W209" s="371"/>
      <c r="X209" s="371"/>
      <c r="Y209" s="3"/>
      <c r="Z209" s="3004"/>
      <c r="AA209" s="3005"/>
      <c r="AB209" s="3005"/>
      <c r="AC209" s="3005"/>
      <c r="AD209" s="3005"/>
      <c r="AE209" s="3005"/>
      <c r="AF209" s="3005"/>
      <c r="AG209" s="3005"/>
      <c r="AH209" s="3005"/>
      <c r="AI209" s="3005"/>
      <c r="AJ209" s="3005"/>
      <c r="AK209" s="3005"/>
      <c r="AL209" s="3005"/>
      <c r="AM209" s="3005"/>
      <c r="AN209" s="3005"/>
      <c r="AO209" s="3005"/>
      <c r="AP209" s="3005"/>
      <c r="AQ209" s="3005"/>
      <c r="AR209" s="3005"/>
      <c r="AS209" s="3005"/>
      <c r="AT209" s="3005"/>
      <c r="AU209" s="3006"/>
      <c r="AW209" s="197"/>
      <c r="AX209" s="197"/>
    </row>
    <row r="210" spans="1:53" ht="15.75" customHeight="1" x14ac:dyDescent="0.15">
      <c r="A210" s="6"/>
      <c r="B210" s="4"/>
      <c r="C210" s="4"/>
      <c r="D210" s="4"/>
      <c r="E210" s="4"/>
      <c r="F210" s="4"/>
      <c r="G210" s="4"/>
      <c r="H210" s="4"/>
      <c r="I210" s="4"/>
      <c r="J210" s="4"/>
      <c r="K210" s="4"/>
      <c r="L210" s="4"/>
      <c r="M210" s="4"/>
      <c r="N210" s="4"/>
      <c r="O210" s="4"/>
      <c r="P210" s="4"/>
      <c r="Q210" s="4"/>
      <c r="R210" s="4"/>
      <c r="S210" s="4"/>
      <c r="T210" s="4"/>
      <c r="U210" s="4"/>
      <c r="V210" s="4"/>
      <c r="W210" s="4"/>
      <c r="X210" s="4"/>
      <c r="Y210" s="5"/>
      <c r="Z210" s="3007"/>
      <c r="AA210" s="3008"/>
      <c r="AB210" s="3008"/>
      <c r="AC210" s="3008"/>
      <c r="AD210" s="3008"/>
      <c r="AE210" s="3008"/>
      <c r="AF210" s="3008"/>
      <c r="AG210" s="3008"/>
      <c r="AH210" s="3008"/>
      <c r="AI210" s="3008"/>
      <c r="AJ210" s="3008"/>
      <c r="AK210" s="3008"/>
      <c r="AL210" s="3008"/>
      <c r="AM210" s="3008"/>
      <c r="AN210" s="3008"/>
      <c r="AO210" s="3008"/>
      <c r="AP210" s="3008"/>
      <c r="AQ210" s="3008"/>
      <c r="AR210" s="3008"/>
      <c r="AS210" s="3008"/>
      <c r="AT210" s="3008"/>
      <c r="AU210" s="3009"/>
      <c r="AW210" s="197"/>
      <c r="AX210" s="197"/>
    </row>
    <row r="211" spans="1:53" ht="12.75" customHeight="1" x14ac:dyDescent="0.15">
      <c r="AW211" s="197"/>
      <c r="AX211" s="197"/>
    </row>
    <row r="212" spans="1:53" ht="15.75" customHeight="1" x14ac:dyDescent="0.15">
      <c r="A212" s="3018" t="s">
        <v>154</v>
      </c>
      <c r="B212" s="3019"/>
      <c r="C212" s="3020"/>
      <c r="D212" s="3037" t="s">
        <v>155</v>
      </c>
      <c r="E212" s="3038"/>
      <c r="F212" s="3038"/>
      <c r="G212" s="3038"/>
      <c r="H212" s="3038"/>
      <c r="I212" s="3038"/>
      <c r="J212" s="3039"/>
      <c r="K212" s="344"/>
      <c r="L212" s="341"/>
      <c r="M212" s="341"/>
      <c r="N212" s="341"/>
      <c r="O212" s="341"/>
      <c r="P212" s="341"/>
      <c r="Q212" s="341"/>
      <c r="R212" s="341"/>
      <c r="S212" s="342" t="s">
        <v>7</v>
      </c>
      <c r="T212" s="342" t="s">
        <v>8</v>
      </c>
      <c r="U212" s="342" t="s">
        <v>9</v>
      </c>
      <c r="V212" s="342" t="s">
        <v>156</v>
      </c>
      <c r="W212" s="342"/>
      <c r="X212" s="342"/>
      <c r="Y212" s="342"/>
      <c r="Z212" s="342"/>
      <c r="AA212" s="342"/>
      <c r="AB212" s="342"/>
      <c r="AC212" s="342"/>
      <c r="AD212" s="342"/>
      <c r="AE212" s="342"/>
      <c r="AF212" s="342"/>
      <c r="AG212" s="342"/>
      <c r="AH212" s="342"/>
      <c r="AI212" s="343"/>
      <c r="AJ212" s="344"/>
      <c r="AK212" s="3038" t="s">
        <v>33</v>
      </c>
      <c r="AL212" s="3038"/>
      <c r="AM212" s="3038"/>
      <c r="AN212" s="3038"/>
      <c r="AO212" s="3038"/>
      <c r="AP212" s="3038"/>
      <c r="AQ212" s="3038"/>
      <c r="AR212" s="3038"/>
      <c r="AS212" s="3038"/>
      <c r="AT212" s="3038"/>
      <c r="AU212" s="345"/>
      <c r="AW212" s="197"/>
      <c r="AX212" s="197"/>
    </row>
    <row r="213" spans="1:53" ht="15.75" customHeight="1" thickBot="1" x14ac:dyDescent="0.2">
      <c r="A213" s="3031"/>
      <c r="B213" s="3032"/>
      <c r="C213" s="3033"/>
      <c r="D213" s="3018" t="str">
        <f>IFERROR(VLOOKUP(8,'1_入力シート【基本情報】'!$DU$319:$DX$534,3,FALSE),"")</f>
        <v/>
      </c>
      <c r="E213" s="3019"/>
      <c r="F213" s="3019"/>
      <c r="G213" s="3019"/>
      <c r="H213" s="3019"/>
      <c r="I213" s="3019"/>
      <c r="J213" s="3020"/>
      <c r="K213" s="2995" t="str">
        <f>IFERROR(VLOOKUP(8,'1_入力シート【基本情報】'!$DU$319:$DX$534,4,FALSE),"")</f>
        <v/>
      </c>
      <c r="L213" s="2996"/>
      <c r="M213" s="2996"/>
      <c r="N213" s="2996"/>
      <c r="O213" s="2996"/>
      <c r="P213" s="2996"/>
      <c r="Q213" s="2996"/>
      <c r="R213" s="2996"/>
      <c r="S213" s="2996"/>
      <c r="T213" s="2996"/>
      <c r="U213" s="2996"/>
      <c r="V213" s="2996"/>
      <c r="W213" s="2996"/>
      <c r="X213" s="2996"/>
      <c r="Y213" s="2996"/>
      <c r="Z213" s="2996"/>
      <c r="AA213" s="2996"/>
      <c r="AB213" s="2996"/>
      <c r="AC213" s="2996"/>
      <c r="AD213" s="2996"/>
      <c r="AE213" s="2996"/>
      <c r="AF213" s="2996"/>
      <c r="AG213" s="2996"/>
      <c r="AH213" s="2996"/>
      <c r="AI213" s="2997"/>
      <c r="AJ213" s="367"/>
      <c r="AK213" s="367"/>
      <c r="AL213" s="367"/>
      <c r="AM213" s="367"/>
      <c r="AN213" s="367"/>
      <c r="AO213" s="367"/>
      <c r="AP213" s="367"/>
      <c r="AQ213" s="367"/>
      <c r="AR213" s="367"/>
      <c r="AS213" s="367"/>
      <c r="AT213" s="367"/>
      <c r="AU213" s="368"/>
      <c r="AW213" s="197"/>
      <c r="AX213" s="197"/>
    </row>
    <row r="214" spans="1:53" ht="15.75" customHeight="1" thickBot="1" x14ac:dyDescent="0.2">
      <c r="A214" s="3031"/>
      <c r="B214" s="3032"/>
      <c r="C214" s="3033"/>
      <c r="D214" s="3021"/>
      <c r="E214" s="3022"/>
      <c r="F214" s="3022"/>
      <c r="G214" s="3022"/>
      <c r="H214" s="3022"/>
      <c r="I214" s="3022"/>
      <c r="J214" s="3023"/>
      <c r="K214" s="2998"/>
      <c r="L214" s="2999"/>
      <c r="M214" s="2999"/>
      <c r="N214" s="2999"/>
      <c r="O214" s="2999"/>
      <c r="P214" s="2999"/>
      <c r="Q214" s="2999"/>
      <c r="R214" s="2999"/>
      <c r="S214" s="2999"/>
      <c r="T214" s="2999"/>
      <c r="U214" s="2999"/>
      <c r="V214" s="2999"/>
      <c r="W214" s="2999"/>
      <c r="X214" s="2999"/>
      <c r="Y214" s="2999"/>
      <c r="Z214" s="2999"/>
      <c r="AA214" s="2999"/>
      <c r="AB214" s="2999"/>
      <c r="AC214" s="2999"/>
      <c r="AD214" s="2999"/>
      <c r="AE214" s="2999"/>
      <c r="AF214" s="2999"/>
      <c r="AG214" s="2999"/>
      <c r="AH214" s="2999"/>
      <c r="AI214" s="3000"/>
      <c r="AJ214" s="367"/>
      <c r="AK214" s="367" t="str">
        <f>IF(D213&lt;&gt;"","☑","☐")</f>
        <v>☐</v>
      </c>
      <c r="AL214" s="367" t="s">
        <v>14</v>
      </c>
      <c r="AM214" s="367" t="s">
        <v>21</v>
      </c>
      <c r="AN214" s="367" t="s">
        <v>15</v>
      </c>
      <c r="AO214" s="367"/>
      <c r="AP214" s="426" t="s">
        <v>179</v>
      </c>
      <c r="AQ214" s="367" t="s">
        <v>27</v>
      </c>
      <c r="AR214" s="367" t="s">
        <v>23</v>
      </c>
      <c r="AS214" s="367" t="s">
        <v>13</v>
      </c>
      <c r="AT214" s="367"/>
      <c r="AU214" s="368"/>
      <c r="AW214" s="197"/>
      <c r="AX214" s="197"/>
      <c r="BA214" s="430" t="b">
        <f>AP214="☑"</f>
        <v>0</v>
      </c>
    </row>
    <row r="215" spans="1:53" ht="15.75" customHeight="1" x14ac:dyDescent="0.15">
      <c r="A215" s="3034"/>
      <c r="B215" s="3035"/>
      <c r="C215" s="3036"/>
      <c r="D215" s="3024"/>
      <c r="E215" s="3025"/>
      <c r="F215" s="3025"/>
      <c r="G215" s="3025"/>
      <c r="H215" s="3025"/>
      <c r="I215" s="3025"/>
      <c r="J215" s="3026"/>
      <c r="K215" s="3028"/>
      <c r="L215" s="3029"/>
      <c r="M215" s="3029"/>
      <c r="N215" s="3029"/>
      <c r="O215" s="3029"/>
      <c r="P215" s="3029"/>
      <c r="Q215" s="3029"/>
      <c r="R215" s="3029"/>
      <c r="S215" s="3029"/>
      <c r="T215" s="3029"/>
      <c r="U215" s="3029"/>
      <c r="V215" s="3029"/>
      <c r="W215" s="3029"/>
      <c r="X215" s="3029"/>
      <c r="Y215" s="3029"/>
      <c r="Z215" s="3029"/>
      <c r="AA215" s="3029"/>
      <c r="AB215" s="3029"/>
      <c r="AC215" s="3029"/>
      <c r="AD215" s="3029"/>
      <c r="AE215" s="3029"/>
      <c r="AF215" s="3029"/>
      <c r="AG215" s="3029"/>
      <c r="AH215" s="3029"/>
      <c r="AI215" s="3030"/>
      <c r="AJ215" s="369"/>
      <c r="AK215" s="369"/>
      <c r="AL215" s="369"/>
      <c r="AM215" s="369"/>
      <c r="AN215" s="369"/>
      <c r="AO215" s="369"/>
      <c r="AP215" s="369"/>
      <c r="AQ215" s="369"/>
      <c r="AR215" s="369"/>
      <c r="AS215" s="369"/>
      <c r="AT215" s="369"/>
      <c r="AU215" s="370"/>
      <c r="AW215" s="197"/>
      <c r="AX215" s="197"/>
    </row>
    <row r="216" spans="1:53" ht="15.75" customHeight="1" x14ac:dyDescent="0.15">
      <c r="A216" s="2"/>
      <c r="B216" s="335"/>
      <c r="C216" s="335"/>
      <c r="D216" s="335"/>
      <c r="E216" s="335"/>
      <c r="F216" s="335"/>
      <c r="G216" s="335"/>
      <c r="H216" s="335"/>
      <c r="I216" s="335"/>
      <c r="J216" s="335"/>
      <c r="K216" s="335"/>
      <c r="L216" s="335"/>
      <c r="M216" s="335"/>
      <c r="N216" s="335"/>
      <c r="O216" s="335"/>
      <c r="P216" s="335"/>
      <c r="Q216" s="335"/>
      <c r="R216" s="335"/>
      <c r="S216" s="335"/>
      <c r="T216" s="335"/>
      <c r="U216" s="335"/>
      <c r="V216" s="335"/>
      <c r="W216" s="335"/>
      <c r="X216" s="335"/>
      <c r="Y216" s="3"/>
      <c r="Z216" s="47"/>
      <c r="AA216" s="48" t="s">
        <v>11</v>
      </c>
      <c r="AB216" s="48" t="s">
        <v>10</v>
      </c>
      <c r="AC216" s="48" t="s">
        <v>16</v>
      </c>
      <c r="AD216" s="48" t="s">
        <v>9</v>
      </c>
      <c r="AE216" s="48"/>
      <c r="AF216" s="48"/>
      <c r="AG216" s="48"/>
      <c r="AH216" s="48"/>
      <c r="AI216" s="48"/>
      <c r="AJ216" s="49"/>
      <c r="AK216" s="49"/>
      <c r="AL216" s="49"/>
      <c r="AM216" s="49"/>
      <c r="AN216" s="49"/>
      <c r="AO216" s="49"/>
      <c r="AP216" s="49"/>
      <c r="AQ216" s="49"/>
      <c r="AR216" s="49"/>
      <c r="AS216" s="49"/>
      <c r="AT216" s="49"/>
      <c r="AU216" s="334"/>
      <c r="AW216" s="197"/>
      <c r="AX216" s="197"/>
    </row>
    <row r="217" spans="1:53" ht="15.75" customHeight="1" x14ac:dyDescent="0.15">
      <c r="A217" s="2"/>
      <c r="B217" s="335"/>
      <c r="C217" s="335"/>
      <c r="D217" s="335"/>
      <c r="E217" s="335"/>
      <c r="F217" s="335"/>
      <c r="G217" s="335"/>
      <c r="H217" s="335"/>
      <c r="I217" s="335"/>
      <c r="J217" s="335"/>
      <c r="K217" s="335"/>
      <c r="L217" s="335"/>
      <c r="M217" s="335"/>
      <c r="N217" s="335"/>
      <c r="O217" s="335"/>
      <c r="P217" s="335"/>
      <c r="Q217" s="335"/>
      <c r="R217" s="335"/>
      <c r="S217" s="335"/>
      <c r="T217" s="335"/>
      <c r="U217" s="335"/>
      <c r="V217" s="335"/>
      <c r="W217" s="335"/>
      <c r="X217" s="335"/>
      <c r="Y217" s="3"/>
      <c r="Z217" s="3010"/>
      <c r="AA217" s="3011"/>
      <c r="AB217" s="3011"/>
      <c r="AC217" s="3011"/>
      <c r="AD217" s="3011"/>
      <c r="AE217" s="3011"/>
      <c r="AF217" s="3011"/>
      <c r="AG217" s="3011"/>
      <c r="AH217" s="3011"/>
      <c r="AI217" s="3011"/>
      <c r="AJ217" s="3011"/>
      <c r="AK217" s="3011"/>
      <c r="AL217" s="3011"/>
      <c r="AM217" s="3011"/>
      <c r="AN217" s="3011"/>
      <c r="AO217" s="104"/>
      <c r="AP217" s="104"/>
      <c r="AQ217" s="104"/>
      <c r="AR217" s="104"/>
      <c r="AS217" s="104"/>
      <c r="AT217" s="104"/>
      <c r="AU217" s="105"/>
      <c r="AW217" s="197"/>
      <c r="AX217" s="197"/>
    </row>
    <row r="218" spans="1:53" ht="15.75" customHeight="1" x14ac:dyDescent="0.15">
      <c r="A218" s="2"/>
      <c r="B218" s="335"/>
      <c r="C218" s="335"/>
      <c r="D218" s="335"/>
      <c r="E218" s="335"/>
      <c r="F218" s="335"/>
      <c r="G218" s="335"/>
      <c r="H218" s="335"/>
      <c r="I218" s="335"/>
      <c r="J218" s="335"/>
      <c r="K218" s="335"/>
      <c r="L218" s="335"/>
      <c r="M218" s="335"/>
      <c r="N218" s="335"/>
      <c r="O218" s="335"/>
      <c r="P218" s="335"/>
      <c r="Q218" s="335"/>
      <c r="R218" s="335"/>
      <c r="S218" s="335"/>
      <c r="T218" s="335"/>
      <c r="U218" s="335"/>
      <c r="V218" s="335"/>
      <c r="W218" s="335"/>
      <c r="X218" s="335"/>
      <c r="Y218" s="3"/>
      <c r="Z218" s="2995" t="str">
        <f>IFERROR(VLOOKUP(8,'1_入力シート【基本情報】'!$DU$319:$DZ$534,5,FALSE),"")</f>
        <v/>
      </c>
      <c r="AA218" s="2996"/>
      <c r="AB218" s="2996"/>
      <c r="AC218" s="2996"/>
      <c r="AD218" s="2996"/>
      <c r="AE218" s="2996"/>
      <c r="AF218" s="2996"/>
      <c r="AG218" s="2996"/>
      <c r="AH218" s="2996"/>
      <c r="AI218" s="2996"/>
      <c r="AJ218" s="2996"/>
      <c r="AK218" s="2996"/>
      <c r="AL218" s="2996"/>
      <c r="AM218" s="2996"/>
      <c r="AN218" s="2996"/>
      <c r="AO218" s="2996"/>
      <c r="AP218" s="2996"/>
      <c r="AQ218" s="2996"/>
      <c r="AR218" s="2996"/>
      <c r="AS218" s="2996"/>
      <c r="AT218" s="2996"/>
      <c r="AU218" s="2997"/>
      <c r="AW218" s="197"/>
      <c r="AX218" s="197"/>
    </row>
    <row r="219" spans="1:53" ht="15.75" customHeight="1" x14ac:dyDescent="0.15">
      <c r="A219" s="2"/>
      <c r="B219" s="335"/>
      <c r="C219" s="335"/>
      <c r="D219" s="335"/>
      <c r="E219" s="335"/>
      <c r="F219" s="335"/>
      <c r="G219" s="335"/>
      <c r="H219" s="335"/>
      <c r="I219" s="335"/>
      <c r="J219" s="335"/>
      <c r="K219" s="335"/>
      <c r="L219" s="335"/>
      <c r="M219" s="335"/>
      <c r="N219" s="335"/>
      <c r="O219" s="335"/>
      <c r="P219" s="335"/>
      <c r="Q219" s="335"/>
      <c r="R219" s="335"/>
      <c r="S219" s="335"/>
      <c r="T219" s="335"/>
      <c r="U219" s="335"/>
      <c r="V219" s="335"/>
      <c r="W219" s="335"/>
      <c r="X219" s="335"/>
      <c r="Y219" s="3"/>
      <c r="Z219" s="2998"/>
      <c r="AA219" s="2999"/>
      <c r="AB219" s="2999"/>
      <c r="AC219" s="2999"/>
      <c r="AD219" s="2999"/>
      <c r="AE219" s="2999"/>
      <c r="AF219" s="2999"/>
      <c r="AG219" s="2999"/>
      <c r="AH219" s="2999"/>
      <c r="AI219" s="2999"/>
      <c r="AJ219" s="2999"/>
      <c r="AK219" s="2999"/>
      <c r="AL219" s="2999"/>
      <c r="AM219" s="2999"/>
      <c r="AN219" s="2999"/>
      <c r="AO219" s="2999"/>
      <c r="AP219" s="2999"/>
      <c r="AQ219" s="2999"/>
      <c r="AR219" s="2999"/>
      <c r="AS219" s="2999"/>
      <c r="AT219" s="2999"/>
      <c r="AU219" s="3000"/>
      <c r="AW219" s="197"/>
      <c r="AX219" s="197"/>
    </row>
    <row r="220" spans="1:53" ht="15.75" customHeight="1" x14ac:dyDescent="0.15">
      <c r="A220" s="2"/>
      <c r="B220" s="335"/>
      <c r="C220" s="335"/>
      <c r="D220" s="335"/>
      <c r="E220" s="335"/>
      <c r="F220" s="335"/>
      <c r="G220" s="335"/>
      <c r="H220" s="335"/>
      <c r="I220" s="335"/>
      <c r="J220" s="335"/>
      <c r="K220" s="335"/>
      <c r="L220" s="335"/>
      <c r="M220" s="335"/>
      <c r="N220" s="335"/>
      <c r="O220" s="335"/>
      <c r="P220" s="335"/>
      <c r="Q220" s="335"/>
      <c r="R220" s="335"/>
      <c r="S220" s="335"/>
      <c r="T220" s="335"/>
      <c r="U220" s="335"/>
      <c r="V220" s="335"/>
      <c r="W220" s="335"/>
      <c r="X220" s="335"/>
      <c r="Y220" s="3"/>
      <c r="Z220" s="3001"/>
      <c r="AA220" s="3002"/>
      <c r="AB220" s="3002"/>
      <c r="AC220" s="3002"/>
      <c r="AD220" s="3002"/>
      <c r="AE220" s="3002"/>
      <c r="AF220" s="3002"/>
      <c r="AG220" s="3002"/>
      <c r="AH220" s="3002"/>
      <c r="AI220" s="3002"/>
      <c r="AJ220" s="3002"/>
      <c r="AK220" s="3002"/>
      <c r="AL220" s="3002"/>
      <c r="AM220" s="3002"/>
      <c r="AN220" s="3002"/>
      <c r="AO220" s="3002"/>
      <c r="AP220" s="3002"/>
      <c r="AQ220" s="3002"/>
      <c r="AR220" s="3002"/>
      <c r="AS220" s="3002"/>
      <c r="AT220" s="3002"/>
      <c r="AU220" s="3003"/>
      <c r="AW220" s="197"/>
      <c r="AX220" s="197"/>
    </row>
    <row r="221" spans="1:53" ht="15.75" customHeight="1" x14ac:dyDescent="0.15">
      <c r="A221" s="2"/>
      <c r="B221" s="371"/>
      <c r="C221" s="371"/>
      <c r="D221" s="371"/>
      <c r="E221" s="371"/>
      <c r="F221" s="371"/>
      <c r="G221" s="371"/>
      <c r="H221" s="371"/>
      <c r="I221" s="371"/>
      <c r="J221" s="371"/>
      <c r="K221" s="371"/>
      <c r="L221" s="371"/>
      <c r="M221" s="371"/>
      <c r="N221" s="371"/>
      <c r="O221" s="371"/>
      <c r="P221" s="371"/>
      <c r="Q221" s="371"/>
      <c r="R221" s="371"/>
      <c r="S221" s="371"/>
      <c r="T221" s="371"/>
      <c r="U221" s="371"/>
      <c r="V221" s="371"/>
      <c r="W221" s="371"/>
      <c r="X221" s="371"/>
      <c r="Y221" s="3"/>
      <c r="Z221" s="3004"/>
      <c r="AA221" s="3005"/>
      <c r="AB221" s="3005"/>
      <c r="AC221" s="3005"/>
      <c r="AD221" s="3005"/>
      <c r="AE221" s="3005"/>
      <c r="AF221" s="3005"/>
      <c r="AG221" s="3005"/>
      <c r="AH221" s="3005"/>
      <c r="AI221" s="3005"/>
      <c r="AJ221" s="3005"/>
      <c r="AK221" s="3005"/>
      <c r="AL221" s="3005"/>
      <c r="AM221" s="3005"/>
      <c r="AN221" s="3005"/>
      <c r="AO221" s="3005"/>
      <c r="AP221" s="3005"/>
      <c r="AQ221" s="3005"/>
      <c r="AR221" s="3005"/>
      <c r="AS221" s="3005"/>
      <c r="AT221" s="3005"/>
      <c r="AU221" s="3006"/>
      <c r="AW221" s="197"/>
      <c r="AX221" s="197"/>
    </row>
    <row r="222" spans="1:53" ht="15.75" customHeight="1" x14ac:dyDescent="0.15">
      <c r="A222" s="2"/>
      <c r="B222" s="371"/>
      <c r="C222" s="371"/>
      <c r="D222" s="371"/>
      <c r="E222" s="371"/>
      <c r="F222" s="371"/>
      <c r="G222" s="371"/>
      <c r="H222" s="371"/>
      <c r="I222" s="371"/>
      <c r="J222" s="371"/>
      <c r="K222" s="371"/>
      <c r="L222" s="371"/>
      <c r="M222" s="371"/>
      <c r="N222" s="371"/>
      <c r="O222" s="371"/>
      <c r="P222" s="371"/>
      <c r="Q222" s="371"/>
      <c r="R222" s="371"/>
      <c r="S222" s="371"/>
      <c r="T222" s="371"/>
      <c r="U222" s="371"/>
      <c r="V222" s="371"/>
      <c r="W222" s="371"/>
      <c r="X222" s="371"/>
      <c r="Y222" s="3"/>
      <c r="Z222" s="3004"/>
      <c r="AA222" s="3005"/>
      <c r="AB222" s="3005"/>
      <c r="AC222" s="3005"/>
      <c r="AD222" s="3005"/>
      <c r="AE222" s="3005"/>
      <c r="AF222" s="3005"/>
      <c r="AG222" s="3005"/>
      <c r="AH222" s="3005"/>
      <c r="AI222" s="3005"/>
      <c r="AJ222" s="3005"/>
      <c r="AK222" s="3005"/>
      <c r="AL222" s="3005"/>
      <c r="AM222" s="3005"/>
      <c r="AN222" s="3005"/>
      <c r="AO222" s="3005"/>
      <c r="AP222" s="3005"/>
      <c r="AQ222" s="3005"/>
      <c r="AR222" s="3005"/>
      <c r="AS222" s="3005"/>
      <c r="AT222" s="3005"/>
      <c r="AU222" s="3006"/>
      <c r="AW222" s="197"/>
      <c r="AX222" s="197"/>
    </row>
    <row r="223" spans="1:53" ht="15.75" customHeight="1" x14ac:dyDescent="0.15">
      <c r="A223" s="2"/>
      <c r="B223" s="371"/>
      <c r="C223" s="371"/>
      <c r="D223" s="371"/>
      <c r="E223" s="371"/>
      <c r="F223" s="371"/>
      <c r="G223" s="371"/>
      <c r="H223" s="371"/>
      <c r="I223" s="371"/>
      <c r="J223" s="371"/>
      <c r="K223" s="371"/>
      <c r="L223" s="371"/>
      <c r="M223" s="371"/>
      <c r="N223" s="371"/>
      <c r="O223" s="371"/>
      <c r="P223" s="371"/>
      <c r="Q223" s="371"/>
      <c r="R223" s="371"/>
      <c r="S223" s="371"/>
      <c r="T223" s="371"/>
      <c r="U223" s="371"/>
      <c r="V223" s="371"/>
      <c r="W223" s="371"/>
      <c r="X223" s="371"/>
      <c r="Y223" s="3"/>
      <c r="Z223" s="3004"/>
      <c r="AA223" s="3005"/>
      <c r="AB223" s="3005"/>
      <c r="AC223" s="3005"/>
      <c r="AD223" s="3005"/>
      <c r="AE223" s="3005"/>
      <c r="AF223" s="3005"/>
      <c r="AG223" s="3005"/>
      <c r="AH223" s="3005"/>
      <c r="AI223" s="3005"/>
      <c r="AJ223" s="3005"/>
      <c r="AK223" s="3005"/>
      <c r="AL223" s="3005"/>
      <c r="AM223" s="3005"/>
      <c r="AN223" s="3005"/>
      <c r="AO223" s="3005"/>
      <c r="AP223" s="3005"/>
      <c r="AQ223" s="3005"/>
      <c r="AR223" s="3005"/>
      <c r="AS223" s="3005"/>
      <c r="AT223" s="3005"/>
      <c r="AU223" s="3006"/>
      <c r="AW223" s="197"/>
      <c r="AX223" s="197"/>
    </row>
    <row r="224" spans="1:53" ht="15.75" customHeight="1" x14ac:dyDescent="0.15">
      <c r="A224" s="2"/>
      <c r="B224" s="371"/>
      <c r="C224" s="371"/>
      <c r="D224" s="371"/>
      <c r="E224" s="371"/>
      <c r="F224" s="371"/>
      <c r="G224" s="371"/>
      <c r="H224" s="371"/>
      <c r="I224" s="371"/>
      <c r="J224" s="371"/>
      <c r="K224" s="3013" t="s">
        <v>157</v>
      </c>
      <c r="L224" s="3013"/>
      <c r="M224" s="3013"/>
      <c r="N224" s="3013"/>
      <c r="O224" s="3013"/>
      <c r="P224" s="3013"/>
      <c r="Q224" s="371"/>
      <c r="R224" s="371"/>
      <c r="S224" s="371"/>
      <c r="T224" s="371"/>
      <c r="U224" s="371"/>
      <c r="V224" s="371"/>
      <c r="W224" s="371"/>
      <c r="X224" s="371"/>
      <c r="Y224" s="3"/>
      <c r="Z224" s="3004"/>
      <c r="AA224" s="3005"/>
      <c r="AB224" s="3005"/>
      <c r="AC224" s="3005"/>
      <c r="AD224" s="3005"/>
      <c r="AE224" s="3005"/>
      <c r="AF224" s="3005"/>
      <c r="AG224" s="3005"/>
      <c r="AH224" s="3005"/>
      <c r="AI224" s="3005"/>
      <c r="AJ224" s="3005"/>
      <c r="AK224" s="3005"/>
      <c r="AL224" s="3005"/>
      <c r="AM224" s="3005"/>
      <c r="AN224" s="3005"/>
      <c r="AO224" s="3005"/>
      <c r="AP224" s="3005"/>
      <c r="AQ224" s="3005"/>
      <c r="AR224" s="3005"/>
      <c r="AS224" s="3005"/>
      <c r="AT224" s="3005"/>
      <c r="AU224" s="3006"/>
      <c r="AW224" s="197"/>
      <c r="AX224" s="197"/>
    </row>
    <row r="225" spans="1:50" ht="15.75" customHeight="1" x14ac:dyDescent="0.15">
      <c r="A225" s="2"/>
      <c r="B225" s="371"/>
      <c r="C225" s="371"/>
      <c r="D225" s="371"/>
      <c r="E225" s="371"/>
      <c r="F225" s="371"/>
      <c r="G225" s="371"/>
      <c r="H225" s="371"/>
      <c r="I225" s="371"/>
      <c r="J225" s="371"/>
      <c r="K225" s="371"/>
      <c r="L225" s="371"/>
      <c r="M225" s="371"/>
      <c r="N225" s="371"/>
      <c r="O225" s="371"/>
      <c r="P225" s="371"/>
      <c r="Q225" s="371"/>
      <c r="R225" s="371"/>
      <c r="S225" s="371"/>
      <c r="T225" s="371"/>
      <c r="U225" s="371"/>
      <c r="V225" s="371"/>
      <c r="W225" s="371"/>
      <c r="X225" s="371"/>
      <c r="Y225" s="3"/>
      <c r="Z225" s="3004"/>
      <c r="AA225" s="3005"/>
      <c r="AB225" s="3005"/>
      <c r="AC225" s="3005"/>
      <c r="AD225" s="3005"/>
      <c r="AE225" s="3005"/>
      <c r="AF225" s="3005"/>
      <c r="AG225" s="3005"/>
      <c r="AH225" s="3005"/>
      <c r="AI225" s="3005"/>
      <c r="AJ225" s="3005"/>
      <c r="AK225" s="3005"/>
      <c r="AL225" s="3005"/>
      <c r="AM225" s="3005"/>
      <c r="AN225" s="3005"/>
      <c r="AO225" s="3005"/>
      <c r="AP225" s="3005"/>
      <c r="AQ225" s="3005"/>
      <c r="AR225" s="3005"/>
      <c r="AS225" s="3005"/>
      <c r="AT225" s="3005"/>
      <c r="AU225" s="3006"/>
      <c r="AW225" s="197"/>
      <c r="AX225" s="197"/>
    </row>
    <row r="226" spans="1:50" ht="15.75" customHeight="1" x14ac:dyDescent="0.15">
      <c r="A226" s="2"/>
      <c r="B226" s="371"/>
      <c r="C226" s="371"/>
      <c r="D226" s="371"/>
      <c r="E226" s="371"/>
      <c r="F226" s="371"/>
      <c r="G226" s="371"/>
      <c r="H226" s="371"/>
      <c r="I226" s="371"/>
      <c r="J226" s="371"/>
      <c r="K226" s="371"/>
      <c r="L226" s="371"/>
      <c r="M226" s="371"/>
      <c r="N226" s="371"/>
      <c r="O226" s="371"/>
      <c r="P226" s="371"/>
      <c r="Q226" s="371"/>
      <c r="R226" s="371"/>
      <c r="S226" s="371"/>
      <c r="T226" s="371"/>
      <c r="U226" s="371"/>
      <c r="V226" s="371"/>
      <c r="W226" s="371"/>
      <c r="X226" s="371"/>
      <c r="Y226" s="3"/>
      <c r="Z226" s="3004"/>
      <c r="AA226" s="3005"/>
      <c r="AB226" s="3005"/>
      <c r="AC226" s="3005"/>
      <c r="AD226" s="3005"/>
      <c r="AE226" s="3005"/>
      <c r="AF226" s="3005"/>
      <c r="AG226" s="3005"/>
      <c r="AH226" s="3005"/>
      <c r="AI226" s="3005"/>
      <c r="AJ226" s="3005"/>
      <c r="AK226" s="3005"/>
      <c r="AL226" s="3005"/>
      <c r="AM226" s="3005"/>
      <c r="AN226" s="3005"/>
      <c r="AO226" s="3005"/>
      <c r="AP226" s="3005"/>
      <c r="AQ226" s="3005"/>
      <c r="AR226" s="3005"/>
      <c r="AS226" s="3005"/>
      <c r="AT226" s="3005"/>
      <c r="AU226" s="3006"/>
      <c r="AW226" s="197"/>
      <c r="AX226" s="197"/>
    </row>
    <row r="227" spans="1:50" ht="15.75" customHeight="1" x14ac:dyDescent="0.15">
      <c r="A227" s="2"/>
      <c r="B227" s="371"/>
      <c r="C227" s="371"/>
      <c r="D227" s="371"/>
      <c r="E227" s="371"/>
      <c r="F227" s="371"/>
      <c r="G227" s="371"/>
      <c r="H227" s="371"/>
      <c r="I227" s="371"/>
      <c r="J227" s="371"/>
      <c r="K227" s="371"/>
      <c r="L227" s="371"/>
      <c r="M227" s="371"/>
      <c r="N227" s="371"/>
      <c r="O227" s="371"/>
      <c r="P227" s="371"/>
      <c r="Q227" s="371"/>
      <c r="R227" s="371"/>
      <c r="S227" s="371"/>
      <c r="T227" s="371"/>
      <c r="U227" s="371"/>
      <c r="V227" s="371"/>
      <c r="W227" s="371"/>
      <c r="X227" s="371"/>
      <c r="Y227" s="3"/>
      <c r="Z227" s="3004"/>
      <c r="AA227" s="3005"/>
      <c r="AB227" s="3005"/>
      <c r="AC227" s="3005"/>
      <c r="AD227" s="3005"/>
      <c r="AE227" s="3005"/>
      <c r="AF227" s="3005"/>
      <c r="AG227" s="3005"/>
      <c r="AH227" s="3005"/>
      <c r="AI227" s="3005"/>
      <c r="AJ227" s="3005"/>
      <c r="AK227" s="3005"/>
      <c r="AL227" s="3005"/>
      <c r="AM227" s="3005"/>
      <c r="AN227" s="3005"/>
      <c r="AO227" s="3005"/>
      <c r="AP227" s="3005"/>
      <c r="AQ227" s="3005"/>
      <c r="AR227" s="3005"/>
      <c r="AS227" s="3005"/>
      <c r="AT227" s="3005"/>
      <c r="AU227" s="3006"/>
      <c r="AW227" s="197"/>
      <c r="AX227" s="197"/>
    </row>
    <row r="228" spans="1:50" ht="15.75" customHeight="1" x14ac:dyDescent="0.15">
      <c r="A228" s="2"/>
      <c r="B228" s="371"/>
      <c r="C228" s="371"/>
      <c r="D228" s="371"/>
      <c r="E228" s="371"/>
      <c r="F228" s="371"/>
      <c r="G228" s="371"/>
      <c r="H228" s="371"/>
      <c r="I228" s="371"/>
      <c r="J228" s="371"/>
      <c r="K228" s="371"/>
      <c r="L228" s="371"/>
      <c r="M228" s="371"/>
      <c r="N228" s="371"/>
      <c r="O228" s="371"/>
      <c r="P228" s="371"/>
      <c r="Q228" s="371"/>
      <c r="R228" s="371"/>
      <c r="S228" s="371"/>
      <c r="T228" s="371"/>
      <c r="U228" s="371"/>
      <c r="V228" s="371"/>
      <c r="W228" s="371"/>
      <c r="X228" s="371"/>
      <c r="Y228" s="3"/>
      <c r="Z228" s="3004"/>
      <c r="AA228" s="3005"/>
      <c r="AB228" s="3005"/>
      <c r="AC228" s="3005"/>
      <c r="AD228" s="3005"/>
      <c r="AE228" s="3005"/>
      <c r="AF228" s="3005"/>
      <c r="AG228" s="3005"/>
      <c r="AH228" s="3005"/>
      <c r="AI228" s="3005"/>
      <c r="AJ228" s="3005"/>
      <c r="AK228" s="3005"/>
      <c r="AL228" s="3005"/>
      <c r="AM228" s="3005"/>
      <c r="AN228" s="3005"/>
      <c r="AO228" s="3005"/>
      <c r="AP228" s="3005"/>
      <c r="AQ228" s="3005"/>
      <c r="AR228" s="3005"/>
      <c r="AS228" s="3005"/>
      <c r="AT228" s="3005"/>
      <c r="AU228" s="3006"/>
      <c r="AW228" s="197"/>
      <c r="AX228" s="197"/>
    </row>
    <row r="229" spans="1:50" ht="15.75" customHeight="1" x14ac:dyDescent="0.15">
      <c r="A229" s="2"/>
      <c r="B229" s="371"/>
      <c r="C229" s="371"/>
      <c r="D229" s="371"/>
      <c r="E229" s="371"/>
      <c r="F229" s="371"/>
      <c r="G229" s="371"/>
      <c r="H229" s="371"/>
      <c r="I229" s="371"/>
      <c r="J229" s="371"/>
      <c r="K229" s="371"/>
      <c r="L229" s="371"/>
      <c r="M229" s="371"/>
      <c r="N229" s="371"/>
      <c r="O229" s="371"/>
      <c r="P229" s="371"/>
      <c r="Q229" s="371"/>
      <c r="R229" s="371"/>
      <c r="S229" s="371"/>
      <c r="T229" s="371"/>
      <c r="U229" s="371"/>
      <c r="V229" s="371"/>
      <c r="W229" s="371"/>
      <c r="X229" s="371"/>
      <c r="Y229" s="3"/>
      <c r="Z229" s="3004"/>
      <c r="AA229" s="3005"/>
      <c r="AB229" s="3005"/>
      <c r="AC229" s="3005"/>
      <c r="AD229" s="3005"/>
      <c r="AE229" s="3005"/>
      <c r="AF229" s="3005"/>
      <c r="AG229" s="3005"/>
      <c r="AH229" s="3005"/>
      <c r="AI229" s="3005"/>
      <c r="AJ229" s="3005"/>
      <c r="AK229" s="3005"/>
      <c r="AL229" s="3005"/>
      <c r="AM229" s="3005"/>
      <c r="AN229" s="3005"/>
      <c r="AO229" s="3005"/>
      <c r="AP229" s="3005"/>
      <c r="AQ229" s="3005"/>
      <c r="AR229" s="3005"/>
      <c r="AS229" s="3005"/>
      <c r="AT229" s="3005"/>
      <c r="AU229" s="3006"/>
      <c r="AW229" s="197"/>
      <c r="AX229" s="197"/>
    </row>
    <row r="230" spans="1:50" ht="15.75" customHeight="1" x14ac:dyDescent="0.15">
      <c r="A230" s="2"/>
      <c r="B230" s="371"/>
      <c r="C230" s="371"/>
      <c r="D230" s="371"/>
      <c r="E230" s="371"/>
      <c r="F230" s="371"/>
      <c r="G230" s="371"/>
      <c r="H230" s="371"/>
      <c r="I230" s="371"/>
      <c r="J230" s="371"/>
      <c r="K230" s="371"/>
      <c r="L230" s="371"/>
      <c r="M230" s="371"/>
      <c r="N230" s="371"/>
      <c r="O230" s="371"/>
      <c r="P230" s="371"/>
      <c r="Q230" s="371"/>
      <c r="R230" s="371"/>
      <c r="S230" s="371"/>
      <c r="T230" s="371"/>
      <c r="U230" s="371"/>
      <c r="V230" s="371"/>
      <c r="W230" s="371"/>
      <c r="X230" s="371"/>
      <c r="Y230" s="3"/>
      <c r="Z230" s="3004"/>
      <c r="AA230" s="3005"/>
      <c r="AB230" s="3005"/>
      <c r="AC230" s="3005"/>
      <c r="AD230" s="3005"/>
      <c r="AE230" s="3005"/>
      <c r="AF230" s="3005"/>
      <c r="AG230" s="3005"/>
      <c r="AH230" s="3005"/>
      <c r="AI230" s="3005"/>
      <c r="AJ230" s="3005"/>
      <c r="AK230" s="3005"/>
      <c r="AL230" s="3005"/>
      <c r="AM230" s="3005"/>
      <c r="AN230" s="3005"/>
      <c r="AO230" s="3005"/>
      <c r="AP230" s="3005"/>
      <c r="AQ230" s="3005"/>
      <c r="AR230" s="3005"/>
      <c r="AS230" s="3005"/>
      <c r="AT230" s="3005"/>
      <c r="AU230" s="3006"/>
      <c r="AW230" s="197"/>
      <c r="AX230" s="197"/>
    </row>
    <row r="231" spans="1:50" ht="15.75" customHeight="1" x14ac:dyDescent="0.15">
      <c r="A231" s="2"/>
      <c r="B231" s="371"/>
      <c r="C231" s="371"/>
      <c r="D231" s="371"/>
      <c r="E231" s="371"/>
      <c r="F231" s="371"/>
      <c r="G231" s="371"/>
      <c r="H231" s="371"/>
      <c r="I231" s="371"/>
      <c r="J231" s="371"/>
      <c r="K231" s="371"/>
      <c r="L231" s="371"/>
      <c r="M231" s="371"/>
      <c r="N231" s="371"/>
      <c r="O231" s="371"/>
      <c r="P231" s="371"/>
      <c r="Q231" s="371"/>
      <c r="R231" s="371"/>
      <c r="S231" s="371"/>
      <c r="T231" s="371"/>
      <c r="U231" s="371"/>
      <c r="V231" s="371"/>
      <c r="W231" s="371"/>
      <c r="X231" s="371"/>
      <c r="Y231" s="3"/>
      <c r="Z231" s="3004"/>
      <c r="AA231" s="3005"/>
      <c r="AB231" s="3005"/>
      <c r="AC231" s="3005"/>
      <c r="AD231" s="3005"/>
      <c r="AE231" s="3005"/>
      <c r="AF231" s="3005"/>
      <c r="AG231" s="3005"/>
      <c r="AH231" s="3005"/>
      <c r="AI231" s="3005"/>
      <c r="AJ231" s="3005"/>
      <c r="AK231" s="3005"/>
      <c r="AL231" s="3005"/>
      <c r="AM231" s="3005"/>
      <c r="AN231" s="3005"/>
      <c r="AO231" s="3005"/>
      <c r="AP231" s="3005"/>
      <c r="AQ231" s="3005"/>
      <c r="AR231" s="3005"/>
      <c r="AS231" s="3005"/>
      <c r="AT231" s="3005"/>
      <c r="AU231" s="3006"/>
      <c r="AW231" s="197"/>
      <c r="AX231" s="197"/>
    </row>
    <row r="232" spans="1:50" ht="15.75" customHeight="1" x14ac:dyDescent="0.15">
      <c r="A232" s="2"/>
      <c r="B232" s="371"/>
      <c r="C232" s="371"/>
      <c r="D232" s="371"/>
      <c r="E232" s="371"/>
      <c r="F232" s="371"/>
      <c r="G232" s="371"/>
      <c r="H232" s="371"/>
      <c r="I232" s="371"/>
      <c r="J232" s="371"/>
      <c r="K232" s="371"/>
      <c r="L232" s="371"/>
      <c r="M232" s="371"/>
      <c r="N232" s="371"/>
      <c r="O232" s="371"/>
      <c r="P232" s="371"/>
      <c r="Q232" s="371"/>
      <c r="R232" s="371"/>
      <c r="S232" s="371"/>
      <c r="T232" s="371"/>
      <c r="U232" s="371"/>
      <c r="V232" s="371"/>
      <c r="W232" s="371"/>
      <c r="X232" s="371"/>
      <c r="Y232" s="3"/>
      <c r="Z232" s="3004"/>
      <c r="AA232" s="3005"/>
      <c r="AB232" s="3005"/>
      <c r="AC232" s="3005"/>
      <c r="AD232" s="3005"/>
      <c r="AE232" s="3005"/>
      <c r="AF232" s="3005"/>
      <c r="AG232" s="3005"/>
      <c r="AH232" s="3005"/>
      <c r="AI232" s="3005"/>
      <c r="AJ232" s="3005"/>
      <c r="AK232" s="3005"/>
      <c r="AL232" s="3005"/>
      <c r="AM232" s="3005"/>
      <c r="AN232" s="3005"/>
      <c r="AO232" s="3005"/>
      <c r="AP232" s="3005"/>
      <c r="AQ232" s="3005"/>
      <c r="AR232" s="3005"/>
      <c r="AS232" s="3005"/>
      <c r="AT232" s="3005"/>
      <c r="AU232" s="3006"/>
      <c r="AW232" s="197"/>
      <c r="AX232" s="197"/>
    </row>
    <row r="233" spans="1:50" ht="15.75" customHeight="1" x14ac:dyDescent="0.15">
      <c r="A233" s="6"/>
      <c r="B233" s="4"/>
      <c r="C233" s="4"/>
      <c r="D233" s="4"/>
      <c r="E233" s="4"/>
      <c r="F233" s="4"/>
      <c r="G233" s="4"/>
      <c r="H233" s="4"/>
      <c r="I233" s="4"/>
      <c r="J233" s="4"/>
      <c r="K233" s="4"/>
      <c r="L233" s="4"/>
      <c r="M233" s="4"/>
      <c r="N233" s="4"/>
      <c r="O233" s="4"/>
      <c r="P233" s="4"/>
      <c r="Q233" s="4"/>
      <c r="R233" s="4"/>
      <c r="S233" s="4"/>
      <c r="T233" s="4"/>
      <c r="U233" s="4"/>
      <c r="V233" s="4"/>
      <c r="W233" s="4"/>
      <c r="X233" s="4"/>
      <c r="Y233" s="5"/>
      <c r="Z233" s="3007"/>
      <c r="AA233" s="3008"/>
      <c r="AB233" s="3008"/>
      <c r="AC233" s="3008"/>
      <c r="AD233" s="3008"/>
      <c r="AE233" s="3008"/>
      <c r="AF233" s="3008"/>
      <c r="AG233" s="3008"/>
      <c r="AH233" s="3008"/>
      <c r="AI233" s="3008"/>
      <c r="AJ233" s="3008"/>
      <c r="AK233" s="3008"/>
      <c r="AL233" s="3008"/>
      <c r="AM233" s="3008"/>
      <c r="AN233" s="3008"/>
      <c r="AO233" s="3008"/>
      <c r="AP233" s="3008"/>
      <c r="AQ233" s="3008"/>
      <c r="AR233" s="3008"/>
      <c r="AS233" s="3008"/>
      <c r="AT233" s="3008"/>
      <c r="AU233" s="3009"/>
      <c r="AW233" s="197"/>
      <c r="AX233" s="197"/>
    </row>
    <row r="234" spans="1:50" ht="12.75" customHeight="1" x14ac:dyDescent="0.15">
      <c r="AW234" s="197"/>
      <c r="AX234" s="197"/>
    </row>
    <row r="235" spans="1:50" ht="12.75" customHeight="1" x14ac:dyDescent="0.15">
      <c r="A235" s="3027" t="s">
        <v>150</v>
      </c>
      <c r="B235" s="3027"/>
      <c r="C235" s="3027"/>
      <c r="D235" s="3027"/>
      <c r="AU235" s="337"/>
      <c r="AW235" s="197"/>
      <c r="AX235" s="197"/>
    </row>
    <row r="236" spans="1:50" ht="12.75" customHeight="1" x14ac:dyDescent="0.15">
      <c r="B236" s="338" t="s">
        <v>151</v>
      </c>
      <c r="C236" s="2993" t="s">
        <v>169</v>
      </c>
      <c r="D236" s="3012"/>
      <c r="E236" s="3012"/>
      <c r="F236" s="3012"/>
      <c r="G236" s="3012"/>
      <c r="H236" s="3012"/>
      <c r="I236" s="3012"/>
      <c r="J236" s="3012"/>
      <c r="K236" s="3012"/>
      <c r="L236" s="3012"/>
      <c r="M236" s="3012"/>
      <c r="N236" s="3012"/>
      <c r="O236" s="3012"/>
      <c r="P236" s="3012"/>
      <c r="Q236" s="3012"/>
      <c r="R236" s="3012"/>
      <c r="S236" s="3012"/>
      <c r="T236" s="3012"/>
      <c r="U236" s="3012"/>
      <c r="V236" s="3012"/>
      <c r="W236" s="3012"/>
      <c r="X236" s="3012"/>
      <c r="Y236" s="3012"/>
      <c r="Z236" s="3012"/>
      <c r="AA236" s="3012"/>
      <c r="AB236" s="3012"/>
      <c r="AC236" s="3012"/>
      <c r="AD236" s="3012"/>
      <c r="AE236" s="3012"/>
      <c r="AF236" s="3012"/>
      <c r="AG236" s="3012"/>
      <c r="AH236" s="3012"/>
      <c r="AI236" s="3012"/>
      <c r="AJ236" s="3012"/>
      <c r="AK236" s="3012"/>
      <c r="AL236" s="3012"/>
      <c r="AM236" s="3012"/>
      <c r="AN236" s="3012"/>
      <c r="AO236" s="3012"/>
      <c r="AP236" s="3012"/>
      <c r="AQ236" s="3012"/>
      <c r="AR236" s="3012"/>
      <c r="AS236" s="3012"/>
      <c r="AT236" s="3012"/>
      <c r="AU236" s="337"/>
      <c r="AW236" s="197"/>
      <c r="AX236" s="197"/>
    </row>
    <row r="237" spans="1:50" ht="12.75" customHeight="1" x14ac:dyDescent="0.15">
      <c r="B237" s="338"/>
      <c r="C237" s="2994" t="s">
        <v>170</v>
      </c>
      <c r="D237" s="2994"/>
      <c r="E237" s="2994"/>
      <c r="F237" s="2994"/>
      <c r="G237" s="2994"/>
      <c r="H237" s="2994"/>
      <c r="I237" s="2994"/>
      <c r="J237" s="2994"/>
      <c r="K237" s="2994"/>
      <c r="L237" s="2994"/>
      <c r="M237" s="2994"/>
      <c r="N237" s="2994"/>
      <c r="O237" s="2994"/>
      <c r="P237" s="2994"/>
      <c r="Q237" s="2994"/>
      <c r="R237" s="2994"/>
      <c r="S237" s="2994"/>
      <c r="T237" s="2994"/>
      <c r="U237" s="2994"/>
      <c r="V237" s="2994"/>
      <c r="W237" s="2994"/>
      <c r="X237" s="2994"/>
      <c r="Y237" s="2994"/>
      <c r="Z237" s="2994"/>
      <c r="AA237" s="2994"/>
      <c r="AB237" s="2994"/>
      <c r="AC237" s="2994"/>
      <c r="AD237" s="2994"/>
      <c r="AE237" s="2994"/>
      <c r="AF237" s="2994"/>
      <c r="AG237" s="2994"/>
      <c r="AH237" s="2994"/>
      <c r="AI237" s="2994"/>
      <c r="AJ237" s="2994"/>
      <c r="AK237" s="2994"/>
      <c r="AL237" s="2994"/>
      <c r="AM237" s="2994"/>
      <c r="AN237" s="2994"/>
      <c r="AO237" s="2994"/>
      <c r="AP237" s="2994"/>
      <c r="AQ237" s="2994"/>
      <c r="AR237" s="2994"/>
      <c r="AS237" s="2994"/>
      <c r="AT237" s="2994"/>
      <c r="AU237" s="337"/>
      <c r="AW237" s="197"/>
      <c r="AX237" s="197"/>
    </row>
    <row r="238" spans="1:50" ht="12.75" customHeight="1" x14ac:dyDescent="0.15">
      <c r="B238" s="338"/>
      <c r="C238" s="2994" t="s">
        <v>171</v>
      </c>
      <c r="D238" s="2994"/>
      <c r="E238" s="2994"/>
      <c r="F238" s="2994"/>
      <c r="G238" s="2994"/>
      <c r="H238" s="2994"/>
      <c r="I238" s="2994"/>
      <c r="J238" s="2994"/>
      <c r="K238" s="2994"/>
      <c r="L238" s="2994"/>
      <c r="M238" s="2994"/>
      <c r="N238" s="2994"/>
      <c r="O238" s="2994"/>
      <c r="P238" s="2994"/>
      <c r="Q238" s="2994"/>
      <c r="R238" s="2994"/>
      <c r="S238" s="2994"/>
      <c r="T238" s="2994"/>
      <c r="U238" s="2994"/>
      <c r="V238" s="2994"/>
      <c r="W238" s="2994"/>
      <c r="X238" s="2994"/>
      <c r="Y238" s="2994"/>
      <c r="Z238" s="2994"/>
      <c r="AA238" s="2994"/>
      <c r="AB238" s="2994"/>
      <c r="AC238" s="2994"/>
      <c r="AD238" s="2994"/>
      <c r="AE238" s="2994"/>
      <c r="AF238" s="2994"/>
      <c r="AG238" s="2994"/>
      <c r="AH238" s="2994"/>
      <c r="AI238" s="2994"/>
      <c r="AJ238" s="2994"/>
      <c r="AK238" s="2994"/>
      <c r="AL238" s="2994"/>
      <c r="AM238" s="2994"/>
      <c r="AN238" s="2994"/>
      <c r="AO238" s="2994"/>
      <c r="AP238" s="2994"/>
      <c r="AQ238" s="2994"/>
      <c r="AR238" s="2994"/>
      <c r="AS238" s="2994"/>
      <c r="AT238" s="2994"/>
      <c r="AU238" s="337"/>
      <c r="AW238" s="197"/>
      <c r="AX238" s="197"/>
    </row>
    <row r="239" spans="1:50" ht="12.75" customHeight="1" x14ac:dyDescent="0.15">
      <c r="B239" s="338" t="s">
        <v>158</v>
      </c>
      <c r="C239" s="2994" t="s">
        <v>159</v>
      </c>
      <c r="D239" s="2994"/>
      <c r="E239" s="2994"/>
      <c r="F239" s="2994"/>
      <c r="G239" s="2994"/>
      <c r="H239" s="2994"/>
      <c r="I239" s="2994"/>
      <c r="J239" s="2994"/>
      <c r="K239" s="2994"/>
      <c r="L239" s="2994"/>
      <c r="M239" s="2994"/>
      <c r="N239" s="2994"/>
      <c r="O239" s="2994"/>
      <c r="P239" s="2994"/>
      <c r="Q239" s="2994"/>
      <c r="R239" s="2994"/>
      <c r="S239" s="2994"/>
      <c r="T239" s="2994"/>
      <c r="U239" s="2994"/>
      <c r="V239" s="2994"/>
      <c r="W239" s="2994"/>
      <c r="X239" s="2994"/>
      <c r="Y239" s="2994"/>
      <c r="Z239" s="2994"/>
      <c r="AA239" s="2994"/>
      <c r="AB239" s="2994"/>
      <c r="AC239" s="2994"/>
      <c r="AD239" s="2994"/>
      <c r="AE239" s="2994"/>
      <c r="AF239" s="2994"/>
      <c r="AG239" s="2994"/>
      <c r="AH239" s="2994"/>
      <c r="AI239" s="2994"/>
      <c r="AJ239" s="2994"/>
      <c r="AK239" s="2994"/>
      <c r="AL239" s="2994"/>
      <c r="AM239" s="2994"/>
      <c r="AN239" s="2994"/>
      <c r="AO239" s="2994"/>
      <c r="AP239" s="2994"/>
      <c r="AQ239" s="2994"/>
      <c r="AR239" s="2994"/>
      <c r="AS239" s="2994"/>
      <c r="AT239" s="2994"/>
      <c r="AU239" s="337"/>
      <c r="AW239" s="197"/>
      <c r="AX239" s="197"/>
    </row>
    <row r="240" spans="1:50" ht="12.75" customHeight="1" x14ac:dyDescent="0.15">
      <c r="B240" s="338" t="s">
        <v>152</v>
      </c>
      <c r="C240" s="2994" t="s">
        <v>0</v>
      </c>
      <c r="D240" s="2994"/>
      <c r="E240" s="2994"/>
      <c r="F240" s="2994"/>
      <c r="G240" s="2994"/>
      <c r="H240" s="2994"/>
      <c r="I240" s="2994"/>
      <c r="J240" s="2994"/>
      <c r="K240" s="2994"/>
      <c r="L240" s="2994"/>
      <c r="M240" s="2994"/>
      <c r="N240" s="2994"/>
      <c r="O240" s="2994"/>
      <c r="P240" s="2994"/>
      <c r="Q240" s="2994"/>
      <c r="R240" s="2994"/>
      <c r="S240" s="2994"/>
      <c r="T240" s="2994"/>
      <c r="U240" s="2994"/>
      <c r="V240" s="2994"/>
      <c r="W240" s="2994"/>
      <c r="X240" s="2994"/>
      <c r="Y240" s="2994"/>
      <c r="Z240" s="2994"/>
      <c r="AA240" s="2994"/>
      <c r="AB240" s="2994"/>
      <c r="AC240" s="2994"/>
      <c r="AD240" s="2994"/>
      <c r="AE240" s="2994"/>
      <c r="AF240" s="2994"/>
      <c r="AG240" s="2994"/>
      <c r="AH240" s="2994"/>
      <c r="AI240" s="2994"/>
      <c r="AJ240" s="2994"/>
      <c r="AK240" s="2994"/>
      <c r="AL240" s="2994"/>
      <c r="AM240" s="2994"/>
      <c r="AN240" s="2994"/>
      <c r="AO240" s="2994"/>
      <c r="AP240" s="2994"/>
      <c r="AQ240" s="2994"/>
      <c r="AR240" s="2994"/>
      <c r="AS240" s="2994"/>
      <c r="AT240" s="2994"/>
      <c r="AW240" s="197"/>
      <c r="AX240" s="197"/>
    </row>
    <row r="241" spans="1:53" ht="12.75" customHeight="1" x14ac:dyDescent="0.15">
      <c r="B241" s="338" t="s">
        <v>160</v>
      </c>
      <c r="C241" s="2994" t="s">
        <v>172</v>
      </c>
      <c r="D241" s="2994"/>
      <c r="E241" s="2994"/>
      <c r="F241" s="2994"/>
      <c r="G241" s="2994"/>
      <c r="H241" s="2994"/>
      <c r="I241" s="2994"/>
      <c r="J241" s="2994"/>
      <c r="K241" s="2994"/>
      <c r="L241" s="2994"/>
      <c r="M241" s="2994"/>
      <c r="N241" s="2994"/>
      <c r="O241" s="2994"/>
      <c r="P241" s="2994"/>
      <c r="Q241" s="2994"/>
      <c r="R241" s="2994"/>
      <c r="S241" s="2994"/>
      <c r="T241" s="2994"/>
      <c r="U241" s="2994"/>
      <c r="V241" s="2994"/>
      <c r="W241" s="2994"/>
      <c r="X241" s="2994"/>
      <c r="Y241" s="2994"/>
      <c r="Z241" s="2994"/>
      <c r="AA241" s="2994"/>
      <c r="AB241" s="2994"/>
      <c r="AC241" s="2994"/>
      <c r="AD241" s="2994"/>
      <c r="AE241" s="2994"/>
      <c r="AF241" s="2994"/>
      <c r="AG241" s="2994"/>
      <c r="AH241" s="2994"/>
      <c r="AI241" s="2994"/>
      <c r="AJ241" s="2994"/>
      <c r="AK241" s="2994"/>
      <c r="AL241" s="2994"/>
      <c r="AM241" s="2994"/>
      <c r="AN241" s="2994"/>
      <c r="AO241" s="2994"/>
      <c r="AP241" s="2994"/>
      <c r="AQ241" s="2994"/>
      <c r="AR241" s="2994"/>
      <c r="AS241" s="2994"/>
      <c r="AT241" s="2994"/>
      <c r="AU241" s="337"/>
      <c r="AW241" s="197"/>
      <c r="AX241" s="197"/>
    </row>
    <row r="242" spans="1:53" ht="12.75" customHeight="1" x14ac:dyDescent="0.15">
      <c r="C242" s="2994" t="s">
        <v>173</v>
      </c>
      <c r="D242" s="2994"/>
      <c r="E242" s="2994"/>
      <c r="F242" s="2994"/>
      <c r="G242" s="2994"/>
      <c r="H242" s="2994"/>
      <c r="I242" s="2994"/>
      <c r="J242" s="2994"/>
      <c r="K242" s="2994"/>
      <c r="L242" s="2994"/>
      <c r="M242" s="2994"/>
      <c r="N242" s="2994"/>
      <c r="O242" s="2994"/>
      <c r="P242" s="2994"/>
      <c r="Q242" s="2994"/>
      <c r="R242" s="2994"/>
      <c r="S242" s="2994"/>
      <c r="T242" s="2994"/>
      <c r="U242" s="2994"/>
      <c r="V242" s="2994"/>
      <c r="W242" s="2994"/>
      <c r="X242" s="2994"/>
      <c r="Y242" s="2994"/>
      <c r="Z242" s="2994"/>
      <c r="AA242" s="2994"/>
      <c r="AB242" s="2994"/>
      <c r="AC242" s="2994"/>
      <c r="AD242" s="2994"/>
      <c r="AE242" s="2994"/>
      <c r="AF242" s="2994"/>
      <c r="AG242" s="2994"/>
      <c r="AH242" s="2994"/>
      <c r="AI242" s="2994"/>
      <c r="AJ242" s="2994"/>
      <c r="AK242" s="2994"/>
      <c r="AL242" s="2994"/>
      <c r="AM242" s="2994"/>
      <c r="AN242" s="2994"/>
      <c r="AO242" s="2994"/>
      <c r="AP242" s="2994"/>
      <c r="AQ242" s="2994"/>
      <c r="AR242" s="2994"/>
      <c r="AS242" s="2994"/>
      <c r="AT242" s="2994"/>
      <c r="AU242" s="337"/>
      <c r="AW242" s="197"/>
      <c r="AX242" s="197"/>
    </row>
    <row r="243" spans="1:53" ht="12.75" customHeight="1" x14ac:dyDescent="0.15">
      <c r="B243" s="338" t="s">
        <v>1</v>
      </c>
      <c r="C243" s="2994" t="s">
        <v>2</v>
      </c>
      <c r="D243" s="2994"/>
      <c r="E243" s="2994"/>
      <c r="F243" s="2994"/>
      <c r="G243" s="2994"/>
      <c r="H243" s="2994"/>
      <c r="I243" s="2994"/>
      <c r="J243" s="2994"/>
      <c r="K243" s="2994"/>
      <c r="L243" s="2994"/>
      <c r="M243" s="2994"/>
      <c r="N243" s="2994"/>
      <c r="O243" s="2994"/>
      <c r="P243" s="2994"/>
      <c r="Q243" s="2994"/>
      <c r="R243" s="2994"/>
      <c r="S243" s="2994"/>
      <c r="T243" s="2994"/>
      <c r="U243" s="2994"/>
      <c r="V243" s="2994"/>
      <c r="W243" s="2994"/>
      <c r="X243" s="2994"/>
      <c r="Y243" s="2994"/>
      <c r="Z243" s="2994"/>
      <c r="AA243" s="2994"/>
      <c r="AB243" s="2994"/>
      <c r="AC243" s="2994"/>
      <c r="AD243" s="2994"/>
      <c r="AE243" s="2994"/>
      <c r="AF243" s="2994"/>
      <c r="AG243" s="2994"/>
      <c r="AH243" s="2994"/>
      <c r="AI243" s="2994"/>
      <c r="AJ243" s="2994"/>
      <c r="AK243" s="2994"/>
      <c r="AL243" s="2994"/>
      <c r="AM243" s="2994"/>
      <c r="AN243" s="2994"/>
      <c r="AO243" s="2994"/>
      <c r="AP243" s="2994"/>
      <c r="AQ243" s="2994"/>
      <c r="AR243" s="2994"/>
      <c r="AS243" s="2994"/>
      <c r="AT243" s="2994"/>
      <c r="AU243" s="337"/>
      <c r="AW243" s="197"/>
      <c r="AX243" s="197"/>
    </row>
    <row r="244" spans="1:53" ht="12.75" customHeight="1" x14ac:dyDescent="0.15">
      <c r="AG244" s="337"/>
      <c r="AH244" s="337"/>
      <c r="AI244" s="337"/>
      <c r="AJ244" s="337"/>
      <c r="AK244" s="337"/>
      <c r="AL244" s="337"/>
      <c r="AM244" s="337"/>
      <c r="AN244" s="337"/>
      <c r="AO244" s="337"/>
      <c r="AP244" s="337"/>
      <c r="AQ244" s="337"/>
      <c r="AR244" s="337"/>
      <c r="AS244" s="337"/>
      <c r="AT244" s="337"/>
      <c r="AW244" s="197"/>
      <c r="AX244" s="197"/>
    </row>
    <row r="245" spans="1:53" ht="12.75" customHeight="1" x14ac:dyDescent="0.15">
      <c r="AW245" s="197"/>
      <c r="AX245" s="197"/>
    </row>
    <row r="246" spans="1:53" ht="12.75" customHeight="1" x14ac:dyDescent="0.15">
      <c r="A246" s="336" t="s">
        <v>18</v>
      </c>
      <c r="B246" s="336" t="s">
        <v>153</v>
      </c>
      <c r="C246" s="336">
        <v>2</v>
      </c>
      <c r="D246" s="336" t="s">
        <v>5</v>
      </c>
      <c r="E246" s="336" t="s">
        <v>6</v>
      </c>
      <c r="F246" s="336"/>
      <c r="G246" s="336" t="s">
        <v>25</v>
      </c>
      <c r="H246" s="336" t="s">
        <v>175</v>
      </c>
      <c r="I246" s="336">
        <v>4</v>
      </c>
      <c r="J246" s="336" t="s">
        <v>22</v>
      </c>
      <c r="AO246" s="423" t="str">
        <f>$AO$7</f>
        <v>Kyoto City（R7.7） ver.120</v>
      </c>
      <c r="AP246" s="387" t="str">
        <f>IF('1_入力シート【基本情報】'!$AB$7="","",'1_入力シート【基本情報】'!$AB$7)</f>
        <v/>
      </c>
      <c r="AQ246" s="386" t="str">
        <f>IF('1_入力シート【基本情報】'!$AK$7="","",'1_入力シート【基本情報】'!$AK$7)</f>
        <v/>
      </c>
      <c r="AR246" s="2990" t="str">
        <f>IF('1_入力シート【基本情報】'!$AT$7="","",TEXT('1_入力シート【基本情報】'!$AT$7,"0000"))</f>
        <v/>
      </c>
      <c r="AS246" s="2991"/>
      <c r="AT246" s="2991"/>
      <c r="AU246" s="2992"/>
      <c r="AW246" s="197"/>
      <c r="AX246" s="197"/>
    </row>
    <row r="247" spans="1:53" ht="12.75" customHeight="1" x14ac:dyDescent="0.15">
      <c r="U247" s="3049" t="s">
        <v>174</v>
      </c>
      <c r="V247" s="3049"/>
      <c r="W247" s="3049"/>
      <c r="X247" s="3049"/>
      <c r="Y247" s="3049"/>
      <c r="Z247" s="3049"/>
      <c r="AW247" s="197"/>
      <c r="AX247" s="197"/>
    </row>
    <row r="248" spans="1:53" ht="12.75" customHeight="1" x14ac:dyDescent="0.15">
      <c r="AW248" s="197"/>
      <c r="AX248" s="197"/>
    </row>
    <row r="249" spans="1:53" ht="15.75" customHeight="1" x14ac:dyDescent="0.15">
      <c r="A249" s="3018" t="s">
        <v>154</v>
      </c>
      <c r="B249" s="3019"/>
      <c r="C249" s="3020"/>
      <c r="D249" s="3037" t="s">
        <v>155</v>
      </c>
      <c r="E249" s="3038"/>
      <c r="F249" s="3038"/>
      <c r="G249" s="3038"/>
      <c r="H249" s="3038"/>
      <c r="I249" s="3038"/>
      <c r="J249" s="3039"/>
      <c r="K249" s="340"/>
      <c r="L249" s="341"/>
      <c r="M249" s="341"/>
      <c r="N249" s="341"/>
      <c r="O249" s="341"/>
      <c r="P249" s="341"/>
      <c r="Q249" s="341"/>
      <c r="R249" s="341"/>
      <c r="S249" s="342" t="s">
        <v>7</v>
      </c>
      <c r="T249" s="342" t="s">
        <v>8</v>
      </c>
      <c r="U249" s="342" t="s">
        <v>9</v>
      </c>
      <c r="V249" s="342" t="s">
        <v>156</v>
      </c>
      <c r="W249" s="342"/>
      <c r="X249" s="342"/>
      <c r="Y249" s="342"/>
      <c r="Z249" s="342"/>
      <c r="AA249" s="342"/>
      <c r="AB249" s="342"/>
      <c r="AC249" s="342"/>
      <c r="AD249" s="342"/>
      <c r="AE249" s="342"/>
      <c r="AF249" s="342"/>
      <c r="AG249" s="342"/>
      <c r="AH249" s="342"/>
      <c r="AI249" s="343"/>
      <c r="AJ249" s="344"/>
      <c r="AK249" s="3038" t="s">
        <v>33</v>
      </c>
      <c r="AL249" s="3038"/>
      <c r="AM249" s="3038"/>
      <c r="AN249" s="3038"/>
      <c r="AO249" s="3038"/>
      <c r="AP249" s="3038"/>
      <c r="AQ249" s="3038"/>
      <c r="AR249" s="3038"/>
      <c r="AS249" s="3038"/>
      <c r="AT249" s="3038"/>
      <c r="AU249" s="345"/>
      <c r="AW249" s="197"/>
      <c r="AX249" s="197"/>
    </row>
    <row r="250" spans="1:53" ht="15.75" customHeight="1" thickBot="1" x14ac:dyDescent="0.2">
      <c r="A250" s="3031"/>
      <c r="B250" s="3032"/>
      <c r="C250" s="3033"/>
      <c r="D250" s="3018" t="str">
        <f>IFERROR(VLOOKUP(9,'1_入力シート【基本情報】'!$DU$319:$DX$534,3,FALSE),"")</f>
        <v/>
      </c>
      <c r="E250" s="3019"/>
      <c r="F250" s="3019"/>
      <c r="G250" s="3019"/>
      <c r="H250" s="3019"/>
      <c r="I250" s="3019"/>
      <c r="J250" s="3020"/>
      <c r="K250" s="3040" t="str">
        <f>IFERROR(VLOOKUP(9,'1_入力シート【基本情報】'!$DU$319:$DX$534,4,FALSE),"")</f>
        <v/>
      </c>
      <c r="L250" s="3041"/>
      <c r="M250" s="3041"/>
      <c r="N250" s="3041"/>
      <c r="O250" s="3041"/>
      <c r="P250" s="3041"/>
      <c r="Q250" s="3041"/>
      <c r="R250" s="3041"/>
      <c r="S250" s="3041"/>
      <c r="T250" s="3041"/>
      <c r="U250" s="3041"/>
      <c r="V250" s="3041"/>
      <c r="W250" s="3041"/>
      <c r="X250" s="3041"/>
      <c r="Y250" s="3041"/>
      <c r="Z250" s="3041"/>
      <c r="AA250" s="3041"/>
      <c r="AB250" s="3041"/>
      <c r="AC250" s="3041"/>
      <c r="AD250" s="3041"/>
      <c r="AE250" s="3041"/>
      <c r="AF250" s="3041"/>
      <c r="AG250" s="3041"/>
      <c r="AH250" s="3041"/>
      <c r="AI250" s="3042"/>
      <c r="AJ250" s="367"/>
      <c r="AK250" s="367"/>
      <c r="AL250" s="367"/>
      <c r="AM250" s="367"/>
      <c r="AN250" s="367"/>
      <c r="AO250" s="367"/>
      <c r="AP250" s="367"/>
      <c r="AQ250" s="367"/>
      <c r="AR250" s="367"/>
      <c r="AS250" s="367"/>
      <c r="AT250" s="367"/>
      <c r="AU250" s="368"/>
      <c r="AW250" s="197"/>
      <c r="AX250" s="197"/>
    </row>
    <row r="251" spans="1:53" ht="15.75" customHeight="1" thickBot="1" x14ac:dyDescent="0.2">
      <c r="A251" s="3031"/>
      <c r="B251" s="3032"/>
      <c r="C251" s="3033"/>
      <c r="D251" s="3021"/>
      <c r="E251" s="3022"/>
      <c r="F251" s="3022"/>
      <c r="G251" s="3022"/>
      <c r="H251" s="3022"/>
      <c r="I251" s="3022"/>
      <c r="J251" s="3023"/>
      <c r="K251" s="3043"/>
      <c r="L251" s="3044"/>
      <c r="M251" s="3044"/>
      <c r="N251" s="3044"/>
      <c r="O251" s="3044"/>
      <c r="P251" s="3044"/>
      <c r="Q251" s="3044"/>
      <c r="R251" s="3044"/>
      <c r="S251" s="3044"/>
      <c r="T251" s="3044"/>
      <c r="U251" s="3044"/>
      <c r="V251" s="3044"/>
      <c r="W251" s="3044"/>
      <c r="X251" s="3044"/>
      <c r="Y251" s="3044"/>
      <c r="Z251" s="3044"/>
      <c r="AA251" s="3044"/>
      <c r="AB251" s="3044"/>
      <c r="AC251" s="3044"/>
      <c r="AD251" s="3044"/>
      <c r="AE251" s="3044"/>
      <c r="AF251" s="3044"/>
      <c r="AG251" s="3044"/>
      <c r="AH251" s="3044"/>
      <c r="AI251" s="3045"/>
      <c r="AJ251" s="367"/>
      <c r="AK251" s="367" t="str">
        <f>IF(D250&lt;&gt;"","☑","☐")</f>
        <v>☐</v>
      </c>
      <c r="AL251" s="367" t="s">
        <v>14</v>
      </c>
      <c r="AM251" s="367" t="s">
        <v>21</v>
      </c>
      <c r="AN251" s="367" t="s">
        <v>15</v>
      </c>
      <c r="AO251" s="367"/>
      <c r="AP251" s="426" t="s">
        <v>179</v>
      </c>
      <c r="AQ251" s="367" t="s">
        <v>27</v>
      </c>
      <c r="AR251" s="367" t="s">
        <v>23</v>
      </c>
      <c r="AS251" s="367" t="s">
        <v>13</v>
      </c>
      <c r="AT251" s="367"/>
      <c r="AU251" s="368"/>
      <c r="AV251" s="346"/>
      <c r="AW251" s="197"/>
      <c r="AX251" s="197"/>
      <c r="BA251" s="430" t="b">
        <f>AP251="☑"</f>
        <v>0</v>
      </c>
    </row>
    <row r="252" spans="1:53" ht="15.75" customHeight="1" x14ac:dyDescent="0.15">
      <c r="A252" s="3034"/>
      <c r="B252" s="3035"/>
      <c r="C252" s="3036"/>
      <c r="D252" s="3024"/>
      <c r="E252" s="3025"/>
      <c r="F252" s="3025"/>
      <c r="G252" s="3025"/>
      <c r="H252" s="3025"/>
      <c r="I252" s="3025"/>
      <c r="J252" s="3026"/>
      <c r="K252" s="3046"/>
      <c r="L252" s="3047"/>
      <c r="M252" s="3047"/>
      <c r="N252" s="3047"/>
      <c r="O252" s="3047"/>
      <c r="P252" s="3047"/>
      <c r="Q252" s="3047"/>
      <c r="R252" s="3047"/>
      <c r="S252" s="3047"/>
      <c r="T252" s="3047"/>
      <c r="U252" s="3047"/>
      <c r="V252" s="3047"/>
      <c r="W252" s="3047"/>
      <c r="X252" s="3047"/>
      <c r="Y252" s="3047"/>
      <c r="Z252" s="3047"/>
      <c r="AA252" s="3047"/>
      <c r="AB252" s="3047"/>
      <c r="AC252" s="3047"/>
      <c r="AD252" s="3047"/>
      <c r="AE252" s="3047"/>
      <c r="AF252" s="3047"/>
      <c r="AG252" s="3047"/>
      <c r="AH252" s="3047"/>
      <c r="AI252" s="3048"/>
      <c r="AJ252" s="369"/>
      <c r="AK252" s="369"/>
      <c r="AL252" s="369"/>
      <c r="AM252" s="369"/>
      <c r="AN252" s="369"/>
      <c r="AO252" s="369"/>
      <c r="AP252" s="369"/>
      <c r="AQ252" s="369"/>
      <c r="AR252" s="369"/>
      <c r="AS252" s="369"/>
      <c r="AT252" s="369"/>
      <c r="AU252" s="370"/>
      <c r="AW252" s="197"/>
      <c r="AX252" s="197"/>
    </row>
    <row r="253" spans="1:53" ht="15.75" customHeight="1" x14ac:dyDescent="0.15">
      <c r="A253" s="2"/>
      <c r="B253" s="335"/>
      <c r="C253" s="335"/>
      <c r="D253" s="335"/>
      <c r="E253" s="335"/>
      <c r="F253" s="335"/>
      <c r="G253" s="335"/>
      <c r="H253" s="335"/>
      <c r="I253" s="335"/>
      <c r="J253" s="335"/>
      <c r="K253" s="335"/>
      <c r="L253" s="335"/>
      <c r="M253" s="335"/>
      <c r="N253" s="335"/>
      <c r="O253" s="335"/>
      <c r="P253" s="335"/>
      <c r="Q253" s="335"/>
      <c r="R253" s="335"/>
      <c r="S253" s="335"/>
      <c r="T253" s="335"/>
      <c r="U253" s="335"/>
      <c r="V253" s="335"/>
      <c r="W253" s="335"/>
      <c r="X253" s="335"/>
      <c r="Y253" s="3"/>
      <c r="Z253" s="47"/>
      <c r="AA253" s="48" t="s">
        <v>11</v>
      </c>
      <c r="AB253" s="48" t="s">
        <v>10</v>
      </c>
      <c r="AC253" s="48" t="s">
        <v>16</v>
      </c>
      <c r="AD253" s="48" t="s">
        <v>9</v>
      </c>
      <c r="AE253" s="48"/>
      <c r="AF253" s="48"/>
      <c r="AG253" s="48"/>
      <c r="AH253" s="48"/>
      <c r="AI253" s="48"/>
      <c r="AJ253" s="49"/>
      <c r="AK253" s="49"/>
      <c r="AL253" s="49"/>
      <c r="AM253" s="49"/>
      <c r="AN253" s="49"/>
      <c r="AO253" s="49"/>
      <c r="AP253" s="49"/>
      <c r="AQ253" s="49"/>
      <c r="AR253" s="49"/>
      <c r="AS253" s="49"/>
      <c r="AT253" s="49"/>
      <c r="AU253" s="50"/>
      <c r="AW253" s="197"/>
      <c r="AX253" s="197"/>
    </row>
    <row r="254" spans="1:53" ht="15.75" customHeight="1" x14ac:dyDescent="0.15">
      <c r="A254" s="2"/>
      <c r="B254" s="335"/>
      <c r="C254" s="335"/>
      <c r="D254" s="335"/>
      <c r="E254" s="335"/>
      <c r="F254" s="335"/>
      <c r="G254" s="335"/>
      <c r="H254" s="335"/>
      <c r="I254" s="335"/>
      <c r="J254" s="335"/>
      <c r="K254" s="335"/>
      <c r="L254" s="335"/>
      <c r="M254" s="335"/>
      <c r="N254" s="335"/>
      <c r="O254" s="335"/>
      <c r="P254" s="335"/>
      <c r="Q254" s="335"/>
      <c r="R254" s="335"/>
      <c r="S254" s="335"/>
      <c r="T254" s="335"/>
      <c r="U254" s="335"/>
      <c r="V254" s="335"/>
      <c r="W254" s="335"/>
      <c r="X254" s="335"/>
      <c r="Y254" s="3"/>
      <c r="Z254" s="3010"/>
      <c r="AA254" s="3011"/>
      <c r="AB254" s="3011"/>
      <c r="AC254" s="3011"/>
      <c r="AD254" s="3011"/>
      <c r="AE254" s="3011"/>
      <c r="AF254" s="3011"/>
      <c r="AG254" s="3011"/>
      <c r="AH254" s="3011"/>
      <c r="AI254" s="3011"/>
      <c r="AJ254" s="3011"/>
      <c r="AK254" s="3011"/>
      <c r="AL254" s="3011"/>
      <c r="AM254" s="3011"/>
      <c r="AN254" s="3011"/>
      <c r="AO254" s="104"/>
      <c r="AP254" s="104"/>
      <c r="AQ254" s="104"/>
      <c r="AR254" s="104"/>
      <c r="AS254" s="104"/>
      <c r="AT254" s="104"/>
      <c r="AU254" s="105"/>
      <c r="AW254" s="197"/>
      <c r="AX254" s="197"/>
    </row>
    <row r="255" spans="1:53" ht="15.75" customHeight="1" x14ac:dyDescent="0.15">
      <c r="A255" s="2"/>
      <c r="B255" s="335"/>
      <c r="C255" s="335"/>
      <c r="D255" s="335"/>
      <c r="E255" s="335"/>
      <c r="F255" s="335"/>
      <c r="G255" s="335"/>
      <c r="H255" s="335"/>
      <c r="I255" s="335"/>
      <c r="J255" s="335"/>
      <c r="K255" s="335"/>
      <c r="L255" s="335"/>
      <c r="M255" s="335"/>
      <c r="N255" s="335"/>
      <c r="O255" s="335"/>
      <c r="P255" s="335"/>
      <c r="Q255" s="335"/>
      <c r="R255" s="335"/>
      <c r="S255" s="335"/>
      <c r="T255" s="335"/>
      <c r="U255" s="335"/>
      <c r="V255" s="335"/>
      <c r="W255" s="335"/>
      <c r="X255" s="335"/>
      <c r="Y255" s="3"/>
      <c r="Z255" s="2995" t="str">
        <f>IFERROR(VLOOKUP(9,'1_入力シート【基本情報】'!$DU$319:$DZ$534,5,FALSE),"")</f>
        <v/>
      </c>
      <c r="AA255" s="2996"/>
      <c r="AB255" s="2996"/>
      <c r="AC255" s="2996"/>
      <c r="AD255" s="2996"/>
      <c r="AE255" s="2996"/>
      <c r="AF255" s="2996"/>
      <c r="AG255" s="2996"/>
      <c r="AH255" s="2996"/>
      <c r="AI255" s="2996"/>
      <c r="AJ255" s="2996"/>
      <c r="AK255" s="2996"/>
      <c r="AL255" s="2996"/>
      <c r="AM255" s="2996"/>
      <c r="AN255" s="2996"/>
      <c r="AO255" s="2996"/>
      <c r="AP255" s="2996"/>
      <c r="AQ255" s="2996"/>
      <c r="AR255" s="2996"/>
      <c r="AS255" s="2996"/>
      <c r="AT255" s="2996"/>
      <c r="AU255" s="2997"/>
      <c r="AW255" s="197"/>
      <c r="AX255" s="197"/>
    </row>
    <row r="256" spans="1:53" ht="15.75" customHeight="1" x14ac:dyDescent="0.15">
      <c r="A256" s="2"/>
      <c r="B256" s="335"/>
      <c r="C256" s="335"/>
      <c r="D256" s="335"/>
      <c r="E256" s="335"/>
      <c r="F256" s="335"/>
      <c r="G256" s="335"/>
      <c r="H256" s="335"/>
      <c r="I256" s="335"/>
      <c r="J256" s="335"/>
      <c r="K256" s="335"/>
      <c r="L256" s="335"/>
      <c r="M256" s="335"/>
      <c r="N256" s="335"/>
      <c r="O256" s="335"/>
      <c r="P256" s="335"/>
      <c r="Q256" s="335"/>
      <c r="R256" s="335"/>
      <c r="S256" s="335"/>
      <c r="T256" s="335"/>
      <c r="U256" s="335"/>
      <c r="V256" s="335"/>
      <c r="W256" s="335"/>
      <c r="X256" s="335"/>
      <c r="Y256" s="3"/>
      <c r="Z256" s="2998"/>
      <c r="AA256" s="2999"/>
      <c r="AB256" s="2999"/>
      <c r="AC256" s="2999"/>
      <c r="AD256" s="2999"/>
      <c r="AE256" s="2999"/>
      <c r="AF256" s="2999"/>
      <c r="AG256" s="2999"/>
      <c r="AH256" s="2999"/>
      <c r="AI256" s="2999"/>
      <c r="AJ256" s="2999"/>
      <c r="AK256" s="2999"/>
      <c r="AL256" s="2999"/>
      <c r="AM256" s="2999"/>
      <c r="AN256" s="2999"/>
      <c r="AO256" s="2999"/>
      <c r="AP256" s="2999"/>
      <c r="AQ256" s="2999"/>
      <c r="AR256" s="2999"/>
      <c r="AS256" s="2999"/>
      <c r="AT256" s="2999"/>
      <c r="AU256" s="3000"/>
      <c r="AW256" s="197"/>
      <c r="AX256" s="197"/>
    </row>
    <row r="257" spans="1:50" ht="15.75" customHeight="1" x14ac:dyDescent="0.15">
      <c r="A257" s="2"/>
      <c r="B257" s="335"/>
      <c r="C257" s="335"/>
      <c r="D257" s="335"/>
      <c r="E257" s="335"/>
      <c r="F257" s="335"/>
      <c r="G257" s="335"/>
      <c r="H257" s="335"/>
      <c r="I257" s="335"/>
      <c r="J257" s="335"/>
      <c r="K257" s="335"/>
      <c r="L257" s="335"/>
      <c r="M257" s="335"/>
      <c r="N257" s="335"/>
      <c r="O257" s="335"/>
      <c r="P257" s="335"/>
      <c r="Q257" s="335"/>
      <c r="R257" s="335"/>
      <c r="S257" s="335"/>
      <c r="T257" s="335"/>
      <c r="U257" s="335"/>
      <c r="V257" s="335"/>
      <c r="W257" s="335"/>
      <c r="X257" s="335"/>
      <c r="Y257" s="3"/>
      <c r="Z257" s="3001"/>
      <c r="AA257" s="3002"/>
      <c r="AB257" s="3002"/>
      <c r="AC257" s="3002"/>
      <c r="AD257" s="3002"/>
      <c r="AE257" s="3002"/>
      <c r="AF257" s="3002"/>
      <c r="AG257" s="3002"/>
      <c r="AH257" s="3002"/>
      <c r="AI257" s="3002"/>
      <c r="AJ257" s="3002"/>
      <c r="AK257" s="3002"/>
      <c r="AL257" s="3002"/>
      <c r="AM257" s="3002"/>
      <c r="AN257" s="3002"/>
      <c r="AO257" s="3002"/>
      <c r="AP257" s="3002"/>
      <c r="AQ257" s="3002"/>
      <c r="AR257" s="3002"/>
      <c r="AS257" s="3002"/>
      <c r="AT257" s="3002"/>
      <c r="AU257" s="3003"/>
      <c r="AW257" s="197"/>
      <c r="AX257" s="197"/>
    </row>
    <row r="258" spans="1:50" ht="15.75" customHeight="1" x14ac:dyDescent="0.15">
      <c r="A258" s="2"/>
      <c r="B258" s="371"/>
      <c r="C258" s="371"/>
      <c r="D258" s="371"/>
      <c r="E258" s="371"/>
      <c r="F258" s="371"/>
      <c r="G258" s="371"/>
      <c r="H258" s="371"/>
      <c r="I258" s="371"/>
      <c r="J258" s="371"/>
      <c r="K258" s="371"/>
      <c r="L258" s="371"/>
      <c r="M258" s="371"/>
      <c r="N258" s="371"/>
      <c r="O258" s="371"/>
      <c r="P258" s="371"/>
      <c r="Q258" s="371"/>
      <c r="R258" s="371"/>
      <c r="S258" s="371"/>
      <c r="T258" s="371"/>
      <c r="U258" s="371"/>
      <c r="V258" s="371"/>
      <c r="W258" s="371"/>
      <c r="X258" s="371"/>
      <c r="Y258" s="3"/>
      <c r="Z258" s="3004"/>
      <c r="AA258" s="3005"/>
      <c r="AB258" s="3005"/>
      <c r="AC258" s="3005"/>
      <c r="AD258" s="3005"/>
      <c r="AE258" s="3005"/>
      <c r="AF258" s="3005"/>
      <c r="AG258" s="3005"/>
      <c r="AH258" s="3005"/>
      <c r="AI258" s="3005"/>
      <c r="AJ258" s="3005"/>
      <c r="AK258" s="3005"/>
      <c r="AL258" s="3005"/>
      <c r="AM258" s="3005"/>
      <c r="AN258" s="3005"/>
      <c r="AO258" s="3005"/>
      <c r="AP258" s="3005"/>
      <c r="AQ258" s="3005"/>
      <c r="AR258" s="3005"/>
      <c r="AS258" s="3005"/>
      <c r="AT258" s="3005"/>
      <c r="AU258" s="3006"/>
      <c r="AW258" s="197"/>
      <c r="AX258" s="197"/>
    </row>
    <row r="259" spans="1:50" ht="15.75" customHeight="1" x14ac:dyDescent="0.15">
      <c r="A259" s="2"/>
      <c r="B259" s="371"/>
      <c r="C259" s="371"/>
      <c r="D259" s="371"/>
      <c r="E259" s="371"/>
      <c r="F259" s="371"/>
      <c r="G259" s="371"/>
      <c r="H259" s="371"/>
      <c r="I259" s="371"/>
      <c r="J259" s="371"/>
      <c r="K259" s="371"/>
      <c r="L259" s="371"/>
      <c r="M259" s="371"/>
      <c r="N259" s="371"/>
      <c r="O259" s="371"/>
      <c r="P259" s="371"/>
      <c r="Q259" s="371"/>
      <c r="R259" s="371"/>
      <c r="S259" s="371"/>
      <c r="T259" s="371"/>
      <c r="U259" s="371"/>
      <c r="V259" s="371"/>
      <c r="W259" s="371"/>
      <c r="X259" s="371"/>
      <c r="Y259" s="3"/>
      <c r="Z259" s="3004"/>
      <c r="AA259" s="3005"/>
      <c r="AB259" s="3005"/>
      <c r="AC259" s="3005"/>
      <c r="AD259" s="3005"/>
      <c r="AE259" s="3005"/>
      <c r="AF259" s="3005"/>
      <c r="AG259" s="3005"/>
      <c r="AH259" s="3005"/>
      <c r="AI259" s="3005"/>
      <c r="AJ259" s="3005"/>
      <c r="AK259" s="3005"/>
      <c r="AL259" s="3005"/>
      <c r="AM259" s="3005"/>
      <c r="AN259" s="3005"/>
      <c r="AO259" s="3005"/>
      <c r="AP259" s="3005"/>
      <c r="AQ259" s="3005"/>
      <c r="AR259" s="3005"/>
      <c r="AS259" s="3005"/>
      <c r="AT259" s="3005"/>
      <c r="AU259" s="3006"/>
      <c r="AW259" s="197"/>
      <c r="AX259" s="197"/>
    </row>
    <row r="260" spans="1:50" ht="15.75" customHeight="1" x14ac:dyDescent="0.15">
      <c r="A260" s="2"/>
      <c r="B260" s="371"/>
      <c r="C260" s="371"/>
      <c r="D260" s="371"/>
      <c r="E260" s="371"/>
      <c r="F260" s="371"/>
      <c r="G260" s="371"/>
      <c r="H260" s="371"/>
      <c r="I260" s="371"/>
      <c r="J260" s="371"/>
      <c r="K260" s="371"/>
      <c r="L260" s="371"/>
      <c r="M260" s="371"/>
      <c r="N260" s="371"/>
      <c r="O260" s="371"/>
      <c r="P260" s="371"/>
      <c r="Q260" s="371"/>
      <c r="R260" s="371"/>
      <c r="S260" s="371"/>
      <c r="T260" s="371"/>
      <c r="U260" s="371"/>
      <c r="V260" s="371"/>
      <c r="W260" s="371"/>
      <c r="X260" s="371"/>
      <c r="Y260" s="3"/>
      <c r="Z260" s="3004"/>
      <c r="AA260" s="3005"/>
      <c r="AB260" s="3005"/>
      <c r="AC260" s="3005"/>
      <c r="AD260" s="3005"/>
      <c r="AE260" s="3005"/>
      <c r="AF260" s="3005"/>
      <c r="AG260" s="3005"/>
      <c r="AH260" s="3005"/>
      <c r="AI260" s="3005"/>
      <c r="AJ260" s="3005"/>
      <c r="AK260" s="3005"/>
      <c r="AL260" s="3005"/>
      <c r="AM260" s="3005"/>
      <c r="AN260" s="3005"/>
      <c r="AO260" s="3005"/>
      <c r="AP260" s="3005"/>
      <c r="AQ260" s="3005"/>
      <c r="AR260" s="3005"/>
      <c r="AS260" s="3005"/>
      <c r="AT260" s="3005"/>
      <c r="AU260" s="3006"/>
      <c r="AW260" s="197"/>
      <c r="AX260" s="197"/>
    </row>
    <row r="261" spans="1:50" ht="15.75" customHeight="1" x14ac:dyDescent="0.15">
      <c r="A261" s="2"/>
      <c r="B261" s="371"/>
      <c r="C261" s="371"/>
      <c r="D261" s="371"/>
      <c r="E261" s="371"/>
      <c r="F261" s="371"/>
      <c r="G261" s="371"/>
      <c r="H261" s="371"/>
      <c r="I261" s="371"/>
      <c r="J261" s="371"/>
      <c r="K261" s="3013" t="s">
        <v>157</v>
      </c>
      <c r="L261" s="3013"/>
      <c r="M261" s="3013"/>
      <c r="N261" s="3013"/>
      <c r="O261" s="3013"/>
      <c r="P261" s="3013"/>
      <c r="Q261" s="371"/>
      <c r="R261" s="371"/>
      <c r="S261" s="371"/>
      <c r="T261" s="371"/>
      <c r="U261" s="371"/>
      <c r="V261" s="371"/>
      <c r="W261" s="371"/>
      <c r="X261" s="371"/>
      <c r="Y261" s="3"/>
      <c r="Z261" s="3004"/>
      <c r="AA261" s="3005"/>
      <c r="AB261" s="3005"/>
      <c r="AC261" s="3005"/>
      <c r="AD261" s="3005"/>
      <c r="AE261" s="3005"/>
      <c r="AF261" s="3005"/>
      <c r="AG261" s="3005"/>
      <c r="AH261" s="3005"/>
      <c r="AI261" s="3005"/>
      <c r="AJ261" s="3005"/>
      <c r="AK261" s="3005"/>
      <c r="AL261" s="3005"/>
      <c r="AM261" s="3005"/>
      <c r="AN261" s="3005"/>
      <c r="AO261" s="3005"/>
      <c r="AP261" s="3005"/>
      <c r="AQ261" s="3005"/>
      <c r="AR261" s="3005"/>
      <c r="AS261" s="3005"/>
      <c r="AT261" s="3005"/>
      <c r="AU261" s="3006"/>
      <c r="AW261" s="197"/>
      <c r="AX261" s="197"/>
    </row>
    <row r="262" spans="1:50" ht="15.75" customHeight="1" x14ac:dyDescent="0.15">
      <c r="A262" s="2"/>
      <c r="B262" s="371"/>
      <c r="C262" s="371"/>
      <c r="D262" s="371"/>
      <c r="E262" s="371"/>
      <c r="F262" s="371"/>
      <c r="G262" s="371"/>
      <c r="H262" s="371"/>
      <c r="I262" s="371"/>
      <c r="J262" s="371"/>
      <c r="K262" s="371"/>
      <c r="L262" s="371"/>
      <c r="M262" s="371"/>
      <c r="N262" s="371"/>
      <c r="O262" s="371"/>
      <c r="P262" s="371"/>
      <c r="Q262" s="371"/>
      <c r="R262" s="371"/>
      <c r="S262" s="371"/>
      <c r="T262" s="371"/>
      <c r="U262" s="371"/>
      <c r="V262" s="371"/>
      <c r="W262" s="371"/>
      <c r="X262" s="371"/>
      <c r="Y262" s="3"/>
      <c r="Z262" s="3004"/>
      <c r="AA262" s="3005"/>
      <c r="AB262" s="3005"/>
      <c r="AC262" s="3005"/>
      <c r="AD262" s="3005"/>
      <c r="AE262" s="3005"/>
      <c r="AF262" s="3005"/>
      <c r="AG262" s="3005"/>
      <c r="AH262" s="3005"/>
      <c r="AI262" s="3005"/>
      <c r="AJ262" s="3005"/>
      <c r="AK262" s="3005"/>
      <c r="AL262" s="3005"/>
      <c r="AM262" s="3005"/>
      <c r="AN262" s="3005"/>
      <c r="AO262" s="3005"/>
      <c r="AP262" s="3005"/>
      <c r="AQ262" s="3005"/>
      <c r="AR262" s="3005"/>
      <c r="AS262" s="3005"/>
      <c r="AT262" s="3005"/>
      <c r="AU262" s="3006"/>
      <c r="AW262" s="197"/>
      <c r="AX262" s="197"/>
    </row>
    <row r="263" spans="1:50" ht="15.75" customHeight="1" x14ac:dyDescent="0.15">
      <c r="A263" s="2"/>
      <c r="B263" s="371"/>
      <c r="C263" s="371"/>
      <c r="D263" s="371"/>
      <c r="E263" s="371"/>
      <c r="F263" s="371"/>
      <c r="G263" s="371"/>
      <c r="H263" s="371"/>
      <c r="I263" s="371"/>
      <c r="J263" s="371"/>
      <c r="K263" s="371"/>
      <c r="L263" s="371"/>
      <c r="M263" s="371"/>
      <c r="N263" s="371"/>
      <c r="O263" s="371"/>
      <c r="P263" s="371"/>
      <c r="Q263" s="371"/>
      <c r="R263" s="371"/>
      <c r="S263" s="371"/>
      <c r="T263" s="371"/>
      <c r="U263" s="371"/>
      <c r="V263" s="371"/>
      <c r="W263" s="371"/>
      <c r="X263" s="371"/>
      <c r="Y263" s="3"/>
      <c r="Z263" s="3004"/>
      <c r="AA263" s="3005"/>
      <c r="AB263" s="3005"/>
      <c r="AC263" s="3005"/>
      <c r="AD263" s="3005"/>
      <c r="AE263" s="3005"/>
      <c r="AF263" s="3005"/>
      <c r="AG263" s="3005"/>
      <c r="AH263" s="3005"/>
      <c r="AI263" s="3005"/>
      <c r="AJ263" s="3005"/>
      <c r="AK263" s="3005"/>
      <c r="AL263" s="3005"/>
      <c r="AM263" s="3005"/>
      <c r="AN263" s="3005"/>
      <c r="AO263" s="3005"/>
      <c r="AP263" s="3005"/>
      <c r="AQ263" s="3005"/>
      <c r="AR263" s="3005"/>
      <c r="AS263" s="3005"/>
      <c r="AT263" s="3005"/>
      <c r="AU263" s="3006"/>
      <c r="AW263" s="197"/>
      <c r="AX263" s="197"/>
    </row>
    <row r="264" spans="1:50" ht="15.75" customHeight="1" x14ac:dyDescent="0.15">
      <c r="A264" s="2"/>
      <c r="B264" s="371"/>
      <c r="C264" s="371"/>
      <c r="D264" s="371"/>
      <c r="E264" s="371"/>
      <c r="F264" s="371"/>
      <c r="G264" s="371"/>
      <c r="H264" s="371"/>
      <c r="I264" s="371"/>
      <c r="J264" s="371"/>
      <c r="K264" s="371"/>
      <c r="L264" s="371"/>
      <c r="M264" s="371"/>
      <c r="N264" s="371"/>
      <c r="O264" s="371"/>
      <c r="P264" s="371"/>
      <c r="Q264" s="371"/>
      <c r="R264" s="371"/>
      <c r="S264" s="371"/>
      <c r="T264" s="371"/>
      <c r="U264" s="371"/>
      <c r="V264" s="371"/>
      <c r="W264" s="371"/>
      <c r="X264" s="371"/>
      <c r="Y264" s="3"/>
      <c r="Z264" s="3004"/>
      <c r="AA264" s="3005"/>
      <c r="AB264" s="3005"/>
      <c r="AC264" s="3005"/>
      <c r="AD264" s="3005"/>
      <c r="AE264" s="3005"/>
      <c r="AF264" s="3005"/>
      <c r="AG264" s="3005"/>
      <c r="AH264" s="3005"/>
      <c r="AI264" s="3005"/>
      <c r="AJ264" s="3005"/>
      <c r="AK264" s="3005"/>
      <c r="AL264" s="3005"/>
      <c r="AM264" s="3005"/>
      <c r="AN264" s="3005"/>
      <c r="AO264" s="3005"/>
      <c r="AP264" s="3005"/>
      <c r="AQ264" s="3005"/>
      <c r="AR264" s="3005"/>
      <c r="AS264" s="3005"/>
      <c r="AT264" s="3005"/>
      <c r="AU264" s="3006"/>
      <c r="AW264" s="197"/>
      <c r="AX264" s="197"/>
    </row>
    <row r="265" spans="1:50" ht="15.75" customHeight="1" x14ac:dyDescent="0.15">
      <c r="A265" s="2"/>
      <c r="B265" s="371"/>
      <c r="C265" s="371"/>
      <c r="D265" s="371"/>
      <c r="E265" s="371"/>
      <c r="F265" s="371"/>
      <c r="G265" s="371"/>
      <c r="H265" s="371"/>
      <c r="I265" s="371"/>
      <c r="J265" s="371"/>
      <c r="K265" s="371"/>
      <c r="L265" s="371"/>
      <c r="M265" s="371"/>
      <c r="N265" s="371"/>
      <c r="O265" s="371"/>
      <c r="P265" s="371"/>
      <c r="Q265" s="371"/>
      <c r="R265" s="371"/>
      <c r="S265" s="371"/>
      <c r="T265" s="371"/>
      <c r="U265" s="371"/>
      <c r="V265" s="371"/>
      <c r="W265" s="371"/>
      <c r="X265" s="371"/>
      <c r="Y265" s="3"/>
      <c r="Z265" s="3004"/>
      <c r="AA265" s="3005"/>
      <c r="AB265" s="3005"/>
      <c r="AC265" s="3005"/>
      <c r="AD265" s="3005"/>
      <c r="AE265" s="3005"/>
      <c r="AF265" s="3005"/>
      <c r="AG265" s="3005"/>
      <c r="AH265" s="3005"/>
      <c r="AI265" s="3005"/>
      <c r="AJ265" s="3005"/>
      <c r="AK265" s="3005"/>
      <c r="AL265" s="3005"/>
      <c r="AM265" s="3005"/>
      <c r="AN265" s="3005"/>
      <c r="AO265" s="3005"/>
      <c r="AP265" s="3005"/>
      <c r="AQ265" s="3005"/>
      <c r="AR265" s="3005"/>
      <c r="AS265" s="3005"/>
      <c r="AT265" s="3005"/>
      <c r="AU265" s="3006"/>
      <c r="AW265" s="197"/>
      <c r="AX265" s="197"/>
    </row>
    <row r="266" spans="1:50" ht="15.75" customHeight="1" x14ac:dyDescent="0.15">
      <c r="A266" s="2"/>
      <c r="B266" s="371"/>
      <c r="C266" s="371"/>
      <c r="D266" s="371"/>
      <c r="E266" s="371"/>
      <c r="F266" s="371"/>
      <c r="G266" s="371"/>
      <c r="H266" s="371"/>
      <c r="I266" s="371"/>
      <c r="J266" s="371"/>
      <c r="K266" s="371"/>
      <c r="L266" s="371"/>
      <c r="M266" s="371"/>
      <c r="N266" s="371"/>
      <c r="O266" s="371"/>
      <c r="P266" s="371"/>
      <c r="Q266" s="371"/>
      <c r="R266" s="371"/>
      <c r="S266" s="371"/>
      <c r="T266" s="371"/>
      <c r="U266" s="371"/>
      <c r="V266" s="371"/>
      <c r="W266" s="371"/>
      <c r="X266" s="371"/>
      <c r="Y266" s="3"/>
      <c r="Z266" s="3004"/>
      <c r="AA266" s="3005"/>
      <c r="AB266" s="3005"/>
      <c r="AC266" s="3005"/>
      <c r="AD266" s="3005"/>
      <c r="AE266" s="3005"/>
      <c r="AF266" s="3005"/>
      <c r="AG266" s="3005"/>
      <c r="AH266" s="3005"/>
      <c r="AI266" s="3005"/>
      <c r="AJ266" s="3005"/>
      <c r="AK266" s="3005"/>
      <c r="AL266" s="3005"/>
      <c r="AM266" s="3005"/>
      <c r="AN266" s="3005"/>
      <c r="AO266" s="3005"/>
      <c r="AP266" s="3005"/>
      <c r="AQ266" s="3005"/>
      <c r="AR266" s="3005"/>
      <c r="AS266" s="3005"/>
      <c r="AT266" s="3005"/>
      <c r="AU266" s="3006"/>
      <c r="AW266" s="197"/>
      <c r="AX266" s="197"/>
    </row>
    <row r="267" spans="1:50" ht="15.75" customHeight="1" x14ac:dyDescent="0.15">
      <c r="A267" s="2"/>
      <c r="B267" s="371"/>
      <c r="C267" s="371"/>
      <c r="D267" s="371"/>
      <c r="E267" s="371"/>
      <c r="F267" s="371"/>
      <c r="G267" s="371"/>
      <c r="H267" s="371"/>
      <c r="I267" s="371"/>
      <c r="J267" s="371"/>
      <c r="K267" s="371"/>
      <c r="L267" s="371"/>
      <c r="M267" s="371"/>
      <c r="N267" s="371"/>
      <c r="O267" s="371"/>
      <c r="P267" s="371"/>
      <c r="Q267" s="371"/>
      <c r="R267" s="371"/>
      <c r="S267" s="371"/>
      <c r="T267" s="371"/>
      <c r="U267" s="371"/>
      <c r="V267" s="371"/>
      <c r="W267" s="371"/>
      <c r="X267" s="371"/>
      <c r="Y267" s="3"/>
      <c r="Z267" s="3004"/>
      <c r="AA267" s="3005"/>
      <c r="AB267" s="3005"/>
      <c r="AC267" s="3005"/>
      <c r="AD267" s="3005"/>
      <c r="AE267" s="3005"/>
      <c r="AF267" s="3005"/>
      <c r="AG267" s="3005"/>
      <c r="AH267" s="3005"/>
      <c r="AI267" s="3005"/>
      <c r="AJ267" s="3005"/>
      <c r="AK267" s="3005"/>
      <c r="AL267" s="3005"/>
      <c r="AM267" s="3005"/>
      <c r="AN267" s="3005"/>
      <c r="AO267" s="3005"/>
      <c r="AP267" s="3005"/>
      <c r="AQ267" s="3005"/>
      <c r="AR267" s="3005"/>
      <c r="AS267" s="3005"/>
      <c r="AT267" s="3005"/>
      <c r="AU267" s="3006"/>
      <c r="AW267" s="197"/>
      <c r="AX267" s="197"/>
    </row>
    <row r="268" spans="1:50" ht="15.75" customHeight="1" x14ac:dyDescent="0.15">
      <c r="A268" s="2"/>
      <c r="B268" s="371"/>
      <c r="C268" s="371"/>
      <c r="D268" s="371"/>
      <c r="E268" s="371"/>
      <c r="F268" s="371"/>
      <c r="G268" s="371"/>
      <c r="H268" s="371"/>
      <c r="I268" s="371"/>
      <c r="J268" s="371"/>
      <c r="K268" s="371"/>
      <c r="L268" s="371"/>
      <c r="M268" s="371"/>
      <c r="N268" s="371"/>
      <c r="O268" s="371"/>
      <c r="P268" s="371"/>
      <c r="Q268" s="371"/>
      <c r="R268" s="371"/>
      <c r="S268" s="371"/>
      <c r="T268" s="371"/>
      <c r="U268" s="371"/>
      <c r="V268" s="371"/>
      <c r="W268" s="371"/>
      <c r="X268" s="371"/>
      <c r="Y268" s="3"/>
      <c r="Z268" s="3004"/>
      <c r="AA268" s="3005"/>
      <c r="AB268" s="3005"/>
      <c r="AC268" s="3005"/>
      <c r="AD268" s="3005"/>
      <c r="AE268" s="3005"/>
      <c r="AF268" s="3005"/>
      <c r="AG268" s="3005"/>
      <c r="AH268" s="3005"/>
      <c r="AI268" s="3005"/>
      <c r="AJ268" s="3005"/>
      <c r="AK268" s="3005"/>
      <c r="AL268" s="3005"/>
      <c r="AM268" s="3005"/>
      <c r="AN268" s="3005"/>
      <c r="AO268" s="3005"/>
      <c r="AP268" s="3005"/>
      <c r="AQ268" s="3005"/>
      <c r="AR268" s="3005"/>
      <c r="AS268" s="3005"/>
      <c r="AT268" s="3005"/>
      <c r="AU268" s="3006"/>
      <c r="AW268" s="197"/>
      <c r="AX268" s="197"/>
    </row>
    <row r="269" spans="1:50" ht="15.75" customHeight="1" x14ac:dyDescent="0.15">
      <c r="A269" s="2"/>
      <c r="B269" s="371"/>
      <c r="C269" s="371"/>
      <c r="D269" s="371"/>
      <c r="E269" s="371"/>
      <c r="F269" s="371"/>
      <c r="G269" s="371"/>
      <c r="H269" s="371"/>
      <c r="I269" s="371"/>
      <c r="J269" s="371"/>
      <c r="K269" s="371"/>
      <c r="L269" s="371"/>
      <c r="M269" s="371"/>
      <c r="N269" s="371"/>
      <c r="O269" s="371"/>
      <c r="P269" s="371"/>
      <c r="Q269" s="371"/>
      <c r="R269" s="371"/>
      <c r="S269" s="371"/>
      <c r="T269" s="371"/>
      <c r="U269" s="371"/>
      <c r="V269" s="371"/>
      <c r="W269" s="371"/>
      <c r="X269" s="371"/>
      <c r="Y269" s="3"/>
      <c r="Z269" s="3004"/>
      <c r="AA269" s="3005"/>
      <c r="AB269" s="3005"/>
      <c r="AC269" s="3005"/>
      <c r="AD269" s="3005"/>
      <c r="AE269" s="3005"/>
      <c r="AF269" s="3005"/>
      <c r="AG269" s="3005"/>
      <c r="AH269" s="3005"/>
      <c r="AI269" s="3005"/>
      <c r="AJ269" s="3005"/>
      <c r="AK269" s="3005"/>
      <c r="AL269" s="3005"/>
      <c r="AM269" s="3005"/>
      <c r="AN269" s="3005"/>
      <c r="AO269" s="3005"/>
      <c r="AP269" s="3005"/>
      <c r="AQ269" s="3005"/>
      <c r="AR269" s="3005"/>
      <c r="AS269" s="3005"/>
      <c r="AT269" s="3005"/>
      <c r="AU269" s="3006"/>
      <c r="AW269" s="197"/>
      <c r="AX269" s="197"/>
    </row>
    <row r="270" spans="1:50" ht="15.75" customHeight="1" x14ac:dyDescent="0.15">
      <c r="A270" s="6"/>
      <c r="B270" s="4"/>
      <c r="C270" s="4"/>
      <c r="D270" s="4"/>
      <c r="E270" s="4"/>
      <c r="F270" s="4"/>
      <c r="G270" s="4"/>
      <c r="H270" s="4"/>
      <c r="I270" s="4"/>
      <c r="J270" s="4"/>
      <c r="K270" s="4"/>
      <c r="L270" s="4"/>
      <c r="M270" s="4"/>
      <c r="N270" s="4"/>
      <c r="O270" s="4"/>
      <c r="P270" s="4"/>
      <c r="Q270" s="4"/>
      <c r="R270" s="4"/>
      <c r="S270" s="4"/>
      <c r="T270" s="4"/>
      <c r="U270" s="4"/>
      <c r="V270" s="4"/>
      <c r="W270" s="4"/>
      <c r="X270" s="4"/>
      <c r="Y270" s="5"/>
      <c r="Z270" s="3007"/>
      <c r="AA270" s="3008"/>
      <c r="AB270" s="3008"/>
      <c r="AC270" s="3008"/>
      <c r="AD270" s="3008"/>
      <c r="AE270" s="3008"/>
      <c r="AF270" s="3008"/>
      <c r="AG270" s="3008"/>
      <c r="AH270" s="3008"/>
      <c r="AI270" s="3008"/>
      <c r="AJ270" s="3008"/>
      <c r="AK270" s="3008"/>
      <c r="AL270" s="3008"/>
      <c r="AM270" s="3008"/>
      <c r="AN270" s="3008"/>
      <c r="AO270" s="3008"/>
      <c r="AP270" s="3008"/>
      <c r="AQ270" s="3008"/>
      <c r="AR270" s="3008"/>
      <c r="AS270" s="3008"/>
      <c r="AT270" s="3008"/>
      <c r="AU270" s="3009"/>
      <c r="AW270" s="197"/>
      <c r="AX270" s="197"/>
    </row>
    <row r="271" spans="1:50" ht="12.75" customHeight="1" x14ac:dyDescent="0.15">
      <c r="AW271" s="197"/>
      <c r="AX271" s="197"/>
    </row>
    <row r="272" spans="1:50" ht="15.75" customHeight="1" x14ac:dyDescent="0.15">
      <c r="A272" s="3018" t="s">
        <v>154</v>
      </c>
      <c r="B272" s="3019"/>
      <c r="C272" s="3020"/>
      <c r="D272" s="3037" t="s">
        <v>155</v>
      </c>
      <c r="E272" s="3038"/>
      <c r="F272" s="3038"/>
      <c r="G272" s="3038"/>
      <c r="H272" s="3038"/>
      <c r="I272" s="3038"/>
      <c r="J272" s="3039"/>
      <c r="K272" s="344"/>
      <c r="L272" s="341"/>
      <c r="M272" s="341"/>
      <c r="N272" s="341"/>
      <c r="O272" s="341"/>
      <c r="P272" s="341"/>
      <c r="Q272" s="341"/>
      <c r="R272" s="341"/>
      <c r="S272" s="342" t="s">
        <v>7</v>
      </c>
      <c r="T272" s="342" t="s">
        <v>8</v>
      </c>
      <c r="U272" s="342" t="s">
        <v>9</v>
      </c>
      <c r="V272" s="342" t="s">
        <v>156</v>
      </c>
      <c r="W272" s="342"/>
      <c r="X272" s="342"/>
      <c r="Y272" s="342"/>
      <c r="Z272" s="342"/>
      <c r="AA272" s="342"/>
      <c r="AB272" s="342"/>
      <c r="AC272" s="342"/>
      <c r="AD272" s="342"/>
      <c r="AE272" s="342"/>
      <c r="AF272" s="342"/>
      <c r="AG272" s="342"/>
      <c r="AH272" s="342"/>
      <c r="AI272" s="343"/>
      <c r="AJ272" s="344"/>
      <c r="AK272" s="3038" t="s">
        <v>33</v>
      </c>
      <c r="AL272" s="3038"/>
      <c r="AM272" s="3038"/>
      <c r="AN272" s="3038"/>
      <c r="AO272" s="3038"/>
      <c r="AP272" s="3038"/>
      <c r="AQ272" s="3038"/>
      <c r="AR272" s="3038"/>
      <c r="AS272" s="3038"/>
      <c r="AT272" s="3038"/>
      <c r="AU272" s="345"/>
      <c r="AW272" s="197"/>
      <c r="AX272" s="197"/>
    </row>
    <row r="273" spans="1:53" ht="15.75" customHeight="1" thickBot="1" x14ac:dyDescent="0.2">
      <c r="A273" s="3031"/>
      <c r="B273" s="3032"/>
      <c r="C273" s="3033"/>
      <c r="D273" s="3018" t="str">
        <f>IFERROR(VLOOKUP(10,'1_入力シート【基本情報】'!$DU$319:$DX$534,3,FALSE),"")</f>
        <v/>
      </c>
      <c r="E273" s="3019"/>
      <c r="F273" s="3019"/>
      <c r="G273" s="3019"/>
      <c r="H273" s="3019"/>
      <c r="I273" s="3019"/>
      <c r="J273" s="3020"/>
      <c r="K273" s="3040" t="str">
        <f>IFERROR(VLOOKUP(10,'1_入力シート【基本情報】'!$DU$319:$DX$534,4,FALSE),"")</f>
        <v/>
      </c>
      <c r="L273" s="3041"/>
      <c r="M273" s="3041"/>
      <c r="N273" s="3041"/>
      <c r="O273" s="3041"/>
      <c r="P273" s="3041"/>
      <c r="Q273" s="3041"/>
      <c r="R273" s="3041"/>
      <c r="S273" s="3041"/>
      <c r="T273" s="3041"/>
      <c r="U273" s="3041"/>
      <c r="V273" s="3041"/>
      <c r="W273" s="3041"/>
      <c r="X273" s="3041"/>
      <c r="Y273" s="3041"/>
      <c r="Z273" s="3041"/>
      <c r="AA273" s="3041"/>
      <c r="AB273" s="3041"/>
      <c r="AC273" s="3041"/>
      <c r="AD273" s="3041"/>
      <c r="AE273" s="3041"/>
      <c r="AF273" s="3041"/>
      <c r="AG273" s="3041"/>
      <c r="AH273" s="3041"/>
      <c r="AI273" s="3042"/>
      <c r="AJ273" s="367"/>
      <c r="AK273" s="367"/>
      <c r="AL273" s="367"/>
      <c r="AM273" s="367"/>
      <c r="AN273" s="367"/>
      <c r="AO273" s="367"/>
      <c r="AP273" s="367"/>
      <c r="AQ273" s="367"/>
      <c r="AR273" s="367"/>
      <c r="AS273" s="367"/>
      <c r="AT273" s="367"/>
      <c r="AU273" s="368"/>
      <c r="AW273" s="197"/>
      <c r="AX273" s="197"/>
    </row>
    <row r="274" spans="1:53" ht="15.75" customHeight="1" thickBot="1" x14ac:dyDescent="0.2">
      <c r="A274" s="3031"/>
      <c r="B274" s="3032"/>
      <c r="C274" s="3033"/>
      <c r="D274" s="3021"/>
      <c r="E274" s="3022"/>
      <c r="F274" s="3022"/>
      <c r="G274" s="3022"/>
      <c r="H274" s="3022"/>
      <c r="I274" s="3022"/>
      <c r="J274" s="3023"/>
      <c r="K274" s="3043"/>
      <c r="L274" s="3044"/>
      <c r="M274" s="3044"/>
      <c r="N274" s="3044"/>
      <c r="O274" s="3044"/>
      <c r="P274" s="3044"/>
      <c r="Q274" s="3044"/>
      <c r="R274" s="3044"/>
      <c r="S274" s="3044"/>
      <c r="T274" s="3044"/>
      <c r="U274" s="3044"/>
      <c r="V274" s="3044"/>
      <c r="W274" s="3044"/>
      <c r="X274" s="3044"/>
      <c r="Y274" s="3044"/>
      <c r="Z274" s="3044"/>
      <c r="AA274" s="3044"/>
      <c r="AB274" s="3044"/>
      <c r="AC274" s="3044"/>
      <c r="AD274" s="3044"/>
      <c r="AE274" s="3044"/>
      <c r="AF274" s="3044"/>
      <c r="AG274" s="3044"/>
      <c r="AH274" s="3044"/>
      <c r="AI274" s="3045"/>
      <c r="AJ274" s="367"/>
      <c r="AK274" s="367" t="str">
        <f>IF(D273&lt;&gt;"","☑","☐")</f>
        <v>☐</v>
      </c>
      <c r="AL274" s="367" t="s">
        <v>14</v>
      </c>
      <c r="AM274" s="367" t="s">
        <v>21</v>
      </c>
      <c r="AN274" s="367" t="s">
        <v>15</v>
      </c>
      <c r="AO274" s="367"/>
      <c r="AP274" s="426" t="s">
        <v>179</v>
      </c>
      <c r="AQ274" s="367" t="s">
        <v>27</v>
      </c>
      <c r="AR274" s="367" t="s">
        <v>23</v>
      </c>
      <c r="AS274" s="367" t="s">
        <v>13</v>
      </c>
      <c r="AT274" s="367"/>
      <c r="AU274" s="368"/>
      <c r="AW274" s="197"/>
      <c r="AX274" s="197"/>
      <c r="BA274" s="430" t="b">
        <f>AP274="☑"</f>
        <v>0</v>
      </c>
    </row>
    <row r="275" spans="1:53" ht="15.75" customHeight="1" x14ac:dyDescent="0.15">
      <c r="A275" s="3034"/>
      <c r="B275" s="3035"/>
      <c r="C275" s="3036"/>
      <c r="D275" s="3024"/>
      <c r="E275" s="3025"/>
      <c r="F275" s="3025"/>
      <c r="G275" s="3025"/>
      <c r="H275" s="3025"/>
      <c r="I275" s="3025"/>
      <c r="J275" s="3026"/>
      <c r="K275" s="3046"/>
      <c r="L275" s="3047"/>
      <c r="M275" s="3047"/>
      <c r="N275" s="3047"/>
      <c r="O275" s="3047"/>
      <c r="P275" s="3047"/>
      <c r="Q275" s="3047"/>
      <c r="R275" s="3047"/>
      <c r="S275" s="3047"/>
      <c r="T275" s="3047"/>
      <c r="U275" s="3047"/>
      <c r="V275" s="3047"/>
      <c r="W275" s="3047"/>
      <c r="X275" s="3047"/>
      <c r="Y275" s="3047"/>
      <c r="Z275" s="3047"/>
      <c r="AA275" s="3047"/>
      <c r="AB275" s="3047"/>
      <c r="AC275" s="3047"/>
      <c r="AD275" s="3047"/>
      <c r="AE275" s="3047"/>
      <c r="AF275" s="3047"/>
      <c r="AG275" s="3047"/>
      <c r="AH275" s="3047"/>
      <c r="AI275" s="3048"/>
      <c r="AJ275" s="369"/>
      <c r="AK275" s="369"/>
      <c r="AL275" s="369"/>
      <c r="AM275" s="369"/>
      <c r="AN275" s="369"/>
      <c r="AO275" s="369"/>
      <c r="AP275" s="369"/>
      <c r="AQ275" s="369"/>
      <c r="AR275" s="369"/>
      <c r="AS275" s="369"/>
      <c r="AT275" s="369"/>
      <c r="AU275" s="370"/>
      <c r="AW275" s="197"/>
      <c r="AX275" s="197"/>
    </row>
    <row r="276" spans="1:53" ht="15.75" customHeight="1" x14ac:dyDescent="0.15">
      <c r="A276" s="2"/>
      <c r="B276" s="335"/>
      <c r="C276" s="335"/>
      <c r="D276" s="335"/>
      <c r="E276" s="335"/>
      <c r="F276" s="335"/>
      <c r="G276" s="335"/>
      <c r="H276" s="335"/>
      <c r="I276" s="335"/>
      <c r="J276" s="335"/>
      <c r="K276" s="335"/>
      <c r="L276" s="335"/>
      <c r="M276" s="335"/>
      <c r="N276" s="335"/>
      <c r="O276" s="335"/>
      <c r="P276" s="335"/>
      <c r="Q276" s="335"/>
      <c r="R276" s="335"/>
      <c r="S276" s="335"/>
      <c r="T276" s="335"/>
      <c r="U276" s="335"/>
      <c r="V276" s="335"/>
      <c r="W276" s="335"/>
      <c r="X276" s="335"/>
      <c r="Y276" s="3"/>
      <c r="Z276" s="47"/>
      <c r="AA276" s="48" t="s">
        <v>11</v>
      </c>
      <c r="AB276" s="48" t="s">
        <v>10</v>
      </c>
      <c r="AC276" s="48" t="s">
        <v>16</v>
      </c>
      <c r="AD276" s="48" t="s">
        <v>9</v>
      </c>
      <c r="AE276" s="48"/>
      <c r="AF276" s="48"/>
      <c r="AG276" s="48"/>
      <c r="AH276" s="48"/>
      <c r="AI276" s="48"/>
      <c r="AJ276" s="49"/>
      <c r="AK276" s="49"/>
      <c r="AL276" s="49"/>
      <c r="AM276" s="49"/>
      <c r="AN276" s="49"/>
      <c r="AO276" s="49"/>
      <c r="AP276" s="49"/>
      <c r="AQ276" s="49"/>
      <c r="AR276" s="49"/>
      <c r="AS276" s="49"/>
      <c r="AT276" s="49"/>
      <c r="AU276" s="334"/>
      <c r="AW276" s="197"/>
      <c r="AX276" s="197"/>
    </row>
    <row r="277" spans="1:53" ht="15.75" customHeight="1" x14ac:dyDescent="0.15">
      <c r="A277" s="2"/>
      <c r="B277" s="335"/>
      <c r="C277" s="335"/>
      <c r="D277" s="335"/>
      <c r="E277" s="335"/>
      <c r="F277" s="335"/>
      <c r="G277" s="335"/>
      <c r="H277" s="335"/>
      <c r="I277" s="335"/>
      <c r="J277" s="335"/>
      <c r="K277" s="335"/>
      <c r="L277" s="335"/>
      <c r="M277" s="335"/>
      <c r="N277" s="335"/>
      <c r="O277" s="335"/>
      <c r="P277" s="335"/>
      <c r="Q277" s="335"/>
      <c r="R277" s="335"/>
      <c r="S277" s="335"/>
      <c r="T277" s="335"/>
      <c r="U277" s="335"/>
      <c r="V277" s="335"/>
      <c r="W277" s="335"/>
      <c r="X277" s="335"/>
      <c r="Y277" s="3"/>
      <c r="Z277" s="3010"/>
      <c r="AA277" s="3011"/>
      <c r="AB277" s="3011"/>
      <c r="AC277" s="3011"/>
      <c r="AD277" s="3011"/>
      <c r="AE277" s="3011"/>
      <c r="AF277" s="3011"/>
      <c r="AG277" s="3011"/>
      <c r="AH277" s="3011"/>
      <c r="AI277" s="3011"/>
      <c r="AJ277" s="3011"/>
      <c r="AK277" s="3011"/>
      <c r="AL277" s="3011"/>
      <c r="AM277" s="3011"/>
      <c r="AN277" s="3011"/>
      <c r="AO277" s="104"/>
      <c r="AP277" s="104"/>
      <c r="AQ277" s="104"/>
      <c r="AR277" s="104"/>
      <c r="AS277" s="104"/>
      <c r="AT277" s="104"/>
      <c r="AU277" s="105"/>
      <c r="AW277" s="197"/>
      <c r="AX277" s="197"/>
    </row>
    <row r="278" spans="1:53" ht="15.75" customHeight="1" x14ac:dyDescent="0.15">
      <c r="A278" s="2"/>
      <c r="B278" s="335"/>
      <c r="C278" s="335"/>
      <c r="D278" s="335"/>
      <c r="E278" s="335"/>
      <c r="F278" s="335"/>
      <c r="G278" s="335"/>
      <c r="H278" s="335"/>
      <c r="I278" s="335"/>
      <c r="J278" s="335"/>
      <c r="K278" s="335"/>
      <c r="L278" s="335"/>
      <c r="M278" s="335"/>
      <c r="N278" s="335"/>
      <c r="O278" s="335"/>
      <c r="P278" s="335"/>
      <c r="Q278" s="335"/>
      <c r="R278" s="335"/>
      <c r="S278" s="335"/>
      <c r="T278" s="335"/>
      <c r="U278" s="335"/>
      <c r="V278" s="335"/>
      <c r="W278" s="335"/>
      <c r="X278" s="335"/>
      <c r="Y278" s="3"/>
      <c r="Z278" s="2995" t="str">
        <f>IFERROR(VLOOKUP(10,'1_入力シート【基本情報】'!$DU$319:$DZ$534,5,FALSE),"")</f>
        <v/>
      </c>
      <c r="AA278" s="2996"/>
      <c r="AB278" s="2996"/>
      <c r="AC278" s="2996"/>
      <c r="AD278" s="2996"/>
      <c r="AE278" s="2996"/>
      <c r="AF278" s="2996"/>
      <c r="AG278" s="2996"/>
      <c r="AH278" s="2996"/>
      <c r="AI278" s="2996"/>
      <c r="AJ278" s="2996"/>
      <c r="AK278" s="2996"/>
      <c r="AL278" s="2996"/>
      <c r="AM278" s="2996"/>
      <c r="AN278" s="2996"/>
      <c r="AO278" s="2996"/>
      <c r="AP278" s="2996"/>
      <c r="AQ278" s="2996"/>
      <c r="AR278" s="2996"/>
      <c r="AS278" s="2996"/>
      <c r="AT278" s="2996"/>
      <c r="AU278" s="2997"/>
      <c r="AW278" s="197"/>
      <c r="AX278" s="197"/>
    </row>
    <row r="279" spans="1:53" ht="15.75" customHeight="1" x14ac:dyDescent="0.15">
      <c r="A279" s="2"/>
      <c r="B279" s="335"/>
      <c r="C279" s="335"/>
      <c r="D279" s="335"/>
      <c r="E279" s="335"/>
      <c r="F279" s="335"/>
      <c r="G279" s="335"/>
      <c r="H279" s="335"/>
      <c r="I279" s="335"/>
      <c r="J279" s="335"/>
      <c r="K279" s="335"/>
      <c r="L279" s="335"/>
      <c r="M279" s="335"/>
      <c r="N279" s="335"/>
      <c r="O279" s="335"/>
      <c r="P279" s="335"/>
      <c r="Q279" s="335"/>
      <c r="R279" s="335"/>
      <c r="S279" s="335"/>
      <c r="T279" s="335"/>
      <c r="U279" s="335"/>
      <c r="V279" s="335"/>
      <c r="W279" s="335"/>
      <c r="X279" s="335"/>
      <c r="Y279" s="3"/>
      <c r="Z279" s="2998"/>
      <c r="AA279" s="2999"/>
      <c r="AB279" s="2999"/>
      <c r="AC279" s="2999"/>
      <c r="AD279" s="2999"/>
      <c r="AE279" s="2999"/>
      <c r="AF279" s="2999"/>
      <c r="AG279" s="2999"/>
      <c r="AH279" s="2999"/>
      <c r="AI279" s="2999"/>
      <c r="AJ279" s="2999"/>
      <c r="AK279" s="2999"/>
      <c r="AL279" s="2999"/>
      <c r="AM279" s="2999"/>
      <c r="AN279" s="2999"/>
      <c r="AO279" s="2999"/>
      <c r="AP279" s="2999"/>
      <c r="AQ279" s="2999"/>
      <c r="AR279" s="2999"/>
      <c r="AS279" s="2999"/>
      <c r="AT279" s="2999"/>
      <c r="AU279" s="3000"/>
      <c r="AW279" s="197"/>
      <c r="AX279" s="197"/>
    </row>
    <row r="280" spans="1:53" ht="15.75" customHeight="1" x14ac:dyDescent="0.15">
      <c r="A280" s="2"/>
      <c r="B280" s="335"/>
      <c r="C280" s="335"/>
      <c r="D280" s="335"/>
      <c r="E280" s="335"/>
      <c r="F280" s="335"/>
      <c r="G280" s="335"/>
      <c r="H280" s="335"/>
      <c r="I280" s="335"/>
      <c r="J280" s="335"/>
      <c r="K280" s="335"/>
      <c r="L280" s="335"/>
      <c r="M280" s="335"/>
      <c r="N280" s="335"/>
      <c r="O280" s="335"/>
      <c r="P280" s="335"/>
      <c r="Q280" s="335"/>
      <c r="R280" s="335"/>
      <c r="S280" s="335"/>
      <c r="T280" s="335"/>
      <c r="U280" s="335"/>
      <c r="V280" s="335"/>
      <c r="W280" s="335"/>
      <c r="X280" s="335"/>
      <c r="Y280" s="3"/>
      <c r="Z280" s="3001"/>
      <c r="AA280" s="3002"/>
      <c r="AB280" s="3002"/>
      <c r="AC280" s="3002"/>
      <c r="AD280" s="3002"/>
      <c r="AE280" s="3002"/>
      <c r="AF280" s="3002"/>
      <c r="AG280" s="3002"/>
      <c r="AH280" s="3002"/>
      <c r="AI280" s="3002"/>
      <c r="AJ280" s="3002"/>
      <c r="AK280" s="3002"/>
      <c r="AL280" s="3002"/>
      <c r="AM280" s="3002"/>
      <c r="AN280" s="3002"/>
      <c r="AO280" s="3002"/>
      <c r="AP280" s="3002"/>
      <c r="AQ280" s="3002"/>
      <c r="AR280" s="3002"/>
      <c r="AS280" s="3002"/>
      <c r="AT280" s="3002"/>
      <c r="AU280" s="3003"/>
      <c r="AW280" s="197"/>
      <c r="AX280" s="197"/>
    </row>
    <row r="281" spans="1:53" ht="15.75" customHeight="1" x14ac:dyDescent="0.15">
      <c r="A281" s="2"/>
      <c r="B281" s="371"/>
      <c r="C281" s="371"/>
      <c r="D281" s="371"/>
      <c r="E281" s="371"/>
      <c r="F281" s="371"/>
      <c r="G281" s="371"/>
      <c r="H281" s="371"/>
      <c r="I281" s="371"/>
      <c r="J281" s="371"/>
      <c r="K281" s="371"/>
      <c r="L281" s="371"/>
      <c r="M281" s="371"/>
      <c r="N281" s="371"/>
      <c r="O281" s="371"/>
      <c r="P281" s="371"/>
      <c r="Q281" s="371"/>
      <c r="R281" s="371"/>
      <c r="S281" s="371"/>
      <c r="T281" s="371"/>
      <c r="U281" s="371"/>
      <c r="V281" s="371"/>
      <c r="W281" s="371"/>
      <c r="X281" s="371"/>
      <c r="Y281" s="3"/>
      <c r="Z281" s="3004"/>
      <c r="AA281" s="3005"/>
      <c r="AB281" s="3005"/>
      <c r="AC281" s="3005"/>
      <c r="AD281" s="3005"/>
      <c r="AE281" s="3005"/>
      <c r="AF281" s="3005"/>
      <c r="AG281" s="3005"/>
      <c r="AH281" s="3005"/>
      <c r="AI281" s="3005"/>
      <c r="AJ281" s="3005"/>
      <c r="AK281" s="3005"/>
      <c r="AL281" s="3005"/>
      <c r="AM281" s="3005"/>
      <c r="AN281" s="3005"/>
      <c r="AO281" s="3005"/>
      <c r="AP281" s="3005"/>
      <c r="AQ281" s="3005"/>
      <c r="AR281" s="3005"/>
      <c r="AS281" s="3005"/>
      <c r="AT281" s="3005"/>
      <c r="AU281" s="3006"/>
      <c r="AW281" s="197"/>
      <c r="AX281" s="197"/>
    </row>
    <row r="282" spans="1:53" ht="15.75" customHeight="1" x14ac:dyDescent="0.15">
      <c r="A282" s="2"/>
      <c r="B282" s="371"/>
      <c r="C282" s="371"/>
      <c r="D282" s="371"/>
      <c r="E282" s="371"/>
      <c r="F282" s="371"/>
      <c r="G282" s="371"/>
      <c r="H282" s="371"/>
      <c r="I282" s="371"/>
      <c r="J282" s="371"/>
      <c r="K282" s="371"/>
      <c r="L282" s="371"/>
      <c r="M282" s="371"/>
      <c r="N282" s="371"/>
      <c r="O282" s="371"/>
      <c r="P282" s="371"/>
      <c r="Q282" s="371"/>
      <c r="R282" s="371"/>
      <c r="S282" s="371"/>
      <c r="T282" s="371"/>
      <c r="U282" s="371"/>
      <c r="V282" s="371"/>
      <c r="W282" s="371"/>
      <c r="X282" s="371"/>
      <c r="Y282" s="3"/>
      <c r="Z282" s="3004"/>
      <c r="AA282" s="3005"/>
      <c r="AB282" s="3005"/>
      <c r="AC282" s="3005"/>
      <c r="AD282" s="3005"/>
      <c r="AE282" s="3005"/>
      <c r="AF282" s="3005"/>
      <c r="AG282" s="3005"/>
      <c r="AH282" s="3005"/>
      <c r="AI282" s="3005"/>
      <c r="AJ282" s="3005"/>
      <c r="AK282" s="3005"/>
      <c r="AL282" s="3005"/>
      <c r="AM282" s="3005"/>
      <c r="AN282" s="3005"/>
      <c r="AO282" s="3005"/>
      <c r="AP282" s="3005"/>
      <c r="AQ282" s="3005"/>
      <c r="AR282" s="3005"/>
      <c r="AS282" s="3005"/>
      <c r="AT282" s="3005"/>
      <c r="AU282" s="3006"/>
      <c r="AW282" s="197"/>
      <c r="AX282" s="197"/>
    </row>
    <row r="283" spans="1:53" ht="15.75" customHeight="1" x14ac:dyDescent="0.15">
      <c r="A283" s="2"/>
      <c r="B283" s="371"/>
      <c r="C283" s="371"/>
      <c r="D283" s="371"/>
      <c r="E283" s="371"/>
      <c r="F283" s="371"/>
      <c r="G283" s="371"/>
      <c r="H283" s="371"/>
      <c r="I283" s="371"/>
      <c r="J283" s="371"/>
      <c r="K283" s="371"/>
      <c r="L283" s="371"/>
      <c r="M283" s="371"/>
      <c r="N283" s="371"/>
      <c r="O283" s="371"/>
      <c r="P283" s="371"/>
      <c r="Q283" s="371"/>
      <c r="R283" s="371"/>
      <c r="S283" s="371"/>
      <c r="T283" s="371"/>
      <c r="U283" s="371"/>
      <c r="V283" s="371"/>
      <c r="W283" s="371"/>
      <c r="X283" s="371"/>
      <c r="Y283" s="3"/>
      <c r="Z283" s="3004"/>
      <c r="AA283" s="3005"/>
      <c r="AB283" s="3005"/>
      <c r="AC283" s="3005"/>
      <c r="AD283" s="3005"/>
      <c r="AE283" s="3005"/>
      <c r="AF283" s="3005"/>
      <c r="AG283" s="3005"/>
      <c r="AH283" s="3005"/>
      <c r="AI283" s="3005"/>
      <c r="AJ283" s="3005"/>
      <c r="AK283" s="3005"/>
      <c r="AL283" s="3005"/>
      <c r="AM283" s="3005"/>
      <c r="AN283" s="3005"/>
      <c r="AO283" s="3005"/>
      <c r="AP283" s="3005"/>
      <c r="AQ283" s="3005"/>
      <c r="AR283" s="3005"/>
      <c r="AS283" s="3005"/>
      <c r="AT283" s="3005"/>
      <c r="AU283" s="3006"/>
      <c r="AW283" s="197"/>
      <c r="AX283" s="197"/>
    </row>
    <row r="284" spans="1:53" ht="15.75" customHeight="1" x14ac:dyDescent="0.15">
      <c r="A284" s="2"/>
      <c r="B284" s="371"/>
      <c r="C284" s="371"/>
      <c r="D284" s="371"/>
      <c r="E284" s="371"/>
      <c r="F284" s="371"/>
      <c r="G284" s="371"/>
      <c r="H284" s="371"/>
      <c r="I284" s="371"/>
      <c r="J284" s="371"/>
      <c r="K284" s="3013" t="s">
        <v>157</v>
      </c>
      <c r="L284" s="3013"/>
      <c r="M284" s="3013"/>
      <c r="N284" s="3013"/>
      <c r="O284" s="3013"/>
      <c r="P284" s="3013"/>
      <c r="Q284" s="371"/>
      <c r="R284" s="371"/>
      <c r="S284" s="371"/>
      <c r="T284" s="371"/>
      <c r="U284" s="371"/>
      <c r="V284" s="371"/>
      <c r="W284" s="371"/>
      <c r="X284" s="371"/>
      <c r="Y284" s="3"/>
      <c r="Z284" s="3004"/>
      <c r="AA284" s="3005"/>
      <c r="AB284" s="3005"/>
      <c r="AC284" s="3005"/>
      <c r="AD284" s="3005"/>
      <c r="AE284" s="3005"/>
      <c r="AF284" s="3005"/>
      <c r="AG284" s="3005"/>
      <c r="AH284" s="3005"/>
      <c r="AI284" s="3005"/>
      <c r="AJ284" s="3005"/>
      <c r="AK284" s="3005"/>
      <c r="AL284" s="3005"/>
      <c r="AM284" s="3005"/>
      <c r="AN284" s="3005"/>
      <c r="AO284" s="3005"/>
      <c r="AP284" s="3005"/>
      <c r="AQ284" s="3005"/>
      <c r="AR284" s="3005"/>
      <c r="AS284" s="3005"/>
      <c r="AT284" s="3005"/>
      <c r="AU284" s="3006"/>
      <c r="AW284" s="197"/>
      <c r="AX284" s="197"/>
    </row>
    <row r="285" spans="1:53" ht="15.75" customHeight="1" x14ac:dyDescent="0.15">
      <c r="A285" s="2"/>
      <c r="B285" s="371"/>
      <c r="C285" s="371"/>
      <c r="D285" s="371"/>
      <c r="E285" s="371"/>
      <c r="F285" s="371"/>
      <c r="G285" s="371"/>
      <c r="H285" s="371"/>
      <c r="I285" s="371"/>
      <c r="J285" s="371"/>
      <c r="K285" s="371"/>
      <c r="L285" s="371"/>
      <c r="M285" s="371"/>
      <c r="N285" s="371"/>
      <c r="O285" s="371"/>
      <c r="P285" s="371"/>
      <c r="Q285" s="371"/>
      <c r="R285" s="371"/>
      <c r="S285" s="371"/>
      <c r="T285" s="371"/>
      <c r="U285" s="371"/>
      <c r="V285" s="371"/>
      <c r="W285" s="371"/>
      <c r="X285" s="371"/>
      <c r="Y285" s="3"/>
      <c r="Z285" s="3004"/>
      <c r="AA285" s="3005"/>
      <c r="AB285" s="3005"/>
      <c r="AC285" s="3005"/>
      <c r="AD285" s="3005"/>
      <c r="AE285" s="3005"/>
      <c r="AF285" s="3005"/>
      <c r="AG285" s="3005"/>
      <c r="AH285" s="3005"/>
      <c r="AI285" s="3005"/>
      <c r="AJ285" s="3005"/>
      <c r="AK285" s="3005"/>
      <c r="AL285" s="3005"/>
      <c r="AM285" s="3005"/>
      <c r="AN285" s="3005"/>
      <c r="AO285" s="3005"/>
      <c r="AP285" s="3005"/>
      <c r="AQ285" s="3005"/>
      <c r="AR285" s="3005"/>
      <c r="AS285" s="3005"/>
      <c r="AT285" s="3005"/>
      <c r="AU285" s="3006"/>
      <c r="AW285" s="197"/>
      <c r="AX285" s="197"/>
    </row>
    <row r="286" spans="1:53" ht="15.75" customHeight="1" x14ac:dyDescent="0.15">
      <c r="A286" s="2"/>
      <c r="B286" s="371"/>
      <c r="C286" s="371"/>
      <c r="D286" s="371"/>
      <c r="E286" s="371"/>
      <c r="F286" s="371"/>
      <c r="G286" s="371"/>
      <c r="H286" s="371"/>
      <c r="I286" s="371"/>
      <c r="J286" s="371"/>
      <c r="K286" s="371"/>
      <c r="L286" s="371"/>
      <c r="M286" s="371"/>
      <c r="N286" s="371"/>
      <c r="O286" s="371"/>
      <c r="P286" s="371"/>
      <c r="Q286" s="371"/>
      <c r="R286" s="371"/>
      <c r="S286" s="371"/>
      <c r="T286" s="371"/>
      <c r="U286" s="371"/>
      <c r="V286" s="371"/>
      <c r="W286" s="371"/>
      <c r="X286" s="371"/>
      <c r="Y286" s="3"/>
      <c r="Z286" s="3004"/>
      <c r="AA286" s="3005"/>
      <c r="AB286" s="3005"/>
      <c r="AC286" s="3005"/>
      <c r="AD286" s="3005"/>
      <c r="AE286" s="3005"/>
      <c r="AF286" s="3005"/>
      <c r="AG286" s="3005"/>
      <c r="AH286" s="3005"/>
      <c r="AI286" s="3005"/>
      <c r="AJ286" s="3005"/>
      <c r="AK286" s="3005"/>
      <c r="AL286" s="3005"/>
      <c r="AM286" s="3005"/>
      <c r="AN286" s="3005"/>
      <c r="AO286" s="3005"/>
      <c r="AP286" s="3005"/>
      <c r="AQ286" s="3005"/>
      <c r="AR286" s="3005"/>
      <c r="AS286" s="3005"/>
      <c r="AT286" s="3005"/>
      <c r="AU286" s="3006"/>
      <c r="AW286" s="197"/>
      <c r="AX286" s="197"/>
    </row>
    <row r="287" spans="1:53" ht="15.75" customHeight="1" x14ac:dyDescent="0.15">
      <c r="A287" s="2"/>
      <c r="B287" s="371"/>
      <c r="C287" s="371"/>
      <c r="D287" s="371"/>
      <c r="E287" s="371"/>
      <c r="F287" s="371"/>
      <c r="G287" s="371"/>
      <c r="H287" s="371"/>
      <c r="I287" s="371"/>
      <c r="J287" s="371"/>
      <c r="K287" s="371"/>
      <c r="L287" s="371"/>
      <c r="M287" s="371"/>
      <c r="N287" s="371"/>
      <c r="O287" s="371"/>
      <c r="P287" s="371"/>
      <c r="Q287" s="371"/>
      <c r="R287" s="371"/>
      <c r="S287" s="371"/>
      <c r="T287" s="371"/>
      <c r="U287" s="371"/>
      <c r="V287" s="371"/>
      <c r="W287" s="371"/>
      <c r="X287" s="371"/>
      <c r="Y287" s="3"/>
      <c r="Z287" s="3004"/>
      <c r="AA287" s="3005"/>
      <c r="AB287" s="3005"/>
      <c r="AC287" s="3005"/>
      <c r="AD287" s="3005"/>
      <c r="AE287" s="3005"/>
      <c r="AF287" s="3005"/>
      <c r="AG287" s="3005"/>
      <c r="AH287" s="3005"/>
      <c r="AI287" s="3005"/>
      <c r="AJ287" s="3005"/>
      <c r="AK287" s="3005"/>
      <c r="AL287" s="3005"/>
      <c r="AM287" s="3005"/>
      <c r="AN287" s="3005"/>
      <c r="AO287" s="3005"/>
      <c r="AP287" s="3005"/>
      <c r="AQ287" s="3005"/>
      <c r="AR287" s="3005"/>
      <c r="AS287" s="3005"/>
      <c r="AT287" s="3005"/>
      <c r="AU287" s="3006"/>
      <c r="AW287" s="197"/>
      <c r="AX287" s="197"/>
    </row>
    <row r="288" spans="1:53" ht="15.75" customHeight="1" x14ac:dyDescent="0.15">
      <c r="A288" s="2"/>
      <c r="B288" s="371"/>
      <c r="C288" s="371"/>
      <c r="D288" s="371"/>
      <c r="E288" s="371"/>
      <c r="F288" s="371"/>
      <c r="G288" s="371"/>
      <c r="H288" s="371"/>
      <c r="I288" s="371"/>
      <c r="J288" s="371"/>
      <c r="K288" s="371"/>
      <c r="L288" s="371"/>
      <c r="M288" s="371"/>
      <c r="N288" s="371"/>
      <c r="O288" s="371"/>
      <c r="P288" s="371"/>
      <c r="Q288" s="371"/>
      <c r="R288" s="371"/>
      <c r="S288" s="371"/>
      <c r="T288" s="371"/>
      <c r="U288" s="371"/>
      <c r="V288" s="371"/>
      <c r="W288" s="371"/>
      <c r="X288" s="371"/>
      <c r="Y288" s="3"/>
      <c r="Z288" s="3004"/>
      <c r="AA288" s="3005"/>
      <c r="AB288" s="3005"/>
      <c r="AC288" s="3005"/>
      <c r="AD288" s="3005"/>
      <c r="AE288" s="3005"/>
      <c r="AF288" s="3005"/>
      <c r="AG288" s="3005"/>
      <c r="AH288" s="3005"/>
      <c r="AI288" s="3005"/>
      <c r="AJ288" s="3005"/>
      <c r="AK288" s="3005"/>
      <c r="AL288" s="3005"/>
      <c r="AM288" s="3005"/>
      <c r="AN288" s="3005"/>
      <c r="AO288" s="3005"/>
      <c r="AP288" s="3005"/>
      <c r="AQ288" s="3005"/>
      <c r="AR288" s="3005"/>
      <c r="AS288" s="3005"/>
      <c r="AT288" s="3005"/>
      <c r="AU288" s="3006"/>
      <c r="AW288" s="197"/>
      <c r="AX288" s="197"/>
    </row>
    <row r="289" spans="1:50" ht="15.75" customHeight="1" x14ac:dyDescent="0.15">
      <c r="A289" s="2"/>
      <c r="B289" s="371"/>
      <c r="C289" s="371"/>
      <c r="D289" s="371"/>
      <c r="E289" s="371"/>
      <c r="F289" s="371"/>
      <c r="G289" s="371"/>
      <c r="H289" s="371"/>
      <c r="I289" s="371"/>
      <c r="J289" s="371"/>
      <c r="K289" s="371"/>
      <c r="L289" s="371"/>
      <c r="M289" s="371"/>
      <c r="N289" s="371"/>
      <c r="O289" s="371"/>
      <c r="P289" s="371"/>
      <c r="Q289" s="371"/>
      <c r="R289" s="371"/>
      <c r="S289" s="371"/>
      <c r="T289" s="371"/>
      <c r="U289" s="371"/>
      <c r="V289" s="371"/>
      <c r="W289" s="371"/>
      <c r="X289" s="371"/>
      <c r="Y289" s="3"/>
      <c r="Z289" s="3004"/>
      <c r="AA289" s="3005"/>
      <c r="AB289" s="3005"/>
      <c r="AC289" s="3005"/>
      <c r="AD289" s="3005"/>
      <c r="AE289" s="3005"/>
      <c r="AF289" s="3005"/>
      <c r="AG289" s="3005"/>
      <c r="AH289" s="3005"/>
      <c r="AI289" s="3005"/>
      <c r="AJ289" s="3005"/>
      <c r="AK289" s="3005"/>
      <c r="AL289" s="3005"/>
      <c r="AM289" s="3005"/>
      <c r="AN289" s="3005"/>
      <c r="AO289" s="3005"/>
      <c r="AP289" s="3005"/>
      <c r="AQ289" s="3005"/>
      <c r="AR289" s="3005"/>
      <c r="AS289" s="3005"/>
      <c r="AT289" s="3005"/>
      <c r="AU289" s="3006"/>
      <c r="AW289" s="197"/>
      <c r="AX289" s="197"/>
    </row>
    <row r="290" spans="1:50" ht="15.75" customHeight="1" x14ac:dyDescent="0.15">
      <c r="A290" s="2"/>
      <c r="B290" s="371"/>
      <c r="C290" s="371"/>
      <c r="D290" s="371"/>
      <c r="E290" s="371"/>
      <c r="F290" s="371"/>
      <c r="G290" s="371"/>
      <c r="H290" s="371"/>
      <c r="I290" s="371"/>
      <c r="J290" s="371"/>
      <c r="K290" s="371"/>
      <c r="L290" s="371"/>
      <c r="M290" s="371"/>
      <c r="N290" s="371"/>
      <c r="O290" s="371"/>
      <c r="P290" s="371"/>
      <c r="Q290" s="371"/>
      <c r="R290" s="371"/>
      <c r="S290" s="371"/>
      <c r="T290" s="371"/>
      <c r="U290" s="371"/>
      <c r="V290" s="371"/>
      <c r="W290" s="371"/>
      <c r="X290" s="371"/>
      <c r="Y290" s="3"/>
      <c r="Z290" s="3004"/>
      <c r="AA290" s="3005"/>
      <c r="AB290" s="3005"/>
      <c r="AC290" s="3005"/>
      <c r="AD290" s="3005"/>
      <c r="AE290" s="3005"/>
      <c r="AF290" s="3005"/>
      <c r="AG290" s="3005"/>
      <c r="AH290" s="3005"/>
      <c r="AI290" s="3005"/>
      <c r="AJ290" s="3005"/>
      <c r="AK290" s="3005"/>
      <c r="AL290" s="3005"/>
      <c r="AM290" s="3005"/>
      <c r="AN290" s="3005"/>
      <c r="AO290" s="3005"/>
      <c r="AP290" s="3005"/>
      <c r="AQ290" s="3005"/>
      <c r="AR290" s="3005"/>
      <c r="AS290" s="3005"/>
      <c r="AT290" s="3005"/>
      <c r="AU290" s="3006"/>
      <c r="AW290" s="197"/>
      <c r="AX290" s="197"/>
    </row>
    <row r="291" spans="1:50" ht="15.75" customHeight="1" x14ac:dyDescent="0.15">
      <c r="A291" s="2"/>
      <c r="B291" s="371"/>
      <c r="C291" s="371"/>
      <c r="D291" s="371"/>
      <c r="E291" s="371"/>
      <c r="F291" s="371"/>
      <c r="G291" s="371"/>
      <c r="H291" s="371"/>
      <c r="I291" s="371"/>
      <c r="J291" s="371"/>
      <c r="K291" s="371"/>
      <c r="L291" s="371"/>
      <c r="M291" s="371"/>
      <c r="N291" s="371"/>
      <c r="O291" s="371"/>
      <c r="P291" s="371"/>
      <c r="Q291" s="371"/>
      <c r="R291" s="371"/>
      <c r="S291" s="371"/>
      <c r="T291" s="371"/>
      <c r="U291" s="371"/>
      <c r="V291" s="371"/>
      <c r="W291" s="371"/>
      <c r="X291" s="371"/>
      <c r="Y291" s="3"/>
      <c r="Z291" s="3004"/>
      <c r="AA291" s="3005"/>
      <c r="AB291" s="3005"/>
      <c r="AC291" s="3005"/>
      <c r="AD291" s="3005"/>
      <c r="AE291" s="3005"/>
      <c r="AF291" s="3005"/>
      <c r="AG291" s="3005"/>
      <c r="AH291" s="3005"/>
      <c r="AI291" s="3005"/>
      <c r="AJ291" s="3005"/>
      <c r="AK291" s="3005"/>
      <c r="AL291" s="3005"/>
      <c r="AM291" s="3005"/>
      <c r="AN291" s="3005"/>
      <c r="AO291" s="3005"/>
      <c r="AP291" s="3005"/>
      <c r="AQ291" s="3005"/>
      <c r="AR291" s="3005"/>
      <c r="AS291" s="3005"/>
      <c r="AT291" s="3005"/>
      <c r="AU291" s="3006"/>
      <c r="AW291" s="197"/>
      <c r="AX291" s="197"/>
    </row>
    <row r="292" spans="1:50" ht="15.75" customHeight="1" x14ac:dyDescent="0.15">
      <c r="A292" s="2"/>
      <c r="B292" s="371"/>
      <c r="C292" s="371"/>
      <c r="D292" s="371"/>
      <c r="E292" s="371"/>
      <c r="F292" s="371"/>
      <c r="G292" s="371"/>
      <c r="H292" s="371"/>
      <c r="I292" s="371"/>
      <c r="J292" s="371"/>
      <c r="K292" s="371"/>
      <c r="L292" s="371"/>
      <c r="M292" s="371"/>
      <c r="N292" s="371"/>
      <c r="O292" s="371"/>
      <c r="P292" s="371"/>
      <c r="Q292" s="371"/>
      <c r="R292" s="371"/>
      <c r="S292" s="371"/>
      <c r="T292" s="371"/>
      <c r="U292" s="371"/>
      <c r="V292" s="371"/>
      <c r="W292" s="371"/>
      <c r="X292" s="371"/>
      <c r="Y292" s="3"/>
      <c r="Z292" s="3004"/>
      <c r="AA292" s="3005"/>
      <c r="AB292" s="3005"/>
      <c r="AC292" s="3005"/>
      <c r="AD292" s="3005"/>
      <c r="AE292" s="3005"/>
      <c r="AF292" s="3005"/>
      <c r="AG292" s="3005"/>
      <c r="AH292" s="3005"/>
      <c r="AI292" s="3005"/>
      <c r="AJ292" s="3005"/>
      <c r="AK292" s="3005"/>
      <c r="AL292" s="3005"/>
      <c r="AM292" s="3005"/>
      <c r="AN292" s="3005"/>
      <c r="AO292" s="3005"/>
      <c r="AP292" s="3005"/>
      <c r="AQ292" s="3005"/>
      <c r="AR292" s="3005"/>
      <c r="AS292" s="3005"/>
      <c r="AT292" s="3005"/>
      <c r="AU292" s="3006"/>
      <c r="AW292" s="197"/>
      <c r="AX292" s="197"/>
    </row>
    <row r="293" spans="1:50" ht="15.75" customHeight="1" x14ac:dyDescent="0.15">
      <c r="A293" s="6"/>
      <c r="B293" s="4"/>
      <c r="C293" s="4"/>
      <c r="D293" s="4"/>
      <c r="E293" s="4"/>
      <c r="F293" s="4"/>
      <c r="G293" s="4"/>
      <c r="H293" s="4"/>
      <c r="I293" s="4"/>
      <c r="J293" s="4"/>
      <c r="K293" s="4"/>
      <c r="L293" s="4"/>
      <c r="M293" s="4"/>
      <c r="N293" s="4"/>
      <c r="O293" s="4"/>
      <c r="P293" s="4"/>
      <c r="Q293" s="4"/>
      <c r="R293" s="4"/>
      <c r="S293" s="4"/>
      <c r="T293" s="4"/>
      <c r="U293" s="4"/>
      <c r="V293" s="4"/>
      <c r="W293" s="4"/>
      <c r="X293" s="4"/>
      <c r="Y293" s="5"/>
      <c r="Z293" s="3007"/>
      <c r="AA293" s="3008"/>
      <c r="AB293" s="3008"/>
      <c r="AC293" s="3008"/>
      <c r="AD293" s="3008"/>
      <c r="AE293" s="3008"/>
      <c r="AF293" s="3008"/>
      <c r="AG293" s="3008"/>
      <c r="AH293" s="3008"/>
      <c r="AI293" s="3008"/>
      <c r="AJ293" s="3008"/>
      <c r="AK293" s="3008"/>
      <c r="AL293" s="3008"/>
      <c r="AM293" s="3008"/>
      <c r="AN293" s="3008"/>
      <c r="AO293" s="3008"/>
      <c r="AP293" s="3008"/>
      <c r="AQ293" s="3008"/>
      <c r="AR293" s="3008"/>
      <c r="AS293" s="3008"/>
      <c r="AT293" s="3008"/>
      <c r="AU293" s="3009"/>
      <c r="AW293" s="197"/>
      <c r="AX293" s="197"/>
    </row>
    <row r="294" spans="1:50" ht="12.75" customHeight="1" x14ac:dyDescent="0.15">
      <c r="AW294" s="197"/>
      <c r="AX294" s="197"/>
    </row>
    <row r="295" spans="1:50" ht="12.75" customHeight="1" x14ac:dyDescent="0.15">
      <c r="A295" s="3027" t="s">
        <v>150</v>
      </c>
      <c r="B295" s="3027"/>
      <c r="C295" s="3027"/>
      <c r="D295" s="3027"/>
      <c r="AU295" s="337"/>
      <c r="AW295" s="197"/>
      <c r="AX295" s="197"/>
    </row>
    <row r="296" spans="1:50" ht="12.75" customHeight="1" x14ac:dyDescent="0.15">
      <c r="B296" s="338" t="s">
        <v>151</v>
      </c>
      <c r="C296" s="2993" t="s">
        <v>169</v>
      </c>
      <c r="D296" s="2993"/>
      <c r="E296" s="2993"/>
      <c r="F296" s="2993"/>
      <c r="G296" s="2993"/>
      <c r="H296" s="2993"/>
      <c r="I296" s="2993"/>
      <c r="J296" s="2993"/>
      <c r="K296" s="2993"/>
      <c r="L296" s="2993"/>
      <c r="M296" s="2993"/>
      <c r="N296" s="2993"/>
      <c r="O296" s="2993"/>
      <c r="P296" s="2993"/>
      <c r="Q296" s="2993"/>
      <c r="R296" s="2993"/>
      <c r="S296" s="2993"/>
      <c r="T296" s="2993"/>
      <c r="U296" s="2993"/>
      <c r="V296" s="2993"/>
      <c r="W296" s="2993"/>
      <c r="X296" s="2993"/>
      <c r="Y296" s="2993"/>
      <c r="Z296" s="2993"/>
      <c r="AA296" s="2993"/>
      <c r="AB296" s="2993"/>
      <c r="AC296" s="2993"/>
      <c r="AD296" s="2993"/>
      <c r="AE296" s="2993"/>
      <c r="AF296" s="2993"/>
      <c r="AG296" s="2993"/>
      <c r="AH296" s="2993"/>
      <c r="AI296" s="2993"/>
      <c r="AJ296" s="2993"/>
      <c r="AK296" s="2993"/>
      <c r="AL296" s="2993"/>
      <c r="AM296" s="2993"/>
      <c r="AN296" s="2993"/>
      <c r="AO296" s="2993"/>
      <c r="AP296" s="2993"/>
      <c r="AQ296" s="2993"/>
      <c r="AR296" s="2993"/>
      <c r="AS296" s="2993"/>
      <c r="AT296" s="2993"/>
      <c r="AU296" s="2993"/>
      <c r="AW296" s="197"/>
      <c r="AX296" s="197"/>
    </row>
    <row r="297" spans="1:50" ht="12.75" customHeight="1" x14ac:dyDescent="0.15">
      <c r="B297" s="338"/>
      <c r="C297" s="2994" t="s">
        <v>170</v>
      </c>
      <c r="D297" s="2994"/>
      <c r="E297" s="2994"/>
      <c r="F297" s="2994"/>
      <c r="G297" s="2994"/>
      <c r="H297" s="2994"/>
      <c r="I297" s="2994"/>
      <c r="J297" s="2994"/>
      <c r="K297" s="2994"/>
      <c r="L297" s="2994"/>
      <c r="M297" s="2994"/>
      <c r="N297" s="2994"/>
      <c r="O297" s="2994"/>
      <c r="P297" s="2994"/>
      <c r="Q297" s="2994"/>
      <c r="R297" s="2994"/>
      <c r="S297" s="2994"/>
      <c r="T297" s="2994"/>
      <c r="U297" s="2994"/>
      <c r="V297" s="2994"/>
      <c r="W297" s="2994"/>
      <c r="X297" s="2994"/>
      <c r="Y297" s="2994"/>
      <c r="Z297" s="2994"/>
      <c r="AA297" s="2994"/>
      <c r="AB297" s="2994"/>
      <c r="AC297" s="2994"/>
      <c r="AD297" s="2994"/>
      <c r="AE297" s="2994"/>
      <c r="AF297" s="2994"/>
      <c r="AG297" s="2994"/>
      <c r="AH297" s="2994"/>
      <c r="AI297" s="2994"/>
      <c r="AJ297" s="2994"/>
      <c r="AK297" s="2994"/>
      <c r="AL297" s="2994"/>
      <c r="AM297" s="2994"/>
      <c r="AN297" s="2994"/>
      <c r="AO297" s="2994"/>
      <c r="AP297" s="2994"/>
      <c r="AQ297" s="2994"/>
      <c r="AR297" s="2994"/>
      <c r="AS297" s="2994"/>
      <c r="AT297" s="2994"/>
      <c r="AU297" s="2994"/>
      <c r="AW297" s="197"/>
      <c r="AX297" s="197"/>
    </row>
    <row r="298" spans="1:50" ht="12.75" customHeight="1" x14ac:dyDescent="0.15">
      <c r="B298" s="338"/>
      <c r="C298" s="2994" t="s">
        <v>171</v>
      </c>
      <c r="D298" s="2994"/>
      <c r="E298" s="2994"/>
      <c r="F298" s="2994"/>
      <c r="G298" s="2994"/>
      <c r="H298" s="2994"/>
      <c r="I298" s="2994"/>
      <c r="J298" s="2994"/>
      <c r="K298" s="2994"/>
      <c r="L298" s="2994"/>
      <c r="M298" s="2994"/>
      <c r="N298" s="2994"/>
      <c r="O298" s="2994"/>
      <c r="P298" s="2994"/>
      <c r="Q298" s="2994"/>
      <c r="R298" s="2994"/>
      <c r="S298" s="2994"/>
      <c r="T298" s="2994"/>
      <c r="U298" s="2994"/>
      <c r="V298" s="2994"/>
      <c r="W298" s="2994"/>
      <c r="X298" s="2994"/>
      <c r="Y298" s="2994"/>
      <c r="Z298" s="2994"/>
      <c r="AA298" s="2994"/>
      <c r="AB298" s="2994"/>
      <c r="AC298" s="2994"/>
      <c r="AD298" s="2994"/>
      <c r="AE298" s="2994"/>
      <c r="AF298" s="2994"/>
      <c r="AG298" s="2994"/>
      <c r="AH298" s="2994"/>
      <c r="AI298" s="2994"/>
      <c r="AJ298" s="2994"/>
      <c r="AK298" s="2994"/>
      <c r="AL298" s="2994"/>
      <c r="AM298" s="2994"/>
      <c r="AN298" s="2994"/>
      <c r="AO298" s="2994"/>
      <c r="AP298" s="2994"/>
      <c r="AQ298" s="2994"/>
      <c r="AR298" s="2994"/>
      <c r="AS298" s="2994"/>
      <c r="AT298" s="2994"/>
      <c r="AU298" s="2994"/>
      <c r="AW298" s="197"/>
      <c r="AX298" s="197"/>
    </row>
    <row r="299" spans="1:50" ht="12.75" customHeight="1" x14ac:dyDescent="0.15">
      <c r="B299" s="338" t="s">
        <v>158</v>
      </c>
      <c r="C299" s="2994" t="s">
        <v>159</v>
      </c>
      <c r="D299" s="2994"/>
      <c r="E299" s="2994"/>
      <c r="F299" s="2994"/>
      <c r="G299" s="2994"/>
      <c r="H299" s="2994"/>
      <c r="I299" s="2994"/>
      <c r="J299" s="2994"/>
      <c r="K299" s="2994"/>
      <c r="L299" s="2994"/>
      <c r="M299" s="2994"/>
      <c r="N299" s="2994"/>
      <c r="O299" s="2994"/>
      <c r="P299" s="2994"/>
      <c r="Q299" s="2994"/>
      <c r="R299" s="2994"/>
      <c r="S299" s="2994"/>
      <c r="T299" s="2994"/>
      <c r="U299" s="2994"/>
      <c r="V299" s="2994"/>
      <c r="W299" s="2994"/>
      <c r="X299" s="2994"/>
      <c r="Y299" s="2994"/>
      <c r="Z299" s="2994"/>
      <c r="AA299" s="2994"/>
      <c r="AB299" s="2994"/>
      <c r="AC299" s="2994"/>
      <c r="AD299" s="2994"/>
      <c r="AE299" s="2994"/>
      <c r="AF299" s="2994"/>
      <c r="AG299" s="2994"/>
      <c r="AH299" s="2994"/>
      <c r="AI299" s="2994"/>
      <c r="AJ299" s="2994"/>
      <c r="AK299" s="2994"/>
      <c r="AL299" s="2994"/>
      <c r="AM299" s="2994"/>
      <c r="AN299" s="2994"/>
      <c r="AO299" s="2994"/>
      <c r="AP299" s="2994"/>
      <c r="AQ299" s="2994"/>
      <c r="AR299" s="2994"/>
      <c r="AS299" s="2994"/>
      <c r="AT299" s="2994"/>
      <c r="AU299" s="2994"/>
      <c r="AW299" s="197"/>
      <c r="AX299" s="197"/>
    </row>
    <row r="300" spans="1:50" ht="12.75" customHeight="1" x14ac:dyDescent="0.15">
      <c r="B300" s="338" t="s">
        <v>152</v>
      </c>
      <c r="C300" s="2994" t="s">
        <v>0</v>
      </c>
      <c r="D300" s="2994"/>
      <c r="E300" s="2994"/>
      <c r="F300" s="2994"/>
      <c r="G300" s="2994"/>
      <c r="H300" s="2994"/>
      <c r="I300" s="2994"/>
      <c r="J300" s="2994"/>
      <c r="K300" s="2994"/>
      <c r="L300" s="2994"/>
      <c r="M300" s="2994"/>
      <c r="N300" s="2994"/>
      <c r="O300" s="2994"/>
      <c r="P300" s="2994"/>
      <c r="Q300" s="2994"/>
      <c r="R300" s="2994"/>
      <c r="S300" s="2994"/>
      <c r="T300" s="2994"/>
      <c r="U300" s="2994"/>
      <c r="V300" s="2994"/>
      <c r="W300" s="2994"/>
      <c r="X300" s="2994"/>
      <c r="Y300" s="2994"/>
      <c r="Z300" s="2994"/>
      <c r="AA300" s="2994"/>
      <c r="AB300" s="2994"/>
      <c r="AC300" s="2994"/>
      <c r="AD300" s="2994"/>
      <c r="AE300" s="2994"/>
      <c r="AF300" s="2994"/>
      <c r="AG300" s="2994"/>
      <c r="AH300" s="2994"/>
      <c r="AI300" s="2994"/>
      <c r="AJ300" s="2994"/>
      <c r="AK300" s="2994"/>
      <c r="AL300" s="2994"/>
      <c r="AM300" s="2994"/>
      <c r="AN300" s="2994"/>
      <c r="AO300" s="2994"/>
      <c r="AP300" s="2994"/>
      <c r="AQ300" s="2994"/>
      <c r="AR300" s="2994"/>
      <c r="AS300" s="2994"/>
      <c r="AT300" s="2994"/>
      <c r="AU300" s="2994"/>
      <c r="AW300" s="197"/>
      <c r="AX300" s="197"/>
    </row>
    <row r="301" spans="1:50" ht="12.75" customHeight="1" x14ac:dyDescent="0.15">
      <c r="B301" s="338" t="s">
        <v>160</v>
      </c>
      <c r="C301" s="2994" t="s">
        <v>172</v>
      </c>
      <c r="D301" s="2994"/>
      <c r="E301" s="2994"/>
      <c r="F301" s="2994"/>
      <c r="G301" s="2994"/>
      <c r="H301" s="2994"/>
      <c r="I301" s="2994"/>
      <c r="J301" s="2994"/>
      <c r="K301" s="2994"/>
      <c r="L301" s="2994"/>
      <c r="M301" s="2994"/>
      <c r="N301" s="2994"/>
      <c r="O301" s="2994"/>
      <c r="P301" s="2994"/>
      <c r="Q301" s="2994"/>
      <c r="R301" s="2994"/>
      <c r="S301" s="2994"/>
      <c r="T301" s="2994"/>
      <c r="U301" s="2994"/>
      <c r="V301" s="2994"/>
      <c r="W301" s="2994"/>
      <c r="X301" s="2994"/>
      <c r="Y301" s="2994"/>
      <c r="Z301" s="2994"/>
      <c r="AA301" s="2994"/>
      <c r="AB301" s="2994"/>
      <c r="AC301" s="2994"/>
      <c r="AD301" s="2994"/>
      <c r="AE301" s="2994"/>
      <c r="AF301" s="2994"/>
      <c r="AG301" s="2994"/>
      <c r="AH301" s="2994"/>
      <c r="AI301" s="2994"/>
      <c r="AJ301" s="2994"/>
      <c r="AK301" s="2994"/>
      <c r="AL301" s="2994"/>
      <c r="AM301" s="2994"/>
      <c r="AN301" s="2994"/>
      <c r="AO301" s="2994"/>
      <c r="AP301" s="2994"/>
      <c r="AQ301" s="2994"/>
      <c r="AR301" s="2994"/>
      <c r="AS301" s="2994"/>
      <c r="AT301" s="2994"/>
      <c r="AU301" s="2994"/>
      <c r="AW301" s="197"/>
      <c r="AX301" s="197"/>
    </row>
    <row r="302" spans="1:50" ht="12.75" customHeight="1" x14ac:dyDescent="0.15">
      <c r="C302" s="2994" t="s">
        <v>173</v>
      </c>
      <c r="D302" s="2994"/>
      <c r="E302" s="2994"/>
      <c r="F302" s="2994"/>
      <c r="G302" s="2994"/>
      <c r="H302" s="2994"/>
      <c r="I302" s="2994"/>
      <c r="J302" s="2994"/>
      <c r="K302" s="2994"/>
      <c r="L302" s="2994"/>
      <c r="M302" s="2994"/>
      <c r="N302" s="2994"/>
      <c r="O302" s="2994"/>
      <c r="P302" s="2994"/>
      <c r="Q302" s="2994"/>
      <c r="R302" s="2994"/>
      <c r="S302" s="2994"/>
      <c r="T302" s="2994"/>
      <c r="U302" s="2994"/>
      <c r="V302" s="2994"/>
      <c r="W302" s="2994"/>
      <c r="X302" s="2994"/>
      <c r="Y302" s="2994"/>
      <c r="Z302" s="2994"/>
      <c r="AA302" s="2994"/>
      <c r="AB302" s="2994"/>
      <c r="AC302" s="2994"/>
      <c r="AD302" s="2994"/>
      <c r="AE302" s="2994"/>
      <c r="AF302" s="2994"/>
      <c r="AG302" s="2994"/>
      <c r="AH302" s="2994"/>
      <c r="AI302" s="2994"/>
      <c r="AJ302" s="2994"/>
      <c r="AK302" s="2994"/>
      <c r="AL302" s="2994"/>
      <c r="AM302" s="2994"/>
      <c r="AN302" s="2994"/>
      <c r="AO302" s="2994"/>
      <c r="AP302" s="2994"/>
      <c r="AQ302" s="2994"/>
      <c r="AR302" s="2994"/>
      <c r="AS302" s="2994"/>
      <c r="AT302" s="2994"/>
      <c r="AU302" s="2994"/>
      <c r="AW302" s="197"/>
      <c r="AX302" s="197"/>
    </row>
    <row r="303" spans="1:50" ht="12.75" customHeight="1" x14ac:dyDescent="0.15">
      <c r="B303" s="338" t="s">
        <v>1</v>
      </c>
      <c r="C303" s="2994" t="s">
        <v>2</v>
      </c>
      <c r="D303" s="2994"/>
      <c r="E303" s="2994"/>
      <c r="F303" s="2994"/>
      <c r="G303" s="2994"/>
      <c r="H303" s="2994"/>
      <c r="I303" s="2994"/>
      <c r="J303" s="2994"/>
      <c r="K303" s="2994"/>
      <c r="L303" s="2994"/>
      <c r="M303" s="2994"/>
      <c r="N303" s="2994"/>
      <c r="O303" s="2994"/>
      <c r="P303" s="2994"/>
      <c r="Q303" s="2994"/>
      <c r="R303" s="2994"/>
      <c r="S303" s="2994"/>
      <c r="T303" s="2994"/>
      <c r="U303" s="2994"/>
      <c r="V303" s="2994"/>
      <c r="W303" s="2994"/>
      <c r="X303" s="2994"/>
      <c r="Y303" s="2994"/>
      <c r="Z303" s="2994"/>
      <c r="AA303" s="2994"/>
      <c r="AB303" s="2994"/>
      <c r="AC303" s="2994"/>
      <c r="AD303" s="2994"/>
      <c r="AE303" s="2994"/>
      <c r="AF303" s="2994"/>
      <c r="AG303" s="2994"/>
      <c r="AH303" s="2994"/>
      <c r="AI303" s="2994"/>
      <c r="AJ303" s="2994"/>
      <c r="AK303" s="2994"/>
      <c r="AL303" s="2994"/>
      <c r="AM303" s="2994"/>
      <c r="AN303" s="2994"/>
      <c r="AO303" s="2994"/>
      <c r="AP303" s="2994"/>
      <c r="AQ303" s="2994"/>
      <c r="AR303" s="2994"/>
      <c r="AS303" s="2994"/>
      <c r="AT303" s="2994"/>
      <c r="AU303" s="2994"/>
      <c r="AW303" s="197"/>
      <c r="AX303" s="197"/>
    </row>
    <row r="304" spans="1:50" ht="12.75" customHeight="1" x14ac:dyDescent="0.15">
      <c r="AG304" s="337"/>
      <c r="AH304" s="337"/>
      <c r="AI304" s="337"/>
      <c r="AJ304" s="337"/>
      <c r="AK304" s="337"/>
      <c r="AL304" s="337"/>
      <c r="AM304" s="337"/>
      <c r="AN304" s="337"/>
      <c r="AO304" s="337"/>
      <c r="AP304" s="337"/>
      <c r="AQ304" s="337"/>
      <c r="AR304" s="337"/>
      <c r="AS304" s="337"/>
      <c r="AT304" s="337"/>
      <c r="AW304" s="197"/>
      <c r="AX304" s="197"/>
    </row>
    <row r="305" spans="1:53" ht="12.75" customHeight="1" x14ac:dyDescent="0.15">
      <c r="AW305" s="197"/>
      <c r="AX305" s="197"/>
    </row>
    <row r="306" spans="1:53" ht="12.75" customHeight="1" x14ac:dyDescent="0.15">
      <c r="A306" s="336" t="s">
        <v>18</v>
      </c>
      <c r="B306" s="336" t="s">
        <v>153</v>
      </c>
      <c r="C306" s="336">
        <v>2</v>
      </c>
      <c r="D306" s="336" t="s">
        <v>5</v>
      </c>
      <c r="E306" s="336" t="s">
        <v>6</v>
      </c>
      <c r="F306" s="336"/>
      <c r="G306" s="336" t="s">
        <v>25</v>
      </c>
      <c r="H306" s="336" t="s">
        <v>175</v>
      </c>
      <c r="I306" s="336">
        <v>4</v>
      </c>
      <c r="J306" s="336" t="s">
        <v>22</v>
      </c>
      <c r="AO306" s="423" t="str">
        <f>$AO$7</f>
        <v>Kyoto City（R7.7） ver.120</v>
      </c>
      <c r="AP306" s="387" t="str">
        <f>IF('1_入力シート【基本情報】'!$AB$7="","",'1_入力シート【基本情報】'!$AB$7)</f>
        <v/>
      </c>
      <c r="AQ306" s="386" t="str">
        <f>IF('1_入力シート【基本情報】'!$AK$7="","",'1_入力シート【基本情報】'!$AK$7)</f>
        <v/>
      </c>
      <c r="AR306" s="2990" t="str">
        <f>IF('1_入力シート【基本情報】'!$AT$7="","",TEXT('1_入力シート【基本情報】'!$AT$7,"0000"))</f>
        <v/>
      </c>
      <c r="AS306" s="2991"/>
      <c r="AT306" s="2991"/>
      <c r="AU306" s="2992"/>
      <c r="AW306" s="197"/>
      <c r="AX306" s="197"/>
    </row>
    <row r="307" spans="1:53" ht="12.75" customHeight="1" x14ac:dyDescent="0.15">
      <c r="D307" s="348"/>
      <c r="E307" s="348"/>
      <c r="F307" s="348"/>
      <c r="G307" s="348"/>
      <c r="H307" s="348"/>
      <c r="I307" s="348"/>
      <c r="J307" s="348"/>
      <c r="U307" s="3049" t="s">
        <v>174</v>
      </c>
      <c r="V307" s="3049"/>
      <c r="W307" s="3049"/>
      <c r="X307" s="3049"/>
      <c r="Y307" s="3049"/>
      <c r="Z307" s="3049"/>
      <c r="AW307" s="197"/>
      <c r="AX307" s="197"/>
    </row>
    <row r="308" spans="1:53" ht="12.75" customHeight="1" x14ac:dyDescent="0.15">
      <c r="AW308" s="197"/>
      <c r="AX308" s="197"/>
    </row>
    <row r="309" spans="1:53" ht="15.75" customHeight="1" x14ac:dyDescent="0.15">
      <c r="A309" s="3018" t="s">
        <v>154</v>
      </c>
      <c r="B309" s="3019"/>
      <c r="C309" s="3020"/>
      <c r="D309" s="3037" t="s">
        <v>155</v>
      </c>
      <c r="E309" s="3038"/>
      <c r="F309" s="3038"/>
      <c r="G309" s="3038"/>
      <c r="H309" s="3038"/>
      <c r="I309" s="3038"/>
      <c r="J309" s="3039"/>
      <c r="K309" s="340"/>
      <c r="L309" s="341"/>
      <c r="M309" s="341"/>
      <c r="N309" s="341"/>
      <c r="O309" s="341"/>
      <c r="P309" s="341"/>
      <c r="Q309" s="341"/>
      <c r="R309" s="341"/>
      <c r="S309" s="342" t="s">
        <v>7</v>
      </c>
      <c r="T309" s="342" t="s">
        <v>8</v>
      </c>
      <c r="U309" s="342" t="s">
        <v>9</v>
      </c>
      <c r="V309" s="342" t="s">
        <v>156</v>
      </c>
      <c r="W309" s="342"/>
      <c r="X309" s="342"/>
      <c r="Y309" s="342"/>
      <c r="Z309" s="342"/>
      <c r="AA309" s="342"/>
      <c r="AB309" s="342"/>
      <c r="AC309" s="342"/>
      <c r="AD309" s="342"/>
      <c r="AE309" s="342"/>
      <c r="AF309" s="342"/>
      <c r="AG309" s="342"/>
      <c r="AH309" s="342"/>
      <c r="AI309" s="343"/>
      <c r="AJ309" s="344"/>
      <c r="AK309" s="3038" t="s">
        <v>33</v>
      </c>
      <c r="AL309" s="3038"/>
      <c r="AM309" s="3038"/>
      <c r="AN309" s="3038"/>
      <c r="AO309" s="3038"/>
      <c r="AP309" s="3038"/>
      <c r="AQ309" s="3038"/>
      <c r="AR309" s="3038"/>
      <c r="AS309" s="3038"/>
      <c r="AT309" s="3038"/>
      <c r="AU309" s="345"/>
      <c r="AW309" s="197"/>
      <c r="AX309" s="197"/>
    </row>
    <row r="310" spans="1:53" ht="15.75" customHeight="1" thickBot="1" x14ac:dyDescent="0.2">
      <c r="A310" s="3031"/>
      <c r="B310" s="3032"/>
      <c r="C310" s="3033"/>
      <c r="D310" s="3018" t="str">
        <f>IFERROR(VLOOKUP(11,'1_入力シート【基本情報】'!$DU$319:$DX$534,3,FALSE),"")</f>
        <v/>
      </c>
      <c r="E310" s="3019"/>
      <c r="F310" s="3019"/>
      <c r="G310" s="3019"/>
      <c r="H310" s="3019"/>
      <c r="I310" s="3019"/>
      <c r="J310" s="3020"/>
      <c r="K310" s="3040" t="str">
        <f>IFERROR(VLOOKUP(11,'1_入力シート【基本情報】'!$DU$319:$DX$534,4,FALSE),"")</f>
        <v/>
      </c>
      <c r="L310" s="3041"/>
      <c r="M310" s="3041"/>
      <c r="N310" s="3041"/>
      <c r="O310" s="3041"/>
      <c r="P310" s="3041"/>
      <c r="Q310" s="3041"/>
      <c r="R310" s="3041"/>
      <c r="S310" s="3041"/>
      <c r="T310" s="3041"/>
      <c r="U310" s="3041"/>
      <c r="V310" s="3041"/>
      <c r="W310" s="3041"/>
      <c r="X310" s="3041"/>
      <c r="Y310" s="3041"/>
      <c r="Z310" s="3041"/>
      <c r="AA310" s="3041"/>
      <c r="AB310" s="3041"/>
      <c r="AC310" s="3041"/>
      <c r="AD310" s="3041"/>
      <c r="AE310" s="3041"/>
      <c r="AF310" s="3041"/>
      <c r="AG310" s="3041"/>
      <c r="AH310" s="3041"/>
      <c r="AI310" s="3042"/>
      <c r="AJ310" s="367"/>
      <c r="AK310" s="367"/>
      <c r="AL310" s="367"/>
      <c r="AM310" s="367"/>
      <c r="AN310" s="367"/>
      <c r="AO310" s="367"/>
      <c r="AP310" s="367"/>
      <c r="AQ310" s="367"/>
      <c r="AR310" s="367"/>
      <c r="AS310" s="367"/>
      <c r="AT310" s="367"/>
      <c r="AU310" s="368"/>
      <c r="AW310" s="197"/>
      <c r="AX310" s="197"/>
    </row>
    <row r="311" spans="1:53" ht="15.75" customHeight="1" thickBot="1" x14ac:dyDescent="0.2">
      <c r="A311" s="3031"/>
      <c r="B311" s="3032"/>
      <c r="C311" s="3033"/>
      <c r="D311" s="3021"/>
      <c r="E311" s="3022"/>
      <c r="F311" s="3022"/>
      <c r="G311" s="3022"/>
      <c r="H311" s="3022"/>
      <c r="I311" s="3022"/>
      <c r="J311" s="3023"/>
      <c r="K311" s="3043"/>
      <c r="L311" s="3044"/>
      <c r="M311" s="3044"/>
      <c r="N311" s="3044"/>
      <c r="O311" s="3044"/>
      <c r="P311" s="3044"/>
      <c r="Q311" s="3044"/>
      <c r="R311" s="3044"/>
      <c r="S311" s="3044"/>
      <c r="T311" s="3044"/>
      <c r="U311" s="3044"/>
      <c r="V311" s="3044"/>
      <c r="W311" s="3044"/>
      <c r="X311" s="3044"/>
      <c r="Y311" s="3044"/>
      <c r="Z311" s="3044"/>
      <c r="AA311" s="3044"/>
      <c r="AB311" s="3044"/>
      <c r="AC311" s="3044"/>
      <c r="AD311" s="3044"/>
      <c r="AE311" s="3044"/>
      <c r="AF311" s="3044"/>
      <c r="AG311" s="3044"/>
      <c r="AH311" s="3044"/>
      <c r="AI311" s="3045"/>
      <c r="AJ311" s="367"/>
      <c r="AK311" s="367" t="str">
        <f>IF(D310&lt;&gt;"","☑","☐")</f>
        <v>☐</v>
      </c>
      <c r="AL311" s="367" t="s">
        <v>14</v>
      </c>
      <c r="AM311" s="367" t="s">
        <v>21</v>
      </c>
      <c r="AN311" s="367" t="s">
        <v>15</v>
      </c>
      <c r="AO311" s="367"/>
      <c r="AP311" s="426" t="s">
        <v>179</v>
      </c>
      <c r="AQ311" s="367" t="s">
        <v>27</v>
      </c>
      <c r="AR311" s="367" t="s">
        <v>23</v>
      </c>
      <c r="AS311" s="367" t="s">
        <v>13</v>
      </c>
      <c r="AT311" s="367"/>
      <c r="AU311" s="368"/>
      <c r="AV311" s="346"/>
      <c r="AW311" s="197"/>
      <c r="AX311" s="197"/>
      <c r="BA311" s="430" t="b">
        <f>AP311="☑"</f>
        <v>0</v>
      </c>
    </row>
    <row r="312" spans="1:53" ht="15.75" customHeight="1" x14ac:dyDescent="0.15">
      <c r="A312" s="3034"/>
      <c r="B312" s="3035"/>
      <c r="C312" s="3036"/>
      <c r="D312" s="3024"/>
      <c r="E312" s="3025"/>
      <c r="F312" s="3025"/>
      <c r="G312" s="3025"/>
      <c r="H312" s="3025"/>
      <c r="I312" s="3025"/>
      <c r="J312" s="3026"/>
      <c r="K312" s="3046"/>
      <c r="L312" s="3047"/>
      <c r="M312" s="3047"/>
      <c r="N312" s="3047"/>
      <c r="O312" s="3047"/>
      <c r="P312" s="3047"/>
      <c r="Q312" s="3047"/>
      <c r="R312" s="3047"/>
      <c r="S312" s="3047"/>
      <c r="T312" s="3047"/>
      <c r="U312" s="3047"/>
      <c r="V312" s="3047"/>
      <c r="W312" s="3047"/>
      <c r="X312" s="3047"/>
      <c r="Y312" s="3047"/>
      <c r="Z312" s="3047"/>
      <c r="AA312" s="3047"/>
      <c r="AB312" s="3047"/>
      <c r="AC312" s="3047"/>
      <c r="AD312" s="3047"/>
      <c r="AE312" s="3047"/>
      <c r="AF312" s="3047"/>
      <c r="AG312" s="3047"/>
      <c r="AH312" s="3047"/>
      <c r="AI312" s="3048"/>
      <c r="AJ312" s="369"/>
      <c r="AK312" s="369"/>
      <c r="AL312" s="369"/>
      <c r="AM312" s="369"/>
      <c r="AN312" s="369"/>
      <c r="AO312" s="369"/>
      <c r="AP312" s="369"/>
      <c r="AQ312" s="369"/>
      <c r="AR312" s="369"/>
      <c r="AS312" s="369"/>
      <c r="AT312" s="369"/>
      <c r="AU312" s="370"/>
      <c r="AW312" s="197"/>
      <c r="AX312" s="197"/>
    </row>
    <row r="313" spans="1:53" ht="15.75" customHeight="1" x14ac:dyDescent="0.15">
      <c r="A313" s="2"/>
      <c r="B313" s="335"/>
      <c r="C313" s="335"/>
      <c r="D313" s="335"/>
      <c r="E313" s="335"/>
      <c r="F313" s="335"/>
      <c r="G313" s="335"/>
      <c r="H313" s="335"/>
      <c r="I313" s="335"/>
      <c r="J313" s="335"/>
      <c r="K313" s="335"/>
      <c r="L313" s="335"/>
      <c r="M313" s="335"/>
      <c r="N313" s="335"/>
      <c r="O313" s="335"/>
      <c r="P313" s="335"/>
      <c r="Q313" s="335"/>
      <c r="R313" s="335"/>
      <c r="S313" s="335"/>
      <c r="T313" s="335"/>
      <c r="U313" s="335"/>
      <c r="V313" s="335"/>
      <c r="W313" s="335"/>
      <c r="X313" s="335"/>
      <c r="Y313" s="3"/>
      <c r="Z313" s="47"/>
      <c r="AA313" s="48" t="s">
        <v>11</v>
      </c>
      <c r="AB313" s="48" t="s">
        <v>10</v>
      </c>
      <c r="AC313" s="48" t="s">
        <v>16</v>
      </c>
      <c r="AD313" s="48" t="s">
        <v>9</v>
      </c>
      <c r="AE313" s="48"/>
      <c r="AF313" s="48"/>
      <c r="AG313" s="48"/>
      <c r="AH313" s="48"/>
      <c r="AI313" s="48"/>
      <c r="AJ313" s="49"/>
      <c r="AK313" s="49"/>
      <c r="AL313" s="49"/>
      <c r="AM313" s="49"/>
      <c r="AN313" s="49"/>
      <c r="AO313" s="49"/>
      <c r="AP313" s="49"/>
      <c r="AQ313" s="49"/>
      <c r="AR313" s="49"/>
      <c r="AS313" s="49"/>
      <c r="AT313" s="49"/>
      <c r="AU313" s="50"/>
      <c r="AW313" s="197"/>
      <c r="AX313" s="197"/>
    </row>
    <row r="314" spans="1:53" ht="15.75" customHeight="1" x14ac:dyDescent="0.15">
      <c r="A314" s="2"/>
      <c r="B314" s="335"/>
      <c r="C314" s="335"/>
      <c r="D314" s="335"/>
      <c r="E314" s="335"/>
      <c r="F314" s="335"/>
      <c r="G314" s="335"/>
      <c r="H314" s="335"/>
      <c r="I314" s="335"/>
      <c r="J314" s="335"/>
      <c r="K314" s="335"/>
      <c r="L314" s="335"/>
      <c r="M314" s="335"/>
      <c r="N314" s="335"/>
      <c r="O314" s="335"/>
      <c r="P314" s="335"/>
      <c r="Q314" s="335"/>
      <c r="R314" s="335"/>
      <c r="S314" s="335"/>
      <c r="T314" s="335"/>
      <c r="U314" s="335"/>
      <c r="V314" s="335"/>
      <c r="W314" s="335"/>
      <c r="X314" s="335"/>
      <c r="Y314" s="3"/>
      <c r="Z314" s="3062"/>
      <c r="AA314" s="3063"/>
      <c r="AB314" s="3063"/>
      <c r="AC314" s="3063"/>
      <c r="AD314" s="3063"/>
      <c r="AE314" s="3063"/>
      <c r="AF314" s="3063"/>
      <c r="AG314" s="3063"/>
      <c r="AH314" s="3063"/>
      <c r="AI314" s="3063"/>
      <c r="AJ314" s="3063"/>
      <c r="AK314" s="3063"/>
      <c r="AL314" s="3063"/>
      <c r="AM314" s="3063"/>
      <c r="AN314" s="3063"/>
      <c r="AO314" s="51"/>
      <c r="AP314" s="51"/>
      <c r="AQ314" s="51"/>
      <c r="AR314" s="51"/>
      <c r="AS314" s="51"/>
      <c r="AT314" s="51"/>
      <c r="AU314" s="52"/>
      <c r="AW314" s="197"/>
      <c r="AX314" s="197"/>
    </row>
    <row r="315" spans="1:53" ht="15.75" customHeight="1" x14ac:dyDescent="0.15">
      <c r="A315" s="2"/>
      <c r="B315" s="335"/>
      <c r="C315" s="335"/>
      <c r="D315" s="335"/>
      <c r="E315" s="335"/>
      <c r="F315" s="335"/>
      <c r="G315" s="335"/>
      <c r="H315" s="335"/>
      <c r="I315" s="335"/>
      <c r="J315" s="335"/>
      <c r="K315" s="335"/>
      <c r="L315" s="335"/>
      <c r="M315" s="335"/>
      <c r="N315" s="335"/>
      <c r="O315" s="335"/>
      <c r="P315" s="335"/>
      <c r="Q315" s="335"/>
      <c r="R315" s="335"/>
      <c r="S315" s="335"/>
      <c r="T315" s="335"/>
      <c r="U315" s="335"/>
      <c r="V315" s="335"/>
      <c r="W315" s="335"/>
      <c r="X315" s="335"/>
      <c r="Y315" s="3"/>
      <c r="Z315" s="2995" t="str">
        <f>IFERROR(VLOOKUP(11,'1_入力シート【基本情報】'!$DU$319:$DZ$534,5,FALSE),"")</f>
        <v/>
      </c>
      <c r="AA315" s="2996"/>
      <c r="AB315" s="2996"/>
      <c r="AC315" s="2996"/>
      <c r="AD315" s="2996"/>
      <c r="AE315" s="2996"/>
      <c r="AF315" s="2996"/>
      <c r="AG315" s="2996"/>
      <c r="AH315" s="2996"/>
      <c r="AI315" s="2996"/>
      <c r="AJ315" s="2996"/>
      <c r="AK315" s="2996"/>
      <c r="AL315" s="2996"/>
      <c r="AM315" s="2996"/>
      <c r="AN315" s="2996"/>
      <c r="AO315" s="2996"/>
      <c r="AP315" s="2996"/>
      <c r="AQ315" s="2996"/>
      <c r="AR315" s="2996"/>
      <c r="AS315" s="2996"/>
      <c r="AT315" s="2996"/>
      <c r="AU315" s="2997"/>
      <c r="AW315" s="197"/>
      <c r="AX315" s="349"/>
    </row>
    <row r="316" spans="1:53" ht="15.75" customHeight="1" x14ac:dyDescent="0.15">
      <c r="A316" s="2"/>
      <c r="B316" s="335"/>
      <c r="C316" s="335"/>
      <c r="D316" s="335"/>
      <c r="E316" s="335"/>
      <c r="F316" s="335"/>
      <c r="G316" s="335"/>
      <c r="H316" s="335"/>
      <c r="I316" s="335"/>
      <c r="J316" s="335"/>
      <c r="K316" s="335"/>
      <c r="L316" s="335"/>
      <c r="M316" s="335"/>
      <c r="N316" s="335"/>
      <c r="O316" s="335"/>
      <c r="P316" s="335"/>
      <c r="Q316" s="335"/>
      <c r="R316" s="335"/>
      <c r="S316" s="335"/>
      <c r="T316" s="335"/>
      <c r="U316" s="335"/>
      <c r="V316" s="335"/>
      <c r="W316" s="335"/>
      <c r="X316" s="335"/>
      <c r="Y316" s="3"/>
      <c r="Z316" s="2998"/>
      <c r="AA316" s="2999"/>
      <c r="AB316" s="2999"/>
      <c r="AC316" s="2999"/>
      <c r="AD316" s="2999"/>
      <c r="AE316" s="2999"/>
      <c r="AF316" s="2999"/>
      <c r="AG316" s="2999"/>
      <c r="AH316" s="2999"/>
      <c r="AI316" s="2999"/>
      <c r="AJ316" s="2999"/>
      <c r="AK316" s="2999"/>
      <c r="AL316" s="2999"/>
      <c r="AM316" s="2999"/>
      <c r="AN316" s="2999"/>
      <c r="AO316" s="2999"/>
      <c r="AP316" s="2999"/>
      <c r="AQ316" s="2999"/>
      <c r="AR316" s="2999"/>
      <c r="AS316" s="2999"/>
      <c r="AT316" s="2999"/>
      <c r="AU316" s="3000"/>
      <c r="AW316" s="197"/>
      <c r="AX316" s="349"/>
    </row>
    <row r="317" spans="1:53" ht="15.75" customHeight="1" x14ac:dyDescent="0.15">
      <c r="A317" s="2"/>
      <c r="B317" s="335"/>
      <c r="C317" s="335"/>
      <c r="D317" s="335"/>
      <c r="E317" s="335"/>
      <c r="F317" s="335"/>
      <c r="G317" s="335"/>
      <c r="H317" s="335"/>
      <c r="I317" s="335"/>
      <c r="J317" s="335"/>
      <c r="K317" s="335"/>
      <c r="L317" s="335"/>
      <c r="M317" s="335"/>
      <c r="N317" s="335"/>
      <c r="O317" s="335"/>
      <c r="P317" s="335"/>
      <c r="Q317" s="335"/>
      <c r="R317" s="335"/>
      <c r="S317" s="335"/>
      <c r="T317" s="335"/>
      <c r="U317" s="335"/>
      <c r="V317" s="335"/>
      <c r="W317" s="335"/>
      <c r="X317" s="335"/>
      <c r="Y317" s="3"/>
      <c r="Z317" s="3001"/>
      <c r="AA317" s="3002"/>
      <c r="AB317" s="3002"/>
      <c r="AC317" s="3002"/>
      <c r="AD317" s="3002"/>
      <c r="AE317" s="3002"/>
      <c r="AF317" s="3002"/>
      <c r="AG317" s="3002"/>
      <c r="AH317" s="3002"/>
      <c r="AI317" s="3002"/>
      <c r="AJ317" s="3002"/>
      <c r="AK317" s="3002"/>
      <c r="AL317" s="3002"/>
      <c r="AM317" s="3002"/>
      <c r="AN317" s="3002"/>
      <c r="AO317" s="3002"/>
      <c r="AP317" s="3002"/>
      <c r="AQ317" s="3002"/>
      <c r="AR317" s="3002"/>
      <c r="AS317" s="3002"/>
      <c r="AT317" s="3002"/>
      <c r="AU317" s="3003"/>
      <c r="AW317" s="197"/>
      <c r="AX317" s="197"/>
    </row>
    <row r="318" spans="1:53" ht="15.75" customHeight="1" x14ac:dyDescent="0.15">
      <c r="A318" s="2"/>
      <c r="B318" s="371"/>
      <c r="C318" s="371"/>
      <c r="D318" s="371"/>
      <c r="E318" s="371"/>
      <c r="F318" s="371"/>
      <c r="G318" s="371"/>
      <c r="H318" s="371"/>
      <c r="I318" s="371"/>
      <c r="J318" s="371"/>
      <c r="K318" s="371"/>
      <c r="L318" s="371"/>
      <c r="M318" s="371"/>
      <c r="N318" s="371"/>
      <c r="O318" s="371"/>
      <c r="P318" s="371"/>
      <c r="Q318" s="371"/>
      <c r="R318" s="371"/>
      <c r="S318" s="371"/>
      <c r="T318" s="371"/>
      <c r="U318" s="371"/>
      <c r="V318" s="371"/>
      <c r="W318" s="371"/>
      <c r="X318" s="371"/>
      <c r="Y318" s="3"/>
      <c r="Z318" s="3004"/>
      <c r="AA318" s="3005"/>
      <c r="AB318" s="3005"/>
      <c r="AC318" s="3005"/>
      <c r="AD318" s="3005"/>
      <c r="AE318" s="3005"/>
      <c r="AF318" s="3005"/>
      <c r="AG318" s="3005"/>
      <c r="AH318" s="3005"/>
      <c r="AI318" s="3005"/>
      <c r="AJ318" s="3005"/>
      <c r="AK318" s="3005"/>
      <c r="AL318" s="3005"/>
      <c r="AM318" s="3005"/>
      <c r="AN318" s="3005"/>
      <c r="AO318" s="3005"/>
      <c r="AP318" s="3005"/>
      <c r="AQ318" s="3005"/>
      <c r="AR318" s="3005"/>
      <c r="AS318" s="3005"/>
      <c r="AT318" s="3005"/>
      <c r="AU318" s="3006"/>
      <c r="AW318" s="197"/>
      <c r="AX318" s="197"/>
    </row>
    <row r="319" spans="1:53" ht="15.75" customHeight="1" x14ac:dyDescent="0.15">
      <c r="A319" s="2"/>
      <c r="B319" s="371"/>
      <c r="C319" s="371"/>
      <c r="D319" s="371"/>
      <c r="E319" s="371"/>
      <c r="F319" s="371"/>
      <c r="G319" s="371"/>
      <c r="H319" s="371"/>
      <c r="I319" s="371"/>
      <c r="J319" s="371"/>
      <c r="K319" s="371"/>
      <c r="L319" s="371"/>
      <c r="M319" s="371"/>
      <c r="N319" s="371"/>
      <c r="O319" s="371"/>
      <c r="P319" s="371"/>
      <c r="Q319" s="371"/>
      <c r="R319" s="371"/>
      <c r="S319" s="371"/>
      <c r="T319" s="371"/>
      <c r="U319" s="371"/>
      <c r="V319" s="371"/>
      <c r="W319" s="371"/>
      <c r="X319" s="371"/>
      <c r="Y319" s="3"/>
      <c r="Z319" s="3004"/>
      <c r="AA319" s="3005"/>
      <c r="AB319" s="3005"/>
      <c r="AC319" s="3005"/>
      <c r="AD319" s="3005"/>
      <c r="AE319" s="3005"/>
      <c r="AF319" s="3005"/>
      <c r="AG319" s="3005"/>
      <c r="AH319" s="3005"/>
      <c r="AI319" s="3005"/>
      <c r="AJ319" s="3005"/>
      <c r="AK319" s="3005"/>
      <c r="AL319" s="3005"/>
      <c r="AM319" s="3005"/>
      <c r="AN319" s="3005"/>
      <c r="AO319" s="3005"/>
      <c r="AP319" s="3005"/>
      <c r="AQ319" s="3005"/>
      <c r="AR319" s="3005"/>
      <c r="AS319" s="3005"/>
      <c r="AT319" s="3005"/>
      <c r="AU319" s="3006"/>
      <c r="AW319" s="197"/>
      <c r="AX319" s="197"/>
    </row>
    <row r="320" spans="1:53" ht="15.75" customHeight="1" x14ac:dyDescent="0.15">
      <c r="A320" s="2"/>
      <c r="B320" s="371"/>
      <c r="C320" s="371"/>
      <c r="D320" s="371"/>
      <c r="E320" s="371"/>
      <c r="F320" s="371"/>
      <c r="G320" s="371"/>
      <c r="H320" s="371"/>
      <c r="I320" s="371"/>
      <c r="J320" s="371"/>
      <c r="K320" s="371"/>
      <c r="L320" s="371"/>
      <c r="M320" s="371"/>
      <c r="N320" s="371"/>
      <c r="O320" s="371"/>
      <c r="P320" s="371"/>
      <c r="Q320" s="371"/>
      <c r="R320" s="371"/>
      <c r="S320" s="371"/>
      <c r="T320" s="371"/>
      <c r="U320" s="371"/>
      <c r="V320" s="371"/>
      <c r="W320" s="371"/>
      <c r="X320" s="371"/>
      <c r="Y320" s="3"/>
      <c r="Z320" s="3004"/>
      <c r="AA320" s="3005"/>
      <c r="AB320" s="3005"/>
      <c r="AC320" s="3005"/>
      <c r="AD320" s="3005"/>
      <c r="AE320" s="3005"/>
      <c r="AF320" s="3005"/>
      <c r="AG320" s="3005"/>
      <c r="AH320" s="3005"/>
      <c r="AI320" s="3005"/>
      <c r="AJ320" s="3005"/>
      <c r="AK320" s="3005"/>
      <c r="AL320" s="3005"/>
      <c r="AM320" s="3005"/>
      <c r="AN320" s="3005"/>
      <c r="AO320" s="3005"/>
      <c r="AP320" s="3005"/>
      <c r="AQ320" s="3005"/>
      <c r="AR320" s="3005"/>
      <c r="AS320" s="3005"/>
      <c r="AT320" s="3005"/>
      <c r="AU320" s="3006"/>
      <c r="AW320" s="197"/>
      <c r="AX320" s="197"/>
    </row>
    <row r="321" spans="1:53" ht="15.75" customHeight="1" x14ac:dyDescent="0.15">
      <c r="A321" s="2"/>
      <c r="B321" s="371"/>
      <c r="C321" s="371"/>
      <c r="D321" s="371"/>
      <c r="E321" s="371"/>
      <c r="F321" s="371"/>
      <c r="G321" s="371"/>
      <c r="H321" s="371"/>
      <c r="I321" s="371"/>
      <c r="J321" s="371"/>
      <c r="K321" s="3013" t="s">
        <v>157</v>
      </c>
      <c r="L321" s="3013"/>
      <c r="M321" s="3013"/>
      <c r="N321" s="3013"/>
      <c r="O321" s="3013"/>
      <c r="P321" s="3013"/>
      <c r="Q321" s="371"/>
      <c r="R321" s="371"/>
      <c r="S321" s="371"/>
      <c r="T321" s="371"/>
      <c r="U321" s="371"/>
      <c r="V321" s="371"/>
      <c r="W321" s="371"/>
      <c r="X321" s="371"/>
      <c r="Y321" s="3"/>
      <c r="Z321" s="3004"/>
      <c r="AA321" s="3005"/>
      <c r="AB321" s="3005"/>
      <c r="AC321" s="3005"/>
      <c r="AD321" s="3005"/>
      <c r="AE321" s="3005"/>
      <c r="AF321" s="3005"/>
      <c r="AG321" s="3005"/>
      <c r="AH321" s="3005"/>
      <c r="AI321" s="3005"/>
      <c r="AJ321" s="3005"/>
      <c r="AK321" s="3005"/>
      <c r="AL321" s="3005"/>
      <c r="AM321" s="3005"/>
      <c r="AN321" s="3005"/>
      <c r="AO321" s="3005"/>
      <c r="AP321" s="3005"/>
      <c r="AQ321" s="3005"/>
      <c r="AR321" s="3005"/>
      <c r="AS321" s="3005"/>
      <c r="AT321" s="3005"/>
      <c r="AU321" s="3006"/>
      <c r="AW321" s="197"/>
      <c r="AX321" s="197"/>
    </row>
    <row r="322" spans="1:53" ht="15.75" customHeight="1" x14ac:dyDescent="0.15">
      <c r="A322" s="2"/>
      <c r="B322" s="371"/>
      <c r="C322" s="371"/>
      <c r="D322" s="371"/>
      <c r="E322" s="371"/>
      <c r="F322" s="371"/>
      <c r="G322" s="371"/>
      <c r="H322" s="371"/>
      <c r="I322" s="371"/>
      <c r="J322" s="371"/>
      <c r="K322" s="371"/>
      <c r="L322" s="371"/>
      <c r="M322" s="371"/>
      <c r="N322" s="371"/>
      <c r="O322" s="371"/>
      <c r="P322" s="371"/>
      <c r="Q322" s="371"/>
      <c r="R322" s="371"/>
      <c r="S322" s="371"/>
      <c r="T322" s="371"/>
      <c r="U322" s="371"/>
      <c r="V322" s="371"/>
      <c r="W322" s="371"/>
      <c r="X322" s="371"/>
      <c r="Y322" s="3"/>
      <c r="Z322" s="3004"/>
      <c r="AA322" s="3005"/>
      <c r="AB322" s="3005"/>
      <c r="AC322" s="3005"/>
      <c r="AD322" s="3005"/>
      <c r="AE322" s="3005"/>
      <c r="AF322" s="3005"/>
      <c r="AG322" s="3005"/>
      <c r="AH322" s="3005"/>
      <c r="AI322" s="3005"/>
      <c r="AJ322" s="3005"/>
      <c r="AK322" s="3005"/>
      <c r="AL322" s="3005"/>
      <c r="AM322" s="3005"/>
      <c r="AN322" s="3005"/>
      <c r="AO322" s="3005"/>
      <c r="AP322" s="3005"/>
      <c r="AQ322" s="3005"/>
      <c r="AR322" s="3005"/>
      <c r="AS322" s="3005"/>
      <c r="AT322" s="3005"/>
      <c r="AU322" s="3006"/>
      <c r="AW322" s="197"/>
      <c r="AX322" s="197"/>
    </row>
    <row r="323" spans="1:53" ht="15.75" customHeight="1" x14ac:dyDescent="0.15">
      <c r="A323" s="2"/>
      <c r="B323" s="371"/>
      <c r="C323" s="371"/>
      <c r="D323" s="371"/>
      <c r="E323" s="371"/>
      <c r="F323" s="371"/>
      <c r="G323" s="371"/>
      <c r="H323" s="371"/>
      <c r="I323" s="371"/>
      <c r="J323" s="371"/>
      <c r="K323" s="371"/>
      <c r="L323" s="371"/>
      <c r="M323" s="371"/>
      <c r="N323" s="371"/>
      <c r="O323" s="371"/>
      <c r="P323" s="371"/>
      <c r="Q323" s="371"/>
      <c r="R323" s="371"/>
      <c r="S323" s="371"/>
      <c r="T323" s="371"/>
      <c r="U323" s="371"/>
      <c r="V323" s="371"/>
      <c r="W323" s="371"/>
      <c r="X323" s="371"/>
      <c r="Y323" s="3"/>
      <c r="Z323" s="3004"/>
      <c r="AA323" s="3005"/>
      <c r="AB323" s="3005"/>
      <c r="AC323" s="3005"/>
      <c r="AD323" s="3005"/>
      <c r="AE323" s="3005"/>
      <c r="AF323" s="3005"/>
      <c r="AG323" s="3005"/>
      <c r="AH323" s="3005"/>
      <c r="AI323" s="3005"/>
      <c r="AJ323" s="3005"/>
      <c r="AK323" s="3005"/>
      <c r="AL323" s="3005"/>
      <c r="AM323" s="3005"/>
      <c r="AN323" s="3005"/>
      <c r="AO323" s="3005"/>
      <c r="AP323" s="3005"/>
      <c r="AQ323" s="3005"/>
      <c r="AR323" s="3005"/>
      <c r="AS323" s="3005"/>
      <c r="AT323" s="3005"/>
      <c r="AU323" s="3006"/>
      <c r="AW323" s="197"/>
      <c r="AX323" s="197"/>
    </row>
    <row r="324" spans="1:53" ht="15.75" customHeight="1" x14ac:dyDescent="0.15">
      <c r="A324" s="2"/>
      <c r="B324" s="371"/>
      <c r="C324" s="371"/>
      <c r="D324" s="371"/>
      <c r="E324" s="371"/>
      <c r="F324" s="371"/>
      <c r="G324" s="371"/>
      <c r="H324" s="371"/>
      <c r="I324" s="371"/>
      <c r="J324" s="371"/>
      <c r="K324" s="371"/>
      <c r="L324" s="371"/>
      <c r="M324" s="371"/>
      <c r="N324" s="371"/>
      <c r="O324" s="371"/>
      <c r="P324" s="371"/>
      <c r="Q324" s="371"/>
      <c r="R324" s="371"/>
      <c r="S324" s="371"/>
      <c r="T324" s="371"/>
      <c r="U324" s="371"/>
      <c r="V324" s="371"/>
      <c r="W324" s="371"/>
      <c r="X324" s="371"/>
      <c r="Y324" s="3"/>
      <c r="Z324" s="3004"/>
      <c r="AA324" s="3005"/>
      <c r="AB324" s="3005"/>
      <c r="AC324" s="3005"/>
      <c r="AD324" s="3005"/>
      <c r="AE324" s="3005"/>
      <c r="AF324" s="3005"/>
      <c r="AG324" s="3005"/>
      <c r="AH324" s="3005"/>
      <c r="AI324" s="3005"/>
      <c r="AJ324" s="3005"/>
      <c r="AK324" s="3005"/>
      <c r="AL324" s="3005"/>
      <c r="AM324" s="3005"/>
      <c r="AN324" s="3005"/>
      <c r="AO324" s="3005"/>
      <c r="AP324" s="3005"/>
      <c r="AQ324" s="3005"/>
      <c r="AR324" s="3005"/>
      <c r="AS324" s="3005"/>
      <c r="AT324" s="3005"/>
      <c r="AU324" s="3006"/>
      <c r="AW324" s="197"/>
      <c r="AX324" s="197"/>
    </row>
    <row r="325" spans="1:53" ht="15.75" customHeight="1" x14ac:dyDescent="0.15">
      <c r="A325" s="2"/>
      <c r="B325" s="371"/>
      <c r="C325" s="371"/>
      <c r="D325" s="371"/>
      <c r="E325" s="371"/>
      <c r="F325" s="371"/>
      <c r="G325" s="371"/>
      <c r="H325" s="371"/>
      <c r="I325" s="371"/>
      <c r="J325" s="371"/>
      <c r="K325" s="371"/>
      <c r="L325" s="371"/>
      <c r="M325" s="371"/>
      <c r="N325" s="371"/>
      <c r="O325" s="371"/>
      <c r="P325" s="371"/>
      <c r="Q325" s="371"/>
      <c r="R325" s="371"/>
      <c r="S325" s="371"/>
      <c r="T325" s="371"/>
      <c r="U325" s="371"/>
      <c r="V325" s="371"/>
      <c r="W325" s="371"/>
      <c r="X325" s="371"/>
      <c r="Y325" s="3"/>
      <c r="Z325" s="3004"/>
      <c r="AA325" s="3005"/>
      <c r="AB325" s="3005"/>
      <c r="AC325" s="3005"/>
      <c r="AD325" s="3005"/>
      <c r="AE325" s="3005"/>
      <c r="AF325" s="3005"/>
      <c r="AG325" s="3005"/>
      <c r="AH325" s="3005"/>
      <c r="AI325" s="3005"/>
      <c r="AJ325" s="3005"/>
      <c r="AK325" s="3005"/>
      <c r="AL325" s="3005"/>
      <c r="AM325" s="3005"/>
      <c r="AN325" s="3005"/>
      <c r="AO325" s="3005"/>
      <c r="AP325" s="3005"/>
      <c r="AQ325" s="3005"/>
      <c r="AR325" s="3005"/>
      <c r="AS325" s="3005"/>
      <c r="AT325" s="3005"/>
      <c r="AU325" s="3006"/>
      <c r="AW325" s="197"/>
      <c r="AX325" s="197"/>
    </row>
    <row r="326" spans="1:53" ht="15.75" customHeight="1" x14ac:dyDescent="0.15">
      <c r="A326" s="2"/>
      <c r="B326" s="371"/>
      <c r="C326" s="371"/>
      <c r="D326" s="371"/>
      <c r="E326" s="371"/>
      <c r="F326" s="371"/>
      <c r="G326" s="371"/>
      <c r="H326" s="371"/>
      <c r="I326" s="371"/>
      <c r="J326" s="371"/>
      <c r="K326" s="371"/>
      <c r="L326" s="371"/>
      <c r="M326" s="371"/>
      <c r="N326" s="371"/>
      <c r="O326" s="371"/>
      <c r="P326" s="371"/>
      <c r="Q326" s="371"/>
      <c r="R326" s="371"/>
      <c r="S326" s="371"/>
      <c r="T326" s="371"/>
      <c r="U326" s="371"/>
      <c r="V326" s="371"/>
      <c r="W326" s="371"/>
      <c r="X326" s="371"/>
      <c r="Y326" s="3"/>
      <c r="Z326" s="3004"/>
      <c r="AA326" s="3005"/>
      <c r="AB326" s="3005"/>
      <c r="AC326" s="3005"/>
      <c r="AD326" s="3005"/>
      <c r="AE326" s="3005"/>
      <c r="AF326" s="3005"/>
      <c r="AG326" s="3005"/>
      <c r="AH326" s="3005"/>
      <c r="AI326" s="3005"/>
      <c r="AJ326" s="3005"/>
      <c r="AK326" s="3005"/>
      <c r="AL326" s="3005"/>
      <c r="AM326" s="3005"/>
      <c r="AN326" s="3005"/>
      <c r="AO326" s="3005"/>
      <c r="AP326" s="3005"/>
      <c r="AQ326" s="3005"/>
      <c r="AR326" s="3005"/>
      <c r="AS326" s="3005"/>
      <c r="AT326" s="3005"/>
      <c r="AU326" s="3006"/>
      <c r="AW326" s="197"/>
      <c r="AX326" s="197"/>
    </row>
    <row r="327" spans="1:53" ht="15.75" customHeight="1" x14ac:dyDescent="0.15">
      <c r="A327" s="2"/>
      <c r="B327" s="371"/>
      <c r="C327" s="371"/>
      <c r="D327" s="371"/>
      <c r="E327" s="371"/>
      <c r="F327" s="371"/>
      <c r="G327" s="371"/>
      <c r="H327" s="371"/>
      <c r="I327" s="371"/>
      <c r="J327" s="371"/>
      <c r="K327" s="371"/>
      <c r="L327" s="371"/>
      <c r="M327" s="371"/>
      <c r="N327" s="371"/>
      <c r="O327" s="371"/>
      <c r="P327" s="371"/>
      <c r="Q327" s="371"/>
      <c r="R327" s="371"/>
      <c r="S327" s="371"/>
      <c r="T327" s="371"/>
      <c r="U327" s="371"/>
      <c r="V327" s="371"/>
      <c r="W327" s="371"/>
      <c r="X327" s="371"/>
      <c r="Y327" s="3"/>
      <c r="Z327" s="3004"/>
      <c r="AA327" s="3005"/>
      <c r="AB327" s="3005"/>
      <c r="AC327" s="3005"/>
      <c r="AD327" s="3005"/>
      <c r="AE327" s="3005"/>
      <c r="AF327" s="3005"/>
      <c r="AG327" s="3005"/>
      <c r="AH327" s="3005"/>
      <c r="AI327" s="3005"/>
      <c r="AJ327" s="3005"/>
      <c r="AK327" s="3005"/>
      <c r="AL327" s="3005"/>
      <c r="AM327" s="3005"/>
      <c r="AN327" s="3005"/>
      <c r="AO327" s="3005"/>
      <c r="AP327" s="3005"/>
      <c r="AQ327" s="3005"/>
      <c r="AR327" s="3005"/>
      <c r="AS327" s="3005"/>
      <c r="AT327" s="3005"/>
      <c r="AU327" s="3006"/>
      <c r="AW327" s="197"/>
      <c r="AX327" s="197"/>
    </row>
    <row r="328" spans="1:53" ht="15.75" customHeight="1" x14ac:dyDescent="0.15">
      <c r="A328" s="2"/>
      <c r="B328" s="371"/>
      <c r="C328" s="371"/>
      <c r="D328" s="371"/>
      <c r="E328" s="371"/>
      <c r="F328" s="371"/>
      <c r="G328" s="371"/>
      <c r="H328" s="371"/>
      <c r="I328" s="371"/>
      <c r="J328" s="371"/>
      <c r="K328" s="371"/>
      <c r="L328" s="371"/>
      <c r="M328" s="371"/>
      <c r="N328" s="371"/>
      <c r="O328" s="371"/>
      <c r="P328" s="371"/>
      <c r="Q328" s="371"/>
      <c r="R328" s="371"/>
      <c r="S328" s="371"/>
      <c r="T328" s="371"/>
      <c r="U328" s="371"/>
      <c r="V328" s="371"/>
      <c r="W328" s="371"/>
      <c r="X328" s="371"/>
      <c r="Y328" s="3"/>
      <c r="Z328" s="3004"/>
      <c r="AA328" s="3005"/>
      <c r="AB328" s="3005"/>
      <c r="AC328" s="3005"/>
      <c r="AD328" s="3005"/>
      <c r="AE328" s="3005"/>
      <c r="AF328" s="3005"/>
      <c r="AG328" s="3005"/>
      <c r="AH328" s="3005"/>
      <c r="AI328" s="3005"/>
      <c r="AJ328" s="3005"/>
      <c r="AK328" s="3005"/>
      <c r="AL328" s="3005"/>
      <c r="AM328" s="3005"/>
      <c r="AN328" s="3005"/>
      <c r="AO328" s="3005"/>
      <c r="AP328" s="3005"/>
      <c r="AQ328" s="3005"/>
      <c r="AR328" s="3005"/>
      <c r="AS328" s="3005"/>
      <c r="AT328" s="3005"/>
      <c r="AU328" s="3006"/>
      <c r="AW328" s="197"/>
      <c r="AX328" s="197"/>
    </row>
    <row r="329" spans="1:53" ht="15.75" customHeight="1" x14ac:dyDescent="0.15">
      <c r="A329" s="2"/>
      <c r="B329" s="371"/>
      <c r="C329" s="371"/>
      <c r="D329" s="371"/>
      <c r="E329" s="371"/>
      <c r="F329" s="371"/>
      <c r="G329" s="371"/>
      <c r="H329" s="371"/>
      <c r="I329" s="371"/>
      <c r="J329" s="371"/>
      <c r="K329" s="371"/>
      <c r="L329" s="371"/>
      <c r="M329" s="371"/>
      <c r="N329" s="371"/>
      <c r="O329" s="371"/>
      <c r="P329" s="371"/>
      <c r="Q329" s="371"/>
      <c r="R329" s="371"/>
      <c r="S329" s="371"/>
      <c r="T329" s="371"/>
      <c r="U329" s="371"/>
      <c r="V329" s="371"/>
      <c r="W329" s="371"/>
      <c r="X329" s="371"/>
      <c r="Y329" s="3"/>
      <c r="Z329" s="3004"/>
      <c r="AA329" s="3005"/>
      <c r="AB329" s="3005"/>
      <c r="AC329" s="3005"/>
      <c r="AD329" s="3005"/>
      <c r="AE329" s="3005"/>
      <c r="AF329" s="3005"/>
      <c r="AG329" s="3005"/>
      <c r="AH329" s="3005"/>
      <c r="AI329" s="3005"/>
      <c r="AJ329" s="3005"/>
      <c r="AK329" s="3005"/>
      <c r="AL329" s="3005"/>
      <c r="AM329" s="3005"/>
      <c r="AN329" s="3005"/>
      <c r="AO329" s="3005"/>
      <c r="AP329" s="3005"/>
      <c r="AQ329" s="3005"/>
      <c r="AR329" s="3005"/>
      <c r="AS329" s="3005"/>
      <c r="AT329" s="3005"/>
      <c r="AU329" s="3006"/>
      <c r="AW329" s="197"/>
      <c r="AX329" s="197"/>
    </row>
    <row r="330" spans="1:53" ht="15.75" customHeight="1" x14ac:dyDescent="0.15">
      <c r="A330" s="6"/>
      <c r="B330" s="4"/>
      <c r="C330" s="4"/>
      <c r="D330" s="4"/>
      <c r="E330" s="4"/>
      <c r="F330" s="4"/>
      <c r="G330" s="4"/>
      <c r="H330" s="4"/>
      <c r="I330" s="4"/>
      <c r="J330" s="4"/>
      <c r="K330" s="4"/>
      <c r="L330" s="4"/>
      <c r="M330" s="4"/>
      <c r="N330" s="4"/>
      <c r="O330" s="4"/>
      <c r="P330" s="4"/>
      <c r="Q330" s="4"/>
      <c r="R330" s="4"/>
      <c r="S330" s="4"/>
      <c r="T330" s="4"/>
      <c r="U330" s="4"/>
      <c r="V330" s="4"/>
      <c r="W330" s="4"/>
      <c r="X330" s="4"/>
      <c r="Y330" s="5"/>
      <c r="Z330" s="3007"/>
      <c r="AA330" s="3008"/>
      <c r="AB330" s="3008"/>
      <c r="AC330" s="3008"/>
      <c r="AD330" s="3008"/>
      <c r="AE330" s="3008"/>
      <c r="AF330" s="3008"/>
      <c r="AG330" s="3008"/>
      <c r="AH330" s="3008"/>
      <c r="AI330" s="3008"/>
      <c r="AJ330" s="3008"/>
      <c r="AK330" s="3008"/>
      <c r="AL330" s="3008"/>
      <c r="AM330" s="3008"/>
      <c r="AN330" s="3008"/>
      <c r="AO330" s="3008"/>
      <c r="AP330" s="3008"/>
      <c r="AQ330" s="3008"/>
      <c r="AR330" s="3008"/>
      <c r="AS330" s="3008"/>
      <c r="AT330" s="3008"/>
      <c r="AU330" s="3009"/>
      <c r="AW330" s="197"/>
      <c r="AX330" s="197"/>
    </row>
    <row r="331" spans="1:53" ht="12.75" customHeight="1" x14ac:dyDescent="0.15">
      <c r="AW331" s="197"/>
      <c r="AX331" s="197"/>
    </row>
    <row r="332" spans="1:53" ht="15.75" customHeight="1" x14ac:dyDescent="0.15">
      <c r="A332" s="3018" t="s">
        <v>154</v>
      </c>
      <c r="B332" s="3019"/>
      <c r="C332" s="3020"/>
      <c r="D332" s="3037" t="s">
        <v>155</v>
      </c>
      <c r="E332" s="3038"/>
      <c r="F332" s="3038"/>
      <c r="G332" s="3038"/>
      <c r="H332" s="3038"/>
      <c r="I332" s="3038"/>
      <c r="J332" s="3039"/>
      <c r="K332" s="344"/>
      <c r="L332" s="341"/>
      <c r="M332" s="341"/>
      <c r="N332" s="341"/>
      <c r="O332" s="341"/>
      <c r="P332" s="341"/>
      <c r="Q332" s="341"/>
      <c r="R332" s="341"/>
      <c r="S332" s="342" t="s">
        <v>7</v>
      </c>
      <c r="T332" s="342" t="s">
        <v>8</v>
      </c>
      <c r="U332" s="342" t="s">
        <v>9</v>
      </c>
      <c r="V332" s="342" t="s">
        <v>156</v>
      </c>
      <c r="W332" s="342"/>
      <c r="X332" s="342"/>
      <c r="Y332" s="342"/>
      <c r="Z332" s="342"/>
      <c r="AA332" s="342"/>
      <c r="AB332" s="342"/>
      <c r="AC332" s="342"/>
      <c r="AD332" s="342"/>
      <c r="AE332" s="342"/>
      <c r="AF332" s="342"/>
      <c r="AG332" s="342"/>
      <c r="AH332" s="342"/>
      <c r="AI332" s="343"/>
      <c r="AJ332" s="344"/>
      <c r="AK332" s="3038" t="s">
        <v>33</v>
      </c>
      <c r="AL332" s="3038"/>
      <c r="AM332" s="3038"/>
      <c r="AN332" s="3038"/>
      <c r="AO332" s="3038"/>
      <c r="AP332" s="3038"/>
      <c r="AQ332" s="3038"/>
      <c r="AR332" s="3038"/>
      <c r="AS332" s="3038"/>
      <c r="AT332" s="3038"/>
      <c r="AU332" s="345"/>
      <c r="AW332" s="197"/>
      <c r="AX332" s="197"/>
    </row>
    <row r="333" spans="1:53" ht="15.75" customHeight="1" thickBot="1" x14ac:dyDescent="0.2">
      <c r="A333" s="3031"/>
      <c r="B333" s="3032"/>
      <c r="C333" s="3033"/>
      <c r="D333" s="3018" t="str">
        <f>IFERROR(VLOOKUP(12,'1_入力シート【基本情報】'!$DU$319:$DX$534,3,FALSE),"")</f>
        <v/>
      </c>
      <c r="E333" s="3019"/>
      <c r="F333" s="3019"/>
      <c r="G333" s="3019"/>
      <c r="H333" s="3019"/>
      <c r="I333" s="3019"/>
      <c r="J333" s="3020"/>
      <c r="K333" s="3040" t="str">
        <f>IFERROR(VLOOKUP(12,'1_入力シート【基本情報】'!$DU$319:$DX$534,4,FALSE),"")</f>
        <v/>
      </c>
      <c r="L333" s="3041"/>
      <c r="M333" s="3041"/>
      <c r="N333" s="3041"/>
      <c r="O333" s="3041"/>
      <c r="P333" s="3041"/>
      <c r="Q333" s="3041"/>
      <c r="R333" s="3041"/>
      <c r="S333" s="3041"/>
      <c r="T333" s="3041"/>
      <c r="U333" s="3041"/>
      <c r="V333" s="3041"/>
      <c r="W333" s="3041"/>
      <c r="X333" s="3041"/>
      <c r="Y333" s="3041"/>
      <c r="Z333" s="3041"/>
      <c r="AA333" s="3041"/>
      <c r="AB333" s="3041"/>
      <c r="AC333" s="3041"/>
      <c r="AD333" s="3041"/>
      <c r="AE333" s="3041"/>
      <c r="AF333" s="3041"/>
      <c r="AG333" s="3041"/>
      <c r="AH333" s="3041"/>
      <c r="AI333" s="3042"/>
      <c r="AJ333" s="367"/>
      <c r="AK333" s="367"/>
      <c r="AL333" s="367"/>
      <c r="AM333" s="367"/>
      <c r="AN333" s="367"/>
      <c r="AO333" s="367"/>
      <c r="AP333" s="367"/>
      <c r="AQ333" s="367"/>
      <c r="AR333" s="367"/>
      <c r="AS333" s="367"/>
      <c r="AT333" s="367"/>
      <c r="AU333" s="368"/>
      <c r="AW333" s="197"/>
      <c r="AX333" s="197"/>
    </row>
    <row r="334" spans="1:53" ht="15.75" customHeight="1" thickBot="1" x14ac:dyDescent="0.2">
      <c r="A334" s="3031"/>
      <c r="B334" s="3032"/>
      <c r="C334" s="3033"/>
      <c r="D334" s="3021"/>
      <c r="E334" s="3022"/>
      <c r="F334" s="3022"/>
      <c r="G334" s="3022"/>
      <c r="H334" s="3022"/>
      <c r="I334" s="3022"/>
      <c r="J334" s="3023"/>
      <c r="K334" s="3043"/>
      <c r="L334" s="3044"/>
      <c r="M334" s="3044"/>
      <c r="N334" s="3044"/>
      <c r="O334" s="3044"/>
      <c r="P334" s="3044"/>
      <c r="Q334" s="3044"/>
      <c r="R334" s="3044"/>
      <c r="S334" s="3044"/>
      <c r="T334" s="3044"/>
      <c r="U334" s="3044"/>
      <c r="V334" s="3044"/>
      <c r="W334" s="3044"/>
      <c r="X334" s="3044"/>
      <c r="Y334" s="3044"/>
      <c r="Z334" s="3044"/>
      <c r="AA334" s="3044"/>
      <c r="AB334" s="3044"/>
      <c r="AC334" s="3044"/>
      <c r="AD334" s="3044"/>
      <c r="AE334" s="3044"/>
      <c r="AF334" s="3044"/>
      <c r="AG334" s="3044"/>
      <c r="AH334" s="3044"/>
      <c r="AI334" s="3045"/>
      <c r="AJ334" s="367"/>
      <c r="AK334" s="367" t="str">
        <f>IF(D333&lt;&gt;"","☑","☐")</f>
        <v>☐</v>
      </c>
      <c r="AL334" s="367" t="s">
        <v>14</v>
      </c>
      <c r="AM334" s="367" t="s">
        <v>21</v>
      </c>
      <c r="AN334" s="367" t="s">
        <v>15</v>
      </c>
      <c r="AO334" s="367"/>
      <c r="AP334" s="426" t="s">
        <v>179</v>
      </c>
      <c r="AQ334" s="367" t="s">
        <v>27</v>
      </c>
      <c r="AR334" s="367" t="s">
        <v>23</v>
      </c>
      <c r="AS334" s="367" t="s">
        <v>13</v>
      </c>
      <c r="AT334" s="367"/>
      <c r="AU334" s="368"/>
      <c r="AW334" s="197"/>
      <c r="AX334" s="197"/>
      <c r="BA334" s="430" t="b">
        <f>AP334="☑"</f>
        <v>0</v>
      </c>
    </row>
    <row r="335" spans="1:53" ht="15.75" customHeight="1" x14ac:dyDescent="0.15">
      <c r="A335" s="3034"/>
      <c r="B335" s="3035"/>
      <c r="C335" s="3036"/>
      <c r="D335" s="3024"/>
      <c r="E335" s="3025"/>
      <c r="F335" s="3025"/>
      <c r="G335" s="3025"/>
      <c r="H335" s="3025"/>
      <c r="I335" s="3025"/>
      <c r="J335" s="3026"/>
      <c r="K335" s="3046"/>
      <c r="L335" s="3047"/>
      <c r="M335" s="3047"/>
      <c r="N335" s="3047"/>
      <c r="O335" s="3047"/>
      <c r="P335" s="3047"/>
      <c r="Q335" s="3047"/>
      <c r="R335" s="3047"/>
      <c r="S335" s="3047"/>
      <c r="T335" s="3047"/>
      <c r="U335" s="3047"/>
      <c r="V335" s="3047"/>
      <c r="W335" s="3047"/>
      <c r="X335" s="3047"/>
      <c r="Y335" s="3047"/>
      <c r="Z335" s="3047"/>
      <c r="AA335" s="3047"/>
      <c r="AB335" s="3047"/>
      <c r="AC335" s="3047"/>
      <c r="AD335" s="3047"/>
      <c r="AE335" s="3047"/>
      <c r="AF335" s="3047"/>
      <c r="AG335" s="3047"/>
      <c r="AH335" s="3047"/>
      <c r="AI335" s="3048"/>
      <c r="AJ335" s="369"/>
      <c r="AK335" s="369"/>
      <c r="AL335" s="369"/>
      <c r="AM335" s="369"/>
      <c r="AN335" s="369"/>
      <c r="AO335" s="369"/>
      <c r="AP335" s="369"/>
      <c r="AQ335" s="369"/>
      <c r="AR335" s="369"/>
      <c r="AS335" s="369"/>
      <c r="AT335" s="369"/>
      <c r="AU335" s="370"/>
      <c r="AW335" s="197"/>
      <c r="AX335" s="197"/>
    </row>
    <row r="336" spans="1:53" ht="15.75" customHeight="1" x14ac:dyDescent="0.15">
      <c r="A336" s="2"/>
      <c r="B336" s="335"/>
      <c r="C336" s="335"/>
      <c r="D336" s="335"/>
      <c r="E336" s="335"/>
      <c r="F336" s="335"/>
      <c r="G336" s="335"/>
      <c r="H336" s="335"/>
      <c r="I336" s="335"/>
      <c r="J336" s="335"/>
      <c r="K336" s="335"/>
      <c r="L336" s="335"/>
      <c r="M336" s="335"/>
      <c r="N336" s="335"/>
      <c r="O336" s="335"/>
      <c r="P336" s="335"/>
      <c r="Q336" s="335"/>
      <c r="R336" s="335"/>
      <c r="S336" s="335"/>
      <c r="T336" s="335"/>
      <c r="U336" s="335"/>
      <c r="V336" s="335"/>
      <c r="W336" s="335"/>
      <c r="X336" s="335"/>
      <c r="Y336" s="3"/>
      <c r="Z336" s="47"/>
      <c r="AA336" s="48" t="s">
        <v>11</v>
      </c>
      <c r="AB336" s="48" t="s">
        <v>10</v>
      </c>
      <c r="AC336" s="48" t="s">
        <v>16</v>
      </c>
      <c r="AD336" s="48" t="s">
        <v>9</v>
      </c>
      <c r="AE336" s="48"/>
      <c r="AF336" s="48"/>
      <c r="AG336" s="48"/>
      <c r="AH336" s="48"/>
      <c r="AI336" s="48"/>
      <c r="AJ336" s="49"/>
      <c r="AK336" s="49"/>
      <c r="AL336" s="49"/>
      <c r="AM336" s="49"/>
      <c r="AN336" s="49"/>
      <c r="AO336" s="49"/>
      <c r="AP336" s="49"/>
      <c r="AQ336" s="49"/>
      <c r="AR336" s="49"/>
      <c r="AS336" s="49"/>
      <c r="AT336" s="49"/>
      <c r="AU336" s="334"/>
      <c r="AW336" s="197"/>
      <c r="AX336" s="197"/>
    </row>
    <row r="337" spans="1:50" ht="15.75" customHeight="1" x14ac:dyDescent="0.15">
      <c r="A337" s="2"/>
      <c r="B337" s="335"/>
      <c r="C337" s="335"/>
      <c r="D337" s="335"/>
      <c r="E337" s="335"/>
      <c r="F337" s="335"/>
      <c r="G337" s="335"/>
      <c r="H337" s="335"/>
      <c r="I337" s="335"/>
      <c r="J337" s="335"/>
      <c r="K337" s="335"/>
      <c r="L337" s="335"/>
      <c r="M337" s="335"/>
      <c r="N337" s="335"/>
      <c r="O337" s="335"/>
      <c r="P337" s="335"/>
      <c r="Q337" s="335"/>
      <c r="R337" s="335"/>
      <c r="S337" s="335"/>
      <c r="T337" s="335"/>
      <c r="U337" s="335"/>
      <c r="V337" s="335"/>
      <c r="W337" s="335"/>
      <c r="X337" s="335"/>
      <c r="Y337" s="3"/>
      <c r="Z337" s="3010"/>
      <c r="AA337" s="3011"/>
      <c r="AB337" s="3011"/>
      <c r="AC337" s="3011"/>
      <c r="AD337" s="3011"/>
      <c r="AE337" s="3011"/>
      <c r="AF337" s="3011"/>
      <c r="AG337" s="3011"/>
      <c r="AH337" s="3011"/>
      <c r="AI337" s="3011"/>
      <c r="AJ337" s="3011"/>
      <c r="AK337" s="3011"/>
      <c r="AL337" s="3011"/>
      <c r="AM337" s="3011"/>
      <c r="AN337" s="3011"/>
      <c r="AO337" s="104"/>
      <c r="AP337" s="104"/>
      <c r="AQ337" s="104"/>
      <c r="AR337" s="104"/>
      <c r="AS337" s="104"/>
      <c r="AT337" s="104"/>
      <c r="AU337" s="105"/>
      <c r="AW337" s="197"/>
      <c r="AX337" s="197"/>
    </row>
    <row r="338" spans="1:50" ht="15.75" customHeight="1" x14ac:dyDescent="0.15">
      <c r="A338" s="2"/>
      <c r="B338" s="335"/>
      <c r="C338" s="335"/>
      <c r="D338" s="335"/>
      <c r="E338" s="335"/>
      <c r="F338" s="335"/>
      <c r="G338" s="335"/>
      <c r="H338" s="335"/>
      <c r="I338" s="335"/>
      <c r="J338" s="335"/>
      <c r="K338" s="335"/>
      <c r="L338" s="335"/>
      <c r="M338" s="335"/>
      <c r="N338" s="335"/>
      <c r="O338" s="335"/>
      <c r="P338" s="335"/>
      <c r="Q338" s="335"/>
      <c r="R338" s="335"/>
      <c r="S338" s="335"/>
      <c r="T338" s="335"/>
      <c r="U338" s="335"/>
      <c r="V338" s="335"/>
      <c r="W338" s="335"/>
      <c r="X338" s="335"/>
      <c r="Y338" s="3"/>
      <c r="Z338" s="2995" t="str">
        <f>IFERROR(VLOOKUP(12,'1_入力シート【基本情報】'!$DU$319:$DZ$534,5,FALSE),"")</f>
        <v/>
      </c>
      <c r="AA338" s="2996"/>
      <c r="AB338" s="2996"/>
      <c r="AC338" s="2996"/>
      <c r="AD338" s="2996"/>
      <c r="AE338" s="2996"/>
      <c r="AF338" s="2996"/>
      <c r="AG338" s="2996"/>
      <c r="AH338" s="2996"/>
      <c r="AI338" s="2996"/>
      <c r="AJ338" s="2996"/>
      <c r="AK338" s="2996"/>
      <c r="AL338" s="2996"/>
      <c r="AM338" s="2996"/>
      <c r="AN338" s="2996"/>
      <c r="AO338" s="2996"/>
      <c r="AP338" s="2996"/>
      <c r="AQ338" s="2996"/>
      <c r="AR338" s="2996"/>
      <c r="AS338" s="2996"/>
      <c r="AT338" s="2996"/>
      <c r="AU338" s="2997"/>
      <c r="AW338" s="197"/>
      <c r="AX338" s="197"/>
    </row>
    <row r="339" spans="1:50" ht="15.75" customHeight="1" x14ac:dyDescent="0.15">
      <c r="A339" s="2"/>
      <c r="B339" s="335"/>
      <c r="C339" s="335"/>
      <c r="D339" s="335"/>
      <c r="E339" s="335"/>
      <c r="F339" s="335"/>
      <c r="G339" s="335"/>
      <c r="H339" s="335"/>
      <c r="I339" s="335"/>
      <c r="J339" s="335"/>
      <c r="K339" s="335"/>
      <c r="L339" s="335"/>
      <c r="M339" s="335"/>
      <c r="N339" s="335"/>
      <c r="O339" s="335"/>
      <c r="P339" s="335"/>
      <c r="Q339" s="335"/>
      <c r="R339" s="335"/>
      <c r="S339" s="335"/>
      <c r="T339" s="335"/>
      <c r="U339" s="335"/>
      <c r="V339" s="335"/>
      <c r="W339" s="335"/>
      <c r="X339" s="335"/>
      <c r="Y339" s="3"/>
      <c r="Z339" s="2998"/>
      <c r="AA339" s="2999"/>
      <c r="AB339" s="2999"/>
      <c r="AC339" s="2999"/>
      <c r="AD339" s="2999"/>
      <c r="AE339" s="2999"/>
      <c r="AF339" s="2999"/>
      <c r="AG339" s="2999"/>
      <c r="AH339" s="2999"/>
      <c r="AI339" s="2999"/>
      <c r="AJ339" s="2999"/>
      <c r="AK339" s="2999"/>
      <c r="AL339" s="2999"/>
      <c r="AM339" s="2999"/>
      <c r="AN339" s="2999"/>
      <c r="AO339" s="2999"/>
      <c r="AP339" s="2999"/>
      <c r="AQ339" s="2999"/>
      <c r="AR339" s="2999"/>
      <c r="AS339" s="2999"/>
      <c r="AT339" s="2999"/>
      <c r="AU339" s="3000"/>
      <c r="AW339" s="197"/>
      <c r="AX339" s="197"/>
    </row>
    <row r="340" spans="1:50" ht="15.75" customHeight="1" x14ac:dyDescent="0.15">
      <c r="A340" s="2"/>
      <c r="B340" s="335"/>
      <c r="C340" s="335"/>
      <c r="D340" s="335"/>
      <c r="E340" s="335"/>
      <c r="F340" s="335"/>
      <c r="G340" s="335"/>
      <c r="H340" s="335"/>
      <c r="I340" s="335"/>
      <c r="J340" s="335"/>
      <c r="K340" s="335"/>
      <c r="L340" s="335"/>
      <c r="M340" s="335"/>
      <c r="N340" s="335"/>
      <c r="O340" s="335"/>
      <c r="P340" s="335"/>
      <c r="Q340" s="335"/>
      <c r="R340" s="335"/>
      <c r="S340" s="335"/>
      <c r="T340" s="335"/>
      <c r="U340" s="335"/>
      <c r="V340" s="335"/>
      <c r="W340" s="335"/>
      <c r="X340" s="335"/>
      <c r="Y340" s="3"/>
      <c r="Z340" s="3001"/>
      <c r="AA340" s="3002"/>
      <c r="AB340" s="3002"/>
      <c r="AC340" s="3002"/>
      <c r="AD340" s="3002"/>
      <c r="AE340" s="3002"/>
      <c r="AF340" s="3002"/>
      <c r="AG340" s="3002"/>
      <c r="AH340" s="3002"/>
      <c r="AI340" s="3002"/>
      <c r="AJ340" s="3002"/>
      <c r="AK340" s="3002"/>
      <c r="AL340" s="3002"/>
      <c r="AM340" s="3002"/>
      <c r="AN340" s="3002"/>
      <c r="AO340" s="3002"/>
      <c r="AP340" s="3002"/>
      <c r="AQ340" s="3002"/>
      <c r="AR340" s="3002"/>
      <c r="AS340" s="3002"/>
      <c r="AT340" s="3002"/>
      <c r="AU340" s="3003"/>
      <c r="AW340" s="197"/>
      <c r="AX340" s="197"/>
    </row>
    <row r="341" spans="1:50" ht="15.75" customHeight="1" x14ac:dyDescent="0.15">
      <c r="A341" s="2"/>
      <c r="B341" s="371"/>
      <c r="C341" s="371"/>
      <c r="D341" s="371"/>
      <c r="E341" s="371"/>
      <c r="F341" s="371"/>
      <c r="G341" s="371"/>
      <c r="H341" s="371"/>
      <c r="I341" s="371"/>
      <c r="J341" s="371"/>
      <c r="K341" s="371"/>
      <c r="L341" s="371"/>
      <c r="M341" s="371"/>
      <c r="N341" s="371"/>
      <c r="O341" s="371"/>
      <c r="P341" s="371"/>
      <c r="Q341" s="371"/>
      <c r="R341" s="371"/>
      <c r="S341" s="371"/>
      <c r="T341" s="371"/>
      <c r="U341" s="371"/>
      <c r="V341" s="371"/>
      <c r="W341" s="371"/>
      <c r="X341" s="371"/>
      <c r="Y341" s="3"/>
      <c r="Z341" s="3004"/>
      <c r="AA341" s="3005"/>
      <c r="AB341" s="3005"/>
      <c r="AC341" s="3005"/>
      <c r="AD341" s="3005"/>
      <c r="AE341" s="3005"/>
      <c r="AF341" s="3005"/>
      <c r="AG341" s="3005"/>
      <c r="AH341" s="3005"/>
      <c r="AI341" s="3005"/>
      <c r="AJ341" s="3005"/>
      <c r="AK341" s="3005"/>
      <c r="AL341" s="3005"/>
      <c r="AM341" s="3005"/>
      <c r="AN341" s="3005"/>
      <c r="AO341" s="3005"/>
      <c r="AP341" s="3005"/>
      <c r="AQ341" s="3005"/>
      <c r="AR341" s="3005"/>
      <c r="AS341" s="3005"/>
      <c r="AT341" s="3005"/>
      <c r="AU341" s="3006"/>
      <c r="AW341" s="197"/>
      <c r="AX341" s="197"/>
    </row>
    <row r="342" spans="1:50" ht="15.75" customHeight="1" x14ac:dyDescent="0.15">
      <c r="A342" s="2"/>
      <c r="B342" s="371"/>
      <c r="C342" s="371"/>
      <c r="D342" s="371"/>
      <c r="E342" s="371"/>
      <c r="F342" s="371"/>
      <c r="G342" s="371"/>
      <c r="H342" s="371"/>
      <c r="I342" s="371"/>
      <c r="J342" s="371"/>
      <c r="K342" s="371"/>
      <c r="L342" s="371"/>
      <c r="M342" s="371"/>
      <c r="N342" s="371"/>
      <c r="O342" s="371"/>
      <c r="P342" s="371"/>
      <c r="Q342" s="371"/>
      <c r="R342" s="371"/>
      <c r="S342" s="371"/>
      <c r="T342" s="371"/>
      <c r="U342" s="371"/>
      <c r="V342" s="371"/>
      <c r="W342" s="371"/>
      <c r="X342" s="371"/>
      <c r="Y342" s="3"/>
      <c r="Z342" s="3004"/>
      <c r="AA342" s="3005"/>
      <c r="AB342" s="3005"/>
      <c r="AC342" s="3005"/>
      <c r="AD342" s="3005"/>
      <c r="AE342" s="3005"/>
      <c r="AF342" s="3005"/>
      <c r="AG342" s="3005"/>
      <c r="AH342" s="3005"/>
      <c r="AI342" s="3005"/>
      <c r="AJ342" s="3005"/>
      <c r="AK342" s="3005"/>
      <c r="AL342" s="3005"/>
      <c r="AM342" s="3005"/>
      <c r="AN342" s="3005"/>
      <c r="AO342" s="3005"/>
      <c r="AP342" s="3005"/>
      <c r="AQ342" s="3005"/>
      <c r="AR342" s="3005"/>
      <c r="AS342" s="3005"/>
      <c r="AT342" s="3005"/>
      <c r="AU342" s="3006"/>
      <c r="AW342" s="197"/>
      <c r="AX342" s="197"/>
    </row>
    <row r="343" spans="1:50" ht="15.75" customHeight="1" x14ac:dyDescent="0.15">
      <c r="A343" s="2"/>
      <c r="B343" s="371"/>
      <c r="C343" s="371"/>
      <c r="D343" s="371"/>
      <c r="E343" s="371"/>
      <c r="F343" s="371"/>
      <c r="G343" s="371"/>
      <c r="H343" s="371"/>
      <c r="I343" s="371"/>
      <c r="J343" s="371"/>
      <c r="K343" s="371"/>
      <c r="L343" s="371"/>
      <c r="M343" s="371"/>
      <c r="N343" s="371"/>
      <c r="O343" s="371"/>
      <c r="P343" s="371"/>
      <c r="Q343" s="371"/>
      <c r="R343" s="371"/>
      <c r="S343" s="371"/>
      <c r="T343" s="371"/>
      <c r="U343" s="371"/>
      <c r="V343" s="371"/>
      <c r="W343" s="371"/>
      <c r="X343" s="371"/>
      <c r="Y343" s="3"/>
      <c r="Z343" s="3004"/>
      <c r="AA343" s="3005"/>
      <c r="AB343" s="3005"/>
      <c r="AC343" s="3005"/>
      <c r="AD343" s="3005"/>
      <c r="AE343" s="3005"/>
      <c r="AF343" s="3005"/>
      <c r="AG343" s="3005"/>
      <c r="AH343" s="3005"/>
      <c r="AI343" s="3005"/>
      <c r="AJ343" s="3005"/>
      <c r="AK343" s="3005"/>
      <c r="AL343" s="3005"/>
      <c r="AM343" s="3005"/>
      <c r="AN343" s="3005"/>
      <c r="AO343" s="3005"/>
      <c r="AP343" s="3005"/>
      <c r="AQ343" s="3005"/>
      <c r="AR343" s="3005"/>
      <c r="AS343" s="3005"/>
      <c r="AT343" s="3005"/>
      <c r="AU343" s="3006"/>
      <c r="AW343" s="197"/>
      <c r="AX343" s="197"/>
    </row>
    <row r="344" spans="1:50" ht="15.75" customHeight="1" x14ac:dyDescent="0.15">
      <c r="A344" s="2"/>
      <c r="B344" s="371"/>
      <c r="C344" s="371"/>
      <c r="D344" s="371"/>
      <c r="E344" s="371"/>
      <c r="F344" s="371"/>
      <c r="G344" s="371"/>
      <c r="H344" s="371"/>
      <c r="I344" s="371"/>
      <c r="J344" s="371"/>
      <c r="K344" s="3013" t="s">
        <v>157</v>
      </c>
      <c r="L344" s="3013"/>
      <c r="M344" s="3013"/>
      <c r="N344" s="3013"/>
      <c r="O344" s="3013"/>
      <c r="P344" s="3013"/>
      <c r="Q344" s="371"/>
      <c r="R344" s="371"/>
      <c r="S344" s="371"/>
      <c r="T344" s="371"/>
      <c r="U344" s="371"/>
      <c r="V344" s="371"/>
      <c r="W344" s="371"/>
      <c r="X344" s="371"/>
      <c r="Y344" s="3"/>
      <c r="Z344" s="3004"/>
      <c r="AA344" s="3005"/>
      <c r="AB344" s="3005"/>
      <c r="AC344" s="3005"/>
      <c r="AD344" s="3005"/>
      <c r="AE344" s="3005"/>
      <c r="AF344" s="3005"/>
      <c r="AG344" s="3005"/>
      <c r="AH344" s="3005"/>
      <c r="AI344" s="3005"/>
      <c r="AJ344" s="3005"/>
      <c r="AK344" s="3005"/>
      <c r="AL344" s="3005"/>
      <c r="AM344" s="3005"/>
      <c r="AN344" s="3005"/>
      <c r="AO344" s="3005"/>
      <c r="AP344" s="3005"/>
      <c r="AQ344" s="3005"/>
      <c r="AR344" s="3005"/>
      <c r="AS344" s="3005"/>
      <c r="AT344" s="3005"/>
      <c r="AU344" s="3006"/>
      <c r="AW344" s="197"/>
      <c r="AX344" s="197"/>
    </row>
    <row r="345" spans="1:50" ht="15.75" customHeight="1" x14ac:dyDescent="0.15">
      <c r="A345" s="2"/>
      <c r="B345" s="371"/>
      <c r="C345" s="371"/>
      <c r="D345" s="371"/>
      <c r="E345" s="371"/>
      <c r="F345" s="371"/>
      <c r="G345" s="371"/>
      <c r="H345" s="371"/>
      <c r="I345" s="371"/>
      <c r="J345" s="371"/>
      <c r="K345" s="371"/>
      <c r="L345" s="371"/>
      <c r="M345" s="371"/>
      <c r="N345" s="371"/>
      <c r="O345" s="371"/>
      <c r="P345" s="371"/>
      <c r="Q345" s="371"/>
      <c r="R345" s="371"/>
      <c r="S345" s="371"/>
      <c r="T345" s="371"/>
      <c r="U345" s="371"/>
      <c r="V345" s="371"/>
      <c r="W345" s="371"/>
      <c r="X345" s="371"/>
      <c r="Y345" s="3"/>
      <c r="Z345" s="3004"/>
      <c r="AA345" s="3005"/>
      <c r="AB345" s="3005"/>
      <c r="AC345" s="3005"/>
      <c r="AD345" s="3005"/>
      <c r="AE345" s="3005"/>
      <c r="AF345" s="3005"/>
      <c r="AG345" s="3005"/>
      <c r="AH345" s="3005"/>
      <c r="AI345" s="3005"/>
      <c r="AJ345" s="3005"/>
      <c r="AK345" s="3005"/>
      <c r="AL345" s="3005"/>
      <c r="AM345" s="3005"/>
      <c r="AN345" s="3005"/>
      <c r="AO345" s="3005"/>
      <c r="AP345" s="3005"/>
      <c r="AQ345" s="3005"/>
      <c r="AR345" s="3005"/>
      <c r="AS345" s="3005"/>
      <c r="AT345" s="3005"/>
      <c r="AU345" s="3006"/>
      <c r="AW345" s="197"/>
      <c r="AX345" s="197"/>
    </row>
    <row r="346" spans="1:50" ht="15.75" customHeight="1" x14ac:dyDescent="0.15">
      <c r="A346" s="2"/>
      <c r="B346" s="371"/>
      <c r="C346" s="371"/>
      <c r="D346" s="371"/>
      <c r="E346" s="371"/>
      <c r="F346" s="371"/>
      <c r="G346" s="371"/>
      <c r="H346" s="371"/>
      <c r="I346" s="371"/>
      <c r="J346" s="371"/>
      <c r="K346" s="371"/>
      <c r="L346" s="371"/>
      <c r="M346" s="371"/>
      <c r="N346" s="371"/>
      <c r="O346" s="371"/>
      <c r="P346" s="371"/>
      <c r="Q346" s="371"/>
      <c r="R346" s="371"/>
      <c r="S346" s="371"/>
      <c r="T346" s="371"/>
      <c r="U346" s="371"/>
      <c r="V346" s="371"/>
      <c r="W346" s="371"/>
      <c r="X346" s="371"/>
      <c r="Y346" s="3"/>
      <c r="Z346" s="3004"/>
      <c r="AA346" s="3005"/>
      <c r="AB346" s="3005"/>
      <c r="AC346" s="3005"/>
      <c r="AD346" s="3005"/>
      <c r="AE346" s="3005"/>
      <c r="AF346" s="3005"/>
      <c r="AG346" s="3005"/>
      <c r="AH346" s="3005"/>
      <c r="AI346" s="3005"/>
      <c r="AJ346" s="3005"/>
      <c r="AK346" s="3005"/>
      <c r="AL346" s="3005"/>
      <c r="AM346" s="3005"/>
      <c r="AN346" s="3005"/>
      <c r="AO346" s="3005"/>
      <c r="AP346" s="3005"/>
      <c r="AQ346" s="3005"/>
      <c r="AR346" s="3005"/>
      <c r="AS346" s="3005"/>
      <c r="AT346" s="3005"/>
      <c r="AU346" s="3006"/>
      <c r="AW346" s="197"/>
      <c r="AX346" s="197"/>
    </row>
    <row r="347" spans="1:50" ht="15.75" customHeight="1" x14ac:dyDescent="0.15">
      <c r="A347" s="2"/>
      <c r="B347" s="371"/>
      <c r="C347" s="371"/>
      <c r="D347" s="371"/>
      <c r="E347" s="371"/>
      <c r="F347" s="371"/>
      <c r="G347" s="371"/>
      <c r="H347" s="371"/>
      <c r="I347" s="371"/>
      <c r="J347" s="371"/>
      <c r="K347" s="371"/>
      <c r="L347" s="371"/>
      <c r="M347" s="371"/>
      <c r="N347" s="371"/>
      <c r="O347" s="371"/>
      <c r="P347" s="371"/>
      <c r="Q347" s="371"/>
      <c r="R347" s="371"/>
      <c r="S347" s="371"/>
      <c r="T347" s="371"/>
      <c r="U347" s="371"/>
      <c r="V347" s="371"/>
      <c r="W347" s="371"/>
      <c r="X347" s="371"/>
      <c r="Y347" s="3"/>
      <c r="Z347" s="3004"/>
      <c r="AA347" s="3005"/>
      <c r="AB347" s="3005"/>
      <c r="AC347" s="3005"/>
      <c r="AD347" s="3005"/>
      <c r="AE347" s="3005"/>
      <c r="AF347" s="3005"/>
      <c r="AG347" s="3005"/>
      <c r="AH347" s="3005"/>
      <c r="AI347" s="3005"/>
      <c r="AJ347" s="3005"/>
      <c r="AK347" s="3005"/>
      <c r="AL347" s="3005"/>
      <c r="AM347" s="3005"/>
      <c r="AN347" s="3005"/>
      <c r="AO347" s="3005"/>
      <c r="AP347" s="3005"/>
      <c r="AQ347" s="3005"/>
      <c r="AR347" s="3005"/>
      <c r="AS347" s="3005"/>
      <c r="AT347" s="3005"/>
      <c r="AU347" s="3006"/>
      <c r="AW347" s="197"/>
      <c r="AX347" s="197"/>
    </row>
    <row r="348" spans="1:50" ht="15.75" customHeight="1" x14ac:dyDescent="0.15">
      <c r="A348" s="2"/>
      <c r="B348" s="371"/>
      <c r="C348" s="371"/>
      <c r="D348" s="371"/>
      <c r="E348" s="371"/>
      <c r="F348" s="371"/>
      <c r="G348" s="371"/>
      <c r="H348" s="371"/>
      <c r="I348" s="371"/>
      <c r="J348" s="371"/>
      <c r="K348" s="371"/>
      <c r="L348" s="371"/>
      <c r="M348" s="371"/>
      <c r="N348" s="371"/>
      <c r="O348" s="371"/>
      <c r="P348" s="371"/>
      <c r="Q348" s="371"/>
      <c r="R348" s="371"/>
      <c r="S348" s="371"/>
      <c r="T348" s="371"/>
      <c r="U348" s="371"/>
      <c r="V348" s="371"/>
      <c r="W348" s="371"/>
      <c r="X348" s="371"/>
      <c r="Y348" s="3"/>
      <c r="Z348" s="3004"/>
      <c r="AA348" s="3005"/>
      <c r="AB348" s="3005"/>
      <c r="AC348" s="3005"/>
      <c r="AD348" s="3005"/>
      <c r="AE348" s="3005"/>
      <c r="AF348" s="3005"/>
      <c r="AG348" s="3005"/>
      <c r="AH348" s="3005"/>
      <c r="AI348" s="3005"/>
      <c r="AJ348" s="3005"/>
      <c r="AK348" s="3005"/>
      <c r="AL348" s="3005"/>
      <c r="AM348" s="3005"/>
      <c r="AN348" s="3005"/>
      <c r="AO348" s="3005"/>
      <c r="AP348" s="3005"/>
      <c r="AQ348" s="3005"/>
      <c r="AR348" s="3005"/>
      <c r="AS348" s="3005"/>
      <c r="AT348" s="3005"/>
      <c r="AU348" s="3006"/>
      <c r="AW348" s="197"/>
      <c r="AX348" s="197"/>
    </row>
    <row r="349" spans="1:50" ht="15.75" customHeight="1" x14ac:dyDescent="0.15">
      <c r="A349" s="2"/>
      <c r="B349" s="371"/>
      <c r="C349" s="371"/>
      <c r="D349" s="371"/>
      <c r="E349" s="371"/>
      <c r="F349" s="371"/>
      <c r="G349" s="371"/>
      <c r="H349" s="371"/>
      <c r="I349" s="371"/>
      <c r="J349" s="371"/>
      <c r="K349" s="371"/>
      <c r="L349" s="371"/>
      <c r="M349" s="371"/>
      <c r="N349" s="371"/>
      <c r="O349" s="371"/>
      <c r="P349" s="371"/>
      <c r="Q349" s="371"/>
      <c r="R349" s="371"/>
      <c r="S349" s="371"/>
      <c r="T349" s="371"/>
      <c r="U349" s="371"/>
      <c r="V349" s="371"/>
      <c r="W349" s="371"/>
      <c r="X349" s="371"/>
      <c r="Y349" s="3"/>
      <c r="Z349" s="3004"/>
      <c r="AA349" s="3005"/>
      <c r="AB349" s="3005"/>
      <c r="AC349" s="3005"/>
      <c r="AD349" s="3005"/>
      <c r="AE349" s="3005"/>
      <c r="AF349" s="3005"/>
      <c r="AG349" s="3005"/>
      <c r="AH349" s="3005"/>
      <c r="AI349" s="3005"/>
      <c r="AJ349" s="3005"/>
      <c r="AK349" s="3005"/>
      <c r="AL349" s="3005"/>
      <c r="AM349" s="3005"/>
      <c r="AN349" s="3005"/>
      <c r="AO349" s="3005"/>
      <c r="AP349" s="3005"/>
      <c r="AQ349" s="3005"/>
      <c r="AR349" s="3005"/>
      <c r="AS349" s="3005"/>
      <c r="AT349" s="3005"/>
      <c r="AU349" s="3006"/>
      <c r="AW349" s="197"/>
      <c r="AX349" s="197"/>
    </row>
    <row r="350" spans="1:50" ht="15.75" customHeight="1" x14ac:dyDescent="0.15">
      <c r="A350" s="2"/>
      <c r="B350" s="371"/>
      <c r="C350" s="371"/>
      <c r="D350" s="371"/>
      <c r="E350" s="371"/>
      <c r="F350" s="371"/>
      <c r="G350" s="371"/>
      <c r="H350" s="371"/>
      <c r="I350" s="371"/>
      <c r="J350" s="371"/>
      <c r="K350" s="371"/>
      <c r="L350" s="371"/>
      <c r="M350" s="371"/>
      <c r="N350" s="371"/>
      <c r="O350" s="371"/>
      <c r="P350" s="371"/>
      <c r="Q350" s="371"/>
      <c r="R350" s="371"/>
      <c r="S350" s="371"/>
      <c r="T350" s="371"/>
      <c r="U350" s="371"/>
      <c r="V350" s="371"/>
      <c r="W350" s="371"/>
      <c r="X350" s="371"/>
      <c r="Y350" s="3"/>
      <c r="Z350" s="3004"/>
      <c r="AA350" s="3005"/>
      <c r="AB350" s="3005"/>
      <c r="AC350" s="3005"/>
      <c r="AD350" s="3005"/>
      <c r="AE350" s="3005"/>
      <c r="AF350" s="3005"/>
      <c r="AG350" s="3005"/>
      <c r="AH350" s="3005"/>
      <c r="AI350" s="3005"/>
      <c r="AJ350" s="3005"/>
      <c r="AK350" s="3005"/>
      <c r="AL350" s="3005"/>
      <c r="AM350" s="3005"/>
      <c r="AN350" s="3005"/>
      <c r="AO350" s="3005"/>
      <c r="AP350" s="3005"/>
      <c r="AQ350" s="3005"/>
      <c r="AR350" s="3005"/>
      <c r="AS350" s="3005"/>
      <c r="AT350" s="3005"/>
      <c r="AU350" s="3006"/>
      <c r="AW350" s="197"/>
      <c r="AX350" s="197"/>
    </row>
    <row r="351" spans="1:50" ht="15.75" customHeight="1" x14ac:dyDescent="0.15">
      <c r="A351" s="2"/>
      <c r="B351" s="371"/>
      <c r="C351" s="371"/>
      <c r="D351" s="371"/>
      <c r="E351" s="371"/>
      <c r="F351" s="371"/>
      <c r="G351" s="371"/>
      <c r="H351" s="371"/>
      <c r="I351" s="371"/>
      <c r="J351" s="371"/>
      <c r="K351" s="371"/>
      <c r="L351" s="371"/>
      <c r="M351" s="371"/>
      <c r="N351" s="371"/>
      <c r="O351" s="371"/>
      <c r="P351" s="371"/>
      <c r="Q351" s="371"/>
      <c r="R351" s="371"/>
      <c r="S351" s="371"/>
      <c r="T351" s="371"/>
      <c r="U351" s="371"/>
      <c r="V351" s="371"/>
      <c r="W351" s="371"/>
      <c r="X351" s="371"/>
      <c r="Y351" s="3"/>
      <c r="Z351" s="3004"/>
      <c r="AA351" s="3005"/>
      <c r="AB351" s="3005"/>
      <c r="AC351" s="3005"/>
      <c r="AD351" s="3005"/>
      <c r="AE351" s="3005"/>
      <c r="AF351" s="3005"/>
      <c r="AG351" s="3005"/>
      <c r="AH351" s="3005"/>
      <c r="AI351" s="3005"/>
      <c r="AJ351" s="3005"/>
      <c r="AK351" s="3005"/>
      <c r="AL351" s="3005"/>
      <c r="AM351" s="3005"/>
      <c r="AN351" s="3005"/>
      <c r="AO351" s="3005"/>
      <c r="AP351" s="3005"/>
      <c r="AQ351" s="3005"/>
      <c r="AR351" s="3005"/>
      <c r="AS351" s="3005"/>
      <c r="AT351" s="3005"/>
      <c r="AU351" s="3006"/>
      <c r="AW351" s="197"/>
      <c r="AX351" s="197"/>
    </row>
    <row r="352" spans="1:50" ht="15.75" customHeight="1" x14ac:dyDescent="0.15">
      <c r="A352" s="2"/>
      <c r="B352" s="371"/>
      <c r="C352" s="371"/>
      <c r="D352" s="371"/>
      <c r="E352" s="371"/>
      <c r="F352" s="371"/>
      <c r="G352" s="371"/>
      <c r="H352" s="371"/>
      <c r="I352" s="371"/>
      <c r="J352" s="371"/>
      <c r="K352" s="371"/>
      <c r="L352" s="371"/>
      <c r="M352" s="371"/>
      <c r="N352" s="371"/>
      <c r="O352" s="371"/>
      <c r="P352" s="371"/>
      <c r="Q352" s="371"/>
      <c r="R352" s="371"/>
      <c r="S352" s="371"/>
      <c r="T352" s="371"/>
      <c r="U352" s="371"/>
      <c r="V352" s="371"/>
      <c r="W352" s="371"/>
      <c r="X352" s="371"/>
      <c r="Y352" s="3"/>
      <c r="Z352" s="3004"/>
      <c r="AA352" s="3005"/>
      <c r="AB352" s="3005"/>
      <c r="AC352" s="3005"/>
      <c r="AD352" s="3005"/>
      <c r="AE352" s="3005"/>
      <c r="AF352" s="3005"/>
      <c r="AG352" s="3005"/>
      <c r="AH352" s="3005"/>
      <c r="AI352" s="3005"/>
      <c r="AJ352" s="3005"/>
      <c r="AK352" s="3005"/>
      <c r="AL352" s="3005"/>
      <c r="AM352" s="3005"/>
      <c r="AN352" s="3005"/>
      <c r="AO352" s="3005"/>
      <c r="AP352" s="3005"/>
      <c r="AQ352" s="3005"/>
      <c r="AR352" s="3005"/>
      <c r="AS352" s="3005"/>
      <c r="AT352" s="3005"/>
      <c r="AU352" s="3006"/>
      <c r="AW352" s="197"/>
      <c r="AX352" s="197"/>
    </row>
    <row r="353" spans="1:50" ht="15.75" customHeight="1" x14ac:dyDescent="0.15">
      <c r="A353" s="6"/>
      <c r="B353" s="4"/>
      <c r="C353" s="4"/>
      <c r="D353" s="4"/>
      <c r="E353" s="4"/>
      <c r="F353" s="4"/>
      <c r="G353" s="4"/>
      <c r="H353" s="4"/>
      <c r="I353" s="4"/>
      <c r="J353" s="4"/>
      <c r="K353" s="4"/>
      <c r="L353" s="4"/>
      <c r="M353" s="4"/>
      <c r="N353" s="4"/>
      <c r="O353" s="4"/>
      <c r="P353" s="4"/>
      <c r="Q353" s="4"/>
      <c r="R353" s="4"/>
      <c r="S353" s="4"/>
      <c r="T353" s="4"/>
      <c r="U353" s="4"/>
      <c r="V353" s="4"/>
      <c r="W353" s="4"/>
      <c r="X353" s="4"/>
      <c r="Y353" s="5"/>
      <c r="Z353" s="3007"/>
      <c r="AA353" s="3008"/>
      <c r="AB353" s="3008"/>
      <c r="AC353" s="3008"/>
      <c r="AD353" s="3008"/>
      <c r="AE353" s="3008"/>
      <c r="AF353" s="3008"/>
      <c r="AG353" s="3008"/>
      <c r="AH353" s="3008"/>
      <c r="AI353" s="3008"/>
      <c r="AJ353" s="3008"/>
      <c r="AK353" s="3008"/>
      <c r="AL353" s="3008"/>
      <c r="AM353" s="3008"/>
      <c r="AN353" s="3008"/>
      <c r="AO353" s="3008"/>
      <c r="AP353" s="3008"/>
      <c r="AQ353" s="3008"/>
      <c r="AR353" s="3008"/>
      <c r="AS353" s="3008"/>
      <c r="AT353" s="3008"/>
      <c r="AU353" s="3009"/>
      <c r="AW353" s="197"/>
      <c r="AX353" s="197"/>
    </row>
    <row r="354" spans="1:50" ht="12.75" customHeight="1" x14ac:dyDescent="0.15">
      <c r="AW354" s="197"/>
      <c r="AX354" s="197"/>
    </row>
    <row r="355" spans="1:50" ht="12.75" customHeight="1" x14ac:dyDescent="0.15">
      <c r="A355" s="3027" t="s">
        <v>150</v>
      </c>
      <c r="B355" s="3027"/>
      <c r="C355" s="3027"/>
      <c r="D355" s="3027"/>
      <c r="AU355" s="337"/>
      <c r="AW355" s="197"/>
      <c r="AX355" s="197"/>
    </row>
    <row r="356" spans="1:50" ht="12.75" customHeight="1" x14ac:dyDescent="0.15">
      <c r="B356" s="338" t="s">
        <v>151</v>
      </c>
      <c r="C356" s="2993" t="s">
        <v>169</v>
      </c>
      <c r="D356" s="2993"/>
      <c r="E356" s="2993"/>
      <c r="F356" s="2993"/>
      <c r="G356" s="2993"/>
      <c r="H356" s="2993"/>
      <c r="I356" s="2993"/>
      <c r="J356" s="2993"/>
      <c r="K356" s="2993"/>
      <c r="L356" s="2993"/>
      <c r="M356" s="2993"/>
      <c r="N356" s="2993"/>
      <c r="O356" s="2993"/>
      <c r="P356" s="2993"/>
      <c r="Q356" s="2993"/>
      <c r="R356" s="2993"/>
      <c r="S356" s="2993"/>
      <c r="T356" s="2993"/>
      <c r="U356" s="2993"/>
      <c r="V356" s="2993"/>
      <c r="W356" s="2993"/>
      <c r="X356" s="2993"/>
      <c r="Y356" s="2993"/>
      <c r="Z356" s="2993"/>
      <c r="AA356" s="2993"/>
      <c r="AB356" s="2993"/>
      <c r="AC356" s="2993"/>
      <c r="AD356" s="2993"/>
      <c r="AE356" s="2993"/>
      <c r="AF356" s="2993"/>
      <c r="AG356" s="2993"/>
      <c r="AH356" s="2993"/>
      <c r="AI356" s="2993"/>
      <c r="AJ356" s="2993"/>
      <c r="AK356" s="2993"/>
      <c r="AL356" s="2993"/>
      <c r="AM356" s="2993"/>
      <c r="AN356" s="2993"/>
      <c r="AO356" s="2993"/>
      <c r="AP356" s="2993"/>
      <c r="AQ356" s="2993"/>
      <c r="AR356" s="2993"/>
      <c r="AS356" s="2993"/>
      <c r="AT356" s="2993"/>
      <c r="AU356" s="2993"/>
      <c r="AW356" s="197"/>
      <c r="AX356" s="197"/>
    </row>
    <row r="357" spans="1:50" ht="12.75" customHeight="1" x14ac:dyDescent="0.15">
      <c r="B357" s="338"/>
      <c r="C357" s="2994" t="s">
        <v>170</v>
      </c>
      <c r="D357" s="2994"/>
      <c r="E357" s="2994"/>
      <c r="F357" s="2994"/>
      <c r="G357" s="2994"/>
      <c r="H357" s="2994"/>
      <c r="I357" s="2994"/>
      <c r="J357" s="2994"/>
      <c r="K357" s="2994"/>
      <c r="L357" s="2994"/>
      <c r="M357" s="2994"/>
      <c r="N357" s="2994"/>
      <c r="O357" s="2994"/>
      <c r="P357" s="2994"/>
      <c r="Q357" s="2994"/>
      <c r="R357" s="2994"/>
      <c r="S357" s="2994"/>
      <c r="T357" s="2994"/>
      <c r="U357" s="2994"/>
      <c r="V357" s="2994"/>
      <c r="W357" s="2994"/>
      <c r="X357" s="2994"/>
      <c r="Y357" s="2994"/>
      <c r="Z357" s="2994"/>
      <c r="AA357" s="2994"/>
      <c r="AB357" s="2994"/>
      <c r="AC357" s="2994"/>
      <c r="AD357" s="2994"/>
      <c r="AE357" s="2994"/>
      <c r="AF357" s="2994"/>
      <c r="AG357" s="2994"/>
      <c r="AH357" s="2994"/>
      <c r="AI357" s="2994"/>
      <c r="AJ357" s="2994"/>
      <c r="AK357" s="2994"/>
      <c r="AL357" s="2994"/>
      <c r="AM357" s="2994"/>
      <c r="AN357" s="2994"/>
      <c r="AO357" s="2994"/>
      <c r="AP357" s="2994"/>
      <c r="AQ357" s="2994"/>
      <c r="AR357" s="2994"/>
      <c r="AS357" s="2994"/>
      <c r="AT357" s="2994"/>
      <c r="AU357" s="2994"/>
      <c r="AW357" s="197"/>
      <c r="AX357" s="197"/>
    </row>
    <row r="358" spans="1:50" ht="12.75" customHeight="1" x14ac:dyDescent="0.15">
      <c r="B358" s="338"/>
      <c r="C358" s="2994" t="s">
        <v>171</v>
      </c>
      <c r="D358" s="2994"/>
      <c r="E358" s="2994"/>
      <c r="F358" s="2994"/>
      <c r="G358" s="2994"/>
      <c r="H358" s="2994"/>
      <c r="I358" s="2994"/>
      <c r="J358" s="2994"/>
      <c r="K358" s="2994"/>
      <c r="L358" s="2994"/>
      <c r="M358" s="2994"/>
      <c r="N358" s="2994"/>
      <c r="O358" s="2994"/>
      <c r="P358" s="2994"/>
      <c r="Q358" s="2994"/>
      <c r="R358" s="2994"/>
      <c r="S358" s="2994"/>
      <c r="T358" s="2994"/>
      <c r="U358" s="2994"/>
      <c r="V358" s="2994"/>
      <c r="W358" s="2994"/>
      <c r="X358" s="2994"/>
      <c r="Y358" s="2994"/>
      <c r="Z358" s="2994"/>
      <c r="AA358" s="2994"/>
      <c r="AB358" s="2994"/>
      <c r="AC358" s="2994"/>
      <c r="AD358" s="2994"/>
      <c r="AE358" s="2994"/>
      <c r="AF358" s="2994"/>
      <c r="AG358" s="2994"/>
      <c r="AH358" s="2994"/>
      <c r="AI358" s="2994"/>
      <c r="AJ358" s="2994"/>
      <c r="AK358" s="2994"/>
      <c r="AL358" s="2994"/>
      <c r="AM358" s="2994"/>
      <c r="AN358" s="2994"/>
      <c r="AO358" s="2994"/>
      <c r="AP358" s="2994"/>
      <c r="AQ358" s="2994"/>
      <c r="AR358" s="2994"/>
      <c r="AS358" s="2994"/>
      <c r="AT358" s="2994"/>
      <c r="AU358" s="2994"/>
      <c r="AW358" s="197"/>
      <c r="AX358" s="197"/>
    </row>
    <row r="359" spans="1:50" ht="12.75" customHeight="1" x14ac:dyDescent="0.15">
      <c r="B359" s="338" t="s">
        <v>158</v>
      </c>
      <c r="C359" s="2994" t="s">
        <v>159</v>
      </c>
      <c r="D359" s="2994"/>
      <c r="E359" s="2994"/>
      <c r="F359" s="2994"/>
      <c r="G359" s="2994"/>
      <c r="H359" s="2994"/>
      <c r="I359" s="2994"/>
      <c r="J359" s="2994"/>
      <c r="K359" s="2994"/>
      <c r="L359" s="2994"/>
      <c r="M359" s="2994"/>
      <c r="N359" s="2994"/>
      <c r="O359" s="2994"/>
      <c r="P359" s="2994"/>
      <c r="Q359" s="2994"/>
      <c r="R359" s="2994"/>
      <c r="S359" s="2994"/>
      <c r="T359" s="2994"/>
      <c r="U359" s="2994"/>
      <c r="V359" s="2994"/>
      <c r="W359" s="2994"/>
      <c r="X359" s="2994"/>
      <c r="Y359" s="2994"/>
      <c r="Z359" s="2994"/>
      <c r="AA359" s="2994"/>
      <c r="AB359" s="2994"/>
      <c r="AC359" s="2994"/>
      <c r="AD359" s="2994"/>
      <c r="AE359" s="2994"/>
      <c r="AF359" s="2994"/>
      <c r="AG359" s="2994"/>
      <c r="AH359" s="2994"/>
      <c r="AI359" s="2994"/>
      <c r="AJ359" s="2994"/>
      <c r="AK359" s="2994"/>
      <c r="AL359" s="2994"/>
      <c r="AM359" s="2994"/>
      <c r="AN359" s="2994"/>
      <c r="AO359" s="2994"/>
      <c r="AP359" s="2994"/>
      <c r="AQ359" s="2994"/>
      <c r="AR359" s="2994"/>
      <c r="AS359" s="2994"/>
      <c r="AT359" s="2994"/>
      <c r="AU359" s="2994"/>
      <c r="AW359" s="197"/>
      <c r="AX359" s="197"/>
    </row>
    <row r="360" spans="1:50" ht="12.75" customHeight="1" x14ac:dyDescent="0.15">
      <c r="B360" s="338" t="s">
        <v>152</v>
      </c>
      <c r="C360" s="2994" t="s">
        <v>0</v>
      </c>
      <c r="D360" s="2994"/>
      <c r="E360" s="2994"/>
      <c r="F360" s="2994"/>
      <c r="G360" s="2994"/>
      <c r="H360" s="2994"/>
      <c r="I360" s="2994"/>
      <c r="J360" s="2994"/>
      <c r="K360" s="2994"/>
      <c r="L360" s="2994"/>
      <c r="M360" s="2994"/>
      <c r="N360" s="2994"/>
      <c r="O360" s="2994"/>
      <c r="P360" s="2994"/>
      <c r="Q360" s="2994"/>
      <c r="R360" s="2994"/>
      <c r="S360" s="2994"/>
      <c r="T360" s="2994"/>
      <c r="U360" s="2994"/>
      <c r="V360" s="2994"/>
      <c r="W360" s="2994"/>
      <c r="X360" s="2994"/>
      <c r="Y360" s="2994"/>
      <c r="Z360" s="2994"/>
      <c r="AA360" s="2994"/>
      <c r="AB360" s="2994"/>
      <c r="AC360" s="2994"/>
      <c r="AD360" s="2994"/>
      <c r="AE360" s="2994"/>
      <c r="AF360" s="2994"/>
      <c r="AG360" s="2994"/>
      <c r="AH360" s="2994"/>
      <c r="AI360" s="2994"/>
      <c r="AJ360" s="2994"/>
      <c r="AK360" s="2994"/>
      <c r="AL360" s="2994"/>
      <c r="AM360" s="2994"/>
      <c r="AN360" s="2994"/>
      <c r="AO360" s="2994"/>
      <c r="AP360" s="2994"/>
      <c r="AQ360" s="2994"/>
      <c r="AR360" s="2994"/>
      <c r="AS360" s="2994"/>
      <c r="AT360" s="2994"/>
      <c r="AU360" s="2994"/>
      <c r="AW360" s="197"/>
      <c r="AX360" s="197"/>
    </row>
    <row r="361" spans="1:50" ht="12.75" customHeight="1" x14ac:dyDescent="0.15">
      <c r="B361" s="338" t="s">
        <v>160</v>
      </c>
      <c r="C361" s="2994" t="s">
        <v>172</v>
      </c>
      <c r="D361" s="2994"/>
      <c r="E361" s="2994"/>
      <c r="F361" s="2994"/>
      <c r="G361" s="2994"/>
      <c r="H361" s="2994"/>
      <c r="I361" s="2994"/>
      <c r="J361" s="2994"/>
      <c r="K361" s="2994"/>
      <c r="L361" s="2994"/>
      <c r="M361" s="2994"/>
      <c r="N361" s="2994"/>
      <c r="O361" s="2994"/>
      <c r="P361" s="2994"/>
      <c r="Q361" s="2994"/>
      <c r="R361" s="2994"/>
      <c r="S361" s="2994"/>
      <c r="T361" s="2994"/>
      <c r="U361" s="2994"/>
      <c r="V361" s="2994"/>
      <c r="W361" s="2994"/>
      <c r="X361" s="2994"/>
      <c r="Y361" s="2994"/>
      <c r="Z361" s="2994"/>
      <c r="AA361" s="2994"/>
      <c r="AB361" s="2994"/>
      <c r="AC361" s="2994"/>
      <c r="AD361" s="2994"/>
      <c r="AE361" s="2994"/>
      <c r="AF361" s="2994"/>
      <c r="AG361" s="2994"/>
      <c r="AH361" s="2994"/>
      <c r="AI361" s="2994"/>
      <c r="AJ361" s="2994"/>
      <c r="AK361" s="2994"/>
      <c r="AL361" s="2994"/>
      <c r="AM361" s="2994"/>
      <c r="AN361" s="2994"/>
      <c r="AO361" s="2994"/>
      <c r="AP361" s="2994"/>
      <c r="AQ361" s="2994"/>
      <c r="AR361" s="2994"/>
      <c r="AS361" s="2994"/>
      <c r="AT361" s="2994"/>
      <c r="AU361" s="2994"/>
      <c r="AW361" s="197"/>
      <c r="AX361" s="197"/>
    </row>
    <row r="362" spans="1:50" ht="12.75" customHeight="1" x14ac:dyDescent="0.15">
      <c r="C362" s="2994" t="s">
        <v>173</v>
      </c>
      <c r="D362" s="2994"/>
      <c r="E362" s="2994"/>
      <c r="F362" s="2994"/>
      <c r="G362" s="2994"/>
      <c r="H362" s="2994"/>
      <c r="I362" s="2994"/>
      <c r="J362" s="2994"/>
      <c r="K362" s="2994"/>
      <c r="L362" s="2994"/>
      <c r="M362" s="2994"/>
      <c r="N362" s="2994"/>
      <c r="O362" s="2994"/>
      <c r="P362" s="2994"/>
      <c r="Q362" s="2994"/>
      <c r="R362" s="2994"/>
      <c r="S362" s="2994"/>
      <c r="T362" s="2994"/>
      <c r="U362" s="2994"/>
      <c r="V362" s="2994"/>
      <c r="W362" s="2994"/>
      <c r="X362" s="2994"/>
      <c r="Y362" s="2994"/>
      <c r="Z362" s="2994"/>
      <c r="AA362" s="2994"/>
      <c r="AB362" s="2994"/>
      <c r="AC362" s="2994"/>
      <c r="AD362" s="2994"/>
      <c r="AE362" s="2994"/>
      <c r="AF362" s="2994"/>
      <c r="AG362" s="2994"/>
      <c r="AH362" s="2994"/>
      <c r="AI362" s="2994"/>
      <c r="AJ362" s="2994"/>
      <c r="AK362" s="2994"/>
      <c r="AL362" s="2994"/>
      <c r="AM362" s="2994"/>
      <c r="AN362" s="2994"/>
      <c r="AO362" s="2994"/>
      <c r="AP362" s="2994"/>
      <c r="AQ362" s="2994"/>
      <c r="AR362" s="2994"/>
      <c r="AS362" s="2994"/>
      <c r="AT362" s="2994"/>
      <c r="AU362" s="2994"/>
      <c r="AW362" s="197"/>
      <c r="AX362" s="197"/>
    </row>
    <row r="363" spans="1:50" ht="12.75" customHeight="1" x14ac:dyDescent="0.15">
      <c r="B363" s="338" t="s">
        <v>1</v>
      </c>
      <c r="C363" s="2994" t="s">
        <v>2</v>
      </c>
      <c r="D363" s="2994"/>
      <c r="E363" s="2994"/>
      <c r="F363" s="2994"/>
      <c r="G363" s="2994"/>
      <c r="H363" s="2994"/>
      <c r="I363" s="2994"/>
      <c r="J363" s="2994"/>
      <c r="K363" s="2994"/>
      <c r="L363" s="2994"/>
      <c r="M363" s="2994"/>
      <c r="N363" s="2994"/>
      <c r="O363" s="2994"/>
      <c r="P363" s="2994"/>
      <c r="Q363" s="2994"/>
      <c r="R363" s="2994"/>
      <c r="S363" s="2994"/>
      <c r="T363" s="2994"/>
      <c r="U363" s="2994"/>
      <c r="V363" s="2994"/>
      <c r="W363" s="2994"/>
      <c r="X363" s="2994"/>
      <c r="Y363" s="2994"/>
      <c r="Z363" s="2994"/>
      <c r="AA363" s="2994"/>
      <c r="AB363" s="2994"/>
      <c r="AC363" s="2994"/>
      <c r="AD363" s="2994"/>
      <c r="AE363" s="2994"/>
      <c r="AF363" s="2994"/>
      <c r="AG363" s="2994"/>
      <c r="AH363" s="2994"/>
      <c r="AI363" s="2994"/>
      <c r="AJ363" s="2994"/>
      <c r="AK363" s="2994"/>
      <c r="AL363" s="2994"/>
      <c r="AM363" s="2994"/>
      <c r="AN363" s="2994"/>
      <c r="AO363" s="2994"/>
      <c r="AP363" s="2994"/>
      <c r="AQ363" s="2994"/>
      <c r="AR363" s="2994"/>
      <c r="AS363" s="2994"/>
      <c r="AT363" s="2994"/>
      <c r="AU363" s="2994"/>
      <c r="AW363" s="197"/>
      <c r="AX363" s="197"/>
    </row>
    <row r="364" spans="1:50" ht="12.75" customHeight="1" x14ac:dyDescent="0.15">
      <c r="B364" s="338"/>
      <c r="C364" s="338"/>
      <c r="D364" s="338"/>
      <c r="E364" s="338"/>
      <c r="F364" s="338"/>
      <c r="G364" s="338"/>
      <c r="H364" s="338"/>
      <c r="I364" s="338"/>
      <c r="J364" s="338"/>
      <c r="K364" s="338"/>
      <c r="L364" s="338"/>
      <c r="M364" s="338"/>
      <c r="N364" s="338"/>
      <c r="O364" s="338"/>
      <c r="P364" s="338"/>
      <c r="Q364" s="338"/>
      <c r="R364" s="338"/>
      <c r="S364" s="338"/>
      <c r="T364" s="338"/>
      <c r="U364" s="338"/>
      <c r="V364" s="338"/>
      <c r="W364" s="338"/>
      <c r="X364" s="338"/>
      <c r="Y364" s="338"/>
      <c r="Z364" s="338"/>
      <c r="AA364" s="338"/>
      <c r="AB364" s="338"/>
      <c r="AC364" s="338"/>
      <c r="AD364" s="338"/>
      <c r="AE364" s="338"/>
      <c r="AF364" s="338"/>
      <c r="AG364" s="338"/>
      <c r="AH364" s="338"/>
      <c r="AI364" s="338"/>
      <c r="AJ364" s="338"/>
      <c r="AK364" s="338"/>
      <c r="AL364" s="338"/>
      <c r="AM364" s="338"/>
      <c r="AN364" s="338"/>
      <c r="AO364" s="338"/>
      <c r="AP364" s="338"/>
      <c r="AQ364" s="338"/>
      <c r="AR364" s="338"/>
      <c r="AS364" s="338"/>
      <c r="AT364" s="338"/>
      <c r="AU364" s="337"/>
      <c r="AW364" s="197"/>
      <c r="AX364" s="197"/>
    </row>
    <row r="365" spans="1:50" ht="12.75" customHeight="1" x14ac:dyDescent="0.15">
      <c r="AG365" s="337"/>
      <c r="AH365" s="337"/>
      <c r="AI365" s="337"/>
      <c r="AJ365" s="337"/>
      <c r="AK365" s="337"/>
      <c r="AL365" s="337"/>
      <c r="AM365" s="337"/>
      <c r="AN365" s="337"/>
      <c r="AO365" s="337"/>
      <c r="AP365" s="337"/>
      <c r="AQ365" s="337"/>
      <c r="AR365" s="337"/>
      <c r="AS365" s="337"/>
      <c r="AT365" s="337"/>
      <c r="AW365" s="197"/>
      <c r="AX365" s="197"/>
    </row>
    <row r="366" spans="1:50" ht="12.75" customHeight="1" x14ac:dyDescent="0.15">
      <c r="A366" s="336" t="s">
        <v>18</v>
      </c>
      <c r="B366" s="336" t="s">
        <v>153</v>
      </c>
      <c r="C366" s="336">
        <v>2</v>
      </c>
      <c r="D366" s="336" t="s">
        <v>5</v>
      </c>
      <c r="E366" s="336" t="s">
        <v>6</v>
      </c>
      <c r="F366" s="336"/>
      <c r="G366" s="336" t="s">
        <v>25</v>
      </c>
      <c r="H366" s="336" t="s">
        <v>175</v>
      </c>
      <c r="I366" s="336">
        <v>4</v>
      </c>
      <c r="J366" s="336" t="s">
        <v>22</v>
      </c>
      <c r="AO366" s="423" t="str">
        <f>$AO$7</f>
        <v>Kyoto City（R7.7） ver.120</v>
      </c>
      <c r="AP366" s="387" t="str">
        <f>IF('1_入力シート【基本情報】'!$AB$7="","",'1_入力シート【基本情報】'!$AB$7)</f>
        <v/>
      </c>
      <c r="AQ366" s="386" t="str">
        <f>IF('1_入力シート【基本情報】'!$AK$7="","",'1_入力シート【基本情報】'!$AK$7)</f>
        <v/>
      </c>
      <c r="AR366" s="2990" t="str">
        <f>IF('1_入力シート【基本情報】'!$AT$7="","",TEXT('1_入力シート【基本情報】'!$AT$7,"0000"))</f>
        <v/>
      </c>
      <c r="AS366" s="2991"/>
      <c r="AT366" s="2991"/>
      <c r="AU366" s="2992"/>
      <c r="AW366" s="197"/>
      <c r="AX366" s="197"/>
    </row>
    <row r="367" spans="1:50" ht="12.75" customHeight="1" x14ac:dyDescent="0.15">
      <c r="U367" s="3049" t="s">
        <v>174</v>
      </c>
      <c r="V367" s="3049"/>
      <c r="W367" s="3049"/>
      <c r="X367" s="3049"/>
      <c r="Y367" s="3049"/>
      <c r="Z367" s="3049"/>
      <c r="AW367" s="197"/>
      <c r="AX367" s="197"/>
    </row>
    <row r="368" spans="1:50" ht="12.75" customHeight="1" x14ac:dyDescent="0.15">
      <c r="AW368" s="197"/>
      <c r="AX368" s="197"/>
    </row>
    <row r="369" spans="1:53" ht="15.75" customHeight="1" x14ac:dyDescent="0.15">
      <c r="A369" s="3018" t="s">
        <v>154</v>
      </c>
      <c r="B369" s="3019"/>
      <c r="C369" s="3020"/>
      <c r="D369" s="3037" t="s">
        <v>155</v>
      </c>
      <c r="E369" s="3038"/>
      <c r="F369" s="3038"/>
      <c r="G369" s="3038"/>
      <c r="H369" s="3038"/>
      <c r="I369" s="3038"/>
      <c r="J369" s="3039"/>
      <c r="K369" s="340"/>
      <c r="L369" s="341"/>
      <c r="M369" s="341"/>
      <c r="N369" s="341"/>
      <c r="O369" s="341"/>
      <c r="P369" s="341"/>
      <c r="Q369" s="341"/>
      <c r="R369" s="341"/>
      <c r="S369" s="342" t="s">
        <v>7</v>
      </c>
      <c r="T369" s="342" t="s">
        <v>8</v>
      </c>
      <c r="U369" s="342" t="s">
        <v>9</v>
      </c>
      <c r="V369" s="342" t="s">
        <v>156</v>
      </c>
      <c r="W369" s="342"/>
      <c r="X369" s="342"/>
      <c r="Y369" s="342"/>
      <c r="Z369" s="342"/>
      <c r="AA369" s="342"/>
      <c r="AB369" s="342"/>
      <c r="AC369" s="342"/>
      <c r="AD369" s="342"/>
      <c r="AE369" s="342"/>
      <c r="AF369" s="342"/>
      <c r="AG369" s="342"/>
      <c r="AH369" s="342"/>
      <c r="AI369" s="343"/>
      <c r="AJ369" s="344"/>
      <c r="AK369" s="3038" t="s">
        <v>33</v>
      </c>
      <c r="AL369" s="3038"/>
      <c r="AM369" s="3038"/>
      <c r="AN369" s="3038"/>
      <c r="AO369" s="3038"/>
      <c r="AP369" s="3038"/>
      <c r="AQ369" s="3038"/>
      <c r="AR369" s="3038"/>
      <c r="AS369" s="3038"/>
      <c r="AT369" s="3038"/>
      <c r="AU369" s="345"/>
      <c r="AW369" s="197"/>
      <c r="AX369" s="197"/>
    </row>
    <row r="370" spans="1:53" ht="15.75" customHeight="1" thickBot="1" x14ac:dyDescent="0.2">
      <c r="A370" s="3031"/>
      <c r="B370" s="3032"/>
      <c r="C370" s="3033"/>
      <c r="D370" s="3018" t="str">
        <f>IFERROR(VLOOKUP(13,'1_入力シート【基本情報】'!$DU$319:$DX$534,3,FALSE),"")</f>
        <v/>
      </c>
      <c r="E370" s="3019"/>
      <c r="F370" s="3019"/>
      <c r="G370" s="3019"/>
      <c r="H370" s="3019"/>
      <c r="I370" s="3019"/>
      <c r="J370" s="3020"/>
      <c r="K370" s="3040" t="str">
        <f>IFERROR(VLOOKUP(13,'1_入力シート【基本情報】'!$DU$319:$DX$534,4,FALSE),"")</f>
        <v/>
      </c>
      <c r="L370" s="3041"/>
      <c r="M370" s="3041"/>
      <c r="N370" s="3041"/>
      <c r="O370" s="3041"/>
      <c r="P370" s="3041"/>
      <c r="Q370" s="3041"/>
      <c r="R370" s="3041"/>
      <c r="S370" s="3041"/>
      <c r="T370" s="3041"/>
      <c r="U370" s="3041"/>
      <c r="V370" s="3041"/>
      <c r="W370" s="3041"/>
      <c r="X370" s="3041"/>
      <c r="Y370" s="3041"/>
      <c r="Z370" s="3041"/>
      <c r="AA370" s="3041"/>
      <c r="AB370" s="3041"/>
      <c r="AC370" s="3041"/>
      <c r="AD370" s="3041"/>
      <c r="AE370" s="3041"/>
      <c r="AF370" s="3041"/>
      <c r="AG370" s="3041"/>
      <c r="AH370" s="3041"/>
      <c r="AI370" s="3042"/>
      <c r="AJ370" s="367"/>
      <c r="AK370" s="367"/>
      <c r="AL370" s="367"/>
      <c r="AM370" s="367"/>
      <c r="AN370" s="367"/>
      <c r="AO370" s="367"/>
      <c r="AP370" s="367"/>
      <c r="AQ370" s="367"/>
      <c r="AR370" s="367"/>
      <c r="AS370" s="367"/>
      <c r="AT370" s="367"/>
      <c r="AU370" s="368"/>
      <c r="AW370" s="197"/>
      <c r="AX370" s="197"/>
    </row>
    <row r="371" spans="1:53" ht="15.75" customHeight="1" thickBot="1" x14ac:dyDescent="0.2">
      <c r="A371" s="3031"/>
      <c r="B371" s="3032"/>
      <c r="C371" s="3033"/>
      <c r="D371" s="3021"/>
      <c r="E371" s="3022"/>
      <c r="F371" s="3022"/>
      <c r="G371" s="3022"/>
      <c r="H371" s="3022"/>
      <c r="I371" s="3022"/>
      <c r="J371" s="3023"/>
      <c r="K371" s="3043"/>
      <c r="L371" s="3044"/>
      <c r="M371" s="3044"/>
      <c r="N371" s="3044"/>
      <c r="O371" s="3044"/>
      <c r="P371" s="3044"/>
      <c r="Q371" s="3044"/>
      <c r="R371" s="3044"/>
      <c r="S371" s="3044"/>
      <c r="T371" s="3044"/>
      <c r="U371" s="3044"/>
      <c r="V371" s="3044"/>
      <c r="W371" s="3044"/>
      <c r="X371" s="3044"/>
      <c r="Y371" s="3044"/>
      <c r="Z371" s="3044"/>
      <c r="AA371" s="3044"/>
      <c r="AB371" s="3044"/>
      <c r="AC371" s="3044"/>
      <c r="AD371" s="3044"/>
      <c r="AE371" s="3044"/>
      <c r="AF371" s="3044"/>
      <c r="AG371" s="3044"/>
      <c r="AH371" s="3044"/>
      <c r="AI371" s="3045"/>
      <c r="AJ371" s="367"/>
      <c r="AK371" s="367" t="str">
        <f>IF(D370&lt;&gt;"","☑","☐")</f>
        <v>☐</v>
      </c>
      <c r="AL371" s="367" t="s">
        <v>14</v>
      </c>
      <c r="AM371" s="367" t="s">
        <v>21</v>
      </c>
      <c r="AN371" s="367" t="s">
        <v>15</v>
      </c>
      <c r="AO371" s="367"/>
      <c r="AP371" s="426" t="s">
        <v>179</v>
      </c>
      <c r="AQ371" s="367" t="s">
        <v>27</v>
      </c>
      <c r="AR371" s="367" t="s">
        <v>23</v>
      </c>
      <c r="AS371" s="367" t="s">
        <v>13</v>
      </c>
      <c r="AT371" s="367"/>
      <c r="AU371" s="368"/>
      <c r="AV371" s="346"/>
      <c r="AW371" s="197"/>
      <c r="AX371" s="197"/>
      <c r="BA371" s="430" t="b">
        <f>AP371="☑"</f>
        <v>0</v>
      </c>
    </row>
    <row r="372" spans="1:53" ht="15.75" customHeight="1" x14ac:dyDescent="0.15">
      <c r="A372" s="3034"/>
      <c r="B372" s="3035"/>
      <c r="C372" s="3036"/>
      <c r="D372" s="3024"/>
      <c r="E372" s="3025"/>
      <c r="F372" s="3025"/>
      <c r="G372" s="3025"/>
      <c r="H372" s="3025"/>
      <c r="I372" s="3025"/>
      <c r="J372" s="3026"/>
      <c r="K372" s="3046"/>
      <c r="L372" s="3047"/>
      <c r="M372" s="3047"/>
      <c r="N372" s="3047"/>
      <c r="O372" s="3047"/>
      <c r="P372" s="3047"/>
      <c r="Q372" s="3047"/>
      <c r="R372" s="3047"/>
      <c r="S372" s="3047"/>
      <c r="T372" s="3047"/>
      <c r="U372" s="3047"/>
      <c r="V372" s="3047"/>
      <c r="W372" s="3047"/>
      <c r="X372" s="3047"/>
      <c r="Y372" s="3047"/>
      <c r="Z372" s="3047"/>
      <c r="AA372" s="3047"/>
      <c r="AB372" s="3047"/>
      <c r="AC372" s="3047"/>
      <c r="AD372" s="3047"/>
      <c r="AE372" s="3047"/>
      <c r="AF372" s="3047"/>
      <c r="AG372" s="3047"/>
      <c r="AH372" s="3047"/>
      <c r="AI372" s="3048"/>
      <c r="AJ372" s="369"/>
      <c r="AK372" s="369"/>
      <c r="AL372" s="369"/>
      <c r="AM372" s="369"/>
      <c r="AN372" s="369"/>
      <c r="AO372" s="369"/>
      <c r="AP372" s="369"/>
      <c r="AQ372" s="369"/>
      <c r="AR372" s="369"/>
      <c r="AS372" s="369"/>
      <c r="AT372" s="369"/>
      <c r="AU372" s="370"/>
      <c r="AW372" s="197"/>
      <c r="AX372" s="197"/>
    </row>
    <row r="373" spans="1:53" ht="15.75" customHeight="1" x14ac:dyDescent="0.15">
      <c r="A373" s="2"/>
      <c r="B373" s="335"/>
      <c r="C373" s="335"/>
      <c r="D373" s="335"/>
      <c r="E373" s="335"/>
      <c r="F373" s="335"/>
      <c r="G373" s="335"/>
      <c r="H373" s="335"/>
      <c r="I373" s="335"/>
      <c r="J373" s="335"/>
      <c r="K373" s="335"/>
      <c r="L373" s="335"/>
      <c r="M373" s="335"/>
      <c r="N373" s="335"/>
      <c r="O373" s="335"/>
      <c r="P373" s="335"/>
      <c r="Q373" s="335"/>
      <c r="R373" s="335"/>
      <c r="S373" s="335"/>
      <c r="T373" s="335"/>
      <c r="U373" s="335"/>
      <c r="V373" s="335"/>
      <c r="W373" s="335"/>
      <c r="X373" s="335"/>
      <c r="Y373" s="3"/>
      <c r="Z373" s="47"/>
      <c r="AA373" s="48" t="s">
        <v>11</v>
      </c>
      <c r="AB373" s="48" t="s">
        <v>10</v>
      </c>
      <c r="AC373" s="48" t="s">
        <v>16</v>
      </c>
      <c r="AD373" s="48" t="s">
        <v>9</v>
      </c>
      <c r="AE373" s="48"/>
      <c r="AF373" s="48"/>
      <c r="AG373" s="48"/>
      <c r="AH373" s="48"/>
      <c r="AI373" s="48"/>
      <c r="AJ373" s="49"/>
      <c r="AK373" s="49"/>
      <c r="AL373" s="49"/>
      <c r="AM373" s="49"/>
      <c r="AN373" s="49"/>
      <c r="AO373" s="49"/>
      <c r="AP373" s="49"/>
      <c r="AQ373" s="49"/>
      <c r="AR373" s="49"/>
      <c r="AS373" s="49"/>
      <c r="AT373" s="49"/>
      <c r="AU373" s="50"/>
      <c r="AW373" s="197"/>
      <c r="AX373" s="197"/>
    </row>
    <row r="374" spans="1:53" ht="15.75" customHeight="1" x14ac:dyDescent="0.15">
      <c r="A374" s="2"/>
      <c r="B374" s="335"/>
      <c r="C374" s="335"/>
      <c r="D374" s="335"/>
      <c r="E374" s="335"/>
      <c r="F374" s="335"/>
      <c r="G374" s="335"/>
      <c r="H374" s="335"/>
      <c r="I374" s="335"/>
      <c r="J374" s="335"/>
      <c r="K374" s="335"/>
      <c r="L374" s="335"/>
      <c r="M374" s="335"/>
      <c r="N374" s="335"/>
      <c r="O374" s="335"/>
      <c r="P374" s="335"/>
      <c r="Q374" s="335"/>
      <c r="R374" s="335"/>
      <c r="S374" s="335"/>
      <c r="T374" s="335"/>
      <c r="U374" s="335"/>
      <c r="V374" s="335"/>
      <c r="W374" s="335"/>
      <c r="X374" s="335"/>
      <c r="Y374" s="3"/>
      <c r="Z374" s="3010"/>
      <c r="AA374" s="3011"/>
      <c r="AB374" s="3011"/>
      <c r="AC374" s="3011"/>
      <c r="AD374" s="3011"/>
      <c r="AE374" s="3011"/>
      <c r="AF374" s="3011"/>
      <c r="AG374" s="3011"/>
      <c r="AH374" s="3011"/>
      <c r="AI374" s="3011"/>
      <c r="AJ374" s="3011"/>
      <c r="AK374" s="3011"/>
      <c r="AL374" s="3011"/>
      <c r="AM374" s="3011"/>
      <c r="AN374" s="3011"/>
      <c r="AO374" s="104"/>
      <c r="AP374" s="104"/>
      <c r="AQ374" s="104"/>
      <c r="AR374" s="104"/>
      <c r="AS374" s="104"/>
      <c r="AT374" s="104"/>
      <c r="AU374" s="105"/>
      <c r="AW374" s="197"/>
      <c r="AX374" s="197"/>
    </row>
    <row r="375" spans="1:53" ht="15.75" customHeight="1" x14ac:dyDescent="0.15">
      <c r="A375" s="2"/>
      <c r="B375" s="335"/>
      <c r="C375" s="335"/>
      <c r="D375" s="335"/>
      <c r="E375" s="335"/>
      <c r="F375" s="335"/>
      <c r="G375" s="335"/>
      <c r="H375" s="335"/>
      <c r="I375" s="335"/>
      <c r="J375" s="335"/>
      <c r="K375" s="335"/>
      <c r="L375" s="335"/>
      <c r="M375" s="335"/>
      <c r="N375" s="335"/>
      <c r="O375" s="335"/>
      <c r="P375" s="335"/>
      <c r="Q375" s="335"/>
      <c r="R375" s="335"/>
      <c r="S375" s="335"/>
      <c r="T375" s="335"/>
      <c r="U375" s="335"/>
      <c r="V375" s="335"/>
      <c r="W375" s="335"/>
      <c r="X375" s="335"/>
      <c r="Y375" s="3"/>
      <c r="Z375" s="2995" t="str">
        <f>IFERROR(VLOOKUP(13,'1_入力シート【基本情報】'!$DU$319:$DZ$534,5,FALSE),"")</f>
        <v/>
      </c>
      <c r="AA375" s="2996"/>
      <c r="AB375" s="2996"/>
      <c r="AC375" s="2996"/>
      <c r="AD375" s="2996"/>
      <c r="AE375" s="2996"/>
      <c r="AF375" s="2996"/>
      <c r="AG375" s="2996"/>
      <c r="AH375" s="2996"/>
      <c r="AI375" s="2996"/>
      <c r="AJ375" s="2996"/>
      <c r="AK375" s="2996"/>
      <c r="AL375" s="2996"/>
      <c r="AM375" s="2996"/>
      <c r="AN375" s="2996"/>
      <c r="AO375" s="2996"/>
      <c r="AP375" s="2996"/>
      <c r="AQ375" s="2996"/>
      <c r="AR375" s="2996"/>
      <c r="AS375" s="2996"/>
      <c r="AT375" s="2996"/>
      <c r="AU375" s="2997"/>
      <c r="AW375" s="197"/>
      <c r="AX375" s="197"/>
    </row>
    <row r="376" spans="1:53" ht="15.75" customHeight="1" x14ac:dyDescent="0.15">
      <c r="A376" s="2"/>
      <c r="B376" s="335"/>
      <c r="C376" s="335"/>
      <c r="D376" s="335"/>
      <c r="E376" s="335"/>
      <c r="F376" s="335"/>
      <c r="G376" s="335"/>
      <c r="H376" s="335"/>
      <c r="I376" s="335"/>
      <c r="J376" s="335"/>
      <c r="K376" s="335"/>
      <c r="L376" s="335"/>
      <c r="M376" s="335"/>
      <c r="N376" s="335"/>
      <c r="O376" s="335"/>
      <c r="P376" s="335"/>
      <c r="Q376" s="335"/>
      <c r="R376" s="335"/>
      <c r="S376" s="335"/>
      <c r="T376" s="335"/>
      <c r="U376" s="335"/>
      <c r="V376" s="335"/>
      <c r="W376" s="335"/>
      <c r="X376" s="335"/>
      <c r="Y376" s="3"/>
      <c r="Z376" s="2998"/>
      <c r="AA376" s="2999"/>
      <c r="AB376" s="2999"/>
      <c r="AC376" s="2999"/>
      <c r="AD376" s="2999"/>
      <c r="AE376" s="2999"/>
      <c r="AF376" s="2999"/>
      <c r="AG376" s="2999"/>
      <c r="AH376" s="2999"/>
      <c r="AI376" s="2999"/>
      <c r="AJ376" s="2999"/>
      <c r="AK376" s="2999"/>
      <c r="AL376" s="2999"/>
      <c r="AM376" s="2999"/>
      <c r="AN376" s="2999"/>
      <c r="AO376" s="2999"/>
      <c r="AP376" s="2999"/>
      <c r="AQ376" s="2999"/>
      <c r="AR376" s="2999"/>
      <c r="AS376" s="2999"/>
      <c r="AT376" s="2999"/>
      <c r="AU376" s="3000"/>
      <c r="AW376" s="197"/>
      <c r="AX376" s="197"/>
    </row>
    <row r="377" spans="1:53" ht="15.75" customHeight="1" x14ac:dyDescent="0.15">
      <c r="A377" s="2"/>
      <c r="B377" s="335"/>
      <c r="C377" s="335"/>
      <c r="D377" s="335"/>
      <c r="E377" s="335"/>
      <c r="F377" s="335"/>
      <c r="G377" s="335"/>
      <c r="H377" s="335"/>
      <c r="I377" s="335"/>
      <c r="J377" s="335"/>
      <c r="K377" s="335"/>
      <c r="L377" s="335"/>
      <c r="M377" s="335"/>
      <c r="N377" s="335"/>
      <c r="O377" s="335"/>
      <c r="P377" s="335"/>
      <c r="Q377" s="335"/>
      <c r="R377" s="335"/>
      <c r="S377" s="335"/>
      <c r="T377" s="335"/>
      <c r="U377" s="335"/>
      <c r="V377" s="335"/>
      <c r="W377" s="335"/>
      <c r="X377" s="335"/>
      <c r="Y377" s="3"/>
      <c r="Z377" s="3001"/>
      <c r="AA377" s="3002"/>
      <c r="AB377" s="3002"/>
      <c r="AC377" s="3002"/>
      <c r="AD377" s="3002"/>
      <c r="AE377" s="3002"/>
      <c r="AF377" s="3002"/>
      <c r="AG377" s="3002"/>
      <c r="AH377" s="3002"/>
      <c r="AI377" s="3002"/>
      <c r="AJ377" s="3002"/>
      <c r="AK377" s="3002"/>
      <c r="AL377" s="3002"/>
      <c r="AM377" s="3002"/>
      <c r="AN377" s="3002"/>
      <c r="AO377" s="3002"/>
      <c r="AP377" s="3002"/>
      <c r="AQ377" s="3002"/>
      <c r="AR377" s="3002"/>
      <c r="AS377" s="3002"/>
      <c r="AT377" s="3002"/>
      <c r="AU377" s="3003"/>
      <c r="AW377" s="197"/>
      <c r="AX377" s="197"/>
    </row>
    <row r="378" spans="1:53" ht="15.75" customHeight="1" x14ac:dyDescent="0.15">
      <c r="A378" s="2"/>
      <c r="B378" s="371"/>
      <c r="C378" s="371"/>
      <c r="D378" s="371"/>
      <c r="E378" s="371"/>
      <c r="F378" s="371"/>
      <c r="G378" s="371"/>
      <c r="H378" s="371"/>
      <c r="I378" s="371"/>
      <c r="J378" s="371"/>
      <c r="K378" s="371"/>
      <c r="L378" s="371"/>
      <c r="M378" s="371"/>
      <c r="N378" s="371"/>
      <c r="O378" s="371"/>
      <c r="P378" s="371"/>
      <c r="Q378" s="371"/>
      <c r="R378" s="371"/>
      <c r="S378" s="371"/>
      <c r="T378" s="371"/>
      <c r="U378" s="371"/>
      <c r="V378" s="371"/>
      <c r="W378" s="371"/>
      <c r="X378" s="371"/>
      <c r="Y378" s="3"/>
      <c r="Z378" s="3004"/>
      <c r="AA378" s="3005"/>
      <c r="AB378" s="3005"/>
      <c r="AC378" s="3005"/>
      <c r="AD378" s="3005"/>
      <c r="AE378" s="3005"/>
      <c r="AF378" s="3005"/>
      <c r="AG378" s="3005"/>
      <c r="AH378" s="3005"/>
      <c r="AI378" s="3005"/>
      <c r="AJ378" s="3005"/>
      <c r="AK378" s="3005"/>
      <c r="AL378" s="3005"/>
      <c r="AM378" s="3005"/>
      <c r="AN378" s="3005"/>
      <c r="AO378" s="3005"/>
      <c r="AP378" s="3005"/>
      <c r="AQ378" s="3005"/>
      <c r="AR378" s="3005"/>
      <c r="AS378" s="3005"/>
      <c r="AT378" s="3005"/>
      <c r="AU378" s="3006"/>
      <c r="AW378" s="197"/>
      <c r="AX378" s="197"/>
    </row>
    <row r="379" spans="1:53" ht="15.75" customHeight="1" x14ac:dyDescent="0.15">
      <c r="A379" s="2"/>
      <c r="B379" s="371"/>
      <c r="C379" s="371"/>
      <c r="D379" s="371"/>
      <c r="E379" s="371"/>
      <c r="F379" s="371"/>
      <c r="G379" s="371"/>
      <c r="H379" s="371"/>
      <c r="I379" s="371"/>
      <c r="J379" s="371"/>
      <c r="K379" s="371"/>
      <c r="L379" s="371"/>
      <c r="M379" s="371"/>
      <c r="N379" s="371"/>
      <c r="O379" s="371"/>
      <c r="P379" s="371"/>
      <c r="Q379" s="371"/>
      <c r="R379" s="371"/>
      <c r="S379" s="371"/>
      <c r="T379" s="371"/>
      <c r="U379" s="371"/>
      <c r="V379" s="371"/>
      <c r="W379" s="371"/>
      <c r="X379" s="371"/>
      <c r="Y379" s="3"/>
      <c r="Z379" s="3004"/>
      <c r="AA379" s="3005"/>
      <c r="AB379" s="3005"/>
      <c r="AC379" s="3005"/>
      <c r="AD379" s="3005"/>
      <c r="AE379" s="3005"/>
      <c r="AF379" s="3005"/>
      <c r="AG379" s="3005"/>
      <c r="AH379" s="3005"/>
      <c r="AI379" s="3005"/>
      <c r="AJ379" s="3005"/>
      <c r="AK379" s="3005"/>
      <c r="AL379" s="3005"/>
      <c r="AM379" s="3005"/>
      <c r="AN379" s="3005"/>
      <c r="AO379" s="3005"/>
      <c r="AP379" s="3005"/>
      <c r="AQ379" s="3005"/>
      <c r="AR379" s="3005"/>
      <c r="AS379" s="3005"/>
      <c r="AT379" s="3005"/>
      <c r="AU379" s="3006"/>
      <c r="AW379" s="197"/>
      <c r="AX379" s="197"/>
    </row>
    <row r="380" spans="1:53" ht="15.75" customHeight="1" x14ac:dyDescent="0.15">
      <c r="A380" s="2"/>
      <c r="B380" s="371"/>
      <c r="C380" s="371"/>
      <c r="D380" s="371"/>
      <c r="E380" s="371"/>
      <c r="F380" s="371"/>
      <c r="G380" s="371"/>
      <c r="H380" s="371"/>
      <c r="I380" s="371"/>
      <c r="J380" s="371"/>
      <c r="K380" s="371"/>
      <c r="L380" s="371"/>
      <c r="M380" s="371"/>
      <c r="N380" s="371"/>
      <c r="O380" s="371"/>
      <c r="P380" s="371"/>
      <c r="Q380" s="371"/>
      <c r="R380" s="371"/>
      <c r="S380" s="371"/>
      <c r="T380" s="371"/>
      <c r="U380" s="371"/>
      <c r="V380" s="371"/>
      <c r="W380" s="371"/>
      <c r="X380" s="371"/>
      <c r="Y380" s="3"/>
      <c r="Z380" s="3004"/>
      <c r="AA380" s="3005"/>
      <c r="AB380" s="3005"/>
      <c r="AC380" s="3005"/>
      <c r="AD380" s="3005"/>
      <c r="AE380" s="3005"/>
      <c r="AF380" s="3005"/>
      <c r="AG380" s="3005"/>
      <c r="AH380" s="3005"/>
      <c r="AI380" s="3005"/>
      <c r="AJ380" s="3005"/>
      <c r="AK380" s="3005"/>
      <c r="AL380" s="3005"/>
      <c r="AM380" s="3005"/>
      <c r="AN380" s="3005"/>
      <c r="AO380" s="3005"/>
      <c r="AP380" s="3005"/>
      <c r="AQ380" s="3005"/>
      <c r="AR380" s="3005"/>
      <c r="AS380" s="3005"/>
      <c r="AT380" s="3005"/>
      <c r="AU380" s="3006"/>
      <c r="AW380" s="197"/>
      <c r="AX380" s="197"/>
    </row>
    <row r="381" spans="1:53" ht="15.75" customHeight="1" x14ac:dyDescent="0.15">
      <c r="A381" s="2"/>
      <c r="B381" s="371"/>
      <c r="C381" s="371"/>
      <c r="D381" s="371"/>
      <c r="E381" s="371"/>
      <c r="F381" s="371"/>
      <c r="G381" s="371"/>
      <c r="H381" s="371"/>
      <c r="I381" s="371"/>
      <c r="J381" s="371"/>
      <c r="K381" s="3013" t="s">
        <v>157</v>
      </c>
      <c r="L381" s="3013"/>
      <c r="M381" s="3013"/>
      <c r="N381" s="3013"/>
      <c r="O381" s="3013"/>
      <c r="P381" s="3013"/>
      <c r="Q381" s="371"/>
      <c r="R381" s="371"/>
      <c r="S381" s="371"/>
      <c r="T381" s="371"/>
      <c r="U381" s="371"/>
      <c r="V381" s="371"/>
      <c r="W381" s="371"/>
      <c r="X381" s="371"/>
      <c r="Y381" s="3"/>
      <c r="Z381" s="3004"/>
      <c r="AA381" s="3005"/>
      <c r="AB381" s="3005"/>
      <c r="AC381" s="3005"/>
      <c r="AD381" s="3005"/>
      <c r="AE381" s="3005"/>
      <c r="AF381" s="3005"/>
      <c r="AG381" s="3005"/>
      <c r="AH381" s="3005"/>
      <c r="AI381" s="3005"/>
      <c r="AJ381" s="3005"/>
      <c r="AK381" s="3005"/>
      <c r="AL381" s="3005"/>
      <c r="AM381" s="3005"/>
      <c r="AN381" s="3005"/>
      <c r="AO381" s="3005"/>
      <c r="AP381" s="3005"/>
      <c r="AQ381" s="3005"/>
      <c r="AR381" s="3005"/>
      <c r="AS381" s="3005"/>
      <c r="AT381" s="3005"/>
      <c r="AU381" s="3006"/>
      <c r="AW381" s="197"/>
      <c r="AX381" s="197"/>
    </row>
    <row r="382" spans="1:53" ht="15.75" customHeight="1" x14ac:dyDescent="0.15">
      <c r="A382" s="2"/>
      <c r="B382" s="371"/>
      <c r="C382" s="371"/>
      <c r="D382" s="371"/>
      <c r="E382" s="371"/>
      <c r="F382" s="371"/>
      <c r="G382" s="371"/>
      <c r="H382" s="371"/>
      <c r="I382" s="371"/>
      <c r="J382" s="371"/>
      <c r="K382" s="371"/>
      <c r="L382" s="371"/>
      <c r="M382" s="371"/>
      <c r="N382" s="371"/>
      <c r="O382" s="371"/>
      <c r="P382" s="371"/>
      <c r="Q382" s="371"/>
      <c r="R382" s="371"/>
      <c r="S382" s="371"/>
      <c r="T382" s="371"/>
      <c r="U382" s="371"/>
      <c r="V382" s="371"/>
      <c r="W382" s="371"/>
      <c r="X382" s="371"/>
      <c r="Y382" s="3"/>
      <c r="Z382" s="3004"/>
      <c r="AA382" s="3005"/>
      <c r="AB382" s="3005"/>
      <c r="AC382" s="3005"/>
      <c r="AD382" s="3005"/>
      <c r="AE382" s="3005"/>
      <c r="AF382" s="3005"/>
      <c r="AG382" s="3005"/>
      <c r="AH382" s="3005"/>
      <c r="AI382" s="3005"/>
      <c r="AJ382" s="3005"/>
      <c r="AK382" s="3005"/>
      <c r="AL382" s="3005"/>
      <c r="AM382" s="3005"/>
      <c r="AN382" s="3005"/>
      <c r="AO382" s="3005"/>
      <c r="AP382" s="3005"/>
      <c r="AQ382" s="3005"/>
      <c r="AR382" s="3005"/>
      <c r="AS382" s="3005"/>
      <c r="AT382" s="3005"/>
      <c r="AU382" s="3006"/>
      <c r="AW382" s="197"/>
      <c r="AX382" s="197"/>
    </row>
    <row r="383" spans="1:53" ht="15.75" customHeight="1" x14ac:dyDescent="0.15">
      <c r="A383" s="2"/>
      <c r="B383" s="371"/>
      <c r="C383" s="371"/>
      <c r="D383" s="371"/>
      <c r="E383" s="371"/>
      <c r="F383" s="371"/>
      <c r="G383" s="371"/>
      <c r="H383" s="371"/>
      <c r="I383" s="371"/>
      <c r="J383" s="371"/>
      <c r="K383" s="371"/>
      <c r="L383" s="371"/>
      <c r="M383" s="371"/>
      <c r="N383" s="371"/>
      <c r="O383" s="371"/>
      <c r="P383" s="371"/>
      <c r="Q383" s="371"/>
      <c r="R383" s="371"/>
      <c r="S383" s="371"/>
      <c r="T383" s="371"/>
      <c r="U383" s="371"/>
      <c r="V383" s="371"/>
      <c r="W383" s="371"/>
      <c r="X383" s="371"/>
      <c r="Y383" s="3"/>
      <c r="Z383" s="3004"/>
      <c r="AA383" s="3005"/>
      <c r="AB383" s="3005"/>
      <c r="AC383" s="3005"/>
      <c r="AD383" s="3005"/>
      <c r="AE383" s="3005"/>
      <c r="AF383" s="3005"/>
      <c r="AG383" s="3005"/>
      <c r="AH383" s="3005"/>
      <c r="AI383" s="3005"/>
      <c r="AJ383" s="3005"/>
      <c r="AK383" s="3005"/>
      <c r="AL383" s="3005"/>
      <c r="AM383" s="3005"/>
      <c r="AN383" s="3005"/>
      <c r="AO383" s="3005"/>
      <c r="AP383" s="3005"/>
      <c r="AQ383" s="3005"/>
      <c r="AR383" s="3005"/>
      <c r="AS383" s="3005"/>
      <c r="AT383" s="3005"/>
      <c r="AU383" s="3006"/>
      <c r="AW383" s="197"/>
      <c r="AX383" s="197"/>
    </row>
    <row r="384" spans="1:53" ht="15.75" customHeight="1" x14ac:dyDescent="0.15">
      <c r="A384" s="2"/>
      <c r="B384" s="371"/>
      <c r="C384" s="371"/>
      <c r="D384" s="371"/>
      <c r="E384" s="371"/>
      <c r="F384" s="371"/>
      <c r="G384" s="371"/>
      <c r="H384" s="371"/>
      <c r="I384" s="371"/>
      <c r="J384" s="371"/>
      <c r="K384" s="371"/>
      <c r="L384" s="371"/>
      <c r="M384" s="371"/>
      <c r="N384" s="371"/>
      <c r="O384" s="371"/>
      <c r="P384" s="371"/>
      <c r="Q384" s="371"/>
      <c r="R384" s="371"/>
      <c r="S384" s="371"/>
      <c r="T384" s="371"/>
      <c r="U384" s="371"/>
      <c r="V384" s="371"/>
      <c r="W384" s="371"/>
      <c r="X384" s="371"/>
      <c r="Y384" s="3"/>
      <c r="Z384" s="3004"/>
      <c r="AA384" s="3005"/>
      <c r="AB384" s="3005"/>
      <c r="AC384" s="3005"/>
      <c r="AD384" s="3005"/>
      <c r="AE384" s="3005"/>
      <c r="AF384" s="3005"/>
      <c r="AG384" s="3005"/>
      <c r="AH384" s="3005"/>
      <c r="AI384" s="3005"/>
      <c r="AJ384" s="3005"/>
      <c r="AK384" s="3005"/>
      <c r="AL384" s="3005"/>
      <c r="AM384" s="3005"/>
      <c r="AN384" s="3005"/>
      <c r="AO384" s="3005"/>
      <c r="AP384" s="3005"/>
      <c r="AQ384" s="3005"/>
      <c r="AR384" s="3005"/>
      <c r="AS384" s="3005"/>
      <c r="AT384" s="3005"/>
      <c r="AU384" s="3006"/>
      <c r="AW384" s="197"/>
      <c r="AX384" s="197"/>
    </row>
    <row r="385" spans="1:53" ht="15.75" customHeight="1" x14ac:dyDescent="0.15">
      <c r="A385" s="2"/>
      <c r="B385" s="371"/>
      <c r="C385" s="371"/>
      <c r="D385" s="371"/>
      <c r="E385" s="371"/>
      <c r="F385" s="371"/>
      <c r="G385" s="371"/>
      <c r="H385" s="371"/>
      <c r="I385" s="371"/>
      <c r="J385" s="371"/>
      <c r="K385" s="371"/>
      <c r="L385" s="371"/>
      <c r="M385" s="371"/>
      <c r="N385" s="371"/>
      <c r="O385" s="371"/>
      <c r="P385" s="371"/>
      <c r="Q385" s="371"/>
      <c r="R385" s="371"/>
      <c r="S385" s="371"/>
      <c r="T385" s="371"/>
      <c r="U385" s="371"/>
      <c r="V385" s="371"/>
      <c r="W385" s="371"/>
      <c r="X385" s="371"/>
      <c r="Y385" s="3"/>
      <c r="Z385" s="3004"/>
      <c r="AA385" s="3005"/>
      <c r="AB385" s="3005"/>
      <c r="AC385" s="3005"/>
      <c r="AD385" s="3005"/>
      <c r="AE385" s="3005"/>
      <c r="AF385" s="3005"/>
      <c r="AG385" s="3005"/>
      <c r="AH385" s="3005"/>
      <c r="AI385" s="3005"/>
      <c r="AJ385" s="3005"/>
      <c r="AK385" s="3005"/>
      <c r="AL385" s="3005"/>
      <c r="AM385" s="3005"/>
      <c r="AN385" s="3005"/>
      <c r="AO385" s="3005"/>
      <c r="AP385" s="3005"/>
      <c r="AQ385" s="3005"/>
      <c r="AR385" s="3005"/>
      <c r="AS385" s="3005"/>
      <c r="AT385" s="3005"/>
      <c r="AU385" s="3006"/>
      <c r="AW385" s="197"/>
      <c r="AX385" s="197"/>
    </row>
    <row r="386" spans="1:53" ht="15.75" customHeight="1" x14ac:dyDescent="0.15">
      <c r="A386" s="2"/>
      <c r="B386" s="371"/>
      <c r="C386" s="371"/>
      <c r="D386" s="371"/>
      <c r="E386" s="371"/>
      <c r="F386" s="371"/>
      <c r="G386" s="371"/>
      <c r="H386" s="371"/>
      <c r="I386" s="371"/>
      <c r="J386" s="371"/>
      <c r="K386" s="371"/>
      <c r="L386" s="371"/>
      <c r="M386" s="371"/>
      <c r="N386" s="371"/>
      <c r="O386" s="371"/>
      <c r="P386" s="371"/>
      <c r="Q386" s="371"/>
      <c r="R386" s="371"/>
      <c r="S386" s="371"/>
      <c r="T386" s="371"/>
      <c r="U386" s="371"/>
      <c r="V386" s="371"/>
      <c r="W386" s="371"/>
      <c r="X386" s="371"/>
      <c r="Y386" s="3"/>
      <c r="Z386" s="3004"/>
      <c r="AA386" s="3005"/>
      <c r="AB386" s="3005"/>
      <c r="AC386" s="3005"/>
      <c r="AD386" s="3005"/>
      <c r="AE386" s="3005"/>
      <c r="AF386" s="3005"/>
      <c r="AG386" s="3005"/>
      <c r="AH386" s="3005"/>
      <c r="AI386" s="3005"/>
      <c r="AJ386" s="3005"/>
      <c r="AK386" s="3005"/>
      <c r="AL386" s="3005"/>
      <c r="AM386" s="3005"/>
      <c r="AN386" s="3005"/>
      <c r="AO386" s="3005"/>
      <c r="AP386" s="3005"/>
      <c r="AQ386" s="3005"/>
      <c r="AR386" s="3005"/>
      <c r="AS386" s="3005"/>
      <c r="AT386" s="3005"/>
      <c r="AU386" s="3006"/>
      <c r="AW386" s="197"/>
      <c r="AX386" s="197"/>
    </row>
    <row r="387" spans="1:53" ht="15.75" customHeight="1" x14ac:dyDescent="0.15">
      <c r="A387" s="2"/>
      <c r="B387" s="371"/>
      <c r="C387" s="371"/>
      <c r="D387" s="371"/>
      <c r="E387" s="371"/>
      <c r="F387" s="371"/>
      <c r="G387" s="371"/>
      <c r="H387" s="371"/>
      <c r="I387" s="371"/>
      <c r="J387" s="371"/>
      <c r="K387" s="371"/>
      <c r="L387" s="371"/>
      <c r="M387" s="371"/>
      <c r="N387" s="371"/>
      <c r="O387" s="371"/>
      <c r="P387" s="371"/>
      <c r="Q387" s="371"/>
      <c r="R387" s="371"/>
      <c r="S387" s="371"/>
      <c r="T387" s="371"/>
      <c r="U387" s="371"/>
      <c r="V387" s="371"/>
      <c r="W387" s="371"/>
      <c r="X387" s="371"/>
      <c r="Y387" s="3"/>
      <c r="Z387" s="3004"/>
      <c r="AA387" s="3005"/>
      <c r="AB387" s="3005"/>
      <c r="AC387" s="3005"/>
      <c r="AD387" s="3005"/>
      <c r="AE387" s="3005"/>
      <c r="AF387" s="3005"/>
      <c r="AG387" s="3005"/>
      <c r="AH387" s="3005"/>
      <c r="AI387" s="3005"/>
      <c r="AJ387" s="3005"/>
      <c r="AK387" s="3005"/>
      <c r="AL387" s="3005"/>
      <c r="AM387" s="3005"/>
      <c r="AN387" s="3005"/>
      <c r="AO387" s="3005"/>
      <c r="AP387" s="3005"/>
      <c r="AQ387" s="3005"/>
      <c r="AR387" s="3005"/>
      <c r="AS387" s="3005"/>
      <c r="AT387" s="3005"/>
      <c r="AU387" s="3006"/>
      <c r="AW387" s="197"/>
      <c r="AX387" s="197"/>
    </row>
    <row r="388" spans="1:53" ht="15.75" customHeight="1" x14ac:dyDescent="0.15">
      <c r="A388" s="2"/>
      <c r="B388" s="371"/>
      <c r="C388" s="371"/>
      <c r="D388" s="371"/>
      <c r="E388" s="371"/>
      <c r="F388" s="371"/>
      <c r="G388" s="371"/>
      <c r="H388" s="371"/>
      <c r="I388" s="371"/>
      <c r="J388" s="371"/>
      <c r="K388" s="371"/>
      <c r="L388" s="371"/>
      <c r="M388" s="371"/>
      <c r="N388" s="371"/>
      <c r="O388" s="371"/>
      <c r="P388" s="371"/>
      <c r="Q388" s="371"/>
      <c r="R388" s="371"/>
      <c r="S388" s="371"/>
      <c r="T388" s="371"/>
      <c r="U388" s="371"/>
      <c r="V388" s="371"/>
      <c r="W388" s="371"/>
      <c r="X388" s="371"/>
      <c r="Y388" s="3"/>
      <c r="Z388" s="3004"/>
      <c r="AA388" s="3005"/>
      <c r="AB388" s="3005"/>
      <c r="AC388" s="3005"/>
      <c r="AD388" s="3005"/>
      <c r="AE388" s="3005"/>
      <c r="AF388" s="3005"/>
      <c r="AG388" s="3005"/>
      <c r="AH388" s="3005"/>
      <c r="AI388" s="3005"/>
      <c r="AJ388" s="3005"/>
      <c r="AK388" s="3005"/>
      <c r="AL388" s="3005"/>
      <c r="AM388" s="3005"/>
      <c r="AN388" s="3005"/>
      <c r="AO388" s="3005"/>
      <c r="AP388" s="3005"/>
      <c r="AQ388" s="3005"/>
      <c r="AR388" s="3005"/>
      <c r="AS388" s="3005"/>
      <c r="AT388" s="3005"/>
      <c r="AU388" s="3006"/>
      <c r="AW388" s="197"/>
      <c r="AX388" s="197"/>
    </row>
    <row r="389" spans="1:53" ht="15.75" customHeight="1" x14ac:dyDescent="0.15">
      <c r="A389" s="2"/>
      <c r="B389" s="371"/>
      <c r="C389" s="371"/>
      <c r="D389" s="371"/>
      <c r="E389" s="371"/>
      <c r="F389" s="371"/>
      <c r="G389" s="371"/>
      <c r="H389" s="371"/>
      <c r="I389" s="371"/>
      <c r="J389" s="371"/>
      <c r="K389" s="371"/>
      <c r="L389" s="371"/>
      <c r="M389" s="371"/>
      <c r="N389" s="371"/>
      <c r="O389" s="371"/>
      <c r="P389" s="371"/>
      <c r="Q389" s="371"/>
      <c r="R389" s="371"/>
      <c r="S389" s="371"/>
      <c r="T389" s="371"/>
      <c r="U389" s="371"/>
      <c r="V389" s="371"/>
      <c r="W389" s="371"/>
      <c r="X389" s="371"/>
      <c r="Y389" s="3"/>
      <c r="Z389" s="3004"/>
      <c r="AA389" s="3005"/>
      <c r="AB389" s="3005"/>
      <c r="AC389" s="3005"/>
      <c r="AD389" s="3005"/>
      <c r="AE389" s="3005"/>
      <c r="AF389" s="3005"/>
      <c r="AG389" s="3005"/>
      <c r="AH389" s="3005"/>
      <c r="AI389" s="3005"/>
      <c r="AJ389" s="3005"/>
      <c r="AK389" s="3005"/>
      <c r="AL389" s="3005"/>
      <c r="AM389" s="3005"/>
      <c r="AN389" s="3005"/>
      <c r="AO389" s="3005"/>
      <c r="AP389" s="3005"/>
      <c r="AQ389" s="3005"/>
      <c r="AR389" s="3005"/>
      <c r="AS389" s="3005"/>
      <c r="AT389" s="3005"/>
      <c r="AU389" s="3006"/>
      <c r="AW389" s="197"/>
      <c r="AX389" s="197"/>
    </row>
    <row r="390" spans="1:53" ht="15.75" customHeight="1" x14ac:dyDescent="0.15">
      <c r="A390" s="6"/>
      <c r="B390" s="4"/>
      <c r="C390" s="4"/>
      <c r="D390" s="4"/>
      <c r="E390" s="4"/>
      <c r="F390" s="4"/>
      <c r="G390" s="4"/>
      <c r="H390" s="4"/>
      <c r="I390" s="4"/>
      <c r="J390" s="4"/>
      <c r="K390" s="4"/>
      <c r="L390" s="4"/>
      <c r="M390" s="4"/>
      <c r="N390" s="4"/>
      <c r="O390" s="4"/>
      <c r="P390" s="4"/>
      <c r="Q390" s="4"/>
      <c r="R390" s="4"/>
      <c r="S390" s="4"/>
      <c r="T390" s="4"/>
      <c r="U390" s="4"/>
      <c r="V390" s="4"/>
      <c r="W390" s="4"/>
      <c r="X390" s="4"/>
      <c r="Y390" s="5"/>
      <c r="Z390" s="3007"/>
      <c r="AA390" s="3008"/>
      <c r="AB390" s="3008"/>
      <c r="AC390" s="3008"/>
      <c r="AD390" s="3008"/>
      <c r="AE390" s="3008"/>
      <c r="AF390" s="3008"/>
      <c r="AG390" s="3008"/>
      <c r="AH390" s="3008"/>
      <c r="AI390" s="3008"/>
      <c r="AJ390" s="3008"/>
      <c r="AK390" s="3008"/>
      <c r="AL390" s="3008"/>
      <c r="AM390" s="3008"/>
      <c r="AN390" s="3008"/>
      <c r="AO390" s="3008"/>
      <c r="AP390" s="3008"/>
      <c r="AQ390" s="3008"/>
      <c r="AR390" s="3008"/>
      <c r="AS390" s="3008"/>
      <c r="AT390" s="3008"/>
      <c r="AU390" s="3009"/>
      <c r="AW390" s="197"/>
      <c r="AX390" s="197"/>
    </row>
    <row r="391" spans="1:53" ht="12.75" customHeight="1" x14ac:dyDescent="0.15">
      <c r="AW391" s="197"/>
      <c r="AX391" s="197"/>
    </row>
    <row r="392" spans="1:53" ht="15.75" customHeight="1" x14ac:dyDescent="0.15">
      <c r="A392" s="3018" t="s">
        <v>154</v>
      </c>
      <c r="B392" s="3019"/>
      <c r="C392" s="3020"/>
      <c r="D392" s="3037" t="s">
        <v>155</v>
      </c>
      <c r="E392" s="3038"/>
      <c r="F392" s="3038"/>
      <c r="G392" s="3038"/>
      <c r="H392" s="3038"/>
      <c r="I392" s="3038"/>
      <c r="J392" s="3039"/>
      <c r="K392" s="344"/>
      <c r="L392" s="341"/>
      <c r="M392" s="341"/>
      <c r="N392" s="341"/>
      <c r="O392" s="341"/>
      <c r="P392" s="341"/>
      <c r="Q392" s="341"/>
      <c r="R392" s="341"/>
      <c r="S392" s="342" t="s">
        <v>7</v>
      </c>
      <c r="T392" s="342" t="s">
        <v>8</v>
      </c>
      <c r="U392" s="342" t="s">
        <v>9</v>
      </c>
      <c r="V392" s="342" t="s">
        <v>156</v>
      </c>
      <c r="W392" s="342"/>
      <c r="X392" s="342"/>
      <c r="Y392" s="342"/>
      <c r="Z392" s="342"/>
      <c r="AA392" s="342"/>
      <c r="AB392" s="342"/>
      <c r="AC392" s="342"/>
      <c r="AD392" s="342"/>
      <c r="AE392" s="342"/>
      <c r="AF392" s="342"/>
      <c r="AG392" s="342"/>
      <c r="AH392" s="342"/>
      <c r="AI392" s="343"/>
      <c r="AJ392" s="344"/>
      <c r="AK392" s="3038" t="s">
        <v>33</v>
      </c>
      <c r="AL392" s="3038"/>
      <c r="AM392" s="3038"/>
      <c r="AN392" s="3038"/>
      <c r="AO392" s="3038"/>
      <c r="AP392" s="3038"/>
      <c r="AQ392" s="3038"/>
      <c r="AR392" s="3038"/>
      <c r="AS392" s="3038"/>
      <c r="AT392" s="3038"/>
      <c r="AU392" s="345"/>
      <c r="AW392" s="197"/>
      <c r="AX392" s="197"/>
    </row>
    <row r="393" spans="1:53" ht="15.75" customHeight="1" thickBot="1" x14ac:dyDescent="0.2">
      <c r="A393" s="3031"/>
      <c r="B393" s="3032"/>
      <c r="C393" s="3033"/>
      <c r="D393" s="3018" t="str">
        <f>IFERROR(VLOOKUP(14,'1_入力シート【基本情報】'!$DU$319:$DX$534,3,FALSE),"")</f>
        <v/>
      </c>
      <c r="E393" s="3019"/>
      <c r="F393" s="3019"/>
      <c r="G393" s="3019"/>
      <c r="H393" s="3019"/>
      <c r="I393" s="3019"/>
      <c r="J393" s="3020"/>
      <c r="K393" s="3040" t="str">
        <f>IFERROR(VLOOKUP(14,'1_入力シート【基本情報】'!$DU$319:$DX$534,4,FALSE),"")</f>
        <v/>
      </c>
      <c r="L393" s="3041"/>
      <c r="M393" s="3041"/>
      <c r="N393" s="3041"/>
      <c r="O393" s="3041"/>
      <c r="P393" s="3041"/>
      <c r="Q393" s="3041"/>
      <c r="R393" s="3041"/>
      <c r="S393" s="3041"/>
      <c r="T393" s="3041"/>
      <c r="U393" s="3041"/>
      <c r="V393" s="3041"/>
      <c r="W393" s="3041"/>
      <c r="X393" s="3041"/>
      <c r="Y393" s="3041"/>
      <c r="Z393" s="3041"/>
      <c r="AA393" s="3041"/>
      <c r="AB393" s="3041"/>
      <c r="AC393" s="3041"/>
      <c r="AD393" s="3041"/>
      <c r="AE393" s="3041"/>
      <c r="AF393" s="3041"/>
      <c r="AG393" s="3041"/>
      <c r="AH393" s="3041"/>
      <c r="AI393" s="3042"/>
      <c r="AJ393" s="367"/>
      <c r="AK393" s="367"/>
      <c r="AL393" s="367"/>
      <c r="AM393" s="367"/>
      <c r="AN393" s="367"/>
      <c r="AO393" s="367"/>
      <c r="AP393" s="367"/>
      <c r="AQ393" s="367"/>
      <c r="AR393" s="367"/>
      <c r="AS393" s="367"/>
      <c r="AT393" s="367"/>
      <c r="AU393" s="368"/>
      <c r="AW393" s="197"/>
      <c r="AX393" s="197"/>
    </row>
    <row r="394" spans="1:53" ht="15.75" customHeight="1" thickBot="1" x14ac:dyDescent="0.2">
      <c r="A394" s="3031"/>
      <c r="B394" s="3032"/>
      <c r="C394" s="3033"/>
      <c r="D394" s="3021"/>
      <c r="E394" s="3022"/>
      <c r="F394" s="3022"/>
      <c r="G394" s="3022"/>
      <c r="H394" s="3022"/>
      <c r="I394" s="3022"/>
      <c r="J394" s="3023"/>
      <c r="K394" s="3043"/>
      <c r="L394" s="3044"/>
      <c r="M394" s="3044"/>
      <c r="N394" s="3044"/>
      <c r="O394" s="3044"/>
      <c r="P394" s="3044"/>
      <c r="Q394" s="3044"/>
      <c r="R394" s="3044"/>
      <c r="S394" s="3044"/>
      <c r="T394" s="3044"/>
      <c r="U394" s="3044"/>
      <c r="V394" s="3044"/>
      <c r="W394" s="3044"/>
      <c r="X394" s="3044"/>
      <c r="Y394" s="3044"/>
      <c r="Z394" s="3044"/>
      <c r="AA394" s="3044"/>
      <c r="AB394" s="3044"/>
      <c r="AC394" s="3044"/>
      <c r="AD394" s="3044"/>
      <c r="AE394" s="3044"/>
      <c r="AF394" s="3044"/>
      <c r="AG394" s="3044"/>
      <c r="AH394" s="3044"/>
      <c r="AI394" s="3045"/>
      <c r="AJ394" s="367"/>
      <c r="AK394" s="367" t="str">
        <f>IF(D393&lt;&gt;"","☑","☐")</f>
        <v>☐</v>
      </c>
      <c r="AL394" s="367" t="s">
        <v>14</v>
      </c>
      <c r="AM394" s="367" t="s">
        <v>21</v>
      </c>
      <c r="AN394" s="367" t="s">
        <v>15</v>
      </c>
      <c r="AO394" s="367"/>
      <c r="AP394" s="426" t="s">
        <v>179</v>
      </c>
      <c r="AQ394" s="367" t="s">
        <v>27</v>
      </c>
      <c r="AR394" s="367" t="s">
        <v>23</v>
      </c>
      <c r="AS394" s="367" t="s">
        <v>13</v>
      </c>
      <c r="AT394" s="367"/>
      <c r="AU394" s="368"/>
      <c r="AW394" s="197"/>
      <c r="AX394" s="197"/>
      <c r="BA394" s="430" t="b">
        <f>AP394="☑"</f>
        <v>0</v>
      </c>
    </row>
    <row r="395" spans="1:53" ht="15.75" customHeight="1" x14ac:dyDescent="0.15">
      <c r="A395" s="3034"/>
      <c r="B395" s="3035"/>
      <c r="C395" s="3036"/>
      <c r="D395" s="3024"/>
      <c r="E395" s="3025"/>
      <c r="F395" s="3025"/>
      <c r="G395" s="3025"/>
      <c r="H395" s="3025"/>
      <c r="I395" s="3025"/>
      <c r="J395" s="3026"/>
      <c r="K395" s="3046"/>
      <c r="L395" s="3047"/>
      <c r="M395" s="3047"/>
      <c r="N395" s="3047"/>
      <c r="O395" s="3047"/>
      <c r="P395" s="3047"/>
      <c r="Q395" s="3047"/>
      <c r="R395" s="3047"/>
      <c r="S395" s="3047"/>
      <c r="T395" s="3047"/>
      <c r="U395" s="3047"/>
      <c r="V395" s="3047"/>
      <c r="W395" s="3047"/>
      <c r="X395" s="3047"/>
      <c r="Y395" s="3047"/>
      <c r="Z395" s="3047"/>
      <c r="AA395" s="3047"/>
      <c r="AB395" s="3047"/>
      <c r="AC395" s="3047"/>
      <c r="AD395" s="3047"/>
      <c r="AE395" s="3047"/>
      <c r="AF395" s="3047"/>
      <c r="AG395" s="3047"/>
      <c r="AH395" s="3047"/>
      <c r="AI395" s="3048"/>
      <c r="AJ395" s="369"/>
      <c r="AK395" s="369"/>
      <c r="AL395" s="369"/>
      <c r="AM395" s="369"/>
      <c r="AN395" s="369"/>
      <c r="AO395" s="369"/>
      <c r="AP395" s="369"/>
      <c r="AQ395" s="369"/>
      <c r="AR395" s="369"/>
      <c r="AS395" s="369"/>
      <c r="AT395" s="369"/>
      <c r="AU395" s="370"/>
      <c r="AW395" s="197"/>
      <c r="AX395" s="197"/>
    </row>
    <row r="396" spans="1:53" ht="15.75" customHeight="1" x14ac:dyDescent="0.15">
      <c r="A396" s="2"/>
      <c r="B396" s="335"/>
      <c r="C396" s="335"/>
      <c r="D396" s="335"/>
      <c r="E396" s="335"/>
      <c r="F396" s="335"/>
      <c r="G396" s="335"/>
      <c r="H396" s="335"/>
      <c r="I396" s="335"/>
      <c r="J396" s="335"/>
      <c r="K396" s="335"/>
      <c r="L396" s="335"/>
      <c r="M396" s="335"/>
      <c r="N396" s="335"/>
      <c r="O396" s="335"/>
      <c r="P396" s="335"/>
      <c r="Q396" s="335"/>
      <c r="R396" s="335"/>
      <c r="S396" s="335"/>
      <c r="T396" s="335"/>
      <c r="U396" s="335"/>
      <c r="V396" s="335"/>
      <c r="W396" s="335"/>
      <c r="X396" s="335"/>
      <c r="Y396" s="3"/>
      <c r="Z396" s="47"/>
      <c r="AA396" s="48" t="s">
        <v>11</v>
      </c>
      <c r="AB396" s="48" t="s">
        <v>10</v>
      </c>
      <c r="AC396" s="48" t="s">
        <v>16</v>
      </c>
      <c r="AD396" s="48" t="s">
        <v>9</v>
      </c>
      <c r="AE396" s="48"/>
      <c r="AF396" s="48"/>
      <c r="AG396" s="48"/>
      <c r="AH396" s="48"/>
      <c r="AI396" s="48"/>
      <c r="AJ396" s="49"/>
      <c r="AK396" s="49"/>
      <c r="AL396" s="49"/>
      <c r="AM396" s="49"/>
      <c r="AN396" s="49"/>
      <c r="AO396" s="49"/>
      <c r="AP396" s="49"/>
      <c r="AQ396" s="49"/>
      <c r="AR396" s="49"/>
      <c r="AS396" s="49"/>
      <c r="AT396" s="49"/>
      <c r="AU396" s="334"/>
      <c r="AW396" s="197"/>
      <c r="AX396" s="197"/>
    </row>
    <row r="397" spans="1:53" ht="15.75" customHeight="1" x14ac:dyDescent="0.15">
      <c r="A397" s="2"/>
      <c r="B397" s="335"/>
      <c r="C397" s="335"/>
      <c r="D397" s="335"/>
      <c r="E397" s="335"/>
      <c r="F397" s="335"/>
      <c r="G397" s="335"/>
      <c r="H397" s="335"/>
      <c r="I397" s="335"/>
      <c r="J397" s="335"/>
      <c r="K397" s="335"/>
      <c r="L397" s="335"/>
      <c r="M397" s="335"/>
      <c r="N397" s="335"/>
      <c r="O397" s="335"/>
      <c r="P397" s="335"/>
      <c r="Q397" s="335"/>
      <c r="R397" s="335"/>
      <c r="S397" s="335"/>
      <c r="T397" s="335"/>
      <c r="U397" s="335"/>
      <c r="V397" s="335"/>
      <c r="W397" s="335"/>
      <c r="X397" s="335"/>
      <c r="Y397" s="3"/>
      <c r="Z397" s="3010"/>
      <c r="AA397" s="3011"/>
      <c r="AB397" s="3011"/>
      <c r="AC397" s="3011"/>
      <c r="AD397" s="3011"/>
      <c r="AE397" s="3011"/>
      <c r="AF397" s="3011"/>
      <c r="AG397" s="3011"/>
      <c r="AH397" s="3011"/>
      <c r="AI397" s="3011"/>
      <c r="AJ397" s="3011"/>
      <c r="AK397" s="3011"/>
      <c r="AL397" s="3011"/>
      <c r="AM397" s="3011"/>
      <c r="AN397" s="3011"/>
      <c r="AO397" s="104"/>
      <c r="AP397" s="104"/>
      <c r="AQ397" s="104"/>
      <c r="AR397" s="104"/>
      <c r="AS397" s="104"/>
      <c r="AT397" s="104"/>
      <c r="AU397" s="105"/>
      <c r="AW397" s="197"/>
      <c r="AX397" s="197"/>
    </row>
    <row r="398" spans="1:53" ht="15.75" customHeight="1" x14ac:dyDescent="0.15">
      <c r="A398" s="2"/>
      <c r="B398" s="335"/>
      <c r="C398" s="335"/>
      <c r="D398" s="335"/>
      <c r="E398" s="335"/>
      <c r="F398" s="335"/>
      <c r="G398" s="335"/>
      <c r="H398" s="335"/>
      <c r="I398" s="335"/>
      <c r="J398" s="335"/>
      <c r="K398" s="335"/>
      <c r="L398" s="335"/>
      <c r="M398" s="335"/>
      <c r="N398" s="335"/>
      <c r="O398" s="335"/>
      <c r="P398" s="335"/>
      <c r="Q398" s="335"/>
      <c r="R398" s="335"/>
      <c r="S398" s="335"/>
      <c r="T398" s="335"/>
      <c r="U398" s="335"/>
      <c r="V398" s="335"/>
      <c r="W398" s="335"/>
      <c r="X398" s="335"/>
      <c r="Y398" s="3"/>
      <c r="Z398" s="2995" t="str">
        <f>IFERROR(VLOOKUP(14,'1_入力シート【基本情報】'!$DU$319:$DZ$534,5,FALSE),"")</f>
        <v/>
      </c>
      <c r="AA398" s="2996"/>
      <c r="AB398" s="2996"/>
      <c r="AC398" s="2996"/>
      <c r="AD398" s="2996"/>
      <c r="AE398" s="2996"/>
      <c r="AF398" s="2996"/>
      <c r="AG398" s="2996"/>
      <c r="AH398" s="2996"/>
      <c r="AI398" s="2996"/>
      <c r="AJ398" s="2996"/>
      <c r="AK398" s="2996"/>
      <c r="AL398" s="2996"/>
      <c r="AM398" s="2996"/>
      <c r="AN398" s="2996"/>
      <c r="AO398" s="2996"/>
      <c r="AP398" s="2996"/>
      <c r="AQ398" s="2996"/>
      <c r="AR398" s="2996"/>
      <c r="AS398" s="2996"/>
      <c r="AT398" s="2996"/>
      <c r="AU398" s="2997"/>
      <c r="AW398" s="197"/>
      <c r="AX398" s="197"/>
    </row>
    <row r="399" spans="1:53" ht="15.75" customHeight="1" x14ac:dyDescent="0.15">
      <c r="A399" s="2"/>
      <c r="B399" s="335"/>
      <c r="C399" s="335"/>
      <c r="D399" s="335"/>
      <c r="E399" s="335"/>
      <c r="F399" s="335"/>
      <c r="G399" s="335"/>
      <c r="H399" s="335"/>
      <c r="I399" s="335"/>
      <c r="J399" s="335"/>
      <c r="K399" s="335"/>
      <c r="L399" s="335"/>
      <c r="M399" s="335"/>
      <c r="N399" s="335"/>
      <c r="O399" s="335"/>
      <c r="P399" s="335"/>
      <c r="Q399" s="335"/>
      <c r="R399" s="335"/>
      <c r="S399" s="335"/>
      <c r="T399" s="335"/>
      <c r="U399" s="335"/>
      <c r="V399" s="335"/>
      <c r="W399" s="335"/>
      <c r="X399" s="335"/>
      <c r="Y399" s="3"/>
      <c r="Z399" s="2998"/>
      <c r="AA399" s="2999"/>
      <c r="AB399" s="2999"/>
      <c r="AC399" s="2999"/>
      <c r="AD399" s="2999"/>
      <c r="AE399" s="2999"/>
      <c r="AF399" s="2999"/>
      <c r="AG399" s="2999"/>
      <c r="AH399" s="2999"/>
      <c r="AI399" s="2999"/>
      <c r="AJ399" s="2999"/>
      <c r="AK399" s="2999"/>
      <c r="AL399" s="2999"/>
      <c r="AM399" s="2999"/>
      <c r="AN399" s="2999"/>
      <c r="AO399" s="2999"/>
      <c r="AP399" s="2999"/>
      <c r="AQ399" s="2999"/>
      <c r="AR399" s="2999"/>
      <c r="AS399" s="2999"/>
      <c r="AT399" s="2999"/>
      <c r="AU399" s="3000"/>
      <c r="AW399" s="197"/>
      <c r="AX399" s="197"/>
    </row>
    <row r="400" spans="1:53" ht="15.75" customHeight="1" x14ac:dyDescent="0.15">
      <c r="A400" s="2"/>
      <c r="B400" s="335"/>
      <c r="C400" s="335"/>
      <c r="D400" s="335"/>
      <c r="E400" s="335"/>
      <c r="F400" s="335"/>
      <c r="G400" s="335"/>
      <c r="H400" s="335"/>
      <c r="I400" s="335"/>
      <c r="J400" s="335"/>
      <c r="K400" s="335"/>
      <c r="L400" s="335"/>
      <c r="M400" s="335"/>
      <c r="N400" s="335"/>
      <c r="O400" s="335"/>
      <c r="P400" s="335"/>
      <c r="Q400" s="335"/>
      <c r="R400" s="335"/>
      <c r="S400" s="335"/>
      <c r="T400" s="335"/>
      <c r="U400" s="335"/>
      <c r="V400" s="335"/>
      <c r="W400" s="335"/>
      <c r="X400" s="335"/>
      <c r="Y400" s="3"/>
      <c r="Z400" s="3001"/>
      <c r="AA400" s="3002"/>
      <c r="AB400" s="3002"/>
      <c r="AC400" s="3002"/>
      <c r="AD400" s="3002"/>
      <c r="AE400" s="3002"/>
      <c r="AF400" s="3002"/>
      <c r="AG400" s="3002"/>
      <c r="AH400" s="3002"/>
      <c r="AI400" s="3002"/>
      <c r="AJ400" s="3002"/>
      <c r="AK400" s="3002"/>
      <c r="AL400" s="3002"/>
      <c r="AM400" s="3002"/>
      <c r="AN400" s="3002"/>
      <c r="AO400" s="3002"/>
      <c r="AP400" s="3002"/>
      <c r="AQ400" s="3002"/>
      <c r="AR400" s="3002"/>
      <c r="AS400" s="3002"/>
      <c r="AT400" s="3002"/>
      <c r="AU400" s="3003"/>
      <c r="AW400" s="197"/>
      <c r="AX400" s="197"/>
    </row>
    <row r="401" spans="1:50" ht="15.75" customHeight="1" x14ac:dyDescent="0.15">
      <c r="A401" s="2"/>
      <c r="B401" s="371"/>
      <c r="C401" s="371"/>
      <c r="D401" s="371"/>
      <c r="E401" s="371"/>
      <c r="F401" s="371"/>
      <c r="G401" s="371"/>
      <c r="H401" s="371"/>
      <c r="I401" s="371"/>
      <c r="J401" s="371"/>
      <c r="K401" s="371"/>
      <c r="L401" s="371"/>
      <c r="M401" s="371"/>
      <c r="N401" s="371"/>
      <c r="O401" s="371"/>
      <c r="P401" s="371"/>
      <c r="Q401" s="371"/>
      <c r="R401" s="371"/>
      <c r="S401" s="371"/>
      <c r="T401" s="371"/>
      <c r="U401" s="371"/>
      <c r="V401" s="371"/>
      <c r="W401" s="371"/>
      <c r="X401" s="371"/>
      <c r="Y401" s="3"/>
      <c r="Z401" s="3004"/>
      <c r="AA401" s="3005"/>
      <c r="AB401" s="3005"/>
      <c r="AC401" s="3005"/>
      <c r="AD401" s="3005"/>
      <c r="AE401" s="3005"/>
      <c r="AF401" s="3005"/>
      <c r="AG401" s="3005"/>
      <c r="AH401" s="3005"/>
      <c r="AI401" s="3005"/>
      <c r="AJ401" s="3005"/>
      <c r="AK401" s="3005"/>
      <c r="AL401" s="3005"/>
      <c r="AM401" s="3005"/>
      <c r="AN401" s="3005"/>
      <c r="AO401" s="3005"/>
      <c r="AP401" s="3005"/>
      <c r="AQ401" s="3005"/>
      <c r="AR401" s="3005"/>
      <c r="AS401" s="3005"/>
      <c r="AT401" s="3005"/>
      <c r="AU401" s="3006"/>
      <c r="AW401" s="197"/>
      <c r="AX401" s="197"/>
    </row>
    <row r="402" spans="1:50" ht="15.75" customHeight="1" x14ac:dyDescent="0.15">
      <c r="A402" s="2"/>
      <c r="B402" s="371"/>
      <c r="C402" s="371"/>
      <c r="D402" s="371"/>
      <c r="E402" s="371"/>
      <c r="F402" s="371"/>
      <c r="G402" s="371"/>
      <c r="H402" s="371"/>
      <c r="I402" s="371"/>
      <c r="J402" s="371"/>
      <c r="K402" s="371"/>
      <c r="L402" s="371"/>
      <c r="M402" s="371"/>
      <c r="N402" s="371"/>
      <c r="O402" s="371"/>
      <c r="P402" s="371"/>
      <c r="Q402" s="371"/>
      <c r="R402" s="371"/>
      <c r="S402" s="371"/>
      <c r="T402" s="371"/>
      <c r="U402" s="371"/>
      <c r="V402" s="371"/>
      <c r="W402" s="371"/>
      <c r="X402" s="371"/>
      <c r="Y402" s="3"/>
      <c r="Z402" s="3004"/>
      <c r="AA402" s="3005"/>
      <c r="AB402" s="3005"/>
      <c r="AC402" s="3005"/>
      <c r="AD402" s="3005"/>
      <c r="AE402" s="3005"/>
      <c r="AF402" s="3005"/>
      <c r="AG402" s="3005"/>
      <c r="AH402" s="3005"/>
      <c r="AI402" s="3005"/>
      <c r="AJ402" s="3005"/>
      <c r="AK402" s="3005"/>
      <c r="AL402" s="3005"/>
      <c r="AM402" s="3005"/>
      <c r="AN402" s="3005"/>
      <c r="AO402" s="3005"/>
      <c r="AP402" s="3005"/>
      <c r="AQ402" s="3005"/>
      <c r="AR402" s="3005"/>
      <c r="AS402" s="3005"/>
      <c r="AT402" s="3005"/>
      <c r="AU402" s="3006"/>
      <c r="AW402" s="197"/>
      <c r="AX402" s="197"/>
    </row>
    <row r="403" spans="1:50" ht="15.75" customHeight="1" x14ac:dyDescent="0.15">
      <c r="A403" s="2"/>
      <c r="B403" s="371"/>
      <c r="C403" s="371"/>
      <c r="D403" s="371"/>
      <c r="E403" s="371"/>
      <c r="F403" s="371"/>
      <c r="G403" s="371"/>
      <c r="H403" s="371"/>
      <c r="I403" s="371"/>
      <c r="J403" s="371"/>
      <c r="K403" s="371"/>
      <c r="L403" s="371"/>
      <c r="M403" s="371"/>
      <c r="N403" s="371"/>
      <c r="O403" s="371"/>
      <c r="P403" s="371"/>
      <c r="Q403" s="371"/>
      <c r="R403" s="371"/>
      <c r="S403" s="371"/>
      <c r="T403" s="371"/>
      <c r="U403" s="371"/>
      <c r="V403" s="371"/>
      <c r="W403" s="371"/>
      <c r="X403" s="371"/>
      <c r="Y403" s="3"/>
      <c r="Z403" s="3004"/>
      <c r="AA403" s="3005"/>
      <c r="AB403" s="3005"/>
      <c r="AC403" s="3005"/>
      <c r="AD403" s="3005"/>
      <c r="AE403" s="3005"/>
      <c r="AF403" s="3005"/>
      <c r="AG403" s="3005"/>
      <c r="AH403" s="3005"/>
      <c r="AI403" s="3005"/>
      <c r="AJ403" s="3005"/>
      <c r="AK403" s="3005"/>
      <c r="AL403" s="3005"/>
      <c r="AM403" s="3005"/>
      <c r="AN403" s="3005"/>
      <c r="AO403" s="3005"/>
      <c r="AP403" s="3005"/>
      <c r="AQ403" s="3005"/>
      <c r="AR403" s="3005"/>
      <c r="AS403" s="3005"/>
      <c r="AT403" s="3005"/>
      <c r="AU403" s="3006"/>
      <c r="AW403" s="197"/>
      <c r="AX403" s="197"/>
    </row>
    <row r="404" spans="1:50" ht="15.75" customHeight="1" x14ac:dyDescent="0.15">
      <c r="A404" s="2"/>
      <c r="B404" s="371"/>
      <c r="C404" s="371"/>
      <c r="D404" s="371"/>
      <c r="E404" s="371"/>
      <c r="F404" s="371"/>
      <c r="G404" s="371"/>
      <c r="H404" s="371"/>
      <c r="I404" s="371"/>
      <c r="J404" s="371"/>
      <c r="K404" s="3013" t="s">
        <v>157</v>
      </c>
      <c r="L404" s="3013"/>
      <c r="M404" s="3013"/>
      <c r="N404" s="3013"/>
      <c r="O404" s="3013"/>
      <c r="P404" s="3013"/>
      <c r="Q404" s="371"/>
      <c r="R404" s="371"/>
      <c r="S404" s="371"/>
      <c r="T404" s="371"/>
      <c r="U404" s="371"/>
      <c r="V404" s="371"/>
      <c r="W404" s="371"/>
      <c r="X404" s="371"/>
      <c r="Y404" s="3"/>
      <c r="Z404" s="3004"/>
      <c r="AA404" s="3005"/>
      <c r="AB404" s="3005"/>
      <c r="AC404" s="3005"/>
      <c r="AD404" s="3005"/>
      <c r="AE404" s="3005"/>
      <c r="AF404" s="3005"/>
      <c r="AG404" s="3005"/>
      <c r="AH404" s="3005"/>
      <c r="AI404" s="3005"/>
      <c r="AJ404" s="3005"/>
      <c r="AK404" s="3005"/>
      <c r="AL404" s="3005"/>
      <c r="AM404" s="3005"/>
      <c r="AN404" s="3005"/>
      <c r="AO404" s="3005"/>
      <c r="AP404" s="3005"/>
      <c r="AQ404" s="3005"/>
      <c r="AR404" s="3005"/>
      <c r="AS404" s="3005"/>
      <c r="AT404" s="3005"/>
      <c r="AU404" s="3006"/>
      <c r="AW404" s="197"/>
      <c r="AX404" s="197"/>
    </row>
    <row r="405" spans="1:50" ht="15.75" customHeight="1" x14ac:dyDescent="0.15">
      <c r="A405" s="2"/>
      <c r="B405" s="371"/>
      <c r="C405" s="371"/>
      <c r="D405" s="371"/>
      <c r="E405" s="371"/>
      <c r="F405" s="371"/>
      <c r="G405" s="371"/>
      <c r="H405" s="371"/>
      <c r="I405" s="371"/>
      <c r="J405" s="371"/>
      <c r="K405" s="371"/>
      <c r="L405" s="371"/>
      <c r="M405" s="371"/>
      <c r="N405" s="371"/>
      <c r="O405" s="371"/>
      <c r="P405" s="371"/>
      <c r="Q405" s="371"/>
      <c r="R405" s="371"/>
      <c r="S405" s="371"/>
      <c r="T405" s="371"/>
      <c r="U405" s="371"/>
      <c r="V405" s="371"/>
      <c r="W405" s="371"/>
      <c r="X405" s="371"/>
      <c r="Y405" s="3"/>
      <c r="Z405" s="3004"/>
      <c r="AA405" s="3005"/>
      <c r="AB405" s="3005"/>
      <c r="AC405" s="3005"/>
      <c r="AD405" s="3005"/>
      <c r="AE405" s="3005"/>
      <c r="AF405" s="3005"/>
      <c r="AG405" s="3005"/>
      <c r="AH405" s="3005"/>
      <c r="AI405" s="3005"/>
      <c r="AJ405" s="3005"/>
      <c r="AK405" s="3005"/>
      <c r="AL405" s="3005"/>
      <c r="AM405" s="3005"/>
      <c r="AN405" s="3005"/>
      <c r="AO405" s="3005"/>
      <c r="AP405" s="3005"/>
      <c r="AQ405" s="3005"/>
      <c r="AR405" s="3005"/>
      <c r="AS405" s="3005"/>
      <c r="AT405" s="3005"/>
      <c r="AU405" s="3006"/>
      <c r="AW405" s="197"/>
      <c r="AX405" s="197"/>
    </row>
    <row r="406" spans="1:50" ht="15.75" customHeight="1" x14ac:dyDescent="0.15">
      <c r="A406" s="2"/>
      <c r="B406" s="371"/>
      <c r="C406" s="371"/>
      <c r="D406" s="371"/>
      <c r="E406" s="371"/>
      <c r="F406" s="371"/>
      <c r="G406" s="371"/>
      <c r="H406" s="371"/>
      <c r="I406" s="371"/>
      <c r="J406" s="371"/>
      <c r="K406" s="371"/>
      <c r="L406" s="371"/>
      <c r="M406" s="371"/>
      <c r="N406" s="371"/>
      <c r="O406" s="371"/>
      <c r="P406" s="371"/>
      <c r="Q406" s="371"/>
      <c r="R406" s="371"/>
      <c r="S406" s="371"/>
      <c r="T406" s="371"/>
      <c r="U406" s="371"/>
      <c r="V406" s="371"/>
      <c r="W406" s="371"/>
      <c r="X406" s="371"/>
      <c r="Y406" s="3"/>
      <c r="Z406" s="3004"/>
      <c r="AA406" s="3005"/>
      <c r="AB406" s="3005"/>
      <c r="AC406" s="3005"/>
      <c r="AD406" s="3005"/>
      <c r="AE406" s="3005"/>
      <c r="AF406" s="3005"/>
      <c r="AG406" s="3005"/>
      <c r="AH406" s="3005"/>
      <c r="AI406" s="3005"/>
      <c r="AJ406" s="3005"/>
      <c r="AK406" s="3005"/>
      <c r="AL406" s="3005"/>
      <c r="AM406" s="3005"/>
      <c r="AN406" s="3005"/>
      <c r="AO406" s="3005"/>
      <c r="AP406" s="3005"/>
      <c r="AQ406" s="3005"/>
      <c r="AR406" s="3005"/>
      <c r="AS406" s="3005"/>
      <c r="AT406" s="3005"/>
      <c r="AU406" s="3006"/>
      <c r="AW406" s="197"/>
      <c r="AX406" s="197"/>
    </row>
    <row r="407" spans="1:50" ht="15.75" customHeight="1" x14ac:dyDescent="0.15">
      <c r="A407" s="2"/>
      <c r="B407" s="371"/>
      <c r="C407" s="371"/>
      <c r="D407" s="371"/>
      <c r="E407" s="371"/>
      <c r="F407" s="371"/>
      <c r="G407" s="371"/>
      <c r="H407" s="371"/>
      <c r="I407" s="371"/>
      <c r="J407" s="371"/>
      <c r="K407" s="371"/>
      <c r="L407" s="371"/>
      <c r="M407" s="371"/>
      <c r="N407" s="371"/>
      <c r="O407" s="371"/>
      <c r="P407" s="371"/>
      <c r="Q407" s="371"/>
      <c r="R407" s="371"/>
      <c r="S407" s="371"/>
      <c r="T407" s="371"/>
      <c r="U407" s="371"/>
      <c r="V407" s="371"/>
      <c r="W407" s="371"/>
      <c r="X407" s="371"/>
      <c r="Y407" s="3"/>
      <c r="Z407" s="3004"/>
      <c r="AA407" s="3005"/>
      <c r="AB407" s="3005"/>
      <c r="AC407" s="3005"/>
      <c r="AD407" s="3005"/>
      <c r="AE407" s="3005"/>
      <c r="AF407" s="3005"/>
      <c r="AG407" s="3005"/>
      <c r="AH407" s="3005"/>
      <c r="AI407" s="3005"/>
      <c r="AJ407" s="3005"/>
      <c r="AK407" s="3005"/>
      <c r="AL407" s="3005"/>
      <c r="AM407" s="3005"/>
      <c r="AN407" s="3005"/>
      <c r="AO407" s="3005"/>
      <c r="AP407" s="3005"/>
      <c r="AQ407" s="3005"/>
      <c r="AR407" s="3005"/>
      <c r="AS407" s="3005"/>
      <c r="AT407" s="3005"/>
      <c r="AU407" s="3006"/>
      <c r="AW407" s="197"/>
      <c r="AX407" s="197"/>
    </row>
    <row r="408" spans="1:50" ht="15.75" customHeight="1" x14ac:dyDescent="0.15">
      <c r="A408" s="2"/>
      <c r="B408" s="371"/>
      <c r="C408" s="371"/>
      <c r="D408" s="371"/>
      <c r="E408" s="371"/>
      <c r="F408" s="371"/>
      <c r="G408" s="371"/>
      <c r="H408" s="371"/>
      <c r="I408" s="371"/>
      <c r="J408" s="371"/>
      <c r="K408" s="371"/>
      <c r="L408" s="371"/>
      <c r="M408" s="371"/>
      <c r="N408" s="371"/>
      <c r="O408" s="371"/>
      <c r="P408" s="371"/>
      <c r="Q408" s="371"/>
      <c r="R408" s="371"/>
      <c r="S408" s="371"/>
      <c r="T408" s="371"/>
      <c r="U408" s="371"/>
      <c r="V408" s="371"/>
      <c r="W408" s="371"/>
      <c r="X408" s="371"/>
      <c r="Y408" s="3"/>
      <c r="Z408" s="3004"/>
      <c r="AA408" s="3005"/>
      <c r="AB408" s="3005"/>
      <c r="AC408" s="3005"/>
      <c r="AD408" s="3005"/>
      <c r="AE408" s="3005"/>
      <c r="AF408" s="3005"/>
      <c r="AG408" s="3005"/>
      <c r="AH408" s="3005"/>
      <c r="AI408" s="3005"/>
      <c r="AJ408" s="3005"/>
      <c r="AK408" s="3005"/>
      <c r="AL408" s="3005"/>
      <c r="AM408" s="3005"/>
      <c r="AN408" s="3005"/>
      <c r="AO408" s="3005"/>
      <c r="AP408" s="3005"/>
      <c r="AQ408" s="3005"/>
      <c r="AR408" s="3005"/>
      <c r="AS408" s="3005"/>
      <c r="AT408" s="3005"/>
      <c r="AU408" s="3006"/>
      <c r="AW408" s="197"/>
      <c r="AX408" s="197"/>
    </row>
    <row r="409" spans="1:50" ht="15.75" customHeight="1" x14ac:dyDescent="0.15">
      <c r="A409" s="2"/>
      <c r="B409" s="371"/>
      <c r="C409" s="371"/>
      <c r="D409" s="371"/>
      <c r="E409" s="371"/>
      <c r="F409" s="371"/>
      <c r="G409" s="371"/>
      <c r="H409" s="371"/>
      <c r="I409" s="371"/>
      <c r="J409" s="371"/>
      <c r="K409" s="371"/>
      <c r="L409" s="371"/>
      <c r="M409" s="371"/>
      <c r="N409" s="371"/>
      <c r="O409" s="371"/>
      <c r="P409" s="371"/>
      <c r="Q409" s="371"/>
      <c r="R409" s="371"/>
      <c r="S409" s="371"/>
      <c r="T409" s="371"/>
      <c r="U409" s="371"/>
      <c r="V409" s="371"/>
      <c r="W409" s="371"/>
      <c r="X409" s="371"/>
      <c r="Y409" s="3"/>
      <c r="Z409" s="3004"/>
      <c r="AA409" s="3005"/>
      <c r="AB409" s="3005"/>
      <c r="AC409" s="3005"/>
      <c r="AD409" s="3005"/>
      <c r="AE409" s="3005"/>
      <c r="AF409" s="3005"/>
      <c r="AG409" s="3005"/>
      <c r="AH409" s="3005"/>
      <c r="AI409" s="3005"/>
      <c r="AJ409" s="3005"/>
      <c r="AK409" s="3005"/>
      <c r="AL409" s="3005"/>
      <c r="AM409" s="3005"/>
      <c r="AN409" s="3005"/>
      <c r="AO409" s="3005"/>
      <c r="AP409" s="3005"/>
      <c r="AQ409" s="3005"/>
      <c r="AR409" s="3005"/>
      <c r="AS409" s="3005"/>
      <c r="AT409" s="3005"/>
      <c r="AU409" s="3006"/>
      <c r="AW409" s="197"/>
      <c r="AX409" s="197"/>
    </row>
    <row r="410" spans="1:50" ht="15.75" customHeight="1" x14ac:dyDescent="0.15">
      <c r="A410" s="2"/>
      <c r="B410" s="371"/>
      <c r="C410" s="371"/>
      <c r="D410" s="371"/>
      <c r="E410" s="371"/>
      <c r="F410" s="371"/>
      <c r="G410" s="371"/>
      <c r="H410" s="371"/>
      <c r="I410" s="371"/>
      <c r="J410" s="371"/>
      <c r="K410" s="371"/>
      <c r="L410" s="371"/>
      <c r="M410" s="371"/>
      <c r="N410" s="371"/>
      <c r="O410" s="371"/>
      <c r="P410" s="371"/>
      <c r="Q410" s="371"/>
      <c r="R410" s="371"/>
      <c r="S410" s="371"/>
      <c r="T410" s="371"/>
      <c r="U410" s="371"/>
      <c r="V410" s="371"/>
      <c r="W410" s="371"/>
      <c r="X410" s="371"/>
      <c r="Y410" s="3"/>
      <c r="Z410" s="3004"/>
      <c r="AA410" s="3005"/>
      <c r="AB410" s="3005"/>
      <c r="AC410" s="3005"/>
      <c r="AD410" s="3005"/>
      <c r="AE410" s="3005"/>
      <c r="AF410" s="3005"/>
      <c r="AG410" s="3005"/>
      <c r="AH410" s="3005"/>
      <c r="AI410" s="3005"/>
      <c r="AJ410" s="3005"/>
      <c r="AK410" s="3005"/>
      <c r="AL410" s="3005"/>
      <c r="AM410" s="3005"/>
      <c r="AN410" s="3005"/>
      <c r="AO410" s="3005"/>
      <c r="AP410" s="3005"/>
      <c r="AQ410" s="3005"/>
      <c r="AR410" s="3005"/>
      <c r="AS410" s="3005"/>
      <c r="AT410" s="3005"/>
      <c r="AU410" s="3006"/>
      <c r="AW410" s="197"/>
      <c r="AX410" s="197"/>
    </row>
    <row r="411" spans="1:50" ht="15.75" customHeight="1" x14ac:dyDescent="0.15">
      <c r="A411" s="2"/>
      <c r="B411" s="371"/>
      <c r="C411" s="371"/>
      <c r="D411" s="371"/>
      <c r="E411" s="371"/>
      <c r="F411" s="371"/>
      <c r="G411" s="371"/>
      <c r="H411" s="371"/>
      <c r="I411" s="371"/>
      <c r="J411" s="371"/>
      <c r="K411" s="371"/>
      <c r="L411" s="371"/>
      <c r="M411" s="371"/>
      <c r="N411" s="371"/>
      <c r="O411" s="371"/>
      <c r="P411" s="371"/>
      <c r="Q411" s="371"/>
      <c r="R411" s="371"/>
      <c r="S411" s="371"/>
      <c r="T411" s="371"/>
      <c r="U411" s="371"/>
      <c r="V411" s="371"/>
      <c r="W411" s="371"/>
      <c r="X411" s="371"/>
      <c r="Y411" s="3"/>
      <c r="Z411" s="3004"/>
      <c r="AA411" s="3005"/>
      <c r="AB411" s="3005"/>
      <c r="AC411" s="3005"/>
      <c r="AD411" s="3005"/>
      <c r="AE411" s="3005"/>
      <c r="AF411" s="3005"/>
      <c r="AG411" s="3005"/>
      <c r="AH411" s="3005"/>
      <c r="AI411" s="3005"/>
      <c r="AJ411" s="3005"/>
      <c r="AK411" s="3005"/>
      <c r="AL411" s="3005"/>
      <c r="AM411" s="3005"/>
      <c r="AN411" s="3005"/>
      <c r="AO411" s="3005"/>
      <c r="AP411" s="3005"/>
      <c r="AQ411" s="3005"/>
      <c r="AR411" s="3005"/>
      <c r="AS411" s="3005"/>
      <c r="AT411" s="3005"/>
      <c r="AU411" s="3006"/>
      <c r="AW411" s="197"/>
      <c r="AX411" s="197"/>
    </row>
    <row r="412" spans="1:50" ht="15.75" customHeight="1" x14ac:dyDescent="0.15">
      <c r="A412" s="2"/>
      <c r="B412" s="371"/>
      <c r="C412" s="371"/>
      <c r="D412" s="371"/>
      <c r="E412" s="371"/>
      <c r="F412" s="371"/>
      <c r="G412" s="371"/>
      <c r="H412" s="371"/>
      <c r="I412" s="371"/>
      <c r="J412" s="371"/>
      <c r="K412" s="371"/>
      <c r="L412" s="371"/>
      <c r="M412" s="371"/>
      <c r="N412" s="371"/>
      <c r="O412" s="371"/>
      <c r="P412" s="371"/>
      <c r="Q412" s="371"/>
      <c r="R412" s="371"/>
      <c r="S412" s="371"/>
      <c r="T412" s="371"/>
      <c r="U412" s="371"/>
      <c r="V412" s="371"/>
      <c r="W412" s="371"/>
      <c r="X412" s="371"/>
      <c r="Y412" s="3"/>
      <c r="Z412" s="3004"/>
      <c r="AA412" s="3005"/>
      <c r="AB412" s="3005"/>
      <c r="AC412" s="3005"/>
      <c r="AD412" s="3005"/>
      <c r="AE412" s="3005"/>
      <c r="AF412" s="3005"/>
      <c r="AG412" s="3005"/>
      <c r="AH412" s="3005"/>
      <c r="AI412" s="3005"/>
      <c r="AJ412" s="3005"/>
      <c r="AK412" s="3005"/>
      <c r="AL412" s="3005"/>
      <c r="AM412" s="3005"/>
      <c r="AN412" s="3005"/>
      <c r="AO412" s="3005"/>
      <c r="AP412" s="3005"/>
      <c r="AQ412" s="3005"/>
      <c r="AR412" s="3005"/>
      <c r="AS412" s="3005"/>
      <c r="AT412" s="3005"/>
      <c r="AU412" s="3006"/>
      <c r="AW412" s="197"/>
      <c r="AX412" s="197"/>
    </row>
    <row r="413" spans="1:50" ht="15.75" customHeight="1" x14ac:dyDescent="0.15">
      <c r="A413" s="6"/>
      <c r="B413" s="4"/>
      <c r="C413" s="4"/>
      <c r="D413" s="4"/>
      <c r="E413" s="4"/>
      <c r="F413" s="4"/>
      <c r="G413" s="4"/>
      <c r="H413" s="4"/>
      <c r="I413" s="4"/>
      <c r="J413" s="4"/>
      <c r="K413" s="4"/>
      <c r="L413" s="4"/>
      <c r="M413" s="4"/>
      <c r="N413" s="4"/>
      <c r="O413" s="4"/>
      <c r="P413" s="4"/>
      <c r="Q413" s="4"/>
      <c r="R413" s="4"/>
      <c r="S413" s="4"/>
      <c r="T413" s="4"/>
      <c r="U413" s="4"/>
      <c r="V413" s="4"/>
      <c r="W413" s="4"/>
      <c r="X413" s="4"/>
      <c r="Y413" s="5"/>
      <c r="Z413" s="3007"/>
      <c r="AA413" s="3008"/>
      <c r="AB413" s="3008"/>
      <c r="AC413" s="3008"/>
      <c r="AD413" s="3008"/>
      <c r="AE413" s="3008"/>
      <c r="AF413" s="3008"/>
      <c r="AG413" s="3008"/>
      <c r="AH413" s="3008"/>
      <c r="AI413" s="3008"/>
      <c r="AJ413" s="3008"/>
      <c r="AK413" s="3008"/>
      <c r="AL413" s="3008"/>
      <c r="AM413" s="3008"/>
      <c r="AN413" s="3008"/>
      <c r="AO413" s="3008"/>
      <c r="AP413" s="3008"/>
      <c r="AQ413" s="3008"/>
      <c r="AR413" s="3008"/>
      <c r="AS413" s="3008"/>
      <c r="AT413" s="3008"/>
      <c r="AU413" s="3009"/>
      <c r="AW413" s="197"/>
      <c r="AX413" s="197"/>
    </row>
    <row r="414" spans="1:50" ht="12.75" customHeight="1" x14ac:dyDescent="0.15">
      <c r="AW414" s="197"/>
      <c r="AX414" s="197"/>
    </row>
    <row r="415" spans="1:50" ht="12.75" customHeight="1" x14ac:dyDescent="0.15">
      <c r="A415" s="3027" t="s">
        <v>150</v>
      </c>
      <c r="B415" s="3027"/>
      <c r="C415" s="3027"/>
      <c r="D415" s="3027"/>
      <c r="AU415" s="337"/>
      <c r="AW415" s="197"/>
      <c r="AX415" s="197"/>
    </row>
    <row r="416" spans="1:50" ht="12.75" customHeight="1" x14ac:dyDescent="0.15">
      <c r="B416" s="338" t="s">
        <v>151</v>
      </c>
      <c r="C416" s="2993" t="s">
        <v>169</v>
      </c>
      <c r="D416" s="2993"/>
      <c r="E416" s="2993"/>
      <c r="F416" s="2993"/>
      <c r="G416" s="2993"/>
      <c r="H416" s="2993"/>
      <c r="I416" s="2993"/>
      <c r="J416" s="2993"/>
      <c r="K416" s="2993"/>
      <c r="L416" s="2993"/>
      <c r="M416" s="2993"/>
      <c r="N416" s="2993"/>
      <c r="O416" s="2993"/>
      <c r="P416" s="2993"/>
      <c r="Q416" s="2993"/>
      <c r="R416" s="2993"/>
      <c r="S416" s="2993"/>
      <c r="T416" s="2993"/>
      <c r="U416" s="2993"/>
      <c r="V416" s="2993"/>
      <c r="W416" s="2993"/>
      <c r="X416" s="2993"/>
      <c r="Y416" s="2993"/>
      <c r="Z416" s="2993"/>
      <c r="AA416" s="2993"/>
      <c r="AB416" s="2993"/>
      <c r="AC416" s="2993"/>
      <c r="AD416" s="2993"/>
      <c r="AE416" s="2993"/>
      <c r="AF416" s="2993"/>
      <c r="AG416" s="2993"/>
      <c r="AH416" s="2993"/>
      <c r="AI416" s="2993"/>
      <c r="AJ416" s="2993"/>
      <c r="AK416" s="2993"/>
      <c r="AL416" s="2993"/>
      <c r="AM416" s="2993"/>
      <c r="AN416" s="2993"/>
      <c r="AO416" s="2993"/>
      <c r="AP416" s="2993"/>
      <c r="AQ416" s="2993"/>
      <c r="AR416" s="2993"/>
      <c r="AS416" s="2993"/>
      <c r="AT416" s="2993"/>
      <c r="AU416" s="2993"/>
      <c r="AW416" s="197"/>
      <c r="AX416" s="197"/>
    </row>
    <row r="417" spans="1:53" ht="12.75" customHeight="1" x14ac:dyDescent="0.15">
      <c r="B417" s="338"/>
      <c r="C417" s="2994" t="s">
        <v>170</v>
      </c>
      <c r="D417" s="2994"/>
      <c r="E417" s="2994"/>
      <c r="F417" s="2994"/>
      <c r="G417" s="2994"/>
      <c r="H417" s="2994"/>
      <c r="I417" s="2994"/>
      <c r="J417" s="2994"/>
      <c r="K417" s="2994"/>
      <c r="L417" s="2994"/>
      <c r="M417" s="2994"/>
      <c r="N417" s="2994"/>
      <c r="O417" s="2994"/>
      <c r="P417" s="2994"/>
      <c r="Q417" s="2994"/>
      <c r="R417" s="2994"/>
      <c r="S417" s="2994"/>
      <c r="T417" s="2994"/>
      <c r="U417" s="2994"/>
      <c r="V417" s="2994"/>
      <c r="W417" s="2994"/>
      <c r="X417" s="2994"/>
      <c r="Y417" s="2994"/>
      <c r="Z417" s="2994"/>
      <c r="AA417" s="2994"/>
      <c r="AB417" s="2994"/>
      <c r="AC417" s="2994"/>
      <c r="AD417" s="2994"/>
      <c r="AE417" s="2994"/>
      <c r="AF417" s="2994"/>
      <c r="AG417" s="2994"/>
      <c r="AH417" s="2994"/>
      <c r="AI417" s="2994"/>
      <c r="AJ417" s="2994"/>
      <c r="AK417" s="2994"/>
      <c r="AL417" s="2994"/>
      <c r="AM417" s="2994"/>
      <c r="AN417" s="2994"/>
      <c r="AO417" s="2994"/>
      <c r="AP417" s="2994"/>
      <c r="AQ417" s="2994"/>
      <c r="AR417" s="2994"/>
      <c r="AS417" s="2994"/>
      <c r="AT417" s="2994"/>
      <c r="AU417" s="2994"/>
      <c r="AW417" s="197"/>
      <c r="AX417" s="197"/>
    </row>
    <row r="418" spans="1:53" ht="12.75" customHeight="1" x14ac:dyDescent="0.15">
      <c r="B418" s="338"/>
      <c r="C418" s="2994" t="s">
        <v>171</v>
      </c>
      <c r="D418" s="2994"/>
      <c r="E418" s="2994"/>
      <c r="F418" s="2994"/>
      <c r="G418" s="2994"/>
      <c r="H418" s="2994"/>
      <c r="I418" s="2994"/>
      <c r="J418" s="2994"/>
      <c r="K418" s="2994"/>
      <c r="L418" s="2994"/>
      <c r="M418" s="2994"/>
      <c r="N418" s="2994"/>
      <c r="O418" s="2994"/>
      <c r="P418" s="2994"/>
      <c r="Q418" s="2994"/>
      <c r="R418" s="2994"/>
      <c r="S418" s="2994"/>
      <c r="T418" s="2994"/>
      <c r="U418" s="2994"/>
      <c r="V418" s="2994"/>
      <c r="W418" s="2994"/>
      <c r="X418" s="2994"/>
      <c r="Y418" s="2994"/>
      <c r="Z418" s="2994"/>
      <c r="AA418" s="2994"/>
      <c r="AB418" s="2994"/>
      <c r="AC418" s="2994"/>
      <c r="AD418" s="2994"/>
      <c r="AE418" s="2994"/>
      <c r="AF418" s="2994"/>
      <c r="AG418" s="2994"/>
      <c r="AH418" s="2994"/>
      <c r="AI418" s="2994"/>
      <c r="AJ418" s="2994"/>
      <c r="AK418" s="2994"/>
      <c r="AL418" s="2994"/>
      <c r="AM418" s="2994"/>
      <c r="AN418" s="2994"/>
      <c r="AO418" s="2994"/>
      <c r="AP418" s="2994"/>
      <c r="AQ418" s="2994"/>
      <c r="AR418" s="2994"/>
      <c r="AS418" s="2994"/>
      <c r="AT418" s="2994"/>
      <c r="AU418" s="2994"/>
      <c r="AW418" s="197"/>
      <c r="AX418" s="197"/>
    </row>
    <row r="419" spans="1:53" ht="12.75" customHeight="1" x14ac:dyDescent="0.15">
      <c r="B419" s="338" t="s">
        <v>158</v>
      </c>
      <c r="C419" s="2994" t="s">
        <v>159</v>
      </c>
      <c r="D419" s="2994"/>
      <c r="E419" s="2994"/>
      <c r="F419" s="2994"/>
      <c r="G419" s="2994"/>
      <c r="H419" s="2994"/>
      <c r="I419" s="2994"/>
      <c r="J419" s="2994"/>
      <c r="K419" s="2994"/>
      <c r="L419" s="2994"/>
      <c r="M419" s="2994"/>
      <c r="N419" s="2994"/>
      <c r="O419" s="2994"/>
      <c r="P419" s="2994"/>
      <c r="Q419" s="2994"/>
      <c r="R419" s="2994"/>
      <c r="S419" s="2994"/>
      <c r="T419" s="2994"/>
      <c r="U419" s="2994"/>
      <c r="V419" s="2994"/>
      <c r="W419" s="2994"/>
      <c r="X419" s="2994"/>
      <c r="Y419" s="2994"/>
      <c r="Z419" s="2994"/>
      <c r="AA419" s="2994"/>
      <c r="AB419" s="2994"/>
      <c r="AC419" s="2994"/>
      <c r="AD419" s="2994"/>
      <c r="AE419" s="2994"/>
      <c r="AF419" s="2994"/>
      <c r="AG419" s="2994"/>
      <c r="AH419" s="2994"/>
      <c r="AI419" s="2994"/>
      <c r="AJ419" s="2994"/>
      <c r="AK419" s="2994"/>
      <c r="AL419" s="2994"/>
      <c r="AM419" s="2994"/>
      <c r="AN419" s="2994"/>
      <c r="AO419" s="2994"/>
      <c r="AP419" s="2994"/>
      <c r="AQ419" s="2994"/>
      <c r="AR419" s="2994"/>
      <c r="AS419" s="2994"/>
      <c r="AT419" s="2994"/>
      <c r="AU419" s="2994"/>
      <c r="AW419" s="197"/>
      <c r="AX419" s="197"/>
    </row>
    <row r="420" spans="1:53" ht="12.75" customHeight="1" x14ac:dyDescent="0.15">
      <c r="B420" s="338" t="s">
        <v>152</v>
      </c>
      <c r="C420" s="2994" t="s">
        <v>0</v>
      </c>
      <c r="D420" s="2994"/>
      <c r="E420" s="2994"/>
      <c r="F420" s="2994"/>
      <c r="G420" s="2994"/>
      <c r="H420" s="2994"/>
      <c r="I420" s="2994"/>
      <c r="J420" s="2994"/>
      <c r="K420" s="2994"/>
      <c r="L420" s="2994"/>
      <c r="M420" s="2994"/>
      <c r="N420" s="2994"/>
      <c r="O420" s="2994"/>
      <c r="P420" s="2994"/>
      <c r="Q420" s="2994"/>
      <c r="R420" s="2994"/>
      <c r="S420" s="2994"/>
      <c r="T420" s="2994"/>
      <c r="U420" s="2994"/>
      <c r="V420" s="2994"/>
      <c r="W420" s="2994"/>
      <c r="X420" s="2994"/>
      <c r="Y420" s="2994"/>
      <c r="Z420" s="2994"/>
      <c r="AA420" s="2994"/>
      <c r="AB420" s="2994"/>
      <c r="AC420" s="2994"/>
      <c r="AD420" s="2994"/>
      <c r="AE420" s="2994"/>
      <c r="AF420" s="2994"/>
      <c r="AG420" s="2994"/>
      <c r="AH420" s="2994"/>
      <c r="AI420" s="2994"/>
      <c r="AJ420" s="2994"/>
      <c r="AK420" s="2994"/>
      <c r="AL420" s="2994"/>
      <c r="AM420" s="2994"/>
      <c r="AN420" s="2994"/>
      <c r="AO420" s="2994"/>
      <c r="AP420" s="2994"/>
      <c r="AQ420" s="2994"/>
      <c r="AR420" s="2994"/>
      <c r="AS420" s="2994"/>
      <c r="AT420" s="2994"/>
      <c r="AU420" s="2994"/>
      <c r="AW420" s="197"/>
      <c r="AX420" s="197"/>
    </row>
    <row r="421" spans="1:53" ht="12.75" customHeight="1" x14ac:dyDescent="0.15">
      <c r="B421" s="338" t="s">
        <v>160</v>
      </c>
      <c r="C421" s="2994" t="s">
        <v>172</v>
      </c>
      <c r="D421" s="2994"/>
      <c r="E421" s="2994"/>
      <c r="F421" s="2994"/>
      <c r="G421" s="2994"/>
      <c r="H421" s="2994"/>
      <c r="I421" s="2994"/>
      <c r="J421" s="2994"/>
      <c r="K421" s="2994"/>
      <c r="L421" s="2994"/>
      <c r="M421" s="2994"/>
      <c r="N421" s="2994"/>
      <c r="O421" s="2994"/>
      <c r="P421" s="2994"/>
      <c r="Q421" s="2994"/>
      <c r="R421" s="2994"/>
      <c r="S421" s="2994"/>
      <c r="T421" s="2994"/>
      <c r="U421" s="2994"/>
      <c r="V421" s="2994"/>
      <c r="W421" s="2994"/>
      <c r="X421" s="2994"/>
      <c r="Y421" s="2994"/>
      <c r="Z421" s="2994"/>
      <c r="AA421" s="2994"/>
      <c r="AB421" s="2994"/>
      <c r="AC421" s="2994"/>
      <c r="AD421" s="2994"/>
      <c r="AE421" s="2994"/>
      <c r="AF421" s="2994"/>
      <c r="AG421" s="2994"/>
      <c r="AH421" s="2994"/>
      <c r="AI421" s="2994"/>
      <c r="AJ421" s="2994"/>
      <c r="AK421" s="2994"/>
      <c r="AL421" s="2994"/>
      <c r="AM421" s="2994"/>
      <c r="AN421" s="2994"/>
      <c r="AO421" s="2994"/>
      <c r="AP421" s="2994"/>
      <c r="AQ421" s="2994"/>
      <c r="AR421" s="2994"/>
      <c r="AS421" s="2994"/>
      <c r="AT421" s="2994"/>
      <c r="AU421" s="2994"/>
      <c r="AW421" s="197"/>
      <c r="AX421" s="197"/>
    </row>
    <row r="422" spans="1:53" ht="12.75" customHeight="1" x14ac:dyDescent="0.15">
      <c r="C422" s="2994" t="s">
        <v>173</v>
      </c>
      <c r="D422" s="2994"/>
      <c r="E422" s="2994"/>
      <c r="F422" s="2994"/>
      <c r="G422" s="2994"/>
      <c r="H422" s="2994"/>
      <c r="I422" s="2994"/>
      <c r="J422" s="2994"/>
      <c r="K422" s="2994"/>
      <c r="L422" s="2994"/>
      <c r="M422" s="2994"/>
      <c r="N422" s="2994"/>
      <c r="O422" s="2994"/>
      <c r="P422" s="2994"/>
      <c r="Q422" s="2994"/>
      <c r="R422" s="2994"/>
      <c r="S422" s="2994"/>
      <c r="T422" s="2994"/>
      <c r="U422" s="2994"/>
      <c r="V422" s="2994"/>
      <c r="W422" s="2994"/>
      <c r="X422" s="2994"/>
      <c r="Y422" s="2994"/>
      <c r="Z422" s="2994"/>
      <c r="AA422" s="2994"/>
      <c r="AB422" s="2994"/>
      <c r="AC422" s="2994"/>
      <c r="AD422" s="2994"/>
      <c r="AE422" s="2994"/>
      <c r="AF422" s="2994"/>
      <c r="AG422" s="2994"/>
      <c r="AH422" s="2994"/>
      <c r="AI422" s="2994"/>
      <c r="AJ422" s="2994"/>
      <c r="AK422" s="2994"/>
      <c r="AL422" s="2994"/>
      <c r="AM422" s="2994"/>
      <c r="AN422" s="2994"/>
      <c r="AO422" s="2994"/>
      <c r="AP422" s="2994"/>
      <c r="AQ422" s="2994"/>
      <c r="AR422" s="2994"/>
      <c r="AS422" s="2994"/>
      <c r="AT422" s="2994"/>
      <c r="AU422" s="2994"/>
      <c r="AW422" s="197"/>
      <c r="AX422" s="197"/>
    </row>
    <row r="423" spans="1:53" ht="12.75" customHeight="1" x14ac:dyDescent="0.15">
      <c r="B423" s="338" t="s">
        <v>1</v>
      </c>
      <c r="C423" s="2994" t="s">
        <v>2</v>
      </c>
      <c r="D423" s="2994"/>
      <c r="E423" s="2994"/>
      <c r="F423" s="2994"/>
      <c r="G423" s="2994"/>
      <c r="H423" s="2994"/>
      <c r="I423" s="2994"/>
      <c r="J423" s="2994"/>
      <c r="K423" s="2994"/>
      <c r="L423" s="2994"/>
      <c r="M423" s="2994"/>
      <c r="N423" s="2994"/>
      <c r="O423" s="2994"/>
      <c r="P423" s="2994"/>
      <c r="Q423" s="2994"/>
      <c r="R423" s="2994"/>
      <c r="S423" s="2994"/>
      <c r="T423" s="2994"/>
      <c r="U423" s="2994"/>
      <c r="V423" s="2994"/>
      <c r="W423" s="2994"/>
      <c r="X423" s="2994"/>
      <c r="Y423" s="2994"/>
      <c r="Z423" s="2994"/>
      <c r="AA423" s="2994"/>
      <c r="AB423" s="2994"/>
      <c r="AC423" s="2994"/>
      <c r="AD423" s="2994"/>
      <c r="AE423" s="2994"/>
      <c r="AF423" s="2994"/>
      <c r="AG423" s="2994"/>
      <c r="AH423" s="2994"/>
      <c r="AI423" s="2994"/>
      <c r="AJ423" s="2994"/>
      <c r="AK423" s="2994"/>
      <c r="AL423" s="2994"/>
      <c r="AM423" s="2994"/>
      <c r="AN423" s="2994"/>
      <c r="AO423" s="2994"/>
      <c r="AP423" s="2994"/>
      <c r="AQ423" s="2994"/>
      <c r="AR423" s="2994"/>
      <c r="AS423" s="2994"/>
      <c r="AT423" s="2994"/>
      <c r="AU423" s="2994"/>
      <c r="AW423" s="197"/>
      <c r="AX423" s="197"/>
    </row>
    <row r="424" spans="1:53" ht="12.75" customHeight="1" x14ac:dyDescent="0.15">
      <c r="AG424" s="337"/>
      <c r="AH424" s="337"/>
      <c r="AI424" s="337"/>
      <c r="AJ424" s="337"/>
      <c r="AK424" s="337"/>
      <c r="AL424" s="337"/>
      <c r="AM424" s="337"/>
      <c r="AN424" s="337"/>
      <c r="AO424" s="337"/>
      <c r="AP424" s="337"/>
      <c r="AQ424" s="337"/>
      <c r="AR424" s="337"/>
      <c r="AS424" s="337"/>
      <c r="AT424" s="337"/>
      <c r="AW424" s="197"/>
      <c r="AX424" s="197"/>
    </row>
    <row r="425" spans="1:53" ht="12.75" customHeight="1" x14ac:dyDescent="0.15">
      <c r="AW425" s="197"/>
      <c r="AX425" s="197"/>
    </row>
    <row r="426" spans="1:53" ht="12.75" customHeight="1" x14ac:dyDescent="0.15">
      <c r="A426" s="336" t="s">
        <v>18</v>
      </c>
      <c r="B426" s="336" t="s">
        <v>153</v>
      </c>
      <c r="C426" s="336">
        <v>2</v>
      </c>
      <c r="D426" s="336" t="s">
        <v>5</v>
      </c>
      <c r="E426" s="336" t="s">
        <v>6</v>
      </c>
      <c r="F426" s="336"/>
      <c r="G426" s="336" t="s">
        <v>25</v>
      </c>
      <c r="H426" s="336" t="s">
        <v>175</v>
      </c>
      <c r="I426" s="336">
        <v>4</v>
      </c>
      <c r="J426" s="336" t="s">
        <v>22</v>
      </c>
      <c r="AO426" s="423" t="str">
        <f>$AO$7</f>
        <v>Kyoto City（R7.7） ver.120</v>
      </c>
      <c r="AP426" s="387" t="str">
        <f>IF('1_入力シート【基本情報】'!$AB$7="","",'1_入力シート【基本情報】'!$AB$7)</f>
        <v/>
      </c>
      <c r="AQ426" s="386" t="str">
        <f>IF('1_入力シート【基本情報】'!$AK$7="","",'1_入力シート【基本情報】'!$AK$7)</f>
        <v/>
      </c>
      <c r="AR426" s="2990" t="str">
        <f>IF('1_入力シート【基本情報】'!$AT$7="","",TEXT('1_入力シート【基本情報】'!$AT$7,"0000"))</f>
        <v/>
      </c>
      <c r="AS426" s="2991"/>
      <c r="AT426" s="2991"/>
      <c r="AU426" s="2992"/>
      <c r="AW426" s="197"/>
      <c r="AX426" s="197"/>
    </row>
    <row r="427" spans="1:53" ht="12.75" customHeight="1" x14ac:dyDescent="0.15">
      <c r="U427" s="3049" t="s">
        <v>174</v>
      </c>
      <c r="V427" s="3049"/>
      <c r="W427" s="3049"/>
      <c r="X427" s="3049"/>
      <c r="Y427" s="3049"/>
      <c r="Z427" s="3049"/>
      <c r="AW427" s="197"/>
      <c r="AX427" s="197"/>
    </row>
    <row r="428" spans="1:53" ht="12.75" customHeight="1" x14ac:dyDescent="0.15">
      <c r="AW428" s="197"/>
      <c r="AX428" s="197"/>
    </row>
    <row r="429" spans="1:53" ht="15.75" customHeight="1" x14ac:dyDescent="0.15">
      <c r="A429" s="3018" t="s">
        <v>154</v>
      </c>
      <c r="B429" s="3019"/>
      <c r="C429" s="3020"/>
      <c r="D429" s="3037" t="s">
        <v>155</v>
      </c>
      <c r="E429" s="3038"/>
      <c r="F429" s="3038"/>
      <c r="G429" s="3038"/>
      <c r="H429" s="3038"/>
      <c r="I429" s="3038"/>
      <c r="J429" s="3039"/>
      <c r="K429" s="340"/>
      <c r="L429" s="341"/>
      <c r="M429" s="341"/>
      <c r="N429" s="341"/>
      <c r="O429" s="341"/>
      <c r="P429" s="341"/>
      <c r="Q429" s="341"/>
      <c r="R429" s="341"/>
      <c r="S429" s="342" t="s">
        <v>7</v>
      </c>
      <c r="T429" s="342" t="s">
        <v>8</v>
      </c>
      <c r="U429" s="342" t="s">
        <v>9</v>
      </c>
      <c r="V429" s="342" t="s">
        <v>156</v>
      </c>
      <c r="W429" s="342"/>
      <c r="X429" s="342"/>
      <c r="Y429" s="342"/>
      <c r="Z429" s="342"/>
      <c r="AA429" s="342"/>
      <c r="AB429" s="342"/>
      <c r="AC429" s="342"/>
      <c r="AD429" s="342"/>
      <c r="AE429" s="342"/>
      <c r="AF429" s="342"/>
      <c r="AG429" s="342"/>
      <c r="AH429" s="342"/>
      <c r="AI429" s="343"/>
      <c r="AJ429" s="344"/>
      <c r="AK429" s="3038" t="s">
        <v>33</v>
      </c>
      <c r="AL429" s="3038"/>
      <c r="AM429" s="3038"/>
      <c r="AN429" s="3038"/>
      <c r="AO429" s="3038"/>
      <c r="AP429" s="3038"/>
      <c r="AQ429" s="3038"/>
      <c r="AR429" s="3038"/>
      <c r="AS429" s="3038"/>
      <c r="AT429" s="3038"/>
      <c r="AU429" s="345"/>
      <c r="AW429" s="197"/>
      <c r="AX429" s="197"/>
    </row>
    <row r="430" spans="1:53" ht="15.75" customHeight="1" thickBot="1" x14ac:dyDescent="0.2">
      <c r="A430" s="3031"/>
      <c r="B430" s="3032"/>
      <c r="C430" s="3033"/>
      <c r="D430" s="3018" t="str">
        <f>IFERROR(VLOOKUP(15,'1_入力シート【基本情報】'!$DU$319:$DX$534,3,FALSE),"")</f>
        <v/>
      </c>
      <c r="E430" s="3019"/>
      <c r="F430" s="3019"/>
      <c r="G430" s="3019"/>
      <c r="H430" s="3019"/>
      <c r="I430" s="3019"/>
      <c r="J430" s="3020"/>
      <c r="K430" s="3040" t="str">
        <f>IFERROR(VLOOKUP(15,'1_入力シート【基本情報】'!$DU$319:$DX$534,4,FALSE),"")</f>
        <v/>
      </c>
      <c r="L430" s="3041"/>
      <c r="M430" s="3041"/>
      <c r="N430" s="3041"/>
      <c r="O430" s="3041"/>
      <c r="P430" s="3041"/>
      <c r="Q430" s="3041"/>
      <c r="R430" s="3041"/>
      <c r="S430" s="3041"/>
      <c r="T430" s="3041"/>
      <c r="U430" s="3041"/>
      <c r="V430" s="3041"/>
      <c r="W430" s="3041"/>
      <c r="X430" s="3041"/>
      <c r="Y430" s="3041"/>
      <c r="Z430" s="3041"/>
      <c r="AA430" s="3041"/>
      <c r="AB430" s="3041"/>
      <c r="AC430" s="3041"/>
      <c r="AD430" s="3041"/>
      <c r="AE430" s="3041"/>
      <c r="AF430" s="3041"/>
      <c r="AG430" s="3041"/>
      <c r="AH430" s="3041"/>
      <c r="AI430" s="3042"/>
      <c r="AJ430" s="367"/>
      <c r="AK430" s="367"/>
      <c r="AL430" s="367"/>
      <c r="AM430" s="367"/>
      <c r="AN430" s="367"/>
      <c r="AO430" s="367"/>
      <c r="AP430" s="367"/>
      <c r="AQ430" s="367"/>
      <c r="AR430" s="367"/>
      <c r="AS430" s="367"/>
      <c r="AT430" s="367"/>
      <c r="AU430" s="368"/>
      <c r="AW430" s="197"/>
      <c r="AX430" s="197"/>
    </row>
    <row r="431" spans="1:53" ht="15.75" customHeight="1" thickBot="1" x14ac:dyDescent="0.2">
      <c r="A431" s="3031"/>
      <c r="B431" s="3032"/>
      <c r="C431" s="3033"/>
      <c r="D431" s="3021"/>
      <c r="E431" s="3022"/>
      <c r="F431" s="3022"/>
      <c r="G431" s="3022"/>
      <c r="H431" s="3022"/>
      <c r="I431" s="3022"/>
      <c r="J431" s="3023"/>
      <c r="K431" s="3043"/>
      <c r="L431" s="3044"/>
      <c r="M431" s="3044"/>
      <c r="N431" s="3044"/>
      <c r="O431" s="3044"/>
      <c r="P431" s="3044"/>
      <c r="Q431" s="3044"/>
      <c r="R431" s="3044"/>
      <c r="S431" s="3044"/>
      <c r="T431" s="3044"/>
      <c r="U431" s="3044"/>
      <c r="V431" s="3044"/>
      <c r="W431" s="3044"/>
      <c r="X431" s="3044"/>
      <c r="Y431" s="3044"/>
      <c r="Z431" s="3044"/>
      <c r="AA431" s="3044"/>
      <c r="AB431" s="3044"/>
      <c r="AC431" s="3044"/>
      <c r="AD431" s="3044"/>
      <c r="AE431" s="3044"/>
      <c r="AF431" s="3044"/>
      <c r="AG431" s="3044"/>
      <c r="AH431" s="3044"/>
      <c r="AI431" s="3045"/>
      <c r="AJ431" s="367"/>
      <c r="AK431" s="367" t="str">
        <f>IF(D430&lt;&gt;"","☑","☐")</f>
        <v>☐</v>
      </c>
      <c r="AL431" s="367" t="s">
        <v>14</v>
      </c>
      <c r="AM431" s="367" t="s">
        <v>21</v>
      </c>
      <c r="AN431" s="367" t="s">
        <v>15</v>
      </c>
      <c r="AO431" s="367"/>
      <c r="AP431" s="426" t="s">
        <v>179</v>
      </c>
      <c r="AQ431" s="367" t="s">
        <v>27</v>
      </c>
      <c r="AR431" s="367" t="s">
        <v>23</v>
      </c>
      <c r="AS431" s="367" t="s">
        <v>13</v>
      </c>
      <c r="AT431" s="367"/>
      <c r="AU431" s="368"/>
      <c r="AV431" s="346"/>
      <c r="AW431" s="197"/>
      <c r="AX431" s="197"/>
      <c r="BA431" s="430" t="b">
        <f>AP431="☑"</f>
        <v>0</v>
      </c>
    </row>
    <row r="432" spans="1:53" ht="15.75" customHeight="1" x14ac:dyDescent="0.15">
      <c r="A432" s="3034"/>
      <c r="B432" s="3035"/>
      <c r="C432" s="3036"/>
      <c r="D432" s="3024"/>
      <c r="E432" s="3025"/>
      <c r="F432" s="3025"/>
      <c r="G432" s="3025"/>
      <c r="H432" s="3025"/>
      <c r="I432" s="3025"/>
      <c r="J432" s="3026"/>
      <c r="K432" s="3046"/>
      <c r="L432" s="3047"/>
      <c r="M432" s="3047"/>
      <c r="N432" s="3047"/>
      <c r="O432" s="3047"/>
      <c r="P432" s="3047"/>
      <c r="Q432" s="3047"/>
      <c r="R432" s="3047"/>
      <c r="S432" s="3047"/>
      <c r="T432" s="3047"/>
      <c r="U432" s="3047"/>
      <c r="V432" s="3047"/>
      <c r="W432" s="3047"/>
      <c r="X432" s="3047"/>
      <c r="Y432" s="3047"/>
      <c r="Z432" s="3047"/>
      <c r="AA432" s="3047"/>
      <c r="AB432" s="3047"/>
      <c r="AC432" s="3047"/>
      <c r="AD432" s="3047"/>
      <c r="AE432" s="3047"/>
      <c r="AF432" s="3047"/>
      <c r="AG432" s="3047"/>
      <c r="AH432" s="3047"/>
      <c r="AI432" s="3048"/>
      <c r="AJ432" s="369"/>
      <c r="AK432" s="369"/>
      <c r="AL432" s="369"/>
      <c r="AM432" s="369"/>
      <c r="AN432" s="369"/>
      <c r="AO432" s="369"/>
      <c r="AP432" s="369"/>
      <c r="AQ432" s="369"/>
      <c r="AR432" s="369"/>
      <c r="AS432" s="369"/>
      <c r="AT432" s="369"/>
      <c r="AU432" s="370"/>
      <c r="AW432" s="197"/>
      <c r="AX432" s="197"/>
    </row>
    <row r="433" spans="1:50" ht="15.75" customHeight="1" x14ac:dyDescent="0.15">
      <c r="A433" s="2"/>
      <c r="B433" s="335"/>
      <c r="C433" s="335"/>
      <c r="D433" s="335"/>
      <c r="E433" s="335"/>
      <c r="F433" s="335"/>
      <c r="G433" s="335"/>
      <c r="H433" s="335"/>
      <c r="I433" s="335"/>
      <c r="J433" s="335"/>
      <c r="K433" s="335"/>
      <c r="L433" s="335"/>
      <c r="M433" s="335"/>
      <c r="N433" s="335"/>
      <c r="O433" s="335"/>
      <c r="P433" s="335"/>
      <c r="Q433" s="335"/>
      <c r="R433" s="335"/>
      <c r="S433" s="335"/>
      <c r="T433" s="335"/>
      <c r="U433" s="335"/>
      <c r="V433" s="335"/>
      <c r="W433" s="335"/>
      <c r="X433" s="335"/>
      <c r="Y433" s="3"/>
      <c r="Z433" s="47"/>
      <c r="AA433" s="48" t="s">
        <v>11</v>
      </c>
      <c r="AB433" s="48" t="s">
        <v>10</v>
      </c>
      <c r="AC433" s="48" t="s">
        <v>16</v>
      </c>
      <c r="AD433" s="48" t="s">
        <v>9</v>
      </c>
      <c r="AE433" s="48"/>
      <c r="AF433" s="48"/>
      <c r="AG433" s="48"/>
      <c r="AH433" s="48"/>
      <c r="AI433" s="48"/>
      <c r="AJ433" s="49"/>
      <c r="AK433" s="49"/>
      <c r="AL433" s="49"/>
      <c r="AM433" s="49"/>
      <c r="AN433" s="49"/>
      <c r="AO433" s="49"/>
      <c r="AP433" s="49"/>
      <c r="AQ433" s="49"/>
      <c r="AR433" s="49"/>
      <c r="AS433" s="49"/>
      <c r="AT433" s="49"/>
      <c r="AU433" s="50"/>
      <c r="AW433" s="197"/>
      <c r="AX433" s="197"/>
    </row>
    <row r="434" spans="1:50" ht="15.75" customHeight="1" x14ac:dyDescent="0.15">
      <c r="A434" s="2"/>
      <c r="B434" s="335"/>
      <c r="C434" s="335"/>
      <c r="D434" s="335"/>
      <c r="E434" s="335"/>
      <c r="F434" s="335"/>
      <c r="G434" s="335"/>
      <c r="H434" s="335"/>
      <c r="I434" s="335"/>
      <c r="J434" s="335"/>
      <c r="K434" s="335"/>
      <c r="L434" s="335"/>
      <c r="M434" s="335"/>
      <c r="N434" s="335"/>
      <c r="O434" s="335"/>
      <c r="P434" s="335"/>
      <c r="Q434" s="335"/>
      <c r="R434" s="335"/>
      <c r="S434" s="335"/>
      <c r="T434" s="335"/>
      <c r="U434" s="335"/>
      <c r="V434" s="335"/>
      <c r="W434" s="335"/>
      <c r="X434" s="335"/>
      <c r="Y434" s="3"/>
      <c r="Z434" s="3010"/>
      <c r="AA434" s="3011"/>
      <c r="AB434" s="3011"/>
      <c r="AC434" s="3011"/>
      <c r="AD434" s="3011"/>
      <c r="AE434" s="3011"/>
      <c r="AF434" s="3011"/>
      <c r="AG434" s="3011"/>
      <c r="AH434" s="3011"/>
      <c r="AI434" s="3011"/>
      <c r="AJ434" s="3011"/>
      <c r="AK434" s="3011"/>
      <c r="AL434" s="3011"/>
      <c r="AM434" s="3011"/>
      <c r="AN434" s="3011"/>
      <c r="AO434" s="104"/>
      <c r="AP434" s="104"/>
      <c r="AQ434" s="104"/>
      <c r="AR434" s="104"/>
      <c r="AS434" s="104"/>
      <c r="AT434" s="104"/>
      <c r="AU434" s="105"/>
      <c r="AW434" s="197"/>
      <c r="AX434" s="197"/>
    </row>
    <row r="435" spans="1:50" ht="15.75" customHeight="1" x14ac:dyDescent="0.15">
      <c r="A435" s="2"/>
      <c r="B435" s="335"/>
      <c r="C435" s="335"/>
      <c r="D435" s="335"/>
      <c r="E435" s="335"/>
      <c r="F435" s="335"/>
      <c r="G435" s="335"/>
      <c r="H435" s="335"/>
      <c r="I435" s="335"/>
      <c r="J435" s="335"/>
      <c r="K435" s="335"/>
      <c r="L435" s="335"/>
      <c r="M435" s="335"/>
      <c r="N435" s="335"/>
      <c r="O435" s="335"/>
      <c r="P435" s="335"/>
      <c r="Q435" s="335"/>
      <c r="R435" s="335"/>
      <c r="S435" s="335"/>
      <c r="T435" s="335"/>
      <c r="U435" s="335"/>
      <c r="V435" s="335"/>
      <c r="W435" s="335"/>
      <c r="X435" s="335"/>
      <c r="Y435" s="3"/>
      <c r="Z435" s="2995" t="str">
        <f>IFERROR(VLOOKUP(15,'1_入力シート【基本情報】'!$DU$319:$DZ$534,5,FALSE),"")</f>
        <v/>
      </c>
      <c r="AA435" s="2996"/>
      <c r="AB435" s="2996"/>
      <c r="AC435" s="2996"/>
      <c r="AD435" s="2996"/>
      <c r="AE435" s="2996"/>
      <c r="AF435" s="2996"/>
      <c r="AG435" s="2996"/>
      <c r="AH435" s="2996"/>
      <c r="AI435" s="2996"/>
      <c r="AJ435" s="2996"/>
      <c r="AK435" s="2996"/>
      <c r="AL435" s="2996"/>
      <c r="AM435" s="2996"/>
      <c r="AN435" s="2996"/>
      <c r="AO435" s="2996"/>
      <c r="AP435" s="2996"/>
      <c r="AQ435" s="2996"/>
      <c r="AR435" s="2996"/>
      <c r="AS435" s="2996"/>
      <c r="AT435" s="2996"/>
      <c r="AU435" s="2997"/>
      <c r="AW435" s="197"/>
      <c r="AX435" s="197"/>
    </row>
    <row r="436" spans="1:50" ht="15.75" customHeight="1" x14ac:dyDescent="0.15">
      <c r="A436" s="2"/>
      <c r="B436" s="335"/>
      <c r="C436" s="335"/>
      <c r="D436" s="335"/>
      <c r="E436" s="335"/>
      <c r="F436" s="335"/>
      <c r="G436" s="335"/>
      <c r="H436" s="335"/>
      <c r="I436" s="335"/>
      <c r="J436" s="335"/>
      <c r="K436" s="335"/>
      <c r="L436" s="335"/>
      <c r="M436" s="335"/>
      <c r="N436" s="335"/>
      <c r="O436" s="335"/>
      <c r="P436" s="335"/>
      <c r="Q436" s="335"/>
      <c r="R436" s="335"/>
      <c r="S436" s="335"/>
      <c r="T436" s="335"/>
      <c r="U436" s="335"/>
      <c r="V436" s="335"/>
      <c r="W436" s="335"/>
      <c r="X436" s="335"/>
      <c r="Y436" s="3"/>
      <c r="Z436" s="2998"/>
      <c r="AA436" s="2999"/>
      <c r="AB436" s="2999"/>
      <c r="AC436" s="2999"/>
      <c r="AD436" s="2999"/>
      <c r="AE436" s="2999"/>
      <c r="AF436" s="2999"/>
      <c r="AG436" s="2999"/>
      <c r="AH436" s="2999"/>
      <c r="AI436" s="2999"/>
      <c r="AJ436" s="2999"/>
      <c r="AK436" s="2999"/>
      <c r="AL436" s="2999"/>
      <c r="AM436" s="2999"/>
      <c r="AN436" s="2999"/>
      <c r="AO436" s="2999"/>
      <c r="AP436" s="2999"/>
      <c r="AQ436" s="2999"/>
      <c r="AR436" s="2999"/>
      <c r="AS436" s="2999"/>
      <c r="AT436" s="2999"/>
      <c r="AU436" s="3000"/>
      <c r="AW436" s="197"/>
      <c r="AX436" s="197"/>
    </row>
    <row r="437" spans="1:50" ht="15.75" customHeight="1" x14ac:dyDescent="0.15">
      <c r="A437" s="2"/>
      <c r="B437" s="335"/>
      <c r="C437" s="335"/>
      <c r="D437" s="335"/>
      <c r="E437" s="335"/>
      <c r="F437" s="335"/>
      <c r="G437" s="335"/>
      <c r="H437" s="335"/>
      <c r="I437" s="335"/>
      <c r="J437" s="335"/>
      <c r="K437" s="335"/>
      <c r="L437" s="335"/>
      <c r="M437" s="335"/>
      <c r="N437" s="335"/>
      <c r="O437" s="335"/>
      <c r="P437" s="335"/>
      <c r="Q437" s="335"/>
      <c r="R437" s="335"/>
      <c r="S437" s="335"/>
      <c r="T437" s="335"/>
      <c r="U437" s="335"/>
      <c r="V437" s="335"/>
      <c r="W437" s="335"/>
      <c r="X437" s="335"/>
      <c r="Y437" s="3"/>
      <c r="Z437" s="3001"/>
      <c r="AA437" s="3002"/>
      <c r="AB437" s="3002"/>
      <c r="AC437" s="3002"/>
      <c r="AD437" s="3002"/>
      <c r="AE437" s="3002"/>
      <c r="AF437" s="3002"/>
      <c r="AG437" s="3002"/>
      <c r="AH437" s="3002"/>
      <c r="AI437" s="3002"/>
      <c r="AJ437" s="3002"/>
      <c r="AK437" s="3002"/>
      <c r="AL437" s="3002"/>
      <c r="AM437" s="3002"/>
      <c r="AN437" s="3002"/>
      <c r="AO437" s="3002"/>
      <c r="AP437" s="3002"/>
      <c r="AQ437" s="3002"/>
      <c r="AR437" s="3002"/>
      <c r="AS437" s="3002"/>
      <c r="AT437" s="3002"/>
      <c r="AU437" s="3003"/>
      <c r="AW437" s="197"/>
      <c r="AX437" s="197"/>
    </row>
    <row r="438" spans="1:50" ht="15.75" customHeight="1" x14ac:dyDescent="0.15">
      <c r="A438" s="2"/>
      <c r="B438" s="371"/>
      <c r="C438" s="371"/>
      <c r="D438" s="371"/>
      <c r="E438" s="371"/>
      <c r="F438" s="371"/>
      <c r="G438" s="371"/>
      <c r="H438" s="371"/>
      <c r="I438" s="371"/>
      <c r="J438" s="371"/>
      <c r="K438" s="371"/>
      <c r="L438" s="371"/>
      <c r="M438" s="371"/>
      <c r="N438" s="371"/>
      <c r="O438" s="371"/>
      <c r="P438" s="371"/>
      <c r="Q438" s="371"/>
      <c r="R438" s="371"/>
      <c r="S438" s="371"/>
      <c r="T438" s="371"/>
      <c r="U438" s="371"/>
      <c r="V438" s="371"/>
      <c r="W438" s="371"/>
      <c r="X438" s="371"/>
      <c r="Y438" s="3"/>
      <c r="Z438" s="3004"/>
      <c r="AA438" s="3005"/>
      <c r="AB438" s="3005"/>
      <c r="AC438" s="3005"/>
      <c r="AD438" s="3005"/>
      <c r="AE438" s="3005"/>
      <c r="AF438" s="3005"/>
      <c r="AG438" s="3005"/>
      <c r="AH438" s="3005"/>
      <c r="AI438" s="3005"/>
      <c r="AJ438" s="3005"/>
      <c r="AK438" s="3005"/>
      <c r="AL438" s="3005"/>
      <c r="AM438" s="3005"/>
      <c r="AN438" s="3005"/>
      <c r="AO438" s="3005"/>
      <c r="AP438" s="3005"/>
      <c r="AQ438" s="3005"/>
      <c r="AR438" s="3005"/>
      <c r="AS438" s="3005"/>
      <c r="AT438" s="3005"/>
      <c r="AU438" s="3006"/>
      <c r="AW438" s="197"/>
      <c r="AX438" s="197"/>
    </row>
    <row r="439" spans="1:50" ht="15.75" customHeight="1" x14ac:dyDescent="0.15">
      <c r="A439" s="2"/>
      <c r="B439" s="371"/>
      <c r="C439" s="371"/>
      <c r="D439" s="371"/>
      <c r="E439" s="371"/>
      <c r="F439" s="371"/>
      <c r="G439" s="371"/>
      <c r="H439" s="371"/>
      <c r="I439" s="371"/>
      <c r="J439" s="371"/>
      <c r="K439" s="371"/>
      <c r="L439" s="371"/>
      <c r="M439" s="371"/>
      <c r="N439" s="371"/>
      <c r="O439" s="371"/>
      <c r="P439" s="371"/>
      <c r="Q439" s="371"/>
      <c r="R439" s="371"/>
      <c r="S439" s="371"/>
      <c r="T439" s="371"/>
      <c r="U439" s="371"/>
      <c r="V439" s="371"/>
      <c r="W439" s="371"/>
      <c r="X439" s="371"/>
      <c r="Y439" s="3"/>
      <c r="Z439" s="3004"/>
      <c r="AA439" s="3005"/>
      <c r="AB439" s="3005"/>
      <c r="AC439" s="3005"/>
      <c r="AD439" s="3005"/>
      <c r="AE439" s="3005"/>
      <c r="AF439" s="3005"/>
      <c r="AG439" s="3005"/>
      <c r="AH439" s="3005"/>
      <c r="AI439" s="3005"/>
      <c r="AJ439" s="3005"/>
      <c r="AK439" s="3005"/>
      <c r="AL439" s="3005"/>
      <c r="AM439" s="3005"/>
      <c r="AN439" s="3005"/>
      <c r="AO439" s="3005"/>
      <c r="AP439" s="3005"/>
      <c r="AQ439" s="3005"/>
      <c r="AR439" s="3005"/>
      <c r="AS439" s="3005"/>
      <c r="AT439" s="3005"/>
      <c r="AU439" s="3006"/>
      <c r="AW439" s="197"/>
      <c r="AX439" s="197"/>
    </row>
    <row r="440" spans="1:50" ht="15.75" customHeight="1" x14ac:dyDescent="0.15">
      <c r="A440" s="2"/>
      <c r="B440" s="371"/>
      <c r="C440" s="371"/>
      <c r="D440" s="371"/>
      <c r="E440" s="371"/>
      <c r="F440" s="371"/>
      <c r="G440" s="371"/>
      <c r="H440" s="371"/>
      <c r="I440" s="371"/>
      <c r="J440" s="371"/>
      <c r="K440" s="371"/>
      <c r="L440" s="371"/>
      <c r="M440" s="371"/>
      <c r="N440" s="371"/>
      <c r="O440" s="371"/>
      <c r="P440" s="371"/>
      <c r="Q440" s="371"/>
      <c r="R440" s="371"/>
      <c r="S440" s="371"/>
      <c r="T440" s="371"/>
      <c r="U440" s="371"/>
      <c r="V440" s="371"/>
      <c r="W440" s="371"/>
      <c r="X440" s="371"/>
      <c r="Y440" s="3"/>
      <c r="Z440" s="3004"/>
      <c r="AA440" s="3005"/>
      <c r="AB440" s="3005"/>
      <c r="AC440" s="3005"/>
      <c r="AD440" s="3005"/>
      <c r="AE440" s="3005"/>
      <c r="AF440" s="3005"/>
      <c r="AG440" s="3005"/>
      <c r="AH440" s="3005"/>
      <c r="AI440" s="3005"/>
      <c r="AJ440" s="3005"/>
      <c r="AK440" s="3005"/>
      <c r="AL440" s="3005"/>
      <c r="AM440" s="3005"/>
      <c r="AN440" s="3005"/>
      <c r="AO440" s="3005"/>
      <c r="AP440" s="3005"/>
      <c r="AQ440" s="3005"/>
      <c r="AR440" s="3005"/>
      <c r="AS440" s="3005"/>
      <c r="AT440" s="3005"/>
      <c r="AU440" s="3006"/>
      <c r="AW440" s="197"/>
      <c r="AX440" s="197"/>
    </row>
    <row r="441" spans="1:50" ht="15.75" customHeight="1" x14ac:dyDescent="0.15">
      <c r="A441" s="2"/>
      <c r="B441" s="371"/>
      <c r="C441" s="371"/>
      <c r="D441" s="371"/>
      <c r="E441" s="371"/>
      <c r="F441" s="371"/>
      <c r="G441" s="371"/>
      <c r="H441" s="371"/>
      <c r="I441" s="371"/>
      <c r="J441" s="371"/>
      <c r="K441" s="3013" t="s">
        <v>157</v>
      </c>
      <c r="L441" s="3013"/>
      <c r="M441" s="3013"/>
      <c r="N441" s="3013"/>
      <c r="O441" s="3013"/>
      <c r="P441" s="3013"/>
      <c r="Q441" s="371"/>
      <c r="R441" s="371"/>
      <c r="S441" s="371"/>
      <c r="T441" s="371"/>
      <c r="U441" s="371"/>
      <c r="V441" s="371"/>
      <c r="W441" s="371"/>
      <c r="X441" s="371"/>
      <c r="Y441" s="3"/>
      <c r="Z441" s="3004"/>
      <c r="AA441" s="3005"/>
      <c r="AB441" s="3005"/>
      <c r="AC441" s="3005"/>
      <c r="AD441" s="3005"/>
      <c r="AE441" s="3005"/>
      <c r="AF441" s="3005"/>
      <c r="AG441" s="3005"/>
      <c r="AH441" s="3005"/>
      <c r="AI441" s="3005"/>
      <c r="AJ441" s="3005"/>
      <c r="AK441" s="3005"/>
      <c r="AL441" s="3005"/>
      <c r="AM441" s="3005"/>
      <c r="AN441" s="3005"/>
      <c r="AO441" s="3005"/>
      <c r="AP441" s="3005"/>
      <c r="AQ441" s="3005"/>
      <c r="AR441" s="3005"/>
      <c r="AS441" s="3005"/>
      <c r="AT441" s="3005"/>
      <c r="AU441" s="3006"/>
      <c r="AW441" s="197"/>
      <c r="AX441" s="197"/>
    </row>
    <row r="442" spans="1:50" ht="15.75" customHeight="1" x14ac:dyDescent="0.15">
      <c r="A442" s="2"/>
      <c r="B442" s="371"/>
      <c r="C442" s="371"/>
      <c r="D442" s="371"/>
      <c r="E442" s="371"/>
      <c r="F442" s="371"/>
      <c r="G442" s="371"/>
      <c r="H442" s="371"/>
      <c r="I442" s="371"/>
      <c r="J442" s="371"/>
      <c r="K442" s="371"/>
      <c r="L442" s="371"/>
      <c r="M442" s="371"/>
      <c r="N442" s="371"/>
      <c r="O442" s="371"/>
      <c r="P442" s="371"/>
      <c r="Q442" s="371"/>
      <c r="R442" s="371"/>
      <c r="S442" s="371"/>
      <c r="T442" s="371"/>
      <c r="U442" s="371"/>
      <c r="V442" s="371"/>
      <c r="W442" s="371"/>
      <c r="X442" s="371"/>
      <c r="Y442" s="3"/>
      <c r="Z442" s="3004"/>
      <c r="AA442" s="3005"/>
      <c r="AB442" s="3005"/>
      <c r="AC442" s="3005"/>
      <c r="AD442" s="3005"/>
      <c r="AE442" s="3005"/>
      <c r="AF442" s="3005"/>
      <c r="AG442" s="3005"/>
      <c r="AH442" s="3005"/>
      <c r="AI442" s="3005"/>
      <c r="AJ442" s="3005"/>
      <c r="AK442" s="3005"/>
      <c r="AL442" s="3005"/>
      <c r="AM442" s="3005"/>
      <c r="AN442" s="3005"/>
      <c r="AO442" s="3005"/>
      <c r="AP442" s="3005"/>
      <c r="AQ442" s="3005"/>
      <c r="AR442" s="3005"/>
      <c r="AS442" s="3005"/>
      <c r="AT442" s="3005"/>
      <c r="AU442" s="3006"/>
      <c r="AW442" s="197"/>
      <c r="AX442" s="197"/>
    </row>
    <row r="443" spans="1:50" ht="15.75" customHeight="1" x14ac:dyDescent="0.15">
      <c r="A443" s="2"/>
      <c r="B443" s="371"/>
      <c r="C443" s="371"/>
      <c r="D443" s="371"/>
      <c r="E443" s="371"/>
      <c r="F443" s="371"/>
      <c r="G443" s="371"/>
      <c r="H443" s="371"/>
      <c r="I443" s="371"/>
      <c r="J443" s="371"/>
      <c r="K443" s="371"/>
      <c r="L443" s="371"/>
      <c r="M443" s="371"/>
      <c r="N443" s="371"/>
      <c r="O443" s="371"/>
      <c r="P443" s="371"/>
      <c r="Q443" s="371"/>
      <c r="R443" s="371"/>
      <c r="S443" s="371"/>
      <c r="T443" s="371"/>
      <c r="U443" s="371"/>
      <c r="V443" s="371"/>
      <c r="W443" s="371"/>
      <c r="X443" s="371"/>
      <c r="Y443" s="3"/>
      <c r="Z443" s="3004"/>
      <c r="AA443" s="3005"/>
      <c r="AB443" s="3005"/>
      <c r="AC443" s="3005"/>
      <c r="AD443" s="3005"/>
      <c r="AE443" s="3005"/>
      <c r="AF443" s="3005"/>
      <c r="AG443" s="3005"/>
      <c r="AH443" s="3005"/>
      <c r="AI443" s="3005"/>
      <c r="AJ443" s="3005"/>
      <c r="AK443" s="3005"/>
      <c r="AL443" s="3005"/>
      <c r="AM443" s="3005"/>
      <c r="AN443" s="3005"/>
      <c r="AO443" s="3005"/>
      <c r="AP443" s="3005"/>
      <c r="AQ443" s="3005"/>
      <c r="AR443" s="3005"/>
      <c r="AS443" s="3005"/>
      <c r="AT443" s="3005"/>
      <c r="AU443" s="3006"/>
      <c r="AW443" s="197"/>
      <c r="AX443" s="197"/>
    </row>
    <row r="444" spans="1:50" ht="15.75" customHeight="1" x14ac:dyDescent="0.15">
      <c r="A444" s="2"/>
      <c r="B444" s="371"/>
      <c r="C444" s="371"/>
      <c r="D444" s="371"/>
      <c r="E444" s="371"/>
      <c r="F444" s="371"/>
      <c r="G444" s="371"/>
      <c r="H444" s="371"/>
      <c r="I444" s="371"/>
      <c r="J444" s="371"/>
      <c r="K444" s="371"/>
      <c r="L444" s="371"/>
      <c r="M444" s="371"/>
      <c r="N444" s="371"/>
      <c r="O444" s="371"/>
      <c r="P444" s="371"/>
      <c r="Q444" s="371"/>
      <c r="R444" s="371"/>
      <c r="S444" s="371"/>
      <c r="T444" s="371"/>
      <c r="U444" s="371"/>
      <c r="V444" s="371"/>
      <c r="W444" s="371"/>
      <c r="X444" s="371"/>
      <c r="Y444" s="3"/>
      <c r="Z444" s="3004"/>
      <c r="AA444" s="3005"/>
      <c r="AB444" s="3005"/>
      <c r="AC444" s="3005"/>
      <c r="AD444" s="3005"/>
      <c r="AE444" s="3005"/>
      <c r="AF444" s="3005"/>
      <c r="AG444" s="3005"/>
      <c r="AH444" s="3005"/>
      <c r="AI444" s="3005"/>
      <c r="AJ444" s="3005"/>
      <c r="AK444" s="3005"/>
      <c r="AL444" s="3005"/>
      <c r="AM444" s="3005"/>
      <c r="AN444" s="3005"/>
      <c r="AO444" s="3005"/>
      <c r="AP444" s="3005"/>
      <c r="AQ444" s="3005"/>
      <c r="AR444" s="3005"/>
      <c r="AS444" s="3005"/>
      <c r="AT444" s="3005"/>
      <c r="AU444" s="3006"/>
      <c r="AW444" s="197"/>
      <c r="AX444" s="197"/>
    </row>
    <row r="445" spans="1:50" ht="15.75" customHeight="1" x14ac:dyDescent="0.15">
      <c r="A445" s="2"/>
      <c r="B445" s="371"/>
      <c r="C445" s="371"/>
      <c r="D445" s="371"/>
      <c r="E445" s="371"/>
      <c r="F445" s="371"/>
      <c r="G445" s="371"/>
      <c r="H445" s="371"/>
      <c r="I445" s="371"/>
      <c r="J445" s="371"/>
      <c r="K445" s="371"/>
      <c r="L445" s="371"/>
      <c r="M445" s="371"/>
      <c r="N445" s="371"/>
      <c r="O445" s="371"/>
      <c r="P445" s="371"/>
      <c r="Q445" s="371"/>
      <c r="R445" s="371"/>
      <c r="S445" s="371"/>
      <c r="T445" s="371"/>
      <c r="U445" s="371"/>
      <c r="V445" s="371"/>
      <c r="W445" s="371"/>
      <c r="X445" s="371"/>
      <c r="Y445" s="3"/>
      <c r="Z445" s="3004"/>
      <c r="AA445" s="3005"/>
      <c r="AB445" s="3005"/>
      <c r="AC445" s="3005"/>
      <c r="AD445" s="3005"/>
      <c r="AE445" s="3005"/>
      <c r="AF445" s="3005"/>
      <c r="AG445" s="3005"/>
      <c r="AH445" s="3005"/>
      <c r="AI445" s="3005"/>
      <c r="AJ445" s="3005"/>
      <c r="AK445" s="3005"/>
      <c r="AL445" s="3005"/>
      <c r="AM445" s="3005"/>
      <c r="AN445" s="3005"/>
      <c r="AO445" s="3005"/>
      <c r="AP445" s="3005"/>
      <c r="AQ445" s="3005"/>
      <c r="AR445" s="3005"/>
      <c r="AS445" s="3005"/>
      <c r="AT445" s="3005"/>
      <c r="AU445" s="3006"/>
      <c r="AW445" s="197"/>
      <c r="AX445" s="197"/>
    </row>
    <row r="446" spans="1:50" ht="15.75" customHeight="1" x14ac:dyDescent="0.15">
      <c r="A446" s="2"/>
      <c r="B446" s="371"/>
      <c r="C446" s="371"/>
      <c r="D446" s="371"/>
      <c r="E446" s="371"/>
      <c r="F446" s="371"/>
      <c r="G446" s="371"/>
      <c r="H446" s="371"/>
      <c r="I446" s="371"/>
      <c r="J446" s="371"/>
      <c r="K446" s="371"/>
      <c r="L446" s="371"/>
      <c r="M446" s="371"/>
      <c r="N446" s="371"/>
      <c r="O446" s="371"/>
      <c r="P446" s="371"/>
      <c r="Q446" s="371"/>
      <c r="R446" s="371"/>
      <c r="S446" s="371"/>
      <c r="T446" s="371"/>
      <c r="U446" s="371"/>
      <c r="V446" s="371"/>
      <c r="W446" s="371"/>
      <c r="X446" s="371"/>
      <c r="Y446" s="3"/>
      <c r="Z446" s="3004"/>
      <c r="AA446" s="3005"/>
      <c r="AB446" s="3005"/>
      <c r="AC446" s="3005"/>
      <c r="AD446" s="3005"/>
      <c r="AE446" s="3005"/>
      <c r="AF446" s="3005"/>
      <c r="AG446" s="3005"/>
      <c r="AH446" s="3005"/>
      <c r="AI446" s="3005"/>
      <c r="AJ446" s="3005"/>
      <c r="AK446" s="3005"/>
      <c r="AL446" s="3005"/>
      <c r="AM446" s="3005"/>
      <c r="AN446" s="3005"/>
      <c r="AO446" s="3005"/>
      <c r="AP446" s="3005"/>
      <c r="AQ446" s="3005"/>
      <c r="AR446" s="3005"/>
      <c r="AS446" s="3005"/>
      <c r="AT446" s="3005"/>
      <c r="AU446" s="3006"/>
      <c r="AW446" s="197"/>
      <c r="AX446" s="197"/>
    </row>
    <row r="447" spans="1:50" ht="15.75" customHeight="1" x14ac:dyDescent="0.15">
      <c r="A447" s="2"/>
      <c r="B447" s="371"/>
      <c r="C447" s="371"/>
      <c r="D447" s="371"/>
      <c r="E447" s="371"/>
      <c r="F447" s="371"/>
      <c r="G447" s="371"/>
      <c r="H447" s="371"/>
      <c r="I447" s="371"/>
      <c r="J447" s="371"/>
      <c r="K447" s="371"/>
      <c r="L447" s="371"/>
      <c r="M447" s="371"/>
      <c r="N447" s="371"/>
      <c r="O447" s="371"/>
      <c r="P447" s="371"/>
      <c r="Q447" s="371"/>
      <c r="R447" s="371"/>
      <c r="S447" s="371"/>
      <c r="T447" s="371"/>
      <c r="U447" s="371"/>
      <c r="V447" s="371"/>
      <c r="W447" s="371"/>
      <c r="X447" s="371"/>
      <c r="Y447" s="3"/>
      <c r="Z447" s="3004"/>
      <c r="AA447" s="3005"/>
      <c r="AB447" s="3005"/>
      <c r="AC447" s="3005"/>
      <c r="AD447" s="3005"/>
      <c r="AE447" s="3005"/>
      <c r="AF447" s="3005"/>
      <c r="AG447" s="3005"/>
      <c r="AH447" s="3005"/>
      <c r="AI447" s="3005"/>
      <c r="AJ447" s="3005"/>
      <c r="AK447" s="3005"/>
      <c r="AL447" s="3005"/>
      <c r="AM447" s="3005"/>
      <c r="AN447" s="3005"/>
      <c r="AO447" s="3005"/>
      <c r="AP447" s="3005"/>
      <c r="AQ447" s="3005"/>
      <c r="AR447" s="3005"/>
      <c r="AS447" s="3005"/>
      <c r="AT447" s="3005"/>
      <c r="AU447" s="3006"/>
      <c r="AW447" s="197"/>
      <c r="AX447" s="197"/>
    </row>
    <row r="448" spans="1:50" ht="15.75" customHeight="1" x14ac:dyDescent="0.15">
      <c r="A448" s="2"/>
      <c r="B448" s="371"/>
      <c r="C448" s="371"/>
      <c r="D448" s="371"/>
      <c r="E448" s="371"/>
      <c r="F448" s="371"/>
      <c r="G448" s="371"/>
      <c r="H448" s="371"/>
      <c r="I448" s="371"/>
      <c r="J448" s="371"/>
      <c r="K448" s="371"/>
      <c r="L448" s="371"/>
      <c r="M448" s="371"/>
      <c r="N448" s="371"/>
      <c r="O448" s="371"/>
      <c r="P448" s="371"/>
      <c r="Q448" s="371"/>
      <c r="R448" s="371"/>
      <c r="S448" s="371"/>
      <c r="T448" s="371"/>
      <c r="U448" s="371"/>
      <c r="V448" s="371"/>
      <c r="W448" s="371"/>
      <c r="X448" s="371"/>
      <c r="Y448" s="3"/>
      <c r="Z448" s="3004"/>
      <c r="AA448" s="3005"/>
      <c r="AB448" s="3005"/>
      <c r="AC448" s="3005"/>
      <c r="AD448" s="3005"/>
      <c r="AE448" s="3005"/>
      <c r="AF448" s="3005"/>
      <c r="AG448" s="3005"/>
      <c r="AH448" s="3005"/>
      <c r="AI448" s="3005"/>
      <c r="AJ448" s="3005"/>
      <c r="AK448" s="3005"/>
      <c r="AL448" s="3005"/>
      <c r="AM448" s="3005"/>
      <c r="AN448" s="3005"/>
      <c r="AO448" s="3005"/>
      <c r="AP448" s="3005"/>
      <c r="AQ448" s="3005"/>
      <c r="AR448" s="3005"/>
      <c r="AS448" s="3005"/>
      <c r="AT448" s="3005"/>
      <c r="AU448" s="3006"/>
      <c r="AW448" s="197"/>
      <c r="AX448" s="197"/>
    </row>
    <row r="449" spans="1:53" ht="15.75" customHeight="1" x14ac:dyDescent="0.15">
      <c r="A449" s="2"/>
      <c r="B449" s="371"/>
      <c r="C449" s="371"/>
      <c r="D449" s="371"/>
      <c r="E449" s="371"/>
      <c r="F449" s="371"/>
      <c r="G449" s="371"/>
      <c r="H449" s="371"/>
      <c r="I449" s="371"/>
      <c r="J449" s="371"/>
      <c r="K449" s="371"/>
      <c r="L449" s="371"/>
      <c r="M449" s="371"/>
      <c r="N449" s="371"/>
      <c r="O449" s="371"/>
      <c r="P449" s="371"/>
      <c r="Q449" s="371"/>
      <c r="R449" s="371"/>
      <c r="S449" s="371"/>
      <c r="T449" s="371"/>
      <c r="U449" s="371"/>
      <c r="V449" s="371"/>
      <c r="W449" s="371"/>
      <c r="X449" s="371"/>
      <c r="Y449" s="3"/>
      <c r="Z449" s="3004"/>
      <c r="AA449" s="3005"/>
      <c r="AB449" s="3005"/>
      <c r="AC449" s="3005"/>
      <c r="AD449" s="3005"/>
      <c r="AE449" s="3005"/>
      <c r="AF449" s="3005"/>
      <c r="AG449" s="3005"/>
      <c r="AH449" s="3005"/>
      <c r="AI449" s="3005"/>
      <c r="AJ449" s="3005"/>
      <c r="AK449" s="3005"/>
      <c r="AL449" s="3005"/>
      <c r="AM449" s="3005"/>
      <c r="AN449" s="3005"/>
      <c r="AO449" s="3005"/>
      <c r="AP449" s="3005"/>
      <c r="AQ449" s="3005"/>
      <c r="AR449" s="3005"/>
      <c r="AS449" s="3005"/>
      <c r="AT449" s="3005"/>
      <c r="AU449" s="3006"/>
      <c r="AW449" s="197"/>
      <c r="AX449" s="197"/>
    </row>
    <row r="450" spans="1:53" ht="15.75" customHeight="1" x14ac:dyDescent="0.15">
      <c r="A450" s="6"/>
      <c r="B450" s="4"/>
      <c r="C450" s="4"/>
      <c r="D450" s="4"/>
      <c r="E450" s="4"/>
      <c r="F450" s="4"/>
      <c r="G450" s="4"/>
      <c r="H450" s="4"/>
      <c r="I450" s="4"/>
      <c r="J450" s="4"/>
      <c r="K450" s="4"/>
      <c r="L450" s="4"/>
      <c r="M450" s="4"/>
      <c r="N450" s="4"/>
      <c r="O450" s="4"/>
      <c r="P450" s="4"/>
      <c r="Q450" s="4"/>
      <c r="R450" s="4"/>
      <c r="S450" s="4"/>
      <c r="T450" s="4"/>
      <c r="U450" s="4"/>
      <c r="V450" s="4"/>
      <c r="W450" s="4"/>
      <c r="X450" s="4"/>
      <c r="Y450" s="5"/>
      <c r="Z450" s="3007"/>
      <c r="AA450" s="3008"/>
      <c r="AB450" s="3008"/>
      <c r="AC450" s="3008"/>
      <c r="AD450" s="3008"/>
      <c r="AE450" s="3008"/>
      <c r="AF450" s="3008"/>
      <c r="AG450" s="3008"/>
      <c r="AH450" s="3008"/>
      <c r="AI450" s="3008"/>
      <c r="AJ450" s="3008"/>
      <c r="AK450" s="3008"/>
      <c r="AL450" s="3008"/>
      <c r="AM450" s="3008"/>
      <c r="AN450" s="3008"/>
      <c r="AO450" s="3008"/>
      <c r="AP450" s="3008"/>
      <c r="AQ450" s="3008"/>
      <c r="AR450" s="3008"/>
      <c r="AS450" s="3008"/>
      <c r="AT450" s="3008"/>
      <c r="AU450" s="3009"/>
      <c r="AW450" s="197"/>
      <c r="AX450" s="197"/>
    </row>
    <row r="451" spans="1:53" ht="12.75" customHeight="1" x14ac:dyDescent="0.15">
      <c r="AW451" s="197"/>
      <c r="AX451" s="197"/>
    </row>
    <row r="452" spans="1:53" ht="15.75" customHeight="1" x14ac:dyDescent="0.15">
      <c r="A452" s="3018" t="s">
        <v>154</v>
      </c>
      <c r="B452" s="3019"/>
      <c r="C452" s="3020"/>
      <c r="D452" s="3037" t="s">
        <v>155</v>
      </c>
      <c r="E452" s="3038"/>
      <c r="F452" s="3038"/>
      <c r="G452" s="3038"/>
      <c r="H452" s="3038"/>
      <c r="I452" s="3038"/>
      <c r="J452" s="3039"/>
      <c r="K452" s="344"/>
      <c r="L452" s="341"/>
      <c r="M452" s="341"/>
      <c r="N452" s="341"/>
      <c r="O452" s="341"/>
      <c r="P452" s="341"/>
      <c r="Q452" s="341"/>
      <c r="R452" s="341"/>
      <c r="S452" s="342" t="s">
        <v>7</v>
      </c>
      <c r="T452" s="342" t="s">
        <v>8</v>
      </c>
      <c r="U452" s="342" t="s">
        <v>9</v>
      </c>
      <c r="V452" s="342" t="s">
        <v>156</v>
      </c>
      <c r="W452" s="342"/>
      <c r="X452" s="342"/>
      <c r="Y452" s="342"/>
      <c r="Z452" s="342"/>
      <c r="AA452" s="342"/>
      <c r="AB452" s="342"/>
      <c r="AC452" s="342"/>
      <c r="AD452" s="342"/>
      <c r="AE452" s="342"/>
      <c r="AF452" s="342"/>
      <c r="AG452" s="342"/>
      <c r="AH452" s="342"/>
      <c r="AI452" s="343"/>
      <c r="AJ452" s="344"/>
      <c r="AK452" s="3038" t="s">
        <v>33</v>
      </c>
      <c r="AL452" s="3038"/>
      <c r="AM452" s="3038"/>
      <c r="AN452" s="3038"/>
      <c r="AO452" s="3038"/>
      <c r="AP452" s="3038"/>
      <c r="AQ452" s="3038"/>
      <c r="AR452" s="3038"/>
      <c r="AS452" s="3038"/>
      <c r="AT452" s="3038"/>
      <c r="AU452" s="345"/>
      <c r="AW452" s="197"/>
      <c r="AX452" s="197"/>
    </row>
    <row r="453" spans="1:53" ht="15.75" customHeight="1" thickBot="1" x14ac:dyDescent="0.2">
      <c r="A453" s="3031"/>
      <c r="B453" s="3032"/>
      <c r="C453" s="3033"/>
      <c r="D453" s="3018" t="str">
        <f>IFERROR(VLOOKUP(16,'1_入力シート【基本情報】'!$DU$319:$DX$534,3,FALSE),"")</f>
        <v/>
      </c>
      <c r="E453" s="3019"/>
      <c r="F453" s="3019"/>
      <c r="G453" s="3019"/>
      <c r="H453" s="3019"/>
      <c r="I453" s="3019"/>
      <c r="J453" s="3020"/>
      <c r="K453" s="3040" t="str">
        <f>IFERROR(VLOOKUP(16,'1_入力シート【基本情報】'!$DU$319:$DX$534,4,FALSE),"")</f>
        <v/>
      </c>
      <c r="L453" s="3041"/>
      <c r="M453" s="3041"/>
      <c r="N453" s="3041"/>
      <c r="O453" s="3041"/>
      <c r="P453" s="3041"/>
      <c r="Q453" s="3041"/>
      <c r="R453" s="3041"/>
      <c r="S453" s="3041"/>
      <c r="T453" s="3041"/>
      <c r="U453" s="3041"/>
      <c r="V453" s="3041"/>
      <c r="W453" s="3041"/>
      <c r="X453" s="3041"/>
      <c r="Y453" s="3041"/>
      <c r="Z453" s="3041"/>
      <c r="AA453" s="3041"/>
      <c r="AB453" s="3041"/>
      <c r="AC453" s="3041"/>
      <c r="AD453" s="3041"/>
      <c r="AE453" s="3041"/>
      <c r="AF453" s="3041"/>
      <c r="AG453" s="3041"/>
      <c r="AH453" s="3041"/>
      <c r="AI453" s="3042"/>
      <c r="AJ453" s="367"/>
      <c r="AK453" s="367"/>
      <c r="AL453" s="367"/>
      <c r="AM453" s="367"/>
      <c r="AN453" s="367"/>
      <c r="AO453" s="367"/>
      <c r="AP453" s="367"/>
      <c r="AQ453" s="367"/>
      <c r="AR453" s="367"/>
      <c r="AS453" s="367"/>
      <c r="AT453" s="367"/>
      <c r="AU453" s="368"/>
      <c r="AW453" s="197"/>
      <c r="AX453" s="197"/>
    </row>
    <row r="454" spans="1:53" ht="15.75" customHeight="1" thickBot="1" x14ac:dyDescent="0.2">
      <c r="A454" s="3031"/>
      <c r="B454" s="3032"/>
      <c r="C454" s="3033"/>
      <c r="D454" s="3021"/>
      <c r="E454" s="3022"/>
      <c r="F454" s="3022"/>
      <c r="G454" s="3022"/>
      <c r="H454" s="3022"/>
      <c r="I454" s="3022"/>
      <c r="J454" s="3023"/>
      <c r="K454" s="3043"/>
      <c r="L454" s="3044"/>
      <c r="M454" s="3044"/>
      <c r="N454" s="3044"/>
      <c r="O454" s="3044"/>
      <c r="P454" s="3044"/>
      <c r="Q454" s="3044"/>
      <c r="R454" s="3044"/>
      <c r="S454" s="3044"/>
      <c r="T454" s="3044"/>
      <c r="U454" s="3044"/>
      <c r="V454" s="3044"/>
      <c r="W454" s="3044"/>
      <c r="X454" s="3044"/>
      <c r="Y454" s="3044"/>
      <c r="Z454" s="3044"/>
      <c r="AA454" s="3044"/>
      <c r="AB454" s="3044"/>
      <c r="AC454" s="3044"/>
      <c r="AD454" s="3044"/>
      <c r="AE454" s="3044"/>
      <c r="AF454" s="3044"/>
      <c r="AG454" s="3044"/>
      <c r="AH454" s="3044"/>
      <c r="AI454" s="3045"/>
      <c r="AJ454" s="367"/>
      <c r="AK454" s="367" t="str">
        <f>IF(D453&lt;&gt;"","☑","☐")</f>
        <v>☐</v>
      </c>
      <c r="AL454" s="367" t="s">
        <v>14</v>
      </c>
      <c r="AM454" s="367" t="s">
        <v>21</v>
      </c>
      <c r="AN454" s="367" t="s">
        <v>15</v>
      </c>
      <c r="AO454" s="367"/>
      <c r="AP454" s="426" t="s">
        <v>179</v>
      </c>
      <c r="AQ454" s="367" t="s">
        <v>27</v>
      </c>
      <c r="AR454" s="367" t="s">
        <v>23</v>
      </c>
      <c r="AS454" s="367" t="s">
        <v>13</v>
      </c>
      <c r="AT454" s="367"/>
      <c r="AU454" s="368"/>
      <c r="AW454" s="197"/>
      <c r="AX454" s="197"/>
      <c r="BA454" s="430" t="b">
        <f>AP454="☑"</f>
        <v>0</v>
      </c>
    </row>
    <row r="455" spans="1:53" ht="15.75" customHeight="1" x14ac:dyDescent="0.15">
      <c r="A455" s="3034"/>
      <c r="B455" s="3035"/>
      <c r="C455" s="3036"/>
      <c r="D455" s="3024"/>
      <c r="E455" s="3025"/>
      <c r="F455" s="3025"/>
      <c r="G455" s="3025"/>
      <c r="H455" s="3025"/>
      <c r="I455" s="3025"/>
      <c r="J455" s="3026"/>
      <c r="K455" s="3046"/>
      <c r="L455" s="3047"/>
      <c r="M455" s="3047"/>
      <c r="N455" s="3047"/>
      <c r="O455" s="3047"/>
      <c r="P455" s="3047"/>
      <c r="Q455" s="3047"/>
      <c r="R455" s="3047"/>
      <c r="S455" s="3047"/>
      <c r="T455" s="3047"/>
      <c r="U455" s="3047"/>
      <c r="V455" s="3047"/>
      <c r="W455" s="3047"/>
      <c r="X455" s="3047"/>
      <c r="Y455" s="3047"/>
      <c r="Z455" s="3047"/>
      <c r="AA455" s="3047"/>
      <c r="AB455" s="3047"/>
      <c r="AC455" s="3047"/>
      <c r="AD455" s="3047"/>
      <c r="AE455" s="3047"/>
      <c r="AF455" s="3047"/>
      <c r="AG455" s="3047"/>
      <c r="AH455" s="3047"/>
      <c r="AI455" s="3048"/>
      <c r="AJ455" s="369"/>
      <c r="AK455" s="369"/>
      <c r="AL455" s="369"/>
      <c r="AM455" s="369"/>
      <c r="AN455" s="369"/>
      <c r="AO455" s="369"/>
      <c r="AP455" s="369"/>
      <c r="AQ455" s="369"/>
      <c r="AR455" s="369"/>
      <c r="AS455" s="369"/>
      <c r="AT455" s="369"/>
      <c r="AU455" s="370"/>
      <c r="AW455" s="197"/>
      <c r="AX455" s="197"/>
    </row>
    <row r="456" spans="1:53" ht="15.75" customHeight="1" x14ac:dyDescent="0.15">
      <c r="A456" s="2"/>
      <c r="B456" s="335"/>
      <c r="C456" s="335"/>
      <c r="D456" s="335"/>
      <c r="E456" s="335"/>
      <c r="F456" s="335"/>
      <c r="G456" s="335"/>
      <c r="H456" s="335"/>
      <c r="I456" s="335"/>
      <c r="J456" s="335"/>
      <c r="K456" s="335"/>
      <c r="L456" s="335"/>
      <c r="M456" s="335"/>
      <c r="N456" s="335"/>
      <c r="O456" s="335"/>
      <c r="P456" s="335"/>
      <c r="Q456" s="335"/>
      <c r="R456" s="335"/>
      <c r="S456" s="335"/>
      <c r="T456" s="335"/>
      <c r="U456" s="335"/>
      <c r="V456" s="335"/>
      <c r="W456" s="335"/>
      <c r="X456" s="335"/>
      <c r="Y456" s="3"/>
      <c r="Z456" s="47"/>
      <c r="AA456" s="48" t="s">
        <v>11</v>
      </c>
      <c r="AB456" s="48" t="s">
        <v>10</v>
      </c>
      <c r="AC456" s="48" t="s">
        <v>16</v>
      </c>
      <c r="AD456" s="48" t="s">
        <v>9</v>
      </c>
      <c r="AE456" s="48"/>
      <c r="AF456" s="48"/>
      <c r="AG456" s="48"/>
      <c r="AH456" s="48"/>
      <c r="AI456" s="48"/>
      <c r="AJ456" s="49"/>
      <c r="AK456" s="49"/>
      <c r="AL456" s="49"/>
      <c r="AM456" s="49"/>
      <c r="AN456" s="49"/>
      <c r="AO456" s="49"/>
      <c r="AP456" s="49"/>
      <c r="AQ456" s="49"/>
      <c r="AR456" s="49"/>
      <c r="AS456" s="49"/>
      <c r="AT456" s="49"/>
      <c r="AU456" s="334"/>
      <c r="AW456" s="197"/>
      <c r="AX456" s="197"/>
    </row>
    <row r="457" spans="1:53" ht="15.75" customHeight="1" x14ac:dyDescent="0.15">
      <c r="A457" s="2"/>
      <c r="B457" s="335"/>
      <c r="C457" s="335"/>
      <c r="D457" s="335"/>
      <c r="E457" s="335"/>
      <c r="F457" s="335"/>
      <c r="G457" s="335"/>
      <c r="H457" s="335"/>
      <c r="I457" s="335"/>
      <c r="J457" s="335"/>
      <c r="K457" s="335"/>
      <c r="L457" s="335"/>
      <c r="M457" s="335"/>
      <c r="N457" s="335"/>
      <c r="O457" s="335"/>
      <c r="P457" s="335"/>
      <c r="Q457" s="335"/>
      <c r="R457" s="335"/>
      <c r="S457" s="335"/>
      <c r="T457" s="335"/>
      <c r="U457" s="335"/>
      <c r="V457" s="335"/>
      <c r="W457" s="335"/>
      <c r="X457" s="335"/>
      <c r="Y457" s="3"/>
      <c r="Z457" s="3010"/>
      <c r="AA457" s="3011"/>
      <c r="AB457" s="3011"/>
      <c r="AC457" s="3011"/>
      <c r="AD457" s="3011"/>
      <c r="AE457" s="3011"/>
      <c r="AF457" s="3011"/>
      <c r="AG457" s="3011"/>
      <c r="AH457" s="3011"/>
      <c r="AI457" s="3011"/>
      <c r="AJ457" s="3011"/>
      <c r="AK457" s="3011"/>
      <c r="AL457" s="3011"/>
      <c r="AM457" s="3011"/>
      <c r="AN457" s="3011"/>
      <c r="AO457" s="104"/>
      <c r="AP457" s="104"/>
      <c r="AQ457" s="104"/>
      <c r="AR457" s="104"/>
      <c r="AS457" s="104"/>
      <c r="AT457" s="104"/>
      <c r="AU457" s="105"/>
      <c r="AW457" s="197"/>
      <c r="AX457" s="197"/>
    </row>
    <row r="458" spans="1:53" ht="15.75" customHeight="1" x14ac:dyDescent="0.15">
      <c r="A458" s="2"/>
      <c r="B458" s="335"/>
      <c r="C458" s="335"/>
      <c r="D458" s="335"/>
      <c r="E458" s="335"/>
      <c r="F458" s="335"/>
      <c r="G458" s="335"/>
      <c r="H458" s="335"/>
      <c r="I458" s="335"/>
      <c r="J458" s="335"/>
      <c r="K458" s="335"/>
      <c r="L458" s="335"/>
      <c r="M458" s="335"/>
      <c r="N458" s="335"/>
      <c r="O458" s="335"/>
      <c r="P458" s="335"/>
      <c r="Q458" s="335"/>
      <c r="R458" s="335"/>
      <c r="S458" s="335"/>
      <c r="T458" s="335"/>
      <c r="U458" s="335"/>
      <c r="V458" s="335"/>
      <c r="W458" s="335"/>
      <c r="X458" s="335"/>
      <c r="Y458" s="3"/>
      <c r="Z458" s="2995" t="str">
        <f>IFERROR(VLOOKUP(16,'1_入力シート【基本情報】'!$DU$319:$DZ$534,5,FALSE),"")</f>
        <v/>
      </c>
      <c r="AA458" s="2996"/>
      <c r="AB458" s="2996"/>
      <c r="AC458" s="2996"/>
      <c r="AD458" s="2996"/>
      <c r="AE458" s="2996"/>
      <c r="AF458" s="2996"/>
      <c r="AG458" s="2996"/>
      <c r="AH458" s="2996"/>
      <c r="AI458" s="2996"/>
      <c r="AJ458" s="2996"/>
      <c r="AK458" s="2996"/>
      <c r="AL458" s="2996"/>
      <c r="AM458" s="2996"/>
      <c r="AN458" s="2996"/>
      <c r="AO458" s="2996"/>
      <c r="AP458" s="2996"/>
      <c r="AQ458" s="2996"/>
      <c r="AR458" s="2996"/>
      <c r="AS458" s="2996"/>
      <c r="AT458" s="2996"/>
      <c r="AU458" s="2997"/>
      <c r="AW458" s="197"/>
      <c r="AX458" s="197"/>
    </row>
    <row r="459" spans="1:53" ht="15.75" customHeight="1" x14ac:dyDescent="0.15">
      <c r="A459" s="2"/>
      <c r="B459" s="335"/>
      <c r="C459" s="335"/>
      <c r="D459" s="335"/>
      <c r="E459" s="335"/>
      <c r="F459" s="335"/>
      <c r="G459" s="335"/>
      <c r="H459" s="335"/>
      <c r="I459" s="335"/>
      <c r="J459" s="335"/>
      <c r="K459" s="335"/>
      <c r="L459" s="335"/>
      <c r="M459" s="335"/>
      <c r="N459" s="335"/>
      <c r="O459" s="335"/>
      <c r="P459" s="335"/>
      <c r="Q459" s="335"/>
      <c r="R459" s="335"/>
      <c r="S459" s="335"/>
      <c r="T459" s="335"/>
      <c r="U459" s="335"/>
      <c r="V459" s="335"/>
      <c r="W459" s="335"/>
      <c r="X459" s="335"/>
      <c r="Y459" s="3"/>
      <c r="Z459" s="2998"/>
      <c r="AA459" s="2999"/>
      <c r="AB459" s="2999"/>
      <c r="AC459" s="2999"/>
      <c r="AD459" s="2999"/>
      <c r="AE459" s="2999"/>
      <c r="AF459" s="2999"/>
      <c r="AG459" s="2999"/>
      <c r="AH459" s="2999"/>
      <c r="AI459" s="2999"/>
      <c r="AJ459" s="2999"/>
      <c r="AK459" s="2999"/>
      <c r="AL459" s="2999"/>
      <c r="AM459" s="2999"/>
      <c r="AN459" s="2999"/>
      <c r="AO459" s="2999"/>
      <c r="AP459" s="2999"/>
      <c r="AQ459" s="2999"/>
      <c r="AR459" s="2999"/>
      <c r="AS459" s="2999"/>
      <c r="AT459" s="2999"/>
      <c r="AU459" s="3000"/>
      <c r="AW459" s="197"/>
      <c r="AX459" s="197"/>
    </row>
    <row r="460" spans="1:53" ht="15.75" customHeight="1" x14ac:dyDescent="0.15">
      <c r="A460" s="2"/>
      <c r="B460" s="335"/>
      <c r="C460" s="335"/>
      <c r="D460" s="335"/>
      <c r="E460" s="335"/>
      <c r="F460" s="335"/>
      <c r="G460" s="335"/>
      <c r="H460" s="335"/>
      <c r="I460" s="335"/>
      <c r="J460" s="335"/>
      <c r="K460" s="335"/>
      <c r="L460" s="335"/>
      <c r="M460" s="335"/>
      <c r="N460" s="335"/>
      <c r="O460" s="335"/>
      <c r="P460" s="335"/>
      <c r="Q460" s="335"/>
      <c r="R460" s="335"/>
      <c r="S460" s="335"/>
      <c r="T460" s="335"/>
      <c r="U460" s="335"/>
      <c r="V460" s="335"/>
      <c r="W460" s="335"/>
      <c r="X460" s="335"/>
      <c r="Y460" s="3"/>
      <c r="Z460" s="3001"/>
      <c r="AA460" s="3002"/>
      <c r="AB460" s="3002"/>
      <c r="AC460" s="3002"/>
      <c r="AD460" s="3002"/>
      <c r="AE460" s="3002"/>
      <c r="AF460" s="3002"/>
      <c r="AG460" s="3002"/>
      <c r="AH460" s="3002"/>
      <c r="AI460" s="3002"/>
      <c r="AJ460" s="3002"/>
      <c r="AK460" s="3002"/>
      <c r="AL460" s="3002"/>
      <c r="AM460" s="3002"/>
      <c r="AN460" s="3002"/>
      <c r="AO460" s="3002"/>
      <c r="AP460" s="3002"/>
      <c r="AQ460" s="3002"/>
      <c r="AR460" s="3002"/>
      <c r="AS460" s="3002"/>
      <c r="AT460" s="3002"/>
      <c r="AU460" s="3003"/>
      <c r="AW460" s="197"/>
      <c r="AX460" s="197"/>
    </row>
    <row r="461" spans="1:53" ht="15.75" customHeight="1" x14ac:dyDescent="0.15">
      <c r="A461" s="2"/>
      <c r="B461" s="371"/>
      <c r="C461" s="371"/>
      <c r="D461" s="371"/>
      <c r="E461" s="371"/>
      <c r="F461" s="371"/>
      <c r="G461" s="371"/>
      <c r="H461" s="371"/>
      <c r="I461" s="371"/>
      <c r="J461" s="371"/>
      <c r="K461" s="371"/>
      <c r="L461" s="371"/>
      <c r="M461" s="371"/>
      <c r="N461" s="371"/>
      <c r="O461" s="371"/>
      <c r="P461" s="371"/>
      <c r="Q461" s="371"/>
      <c r="R461" s="371"/>
      <c r="S461" s="371"/>
      <c r="T461" s="371"/>
      <c r="U461" s="371"/>
      <c r="V461" s="371"/>
      <c r="W461" s="371"/>
      <c r="X461" s="371"/>
      <c r="Y461" s="3"/>
      <c r="Z461" s="3004"/>
      <c r="AA461" s="3005"/>
      <c r="AB461" s="3005"/>
      <c r="AC461" s="3005"/>
      <c r="AD461" s="3005"/>
      <c r="AE461" s="3005"/>
      <c r="AF461" s="3005"/>
      <c r="AG461" s="3005"/>
      <c r="AH461" s="3005"/>
      <c r="AI461" s="3005"/>
      <c r="AJ461" s="3005"/>
      <c r="AK461" s="3005"/>
      <c r="AL461" s="3005"/>
      <c r="AM461" s="3005"/>
      <c r="AN461" s="3005"/>
      <c r="AO461" s="3005"/>
      <c r="AP461" s="3005"/>
      <c r="AQ461" s="3005"/>
      <c r="AR461" s="3005"/>
      <c r="AS461" s="3005"/>
      <c r="AT461" s="3005"/>
      <c r="AU461" s="3006"/>
      <c r="AW461" s="197"/>
      <c r="AX461" s="197"/>
    </row>
    <row r="462" spans="1:53" ht="15.75" customHeight="1" x14ac:dyDescent="0.15">
      <c r="A462" s="2"/>
      <c r="B462" s="371"/>
      <c r="C462" s="371"/>
      <c r="D462" s="371"/>
      <c r="E462" s="371"/>
      <c r="F462" s="371"/>
      <c r="G462" s="371"/>
      <c r="H462" s="371"/>
      <c r="I462" s="371"/>
      <c r="J462" s="371"/>
      <c r="K462" s="371"/>
      <c r="L462" s="371"/>
      <c r="M462" s="371"/>
      <c r="N462" s="371"/>
      <c r="O462" s="371"/>
      <c r="P462" s="371"/>
      <c r="Q462" s="371"/>
      <c r="R462" s="371"/>
      <c r="S462" s="371"/>
      <c r="T462" s="371"/>
      <c r="U462" s="371"/>
      <c r="V462" s="371"/>
      <c r="W462" s="371"/>
      <c r="X462" s="371"/>
      <c r="Y462" s="3"/>
      <c r="Z462" s="3004"/>
      <c r="AA462" s="3005"/>
      <c r="AB462" s="3005"/>
      <c r="AC462" s="3005"/>
      <c r="AD462" s="3005"/>
      <c r="AE462" s="3005"/>
      <c r="AF462" s="3005"/>
      <c r="AG462" s="3005"/>
      <c r="AH462" s="3005"/>
      <c r="AI462" s="3005"/>
      <c r="AJ462" s="3005"/>
      <c r="AK462" s="3005"/>
      <c r="AL462" s="3005"/>
      <c r="AM462" s="3005"/>
      <c r="AN462" s="3005"/>
      <c r="AO462" s="3005"/>
      <c r="AP462" s="3005"/>
      <c r="AQ462" s="3005"/>
      <c r="AR462" s="3005"/>
      <c r="AS462" s="3005"/>
      <c r="AT462" s="3005"/>
      <c r="AU462" s="3006"/>
      <c r="AW462" s="197"/>
      <c r="AX462" s="197"/>
    </row>
    <row r="463" spans="1:53" ht="15.75" customHeight="1" x14ac:dyDescent="0.15">
      <c r="A463" s="2"/>
      <c r="B463" s="371"/>
      <c r="C463" s="371"/>
      <c r="D463" s="371"/>
      <c r="E463" s="371"/>
      <c r="F463" s="371"/>
      <c r="G463" s="371"/>
      <c r="H463" s="371"/>
      <c r="I463" s="371"/>
      <c r="J463" s="371"/>
      <c r="K463" s="371"/>
      <c r="L463" s="371"/>
      <c r="M463" s="371"/>
      <c r="N463" s="371"/>
      <c r="O463" s="371"/>
      <c r="P463" s="371"/>
      <c r="Q463" s="371"/>
      <c r="R463" s="371"/>
      <c r="S463" s="371"/>
      <c r="T463" s="371"/>
      <c r="U463" s="371"/>
      <c r="V463" s="371"/>
      <c r="W463" s="371"/>
      <c r="X463" s="371"/>
      <c r="Y463" s="3"/>
      <c r="Z463" s="3004"/>
      <c r="AA463" s="3005"/>
      <c r="AB463" s="3005"/>
      <c r="AC463" s="3005"/>
      <c r="AD463" s="3005"/>
      <c r="AE463" s="3005"/>
      <c r="AF463" s="3005"/>
      <c r="AG463" s="3005"/>
      <c r="AH463" s="3005"/>
      <c r="AI463" s="3005"/>
      <c r="AJ463" s="3005"/>
      <c r="AK463" s="3005"/>
      <c r="AL463" s="3005"/>
      <c r="AM463" s="3005"/>
      <c r="AN463" s="3005"/>
      <c r="AO463" s="3005"/>
      <c r="AP463" s="3005"/>
      <c r="AQ463" s="3005"/>
      <c r="AR463" s="3005"/>
      <c r="AS463" s="3005"/>
      <c r="AT463" s="3005"/>
      <c r="AU463" s="3006"/>
      <c r="AW463" s="197"/>
      <c r="AX463" s="197"/>
    </row>
    <row r="464" spans="1:53" ht="15.75" customHeight="1" x14ac:dyDescent="0.15">
      <c r="A464" s="2"/>
      <c r="B464" s="371"/>
      <c r="C464" s="371"/>
      <c r="D464" s="371"/>
      <c r="E464" s="371"/>
      <c r="F464" s="371"/>
      <c r="G464" s="371"/>
      <c r="H464" s="371"/>
      <c r="I464" s="371"/>
      <c r="J464" s="371"/>
      <c r="K464" s="3013" t="s">
        <v>157</v>
      </c>
      <c r="L464" s="3013"/>
      <c r="M464" s="3013"/>
      <c r="N464" s="3013"/>
      <c r="O464" s="3013"/>
      <c r="P464" s="3013"/>
      <c r="Q464" s="371"/>
      <c r="R464" s="371"/>
      <c r="S464" s="371"/>
      <c r="T464" s="371"/>
      <c r="U464" s="371"/>
      <c r="V464" s="371"/>
      <c r="W464" s="371"/>
      <c r="X464" s="371"/>
      <c r="Y464" s="3"/>
      <c r="Z464" s="3004"/>
      <c r="AA464" s="3005"/>
      <c r="AB464" s="3005"/>
      <c r="AC464" s="3005"/>
      <c r="AD464" s="3005"/>
      <c r="AE464" s="3005"/>
      <c r="AF464" s="3005"/>
      <c r="AG464" s="3005"/>
      <c r="AH464" s="3005"/>
      <c r="AI464" s="3005"/>
      <c r="AJ464" s="3005"/>
      <c r="AK464" s="3005"/>
      <c r="AL464" s="3005"/>
      <c r="AM464" s="3005"/>
      <c r="AN464" s="3005"/>
      <c r="AO464" s="3005"/>
      <c r="AP464" s="3005"/>
      <c r="AQ464" s="3005"/>
      <c r="AR464" s="3005"/>
      <c r="AS464" s="3005"/>
      <c r="AT464" s="3005"/>
      <c r="AU464" s="3006"/>
      <c r="AW464" s="197"/>
      <c r="AX464" s="197"/>
    </row>
    <row r="465" spans="1:50" ht="15.75" customHeight="1" x14ac:dyDescent="0.15">
      <c r="A465" s="2"/>
      <c r="B465" s="371"/>
      <c r="C465" s="371"/>
      <c r="D465" s="371"/>
      <c r="E465" s="371"/>
      <c r="F465" s="371"/>
      <c r="G465" s="371"/>
      <c r="H465" s="371"/>
      <c r="I465" s="371"/>
      <c r="J465" s="371"/>
      <c r="K465" s="371"/>
      <c r="L465" s="371"/>
      <c r="M465" s="371"/>
      <c r="N465" s="371"/>
      <c r="O465" s="371"/>
      <c r="P465" s="371"/>
      <c r="Q465" s="371"/>
      <c r="R465" s="371"/>
      <c r="S465" s="371"/>
      <c r="T465" s="371"/>
      <c r="U465" s="371"/>
      <c r="V465" s="371"/>
      <c r="W465" s="371"/>
      <c r="X465" s="371"/>
      <c r="Y465" s="3"/>
      <c r="Z465" s="3004"/>
      <c r="AA465" s="3005"/>
      <c r="AB465" s="3005"/>
      <c r="AC465" s="3005"/>
      <c r="AD465" s="3005"/>
      <c r="AE465" s="3005"/>
      <c r="AF465" s="3005"/>
      <c r="AG465" s="3005"/>
      <c r="AH465" s="3005"/>
      <c r="AI465" s="3005"/>
      <c r="AJ465" s="3005"/>
      <c r="AK465" s="3005"/>
      <c r="AL465" s="3005"/>
      <c r="AM465" s="3005"/>
      <c r="AN465" s="3005"/>
      <c r="AO465" s="3005"/>
      <c r="AP465" s="3005"/>
      <c r="AQ465" s="3005"/>
      <c r="AR465" s="3005"/>
      <c r="AS465" s="3005"/>
      <c r="AT465" s="3005"/>
      <c r="AU465" s="3006"/>
      <c r="AW465" s="197"/>
      <c r="AX465" s="197"/>
    </row>
    <row r="466" spans="1:50" ht="15.75" customHeight="1" x14ac:dyDescent="0.15">
      <c r="A466" s="2"/>
      <c r="B466" s="371"/>
      <c r="C466" s="371"/>
      <c r="D466" s="371"/>
      <c r="E466" s="371"/>
      <c r="F466" s="371"/>
      <c r="G466" s="371"/>
      <c r="H466" s="371"/>
      <c r="I466" s="371"/>
      <c r="J466" s="371"/>
      <c r="K466" s="371"/>
      <c r="L466" s="371"/>
      <c r="M466" s="371"/>
      <c r="N466" s="371"/>
      <c r="O466" s="371"/>
      <c r="P466" s="371"/>
      <c r="Q466" s="371"/>
      <c r="R466" s="371"/>
      <c r="S466" s="371"/>
      <c r="T466" s="371"/>
      <c r="U466" s="371"/>
      <c r="V466" s="371"/>
      <c r="W466" s="371"/>
      <c r="X466" s="371"/>
      <c r="Y466" s="3"/>
      <c r="Z466" s="3004"/>
      <c r="AA466" s="3005"/>
      <c r="AB466" s="3005"/>
      <c r="AC466" s="3005"/>
      <c r="AD466" s="3005"/>
      <c r="AE466" s="3005"/>
      <c r="AF466" s="3005"/>
      <c r="AG466" s="3005"/>
      <c r="AH466" s="3005"/>
      <c r="AI466" s="3005"/>
      <c r="AJ466" s="3005"/>
      <c r="AK466" s="3005"/>
      <c r="AL466" s="3005"/>
      <c r="AM466" s="3005"/>
      <c r="AN466" s="3005"/>
      <c r="AO466" s="3005"/>
      <c r="AP466" s="3005"/>
      <c r="AQ466" s="3005"/>
      <c r="AR466" s="3005"/>
      <c r="AS466" s="3005"/>
      <c r="AT466" s="3005"/>
      <c r="AU466" s="3006"/>
      <c r="AW466" s="197"/>
      <c r="AX466" s="197"/>
    </row>
    <row r="467" spans="1:50" ht="15.75" customHeight="1" x14ac:dyDescent="0.15">
      <c r="A467" s="2"/>
      <c r="B467" s="371"/>
      <c r="C467" s="371"/>
      <c r="D467" s="371"/>
      <c r="E467" s="371"/>
      <c r="F467" s="371"/>
      <c r="G467" s="371"/>
      <c r="H467" s="371"/>
      <c r="I467" s="371"/>
      <c r="J467" s="371"/>
      <c r="K467" s="371"/>
      <c r="L467" s="371"/>
      <c r="M467" s="371"/>
      <c r="N467" s="371"/>
      <c r="O467" s="371"/>
      <c r="P467" s="371"/>
      <c r="Q467" s="371"/>
      <c r="R467" s="371"/>
      <c r="S467" s="371"/>
      <c r="T467" s="371"/>
      <c r="U467" s="371"/>
      <c r="V467" s="371"/>
      <c r="W467" s="371"/>
      <c r="X467" s="371"/>
      <c r="Y467" s="3"/>
      <c r="Z467" s="3004"/>
      <c r="AA467" s="3005"/>
      <c r="AB467" s="3005"/>
      <c r="AC467" s="3005"/>
      <c r="AD467" s="3005"/>
      <c r="AE467" s="3005"/>
      <c r="AF467" s="3005"/>
      <c r="AG467" s="3005"/>
      <c r="AH467" s="3005"/>
      <c r="AI467" s="3005"/>
      <c r="AJ467" s="3005"/>
      <c r="AK467" s="3005"/>
      <c r="AL467" s="3005"/>
      <c r="AM467" s="3005"/>
      <c r="AN467" s="3005"/>
      <c r="AO467" s="3005"/>
      <c r="AP467" s="3005"/>
      <c r="AQ467" s="3005"/>
      <c r="AR467" s="3005"/>
      <c r="AS467" s="3005"/>
      <c r="AT467" s="3005"/>
      <c r="AU467" s="3006"/>
      <c r="AW467" s="197"/>
      <c r="AX467" s="197"/>
    </row>
    <row r="468" spans="1:50" ht="15.75" customHeight="1" x14ac:dyDescent="0.15">
      <c r="A468" s="2"/>
      <c r="B468" s="371"/>
      <c r="C468" s="371"/>
      <c r="D468" s="371"/>
      <c r="E468" s="371"/>
      <c r="F468" s="371"/>
      <c r="G468" s="371"/>
      <c r="H468" s="371"/>
      <c r="I468" s="371"/>
      <c r="J468" s="371"/>
      <c r="K468" s="371"/>
      <c r="L468" s="371"/>
      <c r="M468" s="371"/>
      <c r="N468" s="371"/>
      <c r="O468" s="371"/>
      <c r="P468" s="371"/>
      <c r="Q468" s="371"/>
      <c r="R468" s="371"/>
      <c r="S468" s="371"/>
      <c r="T468" s="371"/>
      <c r="U468" s="371"/>
      <c r="V468" s="371"/>
      <c r="W468" s="371"/>
      <c r="X468" s="371"/>
      <c r="Y468" s="3"/>
      <c r="Z468" s="3004"/>
      <c r="AA468" s="3005"/>
      <c r="AB468" s="3005"/>
      <c r="AC468" s="3005"/>
      <c r="AD468" s="3005"/>
      <c r="AE468" s="3005"/>
      <c r="AF468" s="3005"/>
      <c r="AG468" s="3005"/>
      <c r="AH468" s="3005"/>
      <c r="AI468" s="3005"/>
      <c r="AJ468" s="3005"/>
      <c r="AK468" s="3005"/>
      <c r="AL468" s="3005"/>
      <c r="AM468" s="3005"/>
      <c r="AN468" s="3005"/>
      <c r="AO468" s="3005"/>
      <c r="AP468" s="3005"/>
      <c r="AQ468" s="3005"/>
      <c r="AR468" s="3005"/>
      <c r="AS468" s="3005"/>
      <c r="AT468" s="3005"/>
      <c r="AU468" s="3006"/>
      <c r="AW468" s="197"/>
      <c r="AX468" s="197"/>
    </row>
    <row r="469" spans="1:50" ht="15.75" customHeight="1" x14ac:dyDescent="0.15">
      <c r="A469" s="2"/>
      <c r="B469" s="371"/>
      <c r="C469" s="371"/>
      <c r="D469" s="371"/>
      <c r="E469" s="371"/>
      <c r="F469" s="371"/>
      <c r="G469" s="371"/>
      <c r="H469" s="371"/>
      <c r="I469" s="371"/>
      <c r="J469" s="371"/>
      <c r="K469" s="371"/>
      <c r="L469" s="371"/>
      <c r="M469" s="371"/>
      <c r="N469" s="371"/>
      <c r="O469" s="371"/>
      <c r="P469" s="371"/>
      <c r="Q469" s="371"/>
      <c r="R469" s="371"/>
      <c r="S469" s="371"/>
      <c r="T469" s="371"/>
      <c r="U469" s="371"/>
      <c r="V469" s="371"/>
      <c r="W469" s="371"/>
      <c r="X469" s="371"/>
      <c r="Y469" s="3"/>
      <c r="Z469" s="3004"/>
      <c r="AA469" s="3005"/>
      <c r="AB469" s="3005"/>
      <c r="AC469" s="3005"/>
      <c r="AD469" s="3005"/>
      <c r="AE469" s="3005"/>
      <c r="AF469" s="3005"/>
      <c r="AG469" s="3005"/>
      <c r="AH469" s="3005"/>
      <c r="AI469" s="3005"/>
      <c r="AJ469" s="3005"/>
      <c r="AK469" s="3005"/>
      <c r="AL469" s="3005"/>
      <c r="AM469" s="3005"/>
      <c r="AN469" s="3005"/>
      <c r="AO469" s="3005"/>
      <c r="AP469" s="3005"/>
      <c r="AQ469" s="3005"/>
      <c r="AR469" s="3005"/>
      <c r="AS469" s="3005"/>
      <c r="AT469" s="3005"/>
      <c r="AU469" s="3006"/>
      <c r="AW469" s="197"/>
      <c r="AX469" s="197"/>
    </row>
    <row r="470" spans="1:50" ht="15.75" customHeight="1" x14ac:dyDescent="0.15">
      <c r="A470" s="2"/>
      <c r="B470" s="371"/>
      <c r="C470" s="371"/>
      <c r="D470" s="371"/>
      <c r="E470" s="371"/>
      <c r="F470" s="371"/>
      <c r="G470" s="371"/>
      <c r="H470" s="371"/>
      <c r="I470" s="371"/>
      <c r="J470" s="371"/>
      <c r="K470" s="371"/>
      <c r="L470" s="371"/>
      <c r="M470" s="371"/>
      <c r="N470" s="371"/>
      <c r="O470" s="371"/>
      <c r="P470" s="371"/>
      <c r="Q470" s="371"/>
      <c r="R470" s="371"/>
      <c r="S470" s="371"/>
      <c r="T470" s="371"/>
      <c r="U470" s="371"/>
      <c r="V470" s="371"/>
      <c r="W470" s="371"/>
      <c r="X470" s="371"/>
      <c r="Y470" s="3"/>
      <c r="Z470" s="3004"/>
      <c r="AA470" s="3005"/>
      <c r="AB470" s="3005"/>
      <c r="AC470" s="3005"/>
      <c r="AD470" s="3005"/>
      <c r="AE470" s="3005"/>
      <c r="AF470" s="3005"/>
      <c r="AG470" s="3005"/>
      <c r="AH470" s="3005"/>
      <c r="AI470" s="3005"/>
      <c r="AJ470" s="3005"/>
      <c r="AK470" s="3005"/>
      <c r="AL470" s="3005"/>
      <c r="AM470" s="3005"/>
      <c r="AN470" s="3005"/>
      <c r="AO470" s="3005"/>
      <c r="AP470" s="3005"/>
      <c r="AQ470" s="3005"/>
      <c r="AR470" s="3005"/>
      <c r="AS470" s="3005"/>
      <c r="AT470" s="3005"/>
      <c r="AU470" s="3006"/>
      <c r="AW470" s="197"/>
      <c r="AX470" s="197"/>
    </row>
    <row r="471" spans="1:50" ht="15.75" customHeight="1" x14ac:dyDescent="0.15">
      <c r="A471" s="2"/>
      <c r="B471" s="371"/>
      <c r="C471" s="371"/>
      <c r="D471" s="371"/>
      <c r="E471" s="371"/>
      <c r="F471" s="371"/>
      <c r="G471" s="371"/>
      <c r="H471" s="371"/>
      <c r="I471" s="371"/>
      <c r="J471" s="371"/>
      <c r="K471" s="371"/>
      <c r="L471" s="371"/>
      <c r="M471" s="371"/>
      <c r="N471" s="371"/>
      <c r="O471" s="371"/>
      <c r="P471" s="371"/>
      <c r="Q471" s="371"/>
      <c r="R471" s="371"/>
      <c r="S471" s="371"/>
      <c r="T471" s="371"/>
      <c r="U471" s="371"/>
      <c r="V471" s="371"/>
      <c r="W471" s="371"/>
      <c r="X471" s="371"/>
      <c r="Y471" s="3"/>
      <c r="Z471" s="3004"/>
      <c r="AA471" s="3005"/>
      <c r="AB471" s="3005"/>
      <c r="AC471" s="3005"/>
      <c r="AD471" s="3005"/>
      <c r="AE471" s="3005"/>
      <c r="AF471" s="3005"/>
      <c r="AG471" s="3005"/>
      <c r="AH471" s="3005"/>
      <c r="AI471" s="3005"/>
      <c r="AJ471" s="3005"/>
      <c r="AK471" s="3005"/>
      <c r="AL471" s="3005"/>
      <c r="AM471" s="3005"/>
      <c r="AN471" s="3005"/>
      <c r="AO471" s="3005"/>
      <c r="AP471" s="3005"/>
      <c r="AQ471" s="3005"/>
      <c r="AR471" s="3005"/>
      <c r="AS471" s="3005"/>
      <c r="AT471" s="3005"/>
      <c r="AU471" s="3006"/>
      <c r="AW471" s="197"/>
      <c r="AX471" s="197"/>
    </row>
    <row r="472" spans="1:50" ht="15.75" customHeight="1" x14ac:dyDescent="0.15">
      <c r="A472" s="2"/>
      <c r="B472" s="371"/>
      <c r="C472" s="371"/>
      <c r="D472" s="371"/>
      <c r="E472" s="371"/>
      <c r="F472" s="371"/>
      <c r="G472" s="371"/>
      <c r="H472" s="371"/>
      <c r="I472" s="371"/>
      <c r="J472" s="371"/>
      <c r="K472" s="371"/>
      <c r="L472" s="371"/>
      <c r="M472" s="371"/>
      <c r="N472" s="371"/>
      <c r="O472" s="371"/>
      <c r="P472" s="371"/>
      <c r="Q472" s="371"/>
      <c r="R472" s="371"/>
      <c r="S472" s="371"/>
      <c r="T472" s="371"/>
      <c r="U472" s="371"/>
      <c r="V472" s="371"/>
      <c r="W472" s="371"/>
      <c r="X472" s="371"/>
      <c r="Y472" s="3"/>
      <c r="Z472" s="3004"/>
      <c r="AA472" s="3005"/>
      <c r="AB472" s="3005"/>
      <c r="AC472" s="3005"/>
      <c r="AD472" s="3005"/>
      <c r="AE472" s="3005"/>
      <c r="AF472" s="3005"/>
      <c r="AG472" s="3005"/>
      <c r="AH472" s="3005"/>
      <c r="AI472" s="3005"/>
      <c r="AJ472" s="3005"/>
      <c r="AK472" s="3005"/>
      <c r="AL472" s="3005"/>
      <c r="AM472" s="3005"/>
      <c r="AN472" s="3005"/>
      <c r="AO472" s="3005"/>
      <c r="AP472" s="3005"/>
      <c r="AQ472" s="3005"/>
      <c r="AR472" s="3005"/>
      <c r="AS472" s="3005"/>
      <c r="AT472" s="3005"/>
      <c r="AU472" s="3006"/>
      <c r="AW472" s="197"/>
      <c r="AX472" s="197"/>
    </row>
    <row r="473" spans="1:50" ht="15.75" customHeight="1" x14ac:dyDescent="0.15">
      <c r="A473" s="6"/>
      <c r="B473" s="4"/>
      <c r="C473" s="4"/>
      <c r="D473" s="4"/>
      <c r="E473" s="4"/>
      <c r="F473" s="4"/>
      <c r="G473" s="4"/>
      <c r="H473" s="4"/>
      <c r="I473" s="4"/>
      <c r="J473" s="4"/>
      <c r="K473" s="4"/>
      <c r="L473" s="4"/>
      <c r="M473" s="4"/>
      <c r="N473" s="4"/>
      <c r="O473" s="4"/>
      <c r="P473" s="4"/>
      <c r="Q473" s="4"/>
      <c r="R473" s="4"/>
      <c r="S473" s="4"/>
      <c r="T473" s="4"/>
      <c r="U473" s="4"/>
      <c r="V473" s="4"/>
      <c r="W473" s="4"/>
      <c r="X473" s="4"/>
      <c r="Y473" s="5"/>
      <c r="Z473" s="3007"/>
      <c r="AA473" s="3008"/>
      <c r="AB473" s="3008"/>
      <c r="AC473" s="3008"/>
      <c r="AD473" s="3008"/>
      <c r="AE473" s="3008"/>
      <c r="AF473" s="3008"/>
      <c r="AG473" s="3008"/>
      <c r="AH473" s="3008"/>
      <c r="AI473" s="3008"/>
      <c r="AJ473" s="3008"/>
      <c r="AK473" s="3008"/>
      <c r="AL473" s="3008"/>
      <c r="AM473" s="3008"/>
      <c r="AN473" s="3008"/>
      <c r="AO473" s="3008"/>
      <c r="AP473" s="3008"/>
      <c r="AQ473" s="3008"/>
      <c r="AR473" s="3008"/>
      <c r="AS473" s="3008"/>
      <c r="AT473" s="3008"/>
      <c r="AU473" s="3009"/>
      <c r="AW473" s="197"/>
      <c r="AX473" s="197"/>
    </row>
    <row r="474" spans="1:50" ht="12.75" customHeight="1" x14ac:dyDescent="0.15">
      <c r="AW474" s="197"/>
      <c r="AX474" s="197"/>
    </row>
    <row r="475" spans="1:50" ht="12.75" customHeight="1" x14ac:dyDescent="0.15">
      <c r="A475" s="3027" t="s">
        <v>150</v>
      </c>
      <c r="B475" s="3027"/>
      <c r="C475" s="3027"/>
      <c r="D475" s="3027"/>
      <c r="AU475" s="337"/>
      <c r="AW475" s="197"/>
      <c r="AX475" s="197"/>
    </row>
    <row r="476" spans="1:50" ht="12.75" customHeight="1" x14ac:dyDescent="0.15">
      <c r="B476" s="338" t="s">
        <v>151</v>
      </c>
      <c r="C476" s="2993" t="s">
        <v>169</v>
      </c>
      <c r="D476" s="2993"/>
      <c r="E476" s="2993"/>
      <c r="F476" s="2993"/>
      <c r="G476" s="2993"/>
      <c r="H476" s="2993"/>
      <c r="I476" s="2993"/>
      <c r="J476" s="2993"/>
      <c r="K476" s="2993"/>
      <c r="L476" s="2993"/>
      <c r="M476" s="2993"/>
      <c r="N476" s="2993"/>
      <c r="O476" s="2993"/>
      <c r="P476" s="2993"/>
      <c r="Q476" s="2993"/>
      <c r="R476" s="2993"/>
      <c r="S476" s="2993"/>
      <c r="T476" s="2993"/>
      <c r="U476" s="2993"/>
      <c r="V476" s="2993"/>
      <c r="W476" s="2993"/>
      <c r="X476" s="2993"/>
      <c r="Y476" s="2993"/>
      <c r="Z476" s="2993"/>
      <c r="AA476" s="2993"/>
      <c r="AB476" s="2993"/>
      <c r="AC476" s="2993"/>
      <c r="AD476" s="2993"/>
      <c r="AE476" s="2993"/>
      <c r="AF476" s="2993"/>
      <c r="AG476" s="2993"/>
      <c r="AH476" s="2993"/>
      <c r="AI476" s="2993"/>
      <c r="AJ476" s="2993"/>
      <c r="AK476" s="2993"/>
      <c r="AL476" s="2993"/>
      <c r="AM476" s="2993"/>
      <c r="AN476" s="2993"/>
      <c r="AO476" s="2993"/>
      <c r="AP476" s="2993"/>
      <c r="AQ476" s="2993"/>
      <c r="AR476" s="2993"/>
      <c r="AS476" s="2993"/>
      <c r="AT476" s="2993"/>
      <c r="AU476" s="2993"/>
      <c r="AW476" s="197"/>
      <c r="AX476" s="197"/>
    </row>
    <row r="477" spans="1:50" ht="12.75" customHeight="1" x14ac:dyDescent="0.15">
      <c r="B477" s="338"/>
      <c r="C477" s="2994" t="s">
        <v>170</v>
      </c>
      <c r="D477" s="2994"/>
      <c r="E477" s="2994"/>
      <c r="F477" s="2994"/>
      <c r="G477" s="2994"/>
      <c r="H477" s="2994"/>
      <c r="I477" s="2994"/>
      <c r="J477" s="2994"/>
      <c r="K477" s="2994"/>
      <c r="L477" s="2994"/>
      <c r="M477" s="2994"/>
      <c r="N477" s="2994"/>
      <c r="O477" s="2994"/>
      <c r="P477" s="2994"/>
      <c r="Q477" s="2994"/>
      <c r="R477" s="2994"/>
      <c r="S477" s="2994"/>
      <c r="T477" s="2994"/>
      <c r="U477" s="2994"/>
      <c r="V477" s="2994"/>
      <c r="W477" s="2994"/>
      <c r="X477" s="2994"/>
      <c r="Y477" s="2994"/>
      <c r="Z477" s="2994"/>
      <c r="AA477" s="2994"/>
      <c r="AB477" s="2994"/>
      <c r="AC477" s="2994"/>
      <c r="AD477" s="2994"/>
      <c r="AE477" s="2994"/>
      <c r="AF477" s="2994"/>
      <c r="AG477" s="2994"/>
      <c r="AH477" s="2994"/>
      <c r="AI477" s="2994"/>
      <c r="AJ477" s="2994"/>
      <c r="AK477" s="2994"/>
      <c r="AL477" s="2994"/>
      <c r="AM477" s="2994"/>
      <c r="AN477" s="2994"/>
      <c r="AO477" s="2994"/>
      <c r="AP477" s="2994"/>
      <c r="AQ477" s="2994"/>
      <c r="AR477" s="2994"/>
      <c r="AS477" s="2994"/>
      <c r="AT477" s="2994"/>
      <c r="AU477" s="2994"/>
      <c r="AW477" s="197"/>
      <c r="AX477" s="197"/>
    </row>
    <row r="478" spans="1:50" ht="12.75" customHeight="1" x14ac:dyDescent="0.15">
      <c r="B478" s="338"/>
      <c r="C478" s="2994" t="s">
        <v>171</v>
      </c>
      <c r="D478" s="2994"/>
      <c r="E478" s="2994"/>
      <c r="F478" s="2994"/>
      <c r="G478" s="2994"/>
      <c r="H478" s="2994"/>
      <c r="I478" s="2994"/>
      <c r="J478" s="2994"/>
      <c r="K478" s="2994"/>
      <c r="L478" s="2994"/>
      <c r="M478" s="2994"/>
      <c r="N478" s="2994"/>
      <c r="O478" s="2994"/>
      <c r="P478" s="2994"/>
      <c r="Q478" s="2994"/>
      <c r="R478" s="2994"/>
      <c r="S478" s="2994"/>
      <c r="T478" s="2994"/>
      <c r="U478" s="2994"/>
      <c r="V478" s="2994"/>
      <c r="W478" s="2994"/>
      <c r="X478" s="2994"/>
      <c r="Y478" s="2994"/>
      <c r="Z478" s="2994"/>
      <c r="AA478" s="2994"/>
      <c r="AB478" s="2994"/>
      <c r="AC478" s="2994"/>
      <c r="AD478" s="2994"/>
      <c r="AE478" s="2994"/>
      <c r="AF478" s="2994"/>
      <c r="AG478" s="2994"/>
      <c r="AH478" s="2994"/>
      <c r="AI478" s="2994"/>
      <c r="AJ478" s="2994"/>
      <c r="AK478" s="2994"/>
      <c r="AL478" s="2994"/>
      <c r="AM478" s="2994"/>
      <c r="AN478" s="2994"/>
      <c r="AO478" s="2994"/>
      <c r="AP478" s="2994"/>
      <c r="AQ478" s="2994"/>
      <c r="AR478" s="2994"/>
      <c r="AS478" s="2994"/>
      <c r="AT478" s="2994"/>
      <c r="AU478" s="2994"/>
      <c r="AW478" s="197"/>
      <c r="AX478" s="197"/>
    </row>
    <row r="479" spans="1:50" ht="12.75" customHeight="1" x14ac:dyDescent="0.15">
      <c r="B479" s="338" t="s">
        <v>158</v>
      </c>
      <c r="C479" s="2994" t="s">
        <v>159</v>
      </c>
      <c r="D479" s="2994"/>
      <c r="E479" s="2994"/>
      <c r="F479" s="2994"/>
      <c r="G479" s="2994"/>
      <c r="H479" s="2994"/>
      <c r="I479" s="2994"/>
      <c r="J479" s="2994"/>
      <c r="K479" s="2994"/>
      <c r="L479" s="2994"/>
      <c r="M479" s="2994"/>
      <c r="N479" s="2994"/>
      <c r="O479" s="2994"/>
      <c r="P479" s="2994"/>
      <c r="Q479" s="2994"/>
      <c r="R479" s="2994"/>
      <c r="S479" s="2994"/>
      <c r="T479" s="2994"/>
      <c r="U479" s="2994"/>
      <c r="V479" s="2994"/>
      <c r="W479" s="2994"/>
      <c r="X479" s="2994"/>
      <c r="Y479" s="2994"/>
      <c r="Z479" s="2994"/>
      <c r="AA479" s="2994"/>
      <c r="AB479" s="2994"/>
      <c r="AC479" s="2994"/>
      <c r="AD479" s="2994"/>
      <c r="AE479" s="2994"/>
      <c r="AF479" s="2994"/>
      <c r="AG479" s="2994"/>
      <c r="AH479" s="2994"/>
      <c r="AI479" s="2994"/>
      <c r="AJ479" s="2994"/>
      <c r="AK479" s="2994"/>
      <c r="AL479" s="2994"/>
      <c r="AM479" s="2994"/>
      <c r="AN479" s="2994"/>
      <c r="AO479" s="2994"/>
      <c r="AP479" s="2994"/>
      <c r="AQ479" s="2994"/>
      <c r="AR479" s="2994"/>
      <c r="AS479" s="2994"/>
      <c r="AT479" s="2994"/>
      <c r="AU479" s="2994"/>
      <c r="AW479" s="197"/>
      <c r="AX479" s="197"/>
    </row>
    <row r="480" spans="1:50" ht="12.75" customHeight="1" x14ac:dyDescent="0.15">
      <c r="B480" s="338" t="s">
        <v>152</v>
      </c>
      <c r="C480" s="2994" t="s">
        <v>0</v>
      </c>
      <c r="D480" s="2994"/>
      <c r="E480" s="2994"/>
      <c r="F480" s="2994"/>
      <c r="G480" s="2994"/>
      <c r="H480" s="2994"/>
      <c r="I480" s="2994"/>
      <c r="J480" s="2994"/>
      <c r="K480" s="2994"/>
      <c r="L480" s="2994"/>
      <c r="M480" s="2994"/>
      <c r="N480" s="2994"/>
      <c r="O480" s="2994"/>
      <c r="P480" s="2994"/>
      <c r="Q480" s="2994"/>
      <c r="R480" s="2994"/>
      <c r="S480" s="2994"/>
      <c r="T480" s="2994"/>
      <c r="U480" s="2994"/>
      <c r="V480" s="2994"/>
      <c r="W480" s="2994"/>
      <c r="X480" s="2994"/>
      <c r="Y480" s="2994"/>
      <c r="Z480" s="2994"/>
      <c r="AA480" s="2994"/>
      <c r="AB480" s="2994"/>
      <c r="AC480" s="2994"/>
      <c r="AD480" s="2994"/>
      <c r="AE480" s="2994"/>
      <c r="AF480" s="2994"/>
      <c r="AG480" s="2994"/>
      <c r="AH480" s="2994"/>
      <c r="AI480" s="2994"/>
      <c r="AJ480" s="2994"/>
      <c r="AK480" s="2994"/>
      <c r="AL480" s="2994"/>
      <c r="AM480" s="2994"/>
      <c r="AN480" s="2994"/>
      <c r="AO480" s="2994"/>
      <c r="AP480" s="2994"/>
      <c r="AQ480" s="2994"/>
      <c r="AR480" s="2994"/>
      <c r="AS480" s="2994"/>
      <c r="AT480" s="2994"/>
      <c r="AU480" s="2994"/>
      <c r="AW480" s="197"/>
      <c r="AX480" s="197"/>
    </row>
    <row r="481" spans="1:53" ht="12.75" customHeight="1" x14ac:dyDescent="0.15">
      <c r="B481" s="338" t="s">
        <v>160</v>
      </c>
      <c r="C481" s="2994" t="s">
        <v>172</v>
      </c>
      <c r="D481" s="2994"/>
      <c r="E481" s="2994"/>
      <c r="F481" s="2994"/>
      <c r="G481" s="2994"/>
      <c r="H481" s="2994"/>
      <c r="I481" s="2994"/>
      <c r="J481" s="2994"/>
      <c r="K481" s="2994"/>
      <c r="L481" s="2994"/>
      <c r="M481" s="2994"/>
      <c r="N481" s="2994"/>
      <c r="O481" s="2994"/>
      <c r="P481" s="2994"/>
      <c r="Q481" s="2994"/>
      <c r="R481" s="2994"/>
      <c r="S481" s="2994"/>
      <c r="T481" s="2994"/>
      <c r="U481" s="2994"/>
      <c r="V481" s="2994"/>
      <c r="W481" s="2994"/>
      <c r="X481" s="2994"/>
      <c r="Y481" s="2994"/>
      <c r="Z481" s="2994"/>
      <c r="AA481" s="2994"/>
      <c r="AB481" s="2994"/>
      <c r="AC481" s="2994"/>
      <c r="AD481" s="2994"/>
      <c r="AE481" s="2994"/>
      <c r="AF481" s="2994"/>
      <c r="AG481" s="2994"/>
      <c r="AH481" s="2994"/>
      <c r="AI481" s="2994"/>
      <c r="AJ481" s="2994"/>
      <c r="AK481" s="2994"/>
      <c r="AL481" s="2994"/>
      <c r="AM481" s="2994"/>
      <c r="AN481" s="2994"/>
      <c r="AO481" s="2994"/>
      <c r="AP481" s="2994"/>
      <c r="AQ481" s="2994"/>
      <c r="AR481" s="2994"/>
      <c r="AS481" s="2994"/>
      <c r="AT481" s="2994"/>
      <c r="AU481" s="2994"/>
      <c r="AW481" s="197"/>
      <c r="AX481" s="197"/>
    </row>
    <row r="482" spans="1:53" ht="12.75" customHeight="1" x14ac:dyDescent="0.15">
      <c r="C482" s="2994" t="s">
        <v>173</v>
      </c>
      <c r="D482" s="2994"/>
      <c r="E482" s="2994"/>
      <c r="F482" s="2994"/>
      <c r="G482" s="2994"/>
      <c r="H482" s="2994"/>
      <c r="I482" s="2994"/>
      <c r="J482" s="2994"/>
      <c r="K482" s="2994"/>
      <c r="L482" s="2994"/>
      <c r="M482" s="2994"/>
      <c r="N482" s="2994"/>
      <c r="O482" s="2994"/>
      <c r="P482" s="2994"/>
      <c r="Q482" s="2994"/>
      <c r="R482" s="2994"/>
      <c r="S482" s="2994"/>
      <c r="T482" s="2994"/>
      <c r="U482" s="2994"/>
      <c r="V482" s="2994"/>
      <c r="W482" s="2994"/>
      <c r="X482" s="2994"/>
      <c r="Y482" s="2994"/>
      <c r="Z482" s="2994"/>
      <c r="AA482" s="2994"/>
      <c r="AB482" s="2994"/>
      <c r="AC482" s="2994"/>
      <c r="AD482" s="2994"/>
      <c r="AE482" s="2994"/>
      <c r="AF482" s="2994"/>
      <c r="AG482" s="2994"/>
      <c r="AH482" s="2994"/>
      <c r="AI482" s="2994"/>
      <c r="AJ482" s="2994"/>
      <c r="AK482" s="2994"/>
      <c r="AL482" s="2994"/>
      <c r="AM482" s="2994"/>
      <c r="AN482" s="2994"/>
      <c r="AO482" s="2994"/>
      <c r="AP482" s="2994"/>
      <c r="AQ482" s="2994"/>
      <c r="AR482" s="2994"/>
      <c r="AS482" s="2994"/>
      <c r="AT482" s="2994"/>
      <c r="AU482" s="2994"/>
      <c r="AW482" s="197"/>
      <c r="AX482" s="197"/>
    </row>
    <row r="483" spans="1:53" ht="12.75" customHeight="1" x14ac:dyDescent="0.15">
      <c r="B483" s="338" t="s">
        <v>1</v>
      </c>
      <c r="C483" s="2994" t="s">
        <v>2</v>
      </c>
      <c r="D483" s="2994"/>
      <c r="E483" s="2994"/>
      <c r="F483" s="2994"/>
      <c r="G483" s="2994"/>
      <c r="H483" s="2994"/>
      <c r="I483" s="2994"/>
      <c r="J483" s="2994"/>
      <c r="K483" s="2994"/>
      <c r="L483" s="2994"/>
      <c r="M483" s="2994"/>
      <c r="N483" s="2994"/>
      <c r="O483" s="2994"/>
      <c r="P483" s="2994"/>
      <c r="Q483" s="2994"/>
      <c r="R483" s="2994"/>
      <c r="S483" s="2994"/>
      <c r="T483" s="2994"/>
      <c r="U483" s="2994"/>
      <c r="V483" s="2994"/>
      <c r="W483" s="2994"/>
      <c r="X483" s="2994"/>
      <c r="Y483" s="2994"/>
      <c r="Z483" s="2994"/>
      <c r="AA483" s="2994"/>
      <c r="AB483" s="2994"/>
      <c r="AC483" s="2994"/>
      <c r="AD483" s="2994"/>
      <c r="AE483" s="2994"/>
      <c r="AF483" s="2994"/>
      <c r="AG483" s="2994"/>
      <c r="AH483" s="2994"/>
      <c r="AI483" s="2994"/>
      <c r="AJ483" s="2994"/>
      <c r="AK483" s="2994"/>
      <c r="AL483" s="2994"/>
      <c r="AM483" s="2994"/>
      <c r="AN483" s="2994"/>
      <c r="AO483" s="2994"/>
      <c r="AP483" s="2994"/>
      <c r="AQ483" s="2994"/>
      <c r="AR483" s="2994"/>
      <c r="AS483" s="2994"/>
      <c r="AT483" s="2994"/>
      <c r="AU483" s="2994"/>
      <c r="AW483" s="197"/>
      <c r="AX483" s="197"/>
    </row>
    <row r="484" spans="1:53" ht="12.75" customHeight="1" x14ac:dyDescent="0.15">
      <c r="AG484" s="337"/>
      <c r="AH484" s="337"/>
      <c r="AI484" s="337"/>
      <c r="AJ484" s="337"/>
      <c r="AK484" s="337"/>
      <c r="AL484" s="337"/>
      <c r="AM484" s="337"/>
      <c r="AN484" s="337"/>
      <c r="AO484" s="337"/>
      <c r="AP484" s="337"/>
      <c r="AQ484" s="337"/>
      <c r="AR484" s="337"/>
      <c r="AS484" s="337"/>
      <c r="AT484" s="337"/>
      <c r="AW484" s="197"/>
      <c r="AX484" s="197"/>
    </row>
    <row r="485" spans="1:53" ht="12.75" customHeight="1" x14ac:dyDescent="0.15">
      <c r="AW485" s="197"/>
      <c r="AX485" s="197"/>
    </row>
    <row r="486" spans="1:53" ht="12.75" customHeight="1" x14ac:dyDescent="0.15">
      <c r="A486" s="336" t="s">
        <v>18</v>
      </c>
      <c r="B486" s="336" t="s">
        <v>153</v>
      </c>
      <c r="C486" s="336">
        <v>2</v>
      </c>
      <c r="D486" s="336" t="s">
        <v>5</v>
      </c>
      <c r="E486" s="336" t="s">
        <v>6</v>
      </c>
      <c r="F486" s="336"/>
      <c r="G486" s="336" t="s">
        <v>25</v>
      </c>
      <c r="H486" s="336" t="s">
        <v>175</v>
      </c>
      <c r="I486" s="336">
        <v>4</v>
      </c>
      <c r="J486" s="336" t="s">
        <v>22</v>
      </c>
      <c r="AO486" s="423" t="str">
        <f>$AO$7</f>
        <v>Kyoto City（R7.7） ver.120</v>
      </c>
      <c r="AP486" s="387" t="str">
        <f>IF('1_入力シート【基本情報】'!$AB$7="","",'1_入力シート【基本情報】'!$AB$7)</f>
        <v/>
      </c>
      <c r="AQ486" s="386" t="str">
        <f>IF('1_入力シート【基本情報】'!$AK$7="","",'1_入力シート【基本情報】'!$AK$7)</f>
        <v/>
      </c>
      <c r="AR486" s="2990" t="str">
        <f>IF('1_入力シート【基本情報】'!$AT$7="","",TEXT('1_入力シート【基本情報】'!$AT$7,"0000"))</f>
        <v/>
      </c>
      <c r="AS486" s="2991"/>
      <c r="AT486" s="2991"/>
      <c r="AU486" s="2992"/>
      <c r="AW486" s="197"/>
      <c r="AX486" s="197"/>
    </row>
    <row r="487" spans="1:53" ht="12.75" customHeight="1" x14ac:dyDescent="0.15">
      <c r="U487" s="3049" t="s">
        <v>174</v>
      </c>
      <c r="V487" s="3049"/>
      <c r="W487" s="3049"/>
      <c r="X487" s="3049"/>
      <c r="Y487" s="3049"/>
      <c r="Z487" s="3049"/>
      <c r="AW487" s="197"/>
      <c r="AX487" s="197"/>
    </row>
    <row r="488" spans="1:53" ht="12.75" customHeight="1" x14ac:dyDescent="0.15">
      <c r="AW488" s="197"/>
      <c r="AX488" s="197"/>
    </row>
    <row r="489" spans="1:53" ht="15.75" customHeight="1" x14ac:dyDescent="0.15">
      <c r="A489" s="3018" t="s">
        <v>154</v>
      </c>
      <c r="B489" s="3019"/>
      <c r="C489" s="3020"/>
      <c r="D489" s="3037" t="s">
        <v>155</v>
      </c>
      <c r="E489" s="3038"/>
      <c r="F489" s="3038"/>
      <c r="G489" s="3038"/>
      <c r="H489" s="3038"/>
      <c r="I489" s="3038"/>
      <c r="J489" s="3039"/>
      <c r="K489" s="340"/>
      <c r="L489" s="341"/>
      <c r="M489" s="341"/>
      <c r="N489" s="341"/>
      <c r="O489" s="341"/>
      <c r="P489" s="341"/>
      <c r="Q489" s="341"/>
      <c r="R489" s="341"/>
      <c r="S489" s="342" t="s">
        <v>7</v>
      </c>
      <c r="T489" s="342" t="s">
        <v>8</v>
      </c>
      <c r="U489" s="342" t="s">
        <v>9</v>
      </c>
      <c r="V489" s="342" t="s">
        <v>156</v>
      </c>
      <c r="W489" s="342"/>
      <c r="X489" s="342"/>
      <c r="Y489" s="342"/>
      <c r="Z489" s="342"/>
      <c r="AA489" s="342"/>
      <c r="AB489" s="342"/>
      <c r="AC489" s="342"/>
      <c r="AD489" s="342"/>
      <c r="AE489" s="342"/>
      <c r="AF489" s="342"/>
      <c r="AG489" s="342"/>
      <c r="AH489" s="342"/>
      <c r="AI489" s="343"/>
      <c r="AJ489" s="344"/>
      <c r="AK489" s="3038" t="s">
        <v>33</v>
      </c>
      <c r="AL489" s="3038"/>
      <c r="AM489" s="3038"/>
      <c r="AN489" s="3038"/>
      <c r="AO489" s="3038"/>
      <c r="AP489" s="3038"/>
      <c r="AQ489" s="3038"/>
      <c r="AR489" s="3038"/>
      <c r="AS489" s="3038"/>
      <c r="AT489" s="3038"/>
      <c r="AU489" s="345"/>
      <c r="AW489" s="197"/>
      <c r="AX489" s="197"/>
    </row>
    <row r="490" spans="1:53" ht="15.75" customHeight="1" thickBot="1" x14ac:dyDescent="0.2">
      <c r="A490" s="3031"/>
      <c r="B490" s="3032"/>
      <c r="C490" s="3033"/>
      <c r="D490" s="3018" t="str">
        <f>IFERROR(VLOOKUP(17,'1_入力シート【基本情報】'!$DU$319:$DX$534,3,FALSE),"")</f>
        <v/>
      </c>
      <c r="E490" s="3019"/>
      <c r="F490" s="3019"/>
      <c r="G490" s="3019"/>
      <c r="H490" s="3019"/>
      <c r="I490" s="3019"/>
      <c r="J490" s="3020"/>
      <c r="K490" s="3040" t="str">
        <f>IFERROR(VLOOKUP(17,'1_入力シート【基本情報】'!$DU$319:$DX$534,4,FALSE),"")</f>
        <v/>
      </c>
      <c r="L490" s="3041"/>
      <c r="M490" s="3041"/>
      <c r="N490" s="3041"/>
      <c r="O490" s="3041"/>
      <c r="P490" s="3041"/>
      <c r="Q490" s="3041"/>
      <c r="R490" s="3041"/>
      <c r="S490" s="3041"/>
      <c r="T490" s="3041"/>
      <c r="U490" s="3041"/>
      <c r="V490" s="3041"/>
      <c r="W490" s="3041"/>
      <c r="X490" s="3041"/>
      <c r="Y490" s="3041"/>
      <c r="Z490" s="3041"/>
      <c r="AA490" s="3041"/>
      <c r="AB490" s="3041"/>
      <c r="AC490" s="3041"/>
      <c r="AD490" s="3041"/>
      <c r="AE490" s="3041"/>
      <c r="AF490" s="3041"/>
      <c r="AG490" s="3041"/>
      <c r="AH490" s="3041"/>
      <c r="AI490" s="3042"/>
      <c r="AJ490" s="367"/>
      <c r="AK490" s="367"/>
      <c r="AL490" s="367"/>
      <c r="AM490" s="367"/>
      <c r="AN490" s="367"/>
      <c r="AO490" s="367"/>
      <c r="AP490" s="367"/>
      <c r="AQ490" s="367"/>
      <c r="AR490" s="367"/>
      <c r="AS490" s="367"/>
      <c r="AT490" s="367"/>
      <c r="AU490" s="368"/>
      <c r="AW490" s="197"/>
      <c r="AX490" s="197"/>
    </row>
    <row r="491" spans="1:53" ht="15.75" customHeight="1" thickBot="1" x14ac:dyDescent="0.2">
      <c r="A491" s="3031"/>
      <c r="B491" s="3032"/>
      <c r="C491" s="3033"/>
      <c r="D491" s="3021"/>
      <c r="E491" s="3022"/>
      <c r="F491" s="3022"/>
      <c r="G491" s="3022"/>
      <c r="H491" s="3022"/>
      <c r="I491" s="3022"/>
      <c r="J491" s="3023"/>
      <c r="K491" s="3043"/>
      <c r="L491" s="3044"/>
      <c r="M491" s="3044"/>
      <c r="N491" s="3044"/>
      <c r="O491" s="3044"/>
      <c r="P491" s="3044"/>
      <c r="Q491" s="3044"/>
      <c r="R491" s="3044"/>
      <c r="S491" s="3044"/>
      <c r="T491" s="3044"/>
      <c r="U491" s="3044"/>
      <c r="V491" s="3044"/>
      <c r="W491" s="3044"/>
      <c r="X491" s="3044"/>
      <c r="Y491" s="3044"/>
      <c r="Z491" s="3044"/>
      <c r="AA491" s="3044"/>
      <c r="AB491" s="3044"/>
      <c r="AC491" s="3044"/>
      <c r="AD491" s="3044"/>
      <c r="AE491" s="3044"/>
      <c r="AF491" s="3044"/>
      <c r="AG491" s="3044"/>
      <c r="AH491" s="3044"/>
      <c r="AI491" s="3045"/>
      <c r="AJ491" s="367"/>
      <c r="AK491" s="367" t="str">
        <f>IF(D490&lt;&gt;"","☑","☐")</f>
        <v>☐</v>
      </c>
      <c r="AL491" s="367" t="s">
        <v>14</v>
      </c>
      <c r="AM491" s="367" t="s">
        <v>21</v>
      </c>
      <c r="AN491" s="367" t="s">
        <v>15</v>
      </c>
      <c r="AO491" s="367"/>
      <c r="AP491" s="426" t="s">
        <v>179</v>
      </c>
      <c r="AQ491" s="367" t="s">
        <v>27</v>
      </c>
      <c r="AR491" s="367" t="s">
        <v>23</v>
      </c>
      <c r="AS491" s="367" t="s">
        <v>13</v>
      </c>
      <c r="AT491" s="367"/>
      <c r="AU491" s="368"/>
      <c r="AV491" s="346"/>
      <c r="AW491" s="197"/>
      <c r="AX491" s="197"/>
      <c r="BA491" s="430" t="b">
        <f>AP491="☑"</f>
        <v>0</v>
      </c>
    </row>
    <row r="492" spans="1:53" ht="15.75" customHeight="1" x14ac:dyDescent="0.15">
      <c r="A492" s="3034"/>
      <c r="B492" s="3035"/>
      <c r="C492" s="3036"/>
      <c r="D492" s="3024"/>
      <c r="E492" s="3025"/>
      <c r="F492" s="3025"/>
      <c r="G492" s="3025"/>
      <c r="H492" s="3025"/>
      <c r="I492" s="3025"/>
      <c r="J492" s="3026"/>
      <c r="K492" s="3046"/>
      <c r="L492" s="3047"/>
      <c r="M492" s="3047"/>
      <c r="N492" s="3047"/>
      <c r="O492" s="3047"/>
      <c r="P492" s="3047"/>
      <c r="Q492" s="3047"/>
      <c r="R492" s="3047"/>
      <c r="S492" s="3047"/>
      <c r="T492" s="3047"/>
      <c r="U492" s="3047"/>
      <c r="V492" s="3047"/>
      <c r="W492" s="3047"/>
      <c r="X492" s="3047"/>
      <c r="Y492" s="3047"/>
      <c r="Z492" s="3047"/>
      <c r="AA492" s="3047"/>
      <c r="AB492" s="3047"/>
      <c r="AC492" s="3047"/>
      <c r="AD492" s="3047"/>
      <c r="AE492" s="3047"/>
      <c r="AF492" s="3047"/>
      <c r="AG492" s="3047"/>
      <c r="AH492" s="3047"/>
      <c r="AI492" s="3048"/>
      <c r="AJ492" s="369"/>
      <c r="AK492" s="369"/>
      <c r="AL492" s="369"/>
      <c r="AM492" s="369"/>
      <c r="AN492" s="369"/>
      <c r="AO492" s="369"/>
      <c r="AP492" s="369"/>
      <c r="AQ492" s="369"/>
      <c r="AR492" s="369"/>
      <c r="AS492" s="369"/>
      <c r="AT492" s="369"/>
      <c r="AU492" s="370"/>
      <c r="AW492" s="197"/>
      <c r="AX492" s="197"/>
    </row>
    <row r="493" spans="1:53" ht="15.75" customHeight="1" x14ac:dyDescent="0.15">
      <c r="A493" s="2"/>
      <c r="B493" s="335"/>
      <c r="C493" s="335"/>
      <c r="D493" s="335"/>
      <c r="E493" s="335"/>
      <c r="F493" s="335"/>
      <c r="G493" s="335"/>
      <c r="H493" s="335"/>
      <c r="I493" s="335"/>
      <c r="J493" s="335"/>
      <c r="K493" s="335"/>
      <c r="L493" s="335"/>
      <c r="M493" s="335"/>
      <c r="N493" s="335"/>
      <c r="O493" s="335"/>
      <c r="P493" s="335"/>
      <c r="Q493" s="335"/>
      <c r="R493" s="335"/>
      <c r="S493" s="335"/>
      <c r="T493" s="335"/>
      <c r="U493" s="335"/>
      <c r="V493" s="335"/>
      <c r="W493" s="335"/>
      <c r="X493" s="335"/>
      <c r="Y493" s="3"/>
      <c r="Z493" s="47"/>
      <c r="AA493" s="48" t="s">
        <v>11</v>
      </c>
      <c r="AB493" s="48" t="s">
        <v>10</v>
      </c>
      <c r="AC493" s="48" t="s">
        <v>16</v>
      </c>
      <c r="AD493" s="48" t="s">
        <v>9</v>
      </c>
      <c r="AE493" s="48"/>
      <c r="AF493" s="48"/>
      <c r="AG493" s="48"/>
      <c r="AH493" s="48"/>
      <c r="AI493" s="48"/>
      <c r="AJ493" s="49"/>
      <c r="AK493" s="49"/>
      <c r="AL493" s="49"/>
      <c r="AM493" s="49"/>
      <c r="AN493" s="49"/>
      <c r="AO493" s="49"/>
      <c r="AP493" s="49"/>
      <c r="AQ493" s="49"/>
      <c r="AR493" s="49"/>
      <c r="AS493" s="49"/>
      <c r="AT493" s="49"/>
      <c r="AU493" s="50"/>
      <c r="AW493" s="197"/>
      <c r="AX493" s="197"/>
    </row>
    <row r="494" spans="1:53" ht="15.75" customHeight="1" x14ac:dyDescent="0.15">
      <c r="A494" s="2"/>
      <c r="B494" s="335"/>
      <c r="C494" s="335"/>
      <c r="D494" s="335"/>
      <c r="E494" s="335"/>
      <c r="F494" s="335"/>
      <c r="G494" s="335"/>
      <c r="H494" s="335"/>
      <c r="I494" s="335"/>
      <c r="J494" s="335"/>
      <c r="K494" s="335"/>
      <c r="L494" s="335"/>
      <c r="M494" s="335"/>
      <c r="N494" s="335"/>
      <c r="O494" s="335"/>
      <c r="P494" s="335"/>
      <c r="Q494" s="335"/>
      <c r="R494" s="335"/>
      <c r="S494" s="335"/>
      <c r="T494" s="335"/>
      <c r="U494" s="335"/>
      <c r="V494" s="335"/>
      <c r="W494" s="335"/>
      <c r="X494" s="335"/>
      <c r="Y494" s="3"/>
      <c r="Z494" s="3010"/>
      <c r="AA494" s="3011"/>
      <c r="AB494" s="3011"/>
      <c r="AC494" s="3011"/>
      <c r="AD494" s="3011"/>
      <c r="AE494" s="3011"/>
      <c r="AF494" s="3011"/>
      <c r="AG494" s="3011"/>
      <c r="AH494" s="3011"/>
      <c r="AI494" s="3011"/>
      <c r="AJ494" s="3011"/>
      <c r="AK494" s="3011"/>
      <c r="AL494" s="3011"/>
      <c r="AM494" s="3011"/>
      <c r="AN494" s="3011"/>
      <c r="AO494" s="104"/>
      <c r="AP494" s="104"/>
      <c r="AQ494" s="104"/>
      <c r="AR494" s="104"/>
      <c r="AS494" s="104"/>
      <c r="AT494" s="104"/>
      <c r="AU494" s="105"/>
      <c r="AW494" s="197"/>
      <c r="AX494" s="197"/>
    </row>
    <row r="495" spans="1:53" ht="15.75" customHeight="1" x14ac:dyDescent="0.15">
      <c r="A495" s="2"/>
      <c r="B495" s="335"/>
      <c r="C495" s="335"/>
      <c r="D495" s="335"/>
      <c r="E495" s="335"/>
      <c r="F495" s="335"/>
      <c r="G495" s="335"/>
      <c r="H495" s="335"/>
      <c r="I495" s="335"/>
      <c r="J495" s="335"/>
      <c r="K495" s="335"/>
      <c r="L495" s="335"/>
      <c r="M495" s="335"/>
      <c r="N495" s="335"/>
      <c r="O495" s="335"/>
      <c r="P495" s="335"/>
      <c r="Q495" s="335"/>
      <c r="R495" s="335"/>
      <c r="S495" s="335"/>
      <c r="T495" s="335"/>
      <c r="U495" s="335"/>
      <c r="V495" s="335"/>
      <c r="W495" s="335"/>
      <c r="X495" s="335"/>
      <c r="Y495" s="3"/>
      <c r="Z495" s="2995" t="str">
        <f>IFERROR(VLOOKUP(17,'1_入力シート【基本情報】'!$DU$319:$DZ$534,5,FALSE),"")</f>
        <v/>
      </c>
      <c r="AA495" s="2996"/>
      <c r="AB495" s="2996"/>
      <c r="AC495" s="2996"/>
      <c r="AD495" s="2996"/>
      <c r="AE495" s="2996"/>
      <c r="AF495" s="2996"/>
      <c r="AG495" s="2996"/>
      <c r="AH495" s="2996"/>
      <c r="AI495" s="2996"/>
      <c r="AJ495" s="2996"/>
      <c r="AK495" s="2996"/>
      <c r="AL495" s="2996"/>
      <c r="AM495" s="2996"/>
      <c r="AN495" s="2996"/>
      <c r="AO495" s="2996"/>
      <c r="AP495" s="2996"/>
      <c r="AQ495" s="2996"/>
      <c r="AR495" s="2996"/>
      <c r="AS495" s="2996"/>
      <c r="AT495" s="2996"/>
      <c r="AU495" s="2997"/>
      <c r="AW495" s="197"/>
      <c r="AX495" s="197"/>
    </row>
    <row r="496" spans="1:53" ht="15.75" customHeight="1" x14ac:dyDescent="0.15">
      <c r="A496" s="2"/>
      <c r="B496" s="335"/>
      <c r="C496" s="335"/>
      <c r="D496" s="335"/>
      <c r="E496" s="335"/>
      <c r="F496" s="335"/>
      <c r="G496" s="335"/>
      <c r="H496" s="335"/>
      <c r="I496" s="335"/>
      <c r="J496" s="335"/>
      <c r="K496" s="335"/>
      <c r="L496" s="335"/>
      <c r="M496" s="335"/>
      <c r="N496" s="335"/>
      <c r="O496" s="335"/>
      <c r="P496" s="335"/>
      <c r="Q496" s="335"/>
      <c r="R496" s="335"/>
      <c r="S496" s="335"/>
      <c r="T496" s="335"/>
      <c r="U496" s="335"/>
      <c r="V496" s="335"/>
      <c r="W496" s="335"/>
      <c r="X496" s="335"/>
      <c r="Y496" s="3"/>
      <c r="Z496" s="2998"/>
      <c r="AA496" s="2999"/>
      <c r="AB496" s="2999"/>
      <c r="AC496" s="2999"/>
      <c r="AD496" s="2999"/>
      <c r="AE496" s="2999"/>
      <c r="AF496" s="2999"/>
      <c r="AG496" s="2999"/>
      <c r="AH496" s="2999"/>
      <c r="AI496" s="2999"/>
      <c r="AJ496" s="2999"/>
      <c r="AK496" s="2999"/>
      <c r="AL496" s="2999"/>
      <c r="AM496" s="2999"/>
      <c r="AN496" s="2999"/>
      <c r="AO496" s="2999"/>
      <c r="AP496" s="2999"/>
      <c r="AQ496" s="2999"/>
      <c r="AR496" s="2999"/>
      <c r="AS496" s="2999"/>
      <c r="AT496" s="2999"/>
      <c r="AU496" s="3000"/>
      <c r="AW496" s="197"/>
      <c r="AX496" s="197"/>
    </row>
    <row r="497" spans="1:50" ht="15.75" customHeight="1" x14ac:dyDescent="0.15">
      <c r="A497" s="2"/>
      <c r="B497" s="335"/>
      <c r="C497" s="335"/>
      <c r="D497" s="335"/>
      <c r="E497" s="335"/>
      <c r="F497" s="335"/>
      <c r="G497" s="335"/>
      <c r="H497" s="335"/>
      <c r="I497" s="335"/>
      <c r="J497" s="335"/>
      <c r="K497" s="335"/>
      <c r="L497" s="335"/>
      <c r="M497" s="335"/>
      <c r="N497" s="335"/>
      <c r="O497" s="335"/>
      <c r="P497" s="335"/>
      <c r="Q497" s="335"/>
      <c r="R497" s="335"/>
      <c r="S497" s="335"/>
      <c r="T497" s="335"/>
      <c r="U497" s="335"/>
      <c r="V497" s="335"/>
      <c r="W497" s="335"/>
      <c r="X497" s="335"/>
      <c r="Y497" s="3"/>
      <c r="Z497" s="3001"/>
      <c r="AA497" s="3002"/>
      <c r="AB497" s="3002"/>
      <c r="AC497" s="3002"/>
      <c r="AD497" s="3002"/>
      <c r="AE497" s="3002"/>
      <c r="AF497" s="3002"/>
      <c r="AG497" s="3002"/>
      <c r="AH497" s="3002"/>
      <c r="AI497" s="3002"/>
      <c r="AJ497" s="3002"/>
      <c r="AK497" s="3002"/>
      <c r="AL497" s="3002"/>
      <c r="AM497" s="3002"/>
      <c r="AN497" s="3002"/>
      <c r="AO497" s="3002"/>
      <c r="AP497" s="3002"/>
      <c r="AQ497" s="3002"/>
      <c r="AR497" s="3002"/>
      <c r="AS497" s="3002"/>
      <c r="AT497" s="3002"/>
      <c r="AU497" s="3003"/>
      <c r="AW497" s="197"/>
      <c r="AX497" s="197"/>
    </row>
    <row r="498" spans="1:50" ht="15.75" customHeight="1" x14ac:dyDescent="0.15">
      <c r="A498" s="2"/>
      <c r="B498" s="371"/>
      <c r="C498" s="371"/>
      <c r="D498" s="371"/>
      <c r="E498" s="371"/>
      <c r="F498" s="371"/>
      <c r="G498" s="371"/>
      <c r="H498" s="371"/>
      <c r="I498" s="371"/>
      <c r="J498" s="371"/>
      <c r="K498" s="371"/>
      <c r="L498" s="371"/>
      <c r="M498" s="371"/>
      <c r="N498" s="371"/>
      <c r="O498" s="371"/>
      <c r="P498" s="371"/>
      <c r="Q498" s="371"/>
      <c r="R498" s="371"/>
      <c r="S498" s="371"/>
      <c r="T498" s="371"/>
      <c r="U498" s="371"/>
      <c r="V498" s="371"/>
      <c r="W498" s="371"/>
      <c r="X498" s="371"/>
      <c r="Y498" s="3"/>
      <c r="Z498" s="3004"/>
      <c r="AA498" s="3005"/>
      <c r="AB498" s="3005"/>
      <c r="AC498" s="3005"/>
      <c r="AD498" s="3005"/>
      <c r="AE498" s="3005"/>
      <c r="AF498" s="3005"/>
      <c r="AG498" s="3005"/>
      <c r="AH498" s="3005"/>
      <c r="AI498" s="3005"/>
      <c r="AJ498" s="3005"/>
      <c r="AK498" s="3005"/>
      <c r="AL498" s="3005"/>
      <c r="AM498" s="3005"/>
      <c r="AN498" s="3005"/>
      <c r="AO498" s="3005"/>
      <c r="AP498" s="3005"/>
      <c r="AQ498" s="3005"/>
      <c r="AR498" s="3005"/>
      <c r="AS498" s="3005"/>
      <c r="AT498" s="3005"/>
      <c r="AU498" s="3006"/>
      <c r="AW498" s="197"/>
      <c r="AX498" s="197"/>
    </row>
    <row r="499" spans="1:50" ht="15.75" customHeight="1" x14ac:dyDescent="0.15">
      <c r="A499" s="2"/>
      <c r="B499" s="371"/>
      <c r="C499" s="371"/>
      <c r="D499" s="371"/>
      <c r="E499" s="371"/>
      <c r="F499" s="371"/>
      <c r="G499" s="371"/>
      <c r="H499" s="371"/>
      <c r="I499" s="371"/>
      <c r="J499" s="371"/>
      <c r="K499" s="371"/>
      <c r="L499" s="371"/>
      <c r="M499" s="371"/>
      <c r="N499" s="371"/>
      <c r="O499" s="371"/>
      <c r="P499" s="371"/>
      <c r="Q499" s="371"/>
      <c r="R499" s="371"/>
      <c r="S499" s="371"/>
      <c r="T499" s="371"/>
      <c r="U499" s="371"/>
      <c r="V499" s="371"/>
      <c r="W499" s="371"/>
      <c r="X499" s="371"/>
      <c r="Y499" s="3"/>
      <c r="Z499" s="3004"/>
      <c r="AA499" s="3005"/>
      <c r="AB499" s="3005"/>
      <c r="AC499" s="3005"/>
      <c r="AD499" s="3005"/>
      <c r="AE499" s="3005"/>
      <c r="AF499" s="3005"/>
      <c r="AG499" s="3005"/>
      <c r="AH499" s="3005"/>
      <c r="AI499" s="3005"/>
      <c r="AJ499" s="3005"/>
      <c r="AK499" s="3005"/>
      <c r="AL499" s="3005"/>
      <c r="AM499" s="3005"/>
      <c r="AN499" s="3005"/>
      <c r="AO499" s="3005"/>
      <c r="AP499" s="3005"/>
      <c r="AQ499" s="3005"/>
      <c r="AR499" s="3005"/>
      <c r="AS499" s="3005"/>
      <c r="AT499" s="3005"/>
      <c r="AU499" s="3006"/>
      <c r="AW499" s="197"/>
      <c r="AX499" s="197"/>
    </row>
    <row r="500" spans="1:50" ht="15.75" customHeight="1" x14ac:dyDescent="0.15">
      <c r="A500" s="2"/>
      <c r="B500" s="371"/>
      <c r="C500" s="371"/>
      <c r="D500" s="371"/>
      <c r="E500" s="371"/>
      <c r="F500" s="371"/>
      <c r="G500" s="371"/>
      <c r="H500" s="371"/>
      <c r="I500" s="371"/>
      <c r="J500" s="371"/>
      <c r="K500" s="371"/>
      <c r="L500" s="371"/>
      <c r="M500" s="371"/>
      <c r="N500" s="371"/>
      <c r="O500" s="371"/>
      <c r="P500" s="371"/>
      <c r="Q500" s="371"/>
      <c r="R500" s="371"/>
      <c r="S500" s="371"/>
      <c r="T500" s="371"/>
      <c r="U500" s="371"/>
      <c r="V500" s="371"/>
      <c r="W500" s="371"/>
      <c r="X500" s="371"/>
      <c r="Y500" s="3"/>
      <c r="Z500" s="3004"/>
      <c r="AA500" s="3005"/>
      <c r="AB500" s="3005"/>
      <c r="AC500" s="3005"/>
      <c r="AD500" s="3005"/>
      <c r="AE500" s="3005"/>
      <c r="AF500" s="3005"/>
      <c r="AG500" s="3005"/>
      <c r="AH500" s="3005"/>
      <c r="AI500" s="3005"/>
      <c r="AJ500" s="3005"/>
      <c r="AK500" s="3005"/>
      <c r="AL500" s="3005"/>
      <c r="AM500" s="3005"/>
      <c r="AN500" s="3005"/>
      <c r="AO500" s="3005"/>
      <c r="AP500" s="3005"/>
      <c r="AQ500" s="3005"/>
      <c r="AR500" s="3005"/>
      <c r="AS500" s="3005"/>
      <c r="AT500" s="3005"/>
      <c r="AU500" s="3006"/>
      <c r="AW500" s="197"/>
      <c r="AX500" s="197"/>
    </row>
    <row r="501" spans="1:50" ht="15.75" customHeight="1" x14ac:dyDescent="0.15">
      <c r="A501" s="2"/>
      <c r="B501" s="371"/>
      <c r="C501" s="371"/>
      <c r="D501" s="371"/>
      <c r="E501" s="371"/>
      <c r="F501" s="371"/>
      <c r="G501" s="371"/>
      <c r="H501" s="371"/>
      <c r="I501" s="371"/>
      <c r="J501" s="371"/>
      <c r="K501" s="3013" t="s">
        <v>157</v>
      </c>
      <c r="L501" s="3013"/>
      <c r="M501" s="3013"/>
      <c r="N501" s="3013"/>
      <c r="O501" s="3013"/>
      <c r="P501" s="3013"/>
      <c r="Q501" s="371"/>
      <c r="R501" s="371"/>
      <c r="S501" s="371"/>
      <c r="T501" s="371"/>
      <c r="U501" s="371"/>
      <c r="V501" s="371"/>
      <c r="W501" s="371"/>
      <c r="X501" s="371"/>
      <c r="Y501" s="3"/>
      <c r="Z501" s="3004"/>
      <c r="AA501" s="3005"/>
      <c r="AB501" s="3005"/>
      <c r="AC501" s="3005"/>
      <c r="AD501" s="3005"/>
      <c r="AE501" s="3005"/>
      <c r="AF501" s="3005"/>
      <c r="AG501" s="3005"/>
      <c r="AH501" s="3005"/>
      <c r="AI501" s="3005"/>
      <c r="AJ501" s="3005"/>
      <c r="AK501" s="3005"/>
      <c r="AL501" s="3005"/>
      <c r="AM501" s="3005"/>
      <c r="AN501" s="3005"/>
      <c r="AO501" s="3005"/>
      <c r="AP501" s="3005"/>
      <c r="AQ501" s="3005"/>
      <c r="AR501" s="3005"/>
      <c r="AS501" s="3005"/>
      <c r="AT501" s="3005"/>
      <c r="AU501" s="3006"/>
      <c r="AW501" s="197"/>
      <c r="AX501" s="197"/>
    </row>
    <row r="502" spans="1:50" ht="15.75" customHeight="1" x14ac:dyDescent="0.15">
      <c r="A502" s="2"/>
      <c r="B502" s="371"/>
      <c r="C502" s="371"/>
      <c r="D502" s="371"/>
      <c r="E502" s="371"/>
      <c r="F502" s="371"/>
      <c r="G502" s="371"/>
      <c r="H502" s="371"/>
      <c r="I502" s="371"/>
      <c r="J502" s="371"/>
      <c r="K502" s="371"/>
      <c r="L502" s="371"/>
      <c r="M502" s="371"/>
      <c r="N502" s="371"/>
      <c r="O502" s="371"/>
      <c r="P502" s="371"/>
      <c r="Q502" s="371"/>
      <c r="R502" s="371"/>
      <c r="S502" s="371"/>
      <c r="T502" s="371"/>
      <c r="U502" s="371"/>
      <c r="V502" s="371"/>
      <c r="W502" s="371"/>
      <c r="X502" s="371"/>
      <c r="Y502" s="3"/>
      <c r="Z502" s="3004"/>
      <c r="AA502" s="3005"/>
      <c r="AB502" s="3005"/>
      <c r="AC502" s="3005"/>
      <c r="AD502" s="3005"/>
      <c r="AE502" s="3005"/>
      <c r="AF502" s="3005"/>
      <c r="AG502" s="3005"/>
      <c r="AH502" s="3005"/>
      <c r="AI502" s="3005"/>
      <c r="AJ502" s="3005"/>
      <c r="AK502" s="3005"/>
      <c r="AL502" s="3005"/>
      <c r="AM502" s="3005"/>
      <c r="AN502" s="3005"/>
      <c r="AO502" s="3005"/>
      <c r="AP502" s="3005"/>
      <c r="AQ502" s="3005"/>
      <c r="AR502" s="3005"/>
      <c r="AS502" s="3005"/>
      <c r="AT502" s="3005"/>
      <c r="AU502" s="3006"/>
      <c r="AW502" s="197"/>
      <c r="AX502" s="197"/>
    </row>
    <row r="503" spans="1:50" ht="15.75" customHeight="1" x14ac:dyDescent="0.15">
      <c r="A503" s="2"/>
      <c r="B503" s="371"/>
      <c r="C503" s="371"/>
      <c r="D503" s="371"/>
      <c r="E503" s="371"/>
      <c r="F503" s="371"/>
      <c r="G503" s="371"/>
      <c r="H503" s="371"/>
      <c r="I503" s="371"/>
      <c r="J503" s="371"/>
      <c r="K503" s="371"/>
      <c r="L503" s="371"/>
      <c r="M503" s="371"/>
      <c r="N503" s="371"/>
      <c r="O503" s="371"/>
      <c r="P503" s="371"/>
      <c r="Q503" s="371"/>
      <c r="R503" s="371"/>
      <c r="S503" s="371"/>
      <c r="T503" s="371"/>
      <c r="U503" s="371"/>
      <c r="V503" s="371"/>
      <c r="W503" s="371"/>
      <c r="X503" s="371"/>
      <c r="Y503" s="3"/>
      <c r="Z503" s="3004"/>
      <c r="AA503" s="3005"/>
      <c r="AB503" s="3005"/>
      <c r="AC503" s="3005"/>
      <c r="AD503" s="3005"/>
      <c r="AE503" s="3005"/>
      <c r="AF503" s="3005"/>
      <c r="AG503" s="3005"/>
      <c r="AH503" s="3005"/>
      <c r="AI503" s="3005"/>
      <c r="AJ503" s="3005"/>
      <c r="AK503" s="3005"/>
      <c r="AL503" s="3005"/>
      <c r="AM503" s="3005"/>
      <c r="AN503" s="3005"/>
      <c r="AO503" s="3005"/>
      <c r="AP503" s="3005"/>
      <c r="AQ503" s="3005"/>
      <c r="AR503" s="3005"/>
      <c r="AS503" s="3005"/>
      <c r="AT503" s="3005"/>
      <c r="AU503" s="3006"/>
      <c r="AW503" s="197"/>
      <c r="AX503" s="197"/>
    </row>
    <row r="504" spans="1:50" ht="15.75" customHeight="1" x14ac:dyDescent="0.15">
      <c r="A504" s="2"/>
      <c r="B504" s="371"/>
      <c r="C504" s="371"/>
      <c r="D504" s="371"/>
      <c r="E504" s="371"/>
      <c r="F504" s="371"/>
      <c r="G504" s="371"/>
      <c r="H504" s="371"/>
      <c r="I504" s="371"/>
      <c r="J504" s="371"/>
      <c r="K504" s="371"/>
      <c r="L504" s="371"/>
      <c r="M504" s="371"/>
      <c r="N504" s="371"/>
      <c r="O504" s="371"/>
      <c r="P504" s="371"/>
      <c r="Q504" s="371"/>
      <c r="R504" s="371"/>
      <c r="S504" s="371"/>
      <c r="T504" s="371"/>
      <c r="U504" s="371"/>
      <c r="V504" s="371"/>
      <c r="W504" s="371"/>
      <c r="X504" s="371"/>
      <c r="Y504" s="3"/>
      <c r="Z504" s="3004"/>
      <c r="AA504" s="3005"/>
      <c r="AB504" s="3005"/>
      <c r="AC504" s="3005"/>
      <c r="AD504" s="3005"/>
      <c r="AE504" s="3005"/>
      <c r="AF504" s="3005"/>
      <c r="AG504" s="3005"/>
      <c r="AH504" s="3005"/>
      <c r="AI504" s="3005"/>
      <c r="AJ504" s="3005"/>
      <c r="AK504" s="3005"/>
      <c r="AL504" s="3005"/>
      <c r="AM504" s="3005"/>
      <c r="AN504" s="3005"/>
      <c r="AO504" s="3005"/>
      <c r="AP504" s="3005"/>
      <c r="AQ504" s="3005"/>
      <c r="AR504" s="3005"/>
      <c r="AS504" s="3005"/>
      <c r="AT504" s="3005"/>
      <c r="AU504" s="3006"/>
      <c r="AW504" s="197"/>
      <c r="AX504" s="197"/>
    </row>
    <row r="505" spans="1:50" ht="15.75" customHeight="1" x14ac:dyDescent="0.15">
      <c r="A505" s="2"/>
      <c r="B505" s="371"/>
      <c r="C505" s="371"/>
      <c r="D505" s="371"/>
      <c r="E505" s="371"/>
      <c r="F505" s="371"/>
      <c r="G505" s="371"/>
      <c r="H505" s="371"/>
      <c r="I505" s="371"/>
      <c r="J505" s="371"/>
      <c r="K505" s="371"/>
      <c r="L505" s="371"/>
      <c r="M505" s="371"/>
      <c r="N505" s="371"/>
      <c r="O505" s="371"/>
      <c r="P505" s="371"/>
      <c r="Q505" s="371"/>
      <c r="R505" s="371"/>
      <c r="S505" s="371"/>
      <c r="T505" s="371"/>
      <c r="U505" s="371"/>
      <c r="V505" s="371"/>
      <c r="W505" s="371"/>
      <c r="X505" s="371"/>
      <c r="Y505" s="3"/>
      <c r="Z505" s="3004"/>
      <c r="AA505" s="3005"/>
      <c r="AB505" s="3005"/>
      <c r="AC505" s="3005"/>
      <c r="AD505" s="3005"/>
      <c r="AE505" s="3005"/>
      <c r="AF505" s="3005"/>
      <c r="AG505" s="3005"/>
      <c r="AH505" s="3005"/>
      <c r="AI505" s="3005"/>
      <c r="AJ505" s="3005"/>
      <c r="AK505" s="3005"/>
      <c r="AL505" s="3005"/>
      <c r="AM505" s="3005"/>
      <c r="AN505" s="3005"/>
      <c r="AO505" s="3005"/>
      <c r="AP505" s="3005"/>
      <c r="AQ505" s="3005"/>
      <c r="AR505" s="3005"/>
      <c r="AS505" s="3005"/>
      <c r="AT505" s="3005"/>
      <c r="AU505" s="3006"/>
      <c r="AW505" s="197"/>
      <c r="AX505" s="197"/>
    </row>
    <row r="506" spans="1:50" ht="15.75" customHeight="1" x14ac:dyDescent="0.15">
      <c r="A506" s="2"/>
      <c r="B506" s="371"/>
      <c r="C506" s="371"/>
      <c r="D506" s="371"/>
      <c r="E506" s="371"/>
      <c r="F506" s="371"/>
      <c r="G506" s="371"/>
      <c r="H506" s="371"/>
      <c r="I506" s="371"/>
      <c r="J506" s="371"/>
      <c r="K506" s="371"/>
      <c r="L506" s="371"/>
      <c r="M506" s="371"/>
      <c r="N506" s="371"/>
      <c r="O506" s="371"/>
      <c r="P506" s="371"/>
      <c r="Q506" s="371"/>
      <c r="R506" s="371"/>
      <c r="S506" s="371"/>
      <c r="T506" s="371"/>
      <c r="U506" s="371"/>
      <c r="V506" s="371"/>
      <c r="W506" s="371"/>
      <c r="X506" s="371"/>
      <c r="Y506" s="3"/>
      <c r="Z506" s="3004"/>
      <c r="AA506" s="3005"/>
      <c r="AB506" s="3005"/>
      <c r="AC506" s="3005"/>
      <c r="AD506" s="3005"/>
      <c r="AE506" s="3005"/>
      <c r="AF506" s="3005"/>
      <c r="AG506" s="3005"/>
      <c r="AH506" s="3005"/>
      <c r="AI506" s="3005"/>
      <c r="AJ506" s="3005"/>
      <c r="AK506" s="3005"/>
      <c r="AL506" s="3005"/>
      <c r="AM506" s="3005"/>
      <c r="AN506" s="3005"/>
      <c r="AO506" s="3005"/>
      <c r="AP506" s="3005"/>
      <c r="AQ506" s="3005"/>
      <c r="AR506" s="3005"/>
      <c r="AS506" s="3005"/>
      <c r="AT506" s="3005"/>
      <c r="AU506" s="3006"/>
      <c r="AW506" s="197"/>
      <c r="AX506" s="197"/>
    </row>
    <row r="507" spans="1:50" ht="15.75" customHeight="1" x14ac:dyDescent="0.15">
      <c r="A507" s="2"/>
      <c r="B507" s="371"/>
      <c r="C507" s="371"/>
      <c r="D507" s="371"/>
      <c r="E507" s="371"/>
      <c r="F507" s="371"/>
      <c r="G507" s="371"/>
      <c r="H507" s="371"/>
      <c r="I507" s="371"/>
      <c r="J507" s="371"/>
      <c r="K507" s="371"/>
      <c r="L507" s="371"/>
      <c r="M507" s="371"/>
      <c r="N507" s="371"/>
      <c r="O507" s="371"/>
      <c r="P507" s="371"/>
      <c r="Q507" s="371"/>
      <c r="R507" s="371"/>
      <c r="S507" s="371"/>
      <c r="T507" s="371"/>
      <c r="U507" s="371"/>
      <c r="V507" s="371"/>
      <c r="W507" s="371"/>
      <c r="X507" s="371"/>
      <c r="Y507" s="3"/>
      <c r="Z507" s="3004"/>
      <c r="AA507" s="3005"/>
      <c r="AB507" s="3005"/>
      <c r="AC507" s="3005"/>
      <c r="AD507" s="3005"/>
      <c r="AE507" s="3005"/>
      <c r="AF507" s="3005"/>
      <c r="AG507" s="3005"/>
      <c r="AH507" s="3005"/>
      <c r="AI507" s="3005"/>
      <c r="AJ507" s="3005"/>
      <c r="AK507" s="3005"/>
      <c r="AL507" s="3005"/>
      <c r="AM507" s="3005"/>
      <c r="AN507" s="3005"/>
      <c r="AO507" s="3005"/>
      <c r="AP507" s="3005"/>
      <c r="AQ507" s="3005"/>
      <c r="AR507" s="3005"/>
      <c r="AS507" s="3005"/>
      <c r="AT507" s="3005"/>
      <c r="AU507" s="3006"/>
      <c r="AW507" s="197"/>
      <c r="AX507" s="197"/>
    </row>
    <row r="508" spans="1:50" ht="15.75" customHeight="1" x14ac:dyDescent="0.15">
      <c r="A508" s="2"/>
      <c r="B508" s="371"/>
      <c r="C508" s="371"/>
      <c r="D508" s="371"/>
      <c r="E508" s="371"/>
      <c r="F508" s="371"/>
      <c r="G508" s="371"/>
      <c r="H508" s="371"/>
      <c r="I508" s="371"/>
      <c r="J508" s="371"/>
      <c r="K508" s="371"/>
      <c r="L508" s="371"/>
      <c r="M508" s="371"/>
      <c r="N508" s="371"/>
      <c r="O508" s="371"/>
      <c r="P508" s="371"/>
      <c r="Q508" s="371"/>
      <c r="R508" s="371"/>
      <c r="S508" s="371"/>
      <c r="T508" s="371"/>
      <c r="U508" s="371"/>
      <c r="V508" s="371"/>
      <c r="W508" s="371"/>
      <c r="X508" s="371"/>
      <c r="Y508" s="3"/>
      <c r="Z508" s="3004"/>
      <c r="AA508" s="3005"/>
      <c r="AB508" s="3005"/>
      <c r="AC508" s="3005"/>
      <c r="AD508" s="3005"/>
      <c r="AE508" s="3005"/>
      <c r="AF508" s="3005"/>
      <c r="AG508" s="3005"/>
      <c r="AH508" s="3005"/>
      <c r="AI508" s="3005"/>
      <c r="AJ508" s="3005"/>
      <c r="AK508" s="3005"/>
      <c r="AL508" s="3005"/>
      <c r="AM508" s="3005"/>
      <c r="AN508" s="3005"/>
      <c r="AO508" s="3005"/>
      <c r="AP508" s="3005"/>
      <c r="AQ508" s="3005"/>
      <c r="AR508" s="3005"/>
      <c r="AS508" s="3005"/>
      <c r="AT508" s="3005"/>
      <c r="AU508" s="3006"/>
      <c r="AW508" s="197"/>
      <c r="AX508" s="197"/>
    </row>
    <row r="509" spans="1:50" ht="15.75" customHeight="1" x14ac:dyDescent="0.15">
      <c r="A509" s="2"/>
      <c r="B509" s="371"/>
      <c r="C509" s="371"/>
      <c r="D509" s="371"/>
      <c r="E509" s="371"/>
      <c r="F509" s="371"/>
      <c r="G509" s="371"/>
      <c r="H509" s="371"/>
      <c r="I509" s="371"/>
      <c r="J509" s="371"/>
      <c r="K509" s="371"/>
      <c r="L509" s="371"/>
      <c r="M509" s="371"/>
      <c r="N509" s="371"/>
      <c r="O509" s="371"/>
      <c r="P509" s="371"/>
      <c r="Q509" s="371"/>
      <c r="R509" s="371"/>
      <c r="S509" s="371"/>
      <c r="T509" s="371"/>
      <c r="U509" s="371"/>
      <c r="V509" s="371"/>
      <c r="W509" s="371"/>
      <c r="X509" s="371"/>
      <c r="Y509" s="3"/>
      <c r="Z509" s="3004"/>
      <c r="AA509" s="3005"/>
      <c r="AB509" s="3005"/>
      <c r="AC509" s="3005"/>
      <c r="AD509" s="3005"/>
      <c r="AE509" s="3005"/>
      <c r="AF509" s="3005"/>
      <c r="AG509" s="3005"/>
      <c r="AH509" s="3005"/>
      <c r="AI509" s="3005"/>
      <c r="AJ509" s="3005"/>
      <c r="AK509" s="3005"/>
      <c r="AL509" s="3005"/>
      <c r="AM509" s="3005"/>
      <c r="AN509" s="3005"/>
      <c r="AO509" s="3005"/>
      <c r="AP509" s="3005"/>
      <c r="AQ509" s="3005"/>
      <c r="AR509" s="3005"/>
      <c r="AS509" s="3005"/>
      <c r="AT509" s="3005"/>
      <c r="AU509" s="3006"/>
      <c r="AW509" s="197"/>
      <c r="AX509" s="197"/>
    </row>
    <row r="510" spans="1:50" ht="15.75" customHeight="1" x14ac:dyDescent="0.15">
      <c r="A510" s="6"/>
      <c r="B510" s="4"/>
      <c r="C510" s="4"/>
      <c r="D510" s="4"/>
      <c r="E510" s="4"/>
      <c r="F510" s="4"/>
      <c r="G510" s="4"/>
      <c r="H510" s="4"/>
      <c r="I510" s="4"/>
      <c r="J510" s="4"/>
      <c r="K510" s="4"/>
      <c r="L510" s="4"/>
      <c r="M510" s="4"/>
      <c r="N510" s="4"/>
      <c r="O510" s="4"/>
      <c r="P510" s="4"/>
      <c r="Q510" s="4"/>
      <c r="R510" s="4"/>
      <c r="S510" s="4"/>
      <c r="T510" s="4"/>
      <c r="U510" s="4"/>
      <c r="V510" s="4"/>
      <c r="W510" s="4"/>
      <c r="X510" s="4"/>
      <c r="Y510" s="5"/>
      <c r="Z510" s="3007"/>
      <c r="AA510" s="3008"/>
      <c r="AB510" s="3008"/>
      <c r="AC510" s="3008"/>
      <c r="AD510" s="3008"/>
      <c r="AE510" s="3008"/>
      <c r="AF510" s="3008"/>
      <c r="AG510" s="3008"/>
      <c r="AH510" s="3008"/>
      <c r="AI510" s="3008"/>
      <c r="AJ510" s="3008"/>
      <c r="AK510" s="3008"/>
      <c r="AL510" s="3008"/>
      <c r="AM510" s="3008"/>
      <c r="AN510" s="3008"/>
      <c r="AO510" s="3008"/>
      <c r="AP510" s="3008"/>
      <c r="AQ510" s="3008"/>
      <c r="AR510" s="3008"/>
      <c r="AS510" s="3008"/>
      <c r="AT510" s="3008"/>
      <c r="AU510" s="3009"/>
      <c r="AW510" s="197"/>
      <c r="AX510" s="197"/>
    </row>
    <row r="511" spans="1:50" ht="12.75" customHeight="1" x14ac:dyDescent="0.15">
      <c r="AW511" s="197"/>
      <c r="AX511" s="197"/>
    </row>
    <row r="512" spans="1:50" ht="15.75" customHeight="1" x14ac:dyDescent="0.15">
      <c r="A512" s="3018" t="s">
        <v>154</v>
      </c>
      <c r="B512" s="3019"/>
      <c r="C512" s="3020"/>
      <c r="D512" s="3037" t="s">
        <v>155</v>
      </c>
      <c r="E512" s="3038"/>
      <c r="F512" s="3038"/>
      <c r="G512" s="3038"/>
      <c r="H512" s="3038"/>
      <c r="I512" s="3038"/>
      <c r="J512" s="3039"/>
      <c r="K512" s="344"/>
      <c r="L512" s="341"/>
      <c r="M512" s="341"/>
      <c r="N512" s="341"/>
      <c r="O512" s="341"/>
      <c r="P512" s="341"/>
      <c r="Q512" s="341"/>
      <c r="R512" s="341"/>
      <c r="S512" s="342" t="s">
        <v>7</v>
      </c>
      <c r="T512" s="342" t="s">
        <v>8</v>
      </c>
      <c r="U512" s="342" t="s">
        <v>9</v>
      </c>
      <c r="V512" s="342" t="s">
        <v>156</v>
      </c>
      <c r="W512" s="342"/>
      <c r="X512" s="342"/>
      <c r="Y512" s="342"/>
      <c r="Z512" s="342"/>
      <c r="AA512" s="342"/>
      <c r="AB512" s="342"/>
      <c r="AC512" s="342"/>
      <c r="AD512" s="342"/>
      <c r="AE512" s="342"/>
      <c r="AF512" s="342"/>
      <c r="AG512" s="342"/>
      <c r="AH512" s="342"/>
      <c r="AI512" s="343"/>
      <c r="AJ512" s="344"/>
      <c r="AK512" s="3038" t="s">
        <v>33</v>
      </c>
      <c r="AL512" s="3038"/>
      <c r="AM512" s="3038"/>
      <c r="AN512" s="3038"/>
      <c r="AO512" s="3038"/>
      <c r="AP512" s="3038"/>
      <c r="AQ512" s="3038"/>
      <c r="AR512" s="3038"/>
      <c r="AS512" s="3038"/>
      <c r="AT512" s="3038"/>
      <c r="AU512" s="345"/>
      <c r="AW512" s="197"/>
      <c r="AX512" s="197"/>
    </row>
    <row r="513" spans="1:53" ht="15.75" customHeight="1" thickBot="1" x14ac:dyDescent="0.2">
      <c r="A513" s="3031"/>
      <c r="B513" s="3032"/>
      <c r="C513" s="3033"/>
      <c r="D513" s="3018" t="str">
        <f>IFERROR(VLOOKUP(18,'1_入力シート【基本情報】'!$DU$319:$DX$534,3,FALSE),"")</f>
        <v/>
      </c>
      <c r="E513" s="3019"/>
      <c r="F513" s="3019"/>
      <c r="G513" s="3019"/>
      <c r="H513" s="3019"/>
      <c r="I513" s="3019"/>
      <c r="J513" s="3020"/>
      <c r="K513" s="3040" t="str">
        <f>IFERROR(VLOOKUP(18,'1_入力シート【基本情報】'!$DU$319:$DX$534,4,FALSE),"")</f>
        <v/>
      </c>
      <c r="L513" s="3041"/>
      <c r="M513" s="3041"/>
      <c r="N513" s="3041"/>
      <c r="O513" s="3041"/>
      <c r="P513" s="3041"/>
      <c r="Q513" s="3041"/>
      <c r="R513" s="3041"/>
      <c r="S513" s="3041"/>
      <c r="T513" s="3041"/>
      <c r="U513" s="3041"/>
      <c r="V513" s="3041"/>
      <c r="W513" s="3041"/>
      <c r="X513" s="3041"/>
      <c r="Y513" s="3041"/>
      <c r="Z513" s="3041"/>
      <c r="AA513" s="3041"/>
      <c r="AB513" s="3041"/>
      <c r="AC513" s="3041"/>
      <c r="AD513" s="3041"/>
      <c r="AE513" s="3041"/>
      <c r="AF513" s="3041"/>
      <c r="AG513" s="3041"/>
      <c r="AH513" s="3041"/>
      <c r="AI513" s="3042"/>
      <c r="AJ513" s="367"/>
      <c r="AK513" s="367"/>
      <c r="AL513" s="367"/>
      <c r="AM513" s="367"/>
      <c r="AN513" s="367"/>
      <c r="AO513" s="367"/>
      <c r="AP513" s="367"/>
      <c r="AQ513" s="367"/>
      <c r="AR513" s="367"/>
      <c r="AS513" s="367"/>
      <c r="AT513" s="367"/>
      <c r="AU513" s="368"/>
      <c r="AW513" s="197"/>
      <c r="AX513" s="197"/>
    </row>
    <row r="514" spans="1:53" ht="15.75" customHeight="1" thickBot="1" x14ac:dyDescent="0.2">
      <c r="A514" s="3031"/>
      <c r="B514" s="3032"/>
      <c r="C514" s="3033"/>
      <c r="D514" s="3021"/>
      <c r="E514" s="3022"/>
      <c r="F514" s="3022"/>
      <c r="G514" s="3022"/>
      <c r="H514" s="3022"/>
      <c r="I514" s="3022"/>
      <c r="J514" s="3023"/>
      <c r="K514" s="3043"/>
      <c r="L514" s="3044"/>
      <c r="M514" s="3044"/>
      <c r="N514" s="3044"/>
      <c r="O514" s="3044"/>
      <c r="P514" s="3044"/>
      <c r="Q514" s="3044"/>
      <c r="R514" s="3044"/>
      <c r="S514" s="3044"/>
      <c r="T514" s="3044"/>
      <c r="U514" s="3044"/>
      <c r="V514" s="3044"/>
      <c r="W514" s="3044"/>
      <c r="X514" s="3044"/>
      <c r="Y514" s="3044"/>
      <c r="Z514" s="3044"/>
      <c r="AA514" s="3044"/>
      <c r="AB514" s="3044"/>
      <c r="AC514" s="3044"/>
      <c r="AD514" s="3044"/>
      <c r="AE514" s="3044"/>
      <c r="AF514" s="3044"/>
      <c r="AG514" s="3044"/>
      <c r="AH514" s="3044"/>
      <c r="AI514" s="3045"/>
      <c r="AJ514" s="367"/>
      <c r="AK514" s="367" t="str">
        <f>IF(D513&lt;&gt;"","☑","☐")</f>
        <v>☐</v>
      </c>
      <c r="AL514" s="367" t="s">
        <v>14</v>
      </c>
      <c r="AM514" s="367" t="s">
        <v>21</v>
      </c>
      <c r="AN514" s="367" t="s">
        <v>15</v>
      </c>
      <c r="AO514" s="367"/>
      <c r="AP514" s="426" t="s">
        <v>179</v>
      </c>
      <c r="AQ514" s="367" t="s">
        <v>27</v>
      </c>
      <c r="AR514" s="367" t="s">
        <v>23</v>
      </c>
      <c r="AS514" s="367" t="s">
        <v>13</v>
      </c>
      <c r="AT514" s="367"/>
      <c r="AU514" s="368"/>
      <c r="AW514" s="197"/>
      <c r="AX514" s="197"/>
      <c r="BA514" s="430" t="b">
        <f>AP514="☑"</f>
        <v>0</v>
      </c>
    </row>
    <row r="515" spans="1:53" ht="15.75" customHeight="1" x14ac:dyDescent="0.15">
      <c r="A515" s="3034"/>
      <c r="B515" s="3035"/>
      <c r="C515" s="3036"/>
      <c r="D515" s="3024"/>
      <c r="E515" s="3025"/>
      <c r="F515" s="3025"/>
      <c r="G515" s="3025"/>
      <c r="H515" s="3025"/>
      <c r="I515" s="3025"/>
      <c r="J515" s="3026"/>
      <c r="K515" s="3046"/>
      <c r="L515" s="3047"/>
      <c r="M515" s="3047"/>
      <c r="N515" s="3047"/>
      <c r="O515" s="3047"/>
      <c r="P515" s="3047"/>
      <c r="Q515" s="3047"/>
      <c r="R515" s="3047"/>
      <c r="S515" s="3047"/>
      <c r="T515" s="3047"/>
      <c r="U515" s="3047"/>
      <c r="V515" s="3047"/>
      <c r="W515" s="3047"/>
      <c r="X515" s="3047"/>
      <c r="Y515" s="3047"/>
      <c r="Z515" s="3047"/>
      <c r="AA515" s="3047"/>
      <c r="AB515" s="3047"/>
      <c r="AC515" s="3047"/>
      <c r="AD515" s="3047"/>
      <c r="AE515" s="3047"/>
      <c r="AF515" s="3047"/>
      <c r="AG515" s="3047"/>
      <c r="AH515" s="3047"/>
      <c r="AI515" s="3048"/>
      <c r="AJ515" s="369"/>
      <c r="AK515" s="369"/>
      <c r="AL515" s="369"/>
      <c r="AM515" s="369"/>
      <c r="AN515" s="369"/>
      <c r="AO515" s="369"/>
      <c r="AP515" s="369"/>
      <c r="AQ515" s="369"/>
      <c r="AR515" s="369"/>
      <c r="AS515" s="369"/>
      <c r="AT515" s="369"/>
      <c r="AU515" s="370"/>
      <c r="AW515" s="197"/>
      <c r="AX515" s="197"/>
    </row>
    <row r="516" spans="1:53" ht="15.75" customHeight="1" x14ac:dyDescent="0.15">
      <c r="A516" s="2"/>
      <c r="B516" s="335"/>
      <c r="C516" s="335"/>
      <c r="D516" s="335"/>
      <c r="E516" s="335"/>
      <c r="F516" s="335"/>
      <c r="G516" s="335"/>
      <c r="H516" s="335"/>
      <c r="I516" s="335"/>
      <c r="J516" s="335"/>
      <c r="K516" s="335"/>
      <c r="L516" s="335"/>
      <c r="M516" s="335"/>
      <c r="N516" s="335"/>
      <c r="O516" s="335"/>
      <c r="P516" s="335"/>
      <c r="Q516" s="335"/>
      <c r="R516" s="335"/>
      <c r="S516" s="335"/>
      <c r="T516" s="335"/>
      <c r="U516" s="335"/>
      <c r="V516" s="335"/>
      <c r="W516" s="335"/>
      <c r="X516" s="335"/>
      <c r="Y516" s="3"/>
      <c r="Z516" s="47"/>
      <c r="AA516" s="48" t="s">
        <v>11</v>
      </c>
      <c r="AB516" s="48" t="s">
        <v>10</v>
      </c>
      <c r="AC516" s="48" t="s">
        <v>16</v>
      </c>
      <c r="AD516" s="48" t="s">
        <v>9</v>
      </c>
      <c r="AE516" s="48"/>
      <c r="AF516" s="48"/>
      <c r="AG516" s="48"/>
      <c r="AH516" s="48"/>
      <c r="AI516" s="48"/>
      <c r="AJ516" s="49"/>
      <c r="AK516" s="49"/>
      <c r="AL516" s="49"/>
      <c r="AM516" s="49"/>
      <c r="AN516" s="49"/>
      <c r="AO516" s="49"/>
      <c r="AP516" s="49"/>
      <c r="AQ516" s="49"/>
      <c r="AR516" s="49"/>
      <c r="AS516" s="49"/>
      <c r="AT516" s="49"/>
      <c r="AU516" s="334"/>
      <c r="AW516" s="197"/>
      <c r="AX516" s="197"/>
    </row>
    <row r="517" spans="1:53" ht="15.75" customHeight="1" x14ac:dyDescent="0.15">
      <c r="A517" s="2"/>
      <c r="B517" s="335"/>
      <c r="C517" s="335"/>
      <c r="D517" s="335"/>
      <c r="E517" s="335"/>
      <c r="F517" s="335"/>
      <c r="G517" s="335"/>
      <c r="H517" s="335"/>
      <c r="I517" s="335"/>
      <c r="J517" s="335"/>
      <c r="K517" s="335"/>
      <c r="L517" s="335"/>
      <c r="M517" s="335"/>
      <c r="N517" s="335"/>
      <c r="O517" s="335"/>
      <c r="P517" s="335"/>
      <c r="Q517" s="335"/>
      <c r="R517" s="335"/>
      <c r="S517" s="335"/>
      <c r="T517" s="335"/>
      <c r="U517" s="335"/>
      <c r="V517" s="335"/>
      <c r="W517" s="335"/>
      <c r="X517" s="335"/>
      <c r="Y517" s="3"/>
      <c r="Z517" s="3010"/>
      <c r="AA517" s="3011"/>
      <c r="AB517" s="3011"/>
      <c r="AC517" s="3011"/>
      <c r="AD517" s="3011"/>
      <c r="AE517" s="3011"/>
      <c r="AF517" s="3011"/>
      <c r="AG517" s="3011"/>
      <c r="AH517" s="3011"/>
      <c r="AI517" s="3011"/>
      <c r="AJ517" s="3011"/>
      <c r="AK517" s="3011"/>
      <c r="AL517" s="3011"/>
      <c r="AM517" s="3011"/>
      <c r="AN517" s="3011"/>
      <c r="AO517" s="104"/>
      <c r="AP517" s="104"/>
      <c r="AQ517" s="104"/>
      <c r="AR517" s="104"/>
      <c r="AS517" s="104"/>
      <c r="AT517" s="104"/>
      <c r="AU517" s="105"/>
      <c r="AW517" s="197"/>
      <c r="AX517" s="197"/>
    </row>
    <row r="518" spans="1:53" ht="15.75" customHeight="1" x14ac:dyDescent="0.15">
      <c r="A518" s="2"/>
      <c r="B518" s="335"/>
      <c r="C518" s="335"/>
      <c r="D518" s="335"/>
      <c r="E518" s="335"/>
      <c r="F518" s="335"/>
      <c r="G518" s="335"/>
      <c r="H518" s="335"/>
      <c r="I518" s="335"/>
      <c r="J518" s="335"/>
      <c r="K518" s="335"/>
      <c r="L518" s="335"/>
      <c r="M518" s="335"/>
      <c r="N518" s="335"/>
      <c r="O518" s="335"/>
      <c r="P518" s="335"/>
      <c r="Q518" s="335"/>
      <c r="R518" s="335"/>
      <c r="S518" s="335"/>
      <c r="T518" s="335"/>
      <c r="U518" s="335"/>
      <c r="V518" s="335"/>
      <c r="W518" s="335"/>
      <c r="X518" s="335"/>
      <c r="Y518" s="3"/>
      <c r="Z518" s="2995" t="str">
        <f>IFERROR(VLOOKUP(18,'1_入力シート【基本情報】'!$DU$319:$DZ$534,5,FALSE),"")</f>
        <v/>
      </c>
      <c r="AA518" s="2996"/>
      <c r="AB518" s="2996"/>
      <c r="AC518" s="2996"/>
      <c r="AD518" s="2996"/>
      <c r="AE518" s="2996"/>
      <c r="AF518" s="2996"/>
      <c r="AG518" s="2996"/>
      <c r="AH518" s="2996"/>
      <c r="AI518" s="2996"/>
      <c r="AJ518" s="2996"/>
      <c r="AK518" s="2996"/>
      <c r="AL518" s="2996"/>
      <c r="AM518" s="2996"/>
      <c r="AN518" s="2996"/>
      <c r="AO518" s="2996"/>
      <c r="AP518" s="2996"/>
      <c r="AQ518" s="2996"/>
      <c r="AR518" s="2996"/>
      <c r="AS518" s="2996"/>
      <c r="AT518" s="2996"/>
      <c r="AU518" s="2997"/>
      <c r="AW518" s="197"/>
      <c r="AX518" s="197"/>
    </row>
    <row r="519" spans="1:53" ht="15.75" customHeight="1" x14ac:dyDescent="0.15">
      <c r="A519" s="2"/>
      <c r="B519" s="335"/>
      <c r="C519" s="335"/>
      <c r="D519" s="335"/>
      <c r="E519" s="335"/>
      <c r="F519" s="335"/>
      <c r="G519" s="335"/>
      <c r="H519" s="335"/>
      <c r="I519" s="335"/>
      <c r="J519" s="335"/>
      <c r="K519" s="335"/>
      <c r="L519" s="335"/>
      <c r="M519" s="335"/>
      <c r="N519" s="335"/>
      <c r="O519" s="335"/>
      <c r="P519" s="335"/>
      <c r="Q519" s="335"/>
      <c r="R519" s="335"/>
      <c r="S519" s="335"/>
      <c r="T519" s="335"/>
      <c r="U519" s="335"/>
      <c r="V519" s="335"/>
      <c r="W519" s="335"/>
      <c r="X519" s="335"/>
      <c r="Y519" s="3"/>
      <c r="Z519" s="2998"/>
      <c r="AA519" s="2999"/>
      <c r="AB519" s="2999"/>
      <c r="AC519" s="2999"/>
      <c r="AD519" s="2999"/>
      <c r="AE519" s="2999"/>
      <c r="AF519" s="2999"/>
      <c r="AG519" s="2999"/>
      <c r="AH519" s="2999"/>
      <c r="AI519" s="2999"/>
      <c r="AJ519" s="2999"/>
      <c r="AK519" s="2999"/>
      <c r="AL519" s="2999"/>
      <c r="AM519" s="2999"/>
      <c r="AN519" s="2999"/>
      <c r="AO519" s="2999"/>
      <c r="AP519" s="2999"/>
      <c r="AQ519" s="2999"/>
      <c r="AR519" s="2999"/>
      <c r="AS519" s="2999"/>
      <c r="AT519" s="2999"/>
      <c r="AU519" s="3000"/>
      <c r="AW519" s="197"/>
      <c r="AX519" s="197"/>
    </row>
    <row r="520" spans="1:53" ht="15.75" customHeight="1" x14ac:dyDescent="0.15">
      <c r="A520" s="2"/>
      <c r="B520" s="335"/>
      <c r="C520" s="335"/>
      <c r="D520" s="335"/>
      <c r="E520" s="335"/>
      <c r="F520" s="335"/>
      <c r="G520" s="335"/>
      <c r="H520" s="335"/>
      <c r="I520" s="335"/>
      <c r="J520" s="335"/>
      <c r="K520" s="335"/>
      <c r="L520" s="335"/>
      <c r="M520" s="335"/>
      <c r="N520" s="335"/>
      <c r="O520" s="335"/>
      <c r="P520" s="335"/>
      <c r="Q520" s="335"/>
      <c r="R520" s="335"/>
      <c r="S520" s="335"/>
      <c r="T520" s="335"/>
      <c r="U520" s="335"/>
      <c r="V520" s="335"/>
      <c r="W520" s="335"/>
      <c r="X520" s="335"/>
      <c r="Y520" s="3"/>
      <c r="Z520" s="3001"/>
      <c r="AA520" s="3002"/>
      <c r="AB520" s="3002"/>
      <c r="AC520" s="3002"/>
      <c r="AD520" s="3002"/>
      <c r="AE520" s="3002"/>
      <c r="AF520" s="3002"/>
      <c r="AG520" s="3002"/>
      <c r="AH520" s="3002"/>
      <c r="AI520" s="3002"/>
      <c r="AJ520" s="3002"/>
      <c r="AK520" s="3002"/>
      <c r="AL520" s="3002"/>
      <c r="AM520" s="3002"/>
      <c r="AN520" s="3002"/>
      <c r="AO520" s="3002"/>
      <c r="AP520" s="3002"/>
      <c r="AQ520" s="3002"/>
      <c r="AR520" s="3002"/>
      <c r="AS520" s="3002"/>
      <c r="AT520" s="3002"/>
      <c r="AU520" s="3003"/>
      <c r="AW520" s="197"/>
      <c r="AX520" s="197"/>
    </row>
    <row r="521" spans="1:53" ht="15.75" customHeight="1" x14ac:dyDescent="0.15">
      <c r="A521" s="2"/>
      <c r="B521" s="371"/>
      <c r="C521" s="371"/>
      <c r="D521" s="371"/>
      <c r="E521" s="371"/>
      <c r="F521" s="371"/>
      <c r="G521" s="371"/>
      <c r="H521" s="371"/>
      <c r="I521" s="371"/>
      <c r="J521" s="371"/>
      <c r="K521" s="371"/>
      <c r="L521" s="371"/>
      <c r="M521" s="371"/>
      <c r="N521" s="371"/>
      <c r="O521" s="371"/>
      <c r="P521" s="371"/>
      <c r="Q521" s="371"/>
      <c r="R521" s="371"/>
      <c r="S521" s="371"/>
      <c r="T521" s="371"/>
      <c r="U521" s="371"/>
      <c r="V521" s="371"/>
      <c r="W521" s="371"/>
      <c r="X521" s="371"/>
      <c r="Y521" s="3"/>
      <c r="Z521" s="3004"/>
      <c r="AA521" s="3005"/>
      <c r="AB521" s="3005"/>
      <c r="AC521" s="3005"/>
      <c r="AD521" s="3005"/>
      <c r="AE521" s="3005"/>
      <c r="AF521" s="3005"/>
      <c r="AG521" s="3005"/>
      <c r="AH521" s="3005"/>
      <c r="AI521" s="3005"/>
      <c r="AJ521" s="3005"/>
      <c r="AK521" s="3005"/>
      <c r="AL521" s="3005"/>
      <c r="AM521" s="3005"/>
      <c r="AN521" s="3005"/>
      <c r="AO521" s="3005"/>
      <c r="AP521" s="3005"/>
      <c r="AQ521" s="3005"/>
      <c r="AR521" s="3005"/>
      <c r="AS521" s="3005"/>
      <c r="AT521" s="3005"/>
      <c r="AU521" s="3006"/>
      <c r="AW521" s="197"/>
      <c r="AX521" s="197"/>
    </row>
    <row r="522" spans="1:53" ht="15.75" customHeight="1" x14ac:dyDescent="0.15">
      <c r="A522" s="2"/>
      <c r="B522" s="371"/>
      <c r="C522" s="371"/>
      <c r="D522" s="371"/>
      <c r="E522" s="371"/>
      <c r="F522" s="371"/>
      <c r="G522" s="371"/>
      <c r="H522" s="371"/>
      <c r="I522" s="371"/>
      <c r="J522" s="371"/>
      <c r="K522" s="371"/>
      <c r="L522" s="371"/>
      <c r="M522" s="371"/>
      <c r="N522" s="371"/>
      <c r="O522" s="371"/>
      <c r="P522" s="371"/>
      <c r="Q522" s="371"/>
      <c r="R522" s="371"/>
      <c r="S522" s="371"/>
      <c r="T522" s="371"/>
      <c r="U522" s="371"/>
      <c r="V522" s="371"/>
      <c r="W522" s="371"/>
      <c r="X522" s="371"/>
      <c r="Y522" s="3"/>
      <c r="Z522" s="3004"/>
      <c r="AA522" s="3005"/>
      <c r="AB522" s="3005"/>
      <c r="AC522" s="3005"/>
      <c r="AD522" s="3005"/>
      <c r="AE522" s="3005"/>
      <c r="AF522" s="3005"/>
      <c r="AG522" s="3005"/>
      <c r="AH522" s="3005"/>
      <c r="AI522" s="3005"/>
      <c r="AJ522" s="3005"/>
      <c r="AK522" s="3005"/>
      <c r="AL522" s="3005"/>
      <c r="AM522" s="3005"/>
      <c r="AN522" s="3005"/>
      <c r="AO522" s="3005"/>
      <c r="AP522" s="3005"/>
      <c r="AQ522" s="3005"/>
      <c r="AR522" s="3005"/>
      <c r="AS522" s="3005"/>
      <c r="AT522" s="3005"/>
      <c r="AU522" s="3006"/>
      <c r="AW522" s="197"/>
      <c r="AX522" s="197"/>
    </row>
    <row r="523" spans="1:53" ht="15.75" customHeight="1" x14ac:dyDescent="0.15">
      <c r="A523" s="2"/>
      <c r="B523" s="371"/>
      <c r="C523" s="371"/>
      <c r="D523" s="371"/>
      <c r="E523" s="371"/>
      <c r="F523" s="371"/>
      <c r="G523" s="371"/>
      <c r="H523" s="371"/>
      <c r="I523" s="371"/>
      <c r="J523" s="371"/>
      <c r="K523" s="371"/>
      <c r="L523" s="371"/>
      <c r="M523" s="371"/>
      <c r="N523" s="371"/>
      <c r="O523" s="371"/>
      <c r="P523" s="371"/>
      <c r="Q523" s="371"/>
      <c r="R523" s="371"/>
      <c r="S523" s="371"/>
      <c r="T523" s="371"/>
      <c r="U523" s="371"/>
      <c r="V523" s="371"/>
      <c r="W523" s="371"/>
      <c r="X523" s="371"/>
      <c r="Y523" s="3"/>
      <c r="Z523" s="3004"/>
      <c r="AA523" s="3005"/>
      <c r="AB523" s="3005"/>
      <c r="AC523" s="3005"/>
      <c r="AD523" s="3005"/>
      <c r="AE523" s="3005"/>
      <c r="AF523" s="3005"/>
      <c r="AG523" s="3005"/>
      <c r="AH523" s="3005"/>
      <c r="AI523" s="3005"/>
      <c r="AJ523" s="3005"/>
      <c r="AK523" s="3005"/>
      <c r="AL523" s="3005"/>
      <c r="AM523" s="3005"/>
      <c r="AN523" s="3005"/>
      <c r="AO523" s="3005"/>
      <c r="AP523" s="3005"/>
      <c r="AQ523" s="3005"/>
      <c r="AR523" s="3005"/>
      <c r="AS523" s="3005"/>
      <c r="AT523" s="3005"/>
      <c r="AU523" s="3006"/>
      <c r="AW523" s="197"/>
      <c r="AX523" s="197"/>
    </row>
    <row r="524" spans="1:53" ht="15.75" customHeight="1" x14ac:dyDescent="0.15">
      <c r="A524" s="2"/>
      <c r="B524" s="371"/>
      <c r="C524" s="371"/>
      <c r="D524" s="371"/>
      <c r="E524" s="371"/>
      <c r="F524" s="371"/>
      <c r="G524" s="371"/>
      <c r="H524" s="371"/>
      <c r="I524" s="371"/>
      <c r="J524" s="371"/>
      <c r="K524" s="3013" t="s">
        <v>157</v>
      </c>
      <c r="L524" s="3013"/>
      <c r="M524" s="3013"/>
      <c r="N524" s="3013"/>
      <c r="O524" s="3013"/>
      <c r="P524" s="3013"/>
      <c r="Q524" s="371"/>
      <c r="R524" s="371"/>
      <c r="S524" s="371"/>
      <c r="T524" s="371"/>
      <c r="U524" s="371"/>
      <c r="V524" s="371"/>
      <c r="W524" s="371"/>
      <c r="X524" s="371"/>
      <c r="Y524" s="3"/>
      <c r="Z524" s="3004"/>
      <c r="AA524" s="3005"/>
      <c r="AB524" s="3005"/>
      <c r="AC524" s="3005"/>
      <c r="AD524" s="3005"/>
      <c r="AE524" s="3005"/>
      <c r="AF524" s="3005"/>
      <c r="AG524" s="3005"/>
      <c r="AH524" s="3005"/>
      <c r="AI524" s="3005"/>
      <c r="AJ524" s="3005"/>
      <c r="AK524" s="3005"/>
      <c r="AL524" s="3005"/>
      <c r="AM524" s="3005"/>
      <c r="AN524" s="3005"/>
      <c r="AO524" s="3005"/>
      <c r="AP524" s="3005"/>
      <c r="AQ524" s="3005"/>
      <c r="AR524" s="3005"/>
      <c r="AS524" s="3005"/>
      <c r="AT524" s="3005"/>
      <c r="AU524" s="3006"/>
      <c r="AW524" s="197"/>
      <c r="AX524" s="197"/>
    </row>
    <row r="525" spans="1:53" ht="15.75" customHeight="1" x14ac:dyDescent="0.15">
      <c r="A525" s="2"/>
      <c r="B525" s="371"/>
      <c r="C525" s="371"/>
      <c r="D525" s="371"/>
      <c r="E525" s="371"/>
      <c r="F525" s="371"/>
      <c r="G525" s="371"/>
      <c r="H525" s="371"/>
      <c r="I525" s="371"/>
      <c r="J525" s="371"/>
      <c r="K525" s="371"/>
      <c r="L525" s="371"/>
      <c r="M525" s="371"/>
      <c r="N525" s="371"/>
      <c r="O525" s="371"/>
      <c r="P525" s="371"/>
      <c r="Q525" s="371"/>
      <c r="R525" s="371"/>
      <c r="S525" s="371"/>
      <c r="T525" s="371"/>
      <c r="U525" s="371"/>
      <c r="V525" s="371"/>
      <c r="W525" s="371"/>
      <c r="X525" s="371"/>
      <c r="Y525" s="3"/>
      <c r="Z525" s="3004"/>
      <c r="AA525" s="3005"/>
      <c r="AB525" s="3005"/>
      <c r="AC525" s="3005"/>
      <c r="AD525" s="3005"/>
      <c r="AE525" s="3005"/>
      <c r="AF525" s="3005"/>
      <c r="AG525" s="3005"/>
      <c r="AH525" s="3005"/>
      <c r="AI525" s="3005"/>
      <c r="AJ525" s="3005"/>
      <c r="AK525" s="3005"/>
      <c r="AL525" s="3005"/>
      <c r="AM525" s="3005"/>
      <c r="AN525" s="3005"/>
      <c r="AO525" s="3005"/>
      <c r="AP525" s="3005"/>
      <c r="AQ525" s="3005"/>
      <c r="AR525" s="3005"/>
      <c r="AS525" s="3005"/>
      <c r="AT525" s="3005"/>
      <c r="AU525" s="3006"/>
      <c r="AW525" s="197"/>
      <c r="AX525" s="197"/>
    </row>
    <row r="526" spans="1:53" ht="15.75" customHeight="1" x14ac:dyDescent="0.15">
      <c r="A526" s="2"/>
      <c r="B526" s="371"/>
      <c r="C526" s="371"/>
      <c r="D526" s="371"/>
      <c r="E526" s="371"/>
      <c r="F526" s="371"/>
      <c r="G526" s="371"/>
      <c r="H526" s="371"/>
      <c r="I526" s="371"/>
      <c r="J526" s="371"/>
      <c r="K526" s="371"/>
      <c r="L526" s="371"/>
      <c r="M526" s="371"/>
      <c r="N526" s="371"/>
      <c r="O526" s="371"/>
      <c r="P526" s="371"/>
      <c r="Q526" s="371"/>
      <c r="R526" s="371"/>
      <c r="S526" s="371"/>
      <c r="T526" s="371"/>
      <c r="U526" s="371"/>
      <c r="V526" s="371"/>
      <c r="W526" s="371"/>
      <c r="X526" s="371"/>
      <c r="Y526" s="3"/>
      <c r="Z526" s="3004"/>
      <c r="AA526" s="3005"/>
      <c r="AB526" s="3005"/>
      <c r="AC526" s="3005"/>
      <c r="AD526" s="3005"/>
      <c r="AE526" s="3005"/>
      <c r="AF526" s="3005"/>
      <c r="AG526" s="3005"/>
      <c r="AH526" s="3005"/>
      <c r="AI526" s="3005"/>
      <c r="AJ526" s="3005"/>
      <c r="AK526" s="3005"/>
      <c r="AL526" s="3005"/>
      <c r="AM526" s="3005"/>
      <c r="AN526" s="3005"/>
      <c r="AO526" s="3005"/>
      <c r="AP526" s="3005"/>
      <c r="AQ526" s="3005"/>
      <c r="AR526" s="3005"/>
      <c r="AS526" s="3005"/>
      <c r="AT526" s="3005"/>
      <c r="AU526" s="3006"/>
      <c r="AW526" s="197"/>
      <c r="AX526" s="197"/>
    </row>
    <row r="527" spans="1:53" ht="15.75" customHeight="1" x14ac:dyDescent="0.15">
      <c r="A527" s="2"/>
      <c r="B527" s="371"/>
      <c r="C527" s="371"/>
      <c r="D527" s="371"/>
      <c r="E527" s="371"/>
      <c r="F527" s="371"/>
      <c r="G527" s="371"/>
      <c r="H527" s="371"/>
      <c r="I527" s="371"/>
      <c r="J527" s="371"/>
      <c r="K527" s="371"/>
      <c r="L527" s="371"/>
      <c r="M527" s="371"/>
      <c r="N527" s="371"/>
      <c r="O527" s="371"/>
      <c r="P527" s="371"/>
      <c r="Q527" s="371"/>
      <c r="R527" s="371"/>
      <c r="S527" s="371"/>
      <c r="T527" s="371"/>
      <c r="U527" s="371"/>
      <c r="V527" s="371"/>
      <c r="W527" s="371"/>
      <c r="X527" s="371"/>
      <c r="Y527" s="3"/>
      <c r="Z527" s="3004"/>
      <c r="AA527" s="3005"/>
      <c r="AB527" s="3005"/>
      <c r="AC527" s="3005"/>
      <c r="AD527" s="3005"/>
      <c r="AE527" s="3005"/>
      <c r="AF527" s="3005"/>
      <c r="AG527" s="3005"/>
      <c r="AH527" s="3005"/>
      <c r="AI527" s="3005"/>
      <c r="AJ527" s="3005"/>
      <c r="AK527" s="3005"/>
      <c r="AL527" s="3005"/>
      <c r="AM527" s="3005"/>
      <c r="AN527" s="3005"/>
      <c r="AO527" s="3005"/>
      <c r="AP527" s="3005"/>
      <c r="AQ527" s="3005"/>
      <c r="AR527" s="3005"/>
      <c r="AS527" s="3005"/>
      <c r="AT527" s="3005"/>
      <c r="AU527" s="3006"/>
      <c r="AW527" s="197"/>
      <c r="AX527" s="197"/>
    </row>
    <row r="528" spans="1:53" ht="15.75" customHeight="1" x14ac:dyDescent="0.15">
      <c r="A528" s="2"/>
      <c r="B528" s="371"/>
      <c r="C528" s="371"/>
      <c r="D528" s="371"/>
      <c r="E528" s="371"/>
      <c r="F528" s="371"/>
      <c r="G528" s="371"/>
      <c r="H528" s="371"/>
      <c r="I528" s="371"/>
      <c r="J528" s="371"/>
      <c r="K528" s="371"/>
      <c r="L528" s="371"/>
      <c r="M528" s="371"/>
      <c r="N528" s="371"/>
      <c r="O528" s="371"/>
      <c r="P528" s="371"/>
      <c r="Q528" s="371"/>
      <c r="R528" s="371"/>
      <c r="S528" s="371"/>
      <c r="T528" s="371"/>
      <c r="U528" s="371"/>
      <c r="V528" s="371"/>
      <c r="W528" s="371"/>
      <c r="X528" s="371"/>
      <c r="Y528" s="3"/>
      <c r="Z528" s="3004"/>
      <c r="AA528" s="3005"/>
      <c r="AB528" s="3005"/>
      <c r="AC528" s="3005"/>
      <c r="AD528" s="3005"/>
      <c r="AE528" s="3005"/>
      <c r="AF528" s="3005"/>
      <c r="AG528" s="3005"/>
      <c r="AH528" s="3005"/>
      <c r="AI528" s="3005"/>
      <c r="AJ528" s="3005"/>
      <c r="AK528" s="3005"/>
      <c r="AL528" s="3005"/>
      <c r="AM528" s="3005"/>
      <c r="AN528" s="3005"/>
      <c r="AO528" s="3005"/>
      <c r="AP528" s="3005"/>
      <c r="AQ528" s="3005"/>
      <c r="AR528" s="3005"/>
      <c r="AS528" s="3005"/>
      <c r="AT528" s="3005"/>
      <c r="AU528" s="3006"/>
      <c r="AW528" s="197"/>
      <c r="AX528" s="197"/>
    </row>
    <row r="529" spans="1:50" ht="15.75" customHeight="1" x14ac:dyDescent="0.15">
      <c r="A529" s="2"/>
      <c r="B529" s="371"/>
      <c r="C529" s="371"/>
      <c r="D529" s="371"/>
      <c r="E529" s="371"/>
      <c r="F529" s="371"/>
      <c r="G529" s="371"/>
      <c r="H529" s="371"/>
      <c r="I529" s="371"/>
      <c r="J529" s="371"/>
      <c r="K529" s="371"/>
      <c r="L529" s="371"/>
      <c r="M529" s="371"/>
      <c r="N529" s="371"/>
      <c r="O529" s="371"/>
      <c r="P529" s="371"/>
      <c r="Q529" s="371"/>
      <c r="R529" s="371"/>
      <c r="S529" s="371"/>
      <c r="T529" s="371"/>
      <c r="U529" s="371"/>
      <c r="V529" s="371"/>
      <c r="W529" s="371"/>
      <c r="X529" s="371"/>
      <c r="Y529" s="3"/>
      <c r="Z529" s="3004"/>
      <c r="AA529" s="3005"/>
      <c r="AB529" s="3005"/>
      <c r="AC529" s="3005"/>
      <c r="AD529" s="3005"/>
      <c r="AE529" s="3005"/>
      <c r="AF529" s="3005"/>
      <c r="AG529" s="3005"/>
      <c r="AH529" s="3005"/>
      <c r="AI529" s="3005"/>
      <c r="AJ529" s="3005"/>
      <c r="AK529" s="3005"/>
      <c r="AL529" s="3005"/>
      <c r="AM529" s="3005"/>
      <c r="AN529" s="3005"/>
      <c r="AO529" s="3005"/>
      <c r="AP529" s="3005"/>
      <c r="AQ529" s="3005"/>
      <c r="AR529" s="3005"/>
      <c r="AS529" s="3005"/>
      <c r="AT529" s="3005"/>
      <c r="AU529" s="3006"/>
      <c r="AW529" s="197"/>
      <c r="AX529" s="197"/>
    </row>
    <row r="530" spans="1:50" ht="15.75" customHeight="1" x14ac:dyDescent="0.15">
      <c r="A530" s="2"/>
      <c r="B530" s="371"/>
      <c r="C530" s="371"/>
      <c r="D530" s="371"/>
      <c r="E530" s="371"/>
      <c r="F530" s="371"/>
      <c r="G530" s="371"/>
      <c r="H530" s="371"/>
      <c r="I530" s="371"/>
      <c r="J530" s="371"/>
      <c r="K530" s="371"/>
      <c r="L530" s="371"/>
      <c r="M530" s="371"/>
      <c r="N530" s="371"/>
      <c r="O530" s="371"/>
      <c r="P530" s="371"/>
      <c r="Q530" s="371"/>
      <c r="R530" s="371"/>
      <c r="S530" s="371"/>
      <c r="T530" s="371"/>
      <c r="U530" s="371"/>
      <c r="V530" s="371"/>
      <c r="W530" s="371"/>
      <c r="X530" s="371"/>
      <c r="Y530" s="3"/>
      <c r="Z530" s="3004"/>
      <c r="AA530" s="3005"/>
      <c r="AB530" s="3005"/>
      <c r="AC530" s="3005"/>
      <c r="AD530" s="3005"/>
      <c r="AE530" s="3005"/>
      <c r="AF530" s="3005"/>
      <c r="AG530" s="3005"/>
      <c r="AH530" s="3005"/>
      <c r="AI530" s="3005"/>
      <c r="AJ530" s="3005"/>
      <c r="AK530" s="3005"/>
      <c r="AL530" s="3005"/>
      <c r="AM530" s="3005"/>
      <c r="AN530" s="3005"/>
      <c r="AO530" s="3005"/>
      <c r="AP530" s="3005"/>
      <c r="AQ530" s="3005"/>
      <c r="AR530" s="3005"/>
      <c r="AS530" s="3005"/>
      <c r="AT530" s="3005"/>
      <c r="AU530" s="3006"/>
      <c r="AW530" s="197"/>
      <c r="AX530" s="197"/>
    </row>
    <row r="531" spans="1:50" ht="15.75" customHeight="1" x14ac:dyDescent="0.15">
      <c r="A531" s="2"/>
      <c r="B531" s="371"/>
      <c r="C531" s="371"/>
      <c r="D531" s="371"/>
      <c r="E531" s="371"/>
      <c r="F531" s="371"/>
      <c r="G531" s="371"/>
      <c r="H531" s="371"/>
      <c r="I531" s="371"/>
      <c r="J531" s="371"/>
      <c r="K531" s="371"/>
      <c r="L531" s="371"/>
      <c r="M531" s="371"/>
      <c r="N531" s="371"/>
      <c r="O531" s="371"/>
      <c r="P531" s="371"/>
      <c r="Q531" s="371"/>
      <c r="R531" s="371"/>
      <c r="S531" s="371"/>
      <c r="T531" s="371"/>
      <c r="U531" s="371"/>
      <c r="V531" s="371"/>
      <c r="W531" s="371"/>
      <c r="X531" s="371"/>
      <c r="Y531" s="3"/>
      <c r="Z531" s="3004"/>
      <c r="AA531" s="3005"/>
      <c r="AB531" s="3005"/>
      <c r="AC531" s="3005"/>
      <c r="AD531" s="3005"/>
      <c r="AE531" s="3005"/>
      <c r="AF531" s="3005"/>
      <c r="AG531" s="3005"/>
      <c r="AH531" s="3005"/>
      <c r="AI531" s="3005"/>
      <c r="AJ531" s="3005"/>
      <c r="AK531" s="3005"/>
      <c r="AL531" s="3005"/>
      <c r="AM531" s="3005"/>
      <c r="AN531" s="3005"/>
      <c r="AO531" s="3005"/>
      <c r="AP531" s="3005"/>
      <c r="AQ531" s="3005"/>
      <c r="AR531" s="3005"/>
      <c r="AS531" s="3005"/>
      <c r="AT531" s="3005"/>
      <c r="AU531" s="3006"/>
      <c r="AW531" s="197"/>
      <c r="AX531" s="197"/>
    </row>
    <row r="532" spans="1:50" ht="15.75" customHeight="1" x14ac:dyDescent="0.15">
      <c r="A532" s="2"/>
      <c r="B532" s="371"/>
      <c r="C532" s="371"/>
      <c r="D532" s="371"/>
      <c r="E532" s="371"/>
      <c r="F532" s="371"/>
      <c r="G532" s="371"/>
      <c r="H532" s="371"/>
      <c r="I532" s="371"/>
      <c r="J532" s="371"/>
      <c r="K532" s="371"/>
      <c r="L532" s="371"/>
      <c r="M532" s="371"/>
      <c r="N532" s="371"/>
      <c r="O532" s="371"/>
      <c r="P532" s="371"/>
      <c r="Q532" s="371"/>
      <c r="R532" s="371"/>
      <c r="S532" s="371"/>
      <c r="T532" s="371"/>
      <c r="U532" s="371"/>
      <c r="V532" s="371"/>
      <c r="W532" s="371"/>
      <c r="X532" s="371"/>
      <c r="Y532" s="3"/>
      <c r="Z532" s="3004"/>
      <c r="AA532" s="3005"/>
      <c r="AB532" s="3005"/>
      <c r="AC532" s="3005"/>
      <c r="AD532" s="3005"/>
      <c r="AE532" s="3005"/>
      <c r="AF532" s="3005"/>
      <c r="AG532" s="3005"/>
      <c r="AH532" s="3005"/>
      <c r="AI532" s="3005"/>
      <c r="AJ532" s="3005"/>
      <c r="AK532" s="3005"/>
      <c r="AL532" s="3005"/>
      <c r="AM532" s="3005"/>
      <c r="AN532" s="3005"/>
      <c r="AO532" s="3005"/>
      <c r="AP532" s="3005"/>
      <c r="AQ532" s="3005"/>
      <c r="AR532" s="3005"/>
      <c r="AS532" s="3005"/>
      <c r="AT532" s="3005"/>
      <c r="AU532" s="3006"/>
      <c r="AW532" s="197"/>
      <c r="AX532" s="197"/>
    </row>
    <row r="533" spans="1:50" ht="15.75" customHeight="1" x14ac:dyDescent="0.15">
      <c r="A533" s="6"/>
      <c r="B533" s="4"/>
      <c r="C533" s="4"/>
      <c r="D533" s="4"/>
      <c r="E533" s="4"/>
      <c r="F533" s="4"/>
      <c r="G533" s="4"/>
      <c r="H533" s="4"/>
      <c r="I533" s="4"/>
      <c r="J533" s="4"/>
      <c r="K533" s="4"/>
      <c r="L533" s="4"/>
      <c r="M533" s="4"/>
      <c r="N533" s="4"/>
      <c r="O533" s="4"/>
      <c r="P533" s="4"/>
      <c r="Q533" s="4"/>
      <c r="R533" s="4"/>
      <c r="S533" s="4"/>
      <c r="T533" s="4"/>
      <c r="U533" s="4"/>
      <c r="V533" s="4"/>
      <c r="W533" s="4"/>
      <c r="X533" s="4"/>
      <c r="Y533" s="5"/>
      <c r="Z533" s="3007"/>
      <c r="AA533" s="3008"/>
      <c r="AB533" s="3008"/>
      <c r="AC533" s="3008"/>
      <c r="AD533" s="3008"/>
      <c r="AE533" s="3008"/>
      <c r="AF533" s="3008"/>
      <c r="AG533" s="3008"/>
      <c r="AH533" s="3008"/>
      <c r="AI533" s="3008"/>
      <c r="AJ533" s="3008"/>
      <c r="AK533" s="3008"/>
      <c r="AL533" s="3008"/>
      <c r="AM533" s="3008"/>
      <c r="AN533" s="3008"/>
      <c r="AO533" s="3008"/>
      <c r="AP533" s="3008"/>
      <c r="AQ533" s="3008"/>
      <c r="AR533" s="3008"/>
      <c r="AS533" s="3008"/>
      <c r="AT533" s="3008"/>
      <c r="AU533" s="3009"/>
      <c r="AW533" s="197"/>
      <c r="AX533" s="197"/>
    </row>
    <row r="534" spans="1:50" ht="12.75" customHeight="1" x14ac:dyDescent="0.15">
      <c r="AW534" s="197"/>
      <c r="AX534" s="197"/>
    </row>
    <row r="535" spans="1:50" ht="12.75" customHeight="1" x14ac:dyDescent="0.15">
      <c r="A535" s="3027" t="s">
        <v>150</v>
      </c>
      <c r="B535" s="3027"/>
      <c r="C535" s="3027"/>
      <c r="D535" s="3027"/>
      <c r="AU535" s="337"/>
      <c r="AW535" s="197"/>
      <c r="AX535" s="197"/>
    </row>
    <row r="536" spans="1:50" ht="12.75" customHeight="1" x14ac:dyDescent="0.15">
      <c r="B536" s="338" t="s">
        <v>151</v>
      </c>
      <c r="C536" s="2993" t="s">
        <v>169</v>
      </c>
      <c r="D536" s="2993"/>
      <c r="E536" s="2993"/>
      <c r="F536" s="2993"/>
      <c r="G536" s="2993"/>
      <c r="H536" s="2993"/>
      <c r="I536" s="2993"/>
      <c r="J536" s="2993"/>
      <c r="K536" s="2993"/>
      <c r="L536" s="2993"/>
      <c r="M536" s="2993"/>
      <c r="N536" s="2993"/>
      <c r="O536" s="2993"/>
      <c r="P536" s="2993"/>
      <c r="Q536" s="2993"/>
      <c r="R536" s="2993"/>
      <c r="S536" s="2993"/>
      <c r="T536" s="2993"/>
      <c r="U536" s="2993"/>
      <c r="V536" s="2993"/>
      <c r="W536" s="2993"/>
      <c r="X536" s="2993"/>
      <c r="Y536" s="2993"/>
      <c r="Z536" s="2993"/>
      <c r="AA536" s="2993"/>
      <c r="AB536" s="2993"/>
      <c r="AC536" s="2993"/>
      <c r="AD536" s="2993"/>
      <c r="AE536" s="2993"/>
      <c r="AF536" s="2993"/>
      <c r="AG536" s="2993"/>
      <c r="AH536" s="2993"/>
      <c r="AI536" s="2993"/>
      <c r="AJ536" s="2993"/>
      <c r="AK536" s="2993"/>
      <c r="AL536" s="2993"/>
      <c r="AM536" s="2993"/>
      <c r="AN536" s="2993"/>
      <c r="AO536" s="2993"/>
      <c r="AP536" s="2993"/>
      <c r="AQ536" s="2993"/>
      <c r="AR536" s="2993"/>
      <c r="AS536" s="2993"/>
      <c r="AT536" s="2993"/>
      <c r="AU536" s="2993"/>
      <c r="AW536" s="197"/>
      <c r="AX536" s="197"/>
    </row>
    <row r="537" spans="1:50" ht="12.75" customHeight="1" x14ac:dyDescent="0.15">
      <c r="B537" s="338"/>
      <c r="C537" s="2994" t="s">
        <v>170</v>
      </c>
      <c r="D537" s="2994"/>
      <c r="E537" s="2994"/>
      <c r="F537" s="2994"/>
      <c r="G537" s="2994"/>
      <c r="H537" s="2994"/>
      <c r="I537" s="2994"/>
      <c r="J537" s="2994"/>
      <c r="K537" s="2994"/>
      <c r="L537" s="2994"/>
      <c r="M537" s="2994"/>
      <c r="N537" s="2994"/>
      <c r="O537" s="2994"/>
      <c r="P537" s="2994"/>
      <c r="Q537" s="2994"/>
      <c r="R537" s="2994"/>
      <c r="S537" s="2994"/>
      <c r="T537" s="2994"/>
      <c r="U537" s="2994"/>
      <c r="V537" s="2994"/>
      <c r="W537" s="2994"/>
      <c r="X537" s="2994"/>
      <c r="Y537" s="2994"/>
      <c r="Z537" s="2994"/>
      <c r="AA537" s="2994"/>
      <c r="AB537" s="2994"/>
      <c r="AC537" s="2994"/>
      <c r="AD537" s="2994"/>
      <c r="AE537" s="2994"/>
      <c r="AF537" s="2994"/>
      <c r="AG537" s="2994"/>
      <c r="AH537" s="2994"/>
      <c r="AI537" s="2994"/>
      <c r="AJ537" s="2994"/>
      <c r="AK537" s="2994"/>
      <c r="AL537" s="2994"/>
      <c r="AM537" s="2994"/>
      <c r="AN537" s="2994"/>
      <c r="AO537" s="2994"/>
      <c r="AP537" s="2994"/>
      <c r="AQ537" s="2994"/>
      <c r="AR537" s="2994"/>
      <c r="AS537" s="2994"/>
      <c r="AT537" s="2994"/>
      <c r="AU537" s="2994"/>
      <c r="AW537" s="197"/>
      <c r="AX537" s="197"/>
    </row>
    <row r="538" spans="1:50" ht="12.75" customHeight="1" x14ac:dyDescent="0.15">
      <c r="B538" s="338"/>
      <c r="C538" s="2994" t="s">
        <v>171</v>
      </c>
      <c r="D538" s="2994"/>
      <c r="E538" s="2994"/>
      <c r="F538" s="2994"/>
      <c r="G538" s="2994"/>
      <c r="H538" s="2994"/>
      <c r="I538" s="2994"/>
      <c r="J538" s="2994"/>
      <c r="K538" s="2994"/>
      <c r="L538" s="2994"/>
      <c r="M538" s="2994"/>
      <c r="N538" s="2994"/>
      <c r="O538" s="2994"/>
      <c r="P538" s="2994"/>
      <c r="Q538" s="2994"/>
      <c r="R538" s="2994"/>
      <c r="S538" s="2994"/>
      <c r="T538" s="2994"/>
      <c r="U538" s="2994"/>
      <c r="V538" s="2994"/>
      <c r="W538" s="2994"/>
      <c r="X538" s="2994"/>
      <c r="Y538" s="2994"/>
      <c r="Z538" s="2994"/>
      <c r="AA538" s="2994"/>
      <c r="AB538" s="2994"/>
      <c r="AC538" s="2994"/>
      <c r="AD538" s="2994"/>
      <c r="AE538" s="2994"/>
      <c r="AF538" s="2994"/>
      <c r="AG538" s="2994"/>
      <c r="AH538" s="2994"/>
      <c r="AI538" s="2994"/>
      <c r="AJ538" s="2994"/>
      <c r="AK538" s="2994"/>
      <c r="AL538" s="2994"/>
      <c r="AM538" s="2994"/>
      <c r="AN538" s="2994"/>
      <c r="AO538" s="2994"/>
      <c r="AP538" s="2994"/>
      <c r="AQ538" s="2994"/>
      <c r="AR538" s="2994"/>
      <c r="AS538" s="2994"/>
      <c r="AT538" s="2994"/>
      <c r="AU538" s="2994"/>
      <c r="AW538" s="197"/>
      <c r="AX538" s="197"/>
    </row>
    <row r="539" spans="1:50" ht="12.75" customHeight="1" x14ac:dyDescent="0.15">
      <c r="B539" s="338" t="s">
        <v>158</v>
      </c>
      <c r="C539" s="2994" t="s">
        <v>159</v>
      </c>
      <c r="D539" s="2994"/>
      <c r="E539" s="2994"/>
      <c r="F539" s="2994"/>
      <c r="G539" s="2994"/>
      <c r="H539" s="2994"/>
      <c r="I539" s="2994"/>
      <c r="J539" s="2994"/>
      <c r="K539" s="2994"/>
      <c r="L539" s="2994"/>
      <c r="M539" s="2994"/>
      <c r="N539" s="2994"/>
      <c r="O539" s="2994"/>
      <c r="P539" s="2994"/>
      <c r="Q539" s="2994"/>
      <c r="R539" s="2994"/>
      <c r="S539" s="2994"/>
      <c r="T539" s="2994"/>
      <c r="U539" s="2994"/>
      <c r="V539" s="2994"/>
      <c r="W539" s="2994"/>
      <c r="X539" s="2994"/>
      <c r="Y539" s="2994"/>
      <c r="Z539" s="2994"/>
      <c r="AA539" s="2994"/>
      <c r="AB539" s="2994"/>
      <c r="AC539" s="2994"/>
      <c r="AD539" s="2994"/>
      <c r="AE539" s="2994"/>
      <c r="AF539" s="2994"/>
      <c r="AG539" s="2994"/>
      <c r="AH539" s="2994"/>
      <c r="AI539" s="2994"/>
      <c r="AJ539" s="2994"/>
      <c r="AK539" s="2994"/>
      <c r="AL539" s="2994"/>
      <c r="AM539" s="2994"/>
      <c r="AN539" s="2994"/>
      <c r="AO539" s="2994"/>
      <c r="AP539" s="2994"/>
      <c r="AQ539" s="2994"/>
      <c r="AR539" s="2994"/>
      <c r="AS539" s="2994"/>
      <c r="AT539" s="2994"/>
      <c r="AU539" s="2994"/>
      <c r="AW539" s="197"/>
      <c r="AX539" s="197"/>
    </row>
    <row r="540" spans="1:50" ht="12.75" customHeight="1" x14ac:dyDescent="0.15">
      <c r="B540" s="338" t="s">
        <v>152</v>
      </c>
      <c r="C540" s="2994" t="s">
        <v>0</v>
      </c>
      <c r="D540" s="2994"/>
      <c r="E540" s="2994"/>
      <c r="F540" s="2994"/>
      <c r="G540" s="2994"/>
      <c r="H540" s="2994"/>
      <c r="I540" s="2994"/>
      <c r="J540" s="2994"/>
      <c r="K540" s="2994"/>
      <c r="L540" s="2994"/>
      <c r="M540" s="2994"/>
      <c r="N540" s="2994"/>
      <c r="O540" s="2994"/>
      <c r="P540" s="2994"/>
      <c r="Q540" s="2994"/>
      <c r="R540" s="2994"/>
      <c r="S540" s="2994"/>
      <c r="T540" s="2994"/>
      <c r="U540" s="2994"/>
      <c r="V540" s="2994"/>
      <c r="W540" s="2994"/>
      <c r="X540" s="2994"/>
      <c r="Y540" s="2994"/>
      <c r="Z540" s="2994"/>
      <c r="AA540" s="2994"/>
      <c r="AB540" s="2994"/>
      <c r="AC540" s="2994"/>
      <c r="AD540" s="2994"/>
      <c r="AE540" s="2994"/>
      <c r="AF540" s="2994"/>
      <c r="AG540" s="2994"/>
      <c r="AH540" s="2994"/>
      <c r="AI540" s="2994"/>
      <c r="AJ540" s="2994"/>
      <c r="AK540" s="2994"/>
      <c r="AL540" s="2994"/>
      <c r="AM540" s="2994"/>
      <c r="AN540" s="2994"/>
      <c r="AO540" s="2994"/>
      <c r="AP540" s="2994"/>
      <c r="AQ540" s="2994"/>
      <c r="AR540" s="2994"/>
      <c r="AS540" s="2994"/>
      <c r="AT540" s="2994"/>
      <c r="AU540" s="2994"/>
      <c r="AW540" s="197"/>
      <c r="AX540" s="197"/>
    </row>
    <row r="541" spans="1:50" ht="12.75" customHeight="1" x14ac:dyDescent="0.15">
      <c r="B541" s="338" t="s">
        <v>160</v>
      </c>
      <c r="C541" s="2994" t="s">
        <v>172</v>
      </c>
      <c r="D541" s="2994"/>
      <c r="E541" s="2994"/>
      <c r="F541" s="2994"/>
      <c r="G541" s="2994"/>
      <c r="H541" s="2994"/>
      <c r="I541" s="2994"/>
      <c r="J541" s="2994"/>
      <c r="K541" s="2994"/>
      <c r="L541" s="2994"/>
      <c r="M541" s="2994"/>
      <c r="N541" s="2994"/>
      <c r="O541" s="2994"/>
      <c r="P541" s="2994"/>
      <c r="Q541" s="2994"/>
      <c r="R541" s="2994"/>
      <c r="S541" s="2994"/>
      <c r="T541" s="2994"/>
      <c r="U541" s="2994"/>
      <c r="V541" s="2994"/>
      <c r="W541" s="2994"/>
      <c r="X541" s="2994"/>
      <c r="Y541" s="2994"/>
      <c r="Z541" s="2994"/>
      <c r="AA541" s="2994"/>
      <c r="AB541" s="2994"/>
      <c r="AC541" s="2994"/>
      <c r="AD541" s="2994"/>
      <c r="AE541" s="2994"/>
      <c r="AF541" s="2994"/>
      <c r="AG541" s="2994"/>
      <c r="AH541" s="2994"/>
      <c r="AI541" s="2994"/>
      <c r="AJ541" s="2994"/>
      <c r="AK541" s="2994"/>
      <c r="AL541" s="2994"/>
      <c r="AM541" s="2994"/>
      <c r="AN541" s="2994"/>
      <c r="AO541" s="2994"/>
      <c r="AP541" s="2994"/>
      <c r="AQ541" s="2994"/>
      <c r="AR541" s="2994"/>
      <c r="AS541" s="2994"/>
      <c r="AT541" s="2994"/>
      <c r="AU541" s="2994"/>
      <c r="AW541" s="197"/>
      <c r="AX541" s="197"/>
    </row>
    <row r="542" spans="1:50" ht="12.75" customHeight="1" x14ac:dyDescent="0.15">
      <c r="C542" s="2994" t="s">
        <v>173</v>
      </c>
      <c r="D542" s="2994"/>
      <c r="E542" s="2994"/>
      <c r="F542" s="2994"/>
      <c r="G542" s="2994"/>
      <c r="H542" s="2994"/>
      <c r="I542" s="2994"/>
      <c r="J542" s="2994"/>
      <c r="K542" s="2994"/>
      <c r="L542" s="2994"/>
      <c r="M542" s="2994"/>
      <c r="N542" s="2994"/>
      <c r="O542" s="2994"/>
      <c r="P542" s="2994"/>
      <c r="Q542" s="2994"/>
      <c r="R542" s="2994"/>
      <c r="S542" s="2994"/>
      <c r="T542" s="2994"/>
      <c r="U542" s="2994"/>
      <c r="V542" s="2994"/>
      <c r="W542" s="2994"/>
      <c r="X542" s="2994"/>
      <c r="Y542" s="2994"/>
      <c r="Z542" s="2994"/>
      <c r="AA542" s="2994"/>
      <c r="AB542" s="2994"/>
      <c r="AC542" s="2994"/>
      <c r="AD542" s="2994"/>
      <c r="AE542" s="2994"/>
      <c r="AF542" s="2994"/>
      <c r="AG542" s="2994"/>
      <c r="AH542" s="2994"/>
      <c r="AI542" s="2994"/>
      <c r="AJ542" s="2994"/>
      <c r="AK542" s="2994"/>
      <c r="AL542" s="2994"/>
      <c r="AM542" s="2994"/>
      <c r="AN542" s="2994"/>
      <c r="AO542" s="2994"/>
      <c r="AP542" s="2994"/>
      <c r="AQ542" s="2994"/>
      <c r="AR542" s="2994"/>
      <c r="AS542" s="2994"/>
      <c r="AT542" s="2994"/>
      <c r="AU542" s="2994"/>
      <c r="AW542" s="197"/>
      <c r="AX542" s="197"/>
    </row>
    <row r="543" spans="1:50" ht="12.75" customHeight="1" x14ac:dyDescent="0.15">
      <c r="B543" s="338" t="s">
        <v>1</v>
      </c>
      <c r="C543" s="2994" t="s">
        <v>2</v>
      </c>
      <c r="D543" s="2994"/>
      <c r="E543" s="2994"/>
      <c r="F543" s="2994"/>
      <c r="G543" s="2994"/>
      <c r="H543" s="2994"/>
      <c r="I543" s="2994"/>
      <c r="J543" s="2994"/>
      <c r="K543" s="2994"/>
      <c r="L543" s="2994"/>
      <c r="M543" s="2994"/>
      <c r="N543" s="2994"/>
      <c r="O543" s="2994"/>
      <c r="P543" s="2994"/>
      <c r="Q543" s="2994"/>
      <c r="R543" s="2994"/>
      <c r="S543" s="2994"/>
      <c r="T543" s="2994"/>
      <c r="U543" s="2994"/>
      <c r="V543" s="2994"/>
      <c r="W543" s="2994"/>
      <c r="X543" s="2994"/>
      <c r="Y543" s="2994"/>
      <c r="Z543" s="2994"/>
      <c r="AA543" s="2994"/>
      <c r="AB543" s="2994"/>
      <c r="AC543" s="2994"/>
      <c r="AD543" s="2994"/>
      <c r="AE543" s="2994"/>
      <c r="AF543" s="2994"/>
      <c r="AG543" s="2994"/>
      <c r="AH543" s="2994"/>
      <c r="AI543" s="2994"/>
      <c r="AJ543" s="2994"/>
      <c r="AK543" s="2994"/>
      <c r="AL543" s="2994"/>
      <c r="AM543" s="2994"/>
      <c r="AN543" s="2994"/>
      <c r="AO543" s="2994"/>
      <c r="AP543" s="2994"/>
      <c r="AQ543" s="2994"/>
      <c r="AR543" s="2994"/>
      <c r="AS543" s="2994"/>
      <c r="AT543" s="2994"/>
      <c r="AU543" s="2994"/>
      <c r="AW543" s="197"/>
      <c r="AX543" s="197"/>
    </row>
    <row r="544" spans="1:50" ht="12.75" customHeight="1" x14ac:dyDescent="0.15">
      <c r="AG544" s="337"/>
      <c r="AH544" s="337"/>
      <c r="AI544" s="337"/>
      <c r="AJ544" s="337"/>
      <c r="AK544" s="337"/>
      <c r="AL544" s="337"/>
      <c r="AM544" s="337"/>
      <c r="AN544" s="337"/>
      <c r="AO544" s="337"/>
      <c r="AP544" s="337"/>
      <c r="AQ544" s="337"/>
      <c r="AR544" s="337"/>
      <c r="AS544" s="337"/>
      <c r="AT544" s="337"/>
      <c r="AW544" s="197"/>
      <c r="AX544" s="197"/>
    </row>
    <row r="545" spans="1:53" ht="12.75" customHeight="1" x14ac:dyDescent="0.15">
      <c r="AW545" s="197"/>
      <c r="AX545" s="197"/>
    </row>
    <row r="546" spans="1:53" ht="12.75" customHeight="1" x14ac:dyDescent="0.15">
      <c r="A546" s="336" t="s">
        <v>18</v>
      </c>
      <c r="B546" s="336" t="s">
        <v>153</v>
      </c>
      <c r="C546" s="336">
        <v>2</v>
      </c>
      <c r="D546" s="336" t="s">
        <v>5</v>
      </c>
      <c r="E546" s="336" t="s">
        <v>6</v>
      </c>
      <c r="F546" s="336"/>
      <c r="G546" s="336" t="s">
        <v>25</v>
      </c>
      <c r="H546" s="336" t="s">
        <v>175</v>
      </c>
      <c r="I546" s="336">
        <v>4</v>
      </c>
      <c r="J546" s="336" t="s">
        <v>22</v>
      </c>
      <c r="AO546" s="423" t="str">
        <f>$AO$7</f>
        <v>Kyoto City（R7.7） ver.120</v>
      </c>
      <c r="AP546" s="387" t="str">
        <f>IF('1_入力シート【基本情報】'!$AB$7="","",'1_入力シート【基本情報】'!$AB$7)</f>
        <v/>
      </c>
      <c r="AQ546" s="386" t="str">
        <f>IF('1_入力シート【基本情報】'!$AK$7="","",'1_入力シート【基本情報】'!$AK$7)</f>
        <v/>
      </c>
      <c r="AR546" s="2990" t="str">
        <f>IF('1_入力シート【基本情報】'!$AT$7="","",TEXT('1_入力シート【基本情報】'!$AT$7,"0000"))</f>
        <v/>
      </c>
      <c r="AS546" s="2991"/>
      <c r="AT546" s="2991"/>
      <c r="AU546" s="2992"/>
      <c r="AW546" s="197"/>
      <c r="AX546" s="197"/>
    </row>
    <row r="547" spans="1:53" ht="12.75" customHeight="1" x14ac:dyDescent="0.15">
      <c r="U547" s="3049" t="s">
        <v>174</v>
      </c>
      <c r="V547" s="3049"/>
      <c r="W547" s="3049"/>
      <c r="X547" s="3049"/>
      <c r="Y547" s="3049"/>
      <c r="Z547" s="3049"/>
      <c r="AW547" s="197"/>
      <c r="AX547" s="197"/>
    </row>
    <row r="548" spans="1:53" ht="12.75" customHeight="1" x14ac:dyDescent="0.15">
      <c r="AW548" s="197"/>
      <c r="AX548" s="197"/>
    </row>
    <row r="549" spans="1:53" ht="15.75" customHeight="1" x14ac:dyDescent="0.15">
      <c r="A549" s="3018" t="s">
        <v>154</v>
      </c>
      <c r="B549" s="3019"/>
      <c r="C549" s="3020"/>
      <c r="D549" s="3037" t="s">
        <v>155</v>
      </c>
      <c r="E549" s="3038"/>
      <c r="F549" s="3038"/>
      <c r="G549" s="3038"/>
      <c r="H549" s="3038"/>
      <c r="I549" s="3038"/>
      <c r="J549" s="3039"/>
      <c r="K549" s="340"/>
      <c r="L549" s="341"/>
      <c r="M549" s="341"/>
      <c r="N549" s="341"/>
      <c r="O549" s="341"/>
      <c r="P549" s="341"/>
      <c r="Q549" s="341"/>
      <c r="R549" s="341"/>
      <c r="S549" s="342" t="s">
        <v>7</v>
      </c>
      <c r="T549" s="342" t="s">
        <v>8</v>
      </c>
      <c r="U549" s="342" t="s">
        <v>9</v>
      </c>
      <c r="V549" s="342" t="s">
        <v>156</v>
      </c>
      <c r="W549" s="342"/>
      <c r="X549" s="342"/>
      <c r="Y549" s="342"/>
      <c r="Z549" s="342"/>
      <c r="AA549" s="342"/>
      <c r="AB549" s="342"/>
      <c r="AC549" s="342"/>
      <c r="AD549" s="342"/>
      <c r="AE549" s="342"/>
      <c r="AF549" s="342"/>
      <c r="AG549" s="342"/>
      <c r="AH549" s="342"/>
      <c r="AI549" s="343"/>
      <c r="AJ549" s="344"/>
      <c r="AK549" s="3038" t="s">
        <v>33</v>
      </c>
      <c r="AL549" s="3038"/>
      <c r="AM549" s="3038"/>
      <c r="AN549" s="3038"/>
      <c r="AO549" s="3038"/>
      <c r="AP549" s="3038"/>
      <c r="AQ549" s="3038"/>
      <c r="AR549" s="3038"/>
      <c r="AS549" s="3038"/>
      <c r="AT549" s="3038"/>
      <c r="AU549" s="345"/>
      <c r="AW549" s="197"/>
      <c r="AX549" s="197"/>
    </row>
    <row r="550" spans="1:53" ht="15.75" customHeight="1" thickBot="1" x14ac:dyDescent="0.2">
      <c r="A550" s="3031"/>
      <c r="B550" s="3032"/>
      <c r="C550" s="3033"/>
      <c r="D550" s="3018" t="str">
        <f>IFERROR(VLOOKUP(19,'1_入力シート【基本情報】'!$DU$319:$DX$534,3,FALSE),"")</f>
        <v/>
      </c>
      <c r="E550" s="3019"/>
      <c r="F550" s="3019"/>
      <c r="G550" s="3019"/>
      <c r="H550" s="3019"/>
      <c r="I550" s="3019"/>
      <c r="J550" s="3020"/>
      <c r="K550" s="3040" t="str">
        <f>IFERROR(VLOOKUP(19,'1_入力シート【基本情報】'!$DU$319:$DX$534,4,FALSE),"")</f>
        <v/>
      </c>
      <c r="L550" s="3041"/>
      <c r="M550" s="3041"/>
      <c r="N550" s="3041"/>
      <c r="O550" s="3041"/>
      <c r="P550" s="3041"/>
      <c r="Q550" s="3041"/>
      <c r="R550" s="3041"/>
      <c r="S550" s="3041"/>
      <c r="T550" s="3041"/>
      <c r="U550" s="3041"/>
      <c r="V550" s="3041"/>
      <c r="W550" s="3041"/>
      <c r="X550" s="3041"/>
      <c r="Y550" s="3041"/>
      <c r="Z550" s="3041"/>
      <c r="AA550" s="3041"/>
      <c r="AB550" s="3041"/>
      <c r="AC550" s="3041"/>
      <c r="AD550" s="3041"/>
      <c r="AE550" s="3041"/>
      <c r="AF550" s="3041"/>
      <c r="AG550" s="3041"/>
      <c r="AH550" s="3041"/>
      <c r="AI550" s="3042"/>
      <c r="AJ550" s="367"/>
      <c r="AK550" s="367"/>
      <c r="AL550" s="367"/>
      <c r="AM550" s="367"/>
      <c r="AN550" s="367"/>
      <c r="AO550" s="367"/>
      <c r="AP550" s="367"/>
      <c r="AQ550" s="367"/>
      <c r="AR550" s="367"/>
      <c r="AS550" s="367"/>
      <c r="AT550" s="367"/>
      <c r="AU550" s="368"/>
      <c r="AW550" s="197"/>
      <c r="AX550" s="197"/>
    </row>
    <row r="551" spans="1:53" ht="15.75" customHeight="1" thickBot="1" x14ac:dyDescent="0.2">
      <c r="A551" s="3031"/>
      <c r="B551" s="3032"/>
      <c r="C551" s="3033"/>
      <c r="D551" s="3021"/>
      <c r="E551" s="3022"/>
      <c r="F551" s="3022"/>
      <c r="G551" s="3022"/>
      <c r="H551" s="3022"/>
      <c r="I551" s="3022"/>
      <c r="J551" s="3023"/>
      <c r="K551" s="3043"/>
      <c r="L551" s="3044"/>
      <c r="M551" s="3044"/>
      <c r="N551" s="3044"/>
      <c r="O551" s="3044"/>
      <c r="P551" s="3044"/>
      <c r="Q551" s="3044"/>
      <c r="R551" s="3044"/>
      <c r="S551" s="3044"/>
      <c r="T551" s="3044"/>
      <c r="U551" s="3044"/>
      <c r="V551" s="3044"/>
      <c r="W551" s="3044"/>
      <c r="X551" s="3044"/>
      <c r="Y551" s="3044"/>
      <c r="Z551" s="3044"/>
      <c r="AA551" s="3044"/>
      <c r="AB551" s="3044"/>
      <c r="AC551" s="3044"/>
      <c r="AD551" s="3044"/>
      <c r="AE551" s="3044"/>
      <c r="AF551" s="3044"/>
      <c r="AG551" s="3044"/>
      <c r="AH551" s="3044"/>
      <c r="AI551" s="3045"/>
      <c r="AJ551" s="367"/>
      <c r="AK551" s="367" t="str">
        <f>IF(D550&lt;&gt;"","☑","☐")</f>
        <v>☐</v>
      </c>
      <c r="AL551" s="367" t="s">
        <v>14</v>
      </c>
      <c r="AM551" s="367" t="s">
        <v>21</v>
      </c>
      <c r="AN551" s="367" t="s">
        <v>15</v>
      </c>
      <c r="AO551" s="367"/>
      <c r="AP551" s="426" t="s">
        <v>179</v>
      </c>
      <c r="AQ551" s="367" t="s">
        <v>27</v>
      </c>
      <c r="AR551" s="367" t="s">
        <v>23</v>
      </c>
      <c r="AS551" s="367" t="s">
        <v>13</v>
      </c>
      <c r="AT551" s="367"/>
      <c r="AU551" s="368"/>
      <c r="AV551" s="346"/>
      <c r="AW551" s="197"/>
      <c r="AX551" s="197"/>
      <c r="BA551" s="430" t="b">
        <f>AP551="☑"</f>
        <v>0</v>
      </c>
    </row>
    <row r="552" spans="1:53" ht="15.75" customHeight="1" x14ac:dyDescent="0.15">
      <c r="A552" s="3034"/>
      <c r="B552" s="3035"/>
      <c r="C552" s="3036"/>
      <c r="D552" s="3024"/>
      <c r="E552" s="3025"/>
      <c r="F552" s="3025"/>
      <c r="G552" s="3025"/>
      <c r="H552" s="3025"/>
      <c r="I552" s="3025"/>
      <c r="J552" s="3026"/>
      <c r="K552" s="3046"/>
      <c r="L552" s="3047"/>
      <c r="M552" s="3047"/>
      <c r="N552" s="3047"/>
      <c r="O552" s="3047"/>
      <c r="P552" s="3047"/>
      <c r="Q552" s="3047"/>
      <c r="R552" s="3047"/>
      <c r="S552" s="3047"/>
      <c r="T552" s="3047"/>
      <c r="U552" s="3047"/>
      <c r="V552" s="3047"/>
      <c r="W552" s="3047"/>
      <c r="X552" s="3047"/>
      <c r="Y552" s="3047"/>
      <c r="Z552" s="3047"/>
      <c r="AA552" s="3047"/>
      <c r="AB552" s="3047"/>
      <c r="AC552" s="3047"/>
      <c r="AD552" s="3047"/>
      <c r="AE552" s="3047"/>
      <c r="AF552" s="3047"/>
      <c r="AG552" s="3047"/>
      <c r="AH552" s="3047"/>
      <c r="AI552" s="3048"/>
      <c r="AJ552" s="369"/>
      <c r="AK552" s="369"/>
      <c r="AL552" s="369"/>
      <c r="AM552" s="369"/>
      <c r="AN552" s="369"/>
      <c r="AO552" s="369"/>
      <c r="AP552" s="369"/>
      <c r="AQ552" s="369"/>
      <c r="AR552" s="369"/>
      <c r="AS552" s="369"/>
      <c r="AT552" s="369"/>
      <c r="AU552" s="370"/>
      <c r="AW552" s="197"/>
      <c r="AX552" s="197"/>
    </row>
    <row r="553" spans="1:53" ht="15.75" customHeight="1" x14ac:dyDescent="0.15">
      <c r="A553" s="2"/>
      <c r="B553" s="335"/>
      <c r="C553" s="335"/>
      <c r="D553" s="335"/>
      <c r="E553" s="335"/>
      <c r="F553" s="335"/>
      <c r="G553" s="335"/>
      <c r="H553" s="335"/>
      <c r="I553" s="335"/>
      <c r="J553" s="335"/>
      <c r="K553" s="335"/>
      <c r="L553" s="335"/>
      <c r="M553" s="335"/>
      <c r="N553" s="335"/>
      <c r="O553" s="335"/>
      <c r="P553" s="335"/>
      <c r="Q553" s="335"/>
      <c r="R553" s="335"/>
      <c r="S553" s="335"/>
      <c r="T553" s="335"/>
      <c r="U553" s="335"/>
      <c r="V553" s="335"/>
      <c r="W553" s="335"/>
      <c r="X553" s="335"/>
      <c r="Y553" s="3"/>
      <c r="Z553" s="47"/>
      <c r="AA553" s="48" t="s">
        <v>11</v>
      </c>
      <c r="AB553" s="48" t="s">
        <v>10</v>
      </c>
      <c r="AC553" s="48" t="s">
        <v>16</v>
      </c>
      <c r="AD553" s="48" t="s">
        <v>9</v>
      </c>
      <c r="AE553" s="48"/>
      <c r="AF553" s="48"/>
      <c r="AG553" s="48"/>
      <c r="AH553" s="48"/>
      <c r="AI553" s="48"/>
      <c r="AJ553" s="49"/>
      <c r="AK553" s="49"/>
      <c r="AL553" s="49"/>
      <c r="AM553" s="49"/>
      <c r="AN553" s="49"/>
      <c r="AO553" s="49"/>
      <c r="AP553" s="49"/>
      <c r="AQ553" s="49"/>
      <c r="AR553" s="49"/>
      <c r="AS553" s="49"/>
      <c r="AT553" s="49"/>
      <c r="AU553" s="50"/>
      <c r="AW553" s="197"/>
      <c r="AX553" s="197"/>
    </row>
    <row r="554" spans="1:53" ht="15.75" customHeight="1" x14ac:dyDescent="0.15">
      <c r="A554" s="2"/>
      <c r="B554" s="335"/>
      <c r="C554" s="335"/>
      <c r="D554" s="335"/>
      <c r="E554" s="335"/>
      <c r="F554" s="335"/>
      <c r="G554" s="335"/>
      <c r="H554" s="335"/>
      <c r="I554" s="335"/>
      <c r="J554" s="335"/>
      <c r="K554" s="335"/>
      <c r="L554" s="335"/>
      <c r="M554" s="335"/>
      <c r="N554" s="335"/>
      <c r="O554" s="335"/>
      <c r="P554" s="335"/>
      <c r="Q554" s="335"/>
      <c r="R554" s="335"/>
      <c r="S554" s="335"/>
      <c r="T554" s="335"/>
      <c r="U554" s="335"/>
      <c r="V554" s="335"/>
      <c r="W554" s="335"/>
      <c r="X554" s="335"/>
      <c r="Y554" s="3"/>
      <c r="Z554" s="3010"/>
      <c r="AA554" s="3011"/>
      <c r="AB554" s="3011"/>
      <c r="AC554" s="3011"/>
      <c r="AD554" s="3011"/>
      <c r="AE554" s="3011"/>
      <c r="AF554" s="3011"/>
      <c r="AG554" s="3011"/>
      <c r="AH554" s="3011"/>
      <c r="AI554" s="3011"/>
      <c r="AJ554" s="3011"/>
      <c r="AK554" s="3011"/>
      <c r="AL554" s="3011"/>
      <c r="AM554" s="3011"/>
      <c r="AN554" s="3011"/>
      <c r="AO554" s="104"/>
      <c r="AP554" s="104"/>
      <c r="AQ554" s="104"/>
      <c r="AR554" s="104"/>
      <c r="AS554" s="104"/>
      <c r="AT554" s="104"/>
      <c r="AU554" s="105"/>
      <c r="AW554" s="197"/>
      <c r="AX554" s="197"/>
    </row>
    <row r="555" spans="1:53" ht="15.75" customHeight="1" x14ac:dyDescent="0.15">
      <c r="A555" s="2"/>
      <c r="B555" s="335"/>
      <c r="C555" s="335"/>
      <c r="D555" s="335"/>
      <c r="E555" s="335"/>
      <c r="F555" s="335"/>
      <c r="G555" s="335"/>
      <c r="H555" s="335"/>
      <c r="I555" s="335"/>
      <c r="J555" s="335"/>
      <c r="K555" s="335"/>
      <c r="L555" s="335"/>
      <c r="M555" s="335"/>
      <c r="N555" s="335"/>
      <c r="O555" s="335"/>
      <c r="P555" s="335"/>
      <c r="Q555" s="335"/>
      <c r="R555" s="335"/>
      <c r="S555" s="335"/>
      <c r="T555" s="335"/>
      <c r="U555" s="335"/>
      <c r="V555" s="335"/>
      <c r="W555" s="335"/>
      <c r="X555" s="335"/>
      <c r="Y555" s="3"/>
      <c r="Z555" s="2995" t="str">
        <f>IFERROR(VLOOKUP(19,'1_入力シート【基本情報】'!$DU$319:$DZ$534,5,FALSE),"")</f>
        <v/>
      </c>
      <c r="AA555" s="2996"/>
      <c r="AB555" s="2996"/>
      <c r="AC555" s="2996"/>
      <c r="AD555" s="2996"/>
      <c r="AE555" s="2996"/>
      <c r="AF555" s="2996"/>
      <c r="AG555" s="2996"/>
      <c r="AH555" s="2996"/>
      <c r="AI555" s="2996"/>
      <c r="AJ555" s="2996"/>
      <c r="AK555" s="2996"/>
      <c r="AL555" s="2996"/>
      <c r="AM555" s="2996"/>
      <c r="AN555" s="2996"/>
      <c r="AO555" s="2996"/>
      <c r="AP555" s="2996"/>
      <c r="AQ555" s="2996"/>
      <c r="AR555" s="2996"/>
      <c r="AS555" s="2996"/>
      <c r="AT555" s="2996"/>
      <c r="AU555" s="2997"/>
      <c r="AW555" s="197"/>
      <c r="AX555" s="197"/>
    </row>
    <row r="556" spans="1:53" ht="15.75" customHeight="1" x14ac:dyDescent="0.15">
      <c r="A556" s="2"/>
      <c r="B556" s="335"/>
      <c r="C556" s="335"/>
      <c r="D556" s="335"/>
      <c r="E556" s="335"/>
      <c r="F556" s="335"/>
      <c r="G556" s="335"/>
      <c r="H556" s="335"/>
      <c r="I556" s="335"/>
      <c r="J556" s="335"/>
      <c r="K556" s="335"/>
      <c r="L556" s="335"/>
      <c r="M556" s="335"/>
      <c r="N556" s="335"/>
      <c r="O556" s="335"/>
      <c r="P556" s="335"/>
      <c r="Q556" s="335"/>
      <c r="R556" s="335"/>
      <c r="S556" s="335"/>
      <c r="T556" s="335"/>
      <c r="U556" s="335"/>
      <c r="V556" s="335"/>
      <c r="W556" s="335"/>
      <c r="X556" s="335"/>
      <c r="Y556" s="3"/>
      <c r="Z556" s="2998"/>
      <c r="AA556" s="2999"/>
      <c r="AB556" s="2999"/>
      <c r="AC556" s="2999"/>
      <c r="AD556" s="2999"/>
      <c r="AE556" s="2999"/>
      <c r="AF556" s="2999"/>
      <c r="AG556" s="2999"/>
      <c r="AH556" s="2999"/>
      <c r="AI556" s="2999"/>
      <c r="AJ556" s="2999"/>
      <c r="AK556" s="2999"/>
      <c r="AL556" s="2999"/>
      <c r="AM556" s="2999"/>
      <c r="AN556" s="2999"/>
      <c r="AO556" s="2999"/>
      <c r="AP556" s="2999"/>
      <c r="AQ556" s="2999"/>
      <c r="AR556" s="2999"/>
      <c r="AS556" s="2999"/>
      <c r="AT556" s="2999"/>
      <c r="AU556" s="3000"/>
      <c r="AW556" s="197"/>
      <c r="AX556" s="197"/>
    </row>
    <row r="557" spans="1:53" ht="15.75" customHeight="1" x14ac:dyDescent="0.15">
      <c r="A557" s="2"/>
      <c r="B557" s="335"/>
      <c r="C557" s="335"/>
      <c r="D557" s="335"/>
      <c r="E557" s="335"/>
      <c r="F557" s="335"/>
      <c r="G557" s="335"/>
      <c r="H557" s="335"/>
      <c r="I557" s="335"/>
      <c r="J557" s="335"/>
      <c r="K557" s="335"/>
      <c r="L557" s="335"/>
      <c r="M557" s="335"/>
      <c r="N557" s="335"/>
      <c r="O557" s="335"/>
      <c r="P557" s="335"/>
      <c r="Q557" s="335"/>
      <c r="R557" s="335"/>
      <c r="S557" s="335"/>
      <c r="T557" s="335"/>
      <c r="U557" s="335"/>
      <c r="V557" s="335"/>
      <c r="W557" s="335"/>
      <c r="X557" s="335"/>
      <c r="Y557" s="3"/>
      <c r="Z557" s="3001"/>
      <c r="AA557" s="3002"/>
      <c r="AB557" s="3002"/>
      <c r="AC557" s="3002"/>
      <c r="AD557" s="3002"/>
      <c r="AE557" s="3002"/>
      <c r="AF557" s="3002"/>
      <c r="AG557" s="3002"/>
      <c r="AH557" s="3002"/>
      <c r="AI557" s="3002"/>
      <c r="AJ557" s="3002"/>
      <c r="AK557" s="3002"/>
      <c r="AL557" s="3002"/>
      <c r="AM557" s="3002"/>
      <c r="AN557" s="3002"/>
      <c r="AO557" s="3002"/>
      <c r="AP557" s="3002"/>
      <c r="AQ557" s="3002"/>
      <c r="AR557" s="3002"/>
      <c r="AS557" s="3002"/>
      <c r="AT557" s="3002"/>
      <c r="AU557" s="3003"/>
      <c r="AW557" s="197"/>
      <c r="AX557" s="197"/>
    </row>
    <row r="558" spans="1:53" ht="15.75" customHeight="1" x14ac:dyDescent="0.15">
      <c r="A558" s="2"/>
      <c r="B558" s="371"/>
      <c r="C558" s="371"/>
      <c r="D558" s="371"/>
      <c r="E558" s="371"/>
      <c r="F558" s="371"/>
      <c r="G558" s="371"/>
      <c r="H558" s="371"/>
      <c r="I558" s="371"/>
      <c r="J558" s="371"/>
      <c r="K558" s="371"/>
      <c r="L558" s="371"/>
      <c r="M558" s="371"/>
      <c r="N558" s="371"/>
      <c r="O558" s="371"/>
      <c r="P558" s="371"/>
      <c r="Q558" s="371"/>
      <c r="R558" s="371"/>
      <c r="S558" s="371"/>
      <c r="T558" s="371"/>
      <c r="U558" s="371"/>
      <c r="V558" s="371"/>
      <c r="W558" s="371"/>
      <c r="X558" s="371"/>
      <c r="Y558" s="3"/>
      <c r="Z558" s="3004"/>
      <c r="AA558" s="3005"/>
      <c r="AB558" s="3005"/>
      <c r="AC558" s="3005"/>
      <c r="AD558" s="3005"/>
      <c r="AE558" s="3005"/>
      <c r="AF558" s="3005"/>
      <c r="AG558" s="3005"/>
      <c r="AH558" s="3005"/>
      <c r="AI558" s="3005"/>
      <c r="AJ558" s="3005"/>
      <c r="AK558" s="3005"/>
      <c r="AL558" s="3005"/>
      <c r="AM558" s="3005"/>
      <c r="AN558" s="3005"/>
      <c r="AO558" s="3005"/>
      <c r="AP558" s="3005"/>
      <c r="AQ558" s="3005"/>
      <c r="AR558" s="3005"/>
      <c r="AS558" s="3005"/>
      <c r="AT558" s="3005"/>
      <c r="AU558" s="3006"/>
      <c r="AW558" s="197"/>
      <c r="AX558" s="197"/>
    </row>
    <row r="559" spans="1:53" ht="15.75" customHeight="1" x14ac:dyDescent="0.15">
      <c r="A559" s="2"/>
      <c r="B559" s="371"/>
      <c r="C559" s="371"/>
      <c r="D559" s="371"/>
      <c r="E559" s="371"/>
      <c r="F559" s="371"/>
      <c r="G559" s="371"/>
      <c r="H559" s="371"/>
      <c r="I559" s="371"/>
      <c r="J559" s="371"/>
      <c r="K559" s="371"/>
      <c r="L559" s="371"/>
      <c r="M559" s="371"/>
      <c r="N559" s="371"/>
      <c r="O559" s="371"/>
      <c r="P559" s="371"/>
      <c r="Q559" s="371"/>
      <c r="R559" s="371"/>
      <c r="S559" s="371"/>
      <c r="T559" s="371"/>
      <c r="U559" s="371"/>
      <c r="V559" s="371"/>
      <c r="W559" s="371"/>
      <c r="X559" s="371"/>
      <c r="Y559" s="3"/>
      <c r="Z559" s="3004"/>
      <c r="AA559" s="3005"/>
      <c r="AB559" s="3005"/>
      <c r="AC559" s="3005"/>
      <c r="AD559" s="3005"/>
      <c r="AE559" s="3005"/>
      <c r="AF559" s="3005"/>
      <c r="AG559" s="3005"/>
      <c r="AH559" s="3005"/>
      <c r="AI559" s="3005"/>
      <c r="AJ559" s="3005"/>
      <c r="AK559" s="3005"/>
      <c r="AL559" s="3005"/>
      <c r="AM559" s="3005"/>
      <c r="AN559" s="3005"/>
      <c r="AO559" s="3005"/>
      <c r="AP559" s="3005"/>
      <c r="AQ559" s="3005"/>
      <c r="AR559" s="3005"/>
      <c r="AS559" s="3005"/>
      <c r="AT559" s="3005"/>
      <c r="AU559" s="3006"/>
      <c r="AW559" s="197"/>
      <c r="AX559" s="197"/>
    </row>
    <row r="560" spans="1:53" ht="15.75" customHeight="1" x14ac:dyDescent="0.15">
      <c r="A560" s="2"/>
      <c r="B560" s="371"/>
      <c r="C560" s="371"/>
      <c r="D560" s="371"/>
      <c r="E560" s="371"/>
      <c r="F560" s="371"/>
      <c r="G560" s="371"/>
      <c r="H560" s="371"/>
      <c r="I560" s="371"/>
      <c r="J560" s="371"/>
      <c r="K560" s="371"/>
      <c r="L560" s="371"/>
      <c r="M560" s="371"/>
      <c r="N560" s="371"/>
      <c r="O560" s="371"/>
      <c r="P560" s="371"/>
      <c r="Q560" s="371"/>
      <c r="R560" s="371"/>
      <c r="S560" s="371"/>
      <c r="T560" s="371"/>
      <c r="U560" s="371"/>
      <c r="V560" s="371"/>
      <c r="W560" s="371"/>
      <c r="X560" s="371"/>
      <c r="Y560" s="3"/>
      <c r="Z560" s="3004"/>
      <c r="AA560" s="3005"/>
      <c r="AB560" s="3005"/>
      <c r="AC560" s="3005"/>
      <c r="AD560" s="3005"/>
      <c r="AE560" s="3005"/>
      <c r="AF560" s="3005"/>
      <c r="AG560" s="3005"/>
      <c r="AH560" s="3005"/>
      <c r="AI560" s="3005"/>
      <c r="AJ560" s="3005"/>
      <c r="AK560" s="3005"/>
      <c r="AL560" s="3005"/>
      <c r="AM560" s="3005"/>
      <c r="AN560" s="3005"/>
      <c r="AO560" s="3005"/>
      <c r="AP560" s="3005"/>
      <c r="AQ560" s="3005"/>
      <c r="AR560" s="3005"/>
      <c r="AS560" s="3005"/>
      <c r="AT560" s="3005"/>
      <c r="AU560" s="3006"/>
      <c r="AW560" s="197"/>
      <c r="AX560" s="197"/>
    </row>
    <row r="561" spans="1:53" ht="15.75" customHeight="1" x14ac:dyDescent="0.15">
      <c r="A561" s="2"/>
      <c r="B561" s="371"/>
      <c r="C561" s="371"/>
      <c r="D561" s="371"/>
      <c r="E561" s="371"/>
      <c r="F561" s="371"/>
      <c r="G561" s="371"/>
      <c r="H561" s="371"/>
      <c r="I561" s="371"/>
      <c r="J561" s="371"/>
      <c r="K561" s="3013" t="s">
        <v>157</v>
      </c>
      <c r="L561" s="3013"/>
      <c r="M561" s="3013"/>
      <c r="N561" s="3013"/>
      <c r="O561" s="3013"/>
      <c r="P561" s="3013"/>
      <c r="Q561" s="371"/>
      <c r="R561" s="371"/>
      <c r="S561" s="371"/>
      <c r="T561" s="371"/>
      <c r="U561" s="371"/>
      <c r="V561" s="371"/>
      <c r="W561" s="371"/>
      <c r="X561" s="371"/>
      <c r="Y561" s="3"/>
      <c r="Z561" s="3004"/>
      <c r="AA561" s="3005"/>
      <c r="AB561" s="3005"/>
      <c r="AC561" s="3005"/>
      <c r="AD561" s="3005"/>
      <c r="AE561" s="3005"/>
      <c r="AF561" s="3005"/>
      <c r="AG561" s="3005"/>
      <c r="AH561" s="3005"/>
      <c r="AI561" s="3005"/>
      <c r="AJ561" s="3005"/>
      <c r="AK561" s="3005"/>
      <c r="AL561" s="3005"/>
      <c r="AM561" s="3005"/>
      <c r="AN561" s="3005"/>
      <c r="AO561" s="3005"/>
      <c r="AP561" s="3005"/>
      <c r="AQ561" s="3005"/>
      <c r="AR561" s="3005"/>
      <c r="AS561" s="3005"/>
      <c r="AT561" s="3005"/>
      <c r="AU561" s="3006"/>
      <c r="AW561" s="197"/>
      <c r="AX561" s="197"/>
    </row>
    <row r="562" spans="1:53" ht="15.75" customHeight="1" x14ac:dyDescent="0.15">
      <c r="A562" s="2"/>
      <c r="B562" s="371"/>
      <c r="C562" s="371"/>
      <c r="D562" s="371"/>
      <c r="E562" s="371"/>
      <c r="F562" s="371"/>
      <c r="G562" s="371"/>
      <c r="H562" s="371"/>
      <c r="I562" s="371"/>
      <c r="J562" s="371"/>
      <c r="K562" s="371"/>
      <c r="L562" s="371"/>
      <c r="M562" s="371"/>
      <c r="N562" s="371"/>
      <c r="O562" s="371"/>
      <c r="P562" s="371"/>
      <c r="Q562" s="371"/>
      <c r="R562" s="371"/>
      <c r="S562" s="371"/>
      <c r="T562" s="371"/>
      <c r="U562" s="371"/>
      <c r="V562" s="371"/>
      <c r="W562" s="371"/>
      <c r="X562" s="371"/>
      <c r="Y562" s="3"/>
      <c r="Z562" s="3004"/>
      <c r="AA562" s="3005"/>
      <c r="AB562" s="3005"/>
      <c r="AC562" s="3005"/>
      <c r="AD562" s="3005"/>
      <c r="AE562" s="3005"/>
      <c r="AF562" s="3005"/>
      <c r="AG562" s="3005"/>
      <c r="AH562" s="3005"/>
      <c r="AI562" s="3005"/>
      <c r="AJ562" s="3005"/>
      <c r="AK562" s="3005"/>
      <c r="AL562" s="3005"/>
      <c r="AM562" s="3005"/>
      <c r="AN562" s="3005"/>
      <c r="AO562" s="3005"/>
      <c r="AP562" s="3005"/>
      <c r="AQ562" s="3005"/>
      <c r="AR562" s="3005"/>
      <c r="AS562" s="3005"/>
      <c r="AT562" s="3005"/>
      <c r="AU562" s="3006"/>
      <c r="AW562" s="197"/>
      <c r="AX562" s="197"/>
    </row>
    <row r="563" spans="1:53" ht="15.75" customHeight="1" x14ac:dyDescent="0.15">
      <c r="A563" s="2"/>
      <c r="B563" s="371"/>
      <c r="C563" s="371"/>
      <c r="D563" s="371"/>
      <c r="E563" s="371"/>
      <c r="F563" s="371"/>
      <c r="G563" s="371"/>
      <c r="H563" s="371"/>
      <c r="I563" s="371"/>
      <c r="J563" s="371"/>
      <c r="K563" s="371"/>
      <c r="L563" s="371"/>
      <c r="M563" s="371"/>
      <c r="N563" s="371"/>
      <c r="O563" s="371"/>
      <c r="P563" s="371"/>
      <c r="Q563" s="371"/>
      <c r="R563" s="371"/>
      <c r="S563" s="371"/>
      <c r="T563" s="371"/>
      <c r="U563" s="371"/>
      <c r="V563" s="371"/>
      <c r="W563" s="371"/>
      <c r="X563" s="371"/>
      <c r="Y563" s="3"/>
      <c r="Z563" s="3004"/>
      <c r="AA563" s="3005"/>
      <c r="AB563" s="3005"/>
      <c r="AC563" s="3005"/>
      <c r="AD563" s="3005"/>
      <c r="AE563" s="3005"/>
      <c r="AF563" s="3005"/>
      <c r="AG563" s="3005"/>
      <c r="AH563" s="3005"/>
      <c r="AI563" s="3005"/>
      <c r="AJ563" s="3005"/>
      <c r="AK563" s="3005"/>
      <c r="AL563" s="3005"/>
      <c r="AM563" s="3005"/>
      <c r="AN563" s="3005"/>
      <c r="AO563" s="3005"/>
      <c r="AP563" s="3005"/>
      <c r="AQ563" s="3005"/>
      <c r="AR563" s="3005"/>
      <c r="AS563" s="3005"/>
      <c r="AT563" s="3005"/>
      <c r="AU563" s="3006"/>
      <c r="AW563" s="197"/>
      <c r="AX563" s="197"/>
    </row>
    <row r="564" spans="1:53" ht="15.75" customHeight="1" x14ac:dyDescent="0.15">
      <c r="A564" s="2"/>
      <c r="B564" s="371"/>
      <c r="C564" s="371"/>
      <c r="D564" s="371"/>
      <c r="E564" s="371"/>
      <c r="F564" s="371"/>
      <c r="G564" s="371"/>
      <c r="H564" s="371"/>
      <c r="I564" s="371"/>
      <c r="J564" s="371"/>
      <c r="K564" s="371"/>
      <c r="L564" s="371"/>
      <c r="M564" s="371"/>
      <c r="N564" s="371"/>
      <c r="O564" s="371"/>
      <c r="P564" s="371"/>
      <c r="Q564" s="371"/>
      <c r="R564" s="371"/>
      <c r="S564" s="371"/>
      <c r="T564" s="371"/>
      <c r="U564" s="371"/>
      <c r="V564" s="371"/>
      <c r="W564" s="371"/>
      <c r="X564" s="371"/>
      <c r="Y564" s="3"/>
      <c r="Z564" s="3004"/>
      <c r="AA564" s="3005"/>
      <c r="AB564" s="3005"/>
      <c r="AC564" s="3005"/>
      <c r="AD564" s="3005"/>
      <c r="AE564" s="3005"/>
      <c r="AF564" s="3005"/>
      <c r="AG564" s="3005"/>
      <c r="AH564" s="3005"/>
      <c r="AI564" s="3005"/>
      <c r="AJ564" s="3005"/>
      <c r="AK564" s="3005"/>
      <c r="AL564" s="3005"/>
      <c r="AM564" s="3005"/>
      <c r="AN564" s="3005"/>
      <c r="AO564" s="3005"/>
      <c r="AP564" s="3005"/>
      <c r="AQ564" s="3005"/>
      <c r="AR564" s="3005"/>
      <c r="AS564" s="3005"/>
      <c r="AT564" s="3005"/>
      <c r="AU564" s="3006"/>
      <c r="AW564" s="197"/>
      <c r="AX564" s="197"/>
    </row>
    <row r="565" spans="1:53" ht="15.75" customHeight="1" x14ac:dyDescent="0.15">
      <c r="A565" s="2"/>
      <c r="B565" s="371"/>
      <c r="C565" s="371"/>
      <c r="D565" s="371"/>
      <c r="E565" s="371"/>
      <c r="F565" s="371"/>
      <c r="G565" s="371"/>
      <c r="H565" s="371"/>
      <c r="I565" s="371"/>
      <c r="J565" s="371"/>
      <c r="K565" s="371"/>
      <c r="L565" s="371"/>
      <c r="M565" s="371"/>
      <c r="N565" s="371"/>
      <c r="O565" s="371"/>
      <c r="P565" s="371"/>
      <c r="Q565" s="371"/>
      <c r="R565" s="371"/>
      <c r="S565" s="371"/>
      <c r="T565" s="371"/>
      <c r="U565" s="371"/>
      <c r="V565" s="371"/>
      <c r="W565" s="371"/>
      <c r="X565" s="371"/>
      <c r="Y565" s="3"/>
      <c r="Z565" s="3004"/>
      <c r="AA565" s="3005"/>
      <c r="AB565" s="3005"/>
      <c r="AC565" s="3005"/>
      <c r="AD565" s="3005"/>
      <c r="AE565" s="3005"/>
      <c r="AF565" s="3005"/>
      <c r="AG565" s="3005"/>
      <c r="AH565" s="3005"/>
      <c r="AI565" s="3005"/>
      <c r="AJ565" s="3005"/>
      <c r="AK565" s="3005"/>
      <c r="AL565" s="3005"/>
      <c r="AM565" s="3005"/>
      <c r="AN565" s="3005"/>
      <c r="AO565" s="3005"/>
      <c r="AP565" s="3005"/>
      <c r="AQ565" s="3005"/>
      <c r="AR565" s="3005"/>
      <c r="AS565" s="3005"/>
      <c r="AT565" s="3005"/>
      <c r="AU565" s="3006"/>
      <c r="AW565" s="197"/>
      <c r="AX565" s="197"/>
    </row>
    <row r="566" spans="1:53" ht="15.75" customHeight="1" x14ac:dyDescent="0.15">
      <c r="A566" s="2"/>
      <c r="B566" s="371"/>
      <c r="C566" s="371"/>
      <c r="D566" s="371"/>
      <c r="E566" s="371"/>
      <c r="F566" s="371"/>
      <c r="G566" s="371"/>
      <c r="H566" s="371"/>
      <c r="I566" s="371"/>
      <c r="J566" s="371"/>
      <c r="K566" s="371"/>
      <c r="L566" s="371"/>
      <c r="M566" s="371"/>
      <c r="N566" s="371"/>
      <c r="O566" s="371"/>
      <c r="P566" s="371"/>
      <c r="Q566" s="371"/>
      <c r="R566" s="371"/>
      <c r="S566" s="371"/>
      <c r="T566" s="371"/>
      <c r="U566" s="371"/>
      <c r="V566" s="371"/>
      <c r="W566" s="371"/>
      <c r="X566" s="371"/>
      <c r="Y566" s="3"/>
      <c r="Z566" s="3004"/>
      <c r="AA566" s="3005"/>
      <c r="AB566" s="3005"/>
      <c r="AC566" s="3005"/>
      <c r="AD566" s="3005"/>
      <c r="AE566" s="3005"/>
      <c r="AF566" s="3005"/>
      <c r="AG566" s="3005"/>
      <c r="AH566" s="3005"/>
      <c r="AI566" s="3005"/>
      <c r="AJ566" s="3005"/>
      <c r="AK566" s="3005"/>
      <c r="AL566" s="3005"/>
      <c r="AM566" s="3005"/>
      <c r="AN566" s="3005"/>
      <c r="AO566" s="3005"/>
      <c r="AP566" s="3005"/>
      <c r="AQ566" s="3005"/>
      <c r="AR566" s="3005"/>
      <c r="AS566" s="3005"/>
      <c r="AT566" s="3005"/>
      <c r="AU566" s="3006"/>
      <c r="AW566" s="197"/>
      <c r="AX566" s="197"/>
    </row>
    <row r="567" spans="1:53" ht="15.75" customHeight="1" x14ac:dyDescent="0.15">
      <c r="A567" s="2"/>
      <c r="B567" s="371"/>
      <c r="C567" s="371"/>
      <c r="D567" s="371"/>
      <c r="E567" s="371"/>
      <c r="F567" s="371"/>
      <c r="G567" s="371"/>
      <c r="H567" s="371"/>
      <c r="I567" s="371"/>
      <c r="J567" s="371"/>
      <c r="K567" s="371"/>
      <c r="L567" s="371"/>
      <c r="M567" s="371"/>
      <c r="N567" s="371"/>
      <c r="O567" s="371"/>
      <c r="P567" s="371"/>
      <c r="Q567" s="371"/>
      <c r="R567" s="371"/>
      <c r="S567" s="371"/>
      <c r="T567" s="371"/>
      <c r="U567" s="371"/>
      <c r="V567" s="371"/>
      <c r="W567" s="371"/>
      <c r="X567" s="371"/>
      <c r="Y567" s="3"/>
      <c r="Z567" s="3004"/>
      <c r="AA567" s="3005"/>
      <c r="AB567" s="3005"/>
      <c r="AC567" s="3005"/>
      <c r="AD567" s="3005"/>
      <c r="AE567" s="3005"/>
      <c r="AF567" s="3005"/>
      <c r="AG567" s="3005"/>
      <c r="AH567" s="3005"/>
      <c r="AI567" s="3005"/>
      <c r="AJ567" s="3005"/>
      <c r="AK567" s="3005"/>
      <c r="AL567" s="3005"/>
      <c r="AM567" s="3005"/>
      <c r="AN567" s="3005"/>
      <c r="AO567" s="3005"/>
      <c r="AP567" s="3005"/>
      <c r="AQ567" s="3005"/>
      <c r="AR567" s="3005"/>
      <c r="AS567" s="3005"/>
      <c r="AT567" s="3005"/>
      <c r="AU567" s="3006"/>
      <c r="AW567" s="197"/>
      <c r="AX567" s="197"/>
    </row>
    <row r="568" spans="1:53" ht="15.75" customHeight="1" x14ac:dyDescent="0.15">
      <c r="A568" s="2"/>
      <c r="B568" s="371"/>
      <c r="C568" s="371"/>
      <c r="D568" s="371"/>
      <c r="E568" s="371"/>
      <c r="F568" s="371"/>
      <c r="G568" s="371"/>
      <c r="H568" s="371"/>
      <c r="I568" s="371"/>
      <c r="J568" s="371"/>
      <c r="K568" s="371"/>
      <c r="L568" s="371"/>
      <c r="M568" s="371"/>
      <c r="N568" s="371"/>
      <c r="O568" s="371"/>
      <c r="P568" s="371"/>
      <c r="Q568" s="371"/>
      <c r="R568" s="371"/>
      <c r="S568" s="371"/>
      <c r="T568" s="371"/>
      <c r="U568" s="371"/>
      <c r="V568" s="371"/>
      <c r="W568" s="371"/>
      <c r="X568" s="371"/>
      <c r="Y568" s="3"/>
      <c r="Z568" s="3004"/>
      <c r="AA568" s="3005"/>
      <c r="AB568" s="3005"/>
      <c r="AC568" s="3005"/>
      <c r="AD568" s="3005"/>
      <c r="AE568" s="3005"/>
      <c r="AF568" s="3005"/>
      <c r="AG568" s="3005"/>
      <c r="AH568" s="3005"/>
      <c r="AI568" s="3005"/>
      <c r="AJ568" s="3005"/>
      <c r="AK568" s="3005"/>
      <c r="AL568" s="3005"/>
      <c r="AM568" s="3005"/>
      <c r="AN568" s="3005"/>
      <c r="AO568" s="3005"/>
      <c r="AP568" s="3005"/>
      <c r="AQ568" s="3005"/>
      <c r="AR568" s="3005"/>
      <c r="AS568" s="3005"/>
      <c r="AT568" s="3005"/>
      <c r="AU568" s="3006"/>
      <c r="AW568" s="197"/>
      <c r="AX568" s="197"/>
    </row>
    <row r="569" spans="1:53" ht="15.75" customHeight="1" x14ac:dyDescent="0.15">
      <c r="A569" s="2"/>
      <c r="B569" s="371"/>
      <c r="C569" s="371"/>
      <c r="D569" s="371"/>
      <c r="E569" s="371"/>
      <c r="F569" s="371"/>
      <c r="G569" s="371"/>
      <c r="H569" s="371"/>
      <c r="I569" s="371"/>
      <c r="J569" s="371"/>
      <c r="K569" s="371"/>
      <c r="L569" s="371"/>
      <c r="M569" s="371"/>
      <c r="N569" s="371"/>
      <c r="O569" s="371"/>
      <c r="P569" s="371"/>
      <c r="Q569" s="371"/>
      <c r="R569" s="371"/>
      <c r="S569" s="371"/>
      <c r="T569" s="371"/>
      <c r="U569" s="371"/>
      <c r="V569" s="371"/>
      <c r="W569" s="371"/>
      <c r="X569" s="371"/>
      <c r="Y569" s="3"/>
      <c r="Z569" s="3004"/>
      <c r="AA569" s="3005"/>
      <c r="AB569" s="3005"/>
      <c r="AC569" s="3005"/>
      <c r="AD569" s="3005"/>
      <c r="AE569" s="3005"/>
      <c r="AF569" s="3005"/>
      <c r="AG569" s="3005"/>
      <c r="AH569" s="3005"/>
      <c r="AI569" s="3005"/>
      <c r="AJ569" s="3005"/>
      <c r="AK569" s="3005"/>
      <c r="AL569" s="3005"/>
      <c r="AM569" s="3005"/>
      <c r="AN569" s="3005"/>
      <c r="AO569" s="3005"/>
      <c r="AP569" s="3005"/>
      <c r="AQ569" s="3005"/>
      <c r="AR569" s="3005"/>
      <c r="AS569" s="3005"/>
      <c r="AT569" s="3005"/>
      <c r="AU569" s="3006"/>
      <c r="AW569" s="197"/>
      <c r="AX569" s="197"/>
    </row>
    <row r="570" spans="1:53" ht="15.75" customHeight="1" x14ac:dyDescent="0.15">
      <c r="A570" s="6"/>
      <c r="B570" s="4"/>
      <c r="C570" s="4"/>
      <c r="D570" s="4"/>
      <c r="E570" s="4"/>
      <c r="F570" s="4"/>
      <c r="G570" s="4"/>
      <c r="H570" s="4"/>
      <c r="I570" s="4"/>
      <c r="J570" s="4"/>
      <c r="K570" s="4"/>
      <c r="L570" s="4"/>
      <c r="M570" s="4"/>
      <c r="N570" s="4"/>
      <c r="O570" s="4"/>
      <c r="P570" s="4"/>
      <c r="Q570" s="4"/>
      <c r="R570" s="4"/>
      <c r="S570" s="4"/>
      <c r="T570" s="4"/>
      <c r="U570" s="4"/>
      <c r="V570" s="4"/>
      <c r="W570" s="4"/>
      <c r="X570" s="4"/>
      <c r="Y570" s="5"/>
      <c r="Z570" s="3007"/>
      <c r="AA570" s="3008"/>
      <c r="AB570" s="3008"/>
      <c r="AC570" s="3008"/>
      <c r="AD570" s="3008"/>
      <c r="AE570" s="3008"/>
      <c r="AF570" s="3008"/>
      <c r="AG570" s="3008"/>
      <c r="AH570" s="3008"/>
      <c r="AI570" s="3008"/>
      <c r="AJ570" s="3008"/>
      <c r="AK570" s="3008"/>
      <c r="AL570" s="3008"/>
      <c r="AM570" s="3008"/>
      <c r="AN570" s="3008"/>
      <c r="AO570" s="3008"/>
      <c r="AP570" s="3008"/>
      <c r="AQ570" s="3008"/>
      <c r="AR570" s="3008"/>
      <c r="AS570" s="3008"/>
      <c r="AT570" s="3008"/>
      <c r="AU570" s="3009"/>
      <c r="AW570" s="197"/>
      <c r="AX570" s="197"/>
    </row>
    <row r="571" spans="1:53" ht="12.75" customHeight="1" x14ac:dyDescent="0.15">
      <c r="AW571" s="197"/>
      <c r="AX571" s="197"/>
    </row>
    <row r="572" spans="1:53" ht="15.75" customHeight="1" x14ac:dyDescent="0.15">
      <c r="A572" s="3018" t="s">
        <v>154</v>
      </c>
      <c r="B572" s="3019"/>
      <c r="C572" s="3020"/>
      <c r="D572" s="3037" t="s">
        <v>155</v>
      </c>
      <c r="E572" s="3038"/>
      <c r="F572" s="3038"/>
      <c r="G572" s="3038"/>
      <c r="H572" s="3038"/>
      <c r="I572" s="3038"/>
      <c r="J572" s="3039"/>
      <c r="K572" s="344"/>
      <c r="L572" s="341"/>
      <c r="M572" s="341"/>
      <c r="N572" s="341"/>
      <c r="O572" s="341"/>
      <c r="P572" s="341"/>
      <c r="Q572" s="341"/>
      <c r="R572" s="341"/>
      <c r="S572" s="342" t="s">
        <v>7</v>
      </c>
      <c r="T572" s="342" t="s">
        <v>8</v>
      </c>
      <c r="U572" s="342" t="s">
        <v>9</v>
      </c>
      <c r="V572" s="342" t="s">
        <v>156</v>
      </c>
      <c r="W572" s="342"/>
      <c r="X572" s="342"/>
      <c r="Y572" s="342"/>
      <c r="Z572" s="342"/>
      <c r="AA572" s="342"/>
      <c r="AB572" s="342"/>
      <c r="AC572" s="342"/>
      <c r="AD572" s="342"/>
      <c r="AE572" s="342"/>
      <c r="AF572" s="342"/>
      <c r="AG572" s="342"/>
      <c r="AH572" s="342"/>
      <c r="AI572" s="343"/>
      <c r="AJ572" s="344"/>
      <c r="AK572" s="3038" t="s">
        <v>33</v>
      </c>
      <c r="AL572" s="3038"/>
      <c r="AM572" s="3038"/>
      <c r="AN572" s="3038"/>
      <c r="AO572" s="3038"/>
      <c r="AP572" s="3038"/>
      <c r="AQ572" s="3038"/>
      <c r="AR572" s="3038"/>
      <c r="AS572" s="3038"/>
      <c r="AT572" s="3038"/>
      <c r="AU572" s="345"/>
      <c r="AW572" s="197"/>
      <c r="AX572" s="197"/>
    </row>
    <row r="573" spans="1:53" ht="15.75" customHeight="1" thickBot="1" x14ac:dyDescent="0.2">
      <c r="A573" s="3031"/>
      <c r="B573" s="3032"/>
      <c r="C573" s="3033"/>
      <c r="D573" s="3018" t="str">
        <f>IFERROR(VLOOKUP(20,'1_入力シート【基本情報】'!$DU$319:$DX$534,3,FALSE),"")</f>
        <v/>
      </c>
      <c r="E573" s="3019"/>
      <c r="F573" s="3019"/>
      <c r="G573" s="3019"/>
      <c r="H573" s="3019"/>
      <c r="I573" s="3019"/>
      <c r="J573" s="3020"/>
      <c r="K573" s="3040" t="str">
        <f>IFERROR(VLOOKUP(20,'1_入力シート【基本情報】'!$DU$319:$DX$534,4,FALSE),"")</f>
        <v/>
      </c>
      <c r="L573" s="3041"/>
      <c r="M573" s="3041"/>
      <c r="N573" s="3041"/>
      <c r="O573" s="3041"/>
      <c r="P573" s="3041"/>
      <c r="Q573" s="3041"/>
      <c r="R573" s="3041"/>
      <c r="S573" s="3041"/>
      <c r="T573" s="3041"/>
      <c r="U573" s="3041"/>
      <c r="V573" s="3041"/>
      <c r="W573" s="3041"/>
      <c r="X573" s="3041"/>
      <c r="Y573" s="3041"/>
      <c r="Z573" s="3041"/>
      <c r="AA573" s="3041"/>
      <c r="AB573" s="3041"/>
      <c r="AC573" s="3041"/>
      <c r="AD573" s="3041"/>
      <c r="AE573" s="3041"/>
      <c r="AF573" s="3041"/>
      <c r="AG573" s="3041"/>
      <c r="AH573" s="3041"/>
      <c r="AI573" s="3042"/>
      <c r="AJ573" s="367"/>
      <c r="AK573" s="367"/>
      <c r="AL573" s="367"/>
      <c r="AM573" s="367"/>
      <c r="AN573" s="367"/>
      <c r="AO573" s="367"/>
      <c r="AP573" s="367"/>
      <c r="AQ573" s="367"/>
      <c r="AR573" s="367"/>
      <c r="AS573" s="367"/>
      <c r="AT573" s="367"/>
      <c r="AU573" s="368"/>
      <c r="AW573" s="197"/>
      <c r="AX573" s="197"/>
    </row>
    <row r="574" spans="1:53" ht="15.75" customHeight="1" thickBot="1" x14ac:dyDescent="0.2">
      <c r="A574" s="3031"/>
      <c r="B574" s="3032"/>
      <c r="C574" s="3033"/>
      <c r="D574" s="3021"/>
      <c r="E574" s="3022"/>
      <c r="F574" s="3022"/>
      <c r="G574" s="3022"/>
      <c r="H574" s="3022"/>
      <c r="I574" s="3022"/>
      <c r="J574" s="3023"/>
      <c r="K574" s="3043"/>
      <c r="L574" s="3044"/>
      <c r="M574" s="3044"/>
      <c r="N574" s="3044"/>
      <c r="O574" s="3044"/>
      <c r="P574" s="3044"/>
      <c r="Q574" s="3044"/>
      <c r="R574" s="3044"/>
      <c r="S574" s="3044"/>
      <c r="T574" s="3044"/>
      <c r="U574" s="3044"/>
      <c r="V574" s="3044"/>
      <c r="W574" s="3044"/>
      <c r="X574" s="3044"/>
      <c r="Y574" s="3044"/>
      <c r="Z574" s="3044"/>
      <c r="AA574" s="3044"/>
      <c r="AB574" s="3044"/>
      <c r="AC574" s="3044"/>
      <c r="AD574" s="3044"/>
      <c r="AE574" s="3044"/>
      <c r="AF574" s="3044"/>
      <c r="AG574" s="3044"/>
      <c r="AH574" s="3044"/>
      <c r="AI574" s="3045"/>
      <c r="AJ574" s="367"/>
      <c r="AK574" s="367" t="str">
        <f>IF(D573&lt;&gt;"","☑","☐")</f>
        <v>☐</v>
      </c>
      <c r="AL574" s="367" t="s">
        <v>14</v>
      </c>
      <c r="AM574" s="367" t="s">
        <v>21</v>
      </c>
      <c r="AN574" s="367" t="s">
        <v>15</v>
      </c>
      <c r="AO574" s="367"/>
      <c r="AP574" s="426" t="s">
        <v>2398</v>
      </c>
      <c r="AQ574" s="367" t="s">
        <v>27</v>
      </c>
      <c r="AR574" s="367" t="s">
        <v>23</v>
      </c>
      <c r="AS574" s="367" t="s">
        <v>13</v>
      </c>
      <c r="AT574" s="367"/>
      <c r="AU574" s="368"/>
      <c r="AW574" s="197"/>
      <c r="AX574" s="197"/>
      <c r="BA574" s="430" t="b">
        <f>AP574="☑"</f>
        <v>0</v>
      </c>
    </row>
    <row r="575" spans="1:53" ht="15.75" customHeight="1" x14ac:dyDescent="0.15">
      <c r="A575" s="3034"/>
      <c r="B575" s="3035"/>
      <c r="C575" s="3036"/>
      <c r="D575" s="3024"/>
      <c r="E575" s="3025"/>
      <c r="F575" s="3025"/>
      <c r="G575" s="3025"/>
      <c r="H575" s="3025"/>
      <c r="I575" s="3025"/>
      <c r="J575" s="3026"/>
      <c r="K575" s="3046"/>
      <c r="L575" s="3047"/>
      <c r="M575" s="3047"/>
      <c r="N575" s="3047"/>
      <c r="O575" s="3047"/>
      <c r="P575" s="3047"/>
      <c r="Q575" s="3047"/>
      <c r="R575" s="3047"/>
      <c r="S575" s="3047"/>
      <c r="T575" s="3047"/>
      <c r="U575" s="3047"/>
      <c r="V575" s="3047"/>
      <c r="W575" s="3047"/>
      <c r="X575" s="3047"/>
      <c r="Y575" s="3047"/>
      <c r="Z575" s="3047"/>
      <c r="AA575" s="3047"/>
      <c r="AB575" s="3047"/>
      <c r="AC575" s="3047"/>
      <c r="AD575" s="3047"/>
      <c r="AE575" s="3047"/>
      <c r="AF575" s="3047"/>
      <c r="AG575" s="3047"/>
      <c r="AH575" s="3047"/>
      <c r="AI575" s="3048"/>
      <c r="AJ575" s="369"/>
      <c r="AK575" s="369"/>
      <c r="AL575" s="369"/>
      <c r="AM575" s="369"/>
      <c r="AN575" s="369"/>
      <c r="AO575" s="369"/>
      <c r="AP575" s="369"/>
      <c r="AQ575" s="369"/>
      <c r="AR575" s="369"/>
      <c r="AS575" s="369"/>
      <c r="AT575" s="369"/>
      <c r="AU575" s="370"/>
      <c r="AW575" s="197"/>
      <c r="AX575" s="197"/>
    </row>
    <row r="576" spans="1:53" ht="15.75" customHeight="1" x14ac:dyDescent="0.15">
      <c r="A576" s="2"/>
      <c r="B576" s="335"/>
      <c r="C576" s="335"/>
      <c r="D576" s="335"/>
      <c r="E576" s="335"/>
      <c r="F576" s="335"/>
      <c r="G576" s="335"/>
      <c r="H576" s="335"/>
      <c r="I576" s="335"/>
      <c r="J576" s="335"/>
      <c r="K576" s="335"/>
      <c r="L576" s="335"/>
      <c r="M576" s="335"/>
      <c r="N576" s="335"/>
      <c r="O576" s="335"/>
      <c r="P576" s="335"/>
      <c r="Q576" s="335"/>
      <c r="R576" s="335"/>
      <c r="S576" s="335"/>
      <c r="T576" s="335"/>
      <c r="U576" s="335"/>
      <c r="V576" s="335"/>
      <c r="W576" s="335"/>
      <c r="X576" s="335"/>
      <c r="Y576" s="3"/>
      <c r="Z576" s="47"/>
      <c r="AA576" s="48" t="s">
        <v>11</v>
      </c>
      <c r="AB576" s="48" t="s">
        <v>10</v>
      </c>
      <c r="AC576" s="48" t="s">
        <v>16</v>
      </c>
      <c r="AD576" s="48" t="s">
        <v>9</v>
      </c>
      <c r="AE576" s="48"/>
      <c r="AF576" s="48"/>
      <c r="AG576" s="48"/>
      <c r="AH576" s="48"/>
      <c r="AI576" s="48"/>
      <c r="AJ576" s="49"/>
      <c r="AK576" s="49"/>
      <c r="AL576" s="49"/>
      <c r="AM576" s="49"/>
      <c r="AN576" s="49"/>
      <c r="AO576" s="49"/>
      <c r="AP576" s="49"/>
      <c r="AQ576" s="49"/>
      <c r="AR576" s="49"/>
      <c r="AS576" s="49"/>
      <c r="AT576" s="49"/>
      <c r="AU576" s="334"/>
      <c r="AW576" s="197"/>
      <c r="AX576" s="197"/>
    </row>
    <row r="577" spans="1:50" ht="15.75" customHeight="1" x14ac:dyDescent="0.15">
      <c r="A577" s="2"/>
      <c r="B577" s="335"/>
      <c r="C577" s="335"/>
      <c r="D577" s="335"/>
      <c r="E577" s="335"/>
      <c r="F577" s="335"/>
      <c r="G577" s="335"/>
      <c r="H577" s="335"/>
      <c r="I577" s="335"/>
      <c r="J577" s="335"/>
      <c r="K577" s="335"/>
      <c r="L577" s="335"/>
      <c r="M577" s="335"/>
      <c r="N577" s="335"/>
      <c r="O577" s="335"/>
      <c r="P577" s="335"/>
      <c r="Q577" s="335"/>
      <c r="R577" s="335"/>
      <c r="S577" s="335"/>
      <c r="T577" s="335"/>
      <c r="U577" s="335"/>
      <c r="V577" s="335"/>
      <c r="W577" s="335"/>
      <c r="X577" s="335"/>
      <c r="Y577" s="3"/>
      <c r="Z577" s="3010"/>
      <c r="AA577" s="3011"/>
      <c r="AB577" s="3011"/>
      <c r="AC577" s="3011"/>
      <c r="AD577" s="3011"/>
      <c r="AE577" s="3011"/>
      <c r="AF577" s="3011"/>
      <c r="AG577" s="3011"/>
      <c r="AH577" s="3011"/>
      <c r="AI577" s="3011"/>
      <c r="AJ577" s="3011"/>
      <c r="AK577" s="3011"/>
      <c r="AL577" s="3011"/>
      <c r="AM577" s="3011"/>
      <c r="AN577" s="3011"/>
      <c r="AO577" s="104"/>
      <c r="AP577" s="104"/>
      <c r="AQ577" s="104"/>
      <c r="AR577" s="104"/>
      <c r="AS577" s="104"/>
      <c r="AT577" s="104"/>
      <c r="AU577" s="105"/>
      <c r="AW577" s="197"/>
      <c r="AX577" s="197"/>
    </row>
    <row r="578" spans="1:50" ht="15.75" customHeight="1" x14ac:dyDescent="0.15">
      <c r="A578" s="2"/>
      <c r="B578" s="335"/>
      <c r="C578" s="335"/>
      <c r="D578" s="335"/>
      <c r="E578" s="335"/>
      <c r="F578" s="335"/>
      <c r="G578" s="335"/>
      <c r="H578" s="335"/>
      <c r="I578" s="335"/>
      <c r="J578" s="335"/>
      <c r="K578" s="335"/>
      <c r="L578" s="335"/>
      <c r="M578" s="335"/>
      <c r="N578" s="335"/>
      <c r="O578" s="335"/>
      <c r="P578" s="335"/>
      <c r="Q578" s="335"/>
      <c r="R578" s="335"/>
      <c r="S578" s="335"/>
      <c r="T578" s="335"/>
      <c r="U578" s="335"/>
      <c r="V578" s="335"/>
      <c r="W578" s="335"/>
      <c r="X578" s="335"/>
      <c r="Y578" s="3"/>
      <c r="Z578" s="2995" t="str">
        <f>IFERROR(VLOOKUP(20,'1_入力シート【基本情報】'!$DU$319:$DZ$534,5,FALSE),"")</f>
        <v/>
      </c>
      <c r="AA578" s="2996"/>
      <c r="AB578" s="2996"/>
      <c r="AC578" s="2996"/>
      <c r="AD578" s="2996"/>
      <c r="AE578" s="2996"/>
      <c r="AF578" s="2996"/>
      <c r="AG578" s="2996"/>
      <c r="AH578" s="2996"/>
      <c r="AI578" s="2996"/>
      <c r="AJ578" s="2996"/>
      <c r="AK578" s="2996"/>
      <c r="AL578" s="2996"/>
      <c r="AM578" s="2996"/>
      <c r="AN578" s="2996"/>
      <c r="AO578" s="2996"/>
      <c r="AP578" s="2996"/>
      <c r="AQ578" s="2996"/>
      <c r="AR578" s="2996"/>
      <c r="AS578" s="2996"/>
      <c r="AT578" s="2996"/>
      <c r="AU578" s="2997"/>
      <c r="AW578" s="197"/>
      <c r="AX578" s="197"/>
    </row>
    <row r="579" spans="1:50" ht="15.75" customHeight="1" x14ac:dyDescent="0.15">
      <c r="A579" s="2"/>
      <c r="B579" s="335"/>
      <c r="C579" s="335"/>
      <c r="D579" s="335"/>
      <c r="E579" s="335"/>
      <c r="F579" s="335"/>
      <c r="G579" s="335"/>
      <c r="H579" s="335"/>
      <c r="I579" s="335"/>
      <c r="J579" s="335"/>
      <c r="K579" s="335"/>
      <c r="L579" s="335"/>
      <c r="M579" s="335"/>
      <c r="N579" s="335"/>
      <c r="O579" s="335"/>
      <c r="P579" s="335"/>
      <c r="Q579" s="335"/>
      <c r="R579" s="335"/>
      <c r="S579" s="335"/>
      <c r="T579" s="335"/>
      <c r="U579" s="335"/>
      <c r="V579" s="335"/>
      <c r="W579" s="335"/>
      <c r="X579" s="335"/>
      <c r="Y579" s="3"/>
      <c r="Z579" s="2998"/>
      <c r="AA579" s="2999"/>
      <c r="AB579" s="2999"/>
      <c r="AC579" s="2999"/>
      <c r="AD579" s="2999"/>
      <c r="AE579" s="2999"/>
      <c r="AF579" s="2999"/>
      <c r="AG579" s="2999"/>
      <c r="AH579" s="2999"/>
      <c r="AI579" s="2999"/>
      <c r="AJ579" s="2999"/>
      <c r="AK579" s="2999"/>
      <c r="AL579" s="2999"/>
      <c r="AM579" s="2999"/>
      <c r="AN579" s="2999"/>
      <c r="AO579" s="2999"/>
      <c r="AP579" s="2999"/>
      <c r="AQ579" s="2999"/>
      <c r="AR579" s="2999"/>
      <c r="AS579" s="2999"/>
      <c r="AT579" s="2999"/>
      <c r="AU579" s="3000"/>
      <c r="AW579" s="197"/>
      <c r="AX579" s="197"/>
    </row>
    <row r="580" spans="1:50" ht="15.75" customHeight="1" x14ac:dyDescent="0.15">
      <c r="A580" s="2"/>
      <c r="B580" s="335"/>
      <c r="C580" s="335"/>
      <c r="D580" s="335"/>
      <c r="E580" s="335"/>
      <c r="F580" s="335"/>
      <c r="G580" s="335"/>
      <c r="H580" s="335"/>
      <c r="I580" s="335"/>
      <c r="J580" s="335"/>
      <c r="K580" s="335"/>
      <c r="L580" s="335"/>
      <c r="M580" s="335"/>
      <c r="N580" s="335"/>
      <c r="O580" s="335"/>
      <c r="P580" s="335"/>
      <c r="Q580" s="335"/>
      <c r="R580" s="335"/>
      <c r="S580" s="335"/>
      <c r="T580" s="335"/>
      <c r="U580" s="335"/>
      <c r="V580" s="335"/>
      <c r="W580" s="335"/>
      <c r="X580" s="335"/>
      <c r="Y580" s="3"/>
      <c r="Z580" s="3001"/>
      <c r="AA580" s="3002"/>
      <c r="AB580" s="3002"/>
      <c r="AC580" s="3002"/>
      <c r="AD580" s="3002"/>
      <c r="AE580" s="3002"/>
      <c r="AF580" s="3002"/>
      <c r="AG580" s="3002"/>
      <c r="AH580" s="3002"/>
      <c r="AI580" s="3002"/>
      <c r="AJ580" s="3002"/>
      <c r="AK580" s="3002"/>
      <c r="AL580" s="3002"/>
      <c r="AM580" s="3002"/>
      <c r="AN580" s="3002"/>
      <c r="AO580" s="3002"/>
      <c r="AP580" s="3002"/>
      <c r="AQ580" s="3002"/>
      <c r="AR580" s="3002"/>
      <c r="AS580" s="3002"/>
      <c r="AT580" s="3002"/>
      <c r="AU580" s="3003"/>
      <c r="AW580" s="197"/>
      <c r="AX580" s="197"/>
    </row>
    <row r="581" spans="1:50" ht="15.75" customHeight="1" x14ac:dyDescent="0.15">
      <c r="A581" s="2"/>
      <c r="B581" s="371"/>
      <c r="C581" s="371"/>
      <c r="D581" s="371"/>
      <c r="E581" s="371"/>
      <c r="F581" s="371"/>
      <c r="G581" s="371"/>
      <c r="H581" s="371"/>
      <c r="I581" s="371"/>
      <c r="J581" s="371"/>
      <c r="K581" s="371"/>
      <c r="L581" s="371"/>
      <c r="M581" s="371"/>
      <c r="N581" s="371"/>
      <c r="O581" s="371"/>
      <c r="P581" s="371"/>
      <c r="Q581" s="371"/>
      <c r="R581" s="371"/>
      <c r="S581" s="371"/>
      <c r="T581" s="371"/>
      <c r="U581" s="371"/>
      <c r="V581" s="371"/>
      <c r="W581" s="371"/>
      <c r="X581" s="371"/>
      <c r="Y581" s="3"/>
      <c r="Z581" s="3004"/>
      <c r="AA581" s="3005"/>
      <c r="AB581" s="3005"/>
      <c r="AC581" s="3005"/>
      <c r="AD581" s="3005"/>
      <c r="AE581" s="3005"/>
      <c r="AF581" s="3005"/>
      <c r="AG581" s="3005"/>
      <c r="AH581" s="3005"/>
      <c r="AI581" s="3005"/>
      <c r="AJ581" s="3005"/>
      <c r="AK581" s="3005"/>
      <c r="AL581" s="3005"/>
      <c r="AM581" s="3005"/>
      <c r="AN581" s="3005"/>
      <c r="AO581" s="3005"/>
      <c r="AP581" s="3005"/>
      <c r="AQ581" s="3005"/>
      <c r="AR581" s="3005"/>
      <c r="AS581" s="3005"/>
      <c r="AT581" s="3005"/>
      <c r="AU581" s="3006"/>
      <c r="AW581" s="197"/>
      <c r="AX581" s="197"/>
    </row>
    <row r="582" spans="1:50" ht="15.75" customHeight="1" x14ac:dyDescent="0.15">
      <c r="A582" s="2"/>
      <c r="B582" s="371"/>
      <c r="C582" s="371"/>
      <c r="D582" s="371"/>
      <c r="E582" s="371"/>
      <c r="F582" s="371"/>
      <c r="G582" s="371"/>
      <c r="H582" s="371"/>
      <c r="I582" s="371"/>
      <c r="J582" s="371"/>
      <c r="K582" s="371"/>
      <c r="L582" s="371"/>
      <c r="M582" s="371"/>
      <c r="N582" s="371"/>
      <c r="O582" s="371"/>
      <c r="P582" s="371"/>
      <c r="Q582" s="371"/>
      <c r="R582" s="371"/>
      <c r="S582" s="371"/>
      <c r="T582" s="371"/>
      <c r="U582" s="371"/>
      <c r="V582" s="371"/>
      <c r="W582" s="371"/>
      <c r="X582" s="371"/>
      <c r="Y582" s="3"/>
      <c r="Z582" s="3004"/>
      <c r="AA582" s="3005"/>
      <c r="AB582" s="3005"/>
      <c r="AC582" s="3005"/>
      <c r="AD582" s="3005"/>
      <c r="AE582" s="3005"/>
      <c r="AF582" s="3005"/>
      <c r="AG582" s="3005"/>
      <c r="AH582" s="3005"/>
      <c r="AI582" s="3005"/>
      <c r="AJ582" s="3005"/>
      <c r="AK582" s="3005"/>
      <c r="AL582" s="3005"/>
      <c r="AM582" s="3005"/>
      <c r="AN582" s="3005"/>
      <c r="AO582" s="3005"/>
      <c r="AP582" s="3005"/>
      <c r="AQ582" s="3005"/>
      <c r="AR582" s="3005"/>
      <c r="AS582" s="3005"/>
      <c r="AT582" s="3005"/>
      <c r="AU582" s="3006"/>
      <c r="AW582" s="197"/>
      <c r="AX582" s="197"/>
    </row>
    <row r="583" spans="1:50" ht="15.75" customHeight="1" x14ac:dyDescent="0.15">
      <c r="A583" s="2"/>
      <c r="B583" s="371"/>
      <c r="C583" s="371"/>
      <c r="D583" s="371"/>
      <c r="E583" s="371"/>
      <c r="F583" s="371"/>
      <c r="G583" s="371"/>
      <c r="H583" s="371"/>
      <c r="I583" s="371"/>
      <c r="J583" s="371"/>
      <c r="K583" s="371"/>
      <c r="L583" s="371"/>
      <c r="M583" s="371"/>
      <c r="N583" s="371"/>
      <c r="O583" s="371"/>
      <c r="P583" s="371"/>
      <c r="Q583" s="371"/>
      <c r="R583" s="371"/>
      <c r="S583" s="371"/>
      <c r="T583" s="371"/>
      <c r="U583" s="371"/>
      <c r="V583" s="371"/>
      <c r="W583" s="371"/>
      <c r="X583" s="371"/>
      <c r="Y583" s="3"/>
      <c r="Z583" s="3004"/>
      <c r="AA583" s="3005"/>
      <c r="AB583" s="3005"/>
      <c r="AC583" s="3005"/>
      <c r="AD583" s="3005"/>
      <c r="AE583" s="3005"/>
      <c r="AF583" s="3005"/>
      <c r="AG583" s="3005"/>
      <c r="AH583" s="3005"/>
      <c r="AI583" s="3005"/>
      <c r="AJ583" s="3005"/>
      <c r="AK583" s="3005"/>
      <c r="AL583" s="3005"/>
      <c r="AM583" s="3005"/>
      <c r="AN583" s="3005"/>
      <c r="AO583" s="3005"/>
      <c r="AP583" s="3005"/>
      <c r="AQ583" s="3005"/>
      <c r="AR583" s="3005"/>
      <c r="AS583" s="3005"/>
      <c r="AT583" s="3005"/>
      <c r="AU583" s="3006"/>
      <c r="AW583" s="197"/>
      <c r="AX583" s="197"/>
    </row>
    <row r="584" spans="1:50" ht="15.75" customHeight="1" x14ac:dyDescent="0.15">
      <c r="A584" s="2"/>
      <c r="B584" s="371"/>
      <c r="C584" s="371"/>
      <c r="D584" s="371"/>
      <c r="E584" s="371"/>
      <c r="F584" s="371"/>
      <c r="G584" s="371"/>
      <c r="H584" s="371"/>
      <c r="I584" s="371"/>
      <c r="J584" s="371"/>
      <c r="K584" s="3013" t="s">
        <v>157</v>
      </c>
      <c r="L584" s="3013"/>
      <c r="M584" s="3013"/>
      <c r="N584" s="3013"/>
      <c r="O584" s="3013"/>
      <c r="P584" s="3013"/>
      <c r="Q584" s="371"/>
      <c r="R584" s="371"/>
      <c r="S584" s="371"/>
      <c r="T584" s="371"/>
      <c r="U584" s="371"/>
      <c r="V584" s="371"/>
      <c r="W584" s="371"/>
      <c r="X584" s="371"/>
      <c r="Y584" s="3"/>
      <c r="Z584" s="3004"/>
      <c r="AA584" s="3005"/>
      <c r="AB584" s="3005"/>
      <c r="AC584" s="3005"/>
      <c r="AD584" s="3005"/>
      <c r="AE584" s="3005"/>
      <c r="AF584" s="3005"/>
      <c r="AG584" s="3005"/>
      <c r="AH584" s="3005"/>
      <c r="AI584" s="3005"/>
      <c r="AJ584" s="3005"/>
      <c r="AK584" s="3005"/>
      <c r="AL584" s="3005"/>
      <c r="AM584" s="3005"/>
      <c r="AN584" s="3005"/>
      <c r="AO584" s="3005"/>
      <c r="AP584" s="3005"/>
      <c r="AQ584" s="3005"/>
      <c r="AR584" s="3005"/>
      <c r="AS584" s="3005"/>
      <c r="AT584" s="3005"/>
      <c r="AU584" s="3006"/>
      <c r="AW584" s="197"/>
      <c r="AX584" s="197"/>
    </row>
    <row r="585" spans="1:50" ht="15.75" customHeight="1" x14ac:dyDescent="0.15">
      <c r="A585" s="2"/>
      <c r="B585" s="371"/>
      <c r="C585" s="371"/>
      <c r="D585" s="371"/>
      <c r="E585" s="371"/>
      <c r="F585" s="371"/>
      <c r="G585" s="371"/>
      <c r="H585" s="371"/>
      <c r="I585" s="371"/>
      <c r="J585" s="371"/>
      <c r="K585" s="371"/>
      <c r="L585" s="371"/>
      <c r="M585" s="371"/>
      <c r="N585" s="371"/>
      <c r="O585" s="371"/>
      <c r="P585" s="371"/>
      <c r="Q585" s="371"/>
      <c r="R585" s="371"/>
      <c r="S585" s="371"/>
      <c r="T585" s="371"/>
      <c r="U585" s="371"/>
      <c r="V585" s="371"/>
      <c r="W585" s="371"/>
      <c r="X585" s="371"/>
      <c r="Y585" s="3"/>
      <c r="Z585" s="3004"/>
      <c r="AA585" s="3005"/>
      <c r="AB585" s="3005"/>
      <c r="AC585" s="3005"/>
      <c r="AD585" s="3005"/>
      <c r="AE585" s="3005"/>
      <c r="AF585" s="3005"/>
      <c r="AG585" s="3005"/>
      <c r="AH585" s="3005"/>
      <c r="AI585" s="3005"/>
      <c r="AJ585" s="3005"/>
      <c r="AK585" s="3005"/>
      <c r="AL585" s="3005"/>
      <c r="AM585" s="3005"/>
      <c r="AN585" s="3005"/>
      <c r="AO585" s="3005"/>
      <c r="AP585" s="3005"/>
      <c r="AQ585" s="3005"/>
      <c r="AR585" s="3005"/>
      <c r="AS585" s="3005"/>
      <c r="AT585" s="3005"/>
      <c r="AU585" s="3006"/>
      <c r="AW585" s="197"/>
      <c r="AX585" s="197"/>
    </row>
    <row r="586" spans="1:50" ht="15.75" customHeight="1" x14ac:dyDescent="0.15">
      <c r="A586" s="2"/>
      <c r="B586" s="371"/>
      <c r="C586" s="371"/>
      <c r="D586" s="371"/>
      <c r="E586" s="371"/>
      <c r="F586" s="371"/>
      <c r="G586" s="371"/>
      <c r="H586" s="371"/>
      <c r="I586" s="371"/>
      <c r="J586" s="371"/>
      <c r="K586" s="371"/>
      <c r="L586" s="371"/>
      <c r="M586" s="371"/>
      <c r="N586" s="371"/>
      <c r="O586" s="371"/>
      <c r="P586" s="371"/>
      <c r="Q586" s="371"/>
      <c r="R586" s="371"/>
      <c r="S586" s="371"/>
      <c r="T586" s="371"/>
      <c r="U586" s="371"/>
      <c r="V586" s="371"/>
      <c r="W586" s="371"/>
      <c r="X586" s="371"/>
      <c r="Y586" s="3"/>
      <c r="Z586" s="3004"/>
      <c r="AA586" s="3005"/>
      <c r="AB586" s="3005"/>
      <c r="AC586" s="3005"/>
      <c r="AD586" s="3005"/>
      <c r="AE586" s="3005"/>
      <c r="AF586" s="3005"/>
      <c r="AG586" s="3005"/>
      <c r="AH586" s="3005"/>
      <c r="AI586" s="3005"/>
      <c r="AJ586" s="3005"/>
      <c r="AK586" s="3005"/>
      <c r="AL586" s="3005"/>
      <c r="AM586" s="3005"/>
      <c r="AN586" s="3005"/>
      <c r="AO586" s="3005"/>
      <c r="AP586" s="3005"/>
      <c r="AQ586" s="3005"/>
      <c r="AR586" s="3005"/>
      <c r="AS586" s="3005"/>
      <c r="AT586" s="3005"/>
      <c r="AU586" s="3006"/>
      <c r="AW586" s="197"/>
      <c r="AX586" s="197"/>
    </row>
    <row r="587" spans="1:50" ht="15.75" customHeight="1" x14ac:dyDescent="0.15">
      <c r="A587" s="2"/>
      <c r="B587" s="371"/>
      <c r="C587" s="371"/>
      <c r="D587" s="371"/>
      <c r="E587" s="371"/>
      <c r="F587" s="371"/>
      <c r="G587" s="371"/>
      <c r="H587" s="371"/>
      <c r="I587" s="371"/>
      <c r="J587" s="371"/>
      <c r="K587" s="371"/>
      <c r="L587" s="371"/>
      <c r="M587" s="371"/>
      <c r="N587" s="371"/>
      <c r="O587" s="371"/>
      <c r="P587" s="371"/>
      <c r="Q587" s="371"/>
      <c r="R587" s="371"/>
      <c r="S587" s="371"/>
      <c r="T587" s="371"/>
      <c r="U587" s="371"/>
      <c r="V587" s="371"/>
      <c r="W587" s="371"/>
      <c r="X587" s="371"/>
      <c r="Y587" s="3"/>
      <c r="Z587" s="3004"/>
      <c r="AA587" s="3005"/>
      <c r="AB587" s="3005"/>
      <c r="AC587" s="3005"/>
      <c r="AD587" s="3005"/>
      <c r="AE587" s="3005"/>
      <c r="AF587" s="3005"/>
      <c r="AG587" s="3005"/>
      <c r="AH587" s="3005"/>
      <c r="AI587" s="3005"/>
      <c r="AJ587" s="3005"/>
      <c r="AK587" s="3005"/>
      <c r="AL587" s="3005"/>
      <c r="AM587" s="3005"/>
      <c r="AN587" s="3005"/>
      <c r="AO587" s="3005"/>
      <c r="AP587" s="3005"/>
      <c r="AQ587" s="3005"/>
      <c r="AR587" s="3005"/>
      <c r="AS587" s="3005"/>
      <c r="AT587" s="3005"/>
      <c r="AU587" s="3006"/>
      <c r="AW587" s="197"/>
      <c r="AX587" s="197"/>
    </row>
    <row r="588" spans="1:50" ht="15.75" customHeight="1" x14ac:dyDescent="0.15">
      <c r="A588" s="2"/>
      <c r="B588" s="371"/>
      <c r="C588" s="371"/>
      <c r="D588" s="371"/>
      <c r="E588" s="371"/>
      <c r="F588" s="371"/>
      <c r="G588" s="371"/>
      <c r="H588" s="371"/>
      <c r="I588" s="371"/>
      <c r="J588" s="371"/>
      <c r="K588" s="371"/>
      <c r="L588" s="371"/>
      <c r="M588" s="371"/>
      <c r="N588" s="371"/>
      <c r="O588" s="371"/>
      <c r="P588" s="371"/>
      <c r="Q588" s="371"/>
      <c r="R588" s="371"/>
      <c r="S588" s="371"/>
      <c r="T588" s="371"/>
      <c r="U588" s="371"/>
      <c r="V588" s="371"/>
      <c r="W588" s="371"/>
      <c r="X588" s="371"/>
      <c r="Y588" s="3"/>
      <c r="Z588" s="3004"/>
      <c r="AA588" s="3005"/>
      <c r="AB588" s="3005"/>
      <c r="AC588" s="3005"/>
      <c r="AD588" s="3005"/>
      <c r="AE588" s="3005"/>
      <c r="AF588" s="3005"/>
      <c r="AG588" s="3005"/>
      <c r="AH588" s="3005"/>
      <c r="AI588" s="3005"/>
      <c r="AJ588" s="3005"/>
      <c r="AK588" s="3005"/>
      <c r="AL588" s="3005"/>
      <c r="AM588" s="3005"/>
      <c r="AN588" s="3005"/>
      <c r="AO588" s="3005"/>
      <c r="AP588" s="3005"/>
      <c r="AQ588" s="3005"/>
      <c r="AR588" s="3005"/>
      <c r="AS588" s="3005"/>
      <c r="AT588" s="3005"/>
      <c r="AU588" s="3006"/>
      <c r="AW588" s="197"/>
      <c r="AX588" s="197"/>
    </row>
    <row r="589" spans="1:50" ht="15.75" customHeight="1" x14ac:dyDescent="0.15">
      <c r="A589" s="2"/>
      <c r="B589" s="371"/>
      <c r="C589" s="371"/>
      <c r="D589" s="371"/>
      <c r="E589" s="371"/>
      <c r="F589" s="371"/>
      <c r="G589" s="371"/>
      <c r="H589" s="371"/>
      <c r="I589" s="371"/>
      <c r="J589" s="371"/>
      <c r="K589" s="371"/>
      <c r="L589" s="371"/>
      <c r="M589" s="371"/>
      <c r="N589" s="371"/>
      <c r="O589" s="371"/>
      <c r="P589" s="371"/>
      <c r="Q589" s="371"/>
      <c r="R589" s="371"/>
      <c r="S589" s="371"/>
      <c r="T589" s="371"/>
      <c r="U589" s="371"/>
      <c r="V589" s="371"/>
      <c r="W589" s="371"/>
      <c r="X589" s="371"/>
      <c r="Y589" s="3"/>
      <c r="Z589" s="3004"/>
      <c r="AA589" s="3005"/>
      <c r="AB589" s="3005"/>
      <c r="AC589" s="3005"/>
      <c r="AD589" s="3005"/>
      <c r="AE589" s="3005"/>
      <c r="AF589" s="3005"/>
      <c r="AG589" s="3005"/>
      <c r="AH589" s="3005"/>
      <c r="AI589" s="3005"/>
      <c r="AJ589" s="3005"/>
      <c r="AK589" s="3005"/>
      <c r="AL589" s="3005"/>
      <c r="AM589" s="3005"/>
      <c r="AN589" s="3005"/>
      <c r="AO589" s="3005"/>
      <c r="AP589" s="3005"/>
      <c r="AQ589" s="3005"/>
      <c r="AR589" s="3005"/>
      <c r="AS589" s="3005"/>
      <c r="AT589" s="3005"/>
      <c r="AU589" s="3006"/>
      <c r="AW589" s="197"/>
      <c r="AX589" s="197"/>
    </row>
    <row r="590" spans="1:50" ht="15.75" customHeight="1" x14ac:dyDescent="0.15">
      <c r="A590" s="2"/>
      <c r="B590" s="371"/>
      <c r="C590" s="371"/>
      <c r="D590" s="371"/>
      <c r="E590" s="371"/>
      <c r="F590" s="371"/>
      <c r="G590" s="371"/>
      <c r="H590" s="371"/>
      <c r="I590" s="371"/>
      <c r="J590" s="371"/>
      <c r="K590" s="371"/>
      <c r="L590" s="371"/>
      <c r="M590" s="371"/>
      <c r="N590" s="371"/>
      <c r="O590" s="371"/>
      <c r="P590" s="371"/>
      <c r="Q590" s="371"/>
      <c r="R590" s="371"/>
      <c r="S590" s="371"/>
      <c r="T590" s="371"/>
      <c r="U590" s="371"/>
      <c r="V590" s="371"/>
      <c r="W590" s="371"/>
      <c r="X590" s="371"/>
      <c r="Y590" s="3"/>
      <c r="Z590" s="3004"/>
      <c r="AA590" s="3005"/>
      <c r="AB590" s="3005"/>
      <c r="AC590" s="3005"/>
      <c r="AD590" s="3005"/>
      <c r="AE590" s="3005"/>
      <c r="AF590" s="3005"/>
      <c r="AG590" s="3005"/>
      <c r="AH590" s="3005"/>
      <c r="AI590" s="3005"/>
      <c r="AJ590" s="3005"/>
      <c r="AK590" s="3005"/>
      <c r="AL590" s="3005"/>
      <c r="AM590" s="3005"/>
      <c r="AN590" s="3005"/>
      <c r="AO590" s="3005"/>
      <c r="AP590" s="3005"/>
      <c r="AQ590" s="3005"/>
      <c r="AR590" s="3005"/>
      <c r="AS590" s="3005"/>
      <c r="AT590" s="3005"/>
      <c r="AU590" s="3006"/>
      <c r="AW590" s="197"/>
      <c r="AX590" s="197"/>
    </row>
    <row r="591" spans="1:50" ht="15.75" customHeight="1" x14ac:dyDescent="0.15">
      <c r="A591" s="2"/>
      <c r="B591" s="371"/>
      <c r="C591" s="371"/>
      <c r="D591" s="371"/>
      <c r="E591" s="371"/>
      <c r="F591" s="371"/>
      <c r="G591" s="371"/>
      <c r="H591" s="371"/>
      <c r="I591" s="371"/>
      <c r="J591" s="371"/>
      <c r="K591" s="371"/>
      <c r="L591" s="371"/>
      <c r="M591" s="371"/>
      <c r="N591" s="371"/>
      <c r="O591" s="371"/>
      <c r="P591" s="371"/>
      <c r="Q591" s="371"/>
      <c r="R591" s="371"/>
      <c r="S591" s="371"/>
      <c r="T591" s="371"/>
      <c r="U591" s="371"/>
      <c r="V591" s="371"/>
      <c r="W591" s="371"/>
      <c r="X591" s="371"/>
      <c r="Y591" s="3"/>
      <c r="Z591" s="3004"/>
      <c r="AA591" s="3005"/>
      <c r="AB591" s="3005"/>
      <c r="AC591" s="3005"/>
      <c r="AD591" s="3005"/>
      <c r="AE591" s="3005"/>
      <c r="AF591" s="3005"/>
      <c r="AG591" s="3005"/>
      <c r="AH591" s="3005"/>
      <c r="AI591" s="3005"/>
      <c r="AJ591" s="3005"/>
      <c r="AK591" s="3005"/>
      <c r="AL591" s="3005"/>
      <c r="AM591" s="3005"/>
      <c r="AN591" s="3005"/>
      <c r="AO591" s="3005"/>
      <c r="AP591" s="3005"/>
      <c r="AQ591" s="3005"/>
      <c r="AR591" s="3005"/>
      <c r="AS591" s="3005"/>
      <c r="AT591" s="3005"/>
      <c r="AU591" s="3006"/>
      <c r="AW591" s="197"/>
      <c r="AX591" s="197"/>
    </row>
    <row r="592" spans="1:50" ht="15.75" customHeight="1" x14ac:dyDescent="0.15">
      <c r="A592" s="2"/>
      <c r="B592" s="371"/>
      <c r="C592" s="371"/>
      <c r="D592" s="371"/>
      <c r="E592" s="371"/>
      <c r="F592" s="371"/>
      <c r="G592" s="371"/>
      <c r="H592" s="371"/>
      <c r="I592" s="371"/>
      <c r="J592" s="371"/>
      <c r="K592" s="371"/>
      <c r="L592" s="371"/>
      <c r="M592" s="371"/>
      <c r="N592" s="371"/>
      <c r="O592" s="371"/>
      <c r="P592" s="371"/>
      <c r="Q592" s="371"/>
      <c r="R592" s="371"/>
      <c r="S592" s="371"/>
      <c r="T592" s="371"/>
      <c r="U592" s="371"/>
      <c r="V592" s="371"/>
      <c r="W592" s="371"/>
      <c r="X592" s="371"/>
      <c r="Y592" s="3"/>
      <c r="Z592" s="3004"/>
      <c r="AA592" s="3005"/>
      <c r="AB592" s="3005"/>
      <c r="AC592" s="3005"/>
      <c r="AD592" s="3005"/>
      <c r="AE592" s="3005"/>
      <c r="AF592" s="3005"/>
      <c r="AG592" s="3005"/>
      <c r="AH592" s="3005"/>
      <c r="AI592" s="3005"/>
      <c r="AJ592" s="3005"/>
      <c r="AK592" s="3005"/>
      <c r="AL592" s="3005"/>
      <c r="AM592" s="3005"/>
      <c r="AN592" s="3005"/>
      <c r="AO592" s="3005"/>
      <c r="AP592" s="3005"/>
      <c r="AQ592" s="3005"/>
      <c r="AR592" s="3005"/>
      <c r="AS592" s="3005"/>
      <c r="AT592" s="3005"/>
      <c r="AU592" s="3006"/>
      <c r="AW592" s="197"/>
      <c r="AX592" s="197"/>
    </row>
    <row r="593" spans="1:50" ht="15.75" customHeight="1" x14ac:dyDescent="0.15">
      <c r="A593" s="6"/>
      <c r="B593" s="4"/>
      <c r="C593" s="4"/>
      <c r="D593" s="4"/>
      <c r="E593" s="4"/>
      <c r="F593" s="4"/>
      <c r="G593" s="4"/>
      <c r="H593" s="4"/>
      <c r="I593" s="4"/>
      <c r="J593" s="4"/>
      <c r="K593" s="4"/>
      <c r="L593" s="4"/>
      <c r="M593" s="4"/>
      <c r="N593" s="4"/>
      <c r="O593" s="4"/>
      <c r="P593" s="4"/>
      <c r="Q593" s="4"/>
      <c r="R593" s="4"/>
      <c r="S593" s="4"/>
      <c r="T593" s="4"/>
      <c r="U593" s="4"/>
      <c r="V593" s="4"/>
      <c r="W593" s="4"/>
      <c r="X593" s="4"/>
      <c r="Y593" s="5"/>
      <c r="Z593" s="3007"/>
      <c r="AA593" s="3008"/>
      <c r="AB593" s="3008"/>
      <c r="AC593" s="3008"/>
      <c r="AD593" s="3008"/>
      <c r="AE593" s="3008"/>
      <c r="AF593" s="3008"/>
      <c r="AG593" s="3008"/>
      <c r="AH593" s="3008"/>
      <c r="AI593" s="3008"/>
      <c r="AJ593" s="3008"/>
      <c r="AK593" s="3008"/>
      <c r="AL593" s="3008"/>
      <c r="AM593" s="3008"/>
      <c r="AN593" s="3008"/>
      <c r="AO593" s="3008"/>
      <c r="AP593" s="3008"/>
      <c r="AQ593" s="3008"/>
      <c r="AR593" s="3008"/>
      <c r="AS593" s="3008"/>
      <c r="AT593" s="3008"/>
      <c r="AU593" s="3009"/>
      <c r="AW593" s="197"/>
      <c r="AX593" s="197"/>
    </row>
    <row r="594" spans="1:50" ht="15.75" customHeight="1" x14ac:dyDescent="0.15">
      <c r="A594" s="347"/>
      <c r="B594" s="347"/>
      <c r="C594" s="347"/>
      <c r="D594" s="347"/>
      <c r="E594" s="347"/>
      <c r="F594" s="347"/>
      <c r="G594" s="347"/>
      <c r="H594" s="347"/>
      <c r="I594" s="347"/>
      <c r="J594" s="347"/>
      <c r="K594" s="347"/>
      <c r="L594" s="347"/>
      <c r="M594" s="347"/>
      <c r="N594" s="347"/>
      <c r="O594" s="347"/>
      <c r="P594" s="347"/>
      <c r="Q594" s="347"/>
      <c r="R594" s="347"/>
      <c r="S594" s="347"/>
      <c r="T594" s="347"/>
      <c r="U594" s="347"/>
      <c r="V594" s="347"/>
      <c r="W594" s="347"/>
      <c r="X594" s="347"/>
      <c r="Y594" s="347"/>
      <c r="Z594" s="350"/>
      <c r="AA594" s="350"/>
      <c r="AB594" s="350"/>
      <c r="AC594" s="350"/>
      <c r="AD594" s="350"/>
      <c r="AE594" s="350"/>
      <c r="AF594" s="350"/>
      <c r="AG594" s="350"/>
      <c r="AH594" s="350"/>
      <c r="AI594" s="350"/>
      <c r="AJ594" s="350"/>
      <c r="AK594" s="350"/>
      <c r="AL594" s="350"/>
      <c r="AM594" s="350"/>
      <c r="AN594" s="350"/>
      <c r="AO594" s="350"/>
      <c r="AP594" s="350"/>
      <c r="AQ594" s="350"/>
      <c r="AR594" s="350"/>
      <c r="AS594" s="350"/>
      <c r="AT594" s="350"/>
      <c r="AU594" s="350"/>
    </row>
    <row r="595" spans="1:50" ht="12.75" customHeight="1" x14ac:dyDescent="0.15">
      <c r="A595" s="3027" t="s">
        <v>150</v>
      </c>
      <c r="B595" s="3027"/>
      <c r="C595" s="3027"/>
      <c r="D595" s="3027"/>
      <c r="AU595" s="337"/>
    </row>
    <row r="596" spans="1:50" ht="12.75" customHeight="1" x14ac:dyDescent="0.15">
      <c r="B596" s="338" t="s">
        <v>151</v>
      </c>
      <c r="C596" s="2993" t="s">
        <v>169</v>
      </c>
      <c r="D596" s="2993"/>
      <c r="E596" s="2993"/>
      <c r="F596" s="2993"/>
      <c r="G596" s="2993"/>
      <c r="H596" s="2993"/>
      <c r="I596" s="2993"/>
      <c r="J596" s="2993"/>
      <c r="K596" s="2993"/>
      <c r="L596" s="2993"/>
      <c r="M596" s="2993"/>
      <c r="N596" s="2993"/>
      <c r="O596" s="2993"/>
      <c r="P596" s="2993"/>
      <c r="Q596" s="2993"/>
      <c r="R596" s="2993"/>
      <c r="S596" s="2993"/>
      <c r="T596" s="2993"/>
      <c r="U596" s="2993"/>
      <c r="V596" s="2993"/>
      <c r="W596" s="2993"/>
      <c r="X596" s="2993"/>
      <c r="Y596" s="2993"/>
      <c r="Z596" s="2993"/>
      <c r="AA596" s="2993"/>
      <c r="AB596" s="2993"/>
      <c r="AC596" s="2993"/>
      <c r="AD596" s="2993"/>
      <c r="AE596" s="2993"/>
      <c r="AF596" s="2993"/>
      <c r="AG596" s="2993"/>
      <c r="AH596" s="2993"/>
      <c r="AI596" s="2993"/>
      <c r="AJ596" s="2993"/>
      <c r="AK596" s="2993"/>
      <c r="AL596" s="2993"/>
      <c r="AM596" s="2993"/>
      <c r="AN596" s="2993"/>
      <c r="AO596" s="2993"/>
      <c r="AP596" s="2993"/>
      <c r="AQ596" s="2993"/>
      <c r="AR596" s="2993"/>
      <c r="AS596" s="2993"/>
      <c r="AT596" s="2993"/>
      <c r="AU596" s="2993"/>
    </row>
    <row r="597" spans="1:50" ht="12.75" customHeight="1" x14ac:dyDescent="0.15">
      <c r="B597" s="338"/>
      <c r="C597" s="2993" t="s">
        <v>170</v>
      </c>
      <c r="D597" s="2993"/>
      <c r="E597" s="2993"/>
      <c r="F597" s="2993"/>
      <c r="G597" s="2993"/>
      <c r="H597" s="2993"/>
      <c r="I597" s="2993"/>
      <c r="J597" s="2993"/>
      <c r="K597" s="2993"/>
      <c r="L597" s="2993"/>
      <c r="M597" s="2993"/>
      <c r="N597" s="2993"/>
      <c r="O597" s="2993"/>
      <c r="P597" s="2993"/>
      <c r="Q597" s="2993"/>
      <c r="R597" s="2993"/>
      <c r="S597" s="2993"/>
      <c r="T597" s="2993"/>
      <c r="U597" s="2993"/>
      <c r="V597" s="2993"/>
      <c r="W597" s="2993"/>
      <c r="X597" s="2993"/>
      <c r="Y597" s="2993"/>
      <c r="Z597" s="2993"/>
      <c r="AA597" s="2993"/>
      <c r="AB597" s="2993"/>
      <c r="AC597" s="2993"/>
      <c r="AD597" s="2993"/>
      <c r="AE597" s="2993"/>
      <c r="AF597" s="2993"/>
      <c r="AG597" s="2993"/>
      <c r="AH597" s="2993"/>
      <c r="AI597" s="2993"/>
      <c r="AJ597" s="2993"/>
      <c r="AK597" s="2993"/>
      <c r="AL597" s="2993"/>
      <c r="AM597" s="2993"/>
      <c r="AN597" s="2993"/>
      <c r="AO597" s="2993"/>
      <c r="AP597" s="2993"/>
      <c r="AQ597" s="2993"/>
      <c r="AR597" s="2993"/>
      <c r="AS597" s="2993"/>
      <c r="AT597" s="2993"/>
      <c r="AU597" s="2993"/>
    </row>
    <row r="598" spans="1:50" ht="12.75" customHeight="1" x14ac:dyDescent="0.15">
      <c r="B598" s="338"/>
      <c r="C598" s="2994" t="s">
        <v>171</v>
      </c>
      <c r="D598" s="2994"/>
      <c r="E598" s="2994"/>
      <c r="F598" s="2994"/>
      <c r="G598" s="2994"/>
      <c r="H598" s="2994"/>
      <c r="I598" s="2994"/>
      <c r="J598" s="2994"/>
      <c r="K598" s="2994"/>
      <c r="L598" s="2994"/>
      <c r="M598" s="2994"/>
      <c r="N598" s="2994"/>
      <c r="O598" s="2994"/>
      <c r="P598" s="2994"/>
      <c r="Q598" s="2994"/>
      <c r="R598" s="2994"/>
      <c r="S598" s="2994"/>
      <c r="T598" s="2994"/>
      <c r="U598" s="2994"/>
      <c r="V598" s="2994"/>
      <c r="W598" s="2994"/>
      <c r="X598" s="2994"/>
      <c r="Y598" s="2994"/>
      <c r="Z598" s="2994"/>
      <c r="AA598" s="2994"/>
      <c r="AB598" s="2994"/>
      <c r="AC598" s="2994"/>
      <c r="AD598" s="2994"/>
      <c r="AE598" s="2994"/>
      <c r="AF598" s="2994"/>
      <c r="AG598" s="2994"/>
      <c r="AH598" s="2994"/>
      <c r="AI598" s="2994"/>
      <c r="AJ598" s="2994"/>
      <c r="AK598" s="2994"/>
      <c r="AL598" s="2994"/>
      <c r="AM598" s="2994"/>
      <c r="AN598" s="2994"/>
      <c r="AO598" s="2994"/>
      <c r="AP598" s="2994"/>
      <c r="AQ598" s="2994"/>
      <c r="AR598" s="2994"/>
      <c r="AS598" s="2994"/>
      <c r="AT598" s="2994"/>
      <c r="AU598" s="2994"/>
    </row>
    <row r="599" spans="1:50" ht="12.75" customHeight="1" x14ac:dyDescent="0.15">
      <c r="B599" s="338" t="s">
        <v>158</v>
      </c>
      <c r="C599" s="2994" t="s">
        <v>159</v>
      </c>
      <c r="D599" s="2994"/>
      <c r="E599" s="2994"/>
      <c r="F599" s="2994"/>
      <c r="G599" s="2994"/>
      <c r="H599" s="2994"/>
      <c r="I599" s="2994"/>
      <c r="J599" s="2994"/>
      <c r="K599" s="2994"/>
      <c r="L599" s="2994"/>
      <c r="M599" s="2994"/>
      <c r="N599" s="2994"/>
      <c r="O599" s="2994"/>
      <c r="P599" s="2994"/>
      <c r="Q599" s="2994"/>
      <c r="R599" s="2994"/>
      <c r="S599" s="2994"/>
      <c r="T599" s="2994"/>
      <c r="U599" s="2994"/>
      <c r="V599" s="2994"/>
      <c r="W599" s="2994"/>
      <c r="X599" s="2994"/>
      <c r="Y599" s="2994"/>
      <c r="Z599" s="2994"/>
      <c r="AA599" s="2994"/>
      <c r="AB599" s="2994"/>
      <c r="AC599" s="2994"/>
      <c r="AD599" s="2994"/>
      <c r="AE599" s="2994"/>
      <c r="AF599" s="2994"/>
      <c r="AG599" s="2994"/>
      <c r="AH599" s="2994"/>
      <c r="AI599" s="2994"/>
      <c r="AJ599" s="2994"/>
      <c r="AK599" s="2994"/>
      <c r="AL599" s="2994"/>
      <c r="AM599" s="2994"/>
      <c r="AN599" s="2994"/>
      <c r="AO599" s="2994"/>
      <c r="AP599" s="2994"/>
      <c r="AQ599" s="2994"/>
      <c r="AR599" s="2994"/>
      <c r="AS599" s="2994"/>
      <c r="AT599" s="2994"/>
      <c r="AU599" s="2994"/>
    </row>
    <row r="600" spans="1:50" ht="12.75" customHeight="1" x14ac:dyDescent="0.15">
      <c r="B600" s="338" t="s">
        <v>152</v>
      </c>
      <c r="C600" s="2994" t="s">
        <v>0</v>
      </c>
      <c r="D600" s="2994"/>
      <c r="E600" s="2994"/>
      <c r="F600" s="2994"/>
      <c r="G600" s="2994"/>
      <c r="H600" s="2994"/>
      <c r="I600" s="2994"/>
      <c r="J600" s="2994"/>
      <c r="K600" s="2994"/>
      <c r="L600" s="2994"/>
      <c r="M600" s="2994"/>
      <c r="N600" s="2994"/>
      <c r="O600" s="2994"/>
      <c r="P600" s="2994"/>
      <c r="Q600" s="2994"/>
      <c r="R600" s="2994"/>
      <c r="S600" s="2994"/>
      <c r="T600" s="2994"/>
      <c r="U600" s="2994"/>
      <c r="V600" s="2994"/>
      <c r="W600" s="2994"/>
      <c r="X600" s="2994"/>
      <c r="Y600" s="2994"/>
      <c r="Z600" s="2994"/>
      <c r="AA600" s="2994"/>
      <c r="AB600" s="2994"/>
      <c r="AC600" s="2994"/>
      <c r="AD600" s="2994"/>
      <c r="AE600" s="2994"/>
      <c r="AF600" s="2994"/>
      <c r="AG600" s="2994"/>
      <c r="AH600" s="2994"/>
      <c r="AI600" s="2994"/>
      <c r="AJ600" s="2994"/>
      <c r="AK600" s="2994"/>
      <c r="AL600" s="2994"/>
      <c r="AM600" s="2994"/>
      <c r="AN600" s="2994"/>
      <c r="AO600" s="2994"/>
      <c r="AP600" s="2994"/>
      <c r="AQ600" s="2994"/>
      <c r="AR600" s="2994"/>
      <c r="AS600" s="2994"/>
      <c r="AT600" s="2994"/>
      <c r="AU600" s="2994"/>
    </row>
    <row r="601" spans="1:50" ht="12.75" customHeight="1" x14ac:dyDescent="0.15">
      <c r="B601" s="338" t="s">
        <v>160</v>
      </c>
      <c r="C601" s="2994" t="s">
        <v>172</v>
      </c>
      <c r="D601" s="2994"/>
      <c r="E601" s="2994"/>
      <c r="F601" s="2994"/>
      <c r="G601" s="2994"/>
      <c r="H601" s="2994"/>
      <c r="I601" s="2994"/>
      <c r="J601" s="2994"/>
      <c r="K601" s="2994"/>
      <c r="L601" s="2994"/>
      <c r="M601" s="2994"/>
      <c r="N601" s="2994"/>
      <c r="O601" s="2994"/>
      <c r="P601" s="2994"/>
      <c r="Q601" s="2994"/>
      <c r="R601" s="2994"/>
      <c r="S601" s="2994"/>
      <c r="T601" s="2994"/>
      <c r="U601" s="2994"/>
      <c r="V601" s="2994"/>
      <c r="W601" s="2994"/>
      <c r="X601" s="2994"/>
      <c r="Y601" s="2994"/>
      <c r="Z601" s="2994"/>
      <c r="AA601" s="2994"/>
      <c r="AB601" s="2994"/>
      <c r="AC601" s="2994"/>
      <c r="AD601" s="2994"/>
      <c r="AE601" s="2994"/>
      <c r="AF601" s="2994"/>
      <c r="AG601" s="2994"/>
      <c r="AH601" s="2994"/>
      <c r="AI601" s="2994"/>
      <c r="AJ601" s="2994"/>
      <c r="AK601" s="2994"/>
      <c r="AL601" s="2994"/>
      <c r="AM601" s="2994"/>
      <c r="AN601" s="2994"/>
      <c r="AO601" s="2994"/>
      <c r="AP601" s="2994"/>
      <c r="AQ601" s="2994"/>
      <c r="AR601" s="2994"/>
      <c r="AS601" s="2994"/>
      <c r="AT601" s="2994"/>
      <c r="AU601" s="2994"/>
    </row>
    <row r="602" spans="1:50" ht="12.75" customHeight="1" x14ac:dyDescent="0.15">
      <c r="C602" s="2994" t="s">
        <v>173</v>
      </c>
      <c r="D602" s="2994"/>
      <c r="E602" s="2994"/>
      <c r="F602" s="2994"/>
      <c r="G602" s="2994"/>
      <c r="H602" s="2994"/>
      <c r="I602" s="2994"/>
      <c r="J602" s="2994"/>
      <c r="K602" s="2994"/>
      <c r="L602" s="2994"/>
      <c r="M602" s="2994"/>
      <c r="N602" s="2994"/>
      <c r="O602" s="2994"/>
      <c r="P602" s="2994"/>
      <c r="Q602" s="2994"/>
      <c r="R602" s="2994"/>
      <c r="S602" s="2994"/>
      <c r="T602" s="2994"/>
      <c r="U602" s="2994"/>
      <c r="V602" s="2994"/>
      <c r="W602" s="2994"/>
      <c r="X602" s="2994"/>
      <c r="Y602" s="2994"/>
      <c r="Z602" s="2994"/>
      <c r="AA602" s="2994"/>
      <c r="AB602" s="2994"/>
      <c r="AC602" s="2994"/>
      <c r="AD602" s="2994"/>
      <c r="AE602" s="2994"/>
      <c r="AF602" s="2994"/>
      <c r="AG602" s="2994"/>
      <c r="AH602" s="2994"/>
      <c r="AI602" s="2994"/>
      <c r="AJ602" s="2994"/>
      <c r="AK602" s="2994"/>
      <c r="AL602" s="2994"/>
      <c r="AM602" s="2994"/>
      <c r="AN602" s="2994"/>
      <c r="AO602" s="2994"/>
      <c r="AP602" s="2994"/>
      <c r="AQ602" s="2994"/>
      <c r="AR602" s="2994"/>
      <c r="AS602" s="2994"/>
      <c r="AT602" s="2994"/>
      <c r="AU602" s="2994"/>
    </row>
    <row r="603" spans="1:50" ht="12.75" customHeight="1" x14ac:dyDescent="0.15">
      <c r="B603" s="338" t="s">
        <v>1</v>
      </c>
      <c r="C603" s="2994" t="s">
        <v>2</v>
      </c>
      <c r="D603" s="2994"/>
      <c r="E603" s="2994"/>
      <c r="F603" s="2994"/>
      <c r="G603" s="2994"/>
      <c r="H603" s="2994"/>
      <c r="I603" s="2994"/>
      <c r="J603" s="2994"/>
      <c r="K603" s="2994"/>
      <c r="L603" s="2994"/>
      <c r="M603" s="2994"/>
      <c r="N603" s="2994"/>
      <c r="O603" s="2994"/>
      <c r="P603" s="2994"/>
      <c r="Q603" s="2994"/>
      <c r="R603" s="2994"/>
      <c r="S603" s="2994"/>
      <c r="T603" s="2994"/>
      <c r="U603" s="2994"/>
      <c r="V603" s="2994"/>
      <c r="W603" s="2994"/>
      <c r="X603" s="2994"/>
      <c r="Y603" s="2994"/>
      <c r="Z603" s="2994"/>
      <c r="AA603" s="2994"/>
      <c r="AB603" s="2994"/>
      <c r="AC603" s="2994"/>
      <c r="AD603" s="2994"/>
      <c r="AE603" s="2994"/>
      <c r="AF603" s="2994"/>
      <c r="AG603" s="2994"/>
      <c r="AH603" s="2994"/>
      <c r="AI603" s="2994"/>
      <c r="AJ603" s="2994"/>
      <c r="AK603" s="2994"/>
      <c r="AL603" s="2994"/>
      <c r="AM603" s="2994"/>
      <c r="AN603" s="2994"/>
      <c r="AO603" s="2994"/>
      <c r="AP603" s="2994"/>
      <c r="AQ603" s="2994"/>
      <c r="AR603" s="2994"/>
      <c r="AS603" s="2994"/>
      <c r="AT603" s="2994"/>
      <c r="AU603" s="2994"/>
    </row>
    <row r="604" spans="1:50" ht="12.75" customHeight="1" x14ac:dyDescent="0.15">
      <c r="AG604" s="337"/>
      <c r="AH604" s="337"/>
      <c r="AI604" s="337"/>
      <c r="AJ604" s="337"/>
      <c r="AK604" s="337"/>
      <c r="AL604" s="337"/>
      <c r="AM604" s="337"/>
      <c r="AN604" s="337"/>
      <c r="AO604" s="337"/>
      <c r="AP604" s="337"/>
      <c r="AQ604" s="337"/>
      <c r="AR604" s="337"/>
      <c r="AS604" s="337"/>
      <c r="AT604" s="337"/>
    </row>
  </sheetData>
  <sheetProtection algorithmName="SHA-512" hashValue="ogTbeXEjJ0vQjppIU2iUKv5l6yThfC+3nGWSdDc20SMEBwiU7dil6iA5RQFMWL8oq5q3Opfgkh3dCI/5LuC0TQ==" saltValue="THvuP1AGtw5uDfdn1QPe8w==" spinCount="100000" sheet="1" objects="1" scenarios="1"/>
  <dataConsolidate/>
  <mergeCells count="313">
    <mergeCell ref="Z254:AN254"/>
    <mergeCell ref="C179:AT179"/>
    <mergeCell ref="C180:AT180"/>
    <mergeCell ref="C181:AT181"/>
    <mergeCell ref="C182:AT182"/>
    <mergeCell ref="C183:AT183"/>
    <mergeCell ref="U187:Z187"/>
    <mergeCell ref="C243:AT243"/>
    <mergeCell ref="U247:Z247"/>
    <mergeCell ref="A249:C252"/>
    <mergeCell ref="D249:J249"/>
    <mergeCell ref="AK249:AT249"/>
    <mergeCell ref="D250:J252"/>
    <mergeCell ref="K250:AI252"/>
    <mergeCell ref="Z194:AN194"/>
    <mergeCell ref="C242:AT242"/>
    <mergeCell ref="C236:AT236"/>
    <mergeCell ref="C237:AT237"/>
    <mergeCell ref="C238:AT238"/>
    <mergeCell ref="C239:AT239"/>
    <mergeCell ref="C240:AT240"/>
    <mergeCell ref="C241:AT241"/>
    <mergeCell ref="Z217:AN217"/>
    <mergeCell ref="Z218:AU220"/>
    <mergeCell ref="K524:P524"/>
    <mergeCell ref="A512:C515"/>
    <mergeCell ref="D512:J512"/>
    <mergeCell ref="D513:J515"/>
    <mergeCell ref="Z494:AN494"/>
    <mergeCell ref="A595:D595"/>
    <mergeCell ref="D550:J552"/>
    <mergeCell ref="K550:AI552"/>
    <mergeCell ref="K501:P501"/>
    <mergeCell ref="A535:D535"/>
    <mergeCell ref="U547:Z547"/>
    <mergeCell ref="K584:P584"/>
    <mergeCell ref="A572:C575"/>
    <mergeCell ref="D572:J572"/>
    <mergeCell ref="AK572:AT572"/>
    <mergeCell ref="D573:J575"/>
    <mergeCell ref="K573:AI575"/>
    <mergeCell ref="Z517:AN517"/>
    <mergeCell ref="AK512:AT512"/>
    <mergeCell ref="K513:AI515"/>
    <mergeCell ref="Z495:AU497"/>
    <mergeCell ref="Z498:AU510"/>
    <mergeCell ref="Z518:AU520"/>
    <mergeCell ref="Z521:AU533"/>
    <mergeCell ref="K261:P261"/>
    <mergeCell ref="A295:D295"/>
    <mergeCell ref="A272:C275"/>
    <mergeCell ref="D272:J272"/>
    <mergeCell ref="AK272:AT272"/>
    <mergeCell ref="D273:J275"/>
    <mergeCell ref="K273:AI275"/>
    <mergeCell ref="Z278:AU280"/>
    <mergeCell ref="Z281:AU293"/>
    <mergeCell ref="D332:J332"/>
    <mergeCell ref="D333:J335"/>
    <mergeCell ref="AK309:AT309"/>
    <mergeCell ref="A309:C312"/>
    <mergeCell ref="D309:J309"/>
    <mergeCell ref="AK332:AT332"/>
    <mergeCell ref="K333:AI335"/>
    <mergeCell ref="D310:J312"/>
    <mergeCell ref="Z277:AN277"/>
    <mergeCell ref="K284:P284"/>
    <mergeCell ref="C300:AU300"/>
    <mergeCell ref="C301:AU301"/>
    <mergeCell ref="C302:AU302"/>
    <mergeCell ref="C303:AU303"/>
    <mergeCell ref="U307:Z307"/>
    <mergeCell ref="Z314:AN314"/>
    <mergeCell ref="K310:AI312"/>
    <mergeCell ref="K321:P321"/>
    <mergeCell ref="A332:C335"/>
    <mergeCell ref="C61:AT61"/>
    <mergeCell ref="C62:AT62"/>
    <mergeCell ref="Z74:AN74"/>
    <mergeCell ref="A189:C192"/>
    <mergeCell ref="D189:J189"/>
    <mergeCell ref="AK189:AT189"/>
    <mergeCell ref="D190:J192"/>
    <mergeCell ref="C63:AT63"/>
    <mergeCell ref="C64:AT64"/>
    <mergeCell ref="U67:Z67"/>
    <mergeCell ref="A69:C72"/>
    <mergeCell ref="D69:J69"/>
    <mergeCell ref="AK69:AT69"/>
    <mergeCell ref="D70:J72"/>
    <mergeCell ref="K70:AI72"/>
    <mergeCell ref="K81:P81"/>
    <mergeCell ref="A92:C95"/>
    <mergeCell ref="D92:J92"/>
    <mergeCell ref="AK92:AT92"/>
    <mergeCell ref="K141:P141"/>
    <mergeCell ref="Z134:AN134"/>
    <mergeCell ref="A152:C155"/>
    <mergeCell ref="D152:J152"/>
    <mergeCell ref="AK152:AT152"/>
    <mergeCell ref="U8:Z8"/>
    <mergeCell ref="A10:C13"/>
    <mergeCell ref="D10:J10"/>
    <mergeCell ref="AK10:AT10"/>
    <mergeCell ref="D11:J13"/>
    <mergeCell ref="K11:AI13"/>
    <mergeCell ref="K22:P22"/>
    <mergeCell ref="Z15:AN15"/>
    <mergeCell ref="Z16:AU18"/>
    <mergeCell ref="Z19:AU31"/>
    <mergeCell ref="A33:C36"/>
    <mergeCell ref="D33:J33"/>
    <mergeCell ref="AK33:AT33"/>
    <mergeCell ref="D34:J36"/>
    <mergeCell ref="K34:AI36"/>
    <mergeCell ref="C58:AT58"/>
    <mergeCell ref="C59:AT59"/>
    <mergeCell ref="C60:AT60"/>
    <mergeCell ref="A56:D56"/>
    <mergeCell ref="C57:AT57"/>
    <mergeCell ref="Z38:AN38"/>
    <mergeCell ref="K45:P45"/>
    <mergeCell ref="Z39:AU41"/>
    <mergeCell ref="Z42:AU54"/>
    <mergeCell ref="Z75:AU77"/>
    <mergeCell ref="Z78:AU90"/>
    <mergeCell ref="Z98:AU100"/>
    <mergeCell ref="Z101:AU113"/>
    <mergeCell ref="A212:C215"/>
    <mergeCell ref="D212:J212"/>
    <mergeCell ref="AK212:AT212"/>
    <mergeCell ref="D213:J215"/>
    <mergeCell ref="K213:AI215"/>
    <mergeCell ref="Z135:AU137"/>
    <mergeCell ref="Z138:AU150"/>
    <mergeCell ref="D93:J95"/>
    <mergeCell ref="K93:AI95"/>
    <mergeCell ref="Z97:AN97"/>
    <mergeCell ref="A115:D115"/>
    <mergeCell ref="K104:P104"/>
    <mergeCell ref="C122:AT122"/>
    <mergeCell ref="C123:AT123"/>
    <mergeCell ref="U127:Z127"/>
    <mergeCell ref="A129:C132"/>
    <mergeCell ref="D129:J129"/>
    <mergeCell ref="AK129:AT129"/>
    <mergeCell ref="D130:J132"/>
    <mergeCell ref="K130:AI132"/>
    <mergeCell ref="K153:AI155"/>
    <mergeCell ref="C602:AU602"/>
    <mergeCell ref="C603:AU603"/>
    <mergeCell ref="C536:AU536"/>
    <mergeCell ref="C537:AU537"/>
    <mergeCell ref="C538:AU538"/>
    <mergeCell ref="C539:AU539"/>
    <mergeCell ref="C540:AU540"/>
    <mergeCell ref="C541:AU541"/>
    <mergeCell ref="C542:AU542"/>
    <mergeCell ref="C543:AU543"/>
    <mergeCell ref="Z554:AN554"/>
    <mergeCell ref="C596:AU596"/>
    <mergeCell ref="C597:AU597"/>
    <mergeCell ref="A549:C552"/>
    <mergeCell ref="D549:J549"/>
    <mergeCell ref="AK549:AT549"/>
    <mergeCell ref="Z577:AN577"/>
    <mergeCell ref="K561:P561"/>
    <mergeCell ref="Z555:AU557"/>
    <mergeCell ref="Z558:AU570"/>
    <mergeCell ref="Z578:AU580"/>
    <mergeCell ref="Z255:AU257"/>
    <mergeCell ref="Z258:AU270"/>
    <mergeCell ref="Z581:AU593"/>
    <mergeCell ref="Z337:AN337"/>
    <mergeCell ref="Z315:AU317"/>
    <mergeCell ref="Z318:AU330"/>
    <mergeCell ref="Z338:AU340"/>
    <mergeCell ref="K404:P404"/>
    <mergeCell ref="C601:AU601"/>
    <mergeCell ref="C598:AU598"/>
    <mergeCell ref="C599:AU599"/>
    <mergeCell ref="C600:AU600"/>
    <mergeCell ref="Z397:AN397"/>
    <mergeCell ref="K381:P381"/>
    <mergeCell ref="Z374:AN374"/>
    <mergeCell ref="A369:C372"/>
    <mergeCell ref="D369:J369"/>
    <mergeCell ref="AK369:AT369"/>
    <mergeCell ref="D370:J372"/>
    <mergeCell ref="K370:AI372"/>
    <mergeCell ref="U367:Z367"/>
    <mergeCell ref="C357:AU357"/>
    <mergeCell ref="C358:AU358"/>
    <mergeCell ref="C359:AU359"/>
    <mergeCell ref="C483:AU483"/>
    <mergeCell ref="C416:AU416"/>
    <mergeCell ref="C421:AU421"/>
    <mergeCell ref="C422:AU422"/>
    <mergeCell ref="C423:AU423"/>
    <mergeCell ref="Z457:AN457"/>
    <mergeCell ref="A475:D475"/>
    <mergeCell ref="K441:P441"/>
    <mergeCell ref="U427:Z427"/>
    <mergeCell ref="A429:C432"/>
    <mergeCell ref="D429:J429"/>
    <mergeCell ref="AK429:AT429"/>
    <mergeCell ref="D430:J432"/>
    <mergeCell ref="C362:AU362"/>
    <mergeCell ref="C360:AU360"/>
    <mergeCell ref="A355:D355"/>
    <mergeCell ref="K344:P344"/>
    <mergeCell ref="C356:AU356"/>
    <mergeCell ref="Z434:AN434"/>
    <mergeCell ref="A452:C455"/>
    <mergeCell ref="D452:J452"/>
    <mergeCell ref="D453:J455"/>
    <mergeCell ref="A415:D415"/>
    <mergeCell ref="K430:AI432"/>
    <mergeCell ref="Z341:AU353"/>
    <mergeCell ref="Z375:AU377"/>
    <mergeCell ref="Z378:AU390"/>
    <mergeCell ref="Z398:AU400"/>
    <mergeCell ref="Z401:AU413"/>
    <mergeCell ref="Z435:AU437"/>
    <mergeCell ref="Z438:AU450"/>
    <mergeCell ref="K453:AI455"/>
    <mergeCell ref="C361:AU361"/>
    <mergeCell ref="AK452:AT452"/>
    <mergeCell ref="C363:AU363"/>
    <mergeCell ref="C417:AU417"/>
    <mergeCell ref="C418:AU418"/>
    <mergeCell ref="A489:C492"/>
    <mergeCell ref="D489:J489"/>
    <mergeCell ref="AK489:AT489"/>
    <mergeCell ref="D490:J492"/>
    <mergeCell ref="K490:AI492"/>
    <mergeCell ref="A392:C395"/>
    <mergeCell ref="D392:J392"/>
    <mergeCell ref="AK392:AT392"/>
    <mergeCell ref="D393:J395"/>
    <mergeCell ref="K393:AI395"/>
    <mergeCell ref="U487:Z487"/>
    <mergeCell ref="C476:AU476"/>
    <mergeCell ref="C477:AU477"/>
    <mergeCell ref="C478:AU478"/>
    <mergeCell ref="C479:AU479"/>
    <mergeCell ref="C480:AU480"/>
    <mergeCell ref="C481:AU481"/>
    <mergeCell ref="C482:AU482"/>
    <mergeCell ref="Z461:AU473"/>
    <mergeCell ref="Z458:AU460"/>
    <mergeCell ref="K464:P464"/>
    <mergeCell ref="AR486:AU486"/>
    <mergeCell ref="C419:AU419"/>
    <mergeCell ref="C420:AU420"/>
    <mergeCell ref="C176:AT176"/>
    <mergeCell ref="C177:AT177"/>
    <mergeCell ref="C178:AT178"/>
    <mergeCell ref="A175:D175"/>
    <mergeCell ref="A235:D235"/>
    <mergeCell ref="K224:P224"/>
    <mergeCell ref="K190:AI192"/>
    <mergeCell ref="K201:P201"/>
    <mergeCell ref="Z198:AU210"/>
    <mergeCell ref="Z221:AU233"/>
    <mergeCell ref="K164:P164"/>
    <mergeCell ref="A1:U2"/>
    <mergeCell ref="B5:AU5"/>
    <mergeCell ref="AB1:AC1"/>
    <mergeCell ref="AD1:AE1"/>
    <mergeCell ref="AF1:AG1"/>
    <mergeCell ref="AH1:AI1"/>
    <mergeCell ref="AJ1:AK1"/>
    <mergeCell ref="AL1:AM1"/>
    <mergeCell ref="AN1:AO1"/>
    <mergeCell ref="AP1:AQ1"/>
    <mergeCell ref="AR1:AS1"/>
    <mergeCell ref="AT1:AU1"/>
    <mergeCell ref="AB2:AC2"/>
    <mergeCell ref="AD2:AE2"/>
    <mergeCell ref="AF2:AG2"/>
    <mergeCell ref="AH2:AI2"/>
    <mergeCell ref="AJ2:AK2"/>
    <mergeCell ref="AL2:AM2"/>
    <mergeCell ref="AN2:AO2"/>
    <mergeCell ref="AP2:AQ2"/>
    <mergeCell ref="AR2:AS2"/>
    <mergeCell ref="AT2:AU2"/>
    <mergeCell ref="D153:J155"/>
    <mergeCell ref="AW1:AZ1"/>
    <mergeCell ref="AR546:AU546"/>
    <mergeCell ref="AR7:AU7"/>
    <mergeCell ref="AR66:AU66"/>
    <mergeCell ref="AR126:AU126"/>
    <mergeCell ref="AR186:AU186"/>
    <mergeCell ref="AR246:AU246"/>
    <mergeCell ref="AR306:AU306"/>
    <mergeCell ref="AR366:AU366"/>
    <mergeCell ref="AR426:AU426"/>
    <mergeCell ref="C296:AU296"/>
    <mergeCell ref="C297:AU297"/>
    <mergeCell ref="C298:AU298"/>
    <mergeCell ref="C299:AU299"/>
    <mergeCell ref="Z158:AU160"/>
    <mergeCell ref="Z161:AU173"/>
    <mergeCell ref="Z195:AU197"/>
    <mergeCell ref="Z157:AN157"/>
    <mergeCell ref="C116:AT116"/>
    <mergeCell ref="C117:AT117"/>
    <mergeCell ref="C118:AT118"/>
    <mergeCell ref="C119:AT119"/>
    <mergeCell ref="C120:AT120"/>
    <mergeCell ref="C121:AT121"/>
  </mergeCells>
  <phoneticPr fontId="3"/>
  <conditionalFormatting sqref="Z19">
    <cfRule type="expression" dxfId="497" priority="59">
      <formula>AND(D11&lt;&gt;"",Z19="")</formula>
    </cfRule>
  </conditionalFormatting>
  <conditionalFormatting sqref="Z42">
    <cfRule type="expression" dxfId="496" priority="39">
      <formula>AND(D34&lt;&gt;"",Z42="")</formula>
    </cfRule>
  </conditionalFormatting>
  <conditionalFormatting sqref="Z78">
    <cfRule type="expression" dxfId="495" priority="38">
      <formula>AND(D70&lt;&gt;"",Z78="")</formula>
    </cfRule>
  </conditionalFormatting>
  <conditionalFormatting sqref="Z101">
    <cfRule type="expression" dxfId="494" priority="37">
      <formula>AND(D93&lt;&gt;"",Z101="")</formula>
    </cfRule>
  </conditionalFormatting>
  <conditionalFormatting sqref="Z138">
    <cfRule type="expression" dxfId="493" priority="36">
      <formula>AND(D130&lt;&gt;"",Z138="")</formula>
    </cfRule>
  </conditionalFormatting>
  <conditionalFormatting sqref="Z161">
    <cfRule type="expression" dxfId="492" priority="35">
      <formula>AND(D153&lt;&gt;"",Z161="")</formula>
    </cfRule>
  </conditionalFormatting>
  <conditionalFormatting sqref="Z198">
    <cfRule type="expression" dxfId="491" priority="34">
      <formula>AND(D190&lt;&gt;"",Z198="")</formula>
    </cfRule>
  </conditionalFormatting>
  <conditionalFormatting sqref="Z221">
    <cfRule type="expression" dxfId="490" priority="33">
      <formula>AND(D213&lt;&gt;"",Z221="")</formula>
    </cfRule>
  </conditionalFormatting>
  <conditionalFormatting sqref="Z258">
    <cfRule type="expression" dxfId="489" priority="32">
      <formula>AND(D250&lt;&gt;"",Z258="")</formula>
    </cfRule>
  </conditionalFormatting>
  <conditionalFormatting sqref="Z281">
    <cfRule type="expression" dxfId="488" priority="31">
      <formula>AND(D273&lt;&gt;"",Z281="")</formula>
    </cfRule>
  </conditionalFormatting>
  <conditionalFormatting sqref="Z318">
    <cfRule type="expression" dxfId="487" priority="30">
      <formula>AND(D310&lt;&gt;"",Z318="")</formula>
    </cfRule>
  </conditionalFormatting>
  <conditionalFormatting sqref="Z341">
    <cfRule type="expression" dxfId="486" priority="29">
      <formula>AND(D333&lt;&gt;"",Z341="")</formula>
    </cfRule>
  </conditionalFormatting>
  <conditionalFormatting sqref="Z378">
    <cfRule type="expression" dxfId="485" priority="28">
      <formula>AND(D370&lt;&gt;"",Z378="")</formula>
    </cfRule>
  </conditionalFormatting>
  <conditionalFormatting sqref="Z401">
    <cfRule type="expression" dxfId="484" priority="27">
      <formula>AND(D393&lt;&gt;"",Z401="")</formula>
    </cfRule>
  </conditionalFormatting>
  <conditionalFormatting sqref="Z438">
    <cfRule type="expression" dxfId="483" priority="26">
      <formula>AND(D430&lt;&gt;"",Z438="")</formula>
    </cfRule>
  </conditionalFormatting>
  <conditionalFormatting sqref="Z461">
    <cfRule type="expression" dxfId="482" priority="25">
      <formula>AND(D453&lt;&gt;"",Z461="")</formula>
    </cfRule>
  </conditionalFormatting>
  <conditionalFormatting sqref="Z498">
    <cfRule type="expression" dxfId="481" priority="24">
      <formula>AND(D490&lt;&gt;"",Z498="")</formula>
    </cfRule>
  </conditionalFormatting>
  <conditionalFormatting sqref="Z521">
    <cfRule type="expression" dxfId="480" priority="23">
      <formula>AND(D513&lt;&gt;"",Z521="")</formula>
    </cfRule>
  </conditionalFormatting>
  <conditionalFormatting sqref="Z558">
    <cfRule type="expression" dxfId="479" priority="22">
      <formula>AND(D550&lt;&gt;"",Z558="")</formula>
    </cfRule>
  </conditionalFormatting>
  <conditionalFormatting sqref="Z581">
    <cfRule type="expression" dxfId="478" priority="21">
      <formula>AND(D573&lt;&gt;"",Z581="")</formula>
    </cfRule>
  </conditionalFormatting>
  <conditionalFormatting sqref="K22:P22">
    <cfRule type="expression" dxfId="477" priority="20">
      <formula>D11&lt;&gt;""</formula>
    </cfRule>
  </conditionalFormatting>
  <conditionalFormatting sqref="K45:P45">
    <cfRule type="expression" dxfId="476" priority="19">
      <formula>D34&lt;&gt;""</formula>
    </cfRule>
  </conditionalFormatting>
  <conditionalFormatting sqref="K81:P81">
    <cfRule type="expression" dxfId="475" priority="18">
      <formula>D70&lt;&gt;""</formula>
    </cfRule>
  </conditionalFormatting>
  <conditionalFormatting sqref="K104:P104">
    <cfRule type="expression" dxfId="474" priority="17">
      <formula>D93&lt;&gt;""</formula>
    </cfRule>
  </conditionalFormatting>
  <conditionalFormatting sqref="K141:P141">
    <cfRule type="expression" dxfId="473" priority="16">
      <formula>D130&lt;&gt;""</formula>
    </cfRule>
  </conditionalFormatting>
  <conditionalFormatting sqref="K164:P164">
    <cfRule type="expression" dxfId="472" priority="15">
      <formula>D153&lt;&gt;""</formula>
    </cfRule>
  </conditionalFormatting>
  <conditionalFormatting sqref="K201:P201">
    <cfRule type="expression" dxfId="471" priority="14">
      <formula>D190&lt;&gt;""</formula>
    </cfRule>
  </conditionalFormatting>
  <conditionalFormatting sqref="K224:P224">
    <cfRule type="expression" dxfId="470" priority="13">
      <formula>D213&lt;&gt;""</formula>
    </cfRule>
  </conditionalFormatting>
  <conditionalFormatting sqref="K261:P261">
    <cfRule type="expression" dxfId="469" priority="12">
      <formula>D250&lt;&gt;""</formula>
    </cfRule>
  </conditionalFormatting>
  <conditionalFormatting sqref="K284:P284">
    <cfRule type="expression" dxfId="468" priority="11">
      <formula>D273&lt;&gt;""</formula>
    </cfRule>
  </conditionalFormatting>
  <conditionalFormatting sqref="K321:P321">
    <cfRule type="expression" dxfId="467" priority="10">
      <formula>D310&lt;&gt;""</formula>
    </cfRule>
  </conditionalFormatting>
  <conditionalFormatting sqref="K344:P344">
    <cfRule type="expression" dxfId="466" priority="9">
      <formula>D333&lt;&gt;""</formula>
    </cfRule>
  </conditionalFormatting>
  <conditionalFormatting sqref="K381:P381">
    <cfRule type="expression" dxfId="465" priority="8">
      <formula>D370&lt;&gt;""</formula>
    </cfRule>
  </conditionalFormatting>
  <conditionalFormatting sqref="K404:P404">
    <cfRule type="expression" dxfId="464" priority="7">
      <formula>D393&lt;&gt;""</formula>
    </cfRule>
  </conditionalFormatting>
  <conditionalFormatting sqref="K441:P441">
    <cfRule type="expression" dxfId="463" priority="6">
      <formula>D430&lt;&gt;""</formula>
    </cfRule>
  </conditionalFormatting>
  <conditionalFormatting sqref="K464:P464">
    <cfRule type="expression" dxfId="462" priority="5">
      <formula>D453&lt;&gt;""</formula>
    </cfRule>
  </conditionalFormatting>
  <conditionalFormatting sqref="K501:P501">
    <cfRule type="expression" dxfId="461" priority="4">
      <formula>D490&lt;&gt;""</formula>
    </cfRule>
  </conditionalFormatting>
  <conditionalFormatting sqref="K524:P524">
    <cfRule type="expression" dxfId="460" priority="3">
      <formula>D513&lt;&gt;""</formula>
    </cfRule>
  </conditionalFormatting>
  <conditionalFormatting sqref="K561:P561">
    <cfRule type="expression" dxfId="459" priority="2">
      <formula>D550&lt;&gt;""</formula>
    </cfRule>
  </conditionalFormatting>
  <conditionalFormatting sqref="K584:P584">
    <cfRule type="expression" dxfId="458" priority="1">
      <formula>D573&lt;&gt;""</formula>
    </cfRule>
  </conditionalFormatting>
  <pageMargins left="0.78740157480314965" right="0.59055118110236227" top="0.59055118110236227" bottom="0.59055118110236227" header="0.51181102362204722" footer="0.51181102362204722"/>
  <pageSetup paperSize="9" scale="90" fitToHeight="10" orientation="portrait" r:id="rId1"/>
  <headerFooter alignWithMargins="0"/>
  <rowBreaks count="9" manualBreakCount="9">
    <brk id="65" max="46" man="1"/>
    <brk id="125" max="46" man="1"/>
    <brk id="185" max="46" man="1"/>
    <brk id="245" max="46" man="1"/>
    <brk id="305" max="46" man="1"/>
    <brk id="365" max="46" man="1"/>
    <brk id="425" max="46" man="1"/>
    <brk id="485" max="46" man="1"/>
    <brk id="545" max="46"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プルダウン選択肢!$Z$28:$Z$29</xm:f>
          </x14:formula1>
          <xm:sqref>AK12 AP12 AK551 AK514 AK35 AK71 AK94 AK131 AK154 AK191 AK214 AK251 AK274 AK311 AK334 AK371 AK394 AK431 AK454 AK491 AP514 AP551 AP35 AP71 AP94 AP131 AP154 AP191 AP214 AP251 AP274 AP311 AP334 AP371 AP394 AP431 AP454 AP491 AK574 AP574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fitToPage="1"/>
  </sheetPr>
  <dimension ref="A1:V46"/>
  <sheetViews>
    <sheetView zoomScale="60" zoomScaleNormal="60" workbookViewId="0">
      <selection activeCell="L2" sqref="L2"/>
    </sheetView>
  </sheetViews>
  <sheetFormatPr defaultColWidth="9" defaultRowHeight="13.5" x14ac:dyDescent="0.15"/>
  <cols>
    <col min="1" max="6" width="9" style="788"/>
    <col min="7" max="7" width="9.625" style="788" customWidth="1"/>
    <col min="8" max="8" width="9.25" style="788" customWidth="1"/>
    <col min="9" max="9" width="9.375" style="470" customWidth="1"/>
    <col min="10" max="11" width="9" style="788"/>
    <col min="12" max="12" width="9.5" style="788" customWidth="1"/>
    <col min="13" max="13" width="9" style="788"/>
    <col min="14" max="14" width="10.25" style="788" customWidth="1"/>
    <col min="15" max="15" width="8.875" style="788" customWidth="1"/>
    <col min="16" max="16" width="10.875" style="788" customWidth="1"/>
    <col min="17" max="17" width="10.625" style="788" customWidth="1"/>
    <col min="18" max="18" width="11.25" style="814" customWidth="1"/>
    <col min="19" max="19" width="10" style="788" customWidth="1"/>
    <col min="20" max="20" width="9.375" style="788" customWidth="1"/>
    <col min="21" max="21" width="8.25" style="788" customWidth="1"/>
    <col min="22" max="22" width="26.125" style="788" customWidth="1"/>
    <col min="23" max="16384" width="9" style="788"/>
  </cols>
  <sheetData>
    <row r="1" spans="1:22" ht="107.25" customHeight="1" x14ac:dyDescent="0.15">
      <c r="A1" s="786" t="s">
        <v>1889</v>
      </c>
      <c r="B1" s="787"/>
      <c r="C1" s="787"/>
      <c r="D1" s="3075" t="s">
        <v>2081</v>
      </c>
      <c r="E1" s="3075"/>
      <c r="F1" s="3075"/>
      <c r="G1" s="3075"/>
      <c r="H1" s="3075"/>
      <c r="I1" s="3075"/>
      <c r="J1" s="3075"/>
      <c r="K1" s="3075"/>
      <c r="L1" s="3075"/>
      <c r="M1" s="3075"/>
      <c r="N1" s="3075"/>
      <c r="O1" s="3075"/>
      <c r="P1" s="3075"/>
      <c r="Q1" s="3075"/>
      <c r="R1" s="3075"/>
      <c r="S1" s="3075"/>
      <c r="T1" s="3078" t="str">
        <f>HYPERLINK("#'使用方法'!F29:F37","シート一覧へ")</f>
        <v>シート一覧へ</v>
      </c>
      <c r="U1" s="3078"/>
      <c r="V1" s="3078"/>
    </row>
    <row r="2" spans="1:22" ht="22.5" customHeight="1" x14ac:dyDescent="0.15">
      <c r="A2" s="789" t="s">
        <v>977</v>
      </c>
      <c r="B2" s="790" t="s">
        <v>978</v>
      </c>
      <c r="C2" s="790"/>
      <c r="D2" s="790"/>
      <c r="E2" s="790"/>
      <c r="F2" s="790"/>
      <c r="G2" s="790"/>
      <c r="H2" s="790"/>
      <c r="I2" s="3076" t="s">
        <v>979</v>
      </c>
      <c r="J2" s="3076"/>
      <c r="K2" s="3076"/>
      <c r="L2" s="790"/>
      <c r="M2" s="790"/>
      <c r="N2" s="790"/>
      <c r="O2" s="790"/>
      <c r="P2" s="790"/>
      <c r="Q2" s="790"/>
      <c r="R2" s="791"/>
      <c r="S2" s="1113" t="str">
        <f>チェックシート!H3</f>
        <v>Kyoto City（R7.7） ver.120</v>
      </c>
      <c r="T2" s="792" t="str">
        <f>'3_入力シート【写真】'!AP7&amp;'3_入力シート【写真】'!AQ7</f>
        <v/>
      </c>
      <c r="U2" s="792" t="str">
        <f>IF('3_入力シート【写真】'!AR7="","",TEXT('3_入力シート【写真】'!AR7,"0000"))</f>
        <v/>
      </c>
    </row>
    <row r="3" spans="1:22" ht="22.5" customHeight="1" x14ac:dyDescent="0.15">
      <c r="A3" s="3067" t="s">
        <v>1888</v>
      </c>
      <c r="B3" s="3068"/>
      <c r="C3" s="3068"/>
      <c r="D3" s="3068"/>
      <c r="E3" s="3068"/>
      <c r="F3" s="3068"/>
      <c r="G3" s="3068"/>
      <c r="H3" s="3068"/>
      <c r="I3" s="3068"/>
      <c r="J3" s="3068"/>
      <c r="K3" s="3068"/>
      <c r="L3" s="3068"/>
      <c r="M3" s="3068"/>
      <c r="N3" s="3068"/>
      <c r="O3" s="3068"/>
      <c r="P3" s="3068"/>
      <c r="Q3" s="3069"/>
      <c r="R3" s="793" t="s">
        <v>31</v>
      </c>
      <c r="S3" s="3077" t="s">
        <v>958</v>
      </c>
      <c r="T3" s="3077"/>
      <c r="U3" s="3077"/>
    </row>
    <row r="4" spans="1:22" ht="18.75" customHeight="1" x14ac:dyDescent="0.15">
      <c r="A4" s="3070"/>
      <c r="B4" s="3071"/>
      <c r="C4" s="3071"/>
      <c r="D4" s="3071"/>
      <c r="E4" s="3071"/>
      <c r="F4" s="3071"/>
      <c r="G4" s="3071"/>
      <c r="H4" s="3071"/>
      <c r="I4" s="3071"/>
      <c r="J4" s="3071"/>
      <c r="K4" s="3071"/>
      <c r="L4" s="3071"/>
      <c r="M4" s="3071"/>
      <c r="N4" s="3071"/>
      <c r="O4" s="3071"/>
      <c r="P4" s="3071"/>
      <c r="Q4" s="3072"/>
      <c r="R4" s="793">
        <v>1</v>
      </c>
      <c r="S4" s="3074" t="s">
        <v>34</v>
      </c>
      <c r="T4" s="3074"/>
      <c r="U4" s="3074"/>
    </row>
    <row r="5" spans="1:22" ht="18.75" customHeight="1" x14ac:dyDescent="0.15">
      <c r="A5" s="3070"/>
      <c r="B5" s="3071"/>
      <c r="C5" s="3071"/>
      <c r="D5" s="3071"/>
      <c r="E5" s="3071"/>
      <c r="F5" s="3071"/>
      <c r="G5" s="3071"/>
      <c r="H5" s="3071"/>
      <c r="I5" s="3071"/>
      <c r="J5" s="3071"/>
      <c r="K5" s="3071"/>
      <c r="L5" s="3071"/>
      <c r="M5" s="3071"/>
      <c r="N5" s="3071"/>
      <c r="O5" s="3071"/>
      <c r="P5" s="3071"/>
      <c r="Q5" s="3072"/>
      <c r="R5" s="794" t="s">
        <v>980</v>
      </c>
      <c r="S5" s="3073" t="s">
        <v>981</v>
      </c>
      <c r="T5" s="3073"/>
      <c r="U5" s="3073"/>
    </row>
    <row r="6" spans="1:22" ht="18.75" customHeight="1" x14ac:dyDescent="0.15">
      <c r="A6" s="3070"/>
      <c r="B6" s="3071"/>
      <c r="C6" s="3071"/>
      <c r="D6" s="3071"/>
      <c r="E6" s="3071"/>
      <c r="F6" s="3071"/>
      <c r="G6" s="3071"/>
      <c r="H6" s="3071"/>
      <c r="I6" s="3071"/>
      <c r="J6" s="3071"/>
      <c r="K6" s="3071"/>
      <c r="L6" s="3071"/>
      <c r="M6" s="3071"/>
      <c r="N6" s="3071"/>
      <c r="O6" s="3071"/>
      <c r="P6" s="3071"/>
      <c r="Q6" s="3072"/>
      <c r="R6" s="794" t="s">
        <v>982</v>
      </c>
      <c r="S6" s="3073" t="s">
        <v>983</v>
      </c>
      <c r="T6" s="3073"/>
      <c r="U6" s="3073"/>
    </row>
    <row r="7" spans="1:22" ht="18.75" customHeight="1" x14ac:dyDescent="0.15">
      <c r="A7" s="3070"/>
      <c r="B7" s="3071"/>
      <c r="C7" s="3071"/>
      <c r="D7" s="3071"/>
      <c r="E7" s="3071"/>
      <c r="F7" s="3071"/>
      <c r="G7" s="3071"/>
      <c r="H7" s="3071"/>
      <c r="I7" s="3071"/>
      <c r="J7" s="3071"/>
      <c r="K7" s="3071"/>
      <c r="L7" s="3071"/>
      <c r="M7" s="3071"/>
      <c r="N7" s="3071"/>
      <c r="O7" s="3071"/>
      <c r="P7" s="3071"/>
      <c r="Q7" s="3072"/>
      <c r="R7" s="795" t="s">
        <v>984</v>
      </c>
      <c r="S7" s="3073" t="s">
        <v>985</v>
      </c>
      <c r="T7" s="3073"/>
      <c r="U7" s="3073"/>
    </row>
    <row r="8" spans="1:22" ht="18.75" customHeight="1" x14ac:dyDescent="0.15">
      <c r="A8" s="3070"/>
      <c r="B8" s="3071"/>
      <c r="C8" s="3071"/>
      <c r="D8" s="3071"/>
      <c r="E8" s="3071"/>
      <c r="F8" s="3071"/>
      <c r="G8" s="3071"/>
      <c r="H8" s="3071"/>
      <c r="I8" s="3071"/>
      <c r="J8" s="3071"/>
      <c r="K8" s="3071"/>
      <c r="L8" s="3071"/>
      <c r="M8" s="3071"/>
      <c r="N8" s="3071"/>
      <c r="O8" s="3071"/>
      <c r="P8" s="3071"/>
      <c r="Q8" s="3072"/>
      <c r="R8" s="795" t="s">
        <v>986</v>
      </c>
      <c r="S8" s="3073" t="s">
        <v>44</v>
      </c>
      <c r="T8" s="3073"/>
      <c r="U8" s="3073"/>
    </row>
    <row r="9" spans="1:22" ht="18.75" customHeight="1" x14ac:dyDescent="0.15">
      <c r="A9" s="3070"/>
      <c r="B9" s="3071"/>
      <c r="C9" s="3071"/>
      <c r="D9" s="3071"/>
      <c r="E9" s="3071"/>
      <c r="F9" s="3071"/>
      <c r="G9" s="3071"/>
      <c r="H9" s="3071"/>
      <c r="I9" s="3071"/>
      <c r="J9" s="3071"/>
      <c r="K9" s="3071"/>
      <c r="L9" s="3071"/>
      <c r="M9" s="3071"/>
      <c r="N9" s="3071"/>
      <c r="O9" s="3071"/>
      <c r="P9" s="3071"/>
      <c r="Q9" s="3072"/>
      <c r="R9" s="795" t="s">
        <v>987</v>
      </c>
      <c r="S9" s="3073" t="s">
        <v>988</v>
      </c>
      <c r="T9" s="3073"/>
      <c r="U9" s="3073"/>
    </row>
    <row r="10" spans="1:22" ht="18.75" customHeight="1" x14ac:dyDescent="0.15">
      <c r="A10" s="3070"/>
      <c r="B10" s="3071"/>
      <c r="C10" s="3071"/>
      <c r="D10" s="3071"/>
      <c r="E10" s="3071"/>
      <c r="F10" s="3071"/>
      <c r="G10" s="3071"/>
      <c r="H10" s="3071"/>
      <c r="I10" s="3071"/>
      <c r="J10" s="3071"/>
      <c r="K10" s="3071"/>
      <c r="L10" s="3071"/>
      <c r="M10" s="3071"/>
      <c r="N10" s="3071"/>
      <c r="O10" s="3071"/>
      <c r="P10" s="3071"/>
      <c r="Q10" s="3072"/>
      <c r="R10" s="793">
        <v>2</v>
      </c>
      <c r="S10" s="3074" t="s">
        <v>49</v>
      </c>
      <c r="T10" s="3074"/>
      <c r="U10" s="3074"/>
    </row>
    <row r="11" spans="1:22" ht="18.75" customHeight="1" x14ac:dyDescent="0.15">
      <c r="A11" s="3070"/>
      <c r="B11" s="3071"/>
      <c r="C11" s="3071"/>
      <c r="D11" s="3071"/>
      <c r="E11" s="3071"/>
      <c r="F11" s="3071"/>
      <c r="G11" s="3071"/>
      <c r="H11" s="3071"/>
      <c r="I11" s="3071"/>
      <c r="J11" s="3071"/>
      <c r="K11" s="3071"/>
      <c r="L11" s="3071"/>
      <c r="M11" s="3071"/>
      <c r="N11" s="3071"/>
      <c r="O11" s="3071"/>
      <c r="P11" s="3071"/>
      <c r="Q11" s="3072"/>
      <c r="R11" s="795" t="s">
        <v>989</v>
      </c>
      <c r="S11" s="3073" t="s">
        <v>50</v>
      </c>
      <c r="T11" s="3073"/>
      <c r="U11" s="3073"/>
    </row>
    <row r="12" spans="1:22" ht="18.75" customHeight="1" x14ac:dyDescent="0.15">
      <c r="A12" s="3070"/>
      <c r="B12" s="3071"/>
      <c r="C12" s="3071"/>
      <c r="D12" s="3071"/>
      <c r="E12" s="3071"/>
      <c r="F12" s="3071"/>
      <c r="G12" s="3071"/>
      <c r="H12" s="3071"/>
      <c r="I12" s="3071"/>
      <c r="J12" s="3071"/>
      <c r="K12" s="3071"/>
      <c r="L12" s="3071"/>
      <c r="M12" s="3071"/>
      <c r="N12" s="3071"/>
      <c r="O12" s="3071"/>
      <c r="P12" s="3071"/>
      <c r="Q12" s="3072"/>
      <c r="R12" s="795" t="s">
        <v>990</v>
      </c>
      <c r="S12" s="3073" t="s">
        <v>167</v>
      </c>
      <c r="T12" s="3073"/>
      <c r="U12" s="3073"/>
    </row>
    <row r="13" spans="1:22" ht="18.75" customHeight="1" x14ac:dyDescent="0.15">
      <c r="A13" s="3070"/>
      <c r="B13" s="3071"/>
      <c r="C13" s="3071"/>
      <c r="D13" s="3071"/>
      <c r="E13" s="3071"/>
      <c r="F13" s="3071"/>
      <c r="G13" s="3071"/>
      <c r="H13" s="3071"/>
      <c r="I13" s="3071"/>
      <c r="J13" s="3071"/>
      <c r="K13" s="3071"/>
      <c r="L13" s="3071"/>
      <c r="M13" s="3071"/>
      <c r="N13" s="3071"/>
      <c r="O13" s="3071"/>
      <c r="P13" s="3071"/>
      <c r="Q13" s="3072"/>
      <c r="R13" s="795" t="s">
        <v>991</v>
      </c>
      <c r="S13" s="3073" t="s">
        <v>992</v>
      </c>
      <c r="T13" s="3073"/>
      <c r="U13" s="3073"/>
    </row>
    <row r="14" spans="1:22" ht="18.75" customHeight="1" x14ac:dyDescent="0.15">
      <c r="A14" s="3070"/>
      <c r="B14" s="3071"/>
      <c r="C14" s="3071"/>
      <c r="D14" s="3071"/>
      <c r="E14" s="3071"/>
      <c r="F14" s="3071"/>
      <c r="G14" s="3071"/>
      <c r="H14" s="3071"/>
      <c r="I14" s="3071"/>
      <c r="J14" s="3071"/>
      <c r="K14" s="3071"/>
      <c r="L14" s="3071"/>
      <c r="M14" s="3071"/>
      <c r="N14" s="3071"/>
      <c r="O14" s="3071"/>
      <c r="P14" s="3071"/>
      <c r="Q14" s="3072"/>
      <c r="R14" s="793">
        <v>3</v>
      </c>
      <c r="S14" s="3074" t="s">
        <v>72</v>
      </c>
      <c r="T14" s="3074"/>
      <c r="U14" s="3074"/>
    </row>
    <row r="15" spans="1:22" ht="18.75" customHeight="1" x14ac:dyDescent="0.15">
      <c r="A15" s="3070"/>
      <c r="B15" s="3071"/>
      <c r="C15" s="3071"/>
      <c r="D15" s="3071"/>
      <c r="E15" s="3071"/>
      <c r="F15" s="3071"/>
      <c r="G15" s="3071"/>
      <c r="H15" s="3071"/>
      <c r="I15" s="3071"/>
      <c r="J15" s="3071"/>
      <c r="K15" s="3071"/>
      <c r="L15" s="3071"/>
      <c r="M15" s="3071"/>
      <c r="N15" s="3071"/>
      <c r="O15" s="3071"/>
      <c r="P15" s="3071"/>
      <c r="Q15" s="3072"/>
      <c r="R15" s="794" t="s">
        <v>980</v>
      </c>
      <c r="S15" s="3073" t="s">
        <v>3395</v>
      </c>
      <c r="T15" s="3073"/>
      <c r="U15" s="3073"/>
    </row>
    <row r="16" spans="1:22" ht="18.75" customHeight="1" x14ac:dyDescent="0.15">
      <c r="A16" s="3070"/>
      <c r="B16" s="3071"/>
      <c r="C16" s="3071"/>
      <c r="D16" s="3071"/>
      <c r="E16" s="3071"/>
      <c r="F16" s="3071"/>
      <c r="G16" s="3071"/>
      <c r="H16" s="3071"/>
      <c r="I16" s="3071"/>
      <c r="J16" s="3071"/>
      <c r="K16" s="3071"/>
      <c r="L16" s="3071"/>
      <c r="M16" s="3071"/>
      <c r="N16" s="3071"/>
      <c r="O16" s="3071"/>
      <c r="P16" s="3071"/>
      <c r="Q16" s="3072"/>
      <c r="R16" s="795" t="s">
        <v>993</v>
      </c>
      <c r="S16" s="3073" t="s">
        <v>206</v>
      </c>
      <c r="T16" s="3073"/>
      <c r="U16" s="3073"/>
    </row>
    <row r="17" spans="1:21" ht="18.75" customHeight="1" x14ac:dyDescent="0.15">
      <c r="A17" s="3070"/>
      <c r="B17" s="3071"/>
      <c r="C17" s="3071"/>
      <c r="D17" s="3071"/>
      <c r="E17" s="3071"/>
      <c r="F17" s="3071"/>
      <c r="G17" s="3071"/>
      <c r="H17" s="3071"/>
      <c r="I17" s="3071"/>
      <c r="J17" s="3071"/>
      <c r="K17" s="3071"/>
      <c r="L17" s="3071"/>
      <c r="M17" s="3071"/>
      <c r="N17" s="3071"/>
      <c r="O17" s="3071"/>
      <c r="P17" s="3071"/>
      <c r="Q17" s="3072"/>
      <c r="R17" s="795" t="s">
        <v>986</v>
      </c>
      <c r="S17" s="3073" t="s">
        <v>168</v>
      </c>
      <c r="T17" s="3073"/>
      <c r="U17" s="3073"/>
    </row>
    <row r="18" spans="1:21" ht="18.75" customHeight="1" x14ac:dyDescent="0.15">
      <c r="A18" s="3070"/>
      <c r="B18" s="3071"/>
      <c r="C18" s="3071"/>
      <c r="D18" s="3071"/>
      <c r="E18" s="3071"/>
      <c r="F18" s="3071"/>
      <c r="G18" s="3071"/>
      <c r="H18" s="3071"/>
      <c r="I18" s="3071"/>
      <c r="J18" s="3071"/>
      <c r="K18" s="3071"/>
      <c r="L18" s="3071"/>
      <c r="M18" s="3071"/>
      <c r="N18" s="3071"/>
      <c r="O18" s="3071"/>
      <c r="P18" s="3071"/>
      <c r="Q18" s="3072"/>
      <c r="R18" s="795" t="s">
        <v>987</v>
      </c>
      <c r="S18" s="3073" t="s">
        <v>3396</v>
      </c>
      <c r="T18" s="3073"/>
      <c r="U18" s="3073"/>
    </row>
    <row r="19" spans="1:21" ht="18.75" customHeight="1" x14ac:dyDescent="0.15">
      <c r="A19" s="3070"/>
      <c r="B19" s="3071"/>
      <c r="C19" s="3071"/>
      <c r="D19" s="3071"/>
      <c r="E19" s="3071"/>
      <c r="F19" s="3071"/>
      <c r="G19" s="3071"/>
      <c r="H19" s="3071"/>
      <c r="I19" s="3071"/>
      <c r="J19" s="3071"/>
      <c r="K19" s="3071"/>
      <c r="L19" s="3071"/>
      <c r="M19" s="3071"/>
      <c r="N19" s="3071"/>
      <c r="O19" s="3071"/>
      <c r="P19" s="3071"/>
      <c r="Q19" s="3072"/>
      <c r="R19" s="793">
        <v>4</v>
      </c>
      <c r="S19" s="3074" t="s">
        <v>994</v>
      </c>
      <c r="T19" s="3074"/>
      <c r="U19" s="3074"/>
    </row>
    <row r="20" spans="1:21" ht="18.75" customHeight="1" x14ac:dyDescent="0.15">
      <c r="A20" s="3070"/>
      <c r="B20" s="3071"/>
      <c r="C20" s="3071"/>
      <c r="D20" s="3071"/>
      <c r="E20" s="3071"/>
      <c r="F20" s="3071"/>
      <c r="G20" s="3071"/>
      <c r="H20" s="3071"/>
      <c r="I20" s="3071"/>
      <c r="J20" s="3071"/>
      <c r="K20" s="3071"/>
      <c r="L20" s="3071"/>
      <c r="M20" s="3071"/>
      <c r="N20" s="3071"/>
      <c r="O20" s="3071"/>
      <c r="P20" s="3071"/>
      <c r="Q20" s="3072"/>
      <c r="R20" s="795" t="s">
        <v>995</v>
      </c>
      <c r="S20" s="3073" t="s">
        <v>82</v>
      </c>
      <c r="T20" s="3073"/>
      <c r="U20" s="3073"/>
    </row>
    <row r="21" spans="1:21" ht="18.75" customHeight="1" x14ac:dyDescent="0.15">
      <c r="A21" s="3070"/>
      <c r="B21" s="3071"/>
      <c r="C21" s="3071"/>
      <c r="D21" s="3071"/>
      <c r="E21" s="3071"/>
      <c r="F21" s="3071"/>
      <c r="G21" s="3071"/>
      <c r="H21" s="3071"/>
      <c r="I21" s="3071"/>
      <c r="J21" s="3071"/>
      <c r="K21" s="3071"/>
      <c r="L21" s="3071"/>
      <c r="M21" s="3071"/>
      <c r="N21" s="3071"/>
      <c r="O21" s="3071"/>
      <c r="P21" s="3071"/>
      <c r="Q21" s="3072"/>
      <c r="R21" s="795" t="s">
        <v>996</v>
      </c>
      <c r="S21" s="3073" t="s">
        <v>997</v>
      </c>
      <c r="T21" s="3073"/>
      <c r="U21" s="3073"/>
    </row>
    <row r="22" spans="1:21" ht="18.75" customHeight="1" x14ac:dyDescent="0.15">
      <c r="A22" s="3070"/>
      <c r="B22" s="3071"/>
      <c r="C22" s="3071"/>
      <c r="D22" s="3071"/>
      <c r="E22" s="3071"/>
      <c r="F22" s="3071"/>
      <c r="G22" s="3071"/>
      <c r="H22" s="3071"/>
      <c r="I22" s="3071"/>
      <c r="J22" s="3071"/>
      <c r="K22" s="3071"/>
      <c r="L22" s="3071"/>
      <c r="M22" s="3071"/>
      <c r="N22" s="3071"/>
      <c r="O22" s="3071"/>
      <c r="P22" s="3071"/>
      <c r="Q22" s="3072"/>
      <c r="R22" s="795" t="s">
        <v>998</v>
      </c>
      <c r="S22" s="3073" t="s">
        <v>19</v>
      </c>
      <c r="T22" s="3073"/>
      <c r="U22" s="3073"/>
    </row>
    <row r="23" spans="1:21" ht="18.75" customHeight="1" x14ac:dyDescent="0.15">
      <c r="A23" s="3070"/>
      <c r="B23" s="3071"/>
      <c r="C23" s="3071"/>
      <c r="D23" s="3071"/>
      <c r="E23" s="3071"/>
      <c r="F23" s="3071"/>
      <c r="G23" s="3071"/>
      <c r="H23" s="3071"/>
      <c r="I23" s="3071"/>
      <c r="J23" s="3071"/>
      <c r="K23" s="3071"/>
      <c r="L23" s="3071"/>
      <c r="M23" s="3071"/>
      <c r="N23" s="3071"/>
      <c r="O23" s="3071"/>
      <c r="P23" s="3071"/>
      <c r="Q23" s="3072"/>
      <c r="R23" s="795" t="s">
        <v>999</v>
      </c>
      <c r="S23" s="3073" t="s">
        <v>100</v>
      </c>
      <c r="T23" s="3073"/>
      <c r="U23" s="3073"/>
    </row>
    <row r="24" spans="1:21" ht="18.75" customHeight="1" x14ac:dyDescent="0.15">
      <c r="A24" s="3070"/>
      <c r="B24" s="3071"/>
      <c r="C24" s="3071"/>
      <c r="D24" s="3071"/>
      <c r="E24" s="3071"/>
      <c r="F24" s="3071"/>
      <c r="G24" s="3071"/>
      <c r="H24" s="3071"/>
      <c r="I24" s="3071"/>
      <c r="J24" s="3071"/>
      <c r="K24" s="3071"/>
      <c r="L24" s="3071"/>
      <c r="M24" s="3071"/>
      <c r="N24" s="3071"/>
      <c r="O24" s="3071"/>
      <c r="P24" s="3071"/>
      <c r="Q24" s="3072"/>
      <c r="R24" s="795" t="s">
        <v>3310</v>
      </c>
      <c r="S24" s="3073" t="s">
        <v>1000</v>
      </c>
      <c r="T24" s="3073"/>
      <c r="U24" s="3073"/>
    </row>
    <row r="25" spans="1:21" ht="18.75" customHeight="1" x14ac:dyDescent="0.15">
      <c r="A25" s="3070"/>
      <c r="B25" s="3071"/>
      <c r="C25" s="3071"/>
      <c r="D25" s="3071"/>
      <c r="E25" s="3071"/>
      <c r="F25" s="3071"/>
      <c r="G25" s="3071"/>
      <c r="H25" s="3071"/>
      <c r="I25" s="3071"/>
      <c r="J25" s="3071"/>
      <c r="K25" s="3071"/>
      <c r="L25" s="3071"/>
      <c r="M25" s="3071"/>
      <c r="N25" s="3071"/>
      <c r="O25" s="3071"/>
      <c r="P25" s="3071"/>
      <c r="Q25" s="3072"/>
      <c r="R25" s="802" t="s">
        <v>3311</v>
      </c>
      <c r="S25" s="3073" t="s">
        <v>1002</v>
      </c>
      <c r="T25" s="3073"/>
      <c r="U25" s="3073"/>
    </row>
    <row r="26" spans="1:21" ht="18.75" customHeight="1" x14ac:dyDescent="0.15">
      <c r="A26" s="3070"/>
      <c r="B26" s="3071"/>
      <c r="C26" s="3071"/>
      <c r="D26" s="3071"/>
      <c r="E26" s="3071"/>
      <c r="F26" s="3071"/>
      <c r="G26" s="3071"/>
      <c r="H26" s="3071"/>
      <c r="I26" s="3071"/>
      <c r="J26" s="3071"/>
      <c r="K26" s="3071"/>
      <c r="L26" s="3071"/>
      <c r="M26" s="3071"/>
      <c r="N26" s="3071"/>
      <c r="O26" s="3071"/>
      <c r="P26" s="3071"/>
      <c r="Q26" s="3072"/>
      <c r="R26" s="795" t="s">
        <v>1001</v>
      </c>
      <c r="S26" s="3073" t="s">
        <v>1062</v>
      </c>
      <c r="T26" s="3073"/>
      <c r="U26" s="3073"/>
    </row>
    <row r="27" spans="1:21" ht="18.75" customHeight="1" x14ac:dyDescent="0.15">
      <c r="A27" s="3070"/>
      <c r="B27" s="3071"/>
      <c r="C27" s="3071"/>
      <c r="D27" s="3071"/>
      <c r="E27" s="3071"/>
      <c r="F27" s="3071"/>
      <c r="G27" s="3071"/>
      <c r="H27" s="3071"/>
      <c r="I27" s="3071"/>
      <c r="J27" s="3071"/>
      <c r="K27" s="3071"/>
      <c r="L27" s="3071"/>
      <c r="M27" s="3071"/>
      <c r="N27" s="3071"/>
      <c r="O27" s="3071"/>
      <c r="P27" s="3071"/>
      <c r="Q27" s="3072"/>
      <c r="R27" s="795" t="s">
        <v>1061</v>
      </c>
      <c r="S27" s="3073" t="s">
        <v>2826</v>
      </c>
      <c r="T27" s="3073"/>
      <c r="U27" s="3073"/>
    </row>
    <row r="28" spans="1:21" ht="18.75" customHeight="1" x14ac:dyDescent="0.15">
      <c r="A28" s="3070"/>
      <c r="B28" s="3071"/>
      <c r="C28" s="3071"/>
      <c r="D28" s="3071"/>
      <c r="E28" s="3071"/>
      <c r="F28" s="3071"/>
      <c r="G28" s="3071"/>
      <c r="H28" s="3071"/>
      <c r="I28" s="3071"/>
      <c r="J28" s="3071"/>
      <c r="K28" s="3071"/>
      <c r="L28" s="3071"/>
      <c r="M28" s="3071"/>
      <c r="N28" s="3071"/>
      <c r="O28" s="3071"/>
      <c r="P28" s="3071"/>
      <c r="Q28" s="3072"/>
      <c r="R28" s="795" t="s">
        <v>3312</v>
      </c>
      <c r="S28" s="3073" t="s">
        <v>1003</v>
      </c>
      <c r="T28" s="3073"/>
      <c r="U28" s="3073"/>
    </row>
    <row r="29" spans="1:21" ht="18.75" customHeight="1" x14ac:dyDescent="0.15">
      <c r="A29" s="3070"/>
      <c r="B29" s="3071"/>
      <c r="C29" s="3071"/>
      <c r="D29" s="3071"/>
      <c r="E29" s="3071"/>
      <c r="F29" s="3071"/>
      <c r="G29" s="3071"/>
      <c r="H29" s="3071"/>
      <c r="I29" s="3071"/>
      <c r="J29" s="3071"/>
      <c r="K29" s="3071"/>
      <c r="L29" s="3071"/>
      <c r="M29" s="3071"/>
      <c r="N29" s="3071"/>
      <c r="O29" s="3071"/>
      <c r="P29" s="3071"/>
      <c r="Q29" s="3072"/>
      <c r="R29" s="795" t="s">
        <v>3313</v>
      </c>
      <c r="S29" s="796" t="s">
        <v>1004</v>
      </c>
      <c r="T29" s="796"/>
      <c r="U29" s="797"/>
    </row>
    <row r="30" spans="1:21" ht="18.75" customHeight="1" x14ac:dyDescent="0.15">
      <c r="A30" s="3070"/>
      <c r="B30" s="3071"/>
      <c r="C30" s="3071"/>
      <c r="D30" s="3071"/>
      <c r="E30" s="3071"/>
      <c r="F30" s="3071"/>
      <c r="G30" s="3071"/>
      <c r="H30" s="3071"/>
      <c r="I30" s="3071"/>
      <c r="J30" s="3071"/>
      <c r="K30" s="3071"/>
      <c r="L30" s="3071"/>
      <c r="M30" s="3071"/>
      <c r="N30" s="3071"/>
      <c r="O30" s="3071"/>
      <c r="P30" s="3071"/>
      <c r="Q30" s="3072"/>
      <c r="R30" s="798">
        <v>5</v>
      </c>
      <c r="S30" s="799" t="s">
        <v>1005</v>
      </c>
      <c r="T30" s="800"/>
      <c r="U30" s="801"/>
    </row>
    <row r="31" spans="1:21" ht="18.75" customHeight="1" x14ac:dyDescent="0.15">
      <c r="A31" s="3070"/>
      <c r="B31" s="3071"/>
      <c r="C31" s="3071"/>
      <c r="D31" s="3071"/>
      <c r="E31" s="3071"/>
      <c r="F31" s="3071"/>
      <c r="G31" s="3071"/>
      <c r="H31" s="3071"/>
      <c r="I31" s="3071"/>
      <c r="J31" s="3071"/>
      <c r="K31" s="3071"/>
      <c r="L31" s="3071"/>
      <c r="M31" s="3071"/>
      <c r="N31" s="3071"/>
      <c r="O31" s="3071"/>
      <c r="P31" s="3071"/>
      <c r="Q31" s="3072"/>
      <c r="R31" s="802" t="s">
        <v>980</v>
      </c>
      <c r="S31" s="803" t="s">
        <v>1006</v>
      </c>
      <c r="T31" s="804"/>
      <c r="U31" s="805"/>
    </row>
    <row r="32" spans="1:21" ht="18.75" customHeight="1" x14ac:dyDescent="0.15">
      <c r="A32" s="3070"/>
      <c r="B32" s="3071"/>
      <c r="C32" s="3071"/>
      <c r="D32" s="3071"/>
      <c r="E32" s="3071"/>
      <c r="F32" s="3071"/>
      <c r="G32" s="3071"/>
      <c r="H32" s="3071"/>
      <c r="I32" s="3071"/>
      <c r="J32" s="3071"/>
      <c r="K32" s="3071"/>
      <c r="L32" s="3071"/>
      <c r="M32" s="3071"/>
      <c r="N32" s="3071"/>
      <c r="O32" s="3071"/>
      <c r="P32" s="3071"/>
      <c r="Q32" s="3072"/>
      <c r="R32" s="806" t="s">
        <v>1007</v>
      </c>
      <c r="S32" s="803" t="s">
        <v>111</v>
      </c>
      <c r="T32" s="804"/>
      <c r="U32" s="805"/>
    </row>
    <row r="33" spans="1:21" ht="18.75" customHeight="1" x14ac:dyDescent="0.15">
      <c r="A33" s="3070"/>
      <c r="B33" s="3071"/>
      <c r="C33" s="3071"/>
      <c r="D33" s="3071"/>
      <c r="E33" s="3071"/>
      <c r="F33" s="3071"/>
      <c r="G33" s="3071"/>
      <c r="H33" s="3071"/>
      <c r="I33" s="3071"/>
      <c r="J33" s="3071"/>
      <c r="K33" s="3071"/>
      <c r="L33" s="3071"/>
      <c r="M33" s="3071"/>
      <c r="N33" s="3071"/>
      <c r="O33" s="3071"/>
      <c r="P33" s="3071"/>
      <c r="Q33" s="3072"/>
      <c r="R33" s="806" t="s">
        <v>1008</v>
      </c>
      <c r="S33" s="803" t="s">
        <v>1009</v>
      </c>
      <c r="T33" s="804"/>
      <c r="U33" s="805"/>
    </row>
    <row r="34" spans="1:21" ht="18.75" customHeight="1" x14ac:dyDescent="0.15">
      <c r="A34" s="3070"/>
      <c r="B34" s="3071"/>
      <c r="C34" s="3071"/>
      <c r="D34" s="3071"/>
      <c r="E34" s="3071"/>
      <c r="F34" s="3071"/>
      <c r="G34" s="3071"/>
      <c r="H34" s="3071"/>
      <c r="I34" s="3071"/>
      <c r="J34" s="3071"/>
      <c r="K34" s="3071"/>
      <c r="L34" s="3071"/>
      <c r="M34" s="3071"/>
      <c r="N34" s="3071"/>
      <c r="O34" s="3071"/>
      <c r="P34" s="3071"/>
      <c r="Q34" s="3072"/>
      <c r="R34" s="802" t="s">
        <v>1010</v>
      </c>
      <c r="S34" s="803" t="s">
        <v>115</v>
      </c>
      <c r="T34" s="804"/>
      <c r="U34" s="805"/>
    </row>
    <row r="35" spans="1:21" ht="18.75" customHeight="1" x14ac:dyDescent="0.15">
      <c r="A35" s="3070"/>
      <c r="B35" s="3071"/>
      <c r="C35" s="3071"/>
      <c r="D35" s="3071"/>
      <c r="E35" s="3071"/>
      <c r="F35" s="3071"/>
      <c r="G35" s="3071"/>
      <c r="H35" s="3071"/>
      <c r="I35" s="3071"/>
      <c r="J35" s="3071"/>
      <c r="K35" s="3071"/>
      <c r="L35" s="3071"/>
      <c r="M35" s="3071"/>
      <c r="N35" s="3071"/>
      <c r="O35" s="3071"/>
      <c r="P35" s="3071"/>
      <c r="Q35" s="3072"/>
      <c r="R35" s="806" t="s">
        <v>1011</v>
      </c>
      <c r="S35" s="803" t="s">
        <v>1012</v>
      </c>
      <c r="T35" s="804"/>
      <c r="U35" s="805"/>
    </row>
    <row r="36" spans="1:21" ht="18.75" customHeight="1" x14ac:dyDescent="0.15">
      <c r="A36" s="3070"/>
      <c r="B36" s="3071"/>
      <c r="C36" s="3071"/>
      <c r="D36" s="3071"/>
      <c r="E36" s="3071"/>
      <c r="F36" s="3071"/>
      <c r="G36" s="3071"/>
      <c r="H36" s="3071"/>
      <c r="I36" s="3071"/>
      <c r="J36" s="3071"/>
      <c r="K36" s="3071"/>
      <c r="L36" s="3071"/>
      <c r="M36" s="3071"/>
      <c r="N36" s="3071"/>
      <c r="O36" s="3071"/>
      <c r="P36" s="3071"/>
      <c r="Q36" s="3072"/>
      <c r="R36" s="806" t="s">
        <v>3314</v>
      </c>
      <c r="S36" s="803" t="s">
        <v>121</v>
      </c>
      <c r="T36" s="804"/>
      <c r="U36" s="805"/>
    </row>
    <row r="37" spans="1:21" ht="18.75" customHeight="1" x14ac:dyDescent="0.15">
      <c r="A37" s="3070"/>
      <c r="B37" s="3071"/>
      <c r="C37" s="3071"/>
      <c r="D37" s="3071"/>
      <c r="E37" s="3071"/>
      <c r="F37" s="3071"/>
      <c r="G37" s="3071"/>
      <c r="H37" s="3071"/>
      <c r="I37" s="3071"/>
      <c r="J37" s="3071"/>
      <c r="K37" s="3071"/>
      <c r="L37" s="3071"/>
      <c r="M37" s="3071"/>
      <c r="N37" s="3071"/>
      <c r="O37" s="3071"/>
      <c r="P37" s="3071"/>
      <c r="Q37" s="3072"/>
      <c r="R37" s="806" t="s">
        <v>3341</v>
      </c>
      <c r="S37" s="803" t="s">
        <v>1013</v>
      </c>
      <c r="T37" s="804"/>
      <c r="U37" s="805"/>
    </row>
    <row r="38" spans="1:21" ht="18.75" customHeight="1" x14ac:dyDescent="0.15">
      <c r="A38" s="3070"/>
      <c r="B38" s="3071"/>
      <c r="C38" s="3071"/>
      <c r="D38" s="3071"/>
      <c r="E38" s="3071"/>
      <c r="F38" s="3071"/>
      <c r="G38" s="3071"/>
      <c r="H38" s="3071"/>
      <c r="I38" s="3071"/>
      <c r="J38" s="3071"/>
      <c r="K38" s="3071"/>
      <c r="L38" s="3071"/>
      <c r="M38" s="3071"/>
      <c r="N38" s="3071"/>
      <c r="O38" s="3071"/>
      <c r="P38" s="3071"/>
      <c r="Q38" s="3072"/>
      <c r="R38" s="806" t="s">
        <v>3315</v>
      </c>
      <c r="S38" s="803" t="s">
        <v>1014</v>
      </c>
      <c r="T38" s="804"/>
      <c r="U38" s="805"/>
    </row>
    <row r="39" spans="1:21" ht="18.75" customHeight="1" x14ac:dyDescent="0.15">
      <c r="A39" s="3070"/>
      <c r="B39" s="3071"/>
      <c r="C39" s="3071"/>
      <c r="D39" s="3071"/>
      <c r="E39" s="3071"/>
      <c r="F39" s="3071"/>
      <c r="G39" s="3071"/>
      <c r="H39" s="3071"/>
      <c r="I39" s="3071"/>
      <c r="J39" s="3071"/>
      <c r="K39" s="3071"/>
      <c r="L39" s="3071"/>
      <c r="M39" s="3071"/>
      <c r="N39" s="3071"/>
      <c r="O39" s="3071"/>
      <c r="P39" s="3071"/>
      <c r="Q39" s="3072"/>
      <c r="R39" s="798">
        <v>6</v>
      </c>
      <c r="S39" s="799" t="s">
        <v>137</v>
      </c>
      <c r="T39" s="800"/>
      <c r="U39" s="801"/>
    </row>
    <row r="40" spans="1:21" ht="18.75" customHeight="1" x14ac:dyDescent="0.15">
      <c r="A40" s="3070"/>
      <c r="B40" s="3071"/>
      <c r="C40" s="3071"/>
      <c r="D40" s="3071"/>
      <c r="E40" s="3071"/>
      <c r="F40" s="3071"/>
      <c r="G40" s="3071"/>
      <c r="H40" s="3071"/>
      <c r="I40" s="3071"/>
      <c r="J40" s="3071"/>
      <c r="K40" s="3071"/>
      <c r="L40" s="3071"/>
      <c r="M40" s="3071"/>
      <c r="N40" s="3071"/>
      <c r="O40" s="3071"/>
      <c r="P40" s="3071"/>
      <c r="Q40" s="3072"/>
      <c r="R40" s="806" t="s">
        <v>1015</v>
      </c>
      <c r="S40" s="807" t="s">
        <v>1016</v>
      </c>
      <c r="T40" s="796"/>
      <c r="U40" s="797"/>
    </row>
    <row r="41" spans="1:21" ht="18.75" customHeight="1" x14ac:dyDescent="0.15">
      <c r="A41" s="3070"/>
      <c r="B41" s="3071"/>
      <c r="C41" s="3071"/>
      <c r="D41" s="3071"/>
      <c r="E41" s="3071"/>
      <c r="F41" s="3071"/>
      <c r="G41" s="3071"/>
      <c r="H41" s="3071"/>
      <c r="I41" s="3071"/>
      <c r="J41" s="3071"/>
      <c r="K41" s="3071"/>
      <c r="L41" s="3071"/>
      <c r="M41" s="3071"/>
      <c r="N41" s="3071"/>
      <c r="O41" s="3071"/>
      <c r="P41" s="3071"/>
      <c r="Q41" s="3072"/>
      <c r="R41" s="802" t="s">
        <v>1017</v>
      </c>
      <c r="S41" s="807" t="s">
        <v>141</v>
      </c>
      <c r="T41" s="796"/>
      <c r="U41" s="797"/>
    </row>
    <row r="42" spans="1:21" ht="18.75" customHeight="1" x14ac:dyDescent="0.15">
      <c r="A42" s="3070"/>
      <c r="B42" s="3071"/>
      <c r="C42" s="3071"/>
      <c r="D42" s="3071"/>
      <c r="E42" s="3071"/>
      <c r="F42" s="3071"/>
      <c r="G42" s="3071"/>
      <c r="H42" s="3071"/>
      <c r="I42" s="3071"/>
      <c r="J42" s="3071"/>
      <c r="K42" s="3071"/>
      <c r="L42" s="3071"/>
      <c r="M42" s="3071"/>
      <c r="N42" s="3071"/>
      <c r="O42" s="3071"/>
      <c r="P42" s="3071"/>
      <c r="Q42" s="3072"/>
      <c r="R42" s="806" t="s">
        <v>1018</v>
      </c>
      <c r="S42" s="807" t="s">
        <v>143</v>
      </c>
      <c r="T42" s="796"/>
      <c r="U42" s="797"/>
    </row>
    <row r="43" spans="1:21" ht="18.75" customHeight="1" x14ac:dyDescent="0.15">
      <c r="A43" s="3070"/>
      <c r="B43" s="3071"/>
      <c r="C43" s="3071"/>
      <c r="D43" s="3071"/>
      <c r="E43" s="3071"/>
      <c r="F43" s="3071"/>
      <c r="G43" s="3071"/>
      <c r="H43" s="3071"/>
      <c r="I43" s="3071"/>
      <c r="J43" s="3071"/>
      <c r="K43" s="3071"/>
      <c r="L43" s="3071"/>
      <c r="M43" s="3071"/>
      <c r="N43" s="3071"/>
      <c r="O43" s="3071"/>
      <c r="P43" s="3071"/>
      <c r="Q43" s="3072"/>
      <c r="R43" s="798">
        <v>7</v>
      </c>
      <c r="S43" s="808" t="s">
        <v>148</v>
      </c>
      <c r="T43" s="809"/>
      <c r="U43" s="810"/>
    </row>
    <row r="44" spans="1:21" ht="18.75" customHeight="1" x14ac:dyDescent="0.15">
      <c r="A44" s="3070"/>
      <c r="B44" s="3071"/>
      <c r="C44" s="3071"/>
      <c r="D44" s="3071"/>
      <c r="E44" s="3071"/>
      <c r="F44" s="3071"/>
      <c r="G44" s="3071"/>
      <c r="H44" s="3071"/>
      <c r="I44" s="3071"/>
      <c r="J44" s="3071"/>
      <c r="K44" s="3071"/>
      <c r="L44" s="3071"/>
      <c r="M44" s="3071"/>
      <c r="N44" s="3071"/>
      <c r="O44" s="3071"/>
      <c r="P44" s="3071"/>
      <c r="Q44" s="3072"/>
      <c r="R44" s="792"/>
      <c r="S44" s="3066"/>
      <c r="T44" s="3066"/>
      <c r="U44" s="3066"/>
    </row>
    <row r="45" spans="1:21" ht="18.75" customHeight="1" x14ac:dyDescent="0.15">
      <c r="A45" s="3064" t="s">
        <v>3316</v>
      </c>
      <c r="B45" s="3065"/>
      <c r="C45" s="3065"/>
      <c r="D45" s="3065"/>
      <c r="E45" s="3065"/>
      <c r="F45" s="3065"/>
      <c r="G45" s="3065"/>
      <c r="H45" s="3065"/>
      <c r="I45" s="3065"/>
      <c r="J45" s="3065"/>
      <c r="K45" s="3065"/>
      <c r="L45" s="811"/>
      <c r="M45" s="811"/>
      <c r="N45" s="811"/>
      <c r="O45" s="811"/>
      <c r="P45" s="811"/>
      <c r="Q45" s="811"/>
      <c r="R45" s="792"/>
      <c r="S45" s="3066"/>
      <c r="T45" s="3066"/>
      <c r="U45" s="3066"/>
    </row>
    <row r="46" spans="1:21" x14ac:dyDescent="0.15">
      <c r="A46" s="790"/>
      <c r="B46" s="790"/>
      <c r="C46" s="790"/>
      <c r="D46" s="790"/>
      <c r="E46" s="790"/>
      <c r="F46" s="790"/>
      <c r="G46" s="790"/>
      <c r="H46" s="790"/>
      <c r="I46" s="812"/>
      <c r="J46" s="813"/>
    </row>
  </sheetData>
  <sheetProtection algorithmName="SHA-512" hashValue="gxjpacjNFn5erFC2QiVqSqPQ4N/ha+uAF47+fvE7r+LCbIy3QrDplBi9FH8ZYOkzgx9G662nLsyXMMMZUcNaFA==" saltValue="aqayJBlSOJUm1/IJIPH2Xw==" spinCount="100000" sheet="1"/>
  <mergeCells count="33">
    <mergeCell ref="D1:S1"/>
    <mergeCell ref="S12:U12"/>
    <mergeCell ref="S7:U7"/>
    <mergeCell ref="S8:U8"/>
    <mergeCell ref="S9:U9"/>
    <mergeCell ref="S10:U10"/>
    <mergeCell ref="S11:U11"/>
    <mergeCell ref="I2:K2"/>
    <mergeCell ref="S3:U3"/>
    <mergeCell ref="S4:U4"/>
    <mergeCell ref="S5:U5"/>
    <mergeCell ref="T1:V1"/>
    <mergeCell ref="S28:U28"/>
    <mergeCell ref="S23:U23"/>
    <mergeCell ref="S24:U24"/>
    <mergeCell ref="S13:U13"/>
    <mergeCell ref="S21:U21"/>
    <mergeCell ref="A45:K45"/>
    <mergeCell ref="S45:U45"/>
    <mergeCell ref="A3:Q44"/>
    <mergeCell ref="S25:U25"/>
    <mergeCell ref="S14:U14"/>
    <mergeCell ref="S15:U15"/>
    <mergeCell ref="S16:U16"/>
    <mergeCell ref="S17:U17"/>
    <mergeCell ref="S18:U18"/>
    <mergeCell ref="S19:U19"/>
    <mergeCell ref="S20:U20"/>
    <mergeCell ref="S22:U22"/>
    <mergeCell ref="S6:U6"/>
    <mergeCell ref="S26:U26"/>
    <mergeCell ref="S27:U27"/>
    <mergeCell ref="S44:U44"/>
  </mergeCells>
  <phoneticPr fontId="3"/>
  <hyperlinks>
    <hyperlink ref="T1" location="使用方法!F26:F34" display="シート一覧へ" xr:uid="{655DF458-C1EF-46D6-AEEF-47C38E19EC8B}"/>
    <hyperlink ref="T1:U1" location="使用方法!F29:F37" display="シート一覧へ" xr:uid="{3E05A4AF-A1D3-43AD-9E86-3363E924E983}"/>
  </hyperlinks>
  <pageMargins left="0.78740157480314965" right="0.39370078740157483" top="0.56999999999999995" bottom="0.56000000000000005" header="0.51181102362204722" footer="0.51181102362204722"/>
  <pageSetup paperSize="8"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FF6FB-5610-4550-AF3B-35A4000A1DCE}">
  <sheetPr codeName="Sheet11">
    <pageSetUpPr fitToPage="1"/>
  </sheetPr>
  <dimension ref="A1:BN83"/>
  <sheetViews>
    <sheetView zoomScaleNormal="100" zoomScaleSheetLayoutView="100" workbookViewId="0"/>
  </sheetViews>
  <sheetFormatPr defaultColWidth="8.5" defaultRowHeight="13.5" x14ac:dyDescent="0.15"/>
  <cols>
    <col min="1" max="46" width="1.625" style="816" customWidth="1"/>
    <col min="47" max="95" width="1.5" style="816" customWidth="1"/>
    <col min="96" max="16384" width="8.5" style="816"/>
  </cols>
  <sheetData>
    <row r="1" spans="1:50" ht="18.75" x14ac:dyDescent="0.15">
      <c r="A1" s="815" t="s">
        <v>2074</v>
      </c>
      <c r="B1" s="516"/>
      <c r="C1" s="516"/>
      <c r="D1" s="516"/>
      <c r="E1" s="516"/>
      <c r="F1" s="516"/>
      <c r="G1" s="516"/>
      <c r="AR1" s="3112" t="str">
        <f>HYPERLINK("#'使用方法'!F29:F37","シート一覧へ")</f>
        <v>シート一覧へ</v>
      </c>
      <c r="AS1" s="3112"/>
      <c r="AT1" s="3112"/>
      <c r="AU1" s="3112"/>
      <c r="AV1" s="3112"/>
      <c r="AW1" s="3112"/>
      <c r="AX1" s="3112"/>
    </row>
    <row r="2" spans="1:50" ht="45.75" customHeight="1" x14ac:dyDescent="0.15">
      <c r="A2" s="3113" t="s">
        <v>2097</v>
      </c>
      <c r="B2" s="3113"/>
      <c r="C2" s="3113"/>
      <c r="D2" s="3113"/>
      <c r="E2" s="3113"/>
      <c r="F2" s="3113"/>
      <c r="G2" s="3113"/>
      <c r="H2" s="3113"/>
      <c r="I2" s="3113"/>
      <c r="J2" s="3113"/>
      <c r="K2" s="3113"/>
      <c r="L2" s="3113"/>
      <c r="M2" s="3113"/>
      <c r="N2" s="3113"/>
      <c r="O2" s="3113"/>
      <c r="P2" s="3113"/>
      <c r="Q2" s="3113"/>
      <c r="R2" s="3113"/>
      <c r="S2" s="3113"/>
      <c r="T2" s="3113"/>
      <c r="U2" s="3113"/>
      <c r="V2" s="3113"/>
      <c r="W2" s="3113"/>
      <c r="X2" s="3113"/>
      <c r="Y2" s="3113"/>
      <c r="Z2" s="3113"/>
      <c r="AA2" s="3113"/>
      <c r="AB2" s="3113"/>
      <c r="AC2" s="3113"/>
      <c r="AD2" s="3113"/>
      <c r="AE2" s="3113"/>
      <c r="AF2" s="3113"/>
      <c r="AG2" s="3113"/>
      <c r="AH2" s="3113"/>
      <c r="AI2" s="3113"/>
      <c r="AJ2" s="3113"/>
      <c r="AK2" s="3113"/>
      <c r="AL2" s="3113"/>
      <c r="AM2" s="3113"/>
      <c r="AN2" s="3113"/>
      <c r="AO2" s="3113"/>
      <c r="AP2" s="3113"/>
      <c r="AQ2" s="3113"/>
      <c r="AR2" s="3113"/>
      <c r="AS2" s="3113"/>
      <c r="AT2" s="3113"/>
      <c r="AU2" s="3113"/>
      <c r="AV2" s="3113"/>
      <c r="AW2" s="3113"/>
      <c r="AX2" s="3113"/>
    </row>
    <row r="3" spans="1:50" s="821" customFormat="1" ht="11.25" thickBot="1" x14ac:dyDescent="0.2">
      <c r="A3" s="817"/>
      <c r="B3" s="818"/>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8"/>
      <c r="AC3" s="818"/>
      <c r="AD3" s="818"/>
      <c r="AE3" s="818"/>
      <c r="AF3" s="818"/>
      <c r="AG3" s="818"/>
      <c r="AH3" s="818"/>
      <c r="AI3" s="818"/>
      <c r="AJ3" s="818"/>
      <c r="AK3" s="818"/>
      <c r="AL3" s="818"/>
      <c r="AM3" s="818"/>
      <c r="AN3" s="818"/>
      <c r="AO3" s="818"/>
      <c r="AP3" s="818"/>
      <c r="AQ3" s="818"/>
      <c r="AR3" s="818"/>
      <c r="AS3" s="818"/>
      <c r="AT3" s="819"/>
      <c r="AU3" s="818"/>
      <c r="AV3" s="818"/>
      <c r="AW3" s="819" t="str">
        <f>チェックシート!H3</f>
        <v>Kyoto City（R7.7） ver.120</v>
      </c>
      <c r="AX3" s="820"/>
    </row>
    <row r="4" spans="1:50" ht="29.25" thickBot="1" x14ac:dyDescent="0.2">
      <c r="A4" s="822"/>
      <c r="B4" s="3117" t="s">
        <v>1869</v>
      </c>
      <c r="C4" s="3117"/>
      <c r="D4" s="3117"/>
      <c r="E4" s="3117"/>
      <c r="F4" s="3117"/>
      <c r="G4" s="3117"/>
      <c r="H4" s="3117"/>
      <c r="I4" s="3117"/>
      <c r="J4" s="3117"/>
      <c r="K4" s="3117"/>
      <c r="L4" s="3117"/>
      <c r="M4" s="3117"/>
      <c r="N4" s="3117"/>
      <c r="O4" s="3117"/>
      <c r="P4" s="3117"/>
      <c r="Q4" s="3117"/>
      <c r="R4" s="3117"/>
      <c r="S4" s="3117"/>
      <c r="T4" s="3117"/>
      <c r="U4" s="3117"/>
      <c r="V4" s="3117"/>
      <c r="W4" s="3117"/>
      <c r="X4" s="3117"/>
      <c r="Y4" s="3117"/>
      <c r="Z4" s="3117"/>
      <c r="AA4" s="3117"/>
      <c r="AB4" s="3117"/>
      <c r="AC4" s="3117"/>
      <c r="AD4" s="3117"/>
      <c r="AE4" s="3117"/>
      <c r="AF4" s="3117"/>
      <c r="AG4" s="3117"/>
      <c r="AH4" s="3117"/>
      <c r="AI4" s="3117"/>
      <c r="AJ4" s="3117"/>
      <c r="AK4" s="3117"/>
      <c r="AL4" s="3117"/>
      <c r="AM4" s="3117"/>
      <c r="AN4" s="3117"/>
      <c r="AO4" s="3117"/>
      <c r="AP4" s="3117"/>
      <c r="AQ4" s="823"/>
      <c r="AR4" s="3118" t="s">
        <v>1852</v>
      </c>
      <c r="AS4" s="3119"/>
      <c r="AT4" s="3119"/>
      <c r="AU4" s="3123" t="str">
        <f>IF('1_入力シート【基本情報】'!$M$4="","",'1_入力シート【基本情報】'!$M$4)</f>
        <v/>
      </c>
      <c r="AV4" s="3123"/>
      <c r="AW4" s="3124"/>
      <c r="AX4" s="824"/>
    </row>
    <row r="5" spans="1:50" ht="15" customHeight="1" thickBot="1" x14ac:dyDescent="0.2">
      <c r="A5" s="822"/>
      <c r="B5" s="823"/>
      <c r="C5" s="823"/>
      <c r="D5" s="823"/>
      <c r="E5" s="823"/>
      <c r="F5" s="823"/>
      <c r="G5" s="823"/>
      <c r="H5" s="823"/>
      <c r="I5" s="823"/>
      <c r="J5" s="823"/>
      <c r="K5" s="823"/>
      <c r="L5" s="823"/>
      <c r="M5" s="823"/>
      <c r="N5" s="823"/>
      <c r="O5" s="823"/>
      <c r="P5" s="823"/>
      <c r="Q5" s="823"/>
      <c r="R5" s="823"/>
      <c r="S5" s="823"/>
      <c r="T5" s="823"/>
      <c r="U5" s="823"/>
      <c r="V5" s="823"/>
      <c r="W5" s="823"/>
      <c r="X5" s="823"/>
      <c r="Y5" s="823"/>
      <c r="Z5" s="823"/>
      <c r="AA5" s="823"/>
      <c r="AB5" s="823"/>
      <c r="AC5" s="823"/>
      <c r="AD5" s="823"/>
      <c r="AE5" s="823"/>
      <c r="AF5" s="823"/>
      <c r="AG5" s="823"/>
      <c r="AH5" s="823"/>
      <c r="AI5" s="823"/>
      <c r="AJ5" s="823"/>
      <c r="AK5" s="823"/>
      <c r="AL5" s="823"/>
      <c r="AM5" s="823"/>
      <c r="AN5" s="823"/>
      <c r="AO5" s="823"/>
      <c r="AP5" s="823"/>
      <c r="AQ5" s="823"/>
      <c r="AR5" s="3125" t="s">
        <v>1853</v>
      </c>
      <c r="AS5" s="3126"/>
      <c r="AT5" s="3126"/>
      <c r="AU5" s="3126"/>
      <c r="AV5" s="3126"/>
      <c r="AW5" s="3127"/>
      <c r="AX5" s="824"/>
    </row>
    <row r="6" spans="1:50" ht="4.5" customHeight="1" x14ac:dyDescent="0.15">
      <c r="A6" s="822"/>
      <c r="B6" s="823"/>
      <c r="C6" s="823"/>
      <c r="D6" s="823"/>
      <c r="E6" s="823"/>
      <c r="F6" s="823"/>
      <c r="G6" s="823"/>
      <c r="H6" s="823"/>
      <c r="I6" s="823"/>
      <c r="J6" s="823"/>
      <c r="K6" s="823"/>
      <c r="L6" s="823"/>
      <c r="M6" s="823"/>
      <c r="N6" s="823"/>
      <c r="O6" s="823"/>
      <c r="P6" s="823"/>
      <c r="Q6" s="823"/>
      <c r="R6" s="823"/>
      <c r="S6" s="823"/>
      <c r="T6" s="823"/>
      <c r="U6" s="823"/>
      <c r="V6" s="823"/>
      <c r="W6" s="823"/>
      <c r="X6" s="823"/>
      <c r="Y6" s="823"/>
      <c r="Z6" s="823"/>
      <c r="AA6" s="823"/>
      <c r="AB6" s="823"/>
      <c r="AC6" s="823"/>
      <c r="AD6" s="823"/>
      <c r="AE6" s="823"/>
      <c r="AF6" s="823"/>
      <c r="AG6" s="823"/>
      <c r="AH6" s="823"/>
      <c r="AI6" s="825"/>
      <c r="AJ6" s="825"/>
      <c r="AK6" s="825"/>
      <c r="AL6" s="825"/>
      <c r="AM6" s="825"/>
      <c r="AN6" s="825"/>
      <c r="AO6" s="823"/>
      <c r="AP6" s="823"/>
      <c r="AQ6" s="823"/>
      <c r="AR6" s="823"/>
      <c r="AS6" s="823"/>
      <c r="AT6" s="823"/>
      <c r="AU6" s="823"/>
      <c r="AV6" s="823"/>
      <c r="AW6" s="823"/>
      <c r="AX6" s="824"/>
    </row>
    <row r="7" spans="1:50" ht="5.25" customHeight="1" x14ac:dyDescent="0.15">
      <c r="A7" s="822"/>
      <c r="B7" s="826"/>
      <c r="C7" s="827"/>
      <c r="D7" s="827"/>
      <c r="E7" s="827"/>
      <c r="F7" s="827"/>
      <c r="G7" s="827"/>
      <c r="H7" s="827"/>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8"/>
      <c r="AI7" s="828"/>
      <c r="AJ7" s="828"/>
      <c r="AK7" s="828"/>
      <c r="AL7" s="828"/>
      <c r="AM7" s="828"/>
      <c r="AN7" s="827"/>
      <c r="AO7" s="827"/>
      <c r="AP7" s="827"/>
      <c r="AQ7" s="827"/>
      <c r="AR7" s="827"/>
      <c r="AS7" s="827"/>
      <c r="AT7" s="827"/>
      <c r="AU7" s="827"/>
      <c r="AV7" s="827"/>
      <c r="AW7" s="829"/>
      <c r="AX7" s="824"/>
    </row>
    <row r="8" spans="1:50" ht="13.5" customHeight="1" x14ac:dyDescent="0.15">
      <c r="A8" s="822"/>
      <c r="B8" s="3128" t="s">
        <v>1854</v>
      </c>
      <c r="C8" s="3129"/>
      <c r="D8" s="3129"/>
      <c r="E8" s="3129"/>
      <c r="F8" s="3129"/>
      <c r="G8" s="3129"/>
      <c r="H8" s="3098" t="str">
        <f>IF(AND('1_入力シート【基本情報】'!$AB$7="",'1_入力シート【基本情報】'!$AB$7=""),"",'1_入力シート【基本情報】'!$AB$7)</f>
        <v/>
      </c>
      <c r="I8" s="3098"/>
      <c r="J8" s="3098"/>
      <c r="K8" s="3098" t="str">
        <f>IF(AND('1_入力シート【基本情報】'!$AK$7="",'1_入力シート【基本情報】'!$AK$7=""),"",'1_入力シート【基本情報】'!$AK$7)</f>
        <v/>
      </c>
      <c r="L8" s="3098"/>
      <c r="M8" s="3098"/>
      <c r="N8" s="3099" t="s">
        <v>1306</v>
      </c>
      <c r="O8" s="3099"/>
      <c r="P8" s="3100" t="str">
        <f>IF('1_入力シート【基本情報】'!$DN$7="","",'1_入力シート【基本情報】'!$DN$7)</f>
        <v>0000</v>
      </c>
      <c r="Q8" s="3100"/>
      <c r="R8" s="3100"/>
      <c r="S8" s="3100"/>
      <c r="T8" s="3100"/>
      <c r="U8" s="3100"/>
      <c r="V8" s="3100"/>
      <c r="W8" s="3100"/>
      <c r="X8" s="3100"/>
      <c r="Y8" s="3100"/>
      <c r="Z8" s="3101"/>
      <c r="AA8" s="3101"/>
      <c r="AB8" s="3101"/>
      <c r="AC8" s="3101"/>
      <c r="AD8" s="3101"/>
      <c r="AE8" s="3101"/>
      <c r="AF8" s="3101"/>
      <c r="AG8" s="3101"/>
      <c r="AH8" s="3101"/>
      <c r="AI8" s="3101"/>
      <c r="AJ8" s="3101"/>
      <c r="AK8" s="3101"/>
      <c r="AL8" s="3101"/>
      <c r="AM8" s="3101"/>
      <c r="AN8" s="3101"/>
      <c r="AO8" s="830"/>
      <c r="AP8" s="830"/>
      <c r="AQ8" s="830"/>
      <c r="AR8" s="830"/>
      <c r="AS8" s="830"/>
      <c r="AT8" s="830"/>
      <c r="AU8" s="830"/>
      <c r="AV8" s="830"/>
      <c r="AW8" s="831"/>
      <c r="AX8" s="824"/>
    </row>
    <row r="9" spans="1:50" ht="14.25" customHeight="1" x14ac:dyDescent="0.15">
      <c r="A9" s="822"/>
      <c r="B9" s="3128"/>
      <c r="C9" s="3129"/>
      <c r="D9" s="3129"/>
      <c r="E9" s="3129"/>
      <c r="F9" s="3129"/>
      <c r="G9" s="3129"/>
      <c r="H9" s="3098"/>
      <c r="I9" s="3098"/>
      <c r="J9" s="3098"/>
      <c r="K9" s="3098"/>
      <c r="L9" s="3098"/>
      <c r="M9" s="3098"/>
      <c r="N9" s="3099"/>
      <c r="O9" s="3099"/>
      <c r="P9" s="3100"/>
      <c r="Q9" s="3100"/>
      <c r="R9" s="3100"/>
      <c r="S9" s="3100"/>
      <c r="T9" s="3100"/>
      <c r="U9" s="3100"/>
      <c r="V9" s="3100"/>
      <c r="W9" s="3100"/>
      <c r="X9" s="3100"/>
      <c r="Y9" s="3100"/>
      <c r="Z9" s="830"/>
      <c r="AA9" s="830"/>
      <c r="AB9" s="830"/>
      <c r="AC9" s="830"/>
      <c r="AD9" s="830"/>
      <c r="AE9" s="830"/>
      <c r="AF9" s="830"/>
      <c r="AG9" s="830"/>
      <c r="AH9" s="830"/>
      <c r="AI9" s="830"/>
      <c r="AJ9" s="830"/>
      <c r="AK9" s="830"/>
      <c r="AL9" s="830"/>
      <c r="AM9" s="830"/>
      <c r="AN9" s="830"/>
      <c r="AO9" s="830"/>
      <c r="AP9" s="830"/>
      <c r="AQ9" s="830"/>
      <c r="AR9" s="830"/>
      <c r="AS9" s="830"/>
      <c r="AT9" s="830"/>
      <c r="AU9" s="830"/>
      <c r="AV9" s="830"/>
      <c r="AW9" s="831"/>
      <c r="AX9" s="824"/>
    </row>
    <row r="10" spans="1:50" ht="13.5" customHeight="1" x14ac:dyDescent="0.15">
      <c r="A10" s="822"/>
      <c r="B10" s="3120" t="s">
        <v>1855</v>
      </c>
      <c r="C10" s="3121"/>
      <c r="D10" s="3121"/>
      <c r="E10" s="3121"/>
      <c r="F10" s="3121"/>
      <c r="G10" s="3121"/>
      <c r="H10" s="3122" t="str">
        <f>IF('1_入力シート【基本情報】'!$AB$9="","",'1_入力シート【基本情報】'!$AB$9)</f>
        <v/>
      </c>
      <c r="I10" s="3122"/>
      <c r="J10" s="3122"/>
      <c r="K10" s="3122"/>
      <c r="L10" s="3122"/>
      <c r="M10" s="3122"/>
      <c r="N10" s="3122"/>
      <c r="O10" s="3122"/>
      <c r="P10" s="3122"/>
      <c r="Q10" s="3122"/>
      <c r="R10" s="3122"/>
      <c r="S10" s="3122"/>
      <c r="T10" s="3122"/>
      <c r="U10" s="3122"/>
      <c r="V10" s="3122"/>
      <c r="W10" s="3122"/>
      <c r="X10" s="3122"/>
      <c r="Y10" s="3122"/>
      <c r="Z10" s="3122"/>
      <c r="AA10" s="3122"/>
      <c r="AB10" s="3122"/>
      <c r="AC10" s="3122"/>
      <c r="AD10" s="3122"/>
      <c r="AE10" s="3122"/>
      <c r="AF10" s="3122"/>
      <c r="AG10" s="3122"/>
      <c r="AH10" s="3122"/>
      <c r="AI10" s="3122"/>
      <c r="AJ10" s="3122"/>
      <c r="AK10" s="3122"/>
      <c r="AL10" s="3122"/>
      <c r="AM10" s="3122"/>
      <c r="AN10" s="3122"/>
      <c r="AO10" s="3122"/>
      <c r="AP10" s="3122"/>
      <c r="AQ10" s="3122"/>
      <c r="AR10" s="3122"/>
      <c r="AS10" s="3122"/>
      <c r="AT10" s="3122"/>
      <c r="AU10" s="3122"/>
      <c r="AV10" s="830"/>
      <c r="AW10" s="831"/>
      <c r="AX10" s="824"/>
    </row>
    <row r="11" spans="1:50" ht="14.25" customHeight="1" x14ac:dyDescent="0.15">
      <c r="A11" s="822"/>
      <c r="B11" s="3120"/>
      <c r="C11" s="3121"/>
      <c r="D11" s="3121"/>
      <c r="E11" s="3121"/>
      <c r="F11" s="3121"/>
      <c r="G11" s="3121"/>
      <c r="H11" s="3122"/>
      <c r="I11" s="3122"/>
      <c r="J11" s="3122"/>
      <c r="K11" s="3122"/>
      <c r="L11" s="3122"/>
      <c r="M11" s="3122"/>
      <c r="N11" s="3122"/>
      <c r="O11" s="3122"/>
      <c r="P11" s="3122"/>
      <c r="Q11" s="3122"/>
      <c r="R11" s="3122"/>
      <c r="S11" s="3122"/>
      <c r="T11" s="3122"/>
      <c r="U11" s="3122"/>
      <c r="V11" s="3122"/>
      <c r="W11" s="3122"/>
      <c r="X11" s="3122"/>
      <c r="Y11" s="3122"/>
      <c r="Z11" s="3122"/>
      <c r="AA11" s="3122"/>
      <c r="AB11" s="3122"/>
      <c r="AC11" s="3122"/>
      <c r="AD11" s="3122"/>
      <c r="AE11" s="3122"/>
      <c r="AF11" s="3122"/>
      <c r="AG11" s="3122"/>
      <c r="AH11" s="3122"/>
      <c r="AI11" s="3122"/>
      <c r="AJ11" s="3122"/>
      <c r="AK11" s="3122"/>
      <c r="AL11" s="3122"/>
      <c r="AM11" s="3122"/>
      <c r="AN11" s="3122"/>
      <c r="AO11" s="3122"/>
      <c r="AP11" s="3122"/>
      <c r="AQ11" s="3122"/>
      <c r="AR11" s="3122"/>
      <c r="AS11" s="3122"/>
      <c r="AT11" s="3122"/>
      <c r="AU11" s="3122"/>
      <c r="AV11" s="830"/>
      <c r="AW11" s="831"/>
      <c r="AX11" s="824"/>
    </row>
    <row r="12" spans="1:50" ht="6" customHeight="1" x14ac:dyDescent="0.15">
      <c r="A12" s="822"/>
      <c r="B12" s="832"/>
      <c r="C12" s="833"/>
      <c r="D12" s="833"/>
      <c r="E12" s="833"/>
      <c r="F12" s="833"/>
      <c r="G12" s="833"/>
      <c r="H12" s="834"/>
      <c r="I12" s="834"/>
      <c r="J12" s="834"/>
      <c r="K12" s="834"/>
      <c r="L12" s="834"/>
      <c r="M12" s="834"/>
      <c r="N12" s="834"/>
      <c r="O12" s="834"/>
      <c r="P12" s="834"/>
      <c r="Q12" s="834"/>
      <c r="R12" s="834"/>
      <c r="S12" s="834"/>
      <c r="T12" s="834"/>
      <c r="U12" s="834"/>
      <c r="V12" s="834"/>
      <c r="W12" s="834"/>
      <c r="X12" s="834"/>
      <c r="Y12" s="834"/>
      <c r="Z12" s="833"/>
      <c r="AA12" s="833"/>
      <c r="AB12" s="833"/>
      <c r="AC12" s="833"/>
      <c r="AD12" s="833"/>
      <c r="AE12" s="833"/>
      <c r="AF12" s="833"/>
      <c r="AG12" s="833"/>
      <c r="AH12" s="833"/>
      <c r="AI12" s="833"/>
      <c r="AJ12" s="833"/>
      <c r="AK12" s="833"/>
      <c r="AL12" s="833"/>
      <c r="AM12" s="833"/>
      <c r="AN12" s="833"/>
      <c r="AO12" s="830"/>
      <c r="AP12" s="830"/>
      <c r="AQ12" s="830"/>
      <c r="AR12" s="830"/>
      <c r="AS12" s="830"/>
      <c r="AT12" s="830"/>
      <c r="AU12" s="830"/>
      <c r="AV12" s="830"/>
      <c r="AW12" s="831"/>
      <c r="AX12" s="824"/>
    </row>
    <row r="13" spans="1:50" ht="13.5" customHeight="1" x14ac:dyDescent="0.15">
      <c r="A13" s="822"/>
      <c r="B13" s="832"/>
      <c r="C13" s="835" t="s">
        <v>1322</v>
      </c>
      <c r="D13" s="835"/>
      <c r="E13" s="835"/>
      <c r="F13" s="835"/>
      <c r="G13" s="835"/>
      <c r="H13" s="835"/>
      <c r="I13" s="835"/>
      <c r="J13" s="835"/>
      <c r="K13" s="835"/>
      <c r="L13" s="835"/>
      <c r="M13" s="835"/>
      <c r="N13" s="835"/>
      <c r="O13" s="835"/>
      <c r="P13" s="835"/>
      <c r="Q13" s="835"/>
      <c r="R13" s="834"/>
      <c r="S13" s="834"/>
      <c r="T13" s="834"/>
      <c r="U13" s="834"/>
      <c r="V13" s="834"/>
      <c r="W13" s="834"/>
      <c r="X13" s="834"/>
      <c r="Y13" s="834"/>
      <c r="Z13" s="833"/>
      <c r="AA13" s="833"/>
      <c r="AB13" s="833"/>
      <c r="AC13" s="833"/>
      <c r="AD13" s="833"/>
      <c r="AE13" s="833"/>
      <c r="AF13" s="833"/>
      <c r="AG13" s="833"/>
      <c r="AH13" s="833"/>
      <c r="AI13" s="833"/>
      <c r="AJ13" s="833"/>
      <c r="AK13" s="833"/>
      <c r="AL13" s="833"/>
      <c r="AM13" s="833"/>
      <c r="AN13" s="833"/>
      <c r="AO13" s="830"/>
      <c r="AP13" s="830"/>
      <c r="AQ13" s="830"/>
      <c r="AR13" s="830"/>
      <c r="AS13" s="830"/>
      <c r="AT13" s="830"/>
      <c r="AU13" s="830"/>
      <c r="AV13" s="830"/>
      <c r="AW13" s="831"/>
      <c r="AX13" s="824"/>
    </row>
    <row r="14" spans="1:50" ht="13.5" customHeight="1" x14ac:dyDescent="0.15">
      <c r="A14" s="822"/>
      <c r="B14" s="832"/>
      <c r="C14" s="836" t="s">
        <v>2199</v>
      </c>
      <c r="D14" s="836"/>
      <c r="E14" s="836"/>
      <c r="F14" s="830"/>
      <c r="G14" s="830"/>
      <c r="H14" s="3104" t="str">
        <f>IF('1_入力シート【基本情報】'!$DW$18="","",'1_入力シート【基本情報】'!$DW$18)</f>
        <v/>
      </c>
      <c r="I14" s="3104"/>
      <c r="J14" s="3104"/>
      <c r="K14" s="3104"/>
      <c r="L14" s="3104"/>
      <c r="M14" s="3104"/>
      <c r="N14" s="3104"/>
      <c r="O14" s="3104"/>
      <c r="P14" s="3104"/>
      <c r="Q14" s="3104"/>
      <c r="R14" s="3104"/>
      <c r="S14" s="3104"/>
      <c r="T14" s="3104"/>
      <c r="U14" s="3104"/>
      <c r="V14" s="3104"/>
      <c r="W14" s="3104"/>
      <c r="X14" s="3104"/>
      <c r="Y14" s="3104"/>
      <c r="Z14" s="3104"/>
      <c r="AA14" s="3104"/>
      <c r="AB14" s="3104"/>
      <c r="AC14" s="3104"/>
      <c r="AD14" s="3104"/>
      <c r="AE14" s="3104"/>
      <c r="AF14" s="3104"/>
      <c r="AG14" s="3104"/>
      <c r="AH14" s="3104"/>
      <c r="AI14" s="3104"/>
      <c r="AJ14" s="3104"/>
      <c r="AK14" s="3104"/>
      <c r="AL14" s="3104"/>
      <c r="AM14" s="3104"/>
      <c r="AN14" s="3104"/>
      <c r="AO14" s="3104"/>
      <c r="AP14" s="3104"/>
      <c r="AQ14" s="3104"/>
      <c r="AR14" s="3104"/>
      <c r="AS14" s="3104"/>
      <c r="AT14" s="3104"/>
      <c r="AU14" s="3104"/>
      <c r="AV14" s="830"/>
      <c r="AW14" s="831"/>
      <c r="AX14" s="824"/>
    </row>
    <row r="15" spans="1:50" ht="13.5" customHeight="1" x14ac:dyDescent="0.15">
      <c r="A15" s="822"/>
      <c r="B15" s="832"/>
      <c r="C15" s="836" t="s">
        <v>2200</v>
      </c>
      <c r="D15" s="836"/>
      <c r="E15" s="836"/>
      <c r="F15" s="830"/>
      <c r="G15" s="830"/>
      <c r="H15" s="3104" t="str">
        <f>IF('1_入力シート【基本情報】'!$DW$22="","",'1_入力シート【基本情報】'!$DW$22)</f>
        <v/>
      </c>
      <c r="I15" s="3104"/>
      <c r="J15" s="3104"/>
      <c r="K15" s="3104"/>
      <c r="L15" s="3104"/>
      <c r="M15" s="3104"/>
      <c r="N15" s="3104"/>
      <c r="O15" s="3104"/>
      <c r="P15" s="3104"/>
      <c r="Q15" s="3104"/>
      <c r="R15" s="3104"/>
      <c r="S15" s="3104"/>
      <c r="T15" s="3104"/>
      <c r="U15" s="3104"/>
      <c r="V15" s="3104"/>
      <c r="W15" s="3104"/>
      <c r="X15" s="3104"/>
      <c r="Y15" s="3104"/>
      <c r="Z15" s="3104"/>
      <c r="AA15" s="3104"/>
      <c r="AB15" s="3104"/>
      <c r="AC15" s="3104"/>
      <c r="AD15" s="3104"/>
      <c r="AE15" s="3104"/>
      <c r="AF15" s="3104"/>
      <c r="AG15" s="3104"/>
      <c r="AH15" s="3104"/>
      <c r="AI15" s="3104"/>
      <c r="AJ15" s="3104"/>
      <c r="AK15" s="3104"/>
      <c r="AL15" s="3104"/>
      <c r="AM15" s="3104"/>
      <c r="AN15" s="3104"/>
      <c r="AO15" s="3104"/>
      <c r="AP15" s="3104"/>
      <c r="AQ15" s="3104"/>
      <c r="AR15" s="3104"/>
      <c r="AS15" s="3104"/>
      <c r="AT15" s="3104"/>
      <c r="AU15" s="3104"/>
      <c r="AV15" s="830"/>
      <c r="AW15" s="831"/>
      <c r="AX15" s="824"/>
    </row>
    <row r="16" spans="1:50" ht="13.5" customHeight="1" x14ac:dyDescent="0.15">
      <c r="A16" s="822"/>
      <c r="B16" s="832"/>
      <c r="C16" s="836" t="s">
        <v>2201</v>
      </c>
      <c r="D16" s="836"/>
      <c r="E16" s="836"/>
      <c r="F16" s="830"/>
      <c r="G16" s="830"/>
      <c r="H16" s="3105" t="str">
        <f>IF('1_入力シート【基本情報】'!$DW$25="","",'1_入力シート【基本情報】'!$DW$25)</f>
        <v/>
      </c>
      <c r="I16" s="3105"/>
      <c r="J16" s="3105"/>
      <c r="K16" s="3105"/>
      <c r="L16" s="3105"/>
      <c r="M16" s="3105"/>
      <c r="N16" s="3105"/>
      <c r="O16" s="3105"/>
      <c r="P16" s="3105"/>
      <c r="Q16" s="3105"/>
      <c r="R16" s="3105"/>
      <c r="S16" s="3105"/>
      <c r="T16" s="3105"/>
      <c r="U16" s="3105"/>
      <c r="V16" s="3105"/>
      <c r="W16" s="3105"/>
      <c r="X16" s="3105"/>
      <c r="Y16" s="3105"/>
      <c r="Z16" s="3105"/>
      <c r="AA16" s="3105"/>
      <c r="AB16" s="3105"/>
      <c r="AC16" s="3105"/>
      <c r="AD16" s="3105"/>
      <c r="AE16" s="3105"/>
      <c r="AF16" s="3105"/>
      <c r="AG16" s="3105"/>
      <c r="AH16" s="3105"/>
      <c r="AI16" s="3105"/>
      <c r="AJ16" s="3105"/>
      <c r="AK16" s="3105"/>
      <c r="AL16" s="3105"/>
      <c r="AM16" s="3105"/>
      <c r="AN16" s="3105"/>
      <c r="AO16" s="3105"/>
      <c r="AP16" s="3105"/>
      <c r="AQ16" s="3105"/>
      <c r="AR16" s="3105"/>
      <c r="AS16" s="3105"/>
      <c r="AT16" s="3105"/>
      <c r="AU16" s="3105"/>
      <c r="AV16" s="830"/>
      <c r="AW16" s="831"/>
      <c r="AX16" s="824"/>
    </row>
    <row r="17" spans="1:64" ht="12.75" customHeight="1" x14ac:dyDescent="0.15">
      <c r="A17" s="822"/>
      <c r="B17" s="832"/>
      <c r="C17" s="836" t="s">
        <v>2202</v>
      </c>
      <c r="D17" s="833"/>
      <c r="E17" s="833"/>
      <c r="F17" s="833"/>
      <c r="G17" s="833"/>
      <c r="H17" s="3105" t="str">
        <f>IF('1_入力シート【基本情報】'!$AB$27="","",'1_入力シート【基本情報】'!$AB$27)</f>
        <v/>
      </c>
      <c r="I17" s="3105"/>
      <c r="J17" s="3105"/>
      <c r="K17" s="3105"/>
      <c r="L17" s="3105"/>
      <c r="M17" s="3105"/>
      <c r="N17" s="3105"/>
      <c r="O17" s="3105"/>
      <c r="P17" s="3105"/>
      <c r="Q17" s="3105"/>
      <c r="R17" s="3105"/>
      <c r="S17" s="3105"/>
      <c r="T17" s="3105"/>
      <c r="U17" s="3105"/>
      <c r="V17" s="3105"/>
      <c r="W17" s="3105"/>
      <c r="X17" s="3105"/>
      <c r="Y17" s="3105"/>
      <c r="Z17" s="3105"/>
      <c r="AA17" s="3105"/>
      <c r="AB17" s="3105"/>
      <c r="AC17" s="3105"/>
      <c r="AD17" s="3105"/>
      <c r="AE17" s="3105"/>
      <c r="AF17" s="3105"/>
      <c r="AG17" s="3105"/>
      <c r="AH17" s="3105"/>
      <c r="AI17" s="3105"/>
      <c r="AJ17" s="3105"/>
      <c r="AK17" s="3105"/>
      <c r="AL17" s="3105"/>
      <c r="AM17" s="3105"/>
      <c r="AN17" s="3105"/>
      <c r="AO17" s="3105"/>
      <c r="AP17" s="3105"/>
      <c r="AQ17" s="3105"/>
      <c r="AR17" s="3105"/>
      <c r="AS17" s="3105"/>
      <c r="AT17" s="3105"/>
      <c r="AU17" s="3105"/>
      <c r="AV17" s="830"/>
      <c r="AW17" s="831"/>
      <c r="AX17" s="824"/>
    </row>
    <row r="18" spans="1:64" ht="6" customHeight="1" x14ac:dyDescent="0.15">
      <c r="A18" s="822"/>
      <c r="B18" s="832"/>
      <c r="C18" s="833"/>
      <c r="D18" s="833"/>
      <c r="E18" s="833"/>
      <c r="F18" s="833"/>
      <c r="G18" s="833"/>
      <c r="H18" s="834"/>
      <c r="I18" s="834"/>
      <c r="J18" s="834"/>
      <c r="K18" s="834"/>
      <c r="L18" s="834"/>
      <c r="M18" s="834"/>
      <c r="N18" s="834"/>
      <c r="O18" s="834"/>
      <c r="P18" s="834"/>
      <c r="Q18" s="834"/>
      <c r="R18" s="834"/>
      <c r="S18" s="834"/>
      <c r="T18" s="834"/>
      <c r="U18" s="834"/>
      <c r="V18" s="834"/>
      <c r="W18" s="834"/>
      <c r="X18" s="834"/>
      <c r="Y18" s="834"/>
      <c r="Z18" s="833"/>
      <c r="AA18" s="833"/>
      <c r="AB18" s="833"/>
      <c r="AC18" s="833"/>
      <c r="AD18" s="833"/>
      <c r="AE18" s="833"/>
      <c r="AF18" s="833"/>
      <c r="AG18" s="833"/>
      <c r="AH18" s="833"/>
      <c r="AI18" s="833"/>
      <c r="AJ18" s="833"/>
      <c r="AK18" s="833"/>
      <c r="AL18" s="833"/>
      <c r="AM18" s="833"/>
      <c r="AN18" s="833"/>
      <c r="AO18" s="830"/>
      <c r="AP18" s="830"/>
      <c r="AQ18" s="830"/>
      <c r="AR18" s="830"/>
      <c r="AS18" s="830"/>
      <c r="AT18" s="830"/>
      <c r="AU18" s="830"/>
      <c r="AV18" s="830"/>
      <c r="AW18" s="831"/>
      <c r="AX18" s="824"/>
    </row>
    <row r="19" spans="1:64" ht="13.5" customHeight="1" x14ac:dyDescent="0.15">
      <c r="A19" s="822"/>
      <c r="B19" s="832"/>
      <c r="C19" s="835" t="s">
        <v>2205</v>
      </c>
      <c r="D19" s="833"/>
      <c r="E19" s="833"/>
      <c r="F19" s="833"/>
      <c r="G19" s="833"/>
      <c r="H19" s="834"/>
      <c r="I19" s="834"/>
      <c r="J19" s="834"/>
      <c r="K19" s="834"/>
      <c r="L19" s="834"/>
      <c r="M19" s="834"/>
      <c r="N19" s="834"/>
      <c r="O19" s="834"/>
      <c r="P19" s="834"/>
      <c r="Q19" s="834"/>
      <c r="R19" s="834"/>
      <c r="S19" s="834"/>
      <c r="T19" s="834"/>
      <c r="U19" s="834"/>
      <c r="V19" s="834"/>
      <c r="W19" s="834"/>
      <c r="X19" s="834"/>
      <c r="Y19" s="834"/>
      <c r="Z19" s="833"/>
      <c r="AA19" s="833"/>
      <c r="AB19" s="833"/>
      <c r="AC19" s="833"/>
      <c r="AD19" s="833"/>
      <c r="AE19" s="833"/>
      <c r="AF19" s="833"/>
      <c r="AG19" s="833"/>
      <c r="AH19" s="833"/>
      <c r="AI19" s="833"/>
      <c r="AJ19" s="833"/>
      <c r="AK19" s="833"/>
      <c r="AL19" s="833"/>
      <c r="AM19" s="833"/>
      <c r="AN19" s="833"/>
      <c r="AO19" s="830"/>
      <c r="AP19" s="830"/>
      <c r="AQ19" s="830"/>
      <c r="AR19" s="830"/>
      <c r="AS19" s="830"/>
      <c r="AT19" s="830"/>
      <c r="AU19" s="830"/>
      <c r="AV19" s="830"/>
      <c r="AW19" s="831"/>
      <c r="AX19" s="824"/>
    </row>
    <row r="20" spans="1:64" ht="13.5" customHeight="1" x14ac:dyDescent="0.15">
      <c r="A20" s="822"/>
      <c r="B20" s="832"/>
      <c r="C20" s="836" t="s">
        <v>2202</v>
      </c>
      <c r="D20" s="833"/>
      <c r="E20" s="833"/>
      <c r="F20" s="833"/>
      <c r="G20" s="833"/>
      <c r="H20" s="3105" t="str">
        <f>IF('1_入力シート【基本情報】'!$AB$68="","",'1_入力シート【基本情報】'!$AB$68)</f>
        <v/>
      </c>
      <c r="I20" s="3105"/>
      <c r="J20" s="3105"/>
      <c r="K20" s="3105"/>
      <c r="L20" s="3105"/>
      <c r="M20" s="3105"/>
      <c r="N20" s="3105"/>
      <c r="O20" s="3105"/>
      <c r="P20" s="3105"/>
      <c r="Q20" s="3105"/>
      <c r="R20" s="3105"/>
      <c r="S20" s="3105"/>
      <c r="T20" s="3105"/>
      <c r="U20" s="3105"/>
      <c r="V20" s="3105"/>
      <c r="W20" s="3105"/>
      <c r="X20" s="3105"/>
      <c r="Y20" s="3105"/>
      <c r="Z20" s="3105"/>
      <c r="AA20" s="3105"/>
      <c r="AB20" s="3105"/>
      <c r="AC20" s="3105"/>
      <c r="AD20" s="3105"/>
      <c r="AE20" s="3105"/>
      <c r="AF20" s="3105"/>
      <c r="AG20" s="3105"/>
      <c r="AH20" s="3105"/>
      <c r="AI20" s="3105"/>
      <c r="AJ20" s="3105"/>
      <c r="AK20" s="3105"/>
      <c r="AL20" s="3105"/>
      <c r="AM20" s="3105"/>
      <c r="AN20" s="3105"/>
      <c r="AO20" s="3105"/>
      <c r="AP20" s="3105"/>
      <c r="AQ20" s="3105"/>
      <c r="AR20" s="3105"/>
      <c r="AS20" s="3105"/>
      <c r="AT20" s="3105"/>
      <c r="AU20" s="3105"/>
      <c r="AV20" s="830"/>
      <c r="AW20" s="831"/>
      <c r="AX20" s="824"/>
    </row>
    <row r="21" spans="1:64" ht="13.5" hidden="1" customHeight="1" x14ac:dyDescent="0.15">
      <c r="A21" s="822"/>
      <c r="B21" s="832"/>
      <c r="C21" s="833"/>
      <c r="D21" s="833"/>
      <c r="E21" s="833"/>
      <c r="F21" s="833"/>
      <c r="G21" s="833"/>
      <c r="H21" s="834"/>
      <c r="I21" s="834"/>
      <c r="J21" s="834"/>
      <c r="K21" s="834"/>
      <c r="L21" s="834"/>
      <c r="M21" s="834"/>
      <c r="N21" s="834"/>
      <c r="O21" s="834"/>
      <c r="P21" s="834"/>
      <c r="Q21" s="834"/>
      <c r="R21" s="834"/>
      <c r="S21" s="834"/>
      <c r="T21" s="834"/>
      <c r="U21" s="834"/>
      <c r="V21" s="834"/>
      <c r="W21" s="834"/>
      <c r="X21" s="834"/>
      <c r="Y21" s="834"/>
      <c r="Z21" s="833"/>
      <c r="AA21" s="833"/>
      <c r="AB21" s="833"/>
      <c r="AC21" s="833"/>
      <c r="AD21" s="833"/>
      <c r="AE21" s="833"/>
      <c r="AF21" s="833"/>
      <c r="AG21" s="833"/>
      <c r="AH21" s="833"/>
      <c r="AI21" s="833"/>
      <c r="AJ21" s="833"/>
      <c r="AK21" s="833"/>
      <c r="AL21" s="833"/>
      <c r="AM21" s="833"/>
      <c r="AN21" s="833"/>
      <c r="AO21" s="830"/>
      <c r="AP21" s="830"/>
      <c r="AQ21" s="830"/>
      <c r="AR21" s="830"/>
      <c r="AS21" s="830"/>
      <c r="AT21" s="830"/>
      <c r="AU21" s="830"/>
      <c r="AV21" s="830"/>
      <c r="AW21" s="831"/>
      <c r="AX21" s="824"/>
    </row>
    <row r="22" spans="1:64" ht="13.5" hidden="1" customHeight="1" x14ac:dyDescent="0.15">
      <c r="A22" s="822"/>
      <c r="B22" s="832"/>
      <c r="C22" s="833"/>
      <c r="D22" s="833"/>
      <c r="E22" s="833"/>
      <c r="F22" s="833"/>
      <c r="G22" s="833"/>
      <c r="H22" s="834"/>
      <c r="I22" s="834"/>
      <c r="J22" s="834"/>
      <c r="K22" s="834"/>
      <c r="L22" s="834"/>
      <c r="M22" s="834"/>
      <c r="N22" s="834"/>
      <c r="O22" s="834"/>
      <c r="P22" s="834"/>
      <c r="Q22" s="834"/>
      <c r="R22" s="834"/>
      <c r="S22" s="834"/>
      <c r="T22" s="834"/>
      <c r="U22" s="834"/>
      <c r="V22" s="834"/>
      <c r="W22" s="834"/>
      <c r="X22" s="834"/>
      <c r="Y22" s="834"/>
      <c r="Z22" s="833"/>
      <c r="AA22" s="833"/>
      <c r="AB22" s="833"/>
      <c r="AC22" s="833"/>
      <c r="AD22" s="833"/>
      <c r="AE22" s="833"/>
      <c r="AF22" s="833"/>
      <c r="AG22" s="833"/>
      <c r="AH22" s="833"/>
      <c r="AI22" s="833"/>
      <c r="AJ22" s="833"/>
      <c r="AK22" s="833"/>
      <c r="AL22" s="833"/>
      <c r="AM22" s="833"/>
      <c r="AN22" s="833"/>
      <c r="AO22" s="830"/>
      <c r="AP22" s="830"/>
      <c r="AQ22" s="830"/>
      <c r="AR22" s="830"/>
      <c r="AS22" s="830"/>
      <c r="AT22" s="830"/>
      <c r="AU22" s="830"/>
      <c r="AV22" s="830"/>
      <c r="AW22" s="831"/>
      <c r="AX22" s="824"/>
    </row>
    <row r="23" spans="1:64" ht="13.5" hidden="1" customHeight="1" x14ac:dyDescent="0.15">
      <c r="A23" s="822"/>
      <c r="B23" s="832"/>
      <c r="C23" s="833"/>
      <c r="D23" s="833"/>
      <c r="E23" s="833"/>
      <c r="F23" s="833"/>
      <c r="G23" s="833"/>
      <c r="H23" s="834"/>
      <c r="I23" s="834"/>
      <c r="J23" s="834"/>
      <c r="K23" s="834"/>
      <c r="L23" s="834"/>
      <c r="M23" s="834"/>
      <c r="N23" s="834"/>
      <c r="O23" s="834"/>
      <c r="P23" s="834"/>
      <c r="Q23" s="834"/>
      <c r="R23" s="834"/>
      <c r="S23" s="834"/>
      <c r="T23" s="834"/>
      <c r="U23" s="834"/>
      <c r="V23" s="834"/>
      <c r="W23" s="834"/>
      <c r="X23" s="834"/>
      <c r="Y23" s="834"/>
      <c r="Z23" s="833"/>
      <c r="AA23" s="833"/>
      <c r="AB23" s="833"/>
      <c r="AC23" s="833"/>
      <c r="AD23" s="833"/>
      <c r="AE23" s="833"/>
      <c r="AF23" s="833"/>
      <c r="AG23" s="833"/>
      <c r="AH23" s="833"/>
      <c r="AI23" s="833"/>
      <c r="AJ23" s="833"/>
      <c r="AK23" s="833"/>
      <c r="AL23" s="833"/>
      <c r="AM23" s="833"/>
      <c r="AN23" s="833"/>
      <c r="AO23" s="830"/>
      <c r="AP23" s="830"/>
      <c r="AQ23" s="830"/>
      <c r="AR23" s="830"/>
      <c r="AS23" s="830"/>
      <c r="AT23" s="830"/>
      <c r="AU23" s="830"/>
      <c r="AV23" s="830"/>
      <c r="AW23" s="831"/>
      <c r="AX23" s="824"/>
    </row>
    <row r="24" spans="1:64" ht="13.5" hidden="1" customHeight="1" x14ac:dyDescent="0.15">
      <c r="A24" s="822"/>
      <c r="B24" s="832"/>
      <c r="C24" s="833"/>
      <c r="D24" s="833"/>
      <c r="E24" s="833"/>
      <c r="F24" s="833"/>
      <c r="G24" s="833"/>
      <c r="H24" s="834"/>
      <c r="I24" s="834"/>
      <c r="J24" s="834"/>
      <c r="K24" s="834"/>
      <c r="L24" s="834"/>
      <c r="M24" s="834"/>
      <c r="N24" s="834"/>
      <c r="O24" s="834"/>
      <c r="P24" s="834"/>
      <c r="Q24" s="834"/>
      <c r="R24" s="834"/>
      <c r="S24" s="834"/>
      <c r="T24" s="834"/>
      <c r="U24" s="834"/>
      <c r="V24" s="834"/>
      <c r="W24" s="834"/>
      <c r="X24" s="834"/>
      <c r="Y24" s="834"/>
      <c r="Z24" s="833"/>
      <c r="AA24" s="833"/>
      <c r="AB24" s="833"/>
      <c r="AC24" s="833"/>
      <c r="AD24" s="833"/>
      <c r="AE24" s="833"/>
      <c r="AF24" s="833"/>
      <c r="AG24" s="833"/>
      <c r="AH24" s="833"/>
      <c r="AI24" s="833"/>
      <c r="AJ24" s="833"/>
      <c r="AK24" s="833"/>
      <c r="AL24" s="833"/>
      <c r="AM24" s="833"/>
      <c r="AN24" s="833"/>
      <c r="AO24" s="830"/>
      <c r="AP24" s="830"/>
      <c r="AQ24" s="830"/>
      <c r="AR24" s="830"/>
      <c r="AS24" s="830"/>
      <c r="AT24" s="830"/>
      <c r="AU24" s="830"/>
      <c r="AV24" s="830"/>
      <c r="AW24" s="831"/>
      <c r="AX24" s="824"/>
    </row>
    <row r="25" spans="1:64" ht="6" customHeight="1" x14ac:dyDescent="0.15">
      <c r="A25" s="822"/>
      <c r="B25" s="837"/>
      <c r="C25" s="838"/>
      <c r="D25" s="838"/>
      <c r="E25" s="838"/>
      <c r="F25" s="838"/>
      <c r="G25" s="838"/>
      <c r="H25" s="839"/>
      <c r="I25" s="839"/>
      <c r="J25" s="839"/>
      <c r="K25" s="839"/>
      <c r="L25" s="839"/>
      <c r="M25" s="839"/>
      <c r="N25" s="839"/>
      <c r="O25" s="839"/>
      <c r="P25" s="839"/>
      <c r="Q25" s="839"/>
      <c r="R25" s="839"/>
      <c r="S25" s="839"/>
      <c r="T25" s="839"/>
      <c r="U25" s="839"/>
      <c r="V25" s="839"/>
      <c r="W25" s="839"/>
      <c r="X25" s="839"/>
      <c r="Y25" s="839"/>
      <c r="Z25" s="838"/>
      <c r="AA25" s="838"/>
      <c r="AB25" s="838"/>
      <c r="AC25" s="838"/>
      <c r="AD25" s="838"/>
      <c r="AE25" s="838"/>
      <c r="AF25" s="838"/>
      <c r="AG25" s="838"/>
      <c r="AH25" s="838"/>
      <c r="AI25" s="838"/>
      <c r="AJ25" s="838"/>
      <c r="AK25" s="838"/>
      <c r="AL25" s="838"/>
      <c r="AM25" s="838"/>
      <c r="AN25" s="838"/>
      <c r="AO25" s="840"/>
      <c r="AP25" s="840"/>
      <c r="AQ25" s="840"/>
      <c r="AR25" s="840"/>
      <c r="AS25" s="840"/>
      <c r="AT25" s="840"/>
      <c r="AU25" s="840"/>
      <c r="AV25" s="840"/>
      <c r="AW25" s="841"/>
      <c r="AX25" s="824"/>
    </row>
    <row r="26" spans="1:64" x14ac:dyDescent="0.15">
      <c r="A26" s="822"/>
      <c r="B26" s="823"/>
      <c r="C26" s="823"/>
      <c r="D26" s="823"/>
      <c r="E26" s="823"/>
      <c r="F26" s="823"/>
      <c r="G26" s="823"/>
      <c r="H26" s="823"/>
      <c r="I26" s="823"/>
      <c r="J26" s="823"/>
      <c r="K26" s="823"/>
      <c r="L26" s="823"/>
      <c r="M26" s="823"/>
      <c r="N26" s="823"/>
      <c r="O26" s="823"/>
      <c r="P26" s="823"/>
      <c r="Q26" s="823"/>
      <c r="R26" s="823"/>
      <c r="S26" s="823"/>
      <c r="T26" s="823"/>
      <c r="U26" s="823"/>
      <c r="V26" s="823"/>
      <c r="W26" s="823"/>
      <c r="X26" s="823"/>
      <c r="Y26" s="823"/>
      <c r="Z26" s="823"/>
      <c r="AA26" s="823"/>
      <c r="AB26" s="823"/>
      <c r="AC26" s="823"/>
      <c r="AD26" s="823"/>
      <c r="AE26" s="823"/>
      <c r="AF26" s="823"/>
      <c r="AG26" s="823"/>
      <c r="AH26" s="823"/>
      <c r="AI26" s="823"/>
      <c r="AJ26" s="573"/>
      <c r="AK26" s="573"/>
      <c r="AL26" s="573"/>
      <c r="AM26" s="573"/>
      <c r="AN26" s="573"/>
      <c r="AO26" s="573"/>
      <c r="AP26" s="573"/>
      <c r="AQ26" s="573"/>
      <c r="AR26" s="573"/>
      <c r="AS26" s="573"/>
      <c r="AT26" s="573"/>
      <c r="AU26" s="573"/>
      <c r="AV26" s="573"/>
      <c r="AW26" s="573"/>
      <c r="AX26" s="842"/>
      <c r="AY26" s="470"/>
      <c r="AZ26" s="470"/>
      <c r="BA26" s="470"/>
      <c r="BB26" s="470"/>
      <c r="BC26" s="470"/>
      <c r="BD26" s="470"/>
      <c r="BE26" s="470"/>
      <c r="BF26" s="470"/>
      <c r="BG26" s="470"/>
      <c r="BH26" s="470"/>
      <c r="BI26" s="470"/>
      <c r="BJ26" s="470"/>
      <c r="BK26" s="470"/>
      <c r="BL26" s="470"/>
    </row>
    <row r="27" spans="1:64" x14ac:dyDescent="0.15">
      <c r="A27" s="822"/>
      <c r="B27" s="843" t="s">
        <v>2203</v>
      </c>
      <c r="C27" s="844"/>
      <c r="D27" s="845"/>
      <c r="E27" s="844"/>
      <c r="F27" s="844"/>
      <c r="G27" s="844"/>
      <c r="H27" s="844"/>
      <c r="I27" s="844"/>
      <c r="J27" s="844"/>
      <c r="K27" s="844"/>
      <c r="L27" s="844"/>
      <c r="M27" s="844"/>
      <c r="N27" s="844"/>
      <c r="O27" s="844"/>
      <c r="P27" s="844"/>
      <c r="Q27" s="844"/>
      <c r="R27" s="844"/>
      <c r="S27" s="844"/>
      <c r="T27" s="844"/>
      <c r="U27" s="844"/>
      <c r="V27" s="844"/>
      <c r="W27" s="844"/>
      <c r="X27" s="844"/>
      <c r="Y27" s="844"/>
      <c r="Z27" s="844"/>
      <c r="AA27" s="844"/>
      <c r="AB27" s="844"/>
      <c r="AC27" s="844"/>
      <c r="AD27" s="844"/>
      <c r="AE27" s="844"/>
      <c r="AF27" s="844"/>
      <c r="AG27" s="844"/>
      <c r="AH27" s="844"/>
      <c r="AI27" s="844"/>
      <c r="AJ27" s="844"/>
      <c r="AK27" s="846"/>
      <c r="AL27" s="846"/>
      <c r="AM27" s="846"/>
      <c r="AN27" s="846"/>
      <c r="AO27" s="846"/>
      <c r="AP27" s="847"/>
      <c r="AQ27" s="573"/>
      <c r="AR27" s="573"/>
      <c r="AS27" s="573"/>
      <c r="AT27" s="573"/>
      <c r="AU27" s="573"/>
      <c r="AV27" s="573"/>
      <c r="AW27" s="573"/>
      <c r="AX27" s="842"/>
      <c r="AY27" s="470"/>
      <c r="AZ27" s="470"/>
      <c r="BA27" s="470"/>
      <c r="BB27" s="470"/>
      <c r="BC27" s="470"/>
      <c r="BD27" s="470"/>
      <c r="BE27" s="470"/>
    </row>
    <row r="28" spans="1:64" ht="24" customHeight="1" x14ac:dyDescent="0.15">
      <c r="A28" s="822"/>
      <c r="B28" s="848"/>
      <c r="C28" s="849"/>
      <c r="D28" s="3090" t="s">
        <v>1856</v>
      </c>
      <c r="E28" s="3090"/>
      <c r="F28" s="3090"/>
      <c r="G28" s="3090"/>
      <c r="H28" s="3090"/>
      <c r="I28" s="3090"/>
      <c r="J28" s="3090"/>
      <c r="K28" s="3090"/>
      <c r="L28" s="3090"/>
      <c r="M28" s="3090"/>
      <c r="N28" s="3090"/>
      <c r="O28" s="3090"/>
      <c r="P28" s="3090"/>
      <c r="Q28" s="3106" t="str">
        <f>IF('1_入力シート【基本情報】'!$AB$273="","",'1_入力シート【基本情報】'!$AB$273)</f>
        <v/>
      </c>
      <c r="R28" s="3106"/>
      <c r="S28" s="3106"/>
      <c r="T28" s="3106"/>
      <c r="U28" s="3106"/>
      <c r="V28" s="3106"/>
      <c r="W28" s="3106"/>
      <c r="X28" s="3106"/>
      <c r="Y28" s="3106"/>
      <c r="Z28" s="3106"/>
      <c r="AA28" s="3106"/>
      <c r="AB28" s="3106"/>
      <c r="AC28" s="3106"/>
      <c r="AD28" s="3106"/>
      <c r="AE28" s="3106"/>
      <c r="AF28" s="3106"/>
      <c r="AG28" s="3106"/>
      <c r="AH28" s="3106"/>
      <c r="AI28" s="3106"/>
      <c r="AJ28" s="850"/>
      <c r="AK28" s="851"/>
      <c r="AL28" s="851"/>
      <c r="AM28" s="851"/>
      <c r="AN28" s="851"/>
      <c r="AO28" s="852"/>
      <c r="AP28" s="853"/>
      <c r="AQ28" s="573"/>
      <c r="AR28" s="573"/>
      <c r="AS28" s="573"/>
      <c r="AT28" s="573"/>
      <c r="AU28" s="573"/>
      <c r="AV28" s="573"/>
      <c r="AW28" s="573"/>
      <c r="AX28" s="842"/>
      <c r="AY28" s="470"/>
    </row>
    <row r="29" spans="1:64" ht="15" customHeight="1" x14ac:dyDescent="0.15">
      <c r="A29" s="822"/>
      <c r="B29" s="848"/>
      <c r="C29" s="849"/>
      <c r="D29" s="3107" t="s">
        <v>714</v>
      </c>
      <c r="E29" s="3107"/>
      <c r="F29" s="3107"/>
      <c r="G29" s="3107"/>
      <c r="H29" s="3107"/>
      <c r="I29" s="3107"/>
      <c r="J29" s="3107"/>
      <c r="K29" s="3107"/>
      <c r="L29" s="854"/>
      <c r="M29" s="855"/>
      <c r="N29" s="855"/>
      <c r="O29" s="855"/>
      <c r="P29" s="855"/>
      <c r="Q29" s="3109" t="str">
        <f>IF('1_入力シート【基本情報】'!$AB$274="","",'1_入力シート【基本情報】'!$AB$274)</f>
        <v/>
      </c>
      <c r="R29" s="3109"/>
      <c r="S29" s="3109"/>
      <c r="T29" s="3109"/>
      <c r="U29" s="3109"/>
      <c r="V29" s="3109"/>
      <c r="W29" s="3109"/>
      <c r="X29" s="3109"/>
      <c r="Y29" s="3109"/>
      <c r="Z29" s="3109"/>
      <c r="AA29" s="3109"/>
      <c r="AB29" s="3109"/>
      <c r="AC29" s="3109"/>
      <c r="AD29" s="3109"/>
      <c r="AE29" s="3109"/>
      <c r="AF29" s="3109"/>
      <c r="AG29" s="3109"/>
      <c r="AH29" s="3109"/>
      <c r="AI29" s="3109"/>
      <c r="AJ29" s="856"/>
      <c r="AK29" s="856"/>
      <c r="AL29" s="856"/>
      <c r="AM29" s="856"/>
      <c r="AN29" s="852"/>
      <c r="AO29" s="852"/>
      <c r="AP29" s="853"/>
      <c r="AQ29" s="573"/>
      <c r="AR29" s="573"/>
      <c r="AS29" s="573"/>
      <c r="AT29" s="573"/>
      <c r="AU29" s="573"/>
      <c r="AV29" s="573"/>
      <c r="AW29" s="573"/>
      <c r="AX29" s="842"/>
      <c r="AY29" s="470"/>
    </row>
    <row r="30" spans="1:64" ht="14.25" customHeight="1" x14ac:dyDescent="0.15">
      <c r="A30" s="822"/>
      <c r="B30" s="848"/>
      <c r="C30" s="849"/>
      <c r="D30" s="3107"/>
      <c r="E30" s="3107"/>
      <c r="F30" s="3107"/>
      <c r="G30" s="3107"/>
      <c r="H30" s="3107"/>
      <c r="I30" s="3107"/>
      <c r="J30" s="3107"/>
      <c r="K30" s="3107"/>
      <c r="L30" s="857"/>
      <c r="M30" s="857"/>
      <c r="N30" s="857"/>
      <c r="O30" s="857"/>
      <c r="P30" s="857"/>
      <c r="Q30" s="858"/>
      <c r="R30" s="859" t="s">
        <v>298</v>
      </c>
      <c r="S30" s="859"/>
      <c r="T30" s="859"/>
      <c r="U30" s="859"/>
      <c r="V30" s="3103" t="str">
        <f>IF('1_入力シート【基本情報】'!$AH$275="","",'1_入力シート【基本情報】'!$AH$275)</f>
        <v/>
      </c>
      <c r="W30" s="3103"/>
      <c r="X30" s="3110"/>
      <c r="Y30" s="3103" t="str">
        <f>IF('1_入力シート【基本情報】'!$AK$275="","",'1_入力シート【基本情報】'!$AK$275)</f>
        <v/>
      </c>
      <c r="Z30" s="3103"/>
      <c r="AA30" s="3110"/>
      <c r="AB30" s="860" t="s">
        <v>12</v>
      </c>
      <c r="AC30" s="861"/>
      <c r="AD30" s="3103" t="str">
        <f>IF('1_入力シート【基本情報】'!$AP$275="","",'1_入力シート【基本情報】'!$AP$275)</f>
        <v/>
      </c>
      <c r="AE30" s="3103"/>
      <c r="AF30" s="3110"/>
      <c r="AG30" s="3111" t="s">
        <v>163</v>
      </c>
      <c r="AH30" s="3111"/>
      <c r="AI30" s="859"/>
      <c r="AJ30" s="3115"/>
      <c r="AK30" s="3115"/>
      <c r="AL30" s="3115"/>
      <c r="AM30" s="850"/>
      <c r="AN30" s="850"/>
      <c r="AO30" s="856"/>
      <c r="AP30" s="853"/>
      <c r="AQ30" s="573"/>
      <c r="AR30" s="573"/>
      <c r="AS30" s="573"/>
      <c r="AT30" s="573"/>
      <c r="AU30" s="573"/>
      <c r="AV30" s="573"/>
      <c r="AW30" s="573"/>
      <c r="AX30" s="842"/>
      <c r="AY30" s="470"/>
      <c r="AZ30" s="470"/>
      <c r="BA30" s="470"/>
      <c r="BB30" s="470"/>
    </row>
    <row r="31" spans="1:64" ht="13.5" customHeight="1" x14ac:dyDescent="0.15">
      <c r="A31" s="822"/>
      <c r="B31" s="862"/>
      <c r="C31" s="863"/>
      <c r="D31" s="3108"/>
      <c r="E31" s="3108"/>
      <c r="F31" s="3108"/>
      <c r="G31" s="3108"/>
      <c r="H31" s="3108"/>
      <c r="I31" s="3108"/>
      <c r="J31" s="3108"/>
      <c r="K31" s="3108"/>
      <c r="L31" s="864"/>
      <c r="M31" s="864"/>
      <c r="N31" s="864"/>
      <c r="O31" s="864"/>
      <c r="P31" s="864"/>
      <c r="Q31" s="865"/>
      <c r="R31" s="863" t="s">
        <v>1757</v>
      </c>
      <c r="S31" s="863"/>
      <c r="T31" s="863"/>
      <c r="U31" s="863"/>
      <c r="V31" s="3116" t="str">
        <f>IF('1_入力シート【基本情報】'!$AH$276="","",'1_入力シート【基本情報】'!$AH$276)</f>
        <v/>
      </c>
      <c r="W31" s="3116"/>
      <c r="X31" s="3116"/>
      <c r="Y31" s="3116"/>
      <c r="Z31" s="3116"/>
      <c r="AA31" s="3116"/>
      <c r="AB31" s="3116"/>
      <c r="AC31" s="3116"/>
      <c r="AD31" s="3116"/>
      <c r="AE31" s="3116"/>
      <c r="AF31" s="3116"/>
      <c r="AG31" s="3116"/>
      <c r="AH31" s="3116"/>
      <c r="AI31" s="3116"/>
      <c r="AJ31" s="3116"/>
      <c r="AK31" s="3116"/>
      <c r="AL31" s="3116"/>
      <c r="AM31" s="3116"/>
      <c r="AN31" s="863" t="s">
        <v>22</v>
      </c>
      <c r="AO31" s="866"/>
      <c r="AP31" s="867"/>
      <c r="AQ31" s="573"/>
      <c r="AR31" s="573"/>
      <c r="AS31" s="573"/>
      <c r="AT31" s="573"/>
      <c r="AU31" s="573"/>
      <c r="AV31" s="573"/>
      <c r="AW31" s="573"/>
      <c r="AX31" s="842"/>
      <c r="AY31" s="470"/>
      <c r="AZ31" s="470"/>
      <c r="BA31" s="470"/>
      <c r="BB31" s="470"/>
      <c r="BC31" s="470"/>
      <c r="BD31" s="470"/>
    </row>
    <row r="32" spans="1:64" ht="13.5" customHeight="1" x14ac:dyDescent="0.15">
      <c r="A32" s="822"/>
      <c r="B32" s="868" t="s">
        <v>2204</v>
      </c>
      <c r="C32" s="849"/>
      <c r="D32" s="864"/>
      <c r="E32" s="864"/>
      <c r="F32" s="864"/>
      <c r="G32" s="864"/>
      <c r="H32" s="864"/>
      <c r="I32" s="869"/>
      <c r="J32" s="869"/>
      <c r="K32" s="869"/>
      <c r="L32" s="869"/>
      <c r="M32" s="869"/>
      <c r="N32" s="869"/>
      <c r="O32" s="869"/>
      <c r="P32" s="869"/>
      <c r="Q32" s="870"/>
      <c r="R32" s="863"/>
      <c r="S32" s="863"/>
      <c r="T32" s="863"/>
      <c r="U32" s="863"/>
      <c r="V32" s="871"/>
      <c r="W32" s="871"/>
      <c r="X32" s="871"/>
      <c r="Y32" s="871"/>
      <c r="Z32" s="871"/>
      <c r="AA32" s="871"/>
      <c r="AB32" s="871"/>
      <c r="AC32" s="871"/>
      <c r="AD32" s="871"/>
      <c r="AE32" s="871"/>
      <c r="AF32" s="871"/>
      <c r="AG32" s="872"/>
      <c r="AH32" s="872"/>
      <c r="AI32" s="872"/>
      <c r="AJ32" s="873"/>
      <c r="AK32" s="873"/>
      <c r="AL32" s="873"/>
      <c r="AM32" s="873"/>
      <c r="AN32" s="874"/>
      <c r="AO32" s="875"/>
      <c r="AP32" s="876"/>
      <c r="AQ32" s="573"/>
      <c r="AR32" s="573"/>
      <c r="AS32" s="573"/>
      <c r="AT32" s="573"/>
      <c r="AU32" s="573"/>
      <c r="AV32" s="573"/>
      <c r="AW32" s="573"/>
      <c r="AX32" s="842"/>
      <c r="AY32" s="470"/>
      <c r="AZ32" s="470"/>
      <c r="BA32" s="470"/>
      <c r="BB32" s="470"/>
      <c r="BC32" s="470"/>
      <c r="BD32" s="470"/>
    </row>
    <row r="33" spans="1:66" ht="24" customHeight="1" x14ac:dyDescent="0.15">
      <c r="A33" s="822"/>
      <c r="B33" s="848"/>
      <c r="C33" s="849"/>
      <c r="D33" s="3086" t="s">
        <v>2211</v>
      </c>
      <c r="E33" s="3086"/>
      <c r="F33" s="3086"/>
      <c r="G33" s="3086"/>
      <c r="H33" s="3086"/>
      <c r="I33" s="3086"/>
      <c r="J33" s="3086"/>
      <c r="K33" s="3086"/>
      <c r="L33" s="3086"/>
      <c r="M33" s="3086"/>
      <c r="N33" s="3086"/>
      <c r="O33" s="3086"/>
      <c r="P33" s="3086"/>
      <c r="Q33" s="3087" t="str">
        <f>IF('1_入力シート【基本情報】'!$AB279="","",'1_入力シート【基本情報】'!$AB279)</f>
        <v/>
      </c>
      <c r="R33" s="3087"/>
      <c r="S33" s="3087"/>
      <c r="T33" s="3087"/>
      <c r="U33" s="3087"/>
      <c r="V33" s="3087"/>
      <c r="W33" s="3087"/>
      <c r="X33" s="3087"/>
      <c r="Y33" s="3087"/>
      <c r="Z33" s="3087"/>
      <c r="AA33" s="3087"/>
      <c r="AB33" s="3087"/>
      <c r="AC33" s="3087"/>
      <c r="AD33" s="3087"/>
      <c r="AE33" s="3087"/>
      <c r="AF33" s="3087"/>
      <c r="AG33" s="3087"/>
      <c r="AH33" s="3087"/>
      <c r="AI33" s="3087"/>
      <c r="AJ33" s="871"/>
      <c r="AK33" s="871"/>
      <c r="AL33" s="871"/>
      <c r="AM33" s="871"/>
      <c r="AN33" s="863"/>
      <c r="AO33" s="866"/>
      <c r="AP33" s="877"/>
      <c r="AQ33" s="573"/>
      <c r="AR33" s="573"/>
      <c r="AS33" s="573"/>
      <c r="AT33" s="573"/>
      <c r="AU33" s="573"/>
      <c r="AV33" s="573"/>
      <c r="AW33" s="573"/>
      <c r="AX33" s="842"/>
      <c r="AY33" s="470"/>
      <c r="AZ33" s="470"/>
      <c r="BA33" s="470"/>
      <c r="BB33" s="470"/>
      <c r="BC33" s="470"/>
      <c r="BD33" s="470"/>
    </row>
    <row r="34" spans="1:66" x14ac:dyDescent="0.15">
      <c r="A34" s="822"/>
      <c r="B34" s="868" t="s">
        <v>3366</v>
      </c>
      <c r="C34" s="874"/>
      <c r="D34" s="878"/>
      <c r="E34" s="878"/>
      <c r="F34" s="878"/>
      <c r="G34" s="878"/>
      <c r="H34" s="878"/>
      <c r="I34" s="878"/>
      <c r="J34" s="879"/>
      <c r="K34" s="879"/>
      <c r="L34" s="879"/>
      <c r="M34" s="879"/>
      <c r="N34" s="879"/>
      <c r="O34" s="879"/>
      <c r="P34" s="879"/>
      <c r="Q34" s="870"/>
      <c r="R34" s="863"/>
      <c r="S34" s="863"/>
      <c r="T34" s="863"/>
      <c r="U34" s="863"/>
      <c r="V34" s="871"/>
      <c r="W34" s="871"/>
      <c r="X34" s="871"/>
      <c r="Y34" s="871"/>
      <c r="Z34" s="871"/>
      <c r="AA34" s="871"/>
      <c r="AB34" s="871"/>
      <c r="AC34" s="871"/>
      <c r="AD34" s="871"/>
      <c r="AE34" s="871"/>
      <c r="AF34" s="871"/>
      <c r="AG34" s="880"/>
      <c r="AH34" s="880"/>
      <c r="AI34" s="873"/>
      <c r="AJ34" s="873"/>
      <c r="AK34" s="873"/>
      <c r="AL34" s="873"/>
      <c r="AM34" s="873"/>
      <c r="AN34" s="874"/>
      <c r="AO34" s="875"/>
      <c r="AP34" s="881"/>
      <c r="AQ34" s="573"/>
      <c r="AR34" s="573"/>
      <c r="AS34" s="573"/>
      <c r="AT34" s="573"/>
      <c r="AU34" s="573"/>
      <c r="AV34" s="573"/>
      <c r="AW34" s="573"/>
      <c r="AX34" s="842"/>
      <c r="AY34" s="470"/>
      <c r="AZ34" s="470"/>
      <c r="BA34" s="470"/>
      <c r="BB34" s="470"/>
      <c r="BC34" s="470"/>
      <c r="BD34" s="470"/>
    </row>
    <row r="35" spans="1:66" x14ac:dyDescent="0.15">
      <c r="A35" s="822"/>
      <c r="B35" s="862"/>
      <c r="C35" s="863"/>
      <c r="D35" s="3086" t="s">
        <v>2404</v>
      </c>
      <c r="E35" s="3086"/>
      <c r="F35" s="3086"/>
      <c r="G35" s="3086"/>
      <c r="H35" s="3086"/>
      <c r="I35" s="3086"/>
      <c r="J35" s="3086"/>
      <c r="K35" s="3086"/>
      <c r="L35" s="3086"/>
      <c r="M35" s="3086"/>
      <c r="N35" s="3086"/>
      <c r="O35" s="3086"/>
      <c r="P35" s="3086"/>
      <c r="Q35" s="3146" t="str">
        <f>'2_入力シート【用途面積】'!X12</f>
        <v/>
      </c>
      <c r="R35" s="3146"/>
      <c r="S35" s="3146"/>
      <c r="T35" s="3146"/>
      <c r="U35" s="3146"/>
      <c r="V35" s="3146"/>
      <c r="W35" s="3146"/>
      <c r="X35" s="3146"/>
      <c r="Y35" s="3146"/>
      <c r="Z35" s="3146"/>
      <c r="AA35" s="3146"/>
      <c r="AB35" s="3146"/>
      <c r="AC35" s="3146"/>
      <c r="AD35" s="3146"/>
      <c r="AE35" s="3146"/>
      <c r="AF35" s="3146"/>
      <c r="AG35" s="3146"/>
      <c r="AH35" s="3146"/>
      <c r="AI35" s="3146"/>
      <c r="AJ35" s="871"/>
      <c r="AK35" s="871"/>
      <c r="AL35" s="871"/>
      <c r="AM35" s="871"/>
      <c r="AN35" s="863"/>
      <c r="AO35" s="866"/>
      <c r="AP35" s="877"/>
      <c r="AQ35" s="573"/>
      <c r="AR35" s="573"/>
      <c r="AS35" s="573"/>
      <c r="AT35" s="573"/>
      <c r="AU35" s="573"/>
      <c r="AV35" s="573"/>
      <c r="AW35" s="573"/>
      <c r="AX35" s="842"/>
      <c r="AY35" s="470"/>
      <c r="AZ35" s="470"/>
      <c r="BA35" s="470"/>
      <c r="BB35" s="470"/>
      <c r="BC35" s="470"/>
      <c r="BD35" s="470"/>
    </row>
    <row r="36" spans="1:66" x14ac:dyDescent="0.15">
      <c r="A36" s="822"/>
      <c r="B36" s="882" t="s">
        <v>1857</v>
      </c>
      <c r="C36" s="874"/>
      <c r="D36" s="859"/>
      <c r="E36" s="859"/>
      <c r="F36" s="859"/>
      <c r="G36" s="859"/>
      <c r="H36" s="859"/>
      <c r="I36" s="859"/>
      <c r="J36" s="874"/>
      <c r="K36" s="874"/>
      <c r="L36" s="874"/>
      <c r="M36" s="874"/>
      <c r="N36" s="874"/>
      <c r="O36" s="874"/>
      <c r="P36" s="874"/>
      <c r="Q36" s="859"/>
      <c r="R36" s="859"/>
      <c r="S36" s="859"/>
      <c r="T36" s="859"/>
      <c r="U36" s="859"/>
      <c r="V36" s="859"/>
      <c r="W36" s="859"/>
      <c r="X36" s="859"/>
      <c r="Y36" s="859"/>
      <c r="Z36" s="859"/>
      <c r="AA36" s="859"/>
      <c r="AB36" s="859"/>
      <c r="AC36" s="859"/>
      <c r="AD36" s="859"/>
      <c r="AE36" s="859"/>
      <c r="AF36" s="859"/>
      <c r="AG36" s="874"/>
      <c r="AH36" s="874"/>
      <c r="AI36" s="849"/>
      <c r="AJ36" s="852"/>
      <c r="AK36" s="852"/>
      <c r="AL36" s="852"/>
      <c r="AM36" s="852"/>
      <c r="AN36" s="852"/>
      <c r="AO36" s="852"/>
      <c r="AP36" s="853"/>
      <c r="AQ36" s="573"/>
      <c r="AR36" s="573"/>
      <c r="AS36" s="573"/>
      <c r="AT36" s="573"/>
      <c r="AU36" s="573"/>
      <c r="AV36" s="573"/>
      <c r="AW36" s="573"/>
      <c r="AX36" s="842"/>
      <c r="AY36" s="470"/>
      <c r="AZ36" s="470"/>
      <c r="BA36" s="470"/>
      <c r="BB36" s="470"/>
      <c r="BC36" s="470"/>
      <c r="BD36" s="470"/>
      <c r="BE36" s="470"/>
      <c r="BF36" s="470"/>
      <c r="BG36" s="470"/>
      <c r="BH36" s="470"/>
      <c r="BI36" s="470"/>
      <c r="BJ36" s="470"/>
      <c r="BK36" s="470"/>
      <c r="BL36" s="470"/>
      <c r="BM36" s="470"/>
      <c r="BN36" s="470"/>
    </row>
    <row r="37" spans="1:66" hidden="1" x14ac:dyDescent="0.15">
      <c r="A37" s="822"/>
      <c r="B37" s="883"/>
      <c r="C37" s="856"/>
      <c r="D37" s="3156" t="s">
        <v>691</v>
      </c>
      <c r="E37" s="3156"/>
      <c r="F37" s="3156"/>
      <c r="G37" s="3156"/>
      <c r="H37" s="3156"/>
      <c r="I37" s="3156"/>
      <c r="J37" s="875" t="s">
        <v>685</v>
      </c>
      <c r="K37" s="875"/>
      <c r="L37" s="875"/>
      <c r="M37" s="875"/>
      <c r="N37" s="875"/>
      <c r="O37" s="875"/>
      <c r="P37" s="875"/>
      <c r="Q37" s="875"/>
      <c r="R37" s="875"/>
      <c r="S37" s="875"/>
      <c r="T37" s="875"/>
      <c r="U37" s="875"/>
      <c r="V37" s="875" t="s">
        <v>692</v>
      </c>
      <c r="W37" s="875"/>
      <c r="X37" s="875"/>
      <c r="Y37" s="875"/>
      <c r="Z37" s="875"/>
      <c r="AA37" s="875"/>
      <c r="AB37" s="875"/>
      <c r="AC37" s="875"/>
      <c r="AD37" s="875"/>
      <c r="AE37" s="875"/>
      <c r="AF37" s="875"/>
      <c r="AG37" s="856"/>
      <c r="AH37" s="856"/>
      <c r="AI37" s="856"/>
      <c r="AJ37" s="852"/>
      <c r="AK37" s="852"/>
      <c r="AL37" s="852"/>
      <c r="AM37" s="852"/>
      <c r="AN37" s="852"/>
      <c r="AO37" s="852"/>
      <c r="AP37" s="853"/>
      <c r="AQ37" s="573"/>
      <c r="AR37" s="573"/>
      <c r="AS37" s="573"/>
      <c r="AT37" s="573"/>
      <c r="AU37" s="573"/>
      <c r="AV37" s="573"/>
      <c r="AW37" s="573"/>
      <c r="AX37" s="842"/>
      <c r="AY37" s="470"/>
      <c r="AZ37" s="470"/>
      <c r="BA37" s="470"/>
      <c r="BB37" s="470"/>
      <c r="BC37" s="470"/>
      <c r="BD37" s="470"/>
      <c r="BE37" s="470"/>
      <c r="BF37" s="470"/>
      <c r="BG37" s="470"/>
      <c r="BH37" s="470"/>
      <c r="BI37" s="470"/>
      <c r="BJ37" s="470"/>
      <c r="BK37" s="470"/>
      <c r="BL37" s="470"/>
      <c r="BM37" s="470"/>
    </row>
    <row r="38" spans="1:66" hidden="1" x14ac:dyDescent="0.15">
      <c r="A38" s="822"/>
      <c r="B38" s="883"/>
      <c r="C38" s="856"/>
      <c r="D38" s="3157"/>
      <c r="E38" s="3157"/>
      <c r="F38" s="3157"/>
      <c r="G38" s="3157"/>
      <c r="H38" s="3157"/>
      <c r="I38" s="3157"/>
      <c r="J38" s="856"/>
      <c r="K38" s="856"/>
      <c r="L38" s="856"/>
      <c r="M38" s="856"/>
      <c r="N38" s="856"/>
      <c r="O38" s="856"/>
      <c r="P38" s="856"/>
      <c r="Q38" s="856"/>
      <c r="R38" s="856"/>
      <c r="S38" s="856"/>
      <c r="T38" s="856"/>
      <c r="U38" s="856"/>
      <c r="V38" s="856" t="s">
        <v>693</v>
      </c>
      <c r="W38" s="856"/>
      <c r="X38" s="856"/>
      <c r="Y38" s="856"/>
      <c r="Z38" s="856"/>
      <c r="AA38" s="856"/>
      <c r="AB38" s="856"/>
      <c r="AC38" s="856"/>
      <c r="AD38" s="856"/>
      <c r="AE38" s="856"/>
      <c r="AF38" s="856"/>
      <c r="AG38" s="856"/>
      <c r="AH38" s="856"/>
      <c r="AI38" s="856"/>
      <c r="AJ38" s="852"/>
      <c r="AK38" s="852"/>
      <c r="AL38" s="852"/>
      <c r="AM38" s="852"/>
      <c r="AN38" s="852"/>
      <c r="AO38" s="852"/>
      <c r="AP38" s="853"/>
      <c r="AQ38" s="573"/>
      <c r="AR38" s="573"/>
      <c r="AS38" s="573"/>
      <c r="AT38" s="573"/>
      <c r="AU38" s="573"/>
      <c r="AV38" s="573"/>
      <c r="AW38" s="573"/>
      <c r="AX38" s="842"/>
      <c r="AY38" s="470"/>
      <c r="AZ38" s="470"/>
      <c r="BA38" s="470"/>
      <c r="BB38" s="470"/>
      <c r="BC38" s="470"/>
      <c r="BD38" s="470"/>
      <c r="BE38" s="470"/>
      <c r="BF38" s="470"/>
      <c r="BG38" s="470"/>
      <c r="BH38" s="470"/>
      <c r="BI38" s="470"/>
      <c r="BJ38" s="470"/>
      <c r="BK38" s="470"/>
      <c r="BL38" s="470"/>
      <c r="BM38" s="470"/>
    </row>
    <row r="39" spans="1:66" hidden="1" x14ac:dyDescent="0.15">
      <c r="A39" s="822"/>
      <c r="B39" s="883"/>
      <c r="C39" s="856"/>
      <c r="D39" s="3157"/>
      <c r="E39" s="3157"/>
      <c r="F39" s="3157"/>
      <c r="G39" s="3157"/>
      <c r="H39" s="3157"/>
      <c r="I39" s="3157"/>
      <c r="J39" s="856"/>
      <c r="K39" s="856"/>
      <c r="L39" s="856"/>
      <c r="M39" s="856"/>
      <c r="N39" s="856"/>
      <c r="O39" s="856"/>
      <c r="P39" s="856"/>
      <c r="Q39" s="856"/>
      <c r="R39" s="856"/>
      <c r="S39" s="856"/>
      <c r="T39" s="856"/>
      <c r="U39" s="856"/>
      <c r="V39" s="856" t="s">
        <v>694</v>
      </c>
      <c r="W39" s="856"/>
      <c r="X39" s="856"/>
      <c r="Y39" s="856"/>
      <c r="Z39" s="856"/>
      <c r="AA39" s="856"/>
      <c r="AB39" s="856"/>
      <c r="AC39" s="856"/>
      <c r="AD39" s="856"/>
      <c r="AE39" s="856"/>
      <c r="AF39" s="856"/>
      <c r="AG39" s="856"/>
      <c r="AH39" s="856"/>
      <c r="AI39" s="856"/>
      <c r="AJ39" s="852"/>
      <c r="AK39" s="852"/>
      <c r="AL39" s="852"/>
      <c r="AM39" s="852"/>
      <c r="AN39" s="852"/>
      <c r="AO39" s="852"/>
      <c r="AP39" s="853"/>
      <c r="AQ39" s="573"/>
      <c r="AR39" s="573"/>
      <c r="AS39" s="573"/>
      <c r="AT39" s="573"/>
      <c r="AU39" s="573"/>
      <c r="AV39" s="573"/>
      <c r="AW39" s="573"/>
      <c r="AX39" s="842"/>
      <c r="AY39" s="470"/>
      <c r="AZ39" s="470"/>
      <c r="BA39" s="470"/>
      <c r="BB39" s="470"/>
      <c r="BC39" s="470"/>
      <c r="BD39" s="470"/>
      <c r="BE39" s="470"/>
      <c r="BF39" s="470"/>
      <c r="BG39" s="470"/>
      <c r="BH39" s="470"/>
      <c r="BI39" s="470"/>
      <c r="BJ39" s="470"/>
      <c r="BK39" s="470"/>
      <c r="BL39" s="470"/>
      <c r="BM39" s="470"/>
    </row>
    <row r="40" spans="1:66" hidden="1" x14ac:dyDescent="0.15">
      <c r="A40" s="822"/>
      <c r="B40" s="883"/>
      <c r="C40" s="856"/>
      <c r="D40" s="3157"/>
      <c r="E40" s="3157"/>
      <c r="F40" s="3157"/>
      <c r="G40" s="3157"/>
      <c r="H40" s="3157"/>
      <c r="I40" s="3157"/>
      <c r="J40" s="856"/>
      <c r="K40" s="856"/>
      <c r="L40" s="856"/>
      <c r="M40" s="856"/>
      <c r="N40" s="856"/>
      <c r="O40" s="856"/>
      <c r="P40" s="856"/>
      <c r="Q40" s="856"/>
      <c r="R40" s="856"/>
      <c r="S40" s="856"/>
      <c r="T40" s="856"/>
      <c r="U40" s="856"/>
      <c r="V40" s="856" t="s">
        <v>695</v>
      </c>
      <c r="W40" s="856"/>
      <c r="X40" s="856"/>
      <c r="Y40" s="856"/>
      <c r="Z40" s="856"/>
      <c r="AA40" s="856"/>
      <c r="AB40" s="856"/>
      <c r="AC40" s="856"/>
      <c r="AD40" s="856"/>
      <c r="AE40" s="856"/>
      <c r="AF40" s="856"/>
      <c r="AG40" s="856"/>
      <c r="AH40" s="856"/>
      <c r="AI40" s="856"/>
      <c r="AJ40" s="852"/>
      <c r="AK40" s="852"/>
      <c r="AL40" s="852"/>
      <c r="AM40" s="852"/>
      <c r="AN40" s="852"/>
      <c r="AO40" s="852"/>
      <c r="AP40" s="853"/>
      <c r="AQ40" s="573"/>
      <c r="AR40" s="573"/>
      <c r="AS40" s="573"/>
      <c r="AT40" s="573"/>
      <c r="AU40" s="573"/>
      <c r="AV40" s="573"/>
      <c r="AW40" s="573"/>
      <c r="AX40" s="842"/>
      <c r="AY40" s="470"/>
      <c r="AZ40" s="470"/>
      <c r="BA40" s="470"/>
      <c r="BB40" s="470"/>
      <c r="BC40" s="470"/>
      <c r="BD40" s="470"/>
      <c r="BE40" s="470"/>
      <c r="BF40" s="470"/>
      <c r="BG40" s="470"/>
      <c r="BH40" s="470"/>
      <c r="BI40" s="470"/>
      <c r="BJ40" s="470"/>
      <c r="BK40" s="470"/>
      <c r="BL40" s="470"/>
      <c r="BM40" s="470"/>
    </row>
    <row r="41" spans="1:66" ht="18.75" customHeight="1" x14ac:dyDescent="0.15">
      <c r="A41" s="822"/>
      <c r="B41" s="883"/>
      <c r="C41" s="856"/>
      <c r="D41" s="3158"/>
      <c r="E41" s="3158"/>
      <c r="F41" s="3158"/>
      <c r="G41" s="3158"/>
      <c r="H41" s="3158"/>
      <c r="I41" s="3158"/>
      <c r="J41" s="3086" t="s">
        <v>699</v>
      </c>
      <c r="K41" s="3086"/>
      <c r="L41" s="3086"/>
      <c r="M41" s="3086"/>
      <c r="N41" s="3086"/>
      <c r="O41" s="3086"/>
      <c r="P41" s="3086"/>
      <c r="Q41" s="3132" t="str">
        <f>IF('1_入力シート【基本情報】'!$AB286="","",'1_入力シート【基本情報】'!$AB286)</f>
        <v/>
      </c>
      <c r="R41" s="3132"/>
      <c r="S41" s="3132"/>
      <c r="T41" s="3132"/>
      <c r="U41" s="3132"/>
      <c r="V41" s="866"/>
      <c r="W41" s="866"/>
      <c r="X41" s="866"/>
      <c r="Y41" s="866"/>
      <c r="Z41" s="866"/>
      <c r="AA41" s="866"/>
      <c r="AB41" s="866"/>
      <c r="AC41" s="866"/>
      <c r="AD41" s="866"/>
      <c r="AE41" s="866"/>
      <c r="AF41" s="866"/>
      <c r="AG41" s="856"/>
      <c r="AH41" s="856"/>
      <c r="AI41" s="856"/>
      <c r="AJ41" s="852"/>
      <c r="AK41" s="852"/>
      <c r="AL41" s="852"/>
      <c r="AM41" s="852"/>
      <c r="AN41" s="852"/>
      <c r="AO41" s="852"/>
      <c r="AP41" s="853"/>
      <c r="AQ41" s="573"/>
      <c r="AR41" s="573"/>
      <c r="AS41" s="573"/>
      <c r="AT41" s="573"/>
      <c r="AU41" s="573"/>
      <c r="AV41" s="573"/>
      <c r="AW41" s="573"/>
      <c r="AX41" s="842"/>
      <c r="AY41" s="470"/>
      <c r="AZ41" s="470"/>
      <c r="BA41" s="470"/>
      <c r="BB41" s="470"/>
      <c r="BC41" s="470"/>
      <c r="BD41" s="470"/>
      <c r="BE41" s="470"/>
      <c r="BF41" s="470"/>
      <c r="BG41" s="470"/>
      <c r="BH41" s="470"/>
      <c r="BI41" s="470"/>
      <c r="BJ41" s="470"/>
      <c r="BK41" s="470"/>
      <c r="BL41" s="470"/>
      <c r="BM41" s="470"/>
    </row>
    <row r="42" spans="1:66" ht="15.75" customHeight="1" x14ac:dyDescent="0.15">
      <c r="A42" s="822"/>
      <c r="B42" s="884"/>
      <c r="C42" s="849"/>
      <c r="D42" s="3091" t="s">
        <v>1858</v>
      </c>
      <c r="E42" s="3091"/>
      <c r="F42" s="3091"/>
      <c r="G42" s="3091"/>
      <c r="H42" s="3091"/>
      <c r="I42" s="3091"/>
      <c r="J42" s="3094" t="s">
        <v>685</v>
      </c>
      <c r="K42" s="3094"/>
      <c r="L42" s="3094"/>
      <c r="M42" s="3094"/>
      <c r="N42" s="3094"/>
      <c r="O42" s="3094"/>
      <c r="P42" s="3094"/>
      <c r="Q42" s="3079" t="str">
        <f>IF('1_入力シート【基本情報】'!$AB287="","",'1_入力シート【基本情報】'!$AB287)</f>
        <v/>
      </c>
      <c r="R42" s="3079"/>
      <c r="S42" s="3079"/>
      <c r="T42" s="859"/>
      <c r="U42" s="885"/>
      <c r="V42" s="859"/>
      <c r="W42" s="859"/>
      <c r="X42" s="859"/>
      <c r="Y42" s="859"/>
      <c r="Z42" s="859"/>
      <c r="AA42" s="859"/>
      <c r="AB42" s="859"/>
      <c r="AC42" s="859"/>
      <c r="AD42" s="859"/>
      <c r="AE42" s="859"/>
      <c r="AF42" s="886"/>
      <c r="AG42" s="887"/>
      <c r="AH42" s="887"/>
      <c r="AI42" s="856"/>
      <c r="AJ42" s="852"/>
      <c r="AK42" s="852"/>
      <c r="AL42" s="852"/>
      <c r="AM42" s="852"/>
      <c r="AN42" s="852"/>
      <c r="AO42" s="852"/>
      <c r="AP42" s="853"/>
      <c r="AQ42" s="573"/>
      <c r="AR42" s="573"/>
      <c r="AS42" s="573"/>
      <c r="AT42" s="573"/>
      <c r="AU42" s="573"/>
      <c r="AV42" s="573"/>
      <c r="AW42" s="573"/>
      <c r="AX42" s="842"/>
      <c r="AY42" s="470"/>
      <c r="AZ42" s="470"/>
      <c r="BA42" s="470"/>
      <c r="BB42" s="470"/>
      <c r="BC42" s="470"/>
      <c r="BD42" s="470"/>
      <c r="BE42" s="470"/>
      <c r="BF42" s="470"/>
      <c r="BG42" s="470"/>
      <c r="BH42" s="470"/>
      <c r="BI42" s="470"/>
      <c r="BJ42" s="470"/>
      <c r="BK42" s="470"/>
      <c r="BL42" s="470"/>
      <c r="BM42" s="470"/>
    </row>
    <row r="43" spans="1:66" ht="16.5" customHeight="1" x14ac:dyDescent="0.15">
      <c r="A43" s="822"/>
      <c r="B43" s="888"/>
      <c r="C43" s="889"/>
      <c r="D43" s="3092"/>
      <c r="E43" s="3092"/>
      <c r="F43" s="3092"/>
      <c r="G43" s="3092"/>
      <c r="H43" s="3092"/>
      <c r="I43" s="3092"/>
      <c r="J43" s="3086" t="s">
        <v>698</v>
      </c>
      <c r="K43" s="3086"/>
      <c r="L43" s="3086"/>
      <c r="M43" s="3086"/>
      <c r="N43" s="3086"/>
      <c r="O43" s="3086"/>
      <c r="P43" s="3086"/>
      <c r="Q43" s="3095" t="str">
        <f>IF('1_入力シート【基本情報】'!$AB288="","",'1_入力シート【基本情報】'!$AB288)</f>
        <v/>
      </c>
      <c r="R43" s="3095"/>
      <c r="S43" s="3095"/>
      <c r="T43" s="3095"/>
      <c r="U43" s="3095"/>
      <c r="V43" s="3096"/>
      <c r="W43" s="3096"/>
      <c r="X43" s="3096"/>
      <c r="Y43" s="3096"/>
      <c r="Z43" s="3096"/>
      <c r="AA43" s="3096"/>
      <c r="AB43" s="3096"/>
      <c r="AC43" s="3096"/>
      <c r="AD43" s="3096"/>
      <c r="AE43" s="3096"/>
      <c r="AF43" s="849" t="s">
        <v>17</v>
      </c>
      <c r="AG43" s="849"/>
      <c r="AH43" s="849"/>
      <c r="AI43" s="856"/>
      <c r="AJ43" s="852"/>
      <c r="AK43" s="852"/>
      <c r="AL43" s="852"/>
      <c r="AM43" s="852"/>
      <c r="AN43" s="852"/>
      <c r="AO43" s="852"/>
      <c r="AP43" s="853"/>
      <c r="AQ43" s="573"/>
      <c r="AR43" s="573"/>
      <c r="AS43" s="573"/>
      <c r="AT43" s="573"/>
      <c r="AU43" s="573"/>
      <c r="AV43" s="573"/>
      <c r="AW43" s="573"/>
      <c r="AX43" s="842"/>
      <c r="AY43" s="470"/>
      <c r="AZ43" s="470"/>
      <c r="BA43" s="470"/>
      <c r="BB43" s="470"/>
      <c r="BC43" s="470"/>
      <c r="BD43" s="470"/>
      <c r="BE43" s="470"/>
      <c r="BF43" s="470"/>
      <c r="BG43" s="470"/>
      <c r="BH43" s="470"/>
      <c r="BI43" s="470"/>
      <c r="BJ43" s="470"/>
      <c r="BK43" s="470"/>
      <c r="BL43" s="470"/>
      <c r="BM43" s="470"/>
    </row>
    <row r="44" spans="1:66" ht="15.75" customHeight="1" x14ac:dyDescent="0.15">
      <c r="A44" s="822"/>
      <c r="B44" s="884"/>
      <c r="C44" s="849"/>
      <c r="D44" s="3093"/>
      <c r="E44" s="3093"/>
      <c r="F44" s="3093"/>
      <c r="G44" s="3093"/>
      <c r="H44" s="3093"/>
      <c r="I44" s="3093"/>
      <c r="J44" s="3086" t="s">
        <v>699</v>
      </c>
      <c r="K44" s="3086"/>
      <c r="L44" s="3086"/>
      <c r="M44" s="3086"/>
      <c r="N44" s="3086"/>
      <c r="O44" s="3086"/>
      <c r="P44" s="3086"/>
      <c r="Q44" s="3079" t="str">
        <f>IF('1_入力シート【基本情報】'!$AB289="","",'1_入力シート【基本情報】'!$AB289)</f>
        <v/>
      </c>
      <c r="R44" s="3079"/>
      <c r="S44" s="3079"/>
      <c r="T44" s="3079"/>
      <c r="U44" s="3079"/>
      <c r="V44" s="859"/>
      <c r="W44" s="885"/>
      <c r="X44" s="859"/>
      <c r="Y44" s="859"/>
      <c r="Z44" s="859"/>
      <c r="AA44" s="859"/>
      <c r="AB44" s="859"/>
      <c r="AC44" s="859"/>
      <c r="AD44" s="859"/>
      <c r="AE44" s="859"/>
      <c r="AF44" s="890"/>
      <c r="AG44" s="887"/>
      <c r="AH44" s="887"/>
      <c r="AI44" s="856"/>
      <c r="AJ44" s="852"/>
      <c r="AK44" s="852"/>
      <c r="AL44" s="852"/>
      <c r="AM44" s="852"/>
      <c r="AN44" s="852"/>
      <c r="AO44" s="852"/>
      <c r="AP44" s="853"/>
      <c r="AQ44" s="573"/>
      <c r="AR44" s="573"/>
      <c r="AS44" s="573"/>
      <c r="AT44" s="573"/>
      <c r="AU44" s="573"/>
      <c r="AV44" s="573"/>
      <c r="AW44" s="573"/>
      <c r="AX44" s="842"/>
      <c r="AY44" s="470"/>
      <c r="AZ44" s="470"/>
      <c r="BA44" s="470"/>
      <c r="BB44" s="470"/>
      <c r="BC44" s="470"/>
      <c r="BD44" s="470"/>
      <c r="BE44" s="470"/>
      <c r="BF44" s="470"/>
      <c r="BG44" s="470"/>
      <c r="BH44" s="470"/>
      <c r="BI44" s="470"/>
      <c r="BJ44" s="470"/>
      <c r="BK44" s="470"/>
      <c r="BL44" s="470"/>
      <c r="BM44" s="470"/>
    </row>
    <row r="45" spans="1:66" ht="15.75" customHeight="1" x14ac:dyDescent="0.15">
      <c r="A45" s="822"/>
      <c r="B45" s="884"/>
      <c r="C45" s="849"/>
      <c r="D45" s="3114" t="s">
        <v>1859</v>
      </c>
      <c r="E45" s="3114"/>
      <c r="F45" s="3114"/>
      <c r="G45" s="3114"/>
      <c r="H45" s="3114"/>
      <c r="I45" s="3114"/>
      <c r="J45" s="3086" t="s">
        <v>685</v>
      </c>
      <c r="K45" s="3086"/>
      <c r="L45" s="3086"/>
      <c r="M45" s="3086"/>
      <c r="N45" s="3086"/>
      <c r="O45" s="3086"/>
      <c r="P45" s="3086"/>
      <c r="Q45" s="3079" t="str">
        <f>IF('1_入力シート【基本情報】'!$AB290="","",'1_入力シート【基本情報】'!$AB290)</f>
        <v/>
      </c>
      <c r="R45" s="3079"/>
      <c r="S45" s="3079"/>
      <c r="T45" s="886"/>
      <c r="U45" s="891"/>
      <c r="V45" s="874"/>
      <c r="W45" s="886"/>
      <c r="X45" s="874"/>
      <c r="Y45" s="874"/>
      <c r="Z45" s="874"/>
      <c r="AA45" s="874"/>
      <c r="AB45" s="874"/>
      <c r="AC45" s="874"/>
      <c r="AD45" s="874"/>
      <c r="AE45" s="874"/>
      <c r="AF45" s="886"/>
      <c r="AG45" s="887"/>
      <c r="AH45" s="887"/>
      <c r="AI45" s="856"/>
      <c r="AJ45" s="852"/>
      <c r="AK45" s="852"/>
      <c r="AL45" s="852"/>
      <c r="AM45" s="852"/>
      <c r="AN45" s="852"/>
      <c r="AO45" s="852"/>
      <c r="AP45" s="853"/>
      <c r="AQ45" s="573"/>
      <c r="AR45" s="573"/>
      <c r="AS45" s="573"/>
      <c r="AT45" s="573"/>
      <c r="AU45" s="573"/>
      <c r="AV45" s="573"/>
      <c r="AW45" s="573"/>
      <c r="AX45" s="842"/>
      <c r="AY45" s="470"/>
      <c r="AZ45" s="470"/>
      <c r="BA45" s="470"/>
      <c r="BB45" s="470"/>
      <c r="BC45" s="470"/>
      <c r="BD45" s="470"/>
      <c r="BE45" s="470"/>
      <c r="BF45" s="470"/>
      <c r="BG45" s="470"/>
      <c r="BH45" s="470"/>
      <c r="BI45" s="470"/>
      <c r="BJ45" s="470"/>
      <c r="BK45" s="470"/>
      <c r="BL45" s="470"/>
      <c r="BM45" s="470"/>
    </row>
    <row r="46" spans="1:66" ht="16.5" customHeight="1" x14ac:dyDescent="0.15">
      <c r="A46" s="822"/>
      <c r="B46" s="892"/>
      <c r="C46" s="863"/>
      <c r="D46" s="3108"/>
      <c r="E46" s="3108"/>
      <c r="F46" s="3108"/>
      <c r="G46" s="3108"/>
      <c r="H46" s="3108"/>
      <c r="I46" s="3108"/>
      <c r="J46" s="3086" t="s">
        <v>699</v>
      </c>
      <c r="K46" s="3086"/>
      <c r="L46" s="3086"/>
      <c r="M46" s="3086"/>
      <c r="N46" s="3086"/>
      <c r="O46" s="3086"/>
      <c r="P46" s="3086"/>
      <c r="Q46" s="3079" t="str">
        <f>IF('1_入力シート【基本情報】'!$AB291="","",'1_入力シート【基本情報】'!$AB291)</f>
        <v/>
      </c>
      <c r="R46" s="3079"/>
      <c r="S46" s="3079"/>
      <c r="T46" s="3079"/>
      <c r="U46" s="3079"/>
      <c r="V46" s="863"/>
      <c r="W46" s="893"/>
      <c r="X46" s="863"/>
      <c r="Y46" s="863"/>
      <c r="Z46" s="863"/>
      <c r="AA46" s="863"/>
      <c r="AB46" s="863"/>
      <c r="AC46" s="863"/>
      <c r="AD46" s="863"/>
      <c r="AE46" s="863"/>
      <c r="AF46" s="890"/>
      <c r="AG46" s="890"/>
      <c r="AH46" s="890"/>
      <c r="AI46" s="866"/>
      <c r="AJ46" s="894"/>
      <c r="AK46" s="894"/>
      <c r="AL46" s="894"/>
      <c r="AM46" s="894"/>
      <c r="AN46" s="894"/>
      <c r="AO46" s="894"/>
      <c r="AP46" s="867"/>
      <c r="AQ46" s="573"/>
      <c r="AR46" s="573"/>
      <c r="AS46" s="573"/>
      <c r="AT46" s="573"/>
      <c r="AU46" s="573"/>
      <c r="AV46" s="573"/>
      <c r="AW46" s="573"/>
      <c r="AX46" s="842"/>
      <c r="AY46" s="470"/>
      <c r="AZ46" s="470"/>
      <c r="BA46" s="470"/>
      <c r="BB46" s="470"/>
      <c r="BC46" s="470"/>
      <c r="BD46" s="470"/>
      <c r="BE46" s="470"/>
      <c r="BF46" s="470"/>
      <c r="BG46" s="470"/>
      <c r="BH46" s="470"/>
      <c r="BI46" s="470"/>
      <c r="BJ46" s="470"/>
      <c r="BK46" s="470"/>
      <c r="BL46" s="470"/>
      <c r="BM46" s="470"/>
    </row>
    <row r="47" spans="1:66" x14ac:dyDescent="0.15">
      <c r="A47" s="822"/>
      <c r="B47" s="895" t="s">
        <v>1860</v>
      </c>
      <c r="C47" s="849"/>
      <c r="D47" s="849"/>
      <c r="E47" s="849"/>
      <c r="F47" s="849"/>
      <c r="G47" s="849"/>
      <c r="H47" s="849"/>
      <c r="I47" s="849"/>
      <c r="J47" s="849"/>
      <c r="K47" s="849"/>
      <c r="L47" s="849"/>
      <c r="M47" s="849"/>
      <c r="N47" s="849"/>
      <c r="O47" s="849"/>
      <c r="P47" s="849"/>
      <c r="Q47" s="849"/>
      <c r="R47" s="849"/>
      <c r="S47" s="849"/>
      <c r="T47" s="849"/>
      <c r="U47" s="849"/>
      <c r="V47" s="849"/>
      <c r="W47" s="849"/>
      <c r="X47" s="849"/>
      <c r="Y47" s="849"/>
      <c r="Z47" s="849"/>
      <c r="AA47" s="849"/>
      <c r="AB47" s="849"/>
      <c r="AC47" s="889"/>
      <c r="AD47" s="889"/>
      <c r="AE47" s="889"/>
      <c r="AF47" s="889"/>
      <c r="AG47" s="889"/>
      <c r="AH47" s="889"/>
      <c r="AI47" s="856"/>
      <c r="AJ47" s="852"/>
      <c r="AK47" s="852"/>
      <c r="AL47" s="852"/>
      <c r="AM47" s="852"/>
      <c r="AN47" s="852"/>
      <c r="AO47" s="852"/>
      <c r="AP47" s="853"/>
      <c r="AQ47" s="573"/>
      <c r="AR47" s="573"/>
      <c r="AS47" s="573"/>
      <c r="AT47" s="573"/>
      <c r="AU47" s="573"/>
      <c r="AV47" s="573"/>
      <c r="AW47" s="573"/>
      <c r="AX47" s="842"/>
      <c r="AY47" s="470"/>
      <c r="AZ47" s="470"/>
      <c r="BA47" s="470"/>
      <c r="BB47" s="470"/>
      <c r="BC47" s="470"/>
      <c r="BD47" s="470"/>
      <c r="BE47" s="470"/>
      <c r="BF47" s="470"/>
      <c r="BG47" s="470"/>
      <c r="BH47" s="470"/>
      <c r="BI47" s="470"/>
      <c r="BJ47" s="470"/>
      <c r="BK47" s="470"/>
      <c r="BL47" s="470"/>
    </row>
    <row r="48" spans="1:66" x14ac:dyDescent="0.15">
      <c r="A48" s="822"/>
      <c r="B48" s="3088"/>
      <c r="C48" s="3089"/>
      <c r="D48" s="3089"/>
      <c r="E48" s="3090" t="s">
        <v>681</v>
      </c>
      <c r="F48" s="3090"/>
      <c r="G48" s="3090"/>
      <c r="H48" s="3090"/>
      <c r="I48" s="3090"/>
      <c r="J48" s="3090"/>
      <c r="K48" s="3090"/>
      <c r="L48" s="3090"/>
      <c r="M48" s="3090"/>
      <c r="N48" s="3090"/>
      <c r="O48" s="3090"/>
      <c r="P48" s="3090"/>
      <c r="Q48" s="3079" t="str">
        <f>IF('1_入力シート【基本情報】'!$DW$195="","",'1_入力シート【基本情報】'!$DW$195)</f>
        <v/>
      </c>
      <c r="R48" s="3079"/>
      <c r="S48" s="3079"/>
      <c r="T48" s="885"/>
      <c r="U48" s="885"/>
      <c r="V48" s="885"/>
      <c r="W48" s="885"/>
      <c r="X48" s="885"/>
      <c r="Y48" s="885"/>
      <c r="Z48" s="885"/>
      <c r="AA48" s="885"/>
      <c r="AB48" s="859"/>
      <c r="AC48" s="859"/>
      <c r="AD48" s="859"/>
      <c r="AE48" s="859"/>
      <c r="AF48" s="859"/>
      <c r="AG48" s="859"/>
      <c r="AH48" s="859"/>
      <c r="AI48" s="856"/>
      <c r="AJ48" s="852"/>
      <c r="AK48" s="852"/>
      <c r="AL48" s="852"/>
      <c r="AM48" s="852"/>
      <c r="AN48" s="852"/>
      <c r="AO48" s="852"/>
      <c r="AP48" s="853"/>
      <c r="AQ48" s="573"/>
      <c r="AR48" s="573"/>
      <c r="AS48" s="573"/>
      <c r="AT48" s="573"/>
      <c r="AU48" s="573"/>
      <c r="AV48" s="573"/>
      <c r="AW48" s="573"/>
      <c r="AX48" s="842"/>
      <c r="AY48" s="470"/>
      <c r="AZ48" s="470"/>
      <c r="BA48" s="470"/>
      <c r="BB48" s="470"/>
      <c r="BC48" s="470"/>
      <c r="BD48" s="470"/>
      <c r="BE48" s="470"/>
      <c r="BF48" s="470"/>
      <c r="BG48" s="470"/>
      <c r="BH48" s="470"/>
    </row>
    <row r="49" spans="1:62" x14ac:dyDescent="0.15">
      <c r="A49" s="822"/>
      <c r="B49" s="896"/>
      <c r="C49" s="897"/>
      <c r="D49" s="897"/>
      <c r="E49" s="3159" t="s">
        <v>972</v>
      </c>
      <c r="F49" s="3159"/>
      <c r="G49" s="3159"/>
      <c r="H49" s="3159"/>
      <c r="I49" s="3159"/>
      <c r="J49" s="3102" t="s">
        <v>973</v>
      </c>
      <c r="K49" s="3102"/>
      <c r="L49" s="3102"/>
      <c r="M49" s="3102"/>
      <c r="N49" s="3102"/>
      <c r="O49" s="3102"/>
      <c r="P49" s="3102"/>
      <c r="Q49" s="3103" t="str">
        <f>IF('1_入力シート【基本情報】'!$DW$196="","",'1_入力シート【基本情報】'!$DW$196)</f>
        <v/>
      </c>
      <c r="R49" s="3103"/>
      <c r="S49" s="3103"/>
      <c r="T49" s="893"/>
      <c r="U49" s="863"/>
      <c r="V49" s="863"/>
      <c r="W49" s="863"/>
      <c r="X49" s="863"/>
      <c r="Y49" s="863"/>
      <c r="Z49" s="849"/>
      <c r="AA49" s="849"/>
      <c r="AB49" s="849"/>
      <c r="AC49" s="849"/>
      <c r="AD49" s="849"/>
      <c r="AE49" s="849"/>
      <c r="AF49" s="849"/>
      <c r="AG49" s="849"/>
      <c r="AH49" s="887"/>
      <c r="AI49" s="856"/>
      <c r="AJ49" s="852"/>
      <c r="AK49" s="852"/>
      <c r="AL49" s="852"/>
      <c r="AM49" s="852"/>
      <c r="AN49" s="852"/>
      <c r="AO49" s="852"/>
      <c r="AP49" s="853"/>
      <c r="AQ49" s="573"/>
      <c r="AR49" s="573"/>
      <c r="AS49" s="573"/>
      <c r="AT49" s="573"/>
      <c r="AU49" s="573"/>
      <c r="AV49" s="573"/>
      <c r="AW49" s="573"/>
      <c r="AX49" s="842"/>
      <c r="AY49" s="470"/>
      <c r="AZ49" s="470"/>
      <c r="BA49" s="470"/>
      <c r="BB49" s="470"/>
      <c r="BC49" s="470"/>
      <c r="BD49" s="470"/>
      <c r="BE49" s="470"/>
      <c r="BF49" s="470"/>
      <c r="BG49" s="470"/>
      <c r="BH49" s="470"/>
    </row>
    <row r="50" spans="1:62" x14ac:dyDescent="0.15">
      <c r="A50" s="822"/>
      <c r="B50" s="896"/>
      <c r="C50" s="897"/>
      <c r="D50" s="897"/>
      <c r="E50" s="3159"/>
      <c r="F50" s="3159"/>
      <c r="G50" s="3159"/>
      <c r="H50" s="3159"/>
      <c r="I50" s="3159"/>
      <c r="J50" s="3090" t="s">
        <v>974</v>
      </c>
      <c r="K50" s="3090"/>
      <c r="L50" s="3090"/>
      <c r="M50" s="3090"/>
      <c r="N50" s="3090"/>
      <c r="O50" s="3090"/>
      <c r="P50" s="3090"/>
      <c r="Q50" s="3103" t="str">
        <f>IF('1_入力シート【基本情報】'!$DW$197="","",'1_入力シート【基本情報】'!$DW$197)</f>
        <v/>
      </c>
      <c r="R50" s="3103"/>
      <c r="S50" s="3103"/>
      <c r="T50" s="3103"/>
      <c r="U50" s="3103"/>
      <c r="V50" s="3103"/>
      <c r="W50" s="3103"/>
      <c r="X50" s="3103"/>
      <c r="Y50" s="3103"/>
      <c r="Z50" s="893"/>
      <c r="AA50" s="849"/>
      <c r="AB50" s="849"/>
      <c r="AC50" s="849"/>
      <c r="AD50" s="849"/>
      <c r="AE50" s="849"/>
      <c r="AF50" s="849"/>
      <c r="AG50" s="849"/>
      <c r="AH50" s="887"/>
      <c r="AI50" s="856"/>
      <c r="AJ50" s="852"/>
      <c r="AK50" s="852"/>
      <c r="AL50" s="852"/>
      <c r="AM50" s="852"/>
      <c r="AN50" s="852"/>
      <c r="AO50" s="852"/>
      <c r="AP50" s="853"/>
      <c r="AQ50" s="573"/>
      <c r="AR50" s="573"/>
      <c r="AS50" s="573"/>
      <c r="AT50" s="573"/>
      <c r="AU50" s="573"/>
      <c r="AV50" s="573"/>
      <c r="AW50" s="573"/>
      <c r="AX50" s="842"/>
      <c r="AY50" s="470"/>
      <c r="AZ50" s="470"/>
      <c r="BA50" s="470"/>
      <c r="BB50" s="470"/>
      <c r="BC50" s="470"/>
      <c r="BD50" s="470"/>
      <c r="BE50" s="470"/>
      <c r="BF50" s="470"/>
      <c r="BG50" s="470"/>
      <c r="BH50" s="470"/>
    </row>
    <row r="51" spans="1:62" x14ac:dyDescent="0.15">
      <c r="A51" s="822"/>
      <c r="B51" s="896"/>
      <c r="C51" s="897"/>
      <c r="D51" s="897"/>
      <c r="E51" s="3159"/>
      <c r="F51" s="3159"/>
      <c r="G51" s="3159"/>
      <c r="H51" s="3159"/>
      <c r="I51" s="3159"/>
      <c r="J51" s="3090" t="s">
        <v>687</v>
      </c>
      <c r="K51" s="3090"/>
      <c r="L51" s="3090"/>
      <c r="M51" s="3090"/>
      <c r="N51" s="3090"/>
      <c r="O51" s="3090"/>
      <c r="P51" s="3090"/>
      <c r="Q51" s="3103" t="str">
        <f>IF('1_入力シート【基本情報】'!DW$198="","",'1_入力シート【基本情報】'!DW$198)</f>
        <v/>
      </c>
      <c r="R51" s="3103"/>
      <c r="S51" s="3130"/>
      <c r="T51" s="3133" t="str">
        <f>IF('1_入力シート【基本情報】'!DX$198="","",'1_入力シート【基本情報】'!DX$198)</f>
        <v/>
      </c>
      <c r="U51" s="3103"/>
      <c r="V51" s="3130"/>
      <c r="W51" s="898" t="s">
        <v>12</v>
      </c>
      <c r="X51" s="899"/>
      <c r="Y51" s="3103" t="str">
        <f>IF('1_入力シート【基本情報】'!DY$198="","",'1_入力シート【基本情報】'!DY$198)</f>
        <v/>
      </c>
      <c r="Z51" s="3103"/>
      <c r="AA51" s="3130"/>
      <c r="AB51" s="900" t="s">
        <v>163</v>
      </c>
      <c r="AC51" s="859"/>
      <c r="AD51" s="3103" t="str">
        <f>IF('1_入力シート【基本情報】'!DZ$198="","",'1_入力シート【基本情報】'!DZ$198)</f>
        <v/>
      </c>
      <c r="AE51" s="3103"/>
      <c r="AF51" s="3130"/>
      <c r="AG51" s="849" t="s">
        <v>164</v>
      </c>
      <c r="AH51" s="849"/>
      <c r="AI51" s="856"/>
      <c r="AJ51" s="852"/>
      <c r="AK51" s="852"/>
      <c r="AL51" s="852"/>
      <c r="AM51" s="852"/>
      <c r="AN51" s="852"/>
      <c r="AO51" s="852"/>
      <c r="AP51" s="853"/>
      <c r="AQ51" s="573"/>
      <c r="AR51" s="573"/>
      <c r="AS51" s="573"/>
      <c r="AT51" s="573"/>
      <c r="AU51" s="573"/>
      <c r="AV51" s="573"/>
      <c r="AW51" s="573"/>
      <c r="AX51" s="842"/>
      <c r="AY51" s="470"/>
      <c r="AZ51" s="470"/>
      <c r="BA51" s="470"/>
      <c r="BB51" s="470"/>
      <c r="BC51" s="470"/>
      <c r="BD51" s="470"/>
      <c r="BE51" s="470"/>
      <c r="BF51" s="470"/>
      <c r="BG51" s="470"/>
      <c r="BH51" s="470"/>
    </row>
    <row r="52" spans="1:62" x14ac:dyDescent="0.15">
      <c r="A52" s="822"/>
      <c r="B52" s="896"/>
      <c r="C52" s="897"/>
      <c r="D52" s="897"/>
      <c r="E52" s="3159"/>
      <c r="F52" s="3159"/>
      <c r="G52" s="3159"/>
      <c r="H52" s="3159"/>
      <c r="I52" s="3159"/>
      <c r="J52" s="3090" t="s">
        <v>683</v>
      </c>
      <c r="K52" s="3090"/>
      <c r="L52" s="3090"/>
      <c r="M52" s="3090"/>
      <c r="N52" s="3090"/>
      <c r="O52" s="3090"/>
      <c r="P52" s="3090"/>
      <c r="Q52" s="3097" t="str">
        <f>IF('1_入力シート【基本情報】'!$DW$199="","",'1_入力シート【基本情報】'!$DW$199)</f>
        <v/>
      </c>
      <c r="R52" s="3097"/>
      <c r="S52" s="3097"/>
      <c r="T52" s="3097"/>
      <c r="U52" s="3097"/>
      <c r="V52" s="3097"/>
      <c r="W52" s="3097"/>
      <c r="X52" s="3097"/>
      <c r="Y52" s="3097"/>
      <c r="Z52" s="3097"/>
      <c r="AA52" s="3097"/>
      <c r="AB52" s="3097"/>
      <c r="AC52" s="3097"/>
      <c r="AD52" s="3097"/>
      <c r="AE52" s="3097"/>
      <c r="AF52" s="3097"/>
      <c r="AG52" s="3097"/>
      <c r="AH52" s="3097"/>
      <c r="AI52" s="3097"/>
      <c r="AJ52" s="3097"/>
      <c r="AK52" s="3097"/>
      <c r="AL52" s="3097"/>
      <c r="AM52" s="3097"/>
      <c r="AN52" s="856"/>
      <c r="AO52" s="852"/>
      <c r="AP52" s="853"/>
      <c r="AQ52" s="573"/>
      <c r="AR52" s="573"/>
      <c r="AS52" s="573"/>
      <c r="AT52" s="573"/>
      <c r="AU52" s="573"/>
      <c r="AV52" s="573"/>
      <c r="AW52" s="573"/>
      <c r="AX52" s="842"/>
      <c r="AY52" s="470"/>
      <c r="AZ52" s="470"/>
      <c r="BA52" s="470"/>
      <c r="BB52" s="470"/>
      <c r="BC52" s="470"/>
      <c r="BD52" s="470"/>
      <c r="BE52" s="470"/>
      <c r="BF52" s="470"/>
      <c r="BG52" s="470"/>
      <c r="BH52" s="470"/>
    </row>
    <row r="53" spans="1:62" ht="15.75" hidden="1" customHeight="1" x14ac:dyDescent="0.15">
      <c r="A53" s="822"/>
      <c r="B53" s="896"/>
      <c r="C53" s="897"/>
      <c r="D53" s="897"/>
      <c r="E53" s="854"/>
      <c r="F53" s="854"/>
      <c r="G53" s="854"/>
      <c r="H53" s="854"/>
      <c r="I53" s="854"/>
      <c r="J53" s="3090" t="s">
        <v>684</v>
      </c>
      <c r="K53" s="3090"/>
      <c r="L53" s="3090"/>
      <c r="M53" s="3090"/>
      <c r="N53" s="3090"/>
      <c r="O53" s="3090"/>
      <c r="P53" s="3090"/>
      <c r="Q53" s="3131"/>
      <c r="R53" s="3131"/>
      <c r="S53" s="3131"/>
      <c r="T53" s="3131"/>
      <c r="U53" s="3131"/>
      <c r="V53" s="3131"/>
      <c r="W53" s="3131"/>
      <c r="X53" s="3131"/>
      <c r="Y53" s="3131"/>
      <c r="Z53" s="3131"/>
      <c r="AA53" s="901" t="str">
        <f>IF(AND(Q49="有",Q53=""),"←プルダウン選択","")</f>
        <v/>
      </c>
      <c r="AB53" s="863"/>
      <c r="AC53" s="863"/>
      <c r="AD53" s="863"/>
      <c r="AE53" s="863"/>
      <c r="AF53" s="863"/>
      <c r="AG53" s="863"/>
      <c r="AH53" s="863"/>
      <c r="AI53" s="856"/>
      <c r="AJ53" s="852"/>
      <c r="AK53" s="852"/>
      <c r="AL53" s="852"/>
      <c r="AM53" s="852"/>
      <c r="AN53" s="852"/>
      <c r="AO53" s="852"/>
      <c r="AP53" s="853"/>
      <c r="AQ53" s="573"/>
      <c r="AR53" s="573"/>
      <c r="AS53" s="573"/>
      <c r="AT53" s="573"/>
      <c r="AU53" s="573"/>
      <c r="AV53" s="573"/>
      <c r="AW53" s="573"/>
      <c r="AX53" s="842"/>
      <c r="AY53" s="470"/>
      <c r="AZ53" s="470"/>
      <c r="BA53" s="470"/>
      <c r="BB53" s="470"/>
      <c r="BC53" s="470"/>
      <c r="BD53" s="470"/>
      <c r="BE53" s="470"/>
      <c r="BF53" s="470"/>
      <c r="BG53" s="470"/>
      <c r="BH53" s="470"/>
    </row>
    <row r="54" spans="1:62" ht="14.25" hidden="1" customHeight="1" x14ac:dyDescent="0.15">
      <c r="A54" s="822"/>
      <c r="B54" s="896"/>
      <c r="C54" s="897"/>
      <c r="D54" s="897"/>
      <c r="E54" s="854"/>
      <c r="F54" s="854"/>
      <c r="G54" s="854"/>
      <c r="H54" s="854"/>
      <c r="I54" s="854"/>
      <c r="J54" s="3114" t="s">
        <v>686</v>
      </c>
      <c r="K54" s="3114"/>
      <c r="L54" s="3114"/>
      <c r="M54" s="3114"/>
      <c r="N54" s="3114"/>
      <c r="O54" s="3114"/>
      <c r="P54" s="3114"/>
      <c r="Q54" s="874"/>
      <c r="R54" s="874"/>
      <c r="S54" s="874"/>
      <c r="T54" s="874"/>
      <c r="U54" s="874"/>
      <c r="V54" s="874"/>
      <c r="W54" s="874"/>
      <c r="X54" s="874"/>
      <c r="Y54" s="874"/>
      <c r="Z54" s="874"/>
      <c r="AA54" s="874"/>
      <c r="AB54" s="874"/>
      <c r="AC54" s="874"/>
      <c r="AD54" s="874"/>
      <c r="AE54" s="874"/>
      <c r="AF54" s="874"/>
      <c r="AG54" s="874"/>
      <c r="AH54" s="874"/>
      <c r="AI54" s="856"/>
      <c r="AJ54" s="852"/>
      <c r="AK54" s="852"/>
      <c r="AL54" s="852"/>
      <c r="AM54" s="852"/>
      <c r="AN54" s="852"/>
      <c r="AO54" s="852"/>
      <c r="AP54" s="853"/>
      <c r="AQ54" s="573"/>
      <c r="AR54" s="573"/>
      <c r="AS54" s="573"/>
      <c r="AT54" s="573"/>
      <c r="AU54" s="573"/>
      <c r="AV54" s="573"/>
      <c r="AW54" s="573"/>
      <c r="AX54" s="842"/>
      <c r="AY54" s="470"/>
      <c r="AZ54" s="470"/>
      <c r="BA54" s="470"/>
      <c r="BB54" s="470"/>
      <c r="BC54" s="470"/>
      <c r="BD54" s="470"/>
      <c r="BE54" s="470"/>
      <c r="BF54" s="470"/>
      <c r="BG54" s="470"/>
      <c r="BH54" s="470"/>
    </row>
    <row r="55" spans="1:62" ht="15.75" customHeight="1" x14ac:dyDescent="0.15">
      <c r="A55" s="822"/>
      <c r="B55" s="896"/>
      <c r="C55" s="897"/>
      <c r="D55" s="897"/>
      <c r="E55" s="3090" t="s">
        <v>682</v>
      </c>
      <c r="F55" s="3090"/>
      <c r="G55" s="3090"/>
      <c r="H55" s="3090"/>
      <c r="I55" s="3090"/>
      <c r="J55" s="3090"/>
      <c r="K55" s="3090"/>
      <c r="L55" s="3090"/>
      <c r="M55" s="3090"/>
      <c r="N55" s="3090"/>
      <c r="O55" s="3090"/>
      <c r="P55" s="3090"/>
      <c r="Q55" s="3132" t="str">
        <f>IF('1_入力シート【基本情報】'!$DW$202="","",'1_入力シート【基本情報】'!$DW$202)</f>
        <v/>
      </c>
      <c r="R55" s="3132"/>
      <c r="S55" s="3132"/>
      <c r="T55" s="885"/>
      <c r="U55" s="859"/>
      <c r="V55" s="859"/>
      <c r="W55" s="859"/>
      <c r="X55" s="859"/>
      <c r="Y55" s="859"/>
      <c r="Z55" s="859"/>
      <c r="AA55" s="859"/>
      <c r="AB55" s="859"/>
      <c r="AC55" s="859"/>
      <c r="AD55" s="859"/>
      <c r="AE55" s="859"/>
      <c r="AF55" s="859"/>
      <c r="AG55" s="859"/>
      <c r="AH55" s="859"/>
      <c r="AI55" s="856"/>
      <c r="AJ55" s="852"/>
      <c r="AK55" s="852"/>
      <c r="AL55" s="852"/>
      <c r="AM55" s="852"/>
      <c r="AN55" s="852"/>
      <c r="AO55" s="852"/>
      <c r="AP55" s="853"/>
      <c r="AQ55" s="573"/>
      <c r="AR55" s="573"/>
      <c r="AS55" s="573"/>
      <c r="AT55" s="573"/>
      <c r="AU55" s="573"/>
      <c r="AV55" s="573"/>
      <c r="AW55" s="573"/>
      <c r="AX55" s="842"/>
      <c r="AY55" s="470"/>
      <c r="AZ55" s="470"/>
      <c r="BA55" s="470"/>
      <c r="BB55" s="470"/>
      <c r="BC55" s="470"/>
      <c r="BD55" s="470"/>
      <c r="BE55" s="470"/>
      <c r="BF55" s="470"/>
      <c r="BG55" s="470"/>
      <c r="BH55" s="470"/>
    </row>
    <row r="56" spans="1:62" ht="15.75" customHeight="1" x14ac:dyDescent="0.15">
      <c r="A56" s="822"/>
      <c r="B56" s="896"/>
      <c r="C56" s="897"/>
      <c r="D56" s="897"/>
      <c r="E56" s="3114" t="s">
        <v>975</v>
      </c>
      <c r="F56" s="3114"/>
      <c r="G56" s="3114"/>
      <c r="H56" s="3114"/>
      <c r="I56" s="3114"/>
      <c r="J56" s="3108" t="s">
        <v>1106</v>
      </c>
      <c r="K56" s="3108"/>
      <c r="L56" s="3108"/>
      <c r="M56" s="3108"/>
      <c r="N56" s="3108"/>
      <c r="O56" s="3108"/>
      <c r="P56" s="3108"/>
      <c r="Q56" s="3103" t="str">
        <f>IF('1_入力シート【基本情報】'!$DW$203="","",'1_入力シート【基本情報】'!$DW$203)</f>
        <v/>
      </c>
      <c r="R56" s="3103"/>
      <c r="S56" s="3103"/>
      <c r="T56" s="893"/>
      <c r="U56" s="863"/>
      <c r="V56" s="863"/>
      <c r="W56" s="863"/>
      <c r="X56" s="863"/>
      <c r="Y56" s="863"/>
      <c r="Z56" s="863"/>
      <c r="AA56" s="863"/>
      <c r="AB56" s="863"/>
      <c r="AC56" s="863"/>
      <c r="AD56" s="863"/>
      <c r="AE56" s="863"/>
      <c r="AF56" s="863"/>
      <c r="AG56" s="849"/>
      <c r="AH56" s="849"/>
      <c r="AI56" s="856"/>
      <c r="AJ56" s="852"/>
      <c r="AK56" s="852"/>
      <c r="AL56" s="852"/>
      <c r="AM56" s="852"/>
      <c r="AN56" s="852"/>
      <c r="AO56" s="852"/>
      <c r="AP56" s="853"/>
      <c r="AQ56" s="573"/>
      <c r="AR56" s="573"/>
      <c r="AS56" s="573"/>
      <c r="AT56" s="573"/>
      <c r="AU56" s="573"/>
      <c r="AV56" s="573"/>
      <c r="AW56" s="573"/>
      <c r="AX56" s="842"/>
      <c r="AY56" s="470"/>
      <c r="AZ56" s="470"/>
      <c r="BA56" s="470"/>
      <c r="BB56" s="470"/>
      <c r="BC56" s="470"/>
      <c r="BD56" s="470"/>
      <c r="BE56" s="470"/>
      <c r="BF56" s="470"/>
      <c r="BG56" s="470"/>
      <c r="BH56" s="470"/>
    </row>
    <row r="57" spans="1:62" x14ac:dyDescent="0.15">
      <c r="A57" s="822"/>
      <c r="B57" s="896"/>
      <c r="C57" s="897"/>
      <c r="D57" s="897"/>
      <c r="E57" s="3107"/>
      <c r="F57" s="3107"/>
      <c r="G57" s="3107"/>
      <c r="H57" s="3107"/>
      <c r="I57" s="3107"/>
      <c r="J57" s="3090" t="s">
        <v>687</v>
      </c>
      <c r="K57" s="3090"/>
      <c r="L57" s="3090"/>
      <c r="M57" s="3090"/>
      <c r="N57" s="3090"/>
      <c r="O57" s="3090"/>
      <c r="P57" s="3090"/>
      <c r="Q57" s="3103" t="str">
        <f>IF('1_入力シート【基本情報】'!DW$204="","",'1_入力シート【基本情報】'!DW$204)</f>
        <v/>
      </c>
      <c r="R57" s="3103"/>
      <c r="S57" s="3130"/>
      <c r="T57" s="3133" t="str">
        <f>IF('1_入力シート【基本情報】'!DX$204="","",'1_入力シート【基本情報】'!DX$204)</f>
        <v/>
      </c>
      <c r="U57" s="3103"/>
      <c r="V57" s="3130"/>
      <c r="W57" s="898" t="s">
        <v>12</v>
      </c>
      <c r="X57" s="899"/>
      <c r="Y57" s="3103" t="str">
        <f>IF('1_入力シート【基本情報】'!DY$204="","",'1_入力シート【基本情報】'!DY$204)</f>
        <v/>
      </c>
      <c r="Z57" s="3103"/>
      <c r="AA57" s="3130"/>
      <c r="AB57" s="859" t="s">
        <v>163</v>
      </c>
      <c r="AC57" s="859"/>
      <c r="AD57" s="3103" t="str">
        <f>IF('1_入力シート【基本情報】'!DZ$204="","",'1_入力シート【基本情報】'!DZ$204)</f>
        <v/>
      </c>
      <c r="AE57" s="3103"/>
      <c r="AF57" s="3130"/>
      <c r="AG57" s="849" t="s">
        <v>164</v>
      </c>
      <c r="AH57" s="849"/>
      <c r="AI57" s="856"/>
      <c r="AJ57" s="852"/>
      <c r="AK57" s="852"/>
      <c r="AL57" s="852"/>
      <c r="AM57" s="852"/>
      <c r="AN57" s="852"/>
      <c r="AO57" s="852"/>
      <c r="AP57" s="853"/>
      <c r="AQ57" s="573"/>
      <c r="AR57" s="573"/>
      <c r="AS57" s="573"/>
      <c r="AT57" s="573"/>
      <c r="AU57" s="573"/>
      <c r="AV57" s="573"/>
      <c r="AW57" s="573"/>
      <c r="AX57" s="842"/>
      <c r="AY57" s="470"/>
      <c r="AZ57" s="470"/>
      <c r="BA57" s="470"/>
      <c r="BB57" s="470"/>
      <c r="BC57" s="470"/>
      <c r="BD57" s="470"/>
      <c r="BE57" s="470"/>
      <c r="BF57" s="470"/>
      <c r="BG57" s="470"/>
      <c r="BH57" s="470"/>
    </row>
    <row r="58" spans="1:62" x14ac:dyDescent="0.15">
      <c r="A58" s="822"/>
      <c r="B58" s="896"/>
      <c r="C58" s="897"/>
      <c r="D58" s="897"/>
      <c r="E58" s="3108"/>
      <c r="F58" s="3108"/>
      <c r="G58" s="3108"/>
      <c r="H58" s="3108"/>
      <c r="I58" s="3108"/>
      <c r="J58" s="3090" t="s">
        <v>683</v>
      </c>
      <c r="K58" s="3090"/>
      <c r="L58" s="3090"/>
      <c r="M58" s="3090"/>
      <c r="N58" s="3090"/>
      <c r="O58" s="3090"/>
      <c r="P58" s="3090"/>
      <c r="Q58" s="3097" t="str">
        <f>IF('1_入力シート【基本情報】'!$DW$205="","",'1_入力シート【基本情報】'!$DW$205)</f>
        <v/>
      </c>
      <c r="R58" s="3097"/>
      <c r="S58" s="3097"/>
      <c r="T58" s="3097"/>
      <c r="U58" s="3097"/>
      <c r="V58" s="3097"/>
      <c r="W58" s="3097"/>
      <c r="X58" s="3097"/>
      <c r="Y58" s="3097"/>
      <c r="Z58" s="3097"/>
      <c r="AA58" s="3097"/>
      <c r="AB58" s="3097"/>
      <c r="AC58" s="3097"/>
      <c r="AD58" s="3097"/>
      <c r="AE58" s="3097"/>
      <c r="AF58" s="3097"/>
      <c r="AG58" s="3097"/>
      <c r="AH58" s="3097"/>
      <c r="AI58" s="3097"/>
      <c r="AJ58" s="3097"/>
      <c r="AK58" s="3097"/>
      <c r="AL58" s="3097"/>
      <c r="AM58" s="3097"/>
      <c r="AN58" s="856"/>
      <c r="AO58" s="852"/>
      <c r="AP58" s="853"/>
      <c r="AQ58" s="573"/>
      <c r="AR58" s="573"/>
      <c r="AS58" s="573"/>
      <c r="AT58" s="573"/>
      <c r="AU58" s="573"/>
      <c r="AV58" s="573"/>
      <c r="AW58" s="573"/>
      <c r="AX58" s="842"/>
      <c r="AY58" s="470"/>
      <c r="AZ58" s="470"/>
      <c r="BA58" s="470"/>
      <c r="BB58" s="470"/>
      <c r="BC58" s="470"/>
      <c r="BD58" s="470"/>
      <c r="BE58" s="470"/>
      <c r="BF58" s="470"/>
      <c r="BG58" s="470"/>
      <c r="BH58" s="470"/>
    </row>
    <row r="59" spans="1:62" hidden="1" x14ac:dyDescent="0.15">
      <c r="A59" s="822"/>
      <c r="B59" s="902"/>
      <c r="C59" s="852"/>
      <c r="D59" s="852"/>
      <c r="E59" s="852"/>
      <c r="F59" s="852"/>
      <c r="G59" s="852"/>
      <c r="H59" s="852"/>
      <c r="I59" s="852"/>
      <c r="J59" s="852" t="s">
        <v>684</v>
      </c>
      <c r="K59" s="852"/>
      <c r="L59" s="852"/>
      <c r="M59" s="852"/>
      <c r="N59" s="852"/>
      <c r="O59" s="852"/>
      <c r="P59" s="852"/>
      <c r="Q59" s="852"/>
      <c r="R59" s="852"/>
      <c r="S59" s="852"/>
      <c r="T59" s="852"/>
      <c r="U59" s="852"/>
      <c r="V59" s="852"/>
      <c r="W59" s="852"/>
      <c r="X59" s="852"/>
      <c r="Y59" s="852"/>
      <c r="Z59" s="852"/>
      <c r="AA59" s="852" t="e">
        <f>IF(AND(#REF!="有",#REF!=""),"←プルダウン選択","")</f>
        <v>#REF!</v>
      </c>
      <c r="AB59" s="852"/>
      <c r="AC59" s="852"/>
      <c r="AD59" s="852"/>
      <c r="AE59" s="852"/>
      <c r="AF59" s="852"/>
      <c r="AG59" s="852"/>
      <c r="AH59" s="852"/>
      <c r="AI59" s="852"/>
      <c r="AJ59" s="852"/>
      <c r="AK59" s="852"/>
      <c r="AL59" s="852"/>
      <c r="AM59" s="852"/>
      <c r="AN59" s="852"/>
      <c r="AO59" s="852"/>
      <c r="AP59" s="853"/>
      <c r="AQ59" s="573"/>
      <c r="AR59" s="573"/>
      <c r="AS59" s="573"/>
      <c r="AT59" s="573"/>
      <c r="AU59" s="573"/>
      <c r="AV59" s="573"/>
      <c r="AW59" s="573"/>
      <c r="AX59" s="842"/>
      <c r="AY59" s="470"/>
      <c r="AZ59" s="470"/>
      <c r="BA59" s="470"/>
      <c r="BB59" s="470"/>
      <c r="BC59" s="470"/>
      <c r="BD59" s="470"/>
      <c r="BE59" s="470"/>
      <c r="BF59" s="470"/>
      <c r="BG59" s="470"/>
      <c r="BH59" s="470"/>
      <c r="BI59" s="470"/>
      <c r="BJ59" s="470"/>
    </row>
    <row r="60" spans="1:62" hidden="1" x14ac:dyDescent="0.15">
      <c r="A60" s="822"/>
      <c r="B60" s="902"/>
      <c r="C60" s="852"/>
      <c r="D60" s="852"/>
      <c r="E60" s="852"/>
      <c r="F60" s="852"/>
      <c r="G60" s="852"/>
      <c r="H60" s="852"/>
      <c r="I60" s="852"/>
      <c r="J60" s="852" t="s">
        <v>686</v>
      </c>
      <c r="K60" s="852"/>
      <c r="L60" s="852"/>
      <c r="M60" s="852"/>
      <c r="N60" s="852"/>
      <c r="O60" s="852"/>
      <c r="P60" s="852"/>
      <c r="Q60" s="852"/>
      <c r="R60" s="852"/>
      <c r="S60" s="852"/>
      <c r="T60" s="852"/>
      <c r="U60" s="852"/>
      <c r="V60" s="852"/>
      <c r="W60" s="852"/>
      <c r="X60" s="852"/>
      <c r="Y60" s="852"/>
      <c r="Z60" s="852"/>
      <c r="AA60" s="852"/>
      <c r="AB60" s="852"/>
      <c r="AC60" s="852"/>
      <c r="AD60" s="852"/>
      <c r="AE60" s="852"/>
      <c r="AF60" s="852"/>
      <c r="AG60" s="852"/>
      <c r="AH60" s="852"/>
      <c r="AI60" s="852"/>
      <c r="AJ60" s="852"/>
      <c r="AK60" s="852"/>
      <c r="AL60" s="852"/>
      <c r="AM60" s="852"/>
      <c r="AN60" s="852"/>
      <c r="AO60" s="852"/>
      <c r="AP60" s="853"/>
      <c r="AQ60" s="573"/>
      <c r="AR60" s="573"/>
      <c r="AS60" s="573"/>
      <c r="AT60" s="573"/>
      <c r="AU60" s="573"/>
      <c r="AV60" s="573"/>
      <c r="AW60" s="573"/>
      <c r="AX60" s="842"/>
      <c r="AY60" s="470"/>
      <c r="AZ60" s="470"/>
      <c r="BA60" s="470"/>
      <c r="BB60" s="470"/>
      <c r="BC60" s="470"/>
      <c r="BD60" s="470"/>
      <c r="BE60" s="470"/>
      <c r="BF60" s="470"/>
      <c r="BG60" s="470"/>
      <c r="BH60" s="470"/>
      <c r="BI60" s="470"/>
      <c r="BJ60" s="470"/>
    </row>
    <row r="61" spans="1:62" ht="8.25" customHeight="1" x14ac:dyDescent="0.15">
      <c r="A61" s="822"/>
      <c r="B61" s="903"/>
      <c r="C61" s="904"/>
      <c r="D61" s="905"/>
      <c r="E61" s="905"/>
      <c r="F61" s="905"/>
      <c r="G61" s="905"/>
      <c r="H61" s="905"/>
      <c r="I61" s="905"/>
      <c r="J61" s="905"/>
      <c r="K61" s="904"/>
      <c r="L61" s="904"/>
      <c r="M61" s="904"/>
      <c r="N61" s="904"/>
      <c r="O61" s="904"/>
      <c r="P61" s="904"/>
      <c r="Q61" s="906"/>
      <c r="R61" s="840"/>
      <c r="S61" s="840"/>
      <c r="T61" s="840"/>
      <c r="U61" s="840"/>
      <c r="V61" s="840"/>
      <c r="W61" s="840"/>
      <c r="X61" s="840"/>
      <c r="Y61" s="840"/>
      <c r="Z61" s="840"/>
      <c r="AA61" s="840"/>
      <c r="AB61" s="840"/>
      <c r="AC61" s="840"/>
      <c r="AD61" s="840"/>
      <c r="AE61" s="840"/>
      <c r="AF61" s="840"/>
      <c r="AG61" s="840"/>
      <c r="AH61" s="840"/>
      <c r="AI61" s="840"/>
      <c r="AJ61" s="840"/>
      <c r="AK61" s="906"/>
      <c r="AL61" s="906"/>
      <c r="AM61" s="906"/>
      <c r="AN61" s="906"/>
      <c r="AO61" s="906"/>
      <c r="AP61" s="907"/>
      <c r="AQ61" s="573"/>
      <c r="AR61" s="573"/>
      <c r="AS61" s="573"/>
      <c r="AT61" s="573"/>
      <c r="AU61" s="573"/>
      <c r="AV61" s="573"/>
      <c r="AW61" s="573"/>
      <c r="AX61" s="842"/>
      <c r="AY61" s="470"/>
      <c r="AZ61" s="470"/>
      <c r="BA61" s="470"/>
      <c r="BB61" s="470"/>
      <c r="BC61" s="470"/>
      <c r="BD61" s="470"/>
      <c r="BE61" s="470"/>
      <c r="BF61" s="470"/>
      <c r="BG61" s="470"/>
      <c r="BH61" s="470"/>
      <c r="BI61" s="470"/>
      <c r="BJ61" s="470"/>
    </row>
    <row r="62" spans="1:62" ht="11.25" customHeight="1" x14ac:dyDescent="0.15">
      <c r="A62" s="822"/>
      <c r="B62" s="908" t="s">
        <v>1861</v>
      </c>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823"/>
      <c r="AK62" s="823"/>
      <c r="AL62" s="823"/>
      <c r="AM62" s="823"/>
      <c r="AN62" s="823"/>
      <c r="AO62" s="823"/>
      <c r="AP62" s="823"/>
      <c r="AQ62" s="823"/>
      <c r="AR62" s="823"/>
      <c r="AS62" s="823"/>
      <c r="AT62" s="823"/>
      <c r="AU62" s="823"/>
      <c r="AV62" s="823"/>
      <c r="AW62" s="823"/>
      <c r="AX62" s="824"/>
    </row>
    <row r="63" spans="1:62" x14ac:dyDescent="0.15">
      <c r="A63" s="822"/>
      <c r="B63" s="3147" t="s">
        <v>1862</v>
      </c>
      <c r="C63" s="3148"/>
      <c r="D63" s="3148"/>
      <c r="E63" s="3148"/>
      <c r="F63" s="3148"/>
      <c r="G63" s="3148"/>
      <c r="H63" s="3148"/>
      <c r="I63" s="3148"/>
      <c r="J63" s="3148"/>
      <c r="K63" s="3148"/>
      <c r="L63" s="3148"/>
      <c r="M63" s="3148"/>
      <c r="N63" s="3148"/>
      <c r="O63" s="3148"/>
      <c r="P63" s="3148"/>
      <c r="Q63" s="3148"/>
      <c r="R63" s="3148"/>
      <c r="S63" s="3148"/>
      <c r="T63" s="3148"/>
      <c r="U63" s="3148"/>
      <c r="V63" s="3148"/>
      <c r="W63" s="3148"/>
      <c r="X63" s="3148"/>
      <c r="Y63" s="3148"/>
      <c r="Z63" s="3148"/>
      <c r="AA63" s="3148"/>
      <c r="AB63" s="3148"/>
      <c r="AC63" s="3148"/>
      <c r="AD63" s="3148"/>
      <c r="AE63" s="3148"/>
      <c r="AF63" s="3148"/>
      <c r="AG63" s="3148"/>
      <c r="AH63" s="3148"/>
      <c r="AI63" s="3148"/>
      <c r="AJ63" s="3148"/>
      <c r="AK63" s="3148"/>
      <c r="AL63" s="3148"/>
      <c r="AM63" s="3148"/>
      <c r="AN63" s="3148"/>
      <c r="AO63" s="3148"/>
      <c r="AP63" s="3148"/>
      <c r="AQ63" s="3148"/>
      <c r="AR63" s="3148"/>
      <c r="AS63" s="3148"/>
      <c r="AT63" s="3148"/>
      <c r="AU63" s="3148"/>
      <c r="AV63" s="3148"/>
      <c r="AW63" s="3149"/>
      <c r="AX63" s="824"/>
    </row>
    <row r="64" spans="1:62" x14ac:dyDescent="0.15">
      <c r="A64" s="822"/>
      <c r="B64" s="3150"/>
      <c r="C64" s="3151"/>
      <c r="D64" s="3151"/>
      <c r="E64" s="3151"/>
      <c r="F64" s="3151"/>
      <c r="G64" s="3151"/>
      <c r="H64" s="3151"/>
      <c r="I64" s="3151"/>
      <c r="J64" s="3151"/>
      <c r="K64" s="3151"/>
      <c r="L64" s="3151"/>
      <c r="M64" s="3151"/>
      <c r="N64" s="3151"/>
      <c r="O64" s="3151"/>
      <c r="P64" s="3151"/>
      <c r="Q64" s="3151"/>
      <c r="R64" s="3151"/>
      <c r="S64" s="3151"/>
      <c r="T64" s="3151"/>
      <c r="U64" s="3151"/>
      <c r="V64" s="3151"/>
      <c r="W64" s="3151"/>
      <c r="X64" s="3151"/>
      <c r="Y64" s="3151"/>
      <c r="Z64" s="3151"/>
      <c r="AA64" s="3151"/>
      <c r="AB64" s="3151"/>
      <c r="AC64" s="3151"/>
      <c r="AD64" s="3151"/>
      <c r="AE64" s="3151"/>
      <c r="AF64" s="3151"/>
      <c r="AG64" s="3151"/>
      <c r="AH64" s="3151"/>
      <c r="AI64" s="3151"/>
      <c r="AJ64" s="3151"/>
      <c r="AK64" s="3151"/>
      <c r="AL64" s="3151"/>
      <c r="AM64" s="3151"/>
      <c r="AN64" s="3151"/>
      <c r="AO64" s="3151"/>
      <c r="AP64" s="3151"/>
      <c r="AQ64" s="3151"/>
      <c r="AR64" s="3151"/>
      <c r="AS64" s="3151"/>
      <c r="AT64" s="3151"/>
      <c r="AU64" s="3151"/>
      <c r="AV64" s="3151"/>
      <c r="AW64" s="3152"/>
      <c r="AX64" s="824"/>
    </row>
    <row r="65" spans="1:50" x14ac:dyDescent="0.15">
      <c r="A65" s="822"/>
      <c r="B65" s="3150"/>
      <c r="C65" s="3151"/>
      <c r="D65" s="3151"/>
      <c r="E65" s="3151"/>
      <c r="F65" s="3151"/>
      <c r="G65" s="3151"/>
      <c r="H65" s="3151"/>
      <c r="I65" s="3151"/>
      <c r="J65" s="3151"/>
      <c r="K65" s="3151"/>
      <c r="L65" s="3151"/>
      <c r="M65" s="3151"/>
      <c r="N65" s="3151"/>
      <c r="O65" s="3151"/>
      <c r="P65" s="3151"/>
      <c r="Q65" s="3151"/>
      <c r="R65" s="3151"/>
      <c r="S65" s="3151"/>
      <c r="T65" s="3151"/>
      <c r="U65" s="3151"/>
      <c r="V65" s="3151"/>
      <c r="W65" s="3151"/>
      <c r="X65" s="3151"/>
      <c r="Y65" s="3151"/>
      <c r="Z65" s="3151"/>
      <c r="AA65" s="3151"/>
      <c r="AB65" s="3151"/>
      <c r="AC65" s="3151"/>
      <c r="AD65" s="3151"/>
      <c r="AE65" s="3151"/>
      <c r="AF65" s="3151"/>
      <c r="AG65" s="3151"/>
      <c r="AH65" s="3151"/>
      <c r="AI65" s="3151"/>
      <c r="AJ65" s="3151"/>
      <c r="AK65" s="3151"/>
      <c r="AL65" s="3151"/>
      <c r="AM65" s="3151"/>
      <c r="AN65" s="3151"/>
      <c r="AO65" s="3151"/>
      <c r="AP65" s="3151"/>
      <c r="AQ65" s="3151"/>
      <c r="AR65" s="3151"/>
      <c r="AS65" s="3151"/>
      <c r="AT65" s="3151"/>
      <c r="AU65" s="3151"/>
      <c r="AV65" s="3151"/>
      <c r="AW65" s="3152"/>
      <c r="AX65" s="824"/>
    </row>
    <row r="66" spans="1:50" x14ac:dyDescent="0.15">
      <c r="A66" s="822"/>
      <c r="B66" s="3150"/>
      <c r="C66" s="3151"/>
      <c r="D66" s="3151"/>
      <c r="E66" s="3151"/>
      <c r="F66" s="3151"/>
      <c r="G66" s="3151"/>
      <c r="H66" s="3151"/>
      <c r="I66" s="3151"/>
      <c r="J66" s="3151"/>
      <c r="K66" s="3151"/>
      <c r="L66" s="3151"/>
      <c r="M66" s="3151"/>
      <c r="N66" s="3151"/>
      <c r="O66" s="3151"/>
      <c r="P66" s="3151"/>
      <c r="Q66" s="3151"/>
      <c r="R66" s="3151"/>
      <c r="S66" s="3151"/>
      <c r="T66" s="3151"/>
      <c r="U66" s="3151"/>
      <c r="V66" s="3151"/>
      <c r="W66" s="3151"/>
      <c r="X66" s="3151"/>
      <c r="Y66" s="3151"/>
      <c r="Z66" s="3151"/>
      <c r="AA66" s="3151"/>
      <c r="AB66" s="3151"/>
      <c r="AC66" s="3151"/>
      <c r="AD66" s="3151"/>
      <c r="AE66" s="3151"/>
      <c r="AF66" s="3151"/>
      <c r="AG66" s="3151"/>
      <c r="AH66" s="3151"/>
      <c r="AI66" s="3151"/>
      <c r="AJ66" s="3151"/>
      <c r="AK66" s="3151"/>
      <c r="AL66" s="3151"/>
      <c r="AM66" s="3151"/>
      <c r="AN66" s="3151"/>
      <c r="AO66" s="3151"/>
      <c r="AP66" s="3151"/>
      <c r="AQ66" s="3151"/>
      <c r="AR66" s="3151"/>
      <c r="AS66" s="3151"/>
      <c r="AT66" s="3151"/>
      <c r="AU66" s="3151"/>
      <c r="AV66" s="3151"/>
      <c r="AW66" s="3152"/>
      <c r="AX66" s="824"/>
    </row>
    <row r="67" spans="1:50" ht="13.5" hidden="1" customHeight="1" x14ac:dyDescent="0.15">
      <c r="A67" s="822"/>
      <c r="B67" s="3150"/>
      <c r="C67" s="3151"/>
      <c r="D67" s="3151"/>
      <c r="E67" s="3151"/>
      <c r="F67" s="3151"/>
      <c r="G67" s="3151"/>
      <c r="H67" s="3151"/>
      <c r="I67" s="3151"/>
      <c r="J67" s="3151"/>
      <c r="K67" s="3151"/>
      <c r="L67" s="3151"/>
      <c r="M67" s="3151"/>
      <c r="N67" s="3151"/>
      <c r="O67" s="3151"/>
      <c r="P67" s="3151"/>
      <c r="Q67" s="3151"/>
      <c r="R67" s="3151"/>
      <c r="S67" s="3151"/>
      <c r="T67" s="3151"/>
      <c r="U67" s="3151"/>
      <c r="V67" s="3151"/>
      <c r="W67" s="3151"/>
      <c r="X67" s="3151"/>
      <c r="Y67" s="3151"/>
      <c r="Z67" s="3151"/>
      <c r="AA67" s="3151"/>
      <c r="AB67" s="3151"/>
      <c r="AC67" s="3151"/>
      <c r="AD67" s="3151"/>
      <c r="AE67" s="3151"/>
      <c r="AF67" s="3151"/>
      <c r="AG67" s="3151"/>
      <c r="AH67" s="3151"/>
      <c r="AI67" s="3151"/>
      <c r="AJ67" s="3151"/>
      <c r="AK67" s="3151"/>
      <c r="AL67" s="3151"/>
      <c r="AM67" s="3151"/>
      <c r="AN67" s="3151"/>
      <c r="AO67" s="3151"/>
      <c r="AP67" s="3151"/>
      <c r="AQ67" s="3151"/>
      <c r="AR67" s="3151"/>
      <c r="AS67" s="3151"/>
      <c r="AT67" s="3151"/>
      <c r="AU67" s="3151"/>
      <c r="AV67" s="3151"/>
      <c r="AW67" s="3152"/>
      <c r="AX67" s="824"/>
    </row>
    <row r="68" spans="1:50" ht="13.5" hidden="1" customHeight="1" x14ac:dyDescent="0.15">
      <c r="A68" s="822"/>
      <c r="B68" s="3150"/>
      <c r="C68" s="3151"/>
      <c r="D68" s="3151"/>
      <c r="E68" s="3151"/>
      <c r="F68" s="3151"/>
      <c r="G68" s="3151"/>
      <c r="H68" s="3151"/>
      <c r="I68" s="3151"/>
      <c r="J68" s="3151"/>
      <c r="K68" s="3151"/>
      <c r="L68" s="3151"/>
      <c r="M68" s="3151"/>
      <c r="N68" s="3151"/>
      <c r="O68" s="3151"/>
      <c r="P68" s="3151"/>
      <c r="Q68" s="3151"/>
      <c r="R68" s="3151"/>
      <c r="S68" s="3151"/>
      <c r="T68" s="3151"/>
      <c r="U68" s="3151"/>
      <c r="V68" s="3151"/>
      <c r="W68" s="3151"/>
      <c r="X68" s="3151"/>
      <c r="Y68" s="3151"/>
      <c r="Z68" s="3151"/>
      <c r="AA68" s="3151"/>
      <c r="AB68" s="3151"/>
      <c r="AC68" s="3151"/>
      <c r="AD68" s="3151"/>
      <c r="AE68" s="3151"/>
      <c r="AF68" s="3151"/>
      <c r="AG68" s="3151"/>
      <c r="AH68" s="3151"/>
      <c r="AI68" s="3151"/>
      <c r="AJ68" s="3151"/>
      <c r="AK68" s="3151"/>
      <c r="AL68" s="3151"/>
      <c r="AM68" s="3151"/>
      <c r="AN68" s="3151"/>
      <c r="AO68" s="3151"/>
      <c r="AP68" s="3151"/>
      <c r="AQ68" s="3151"/>
      <c r="AR68" s="3151"/>
      <c r="AS68" s="3151"/>
      <c r="AT68" s="3151"/>
      <c r="AU68" s="3151"/>
      <c r="AV68" s="3151"/>
      <c r="AW68" s="3152"/>
      <c r="AX68" s="824"/>
    </row>
    <row r="69" spans="1:50" ht="13.5" hidden="1" customHeight="1" x14ac:dyDescent="0.15">
      <c r="A69" s="822"/>
      <c r="B69" s="3150"/>
      <c r="C69" s="3151"/>
      <c r="D69" s="3151"/>
      <c r="E69" s="3151"/>
      <c r="F69" s="3151"/>
      <c r="G69" s="3151"/>
      <c r="H69" s="3151"/>
      <c r="I69" s="3151"/>
      <c r="J69" s="3151"/>
      <c r="K69" s="3151"/>
      <c r="L69" s="3151"/>
      <c r="M69" s="3151"/>
      <c r="N69" s="3151"/>
      <c r="O69" s="3151"/>
      <c r="P69" s="3151"/>
      <c r="Q69" s="3151"/>
      <c r="R69" s="3151"/>
      <c r="S69" s="3151"/>
      <c r="T69" s="3151"/>
      <c r="U69" s="3151"/>
      <c r="V69" s="3151"/>
      <c r="W69" s="3151"/>
      <c r="X69" s="3151"/>
      <c r="Y69" s="3151"/>
      <c r="Z69" s="3151"/>
      <c r="AA69" s="3151"/>
      <c r="AB69" s="3151"/>
      <c r="AC69" s="3151"/>
      <c r="AD69" s="3151"/>
      <c r="AE69" s="3151"/>
      <c r="AF69" s="3151"/>
      <c r="AG69" s="3151"/>
      <c r="AH69" s="3151"/>
      <c r="AI69" s="3151"/>
      <c r="AJ69" s="3151"/>
      <c r="AK69" s="3151"/>
      <c r="AL69" s="3151"/>
      <c r="AM69" s="3151"/>
      <c r="AN69" s="3151"/>
      <c r="AO69" s="3151"/>
      <c r="AP69" s="3151"/>
      <c r="AQ69" s="3151"/>
      <c r="AR69" s="3151"/>
      <c r="AS69" s="3151"/>
      <c r="AT69" s="3151"/>
      <c r="AU69" s="3151"/>
      <c r="AV69" s="3151"/>
      <c r="AW69" s="3152"/>
      <c r="AX69" s="824"/>
    </row>
    <row r="70" spans="1:50" ht="13.5" hidden="1" customHeight="1" x14ac:dyDescent="0.15">
      <c r="A70" s="822"/>
      <c r="B70" s="3150"/>
      <c r="C70" s="3151"/>
      <c r="D70" s="3151"/>
      <c r="E70" s="3151"/>
      <c r="F70" s="3151"/>
      <c r="G70" s="3151"/>
      <c r="H70" s="3151"/>
      <c r="I70" s="3151"/>
      <c r="J70" s="3151"/>
      <c r="K70" s="3151"/>
      <c r="L70" s="3151"/>
      <c r="M70" s="3151"/>
      <c r="N70" s="3151"/>
      <c r="O70" s="3151"/>
      <c r="P70" s="3151"/>
      <c r="Q70" s="3151"/>
      <c r="R70" s="3151"/>
      <c r="S70" s="3151"/>
      <c r="T70" s="3151"/>
      <c r="U70" s="3151"/>
      <c r="V70" s="3151"/>
      <c r="W70" s="3151"/>
      <c r="X70" s="3151"/>
      <c r="Y70" s="3151"/>
      <c r="Z70" s="3151"/>
      <c r="AA70" s="3151"/>
      <c r="AB70" s="3151"/>
      <c r="AC70" s="3151"/>
      <c r="AD70" s="3151"/>
      <c r="AE70" s="3151"/>
      <c r="AF70" s="3151"/>
      <c r="AG70" s="3151"/>
      <c r="AH70" s="3151"/>
      <c r="AI70" s="3151"/>
      <c r="AJ70" s="3151"/>
      <c r="AK70" s="3151"/>
      <c r="AL70" s="3151"/>
      <c r="AM70" s="3151"/>
      <c r="AN70" s="3151"/>
      <c r="AO70" s="3151"/>
      <c r="AP70" s="3151"/>
      <c r="AQ70" s="3151"/>
      <c r="AR70" s="3151"/>
      <c r="AS70" s="3151"/>
      <c r="AT70" s="3151"/>
      <c r="AU70" s="3151"/>
      <c r="AV70" s="3151"/>
      <c r="AW70" s="3152"/>
      <c r="AX70" s="824"/>
    </row>
    <row r="71" spans="1:50" ht="21" customHeight="1" x14ac:dyDescent="0.15">
      <c r="A71" s="822"/>
      <c r="B71" s="3150"/>
      <c r="C71" s="3151"/>
      <c r="D71" s="3151"/>
      <c r="E71" s="3151"/>
      <c r="F71" s="3151"/>
      <c r="G71" s="3151"/>
      <c r="H71" s="3151"/>
      <c r="I71" s="3151"/>
      <c r="J71" s="3151"/>
      <c r="K71" s="3151"/>
      <c r="L71" s="3151"/>
      <c r="M71" s="3151"/>
      <c r="N71" s="3151"/>
      <c r="O71" s="3151"/>
      <c r="P71" s="3151"/>
      <c r="Q71" s="3151"/>
      <c r="R71" s="3151"/>
      <c r="S71" s="3151"/>
      <c r="T71" s="3151"/>
      <c r="U71" s="3151"/>
      <c r="V71" s="3151"/>
      <c r="W71" s="3151"/>
      <c r="X71" s="3151"/>
      <c r="Y71" s="3151"/>
      <c r="Z71" s="3151"/>
      <c r="AA71" s="3151"/>
      <c r="AB71" s="3151"/>
      <c r="AC71" s="3151"/>
      <c r="AD71" s="3151"/>
      <c r="AE71" s="3151"/>
      <c r="AF71" s="3151"/>
      <c r="AG71" s="3151"/>
      <c r="AH71" s="3151"/>
      <c r="AI71" s="3151"/>
      <c r="AJ71" s="3151"/>
      <c r="AK71" s="3151"/>
      <c r="AL71" s="3151"/>
      <c r="AM71" s="3151"/>
      <c r="AN71" s="3151"/>
      <c r="AO71" s="3151"/>
      <c r="AP71" s="3151"/>
      <c r="AQ71" s="3151"/>
      <c r="AR71" s="3151"/>
      <c r="AS71" s="3151"/>
      <c r="AT71" s="3151"/>
      <c r="AU71" s="3151"/>
      <c r="AV71" s="3151"/>
      <c r="AW71" s="3152"/>
      <c r="AX71" s="824"/>
    </row>
    <row r="72" spans="1:50" x14ac:dyDescent="0.15">
      <c r="A72" s="822"/>
      <c r="B72" s="3153"/>
      <c r="C72" s="3154"/>
      <c r="D72" s="3154"/>
      <c r="E72" s="3154"/>
      <c r="F72" s="3154"/>
      <c r="G72" s="3154"/>
      <c r="H72" s="3154"/>
      <c r="I72" s="3154"/>
      <c r="J72" s="3154"/>
      <c r="K72" s="3154"/>
      <c r="L72" s="3154"/>
      <c r="M72" s="3154"/>
      <c r="N72" s="3154"/>
      <c r="O72" s="3154"/>
      <c r="P72" s="3154"/>
      <c r="Q72" s="3154"/>
      <c r="R72" s="3154"/>
      <c r="S72" s="3154"/>
      <c r="T72" s="3154"/>
      <c r="U72" s="3154"/>
      <c r="V72" s="3154"/>
      <c r="W72" s="3154"/>
      <c r="X72" s="3154"/>
      <c r="Y72" s="3154"/>
      <c r="Z72" s="3154"/>
      <c r="AA72" s="3154"/>
      <c r="AB72" s="3154"/>
      <c r="AC72" s="3154"/>
      <c r="AD72" s="3154"/>
      <c r="AE72" s="3154"/>
      <c r="AF72" s="3154"/>
      <c r="AG72" s="3154"/>
      <c r="AH72" s="3154"/>
      <c r="AI72" s="3154"/>
      <c r="AJ72" s="3154"/>
      <c r="AK72" s="3154"/>
      <c r="AL72" s="3154"/>
      <c r="AM72" s="3154"/>
      <c r="AN72" s="3154"/>
      <c r="AO72" s="3154"/>
      <c r="AP72" s="3154"/>
      <c r="AQ72" s="3154"/>
      <c r="AR72" s="3154"/>
      <c r="AS72" s="3154"/>
      <c r="AT72" s="3154"/>
      <c r="AU72" s="3154"/>
      <c r="AV72" s="3154"/>
      <c r="AW72" s="3155"/>
      <c r="AX72" s="824"/>
    </row>
    <row r="73" spans="1:50" x14ac:dyDescent="0.15">
      <c r="A73" s="822"/>
      <c r="B73" s="909"/>
      <c r="C73" s="910"/>
      <c r="D73" s="910"/>
      <c r="E73" s="910"/>
      <c r="F73" s="910"/>
      <c r="G73" s="910"/>
      <c r="H73" s="910"/>
      <c r="I73" s="910"/>
      <c r="J73" s="910"/>
      <c r="K73" s="910"/>
      <c r="L73" s="910"/>
      <c r="M73" s="910"/>
      <c r="N73" s="910"/>
      <c r="O73" s="910"/>
      <c r="P73" s="910"/>
      <c r="Q73" s="911"/>
      <c r="R73" s="912" t="s">
        <v>2766</v>
      </c>
      <c r="S73" s="913" t="s">
        <v>1863</v>
      </c>
      <c r="T73" s="913"/>
      <c r="U73" s="913"/>
      <c r="V73" s="913"/>
      <c r="W73" s="913"/>
      <c r="X73" s="913"/>
      <c r="Y73" s="913"/>
      <c r="Z73" s="913"/>
      <c r="AA73" s="913"/>
      <c r="AB73" s="913"/>
      <c r="AC73" s="913"/>
      <c r="AD73" s="913"/>
      <c r="AE73" s="913"/>
      <c r="AF73" s="913"/>
      <c r="AG73" s="913"/>
      <c r="AH73" s="913"/>
      <c r="AI73" s="913"/>
      <c r="AJ73" s="914"/>
      <c r="AK73" s="914"/>
      <c r="AL73" s="3139" t="s">
        <v>2727</v>
      </c>
      <c r="AM73" s="3140"/>
      <c r="AN73" s="3140"/>
      <c r="AO73" s="3140"/>
      <c r="AP73" s="3140"/>
      <c r="AQ73" s="3140"/>
      <c r="AR73" s="3140"/>
      <c r="AS73" s="3140"/>
      <c r="AT73" s="3140"/>
      <c r="AU73" s="3140"/>
      <c r="AV73" s="3140"/>
      <c r="AW73" s="3141"/>
      <c r="AX73" s="824"/>
    </row>
    <row r="74" spans="1:50" x14ac:dyDescent="0.15">
      <c r="A74" s="822"/>
      <c r="B74" s="915"/>
      <c r="C74" s="916"/>
      <c r="D74" s="916"/>
      <c r="E74" s="916"/>
      <c r="F74" s="916"/>
      <c r="G74" s="916"/>
      <c r="H74" s="916"/>
      <c r="I74" s="916"/>
      <c r="J74" s="916"/>
      <c r="K74" s="916"/>
      <c r="L74" s="916"/>
      <c r="M74" s="916"/>
      <c r="N74" s="916"/>
      <c r="O74" s="916"/>
      <c r="P74" s="916"/>
      <c r="Q74" s="917"/>
      <c r="R74" s="918"/>
      <c r="S74" s="919" t="s">
        <v>1864</v>
      </c>
      <c r="T74" s="919"/>
      <c r="U74" s="919"/>
      <c r="V74" s="919"/>
      <c r="W74" s="919"/>
      <c r="X74" s="919"/>
      <c r="Y74" s="919"/>
      <c r="Z74" s="919"/>
      <c r="AA74" s="919"/>
      <c r="AB74" s="919"/>
      <c r="AC74" s="919"/>
      <c r="AD74" s="919"/>
      <c r="AE74" s="919"/>
      <c r="AF74" s="919"/>
      <c r="AG74" s="919"/>
      <c r="AH74" s="919"/>
      <c r="AI74" s="919"/>
      <c r="AJ74" s="823"/>
      <c r="AK74" s="823"/>
      <c r="AL74" s="3142"/>
      <c r="AM74" s="3142"/>
      <c r="AN74" s="3142"/>
      <c r="AO74" s="3142"/>
      <c r="AP74" s="3142"/>
      <c r="AQ74" s="3142"/>
      <c r="AR74" s="3142"/>
      <c r="AS74" s="3142"/>
      <c r="AT74" s="3142"/>
      <c r="AU74" s="3142"/>
      <c r="AV74" s="3142"/>
      <c r="AW74" s="3143"/>
      <c r="AX74" s="824"/>
    </row>
    <row r="75" spans="1:50" ht="13.5" customHeight="1" x14ac:dyDescent="0.15">
      <c r="A75" s="822"/>
      <c r="B75" s="822"/>
      <c r="C75" s="823"/>
      <c r="D75" s="823"/>
      <c r="E75" s="823"/>
      <c r="F75" s="823"/>
      <c r="G75" s="823"/>
      <c r="H75" s="823"/>
      <c r="I75" s="823"/>
      <c r="J75" s="823"/>
      <c r="K75" s="823"/>
      <c r="L75" s="823"/>
      <c r="M75" s="823"/>
      <c r="N75" s="823"/>
      <c r="O75" s="823"/>
      <c r="P75" s="823"/>
      <c r="Q75" s="823"/>
      <c r="R75" s="1116"/>
      <c r="S75" s="3138" t="s">
        <v>2726</v>
      </c>
      <c r="T75" s="3138"/>
      <c r="U75" s="3138"/>
      <c r="V75" s="3138"/>
      <c r="W75" s="3138"/>
      <c r="X75" s="3138"/>
      <c r="Y75" s="3138"/>
      <c r="Z75" s="3138"/>
      <c r="AA75" s="3138"/>
      <c r="AB75" s="3138"/>
      <c r="AC75" s="3138"/>
      <c r="AD75" s="3138"/>
      <c r="AE75" s="3138"/>
      <c r="AF75" s="3138"/>
      <c r="AG75" s="3138"/>
      <c r="AH75" s="3138"/>
      <c r="AI75" s="3138"/>
      <c r="AJ75" s="3138"/>
      <c r="AK75" s="3138"/>
      <c r="AL75" s="3142"/>
      <c r="AM75" s="3142"/>
      <c r="AN75" s="3142"/>
      <c r="AO75" s="3142"/>
      <c r="AP75" s="3142"/>
      <c r="AQ75" s="3142"/>
      <c r="AR75" s="3142"/>
      <c r="AS75" s="3142"/>
      <c r="AT75" s="3142"/>
      <c r="AU75" s="3142"/>
      <c r="AV75" s="3142"/>
      <c r="AW75" s="3143"/>
      <c r="AX75" s="824"/>
    </row>
    <row r="76" spans="1:50" x14ac:dyDescent="0.15">
      <c r="A76" s="822"/>
      <c r="B76" s="822"/>
      <c r="C76" s="823"/>
      <c r="D76" s="823"/>
      <c r="E76" s="823"/>
      <c r="F76" s="823"/>
      <c r="G76" s="823"/>
      <c r="H76" s="823"/>
      <c r="I76" s="823"/>
      <c r="J76" s="823"/>
      <c r="K76" s="823"/>
      <c r="L76" s="823"/>
      <c r="M76" s="823"/>
      <c r="N76" s="823"/>
      <c r="O76" s="823"/>
      <c r="P76" s="823"/>
      <c r="Q76" s="823"/>
      <c r="R76" s="920"/>
      <c r="S76" s="921" t="s">
        <v>1865</v>
      </c>
      <c r="T76" s="921"/>
      <c r="U76" s="921"/>
      <c r="V76" s="921"/>
      <c r="W76" s="921"/>
      <c r="X76" s="921"/>
      <c r="Y76" s="921"/>
      <c r="Z76" s="921"/>
      <c r="AA76" s="921"/>
      <c r="AB76" s="921"/>
      <c r="AC76" s="921"/>
      <c r="AD76" s="921"/>
      <c r="AE76" s="921"/>
      <c r="AF76" s="921"/>
      <c r="AG76" s="921"/>
      <c r="AH76" s="921"/>
      <c r="AI76" s="921"/>
      <c r="AJ76" s="922"/>
      <c r="AK76" s="922"/>
      <c r="AL76" s="3144"/>
      <c r="AM76" s="3144"/>
      <c r="AN76" s="3144"/>
      <c r="AO76" s="3144"/>
      <c r="AP76" s="3144"/>
      <c r="AQ76" s="3144"/>
      <c r="AR76" s="3144"/>
      <c r="AS76" s="3144"/>
      <c r="AT76" s="3144"/>
      <c r="AU76" s="3144"/>
      <c r="AV76" s="3144"/>
      <c r="AW76" s="3145"/>
      <c r="AX76" s="824"/>
    </row>
    <row r="77" spans="1:50" ht="10.5" customHeight="1" x14ac:dyDescent="0.15">
      <c r="A77" s="822"/>
      <c r="B77" s="822"/>
      <c r="C77" s="823"/>
      <c r="D77" s="823"/>
      <c r="E77" s="823"/>
      <c r="F77" s="823"/>
      <c r="G77" s="823"/>
      <c r="H77" s="823"/>
      <c r="I77" s="823"/>
      <c r="J77" s="823"/>
      <c r="K77" s="823"/>
      <c r="L77" s="823"/>
      <c r="M77" s="823"/>
      <c r="N77" s="823"/>
      <c r="O77" s="823"/>
      <c r="P77" s="823"/>
      <c r="Q77" s="823"/>
      <c r="R77" s="1144" t="s">
        <v>2773</v>
      </c>
      <c r="S77" s="914"/>
      <c r="T77" s="914"/>
      <c r="U77" s="914"/>
      <c r="V77" s="1147"/>
      <c r="W77" s="1147"/>
      <c r="X77" s="1147"/>
      <c r="Y77" s="1147"/>
      <c r="Z77" s="1147"/>
      <c r="AA77" s="1147"/>
      <c r="AB77" s="1147"/>
      <c r="AC77" s="1147"/>
      <c r="AD77" s="1147"/>
      <c r="AE77" s="1148"/>
      <c r="AF77" s="925" t="s">
        <v>1866</v>
      </c>
      <c r="AG77" s="926"/>
      <c r="AH77" s="926"/>
      <c r="AI77" s="927"/>
      <c r="AJ77" s="927"/>
      <c r="AK77" s="927"/>
      <c r="AL77" s="927"/>
      <c r="AM77" s="927"/>
      <c r="AN77" s="926"/>
      <c r="AO77" s="926"/>
      <c r="AP77" s="926"/>
      <c r="AQ77" s="926"/>
      <c r="AR77" s="926"/>
      <c r="AS77" s="926"/>
      <c r="AT77" s="926"/>
      <c r="AU77" s="926"/>
      <c r="AV77" s="926"/>
      <c r="AW77" s="928"/>
      <c r="AX77" s="824"/>
    </row>
    <row r="78" spans="1:50" ht="9.75" customHeight="1" x14ac:dyDescent="0.15">
      <c r="A78" s="822"/>
      <c r="B78" s="822"/>
      <c r="C78" s="823"/>
      <c r="D78" s="823"/>
      <c r="E78" s="823"/>
      <c r="F78" s="823"/>
      <c r="G78" s="823"/>
      <c r="H78" s="823"/>
      <c r="I78" s="823"/>
      <c r="J78" s="823"/>
      <c r="K78" s="823"/>
      <c r="L78" s="823"/>
      <c r="M78" s="823"/>
      <c r="N78" s="823"/>
      <c r="O78" s="823"/>
      <c r="P78" s="823"/>
      <c r="Q78" s="823"/>
      <c r="R78" s="1145"/>
      <c r="S78" s="1146"/>
      <c r="T78" s="1146"/>
      <c r="U78" s="1146"/>
      <c r="V78" s="1149"/>
      <c r="W78" s="1149"/>
      <c r="X78" s="1149"/>
      <c r="Y78" s="1149"/>
      <c r="Z78" s="1149"/>
      <c r="AA78" s="1149"/>
      <c r="AB78" s="1149"/>
      <c r="AC78" s="1149"/>
      <c r="AD78" s="1149"/>
      <c r="AE78" s="1150"/>
      <c r="AF78" s="1141"/>
      <c r="AG78" s="929"/>
      <c r="AH78" s="929"/>
      <c r="AI78" s="929"/>
      <c r="AJ78" s="929"/>
      <c r="AK78" s="929"/>
      <c r="AL78" s="1138"/>
      <c r="AM78" s="1138"/>
      <c r="AN78" s="1138"/>
      <c r="AO78" s="1138"/>
      <c r="AP78" s="1138"/>
      <c r="AQ78" s="1138"/>
      <c r="AR78" s="3080" t="s">
        <v>1867</v>
      </c>
      <c r="AS78" s="3080"/>
      <c r="AT78" s="3080"/>
      <c r="AU78" s="3080"/>
      <c r="AV78" s="3080"/>
      <c r="AW78" s="3081"/>
      <c r="AX78" s="824"/>
    </row>
    <row r="79" spans="1:50" ht="13.5" customHeight="1" x14ac:dyDescent="0.15">
      <c r="A79" s="822"/>
      <c r="B79" s="822"/>
      <c r="C79" s="823"/>
      <c r="D79" s="823"/>
      <c r="E79" s="823"/>
      <c r="F79" s="823"/>
      <c r="G79" s="823"/>
      <c r="H79" s="823"/>
      <c r="I79" s="823"/>
      <c r="J79" s="823"/>
      <c r="K79" s="823"/>
      <c r="L79" s="823"/>
      <c r="M79" s="823"/>
      <c r="N79" s="823"/>
      <c r="O79" s="823"/>
      <c r="P79" s="823"/>
      <c r="Q79" s="823"/>
      <c r="R79" s="1151" t="s">
        <v>2774</v>
      </c>
      <c r="S79" s="1152"/>
      <c r="T79" s="1152"/>
      <c r="U79" s="1152"/>
      <c r="V79" s="3134" t="s">
        <v>2772</v>
      </c>
      <c r="W79" s="3134"/>
      <c r="X79" s="3134"/>
      <c r="Y79" s="3134"/>
      <c r="Z79" s="3134"/>
      <c r="AA79" s="3134"/>
      <c r="AB79" s="3134"/>
      <c r="AC79" s="3134"/>
      <c r="AD79" s="3134"/>
      <c r="AE79" s="3135"/>
      <c r="AF79" s="1142"/>
      <c r="AG79" s="931"/>
      <c r="AH79" s="931"/>
      <c r="AI79" s="931"/>
      <c r="AJ79" s="931"/>
      <c r="AK79" s="931"/>
      <c r="AL79" s="1136"/>
      <c r="AM79" s="1136"/>
      <c r="AN79" s="1136"/>
      <c r="AO79" s="1136"/>
      <c r="AP79" s="1136"/>
      <c r="AQ79" s="1136"/>
      <c r="AR79" s="3082" t="s">
        <v>1868</v>
      </c>
      <c r="AS79" s="3082"/>
      <c r="AT79" s="3082"/>
      <c r="AU79" s="3082"/>
      <c r="AV79" s="3082"/>
      <c r="AW79" s="3083"/>
      <c r="AX79" s="824"/>
    </row>
    <row r="80" spans="1:50" x14ac:dyDescent="0.15">
      <c r="A80" s="822"/>
      <c r="B80" s="932"/>
      <c r="C80" s="923"/>
      <c r="D80" s="923"/>
      <c r="E80" s="923"/>
      <c r="F80" s="923"/>
      <c r="G80" s="923"/>
      <c r="H80" s="923"/>
      <c r="I80" s="923"/>
      <c r="J80" s="923"/>
      <c r="K80" s="923"/>
      <c r="L80" s="923"/>
      <c r="M80" s="923"/>
      <c r="N80" s="923"/>
      <c r="O80" s="923"/>
      <c r="P80" s="923"/>
      <c r="Q80" s="923"/>
      <c r="R80" s="1140"/>
      <c r="S80" s="922"/>
      <c r="T80" s="922"/>
      <c r="U80" s="922"/>
      <c r="V80" s="3136"/>
      <c r="W80" s="3136"/>
      <c r="X80" s="3136"/>
      <c r="Y80" s="3136"/>
      <c r="Z80" s="3136"/>
      <c r="AA80" s="3136"/>
      <c r="AB80" s="3136"/>
      <c r="AC80" s="3136"/>
      <c r="AD80" s="3136"/>
      <c r="AE80" s="3137"/>
      <c r="AF80" s="1143"/>
      <c r="AG80" s="933"/>
      <c r="AH80" s="933"/>
      <c r="AI80" s="933"/>
      <c r="AJ80" s="933"/>
      <c r="AK80" s="933"/>
      <c r="AL80" s="1137"/>
      <c r="AM80" s="1137"/>
      <c r="AN80" s="1137"/>
      <c r="AO80" s="1137"/>
      <c r="AP80" s="1137"/>
      <c r="AQ80" s="1137"/>
      <c r="AR80" s="3084"/>
      <c r="AS80" s="3084"/>
      <c r="AT80" s="3084"/>
      <c r="AU80" s="3084"/>
      <c r="AV80" s="3084"/>
      <c r="AW80" s="3085"/>
      <c r="AX80" s="824"/>
    </row>
    <row r="81" spans="1:50" x14ac:dyDescent="0.15">
      <c r="A81" s="822"/>
      <c r="B81" s="823"/>
      <c r="C81" s="823"/>
      <c r="D81" s="823"/>
      <c r="E81" s="823"/>
      <c r="F81" s="823"/>
      <c r="G81" s="823"/>
      <c r="H81" s="823"/>
      <c r="I81" s="823"/>
      <c r="J81" s="823"/>
      <c r="K81" s="823"/>
      <c r="L81" s="823"/>
      <c r="M81" s="823"/>
      <c r="N81" s="823"/>
      <c r="O81" s="823"/>
      <c r="P81" s="823"/>
      <c r="Q81" s="823"/>
      <c r="R81" s="823"/>
      <c r="S81" s="823"/>
      <c r="T81" s="823"/>
      <c r="U81" s="823"/>
      <c r="V81" s="823"/>
      <c r="W81" s="823"/>
      <c r="X81" s="823"/>
      <c r="Y81" s="823"/>
      <c r="Z81" s="823"/>
      <c r="AA81" s="823"/>
      <c r="AB81" s="823"/>
      <c r="AC81" s="823"/>
      <c r="AD81" s="823"/>
      <c r="AE81" s="823"/>
      <c r="AF81" s="823"/>
      <c r="AG81" s="823"/>
      <c r="AH81" s="823"/>
      <c r="AI81" s="934"/>
      <c r="AJ81" s="930"/>
      <c r="AK81" s="930"/>
      <c r="AL81" s="930"/>
      <c r="AM81" s="930"/>
      <c r="AN81" s="935"/>
      <c r="AO81" s="935"/>
      <c r="AP81" s="823"/>
      <c r="AQ81" s="823"/>
      <c r="AR81" s="823"/>
      <c r="AS81" s="823"/>
      <c r="AT81" s="823"/>
      <c r="AU81" s="823"/>
      <c r="AV81" s="823"/>
      <c r="AW81" s="936"/>
      <c r="AX81" s="824"/>
    </row>
    <row r="82" spans="1:50" x14ac:dyDescent="0.15">
      <c r="A82" s="932"/>
      <c r="B82" s="923"/>
      <c r="C82" s="923"/>
      <c r="D82" s="923"/>
      <c r="E82" s="923"/>
      <c r="F82" s="923"/>
      <c r="G82" s="923"/>
      <c r="H82" s="923"/>
      <c r="I82" s="923"/>
      <c r="J82" s="923"/>
      <c r="K82" s="923"/>
      <c r="L82" s="923"/>
      <c r="M82" s="923"/>
      <c r="N82" s="923"/>
      <c r="O82" s="923"/>
      <c r="P82" s="923"/>
      <c r="Q82" s="923"/>
      <c r="R82" s="923"/>
      <c r="S82" s="923"/>
      <c r="T82" s="923"/>
      <c r="U82" s="923"/>
      <c r="V82" s="923"/>
      <c r="W82" s="923"/>
      <c r="X82" s="923"/>
      <c r="Y82" s="923"/>
      <c r="Z82" s="923"/>
      <c r="AA82" s="923"/>
      <c r="AB82" s="923"/>
      <c r="AC82" s="923"/>
      <c r="AD82" s="923"/>
      <c r="AE82" s="923"/>
      <c r="AF82" s="923"/>
      <c r="AG82" s="923"/>
      <c r="AH82" s="923"/>
      <c r="AI82" s="922"/>
      <c r="AJ82" s="922"/>
      <c r="AK82" s="922"/>
      <c r="AL82" s="922"/>
      <c r="AM82" s="922"/>
      <c r="AN82" s="923"/>
      <c r="AO82" s="923"/>
      <c r="AP82" s="923"/>
      <c r="AQ82" s="923"/>
      <c r="AR82" s="1139"/>
      <c r="AS82" s="923"/>
      <c r="AT82" s="923"/>
      <c r="AU82" s="923"/>
      <c r="AV82" s="923"/>
      <c r="AW82" s="923"/>
      <c r="AX82" s="924"/>
    </row>
    <row r="83" spans="1:50" x14ac:dyDescent="0.15">
      <c r="AH83" s="937"/>
      <c r="AI83" s="937"/>
      <c r="AJ83" s="937"/>
      <c r="AK83" s="937"/>
      <c r="AL83" s="937"/>
    </row>
  </sheetData>
  <sheetProtection algorithmName="SHA-512" hashValue="W2U/W9wcCB1zWoBuO8TbJfZMGxDyQIUtUzMBPmOx7Q2zii9PczxU0y+6QglZMGY+b2axcOac26IBnCXtNGJyRA==" saltValue="0QlH1gtMbBJuUNM6e7Cb5g==" spinCount="100000" sheet="1"/>
  <mergeCells count="84">
    <mergeCell ref="V79:AE80"/>
    <mergeCell ref="S75:AK75"/>
    <mergeCell ref="AL73:AW76"/>
    <mergeCell ref="Q35:AI35"/>
    <mergeCell ref="D35:P35"/>
    <mergeCell ref="J58:P58"/>
    <mergeCell ref="B63:AW72"/>
    <mergeCell ref="J56:P56"/>
    <mergeCell ref="Q58:AM58"/>
    <mergeCell ref="D37:I41"/>
    <mergeCell ref="Q41:U41"/>
    <mergeCell ref="T57:V57"/>
    <mergeCell ref="Y57:AA57"/>
    <mergeCell ref="J54:P54"/>
    <mergeCell ref="Q46:U46"/>
    <mergeCell ref="E49:I52"/>
    <mergeCell ref="J57:P57"/>
    <mergeCell ref="Q57:S57"/>
    <mergeCell ref="AD51:AF51"/>
    <mergeCell ref="J52:P52"/>
    <mergeCell ref="J53:P53"/>
    <mergeCell ref="Q53:Z53"/>
    <mergeCell ref="Q56:S56"/>
    <mergeCell ref="AD57:AF57"/>
    <mergeCell ref="E55:P55"/>
    <mergeCell ref="Q55:S55"/>
    <mergeCell ref="E56:I58"/>
    <mergeCell ref="J51:P51"/>
    <mergeCell ref="Q51:S51"/>
    <mergeCell ref="T51:V51"/>
    <mergeCell ref="Y51:AA51"/>
    <mergeCell ref="AR1:AX1"/>
    <mergeCell ref="A2:AX2"/>
    <mergeCell ref="D45:I46"/>
    <mergeCell ref="J45:P45"/>
    <mergeCell ref="Q45:S45"/>
    <mergeCell ref="J41:P41"/>
    <mergeCell ref="AJ30:AL30"/>
    <mergeCell ref="V31:AM31"/>
    <mergeCell ref="B4:AP4"/>
    <mergeCell ref="AR4:AT4"/>
    <mergeCell ref="B10:G11"/>
    <mergeCell ref="H10:AU11"/>
    <mergeCell ref="H14:AU14"/>
    <mergeCell ref="AU4:AW4"/>
    <mergeCell ref="AR5:AW5"/>
    <mergeCell ref="B8:G9"/>
    <mergeCell ref="J49:P49"/>
    <mergeCell ref="Q49:S49"/>
    <mergeCell ref="J50:P50"/>
    <mergeCell ref="Q50:Y50"/>
    <mergeCell ref="H15:AU15"/>
    <mergeCell ref="H16:AU16"/>
    <mergeCell ref="D28:P28"/>
    <mergeCell ref="Q28:AI28"/>
    <mergeCell ref="D29:K31"/>
    <mergeCell ref="Q29:AI29"/>
    <mergeCell ref="V30:X30"/>
    <mergeCell ref="Y30:AA30"/>
    <mergeCell ref="AD30:AF30"/>
    <mergeCell ref="AG30:AH30"/>
    <mergeCell ref="H17:AU17"/>
    <mergeCell ref="H20:AU20"/>
    <mergeCell ref="H8:J9"/>
    <mergeCell ref="K8:M9"/>
    <mergeCell ref="N8:O9"/>
    <mergeCell ref="P8:Y9"/>
    <mergeCell ref="Z8:AN8"/>
    <mergeCell ref="Q48:S48"/>
    <mergeCell ref="AR78:AW78"/>
    <mergeCell ref="AR79:AW80"/>
    <mergeCell ref="D33:P33"/>
    <mergeCell ref="Q33:AI33"/>
    <mergeCell ref="B48:D48"/>
    <mergeCell ref="E48:P48"/>
    <mergeCell ref="D42:I44"/>
    <mergeCell ref="J42:P42"/>
    <mergeCell ref="Q42:S42"/>
    <mergeCell ref="J43:P43"/>
    <mergeCell ref="Q43:AE43"/>
    <mergeCell ref="J44:P44"/>
    <mergeCell ref="Q44:U44"/>
    <mergeCell ref="J46:P46"/>
    <mergeCell ref="Q52:AM52"/>
  </mergeCells>
  <phoneticPr fontId="3"/>
  <dataValidations count="1">
    <dataValidation allowBlank="1" showInputMessage="1" sqref="R36:U40 R34:AI34 R27:AI32 Q27:Q61 AN27:AP61 AJ27:AM51 R59:AM61 R53:AM57 R49:S51 R42:U47 AA36:AI51 V36:Z47 T48:Z51" xr:uid="{D05829DD-A438-4F96-B442-0C525A2C1EB9}"/>
  </dataValidations>
  <hyperlinks>
    <hyperlink ref="AR1" location="使用方法!F26:F34" display="シート一覧へ" xr:uid="{B2B3E427-73C8-4D23-8AD9-6CF2B205DDDA}"/>
    <hyperlink ref="AR1:AX1" location="使用方法!F29:F37" display="シート一覧へ" xr:uid="{39D3A026-3290-4F5E-A86A-E456E90CDFFC}"/>
  </hyperlinks>
  <printOptions horizontalCentered="1" verticalCentered="1"/>
  <pageMargins left="0.98425196850393704" right="0.98425196850393704" top="0.59055118110236227" bottom="0.59055118110236227" header="0.31496062992125984" footer="0.31496062992125984"/>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BF976"/>
  <sheetViews>
    <sheetView view="pageBreakPreview" zoomScaleNormal="130" zoomScaleSheetLayoutView="100" workbookViewId="0">
      <selection activeCell="A4" sqref="A4"/>
    </sheetView>
  </sheetViews>
  <sheetFormatPr defaultColWidth="9" defaultRowHeight="13.5" x14ac:dyDescent="0.15"/>
  <cols>
    <col min="1" max="17" width="2.125" style="1849" customWidth="1"/>
    <col min="18" max="18" width="2.375" style="1849" customWidth="1"/>
    <col min="19" max="33" width="2.125" style="1849" customWidth="1"/>
    <col min="34" max="34" width="2.25" style="1849" customWidth="1"/>
    <col min="35" max="52" width="2.125" style="1849" customWidth="1"/>
    <col min="53" max="58" width="9" style="1849" customWidth="1"/>
    <col min="59" max="16384" width="9" style="1849"/>
  </cols>
  <sheetData>
    <row r="1" spans="1:51" ht="22.5" customHeight="1" x14ac:dyDescent="0.15">
      <c r="A1" s="1848" t="s">
        <v>1879</v>
      </c>
      <c r="AN1" s="3304" t="str">
        <f>HYPERLINK("#'使用方法'!F29:F37","シート一覧へ")</f>
        <v>シート一覧へ</v>
      </c>
      <c r="AO1" s="3304"/>
      <c r="AP1" s="3304"/>
      <c r="AQ1" s="3304"/>
      <c r="AR1" s="3304"/>
      <c r="AS1" s="3304"/>
    </row>
    <row r="2" spans="1:51" ht="33.75" hidden="1" customHeight="1" x14ac:dyDescent="0.15">
      <c r="AY2" s="1850" t="s">
        <v>356</v>
      </c>
    </row>
    <row r="3" spans="1:51" ht="15" hidden="1" customHeight="1" x14ac:dyDescent="0.15">
      <c r="AY3" s="1850" t="s">
        <v>357</v>
      </c>
    </row>
    <row r="4" spans="1:51" ht="12" customHeight="1" x14ac:dyDescent="0.15">
      <c r="B4" s="1849" t="s">
        <v>358</v>
      </c>
      <c r="AI4" s="1851"/>
      <c r="AJ4" s="1849" t="s">
        <v>1880</v>
      </c>
      <c r="AM4" s="1852"/>
      <c r="AN4" s="1853" t="str">
        <f>IF('1_入力シート【基本情報】'!$AB$7="","",'1_入力シート【基本情報】'!$AB$7)</f>
        <v/>
      </c>
      <c r="AO4" s="1854" t="str">
        <f>IF('1_入力シート【基本情報】'!$AK$7="","",'1_入力シート【基本情報】'!$AK$7)</f>
        <v/>
      </c>
      <c r="AP4" s="3164" t="str">
        <f>IF('1_入力シート【基本情報】'!$DN$7="","",'1_入力シート【基本情報】'!$DN$7)</f>
        <v>0000</v>
      </c>
      <c r="AQ4" s="3165"/>
      <c r="AR4" s="3165"/>
      <c r="AS4" s="3166"/>
    </row>
    <row r="5" spans="1:51" ht="9" customHeight="1" x14ac:dyDescent="0.15">
      <c r="AS5" s="1855" t="str">
        <f>チェックシート!H3</f>
        <v>Kyoto City（R7.7） ver.120</v>
      </c>
    </row>
    <row r="6" spans="1:51" ht="12" customHeight="1" x14ac:dyDescent="0.15">
      <c r="B6" s="3172" t="s">
        <v>359</v>
      </c>
      <c r="C6" s="3172"/>
      <c r="D6" s="3172"/>
      <c r="E6" s="3172"/>
      <c r="F6" s="3172"/>
      <c r="G6" s="3172"/>
      <c r="H6" s="3172"/>
      <c r="I6" s="3172"/>
      <c r="J6" s="3172"/>
      <c r="K6" s="3172"/>
      <c r="L6" s="3172"/>
      <c r="M6" s="3172"/>
      <c r="N6" s="3172"/>
      <c r="O6" s="3172"/>
      <c r="P6" s="3172"/>
      <c r="Q6" s="3172"/>
      <c r="R6" s="3172"/>
      <c r="S6" s="3172"/>
      <c r="T6" s="3172"/>
      <c r="U6" s="3172"/>
      <c r="V6" s="3172"/>
      <c r="W6" s="3172"/>
      <c r="X6" s="3172"/>
      <c r="Y6" s="3172"/>
      <c r="Z6" s="3172"/>
      <c r="AA6" s="3172"/>
      <c r="AB6" s="3172"/>
      <c r="AC6" s="3172"/>
      <c r="AD6" s="3172"/>
      <c r="AE6" s="3172"/>
      <c r="AF6" s="3172"/>
      <c r="AG6" s="3172"/>
      <c r="AH6" s="3172"/>
      <c r="AI6" s="3172"/>
      <c r="AJ6" s="3172"/>
      <c r="AK6" s="3172"/>
      <c r="AL6" s="3172"/>
      <c r="AM6" s="3172"/>
      <c r="AN6" s="3172"/>
      <c r="AO6" s="3172"/>
      <c r="AP6" s="3172"/>
      <c r="AQ6" s="3172"/>
      <c r="AR6" s="3172"/>
      <c r="AS6" s="3172"/>
      <c r="AT6" s="3172"/>
      <c r="AU6" s="1856"/>
    </row>
    <row r="7" spans="1:51" ht="12" customHeight="1" x14ac:dyDescent="0.15">
      <c r="B7" s="3172" t="s">
        <v>360</v>
      </c>
      <c r="C7" s="3172"/>
      <c r="D7" s="3172"/>
      <c r="E7" s="3172"/>
      <c r="F7" s="3172"/>
      <c r="G7" s="3172"/>
      <c r="H7" s="3172"/>
      <c r="I7" s="3172"/>
      <c r="J7" s="3172"/>
      <c r="K7" s="3172"/>
      <c r="L7" s="3172"/>
      <c r="M7" s="3172"/>
      <c r="N7" s="3172"/>
      <c r="O7" s="3172"/>
      <c r="P7" s="3172"/>
      <c r="Q7" s="3172"/>
      <c r="R7" s="3172"/>
      <c r="S7" s="3172"/>
      <c r="T7" s="3172"/>
      <c r="U7" s="3172"/>
      <c r="V7" s="3172"/>
      <c r="W7" s="3172"/>
      <c r="X7" s="3172"/>
      <c r="Y7" s="3172"/>
      <c r="Z7" s="3172"/>
      <c r="AA7" s="3172"/>
      <c r="AB7" s="3172"/>
      <c r="AC7" s="3172"/>
      <c r="AD7" s="3172"/>
      <c r="AE7" s="3172"/>
      <c r="AF7" s="3172"/>
      <c r="AG7" s="3172"/>
      <c r="AH7" s="3172"/>
      <c r="AI7" s="3172"/>
      <c r="AJ7" s="3172"/>
      <c r="AK7" s="3172"/>
      <c r="AL7" s="3172"/>
      <c r="AM7" s="3172"/>
      <c r="AN7" s="3172"/>
      <c r="AO7" s="3172"/>
      <c r="AP7" s="3172"/>
      <c r="AQ7" s="3172"/>
      <c r="AR7" s="3172"/>
      <c r="AS7" s="3172"/>
      <c r="AT7" s="3172"/>
      <c r="AU7" s="1856"/>
    </row>
    <row r="8" spans="1:51" ht="9" customHeight="1" x14ac:dyDescent="0.15"/>
    <row r="9" spans="1:51" ht="14.1" hidden="1" customHeight="1" x14ac:dyDescent="0.15">
      <c r="B9" s="1856"/>
      <c r="C9" s="1856"/>
      <c r="D9" s="1856"/>
      <c r="E9" s="1856"/>
      <c r="F9" s="1856"/>
      <c r="G9" s="1856"/>
      <c r="H9" s="1856"/>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c r="AP9" s="1856"/>
      <c r="AQ9" s="1856"/>
      <c r="AR9" s="1856"/>
      <c r="AS9" s="1856"/>
      <c r="AT9" s="1856"/>
      <c r="AU9" s="1856"/>
    </row>
    <row r="10" spans="1:51" ht="14.1" hidden="1" customHeight="1" x14ac:dyDescent="0.15">
      <c r="B10" s="1857"/>
      <c r="C10" s="1857"/>
      <c r="D10" s="1857"/>
      <c r="E10" s="1857"/>
      <c r="F10" s="1857"/>
      <c r="G10" s="1857"/>
      <c r="H10" s="1857"/>
      <c r="I10" s="1857"/>
      <c r="J10" s="1857"/>
      <c r="K10" s="1857"/>
      <c r="L10" s="1857"/>
      <c r="M10" s="1857"/>
      <c r="N10" s="1857"/>
      <c r="O10" s="1857"/>
      <c r="P10" s="1857"/>
      <c r="Q10" s="1857"/>
      <c r="R10" s="1857"/>
      <c r="S10" s="1857"/>
      <c r="T10" s="1857"/>
      <c r="U10" s="1857"/>
      <c r="V10" s="1857"/>
      <c r="W10" s="1857"/>
      <c r="X10" s="1857"/>
      <c r="Y10" s="1857"/>
      <c r="Z10" s="1857"/>
      <c r="AA10" s="1857"/>
      <c r="AB10" s="1857"/>
      <c r="AC10" s="1857"/>
      <c r="AD10" s="1857"/>
      <c r="AE10" s="1857"/>
      <c r="AF10" s="1857"/>
      <c r="AG10" s="1857"/>
      <c r="AH10" s="1857"/>
      <c r="AI10" s="1857"/>
      <c r="AJ10" s="1857"/>
      <c r="AK10" s="1857"/>
      <c r="AL10" s="1857"/>
      <c r="AM10" s="1857"/>
      <c r="AN10" s="1857"/>
      <c r="AO10" s="1857"/>
      <c r="AP10" s="1857"/>
    </row>
    <row r="11" spans="1:51" ht="12" customHeight="1" x14ac:dyDescent="0.15">
      <c r="B11" s="1849" t="s">
        <v>361</v>
      </c>
    </row>
    <row r="12" spans="1:51" ht="12" customHeight="1" x14ac:dyDescent="0.15">
      <c r="B12" s="1849" t="s">
        <v>362</v>
      </c>
    </row>
    <row r="13" spans="1:51" ht="6" customHeight="1" x14ac:dyDescent="0.15"/>
    <row r="14" spans="1:51" ht="12" customHeight="1" x14ac:dyDescent="0.15">
      <c r="C14" s="3173" t="s">
        <v>1824</v>
      </c>
      <c r="D14" s="3173"/>
      <c r="E14" s="3173"/>
      <c r="F14" s="3173"/>
      <c r="G14" s="3173"/>
      <c r="H14" s="3173"/>
      <c r="I14" s="3173"/>
      <c r="J14" s="3173"/>
      <c r="K14" s="3173"/>
      <c r="L14" s="3173"/>
      <c r="M14" s="3173"/>
      <c r="N14" s="3173"/>
      <c r="O14" s="1849" t="s">
        <v>363</v>
      </c>
    </row>
    <row r="15" spans="1:51" ht="6" customHeight="1" x14ac:dyDescent="0.15"/>
    <row r="16" spans="1:51" ht="12" customHeight="1" x14ac:dyDescent="0.15">
      <c r="AI16" s="3163" t="str">
        <f>'1_入力シート【基本情報】'!BC4</f>
        <v>令和</v>
      </c>
      <c r="AJ16" s="3163"/>
      <c r="AK16" s="3163" t="str">
        <f>IF('1_入力シート【基本情報】'!BF4="","",'1_入力シート【基本情報】'!BF4)</f>
        <v/>
      </c>
      <c r="AL16" s="3163"/>
      <c r="AM16" s="1857" t="s">
        <v>12</v>
      </c>
      <c r="AN16" s="3163" t="str">
        <f>IF('1_入力シート【基本情報】'!BK4="","",'1_入力シート【基本情報】'!BK4)</f>
        <v/>
      </c>
      <c r="AO16" s="3163"/>
      <c r="AP16" s="1857" t="s">
        <v>348</v>
      </c>
      <c r="AQ16" s="3163" t="str">
        <f>IF('1_入力シート【基本情報】'!BP4="","",'1_入力シート【基本情報】'!BP4)</f>
        <v/>
      </c>
      <c r="AR16" s="3163"/>
      <c r="AS16" s="1849" t="s">
        <v>364</v>
      </c>
    </row>
    <row r="17" spans="2:45" ht="12" customHeight="1" x14ac:dyDescent="0.15"/>
    <row r="18" spans="2:45" ht="12" customHeight="1" x14ac:dyDescent="0.15">
      <c r="AE18" s="3173" t="str">
        <f>IF('1_入力シート【基本情報】'!EM59="","",'1_入力シート【基本情報】'!EM59)</f>
        <v/>
      </c>
      <c r="AF18" s="3173"/>
      <c r="AG18" s="3173"/>
      <c r="AH18" s="3173"/>
      <c r="AI18" s="3173"/>
      <c r="AJ18" s="3173"/>
      <c r="AK18" s="3173"/>
      <c r="AL18" s="3173"/>
      <c r="AM18" s="3173"/>
      <c r="AN18" s="3173"/>
      <c r="AO18" s="3173"/>
      <c r="AP18" s="3173"/>
      <c r="AQ18" s="3173"/>
      <c r="AR18" s="3173"/>
      <c r="AS18" s="3173"/>
    </row>
    <row r="19" spans="2:45" ht="12" customHeight="1" x14ac:dyDescent="0.15">
      <c r="Y19" s="1849" t="s">
        <v>365</v>
      </c>
      <c r="AE19" s="3173" t="str">
        <f>IF('1_入力シート【基本情報】'!EM60="","",'1_入力シート【基本情報】'!EM60)</f>
        <v>　</v>
      </c>
      <c r="AF19" s="3173"/>
      <c r="AG19" s="3173"/>
      <c r="AH19" s="3173"/>
      <c r="AI19" s="3173"/>
      <c r="AJ19" s="3173"/>
      <c r="AK19" s="3173"/>
      <c r="AL19" s="3173"/>
      <c r="AM19" s="3173"/>
      <c r="AN19" s="3173"/>
      <c r="AO19" s="3173"/>
      <c r="AP19" s="3173"/>
      <c r="AQ19" s="3173"/>
      <c r="AR19" s="3173"/>
      <c r="AS19" s="3173"/>
    </row>
    <row r="20" spans="2:45" ht="6" customHeight="1" x14ac:dyDescent="0.15"/>
    <row r="21" spans="2:45" ht="6" customHeight="1" x14ac:dyDescent="0.15"/>
    <row r="22" spans="2:45" ht="12" customHeight="1" x14ac:dyDescent="0.15">
      <c r="Y22" s="1849" t="s">
        <v>366</v>
      </c>
      <c r="AE22" s="3173" t="str">
        <f>IF('1_入力シート【基本情報】'!AB78="","",'1_入力シート【基本情報】'!AB78)</f>
        <v/>
      </c>
      <c r="AF22" s="3173"/>
      <c r="AG22" s="3173"/>
      <c r="AH22" s="3173"/>
      <c r="AI22" s="3173"/>
      <c r="AJ22" s="3173"/>
      <c r="AK22" s="3173"/>
      <c r="AL22" s="3173"/>
      <c r="AM22" s="3173"/>
      <c r="AN22" s="3173"/>
      <c r="AO22" s="3173"/>
      <c r="AP22" s="3173"/>
      <c r="AQ22" s="3173"/>
      <c r="AR22" s="3173"/>
      <c r="AS22" s="3173"/>
    </row>
    <row r="23" spans="2:45" ht="6" hidden="1" customHeight="1" x14ac:dyDescent="0.15"/>
    <row r="24" spans="2:45" ht="6" hidden="1" customHeight="1" x14ac:dyDescent="0.15"/>
    <row r="25" spans="2:45" ht="13.5" hidden="1" customHeight="1" x14ac:dyDescent="0.15"/>
    <row r="26" spans="2:45" ht="13.5" hidden="1" customHeight="1" x14ac:dyDescent="0.15"/>
    <row r="27" spans="2:45" hidden="1" x14ac:dyDescent="0.15"/>
    <row r="28" spans="2:45" ht="6" customHeight="1" x14ac:dyDescent="0.15"/>
    <row r="29" spans="2:45" ht="6" customHeight="1" x14ac:dyDescent="0.15"/>
    <row r="30" spans="2:45" ht="12" customHeight="1" x14ac:dyDescent="0.15">
      <c r="B30" s="1858" t="s">
        <v>367</v>
      </c>
    </row>
    <row r="31" spans="2:45" ht="12" customHeight="1" x14ac:dyDescent="0.15">
      <c r="D31" s="1858" t="s">
        <v>368</v>
      </c>
      <c r="E31" s="1859"/>
      <c r="F31" s="1859"/>
      <c r="G31" s="1859"/>
      <c r="H31" s="1859"/>
      <c r="I31" s="1859"/>
      <c r="J31" s="1859"/>
      <c r="K31" s="1859"/>
      <c r="L31" s="1859"/>
      <c r="M31" s="1859"/>
      <c r="N31" s="1859"/>
      <c r="O31" s="3174" t="str">
        <f>IF('1_入力シート【基本情報】'!DZ33="","",'1_入力シート【基本情報】'!DZ33)</f>
        <v xml:space="preserve">  </v>
      </c>
      <c r="P31" s="3174"/>
      <c r="Q31" s="3174"/>
      <c r="R31" s="3174"/>
      <c r="S31" s="3174"/>
      <c r="T31" s="3174"/>
      <c r="U31" s="3174"/>
      <c r="V31" s="3174"/>
      <c r="W31" s="3174"/>
      <c r="X31" s="3174"/>
      <c r="Y31" s="3174"/>
      <c r="Z31" s="3174"/>
      <c r="AA31" s="3174"/>
      <c r="AB31" s="3174"/>
      <c r="AC31" s="3174"/>
      <c r="AD31" s="3174"/>
      <c r="AE31" s="3174"/>
      <c r="AF31" s="3174"/>
      <c r="AG31" s="3174"/>
      <c r="AH31" s="3174"/>
      <c r="AI31" s="3174"/>
      <c r="AJ31" s="3174"/>
      <c r="AK31" s="3174"/>
      <c r="AL31" s="3174"/>
      <c r="AM31" s="3174"/>
      <c r="AN31" s="3174"/>
      <c r="AO31" s="3174"/>
      <c r="AP31" s="3174"/>
      <c r="AQ31" s="3174"/>
      <c r="AR31" s="3174"/>
      <c r="AS31" s="3174"/>
    </row>
    <row r="32" spans="2:45" ht="12" customHeight="1" x14ac:dyDescent="0.15">
      <c r="D32" s="1858" t="s">
        <v>369</v>
      </c>
      <c r="E32" s="1859"/>
      <c r="F32" s="1859"/>
      <c r="G32" s="1859"/>
      <c r="H32" s="1859"/>
      <c r="I32" s="1859"/>
      <c r="J32" s="1859"/>
      <c r="K32" s="1859"/>
      <c r="L32" s="1859"/>
      <c r="M32" s="1859"/>
      <c r="N32" s="1859"/>
      <c r="O32" s="3174" t="str">
        <f>IF('1_入力シート【基本情報】'!DZ34="","",'1_入力シート【基本情報】'!DZ34)</f>
        <v xml:space="preserve">  </v>
      </c>
      <c r="P32" s="3174"/>
      <c r="Q32" s="3174"/>
      <c r="R32" s="3174"/>
      <c r="S32" s="3174"/>
      <c r="T32" s="3174"/>
      <c r="U32" s="3174"/>
      <c r="V32" s="3174"/>
      <c r="W32" s="3174"/>
      <c r="X32" s="3174"/>
      <c r="Y32" s="3174"/>
      <c r="Z32" s="3174"/>
      <c r="AA32" s="3174"/>
      <c r="AB32" s="3174"/>
      <c r="AC32" s="3174"/>
      <c r="AD32" s="3174"/>
      <c r="AE32" s="3174"/>
      <c r="AF32" s="3174"/>
      <c r="AG32" s="3174"/>
      <c r="AH32" s="3174"/>
      <c r="AI32" s="3174"/>
      <c r="AJ32" s="3174"/>
      <c r="AK32" s="3174"/>
      <c r="AL32" s="3174"/>
      <c r="AM32" s="3174"/>
      <c r="AN32" s="3174"/>
      <c r="AO32" s="3174"/>
      <c r="AP32" s="3174"/>
      <c r="AQ32" s="3174"/>
      <c r="AR32" s="3174"/>
      <c r="AS32" s="3174"/>
    </row>
    <row r="33" spans="2:54" ht="12" customHeight="1" x14ac:dyDescent="0.15">
      <c r="D33" s="1858" t="s">
        <v>370</v>
      </c>
      <c r="E33" s="1859"/>
      <c r="F33" s="1859"/>
      <c r="G33" s="1859"/>
      <c r="H33" s="1859"/>
      <c r="I33" s="1859"/>
      <c r="J33" s="1859"/>
      <c r="K33" s="1859"/>
      <c r="L33" s="1859"/>
      <c r="M33" s="1859"/>
      <c r="N33" s="1859"/>
      <c r="O33" s="3175" t="str">
        <f>'1_入力シート【基本情報】'!DN39</f>
        <v/>
      </c>
      <c r="P33" s="3176"/>
      <c r="Q33" s="3176"/>
      <c r="R33" s="3176"/>
      <c r="S33" s="3176"/>
      <c r="T33" s="3176"/>
      <c r="U33" s="3176"/>
      <c r="V33" s="1859"/>
      <c r="W33" s="1859"/>
      <c r="X33" s="1859"/>
      <c r="Y33" s="1859"/>
      <c r="Z33" s="1859"/>
      <c r="AA33" s="1859"/>
      <c r="AB33" s="1859"/>
      <c r="AC33" s="1859"/>
      <c r="AD33" s="1859"/>
      <c r="AE33" s="1859"/>
      <c r="AF33" s="1859"/>
      <c r="AG33" s="1859"/>
      <c r="AH33" s="1859"/>
      <c r="AI33" s="1859"/>
      <c r="AJ33" s="1859"/>
      <c r="AK33" s="1859"/>
      <c r="AL33" s="1859"/>
      <c r="AM33" s="1859"/>
      <c r="AN33" s="1859"/>
      <c r="AO33" s="1859"/>
      <c r="AP33" s="1859"/>
      <c r="AQ33" s="1859"/>
      <c r="AR33" s="1859"/>
      <c r="AS33" s="1859"/>
    </row>
    <row r="34" spans="2:54" ht="12" customHeight="1" x14ac:dyDescent="0.15">
      <c r="D34" s="1858" t="s">
        <v>371</v>
      </c>
      <c r="E34" s="1859"/>
      <c r="F34" s="1859"/>
      <c r="G34" s="1859"/>
      <c r="H34" s="1859"/>
      <c r="I34" s="1859"/>
      <c r="J34" s="1859"/>
      <c r="K34" s="1859"/>
      <c r="L34" s="1859"/>
      <c r="M34" s="1859"/>
      <c r="N34" s="1859"/>
      <c r="O34" s="3174" t="str">
        <f>IF('1_入力シート【基本情報】'!AB40="","",'1_入力シート【基本情報】'!AB40)</f>
        <v/>
      </c>
      <c r="P34" s="3174"/>
      <c r="Q34" s="3174"/>
      <c r="R34" s="3174"/>
      <c r="S34" s="3174"/>
      <c r="T34" s="3174"/>
      <c r="U34" s="3174"/>
      <c r="V34" s="3174"/>
      <c r="W34" s="3174"/>
      <c r="X34" s="3174"/>
      <c r="Y34" s="3174"/>
      <c r="Z34" s="3174"/>
      <c r="AA34" s="3174"/>
      <c r="AB34" s="3174"/>
      <c r="AC34" s="3174"/>
      <c r="AD34" s="3174"/>
      <c r="AE34" s="3174"/>
      <c r="AF34" s="3174"/>
      <c r="AG34" s="3174"/>
      <c r="AH34" s="3174"/>
      <c r="AI34" s="3174"/>
      <c r="AJ34" s="3174"/>
      <c r="AK34" s="3174"/>
      <c r="AL34" s="3174"/>
      <c r="AM34" s="3174"/>
      <c r="AN34" s="3174"/>
      <c r="AO34" s="3174"/>
      <c r="AP34" s="3174"/>
      <c r="AQ34" s="3174"/>
      <c r="AR34" s="3174"/>
      <c r="AS34" s="3174"/>
    </row>
    <row r="35" spans="2:54" ht="12" customHeight="1" x14ac:dyDescent="0.15">
      <c r="D35" s="1858" t="s">
        <v>372</v>
      </c>
      <c r="E35" s="1860"/>
      <c r="F35" s="1860"/>
      <c r="G35" s="1860"/>
      <c r="H35" s="1860"/>
      <c r="I35" s="1860"/>
      <c r="J35" s="1860"/>
      <c r="K35" s="1861"/>
      <c r="L35" s="1862"/>
      <c r="M35" s="1862"/>
      <c r="N35" s="1862"/>
      <c r="O35" s="3210" t="str">
        <f>'1_入力シート【基本情報】'!DN41</f>
        <v/>
      </c>
      <c r="P35" s="3210"/>
      <c r="Q35" s="3210"/>
      <c r="R35" s="3210"/>
      <c r="S35" s="3210"/>
      <c r="T35" s="3210"/>
      <c r="U35" s="3210"/>
      <c r="V35" s="3210"/>
      <c r="W35" s="3210"/>
      <c r="X35" s="3210"/>
      <c r="Y35" s="3210"/>
      <c r="Z35" s="3210"/>
      <c r="AA35" s="3210"/>
      <c r="AB35" s="3210"/>
      <c r="AC35" s="1860"/>
      <c r="AD35" s="1860"/>
      <c r="AE35" s="1860"/>
      <c r="AF35" s="1860"/>
      <c r="AG35" s="1860"/>
      <c r="AH35" s="1860"/>
      <c r="AI35" s="1860"/>
      <c r="AJ35" s="1860"/>
      <c r="AK35" s="1860"/>
      <c r="AL35" s="1860"/>
      <c r="AM35" s="1860"/>
      <c r="AN35" s="1860"/>
      <c r="AO35" s="1860"/>
      <c r="AP35" s="1860"/>
      <c r="AQ35" s="1860"/>
      <c r="AR35" s="1860"/>
      <c r="AS35" s="1860"/>
    </row>
    <row r="36" spans="2:54" ht="13.5" hidden="1" customHeight="1" x14ac:dyDescent="0.15">
      <c r="C36" s="1858"/>
      <c r="N36" s="1863"/>
      <c r="O36" s="1863"/>
      <c r="P36" s="1863"/>
      <c r="Q36" s="1863"/>
      <c r="R36" s="1863"/>
      <c r="S36" s="1863"/>
      <c r="T36" s="1863"/>
      <c r="U36" s="1863"/>
      <c r="V36" s="1863"/>
      <c r="W36" s="1863"/>
      <c r="X36" s="1863"/>
      <c r="Y36" s="1863"/>
      <c r="Z36" s="1863"/>
      <c r="AA36" s="1863"/>
      <c r="AB36" s="1863"/>
      <c r="AC36" s="1863"/>
      <c r="AD36" s="1863"/>
      <c r="AE36" s="1864"/>
      <c r="AF36" s="1864"/>
      <c r="AG36" s="1864"/>
      <c r="AH36" s="1864"/>
      <c r="AI36" s="1864"/>
      <c r="AJ36" s="1864"/>
      <c r="AK36" s="1864"/>
      <c r="AL36" s="1864"/>
      <c r="BB36" s="1850"/>
    </row>
    <row r="37" spans="2:54" ht="13.5" hidden="1" customHeight="1" x14ac:dyDescent="0.15">
      <c r="C37" s="1858"/>
      <c r="N37" s="1863"/>
      <c r="O37" s="1863"/>
      <c r="P37" s="1863"/>
      <c r="Q37" s="1863"/>
      <c r="R37" s="1863"/>
      <c r="S37" s="1863"/>
      <c r="T37" s="1863"/>
      <c r="U37" s="1863"/>
      <c r="V37" s="1863"/>
      <c r="W37" s="1863"/>
      <c r="X37" s="1863"/>
      <c r="Y37" s="1863"/>
      <c r="Z37" s="1863"/>
      <c r="AA37" s="1863"/>
      <c r="AB37" s="1863"/>
      <c r="AC37" s="1863"/>
      <c r="AD37" s="1863"/>
      <c r="AE37" s="1864"/>
      <c r="AF37" s="1864"/>
      <c r="AG37" s="1864"/>
      <c r="AH37" s="1864"/>
      <c r="AI37" s="1864"/>
      <c r="AJ37" s="1864"/>
      <c r="AK37" s="1864"/>
      <c r="AL37" s="1864"/>
      <c r="BB37" s="1850"/>
    </row>
    <row r="38" spans="2:54" ht="13.5" hidden="1" customHeight="1" x14ac:dyDescent="0.15">
      <c r="C38" s="1858"/>
      <c r="N38" s="1863"/>
      <c r="O38" s="1863"/>
      <c r="P38" s="1863"/>
      <c r="Q38" s="1863"/>
      <c r="R38" s="1863"/>
      <c r="S38" s="1863"/>
      <c r="T38" s="1863"/>
      <c r="U38" s="1863"/>
      <c r="V38" s="1863"/>
      <c r="W38" s="1863"/>
      <c r="X38" s="1863"/>
      <c r="Y38" s="1863"/>
      <c r="Z38" s="1863"/>
      <c r="AA38" s="1863"/>
      <c r="AB38" s="1863"/>
      <c r="AC38" s="1863"/>
      <c r="AD38" s="1863"/>
      <c r="AE38" s="1864"/>
      <c r="AF38" s="1864"/>
      <c r="AG38" s="1864"/>
      <c r="AH38" s="1864"/>
      <c r="AI38" s="1864"/>
      <c r="AJ38" s="1864"/>
      <c r="AK38" s="1864"/>
      <c r="AL38" s="1864"/>
      <c r="BB38" s="1850"/>
    </row>
    <row r="39" spans="2:54" ht="6" customHeight="1" x14ac:dyDescent="0.15"/>
    <row r="40" spans="2:54" ht="6" customHeight="1" x14ac:dyDescent="0.15"/>
    <row r="41" spans="2:54" ht="12" customHeight="1" x14ac:dyDescent="0.15">
      <c r="B41" s="1858" t="s">
        <v>373</v>
      </c>
      <c r="X41" s="1863"/>
      <c r="Y41" s="1863"/>
      <c r="Z41" s="1863"/>
      <c r="AA41" s="1863"/>
      <c r="AB41" s="1863"/>
      <c r="AC41" s="1863"/>
      <c r="AD41" s="1863"/>
      <c r="AE41" s="1863"/>
      <c r="AF41" s="1863"/>
      <c r="AG41" s="1863"/>
      <c r="AH41" s="1863"/>
      <c r="AI41" s="1863"/>
      <c r="AJ41" s="1863"/>
      <c r="AK41" s="1863"/>
      <c r="AL41" s="1863"/>
    </row>
    <row r="42" spans="2:54" ht="12" customHeight="1" x14ac:dyDescent="0.15">
      <c r="D42" s="1858" t="s">
        <v>368</v>
      </c>
      <c r="O42" s="3174" t="str">
        <f>IF('1_入力シート【基本情報】'!EF59="","",'1_入力シート【基本情報】'!EF59)</f>
        <v xml:space="preserve">  </v>
      </c>
      <c r="P42" s="3174"/>
      <c r="Q42" s="3174"/>
      <c r="R42" s="3174"/>
      <c r="S42" s="3174"/>
      <c r="T42" s="3174"/>
      <c r="U42" s="3174"/>
      <c r="V42" s="3174"/>
      <c r="W42" s="3174"/>
      <c r="X42" s="3174"/>
      <c r="Y42" s="3174"/>
      <c r="Z42" s="3174"/>
      <c r="AA42" s="3174"/>
      <c r="AB42" s="3174"/>
      <c r="AC42" s="3174"/>
      <c r="AD42" s="3174"/>
      <c r="AE42" s="3174"/>
      <c r="AF42" s="3174"/>
      <c r="AG42" s="3174"/>
      <c r="AH42" s="3174"/>
      <c r="AI42" s="3174"/>
      <c r="AJ42" s="3174"/>
      <c r="AK42" s="3174"/>
      <c r="AL42" s="3174"/>
      <c r="AM42" s="3174"/>
      <c r="AN42" s="3174"/>
      <c r="AO42" s="3174"/>
      <c r="AP42" s="3174"/>
      <c r="AQ42" s="3174"/>
      <c r="AR42" s="3174"/>
      <c r="AS42" s="3174"/>
    </row>
    <row r="43" spans="2:54" ht="12" customHeight="1" x14ac:dyDescent="0.15">
      <c r="D43" s="1858" t="s">
        <v>369</v>
      </c>
      <c r="O43" s="3174" t="str">
        <f>IF('1_入力シート【基本情報】'!EF60="","",'1_入力シート【基本情報】'!EF60)</f>
        <v xml:space="preserve">  </v>
      </c>
      <c r="P43" s="3174"/>
      <c r="Q43" s="3174"/>
      <c r="R43" s="3174"/>
      <c r="S43" s="3174"/>
      <c r="T43" s="3174"/>
      <c r="U43" s="3174"/>
      <c r="V43" s="3174"/>
      <c r="W43" s="3174"/>
      <c r="X43" s="3174"/>
      <c r="Y43" s="3174"/>
      <c r="Z43" s="3174"/>
      <c r="AA43" s="3174"/>
      <c r="AB43" s="3174"/>
      <c r="AC43" s="3174"/>
      <c r="AD43" s="3174"/>
      <c r="AE43" s="3174"/>
      <c r="AF43" s="3174"/>
      <c r="AG43" s="3174"/>
      <c r="AH43" s="3174"/>
      <c r="AI43" s="3174"/>
      <c r="AJ43" s="3174"/>
      <c r="AK43" s="3174"/>
      <c r="AL43" s="3174"/>
      <c r="AM43" s="3174"/>
      <c r="AN43" s="3174"/>
      <c r="AO43" s="3174"/>
      <c r="AP43" s="3174"/>
      <c r="AQ43" s="3174"/>
      <c r="AR43" s="3174"/>
      <c r="AS43" s="3174"/>
    </row>
    <row r="44" spans="2:54" ht="12" customHeight="1" x14ac:dyDescent="0.15">
      <c r="D44" s="1858" t="s">
        <v>370</v>
      </c>
      <c r="O44" s="3219" t="str">
        <f>IF('1_入力シート【基本情報】'!EC65="","",'1_入力シート【基本情報】'!EC65)</f>
        <v/>
      </c>
      <c r="P44" s="3220"/>
      <c r="Q44" s="3220"/>
      <c r="R44" s="3220"/>
      <c r="S44" s="3220"/>
      <c r="T44" s="3220"/>
      <c r="U44" s="3220"/>
      <c r="V44" s="1859"/>
      <c r="W44" s="1859"/>
      <c r="X44" s="1859"/>
      <c r="Y44" s="1859"/>
      <c r="Z44" s="1859"/>
      <c r="AA44" s="1859"/>
      <c r="AB44" s="1859"/>
      <c r="AC44" s="1859"/>
      <c r="AD44" s="1859"/>
      <c r="AE44" s="1859"/>
      <c r="AF44" s="1859"/>
      <c r="AG44" s="1859"/>
      <c r="AH44" s="1859"/>
      <c r="AI44" s="1859"/>
      <c r="AJ44" s="1859"/>
      <c r="AK44" s="1859"/>
      <c r="AL44" s="1859"/>
      <c r="AM44" s="1859"/>
      <c r="AN44" s="1859"/>
      <c r="AO44" s="1859"/>
      <c r="AP44" s="1859"/>
      <c r="AQ44" s="1859"/>
      <c r="AR44" s="1859"/>
      <c r="AS44" s="1859"/>
    </row>
    <row r="45" spans="2:54" ht="12" customHeight="1" x14ac:dyDescent="0.15">
      <c r="D45" s="1858" t="s">
        <v>371</v>
      </c>
      <c r="O45" s="3220" t="str">
        <f>IF('1_入力シート【基本情報】'!EC66="","",'1_入力シート【基本情報】'!EC66)</f>
        <v/>
      </c>
      <c r="P45" s="3220"/>
      <c r="Q45" s="3220"/>
      <c r="R45" s="3220"/>
      <c r="S45" s="3220"/>
      <c r="T45" s="3220"/>
      <c r="U45" s="3220"/>
      <c r="V45" s="3220"/>
      <c r="W45" s="3220"/>
      <c r="X45" s="3220"/>
      <c r="Y45" s="3220"/>
      <c r="Z45" s="3220"/>
      <c r="AA45" s="3220"/>
      <c r="AB45" s="3220"/>
      <c r="AC45" s="3220"/>
      <c r="AD45" s="3220"/>
      <c r="AE45" s="3220"/>
      <c r="AF45" s="3220"/>
      <c r="AG45" s="3220"/>
      <c r="AH45" s="3220"/>
      <c r="AI45" s="3220"/>
      <c r="AJ45" s="3220"/>
      <c r="AK45" s="3220"/>
      <c r="AL45" s="3220"/>
      <c r="AM45" s="3220"/>
      <c r="AN45" s="3220"/>
      <c r="AO45" s="3220"/>
      <c r="AP45" s="3220"/>
      <c r="AQ45" s="3220"/>
      <c r="AR45" s="3220"/>
      <c r="AS45" s="3220"/>
    </row>
    <row r="46" spans="2:54" ht="12" customHeight="1" x14ac:dyDescent="0.15">
      <c r="D46" s="1858" t="s">
        <v>372</v>
      </c>
      <c r="O46" s="3210" t="str">
        <f>IF('1_入力シート【基本情報】'!EC67="","",'1_入力シート【基本情報】'!EC67)</f>
        <v/>
      </c>
      <c r="P46" s="3210"/>
      <c r="Q46" s="3210"/>
      <c r="R46" s="3210"/>
      <c r="S46" s="3210"/>
      <c r="T46" s="3210"/>
      <c r="U46" s="3210"/>
      <c r="V46" s="3210"/>
      <c r="W46" s="3210"/>
      <c r="X46" s="3210"/>
      <c r="Y46" s="3210"/>
      <c r="Z46" s="3210"/>
      <c r="AA46" s="3210"/>
      <c r="AB46" s="3210"/>
      <c r="AC46" s="1860"/>
      <c r="AD46" s="1860"/>
      <c r="AE46" s="1860"/>
      <c r="AF46" s="1860"/>
      <c r="AG46" s="1860"/>
      <c r="AH46" s="1860"/>
      <c r="AI46" s="1860"/>
      <c r="AJ46" s="1860"/>
      <c r="AK46" s="1860"/>
      <c r="AL46" s="1860"/>
      <c r="AM46" s="1860"/>
      <c r="AN46" s="1860"/>
      <c r="AO46" s="1860"/>
      <c r="AP46" s="1860"/>
      <c r="AQ46" s="1860"/>
      <c r="AR46" s="1860"/>
      <c r="AS46" s="1860"/>
    </row>
    <row r="47" spans="2:54" hidden="1" x14ac:dyDescent="0.15">
      <c r="C47" s="1858"/>
      <c r="N47" s="3211"/>
      <c r="O47" s="3211"/>
      <c r="P47" s="3211"/>
      <c r="Q47" s="3211"/>
      <c r="R47" s="3211"/>
      <c r="S47" s="3211"/>
      <c r="T47" s="3211"/>
      <c r="U47" s="3211"/>
      <c r="V47" s="3211"/>
      <c r="W47" s="3211"/>
      <c r="X47" s="3211"/>
      <c r="Y47" s="3211"/>
      <c r="Z47" s="3211"/>
      <c r="AA47" s="3211"/>
      <c r="AB47" s="3211"/>
      <c r="AC47" s="3211"/>
      <c r="AD47" s="3211"/>
      <c r="AE47" s="3211"/>
      <c r="AF47" s="3211"/>
      <c r="AG47" s="3211"/>
      <c r="AH47" s="3211"/>
      <c r="AI47" s="3211"/>
      <c r="AJ47" s="3211"/>
      <c r="AK47" s="3211"/>
      <c r="AL47" s="3211"/>
      <c r="AM47" s="3211"/>
      <c r="AN47" s="3211"/>
      <c r="AO47" s="3211"/>
      <c r="AP47" s="3211"/>
      <c r="AQ47" s="3211"/>
      <c r="AR47" s="3211"/>
      <c r="AS47" s="3211"/>
      <c r="AT47" s="3211"/>
    </row>
    <row r="48" spans="2:54" hidden="1" x14ac:dyDescent="0.15">
      <c r="C48" s="1858"/>
      <c r="N48" s="1863"/>
      <c r="O48" s="1863"/>
      <c r="P48" s="1863"/>
      <c r="Q48" s="1863"/>
      <c r="R48" s="1863"/>
      <c r="S48" s="1863"/>
      <c r="T48" s="1863"/>
      <c r="U48" s="1863"/>
      <c r="V48" s="1863"/>
      <c r="W48" s="1863"/>
      <c r="X48" s="1863"/>
      <c r="Y48" s="1863"/>
      <c r="Z48" s="1863"/>
      <c r="AA48" s="1863"/>
      <c r="AB48" s="1863"/>
      <c r="AC48" s="1863"/>
      <c r="AD48" s="1863"/>
      <c r="AE48" s="1864"/>
      <c r="AF48" s="1864"/>
      <c r="AG48" s="1864"/>
      <c r="AH48" s="1864"/>
      <c r="AI48" s="1864"/>
      <c r="AJ48" s="1864"/>
      <c r="AK48" s="1864"/>
      <c r="AL48" s="1864"/>
    </row>
    <row r="49" spans="2:47" hidden="1" x14ac:dyDescent="0.15">
      <c r="C49" s="1858"/>
      <c r="N49" s="1863"/>
      <c r="O49" s="1863"/>
      <c r="P49" s="1863"/>
      <c r="Q49" s="1863"/>
      <c r="R49" s="1863"/>
      <c r="S49" s="1863"/>
      <c r="T49" s="1863"/>
      <c r="U49" s="1863"/>
      <c r="V49" s="1863"/>
      <c r="W49" s="1863"/>
      <c r="X49" s="1863"/>
      <c r="Y49" s="1863"/>
      <c r="Z49" s="1863"/>
      <c r="AA49" s="1863"/>
      <c r="AB49" s="1863"/>
      <c r="AC49" s="1863"/>
      <c r="AD49" s="1863"/>
      <c r="AE49" s="1864"/>
      <c r="AF49" s="1864"/>
      <c r="AG49" s="1864"/>
      <c r="AH49" s="1864"/>
      <c r="AI49" s="1864"/>
      <c r="AJ49" s="1864"/>
      <c r="AK49" s="1864"/>
      <c r="AL49" s="1864"/>
    </row>
    <row r="50" spans="2:47" ht="6" customHeight="1" x14ac:dyDescent="0.15"/>
    <row r="51" spans="2:47" ht="6" customHeight="1" x14ac:dyDescent="0.15"/>
    <row r="52" spans="2:47" ht="12" customHeight="1" x14ac:dyDescent="0.15">
      <c r="B52" s="1858" t="s">
        <v>374</v>
      </c>
    </row>
    <row r="53" spans="2:47" ht="12" customHeight="1" x14ac:dyDescent="0.15">
      <c r="C53" s="1858" t="s">
        <v>375</v>
      </c>
    </row>
    <row r="54" spans="2:47" ht="12" customHeight="1" x14ac:dyDescent="0.15">
      <c r="D54" s="1858" t="s">
        <v>376</v>
      </c>
    </row>
    <row r="55" spans="2:47" ht="12" customHeight="1" x14ac:dyDescent="0.15">
      <c r="D55" s="1865"/>
      <c r="E55" s="1865"/>
      <c r="F55" s="1865"/>
      <c r="G55" s="1865"/>
      <c r="H55" s="1865"/>
      <c r="I55" s="1865"/>
      <c r="J55" s="1865"/>
      <c r="K55" s="1865"/>
      <c r="L55" s="1865"/>
      <c r="M55" s="1866"/>
      <c r="N55" s="1865"/>
      <c r="O55" s="1866" t="s">
        <v>25</v>
      </c>
      <c r="P55" s="3212" t="str">
        <f>'1_入力シート【基本情報】'!$DS$73</f>
        <v/>
      </c>
      <c r="Q55" s="3212"/>
      <c r="R55" s="1865" t="s">
        <v>377</v>
      </c>
      <c r="S55" s="1865"/>
      <c r="T55" s="1865"/>
      <c r="U55" s="1865"/>
      <c r="V55" s="1867"/>
      <c r="W55" s="1865"/>
      <c r="X55" s="1865"/>
      <c r="Y55" s="1866" t="s">
        <v>25</v>
      </c>
      <c r="Z55" s="3184" t="str">
        <f>'1_入力シート【基本情報】'!$DS$74</f>
        <v/>
      </c>
      <c r="AA55" s="3184"/>
      <c r="AB55" s="3184"/>
      <c r="AC55" s="3184"/>
      <c r="AD55" s="3184"/>
      <c r="AE55" s="3184"/>
      <c r="AF55" s="3184"/>
      <c r="AG55" s="3184"/>
      <c r="AH55" s="1868" t="s">
        <v>378</v>
      </c>
      <c r="AI55" s="1865"/>
      <c r="AJ55" s="1865"/>
      <c r="AK55" s="1865"/>
      <c r="AL55" s="1866" t="s">
        <v>379</v>
      </c>
      <c r="AM55" s="3213" t="str">
        <f>IF('1_入力シート【基本情報】'!DS75="","",'1_入力シート【基本情報】'!DS75)</f>
        <v/>
      </c>
      <c r="AN55" s="3213"/>
      <c r="AO55" s="3213"/>
      <c r="AP55" s="3213"/>
      <c r="AQ55" s="3213"/>
      <c r="AR55" s="3213"/>
      <c r="AS55" s="1865" t="s">
        <v>380</v>
      </c>
    </row>
    <row r="56" spans="2:47" ht="12" customHeight="1" x14ac:dyDescent="0.15">
      <c r="D56" s="1865"/>
      <c r="E56" s="1865"/>
      <c r="F56" s="1865"/>
      <c r="G56" s="1865"/>
      <c r="H56" s="1865"/>
      <c r="I56" s="1865"/>
      <c r="J56" s="1865"/>
      <c r="K56" s="1865"/>
      <c r="L56" s="1865"/>
      <c r="M56" s="1865"/>
      <c r="N56" s="1865"/>
      <c r="O56" s="1865" t="s">
        <v>243</v>
      </c>
      <c r="P56" s="1865"/>
      <c r="Q56" s="1865"/>
      <c r="R56" s="1865"/>
      <c r="S56" s="1865"/>
      <c r="T56" s="1865"/>
      <c r="U56" s="1865"/>
      <c r="V56" s="1865"/>
      <c r="W56" s="1865"/>
      <c r="X56" s="1865"/>
      <c r="Y56" s="1865"/>
      <c r="Z56" s="1865"/>
      <c r="AA56" s="1865"/>
      <c r="AB56" s="1865"/>
      <c r="AC56" s="1865"/>
      <c r="AD56" s="1865"/>
      <c r="AE56" s="1865"/>
      <c r="AF56" s="1865"/>
      <c r="AG56" s="1867"/>
      <c r="AH56" s="1865"/>
      <c r="AI56" s="1865"/>
      <c r="AJ56" s="1865"/>
      <c r="AK56" s="1865"/>
      <c r="AL56" s="1866" t="s">
        <v>379</v>
      </c>
      <c r="AM56" s="3213" t="str">
        <f>IF('1_入力シート【基本情報】'!DS76="","",'1_入力シート【基本情報】'!DS76)</f>
        <v/>
      </c>
      <c r="AN56" s="3213"/>
      <c r="AO56" s="3213"/>
      <c r="AP56" s="3213"/>
      <c r="AQ56" s="3213"/>
      <c r="AR56" s="3213"/>
      <c r="AS56" s="1865" t="s">
        <v>380</v>
      </c>
    </row>
    <row r="57" spans="2:47" ht="12" customHeight="1" x14ac:dyDescent="0.15">
      <c r="D57" s="1865" t="s">
        <v>381</v>
      </c>
      <c r="E57" s="1865"/>
      <c r="F57" s="1865"/>
      <c r="G57" s="1865"/>
      <c r="H57" s="1865"/>
      <c r="I57" s="1865"/>
      <c r="J57" s="1866"/>
      <c r="K57" s="1865"/>
      <c r="L57" s="1867"/>
      <c r="M57" s="1866"/>
      <c r="N57" s="1865"/>
      <c r="O57" s="3174" t="str">
        <f>IF('1_入力シート【基本情報】'!DS77="","",'1_入力シート【基本情報】'!DS77)</f>
        <v/>
      </c>
      <c r="P57" s="3174"/>
      <c r="Q57" s="3174"/>
      <c r="R57" s="3174"/>
      <c r="S57" s="3174"/>
      <c r="T57" s="3174"/>
      <c r="U57" s="3174"/>
      <c r="V57" s="3174"/>
      <c r="W57" s="3174"/>
      <c r="X57" s="3174"/>
      <c r="Y57" s="3174"/>
      <c r="Z57" s="3174"/>
      <c r="AA57" s="3174"/>
      <c r="AB57" s="3174"/>
      <c r="AC57" s="3174"/>
      <c r="AD57" s="3174"/>
      <c r="AE57" s="3174"/>
      <c r="AF57" s="3174"/>
      <c r="AG57" s="3174"/>
      <c r="AH57" s="3174"/>
      <c r="AI57" s="3174"/>
      <c r="AJ57" s="3174"/>
      <c r="AK57" s="3174"/>
      <c r="AL57" s="3174"/>
      <c r="AM57" s="3174"/>
      <c r="AN57" s="3174"/>
      <c r="AO57" s="3174"/>
      <c r="AP57" s="3174"/>
      <c r="AQ57" s="3174"/>
      <c r="AR57" s="3174"/>
      <c r="AS57" s="3174"/>
    </row>
    <row r="58" spans="2:47" ht="12" customHeight="1" x14ac:dyDescent="0.15">
      <c r="D58" s="1865" t="s">
        <v>382</v>
      </c>
      <c r="E58" s="1865"/>
      <c r="F58" s="1865"/>
      <c r="G58" s="1865"/>
      <c r="H58" s="1865"/>
      <c r="I58" s="1865"/>
      <c r="J58" s="1866"/>
      <c r="K58" s="1865"/>
      <c r="L58" s="1867"/>
      <c r="M58" s="1866"/>
      <c r="N58" s="1865"/>
      <c r="O58" s="3174" t="str">
        <f>IF('1_入力シート【基本情報】'!DS78="","",'1_入力シート【基本情報】'!DS78)</f>
        <v/>
      </c>
      <c r="P58" s="3174"/>
      <c r="Q58" s="3174"/>
      <c r="R58" s="3174"/>
      <c r="S58" s="3174"/>
      <c r="T58" s="3174"/>
      <c r="U58" s="3174"/>
      <c r="V58" s="3174"/>
      <c r="W58" s="3174"/>
      <c r="X58" s="3174"/>
      <c r="Y58" s="3174"/>
      <c r="Z58" s="3174"/>
      <c r="AA58" s="3174"/>
      <c r="AB58" s="3174"/>
      <c r="AC58" s="3174"/>
      <c r="AD58" s="3174"/>
      <c r="AE58" s="3174"/>
      <c r="AF58" s="3174"/>
      <c r="AG58" s="3174"/>
      <c r="AH58" s="3174"/>
      <c r="AI58" s="3174"/>
      <c r="AJ58" s="3174"/>
      <c r="AK58" s="3174"/>
      <c r="AL58" s="3174"/>
      <c r="AM58" s="3174"/>
      <c r="AN58" s="3174"/>
      <c r="AO58" s="3174"/>
      <c r="AP58" s="3174"/>
      <c r="AQ58" s="3174"/>
      <c r="AR58" s="3174"/>
      <c r="AS58" s="3174"/>
    </row>
    <row r="59" spans="2:47" ht="12" customHeight="1" x14ac:dyDescent="0.15">
      <c r="D59" s="1865" t="s">
        <v>383</v>
      </c>
      <c r="E59" s="1865"/>
      <c r="F59" s="1865"/>
      <c r="G59" s="1865"/>
      <c r="H59" s="1865"/>
      <c r="I59" s="1865"/>
      <c r="J59" s="1866"/>
      <c r="K59" s="1865"/>
      <c r="L59" s="1867"/>
      <c r="M59" s="1865"/>
      <c r="N59" s="1865"/>
      <c r="O59" s="3174" t="str">
        <f>IF('1_入力シート【基本情報】'!DS79="","",'1_入力シート【基本情報】'!DS79)</f>
        <v/>
      </c>
      <c r="P59" s="3174"/>
      <c r="Q59" s="3174"/>
      <c r="R59" s="3174"/>
      <c r="S59" s="3174"/>
      <c r="T59" s="3174"/>
      <c r="U59" s="3174"/>
      <c r="V59" s="3174"/>
      <c r="W59" s="3174"/>
      <c r="X59" s="3174"/>
      <c r="Y59" s="3174"/>
      <c r="Z59" s="3174"/>
      <c r="AA59" s="3174"/>
      <c r="AB59" s="3174"/>
      <c r="AC59" s="3174"/>
      <c r="AD59" s="3174"/>
      <c r="AE59" s="3174"/>
      <c r="AF59" s="3174"/>
      <c r="AG59" s="3174"/>
      <c r="AH59" s="3174"/>
      <c r="AI59" s="3174"/>
      <c r="AJ59" s="3174"/>
      <c r="AK59" s="3174"/>
      <c r="AL59" s="3174"/>
      <c r="AM59" s="3174"/>
      <c r="AN59" s="3174"/>
      <c r="AO59" s="3174"/>
      <c r="AP59" s="3174"/>
      <c r="AQ59" s="3174"/>
      <c r="AR59" s="3174"/>
      <c r="AS59" s="3174"/>
      <c r="AU59" s="1863"/>
    </row>
    <row r="60" spans="2:47" ht="12" customHeight="1" x14ac:dyDescent="0.15">
      <c r="D60" s="1865"/>
      <c r="E60" s="1865"/>
      <c r="F60" s="1865"/>
      <c r="G60" s="1865"/>
      <c r="H60" s="1865"/>
      <c r="I60" s="1865"/>
      <c r="J60" s="1866"/>
      <c r="K60" s="1865"/>
      <c r="L60" s="1866"/>
      <c r="M60" s="1865"/>
      <c r="N60" s="1865"/>
      <c r="O60" s="1866" t="s">
        <v>25</v>
      </c>
      <c r="P60" s="3184" t="str">
        <f>'1_入力シート【基本情報】'!DS80</f>
        <v/>
      </c>
      <c r="Q60" s="3184"/>
      <c r="R60" s="1865" t="s">
        <v>384</v>
      </c>
      <c r="S60" s="1865"/>
      <c r="T60" s="1865"/>
      <c r="U60" s="1865"/>
      <c r="V60" s="1865"/>
      <c r="W60" s="1865"/>
      <c r="X60" s="1866"/>
      <c r="Y60" s="1866" t="s">
        <v>25</v>
      </c>
      <c r="Z60" s="3184" t="str">
        <f>IF('1_入力シート【基本情報】'!DS81="","",'1_入力シート【基本情報】'!DS81)</f>
        <v/>
      </c>
      <c r="AA60" s="3184"/>
      <c r="AB60" s="3184"/>
      <c r="AC60" s="3184"/>
      <c r="AD60" s="3184"/>
      <c r="AE60" s="3184"/>
      <c r="AF60" s="1868" t="s">
        <v>385</v>
      </c>
      <c r="AG60" s="1868"/>
      <c r="AH60" s="1865"/>
      <c r="AI60" s="1867"/>
      <c r="AJ60" s="1865"/>
      <c r="AK60" s="1865"/>
      <c r="AL60" s="1866" t="s">
        <v>379</v>
      </c>
      <c r="AM60" s="3213" t="str">
        <f>IF('1_入力シート【基本情報】'!DS82="","",'1_入力シート【基本情報】'!DS82)</f>
        <v/>
      </c>
      <c r="AN60" s="3213"/>
      <c r="AO60" s="3213"/>
      <c r="AP60" s="3213"/>
      <c r="AQ60" s="3213"/>
      <c r="AR60" s="3213"/>
      <c r="AS60" s="1865" t="s">
        <v>380</v>
      </c>
    </row>
    <row r="61" spans="2:47" ht="12" customHeight="1" x14ac:dyDescent="0.15">
      <c r="D61" s="1865" t="s">
        <v>386</v>
      </c>
      <c r="E61" s="1865"/>
      <c r="F61" s="1865"/>
      <c r="G61" s="1865"/>
      <c r="H61" s="1865"/>
      <c r="I61" s="1865"/>
      <c r="J61" s="1865"/>
      <c r="K61" s="1865"/>
      <c r="L61" s="1865"/>
      <c r="M61" s="1865"/>
      <c r="N61" s="1865"/>
      <c r="O61" s="3220" t="str">
        <f>'1_入力シート【基本情報】'!$DS$83</f>
        <v/>
      </c>
      <c r="P61" s="3220"/>
      <c r="Q61" s="3220"/>
      <c r="R61" s="3220"/>
      <c r="S61" s="3220"/>
      <c r="T61" s="3220"/>
      <c r="U61" s="3220"/>
      <c r="V61" s="1865"/>
      <c r="W61" s="1865"/>
      <c r="X61" s="1865"/>
      <c r="Y61" s="1865"/>
      <c r="Z61" s="1865"/>
      <c r="AA61" s="1865"/>
      <c r="AB61" s="1865"/>
      <c r="AC61" s="1865"/>
      <c r="AD61" s="1865"/>
      <c r="AE61" s="1865"/>
      <c r="AF61" s="1865"/>
      <c r="AG61" s="1865"/>
      <c r="AH61" s="1865"/>
      <c r="AI61" s="1865"/>
      <c r="AJ61" s="1865"/>
      <c r="AK61" s="1866"/>
      <c r="AL61" s="1866"/>
      <c r="AM61" s="1865"/>
      <c r="AN61" s="1865"/>
      <c r="AO61" s="1865"/>
      <c r="AP61" s="1865"/>
      <c r="AQ61" s="1865"/>
      <c r="AR61" s="1865"/>
      <c r="AS61" s="1865"/>
    </row>
    <row r="62" spans="2:47" ht="12" customHeight="1" x14ac:dyDescent="0.15">
      <c r="D62" s="1865" t="s">
        <v>387</v>
      </c>
      <c r="E62" s="1865"/>
      <c r="F62" s="1865"/>
      <c r="G62" s="1865"/>
      <c r="H62" s="1865"/>
      <c r="I62" s="1865"/>
      <c r="J62" s="1865"/>
      <c r="K62" s="1865"/>
      <c r="L62" s="1867"/>
      <c r="M62" s="1865"/>
      <c r="N62" s="1865"/>
      <c r="O62" s="3174" t="str">
        <f>IF('1_入力シート【基本情報】'!DS84="","",'1_入力シート【基本情報】'!DS84)</f>
        <v/>
      </c>
      <c r="P62" s="3174"/>
      <c r="Q62" s="3174"/>
      <c r="R62" s="3174"/>
      <c r="S62" s="3174"/>
      <c r="T62" s="3174"/>
      <c r="U62" s="3174"/>
      <c r="V62" s="3174"/>
      <c r="W62" s="3174"/>
      <c r="X62" s="3174"/>
      <c r="Y62" s="3174"/>
      <c r="Z62" s="3174"/>
      <c r="AA62" s="3174"/>
      <c r="AB62" s="3174"/>
      <c r="AC62" s="3174"/>
      <c r="AD62" s="3174"/>
      <c r="AE62" s="3174"/>
      <c r="AF62" s="3174"/>
      <c r="AG62" s="3174"/>
      <c r="AH62" s="3174"/>
      <c r="AI62" s="3174"/>
      <c r="AJ62" s="3174"/>
      <c r="AK62" s="3174"/>
      <c r="AL62" s="3174"/>
      <c r="AM62" s="3174"/>
      <c r="AN62" s="3174"/>
      <c r="AO62" s="3174"/>
      <c r="AP62" s="3174"/>
      <c r="AQ62" s="3174"/>
      <c r="AR62" s="3174"/>
      <c r="AS62" s="3174"/>
    </row>
    <row r="63" spans="2:47" ht="12" customHeight="1" x14ac:dyDescent="0.15">
      <c r="D63" s="1865" t="s">
        <v>388</v>
      </c>
      <c r="E63" s="1865"/>
      <c r="F63" s="1865"/>
      <c r="G63" s="1865"/>
      <c r="H63" s="1865"/>
      <c r="I63" s="1865"/>
      <c r="J63" s="1865"/>
      <c r="K63" s="1865"/>
      <c r="L63" s="1869"/>
      <c r="M63" s="1865"/>
      <c r="N63" s="1865"/>
      <c r="O63" s="3221" t="str">
        <f>'1_入力シート【基本情報】'!$DS$85</f>
        <v/>
      </c>
      <c r="P63" s="3221"/>
      <c r="Q63" s="3221"/>
      <c r="R63" s="3221"/>
      <c r="S63" s="3221"/>
      <c r="T63" s="3221"/>
      <c r="U63" s="3221"/>
      <c r="V63" s="3221"/>
      <c r="W63" s="3221"/>
      <c r="X63" s="3221"/>
      <c r="Y63" s="3221"/>
      <c r="Z63" s="3221"/>
      <c r="AA63" s="3221"/>
      <c r="AB63" s="3221"/>
      <c r="AC63" s="1869"/>
      <c r="AD63" s="1869"/>
      <c r="AE63" s="1869"/>
      <c r="AF63" s="1869"/>
      <c r="AG63" s="1869"/>
      <c r="AH63" s="1869"/>
      <c r="AI63" s="1869"/>
      <c r="AJ63" s="1869"/>
      <c r="AK63" s="1869"/>
      <c r="AL63" s="1869"/>
      <c r="AM63" s="1869"/>
      <c r="AN63" s="1869"/>
      <c r="AO63" s="1869"/>
      <c r="AP63" s="1869"/>
      <c r="AQ63" s="1869"/>
      <c r="AR63" s="1869"/>
      <c r="AS63" s="1869"/>
    </row>
    <row r="64" spans="2:47" ht="12" customHeight="1" x14ac:dyDescent="0.15">
      <c r="C64" s="1858" t="s">
        <v>389</v>
      </c>
    </row>
    <row r="65" spans="2:51" ht="12" customHeight="1" x14ac:dyDescent="0.15">
      <c r="D65" s="1865" t="s">
        <v>390</v>
      </c>
      <c r="N65" s="1870"/>
      <c r="O65" s="1870"/>
      <c r="P65" s="1870"/>
      <c r="Q65" s="1870"/>
      <c r="R65" s="1870"/>
      <c r="S65" s="1870"/>
      <c r="T65" s="1870"/>
      <c r="U65" s="1870"/>
      <c r="V65" s="1870"/>
      <c r="W65" s="1870"/>
      <c r="X65" s="1870"/>
      <c r="Y65" s="1870"/>
      <c r="Z65" s="1870"/>
      <c r="AA65" s="1870"/>
      <c r="AB65" s="1870"/>
      <c r="AC65" s="1870"/>
      <c r="AD65" s="1870"/>
      <c r="AE65" s="1870"/>
      <c r="AF65" s="1870"/>
      <c r="AG65" s="1870"/>
      <c r="AH65" s="1870"/>
      <c r="AI65" s="1870"/>
      <c r="AJ65" s="1870"/>
      <c r="AK65" s="1870"/>
      <c r="AL65" s="1870"/>
      <c r="AM65" s="1870"/>
      <c r="AN65" s="1870"/>
      <c r="AO65" s="1870"/>
      <c r="AP65" s="1870"/>
      <c r="AQ65" s="1870"/>
      <c r="AR65" s="1870"/>
      <c r="AS65" s="1870"/>
      <c r="AU65" s="1863"/>
      <c r="AV65" s="1863"/>
      <c r="AW65" s="1863"/>
      <c r="AX65" s="1863"/>
      <c r="AY65" s="1863"/>
    </row>
    <row r="66" spans="2:51" ht="12" customHeight="1" x14ac:dyDescent="0.15">
      <c r="D66" s="1865"/>
      <c r="E66" s="1865"/>
      <c r="F66" s="1865"/>
      <c r="G66" s="1865"/>
      <c r="H66" s="1865"/>
      <c r="I66" s="1865"/>
      <c r="J66" s="1865"/>
      <c r="K66" s="1865"/>
      <c r="L66" s="1865"/>
      <c r="M66" s="1866"/>
      <c r="N66" s="1865"/>
      <c r="O66" s="1866" t="s">
        <v>25</v>
      </c>
      <c r="P66" s="3212" t="str">
        <f>'1_入力シート【基本情報】'!$DS$91</f>
        <v/>
      </c>
      <c r="Q66" s="3212"/>
      <c r="R66" s="1865" t="s">
        <v>377</v>
      </c>
      <c r="S66" s="1865"/>
      <c r="T66" s="1865"/>
      <c r="U66" s="1865"/>
      <c r="V66" s="1867"/>
      <c r="W66" s="1865"/>
      <c r="X66" s="1865"/>
      <c r="Y66" s="1866" t="s">
        <v>25</v>
      </c>
      <c r="Z66" s="3212" t="str">
        <f>'1_入力シート【基本情報】'!$DS$92</f>
        <v/>
      </c>
      <c r="AA66" s="3212"/>
      <c r="AB66" s="3212"/>
      <c r="AC66" s="3212"/>
      <c r="AD66" s="3212"/>
      <c r="AE66" s="3212"/>
      <c r="AF66" s="3212"/>
      <c r="AG66" s="3212"/>
      <c r="AH66" s="1868" t="s">
        <v>378</v>
      </c>
      <c r="AI66" s="1865"/>
      <c r="AJ66" s="1865"/>
      <c r="AK66" s="1865"/>
      <c r="AL66" s="1866" t="s">
        <v>379</v>
      </c>
      <c r="AM66" s="3213" t="str">
        <f>IF('1_入力シート【基本情報】'!DS93="","",'1_入力シート【基本情報】'!DS93)</f>
        <v/>
      </c>
      <c r="AN66" s="3213"/>
      <c r="AO66" s="3213"/>
      <c r="AP66" s="3213"/>
      <c r="AQ66" s="3213"/>
      <c r="AR66" s="3213"/>
      <c r="AS66" s="1865" t="s">
        <v>380</v>
      </c>
    </row>
    <row r="67" spans="2:51" ht="12" customHeight="1" x14ac:dyDescent="0.15">
      <c r="D67" s="1865"/>
      <c r="E67" s="1865"/>
      <c r="F67" s="1865"/>
      <c r="G67" s="1865"/>
      <c r="H67" s="1865"/>
      <c r="I67" s="1865"/>
      <c r="J67" s="1865"/>
      <c r="K67" s="1865"/>
      <c r="L67" s="1865"/>
      <c r="M67" s="1865"/>
      <c r="N67" s="1865"/>
      <c r="O67" s="1865" t="s">
        <v>243</v>
      </c>
      <c r="P67" s="1865"/>
      <c r="Q67" s="1865"/>
      <c r="R67" s="1865"/>
      <c r="S67" s="1865"/>
      <c r="T67" s="1865"/>
      <c r="U67" s="1865"/>
      <c r="V67" s="1865"/>
      <c r="W67" s="1865"/>
      <c r="X67" s="1865"/>
      <c r="Y67" s="1865"/>
      <c r="Z67" s="1865"/>
      <c r="AA67" s="1865"/>
      <c r="AB67" s="1865"/>
      <c r="AC67" s="1865"/>
      <c r="AD67" s="1865"/>
      <c r="AE67" s="1865"/>
      <c r="AF67" s="1865"/>
      <c r="AG67" s="1867"/>
      <c r="AH67" s="1865"/>
      <c r="AI67" s="1865"/>
      <c r="AJ67" s="1865"/>
      <c r="AK67" s="1865"/>
      <c r="AL67" s="1866" t="s">
        <v>379</v>
      </c>
      <c r="AM67" s="3213" t="str">
        <f>IF('1_入力シート【基本情報】'!DS94="","",'1_入力シート【基本情報】'!DS94)</f>
        <v/>
      </c>
      <c r="AN67" s="3213"/>
      <c r="AO67" s="3213"/>
      <c r="AP67" s="3213"/>
      <c r="AQ67" s="3213"/>
      <c r="AR67" s="3213"/>
      <c r="AS67" s="1865" t="s">
        <v>380</v>
      </c>
    </row>
    <row r="68" spans="2:51" ht="12" customHeight="1" x14ac:dyDescent="0.15">
      <c r="D68" s="1865" t="s">
        <v>381</v>
      </c>
      <c r="E68" s="1865"/>
      <c r="F68" s="1865"/>
      <c r="G68" s="1865"/>
      <c r="H68" s="1865"/>
      <c r="I68" s="1865"/>
      <c r="J68" s="1866"/>
      <c r="K68" s="1865"/>
      <c r="L68" s="1867"/>
      <c r="M68" s="1866"/>
      <c r="N68" s="1865"/>
      <c r="O68" s="3174" t="str">
        <f>IF('1_入力シート【基本情報】'!DS95="","",'1_入力シート【基本情報】'!DS95)</f>
        <v/>
      </c>
      <c r="P68" s="3174"/>
      <c r="Q68" s="3174"/>
      <c r="R68" s="3174"/>
      <c r="S68" s="3174"/>
      <c r="T68" s="3174"/>
      <c r="U68" s="3174"/>
      <c r="V68" s="3174"/>
      <c r="W68" s="3174"/>
      <c r="X68" s="3174"/>
      <c r="Y68" s="3174"/>
      <c r="Z68" s="3174"/>
      <c r="AA68" s="3174"/>
      <c r="AB68" s="3174"/>
      <c r="AC68" s="3174"/>
      <c r="AD68" s="3174"/>
      <c r="AE68" s="3174"/>
      <c r="AF68" s="3174"/>
      <c r="AG68" s="3174"/>
      <c r="AH68" s="3174"/>
      <c r="AI68" s="3174"/>
      <c r="AJ68" s="3174"/>
      <c r="AK68" s="3174"/>
      <c r="AL68" s="3174"/>
      <c r="AM68" s="3174"/>
      <c r="AN68" s="3174"/>
      <c r="AO68" s="3174"/>
      <c r="AP68" s="3174"/>
      <c r="AQ68" s="3174"/>
      <c r="AR68" s="3174"/>
      <c r="AS68" s="3174"/>
    </row>
    <row r="69" spans="2:51" ht="12" customHeight="1" x14ac:dyDescent="0.15">
      <c r="D69" s="1865" t="s">
        <v>382</v>
      </c>
      <c r="E69" s="1865"/>
      <c r="F69" s="1865"/>
      <c r="G69" s="1865"/>
      <c r="H69" s="1865"/>
      <c r="I69" s="1865"/>
      <c r="J69" s="1866"/>
      <c r="K69" s="1865"/>
      <c r="L69" s="1867"/>
      <c r="M69" s="1866"/>
      <c r="N69" s="1865"/>
      <c r="O69" s="3220">
        <f>'1_入力シート【基本情報】'!$AB$96</f>
        <v>0</v>
      </c>
      <c r="P69" s="3220"/>
      <c r="Q69" s="3220"/>
      <c r="R69" s="3220"/>
      <c r="S69" s="3220"/>
      <c r="T69" s="3220"/>
      <c r="U69" s="3220"/>
      <c r="V69" s="3220"/>
      <c r="W69" s="3220"/>
      <c r="X69" s="3220"/>
      <c r="Y69" s="3220"/>
      <c r="Z69" s="3220"/>
      <c r="AA69" s="3220"/>
      <c r="AB69" s="3220"/>
      <c r="AC69" s="3220"/>
      <c r="AD69" s="3220"/>
      <c r="AE69" s="3220"/>
      <c r="AF69" s="3220"/>
      <c r="AG69" s="3220"/>
      <c r="AH69" s="3220"/>
      <c r="AI69" s="3220"/>
      <c r="AJ69" s="3220"/>
      <c r="AK69" s="3220"/>
      <c r="AL69" s="3220"/>
      <c r="AM69" s="3220"/>
      <c r="AN69" s="3220"/>
      <c r="AO69" s="3220"/>
      <c r="AP69" s="3220"/>
      <c r="AQ69" s="3220"/>
      <c r="AR69" s="3220"/>
      <c r="AS69" s="3220"/>
    </row>
    <row r="70" spans="2:51" ht="12" customHeight="1" x14ac:dyDescent="0.15">
      <c r="D70" s="1865" t="s">
        <v>383</v>
      </c>
      <c r="E70" s="1865"/>
      <c r="F70" s="1865"/>
      <c r="G70" s="1865"/>
      <c r="H70" s="1865"/>
      <c r="I70" s="1865"/>
      <c r="J70" s="1866"/>
      <c r="K70" s="1865"/>
      <c r="L70" s="1867"/>
      <c r="M70" s="1865"/>
      <c r="N70" s="1865"/>
      <c r="O70" s="3174" t="str">
        <f>'1_入力シート【基本情報】'!DW97</f>
        <v/>
      </c>
      <c r="P70" s="3174"/>
      <c r="Q70" s="3174"/>
      <c r="R70" s="3174"/>
      <c r="S70" s="3174"/>
      <c r="T70" s="3174"/>
      <c r="U70" s="3174"/>
      <c r="V70" s="3174"/>
      <c r="W70" s="3174"/>
      <c r="X70" s="3174"/>
      <c r="Y70" s="3174"/>
      <c r="Z70" s="3174"/>
      <c r="AA70" s="3174"/>
      <c r="AB70" s="3174"/>
      <c r="AC70" s="3174"/>
      <c r="AD70" s="3174"/>
      <c r="AE70" s="3174"/>
      <c r="AF70" s="3174"/>
      <c r="AG70" s="3174"/>
      <c r="AH70" s="3174"/>
      <c r="AI70" s="3174"/>
      <c r="AJ70" s="3174"/>
      <c r="AK70" s="3174"/>
      <c r="AL70" s="3174"/>
      <c r="AM70" s="3174"/>
      <c r="AN70" s="3174"/>
      <c r="AO70" s="3174"/>
      <c r="AP70" s="3174"/>
      <c r="AQ70" s="3174"/>
      <c r="AR70" s="3174"/>
      <c r="AS70" s="3174"/>
    </row>
    <row r="71" spans="2:51" ht="12" customHeight="1" x14ac:dyDescent="0.15">
      <c r="D71" s="1865"/>
      <c r="E71" s="1865"/>
      <c r="F71" s="1865"/>
      <c r="G71" s="1865"/>
      <c r="H71" s="1865"/>
      <c r="I71" s="1865"/>
      <c r="J71" s="1866"/>
      <c r="K71" s="1865"/>
      <c r="L71" s="1866"/>
      <c r="M71" s="1865"/>
      <c r="N71" s="1865"/>
      <c r="O71" s="1866" t="s">
        <v>25</v>
      </c>
      <c r="P71" s="3184" t="str">
        <f>'1_入力シート【基本情報】'!DW98</f>
        <v/>
      </c>
      <c r="Q71" s="3184"/>
      <c r="R71" s="1865" t="s">
        <v>384</v>
      </c>
      <c r="S71" s="1865"/>
      <c r="T71" s="1865"/>
      <c r="U71" s="1865"/>
      <c r="V71" s="1865"/>
      <c r="W71" s="1865"/>
      <c r="X71" s="1866"/>
      <c r="Y71" s="1866" t="s">
        <v>25</v>
      </c>
      <c r="Z71" s="3184" t="str">
        <f>'1_入力シート【基本情報】'!DW99</f>
        <v/>
      </c>
      <c r="AA71" s="3184"/>
      <c r="AB71" s="3184"/>
      <c r="AC71" s="3184"/>
      <c r="AD71" s="3184"/>
      <c r="AE71" s="3184"/>
      <c r="AF71" s="1868" t="s">
        <v>385</v>
      </c>
      <c r="AG71" s="1868"/>
      <c r="AH71" s="1865"/>
      <c r="AI71" s="1867"/>
      <c r="AJ71" s="1865"/>
      <c r="AK71" s="1865"/>
      <c r="AL71" s="1866" t="s">
        <v>379</v>
      </c>
      <c r="AM71" s="3213" t="str">
        <f>'1_入力シート【基本情報】'!DW100</f>
        <v/>
      </c>
      <c r="AN71" s="3213"/>
      <c r="AO71" s="3213"/>
      <c r="AP71" s="3213"/>
      <c r="AQ71" s="3213"/>
      <c r="AR71" s="3213"/>
      <c r="AS71" s="1865" t="s">
        <v>380</v>
      </c>
    </row>
    <row r="72" spans="2:51" ht="12" customHeight="1" x14ac:dyDescent="0.15">
      <c r="D72" s="1865" t="s">
        <v>386</v>
      </c>
      <c r="E72" s="1865"/>
      <c r="F72" s="1865"/>
      <c r="G72" s="1865"/>
      <c r="H72" s="1865"/>
      <c r="I72" s="1865"/>
      <c r="J72" s="1865"/>
      <c r="K72" s="1865"/>
      <c r="L72" s="1865"/>
      <c r="M72" s="1865"/>
      <c r="N72" s="1865"/>
      <c r="O72" s="3176" t="str">
        <f>'1_入力シート【基本情報】'!DW101</f>
        <v/>
      </c>
      <c r="P72" s="3176"/>
      <c r="Q72" s="3176"/>
      <c r="R72" s="3176"/>
      <c r="S72" s="3176"/>
      <c r="T72" s="3176"/>
      <c r="U72" s="3176"/>
      <c r="V72" s="1865"/>
      <c r="W72" s="1865"/>
      <c r="X72" s="1865"/>
      <c r="Y72" s="1865"/>
      <c r="Z72" s="1865"/>
      <c r="AA72" s="1865"/>
      <c r="AB72" s="1865"/>
      <c r="AC72" s="1865"/>
      <c r="AD72" s="1865"/>
      <c r="AE72" s="1865"/>
      <c r="AF72" s="1865"/>
      <c r="AG72" s="1865"/>
      <c r="AH72" s="1865"/>
      <c r="AI72" s="1865"/>
      <c r="AJ72" s="1865"/>
      <c r="AK72" s="1866"/>
      <c r="AL72" s="1866"/>
      <c r="AM72" s="1865"/>
      <c r="AN72" s="1865"/>
      <c r="AO72" s="1865"/>
      <c r="AP72" s="1865"/>
      <c r="AQ72" s="1865"/>
      <c r="AR72" s="1865"/>
      <c r="AS72" s="1865"/>
    </row>
    <row r="73" spans="2:51" ht="12" customHeight="1" x14ac:dyDescent="0.15">
      <c r="D73" s="1865" t="s">
        <v>387</v>
      </c>
      <c r="E73" s="1865"/>
      <c r="F73" s="1865"/>
      <c r="G73" s="1865"/>
      <c r="H73" s="1865"/>
      <c r="I73" s="1865"/>
      <c r="J73" s="1865"/>
      <c r="K73" s="1865"/>
      <c r="L73" s="1867"/>
      <c r="M73" s="1865"/>
      <c r="N73" s="1865"/>
      <c r="O73" s="3174" t="str">
        <f>'1_入力シート【基本情報】'!DW102</f>
        <v/>
      </c>
      <c r="P73" s="3174"/>
      <c r="Q73" s="3174"/>
      <c r="R73" s="3174"/>
      <c r="S73" s="3174"/>
      <c r="T73" s="3174"/>
      <c r="U73" s="3174"/>
      <c r="V73" s="3174"/>
      <c r="W73" s="3174"/>
      <c r="X73" s="3174"/>
      <c r="Y73" s="3174"/>
      <c r="Z73" s="3174"/>
      <c r="AA73" s="3174"/>
      <c r="AB73" s="3174"/>
      <c r="AC73" s="3174"/>
      <c r="AD73" s="3174"/>
      <c r="AE73" s="3174"/>
      <c r="AF73" s="3174"/>
      <c r="AG73" s="3174"/>
      <c r="AH73" s="3174"/>
      <c r="AI73" s="3174"/>
      <c r="AJ73" s="3174"/>
      <c r="AK73" s="3174"/>
      <c r="AL73" s="3174"/>
      <c r="AM73" s="3174"/>
      <c r="AN73" s="3174"/>
      <c r="AO73" s="3174"/>
      <c r="AP73" s="3174"/>
      <c r="AQ73" s="3174"/>
      <c r="AR73" s="3174"/>
      <c r="AS73" s="3174"/>
    </row>
    <row r="74" spans="2:51" ht="12" customHeight="1" x14ac:dyDescent="0.15">
      <c r="D74" s="1865" t="s">
        <v>388</v>
      </c>
      <c r="E74" s="1865"/>
      <c r="F74" s="1865"/>
      <c r="G74" s="1865"/>
      <c r="H74" s="1865"/>
      <c r="I74" s="1865"/>
      <c r="J74" s="1865"/>
      <c r="K74" s="1865"/>
      <c r="L74" s="1869"/>
      <c r="M74" s="1865"/>
      <c r="N74" s="1865"/>
      <c r="O74" s="3221" t="str">
        <f>'1_入力シート【基本情報】'!DW103</f>
        <v/>
      </c>
      <c r="P74" s="3221"/>
      <c r="Q74" s="3221"/>
      <c r="R74" s="3221"/>
      <c r="S74" s="3221"/>
      <c r="T74" s="3221"/>
      <c r="U74" s="3221"/>
      <c r="V74" s="3221"/>
      <c r="W74" s="3221"/>
      <c r="X74" s="3221"/>
      <c r="Y74" s="3221"/>
      <c r="Z74" s="3221"/>
      <c r="AA74" s="3221"/>
      <c r="AB74" s="3221"/>
      <c r="AC74" s="1869"/>
      <c r="AD74" s="1869"/>
      <c r="AE74" s="1869"/>
      <c r="AF74" s="1869"/>
      <c r="AG74" s="1869"/>
      <c r="AH74" s="1869"/>
      <c r="AI74" s="1869"/>
      <c r="AJ74" s="1869"/>
      <c r="AK74" s="1869"/>
      <c r="AL74" s="1869"/>
      <c r="AM74" s="1869"/>
      <c r="AN74" s="1869"/>
      <c r="AO74" s="1869"/>
      <c r="AP74" s="1869"/>
      <c r="AQ74" s="1869"/>
      <c r="AR74" s="1869"/>
      <c r="AS74" s="1869"/>
    </row>
    <row r="75" spans="2:51" ht="13.5" hidden="1" customHeight="1" x14ac:dyDescent="0.15">
      <c r="C75" s="1858"/>
      <c r="N75" s="1871"/>
      <c r="O75" s="1871"/>
      <c r="P75" s="1871"/>
      <c r="Q75" s="1871"/>
      <c r="R75" s="1871"/>
      <c r="S75" s="1871"/>
      <c r="T75" s="1871"/>
      <c r="U75" s="1871"/>
      <c r="V75" s="1871"/>
      <c r="W75" s="1871"/>
      <c r="X75" s="1871"/>
      <c r="Y75" s="1871"/>
      <c r="Z75" s="1871"/>
      <c r="AA75" s="1871"/>
      <c r="AB75" s="1871"/>
      <c r="AC75" s="1871"/>
      <c r="AD75" s="1871"/>
      <c r="AE75" s="1871"/>
      <c r="AF75" s="1871"/>
      <c r="AG75" s="1871"/>
      <c r="AH75" s="1871"/>
      <c r="AI75" s="1871"/>
      <c r="AJ75" s="1871"/>
      <c r="AK75" s="1871"/>
      <c r="AL75" s="1871"/>
      <c r="AM75" s="1871"/>
      <c r="AN75" s="1871"/>
      <c r="AO75" s="1871"/>
      <c r="AP75" s="1871"/>
      <c r="AQ75" s="1871"/>
      <c r="AR75" s="1871"/>
      <c r="AS75" s="1871"/>
      <c r="AT75" s="1871"/>
    </row>
    <row r="76" spans="2:51" hidden="1" x14ac:dyDescent="0.15">
      <c r="C76" s="1858"/>
      <c r="N76" s="1871"/>
      <c r="O76" s="1871"/>
      <c r="P76" s="1871"/>
      <c r="Q76" s="1871"/>
      <c r="R76" s="1871"/>
      <c r="S76" s="1871"/>
      <c r="T76" s="1871"/>
      <c r="U76" s="1871"/>
      <c r="V76" s="1871"/>
      <c r="W76" s="1871"/>
      <c r="X76" s="1871"/>
      <c r="Y76" s="1871"/>
      <c r="Z76" s="1871"/>
      <c r="AA76" s="1871"/>
      <c r="AB76" s="1871"/>
      <c r="AC76" s="1871"/>
      <c r="AD76" s="1871"/>
      <c r="AE76" s="1871"/>
      <c r="AF76" s="1871"/>
      <c r="AG76" s="1871"/>
      <c r="AH76" s="1871"/>
      <c r="AI76" s="1871"/>
      <c r="AJ76" s="1871"/>
      <c r="AK76" s="1871"/>
      <c r="AL76" s="1871"/>
      <c r="AM76" s="1871"/>
      <c r="AN76" s="1871"/>
      <c r="AO76" s="1871"/>
      <c r="AP76" s="1871"/>
      <c r="AQ76" s="1871"/>
      <c r="AR76" s="1871"/>
      <c r="AS76" s="1871"/>
      <c r="AT76" s="1871"/>
    </row>
    <row r="77" spans="2:51" hidden="1" x14ac:dyDescent="0.15">
      <c r="C77" s="1858"/>
      <c r="N77" s="1871"/>
      <c r="O77" s="1871"/>
      <c r="P77" s="1871"/>
      <c r="Q77" s="1871"/>
      <c r="R77" s="1871"/>
      <c r="S77" s="1871"/>
      <c r="T77" s="1871"/>
      <c r="U77" s="1871"/>
      <c r="V77" s="1871"/>
      <c r="W77" s="1871"/>
      <c r="X77" s="1871"/>
      <c r="Y77" s="1871"/>
      <c r="Z77" s="1871"/>
      <c r="AA77" s="1871"/>
      <c r="AB77" s="1871"/>
      <c r="AC77" s="1871"/>
      <c r="AD77" s="1871"/>
      <c r="AE77" s="1871"/>
      <c r="AF77" s="1871"/>
      <c r="AG77" s="1871"/>
      <c r="AH77" s="1871"/>
      <c r="AI77" s="1871"/>
      <c r="AJ77" s="1871"/>
      <c r="AK77" s="1871"/>
      <c r="AL77" s="1871"/>
      <c r="AM77" s="1871"/>
      <c r="AN77" s="1871"/>
      <c r="AO77" s="1871"/>
      <c r="AP77" s="1871"/>
      <c r="AQ77" s="1871"/>
      <c r="AR77" s="1871"/>
      <c r="AS77" s="1871"/>
      <c r="AT77" s="1871"/>
    </row>
    <row r="78" spans="2:51" ht="6" customHeight="1" x14ac:dyDescent="0.15"/>
    <row r="79" spans="2:51" ht="6" customHeight="1" x14ac:dyDescent="0.15"/>
    <row r="80" spans="2:51" ht="12" customHeight="1" x14ac:dyDescent="0.15">
      <c r="B80" s="1858" t="s">
        <v>391</v>
      </c>
      <c r="X80" s="1872"/>
    </row>
    <row r="81" spans="2:53" ht="12" customHeight="1" x14ac:dyDescent="0.15">
      <c r="D81" s="1858" t="s">
        <v>392</v>
      </c>
      <c r="N81" s="1863"/>
      <c r="O81" s="3217" t="str">
        <f>'1_入力シート【基本情報】'!$DN$11</f>
        <v>京都市</v>
      </c>
      <c r="P81" s="3217"/>
      <c r="Q81" s="3217"/>
      <c r="R81" s="3217"/>
      <c r="S81" s="3217"/>
      <c r="T81" s="3217"/>
      <c r="U81" s="3217"/>
      <c r="V81" s="3218"/>
      <c r="W81" s="3218"/>
      <c r="X81" s="3218"/>
      <c r="Y81" s="3218"/>
      <c r="Z81" s="3218"/>
      <c r="AA81" s="3218"/>
      <c r="AB81" s="3218"/>
      <c r="AC81" s="3218"/>
      <c r="AD81" s="3218"/>
      <c r="AE81" s="3218"/>
      <c r="AF81" s="3218"/>
      <c r="AG81" s="3218"/>
      <c r="AH81" s="3218"/>
      <c r="AI81" s="3218"/>
      <c r="AJ81" s="3218"/>
      <c r="AK81" s="3218"/>
      <c r="AL81" s="3218"/>
      <c r="AM81" s="3218"/>
      <c r="AN81" s="3218"/>
      <c r="AO81" s="3218"/>
      <c r="AP81" s="3218"/>
      <c r="AQ81" s="3218"/>
      <c r="AR81" s="3218"/>
      <c r="AS81" s="3218"/>
    </row>
    <row r="82" spans="2:53" ht="12" customHeight="1" x14ac:dyDescent="0.15">
      <c r="D82" s="1858" t="s">
        <v>393</v>
      </c>
      <c r="N82" s="1863"/>
      <c r="O82" s="3174" t="str">
        <f>'1_入力シート【基本情報】'!$DN$13</f>
        <v/>
      </c>
      <c r="P82" s="3174"/>
      <c r="Q82" s="3174"/>
      <c r="R82" s="3174"/>
      <c r="S82" s="3174"/>
      <c r="T82" s="3174"/>
      <c r="U82" s="3174"/>
      <c r="V82" s="3174"/>
      <c r="W82" s="3174"/>
      <c r="X82" s="3174"/>
      <c r="Y82" s="3174"/>
      <c r="Z82" s="3174"/>
      <c r="AA82" s="3174"/>
      <c r="AB82" s="3174"/>
      <c r="AC82" s="3174"/>
      <c r="AD82" s="3174"/>
      <c r="AE82" s="3174"/>
      <c r="AF82" s="3174"/>
      <c r="AG82" s="3174"/>
      <c r="AH82" s="3174"/>
      <c r="AI82" s="3174"/>
      <c r="AJ82" s="3174"/>
      <c r="AK82" s="3174"/>
      <c r="AL82" s="3174"/>
      <c r="AM82" s="3174"/>
      <c r="AN82" s="3174"/>
      <c r="AO82" s="3174"/>
      <c r="AP82" s="3174"/>
      <c r="AQ82" s="3174"/>
      <c r="AR82" s="3174"/>
      <c r="AS82" s="3174"/>
    </row>
    <row r="83" spans="2:53" ht="12" customHeight="1" x14ac:dyDescent="0.15">
      <c r="D83" s="1858" t="s">
        <v>394</v>
      </c>
      <c r="N83" s="1863"/>
      <c r="O83" s="3174" t="str">
        <f>IF('1_入力シート【基本情報】'!AB9="","",'1_入力シート【基本情報】'!AB9)</f>
        <v/>
      </c>
      <c r="P83" s="3174"/>
      <c r="Q83" s="3174"/>
      <c r="R83" s="3174"/>
      <c r="S83" s="3174"/>
      <c r="T83" s="3174"/>
      <c r="U83" s="3174"/>
      <c r="V83" s="3174"/>
      <c r="W83" s="3174"/>
      <c r="X83" s="3174"/>
      <c r="Y83" s="3174"/>
      <c r="Z83" s="3174"/>
      <c r="AA83" s="3174"/>
      <c r="AB83" s="3174"/>
      <c r="AC83" s="3174"/>
      <c r="AD83" s="3174"/>
      <c r="AE83" s="3174"/>
      <c r="AF83" s="3174"/>
      <c r="AG83" s="3174"/>
      <c r="AH83" s="3174"/>
      <c r="AI83" s="3174"/>
      <c r="AJ83" s="3174"/>
      <c r="AK83" s="3174"/>
      <c r="AL83" s="3174"/>
      <c r="AM83" s="3174"/>
      <c r="AN83" s="3174"/>
      <c r="AO83" s="3174"/>
      <c r="AP83" s="3174"/>
      <c r="AQ83" s="3174"/>
      <c r="AR83" s="3174"/>
      <c r="AS83" s="3174"/>
    </row>
    <row r="84" spans="2:53" ht="12" customHeight="1" x14ac:dyDescent="0.15">
      <c r="D84" s="1858" t="s">
        <v>395</v>
      </c>
      <c r="N84" s="1863"/>
      <c r="O84" s="3174" t="str">
        <f>IF('2_入力シート【用途面積】'!G7="","",SUBSTITUTE(TRIM('2_入力シート【用途面積】'!G7&amp;"　"&amp;'2_入力シート【用途面積】'!I7&amp;"　"&amp;'2_入力シート【用途面積】'!K7&amp;"　"&amp;'2_入力シート【用途面積】'!M7&amp;"　"&amp;'2_入力シート【用途面積】'!O7&amp;"　"&amp;'2_入力シート【用途面積】'!Q7&amp;"　"&amp;'2_入力シート【用途面積】'!S7),"　",","))</f>
        <v/>
      </c>
      <c r="P84" s="3174"/>
      <c r="Q84" s="3174"/>
      <c r="R84" s="3174"/>
      <c r="S84" s="3174"/>
      <c r="T84" s="3174"/>
      <c r="U84" s="3174"/>
      <c r="V84" s="3174"/>
      <c r="W84" s="3174"/>
      <c r="X84" s="3174"/>
      <c r="Y84" s="3174"/>
      <c r="Z84" s="3174"/>
      <c r="AA84" s="3174"/>
      <c r="AB84" s="3174"/>
      <c r="AC84" s="3174"/>
      <c r="AD84" s="3174"/>
      <c r="AE84" s="3174"/>
      <c r="AF84" s="3174"/>
      <c r="AG84" s="3174"/>
      <c r="AH84" s="3174"/>
      <c r="AI84" s="3174"/>
      <c r="AJ84" s="3174"/>
      <c r="AK84" s="3174"/>
      <c r="AL84" s="3174"/>
      <c r="AM84" s="3174"/>
      <c r="AN84" s="3174"/>
      <c r="AO84" s="3174"/>
      <c r="AP84" s="3174"/>
      <c r="AQ84" s="3174"/>
      <c r="AR84" s="3174"/>
      <c r="AS84" s="3174"/>
    </row>
    <row r="85" spans="2:53" ht="12.95" hidden="1" customHeight="1" x14ac:dyDescent="0.15">
      <c r="C85" s="1858"/>
      <c r="N85" s="3211"/>
      <c r="O85" s="3211"/>
      <c r="P85" s="3211"/>
      <c r="Q85" s="3211"/>
      <c r="R85" s="3211"/>
      <c r="S85" s="3211"/>
      <c r="T85" s="3211"/>
      <c r="U85" s="3211"/>
      <c r="V85" s="3211"/>
      <c r="W85" s="3211"/>
      <c r="X85" s="3211"/>
      <c r="Y85" s="3211"/>
      <c r="Z85" s="3211"/>
      <c r="AA85" s="3211"/>
      <c r="AB85" s="3211"/>
      <c r="AC85" s="3211"/>
      <c r="AD85" s="3211"/>
      <c r="AE85" s="3211"/>
      <c r="AF85" s="3211"/>
      <c r="AG85" s="3211"/>
      <c r="AH85" s="3211"/>
      <c r="AI85" s="3211"/>
      <c r="AJ85" s="3211"/>
      <c r="AK85" s="3211"/>
      <c r="AL85" s="3211"/>
      <c r="AM85" s="3211"/>
      <c r="AN85" s="3211"/>
      <c r="AO85" s="3211"/>
      <c r="AP85" s="3211"/>
      <c r="AQ85" s="3211"/>
      <c r="AR85" s="3211"/>
      <c r="AS85" s="3211"/>
      <c r="AT85" s="3211"/>
    </row>
    <row r="86" spans="2:53" ht="12.95" hidden="1" customHeight="1" x14ac:dyDescent="0.15">
      <c r="C86" s="1858"/>
      <c r="N86" s="3211"/>
      <c r="O86" s="3211"/>
      <c r="P86" s="3211"/>
      <c r="Q86" s="3211"/>
      <c r="R86" s="3211"/>
      <c r="S86" s="3211"/>
      <c r="T86" s="3211"/>
      <c r="U86" s="3211"/>
      <c r="V86" s="3211"/>
      <c r="W86" s="3211"/>
      <c r="X86" s="3211"/>
      <c r="Y86" s="3211"/>
      <c r="Z86" s="3211"/>
      <c r="AA86" s="3211"/>
      <c r="AB86" s="3211"/>
      <c r="AC86" s="3211"/>
      <c r="AD86" s="3211"/>
      <c r="AE86" s="3211"/>
      <c r="AF86" s="3211"/>
      <c r="AG86" s="3211"/>
      <c r="AH86" s="3211"/>
      <c r="AI86" s="3211"/>
      <c r="AJ86" s="3211"/>
      <c r="AK86" s="3211"/>
      <c r="AL86" s="3211"/>
      <c r="AM86" s="3211"/>
      <c r="AN86" s="3211"/>
      <c r="AO86" s="3211"/>
      <c r="AP86" s="3211"/>
      <c r="AQ86" s="3211"/>
      <c r="AR86" s="3211"/>
      <c r="AS86" s="3211"/>
      <c r="AT86" s="3211"/>
    </row>
    <row r="87" spans="2:53" ht="12.95" hidden="1" customHeight="1" x14ac:dyDescent="0.15">
      <c r="C87" s="1858"/>
      <c r="N87" s="3211"/>
      <c r="O87" s="3211"/>
      <c r="P87" s="3211"/>
      <c r="Q87" s="3211"/>
      <c r="R87" s="3211"/>
      <c r="S87" s="3211"/>
      <c r="T87" s="3211"/>
      <c r="U87" s="3211"/>
      <c r="V87" s="3211"/>
      <c r="W87" s="3211"/>
      <c r="X87" s="3211"/>
      <c r="Y87" s="3211"/>
      <c r="Z87" s="3211"/>
      <c r="AA87" s="3211"/>
      <c r="AB87" s="3211"/>
      <c r="AC87" s="3211"/>
      <c r="AD87" s="3211"/>
      <c r="AE87" s="3211"/>
      <c r="AF87" s="3211"/>
      <c r="AG87" s="3211"/>
      <c r="AH87" s="3211"/>
      <c r="AI87" s="3211"/>
      <c r="AJ87" s="3211"/>
      <c r="AK87" s="3211"/>
      <c r="AL87" s="3211"/>
      <c r="AM87" s="3211"/>
      <c r="AN87" s="3211"/>
      <c r="AO87" s="3211"/>
      <c r="AP87" s="3211"/>
      <c r="AQ87" s="3211"/>
      <c r="AR87" s="3211"/>
      <c r="AS87" s="3211"/>
      <c r="AT87" s="3211"/>
    </row>
    <row r="88" spans="2:53" ht="12.95" hidden="1" customHeight="1" x14ac:dyDescent="0.15">
      <c r="C88" s="1858"/>
      <c r="N88" s="3211"/>
      <c r="O88" s="3211"/>
      <c r="P88" s="3211"/>
      <c r="Q88" s="3211"/>
      <c r="R88" s="3211"/>
      <c r="S88" s="3211"/>
      <c r="T88" s="3211"/>
      <c r="U88" s="3211"/>
      <c r="V88" s="3211"/>
      <c r="W88" s="3211"/>
      <c r="X88" s="3211"/>
      <c r="Y88" s="3211"/>
      <c r="Z88" s="3211"/>
      <c r="AA88" s="3211"/>
      <c r="AB88" s="3211"/>
      <c r="AC88" s="3211"/>
      <c r="AD88" s="3211"/>
      <c r="AE88" s="3211"/>
      <c r="AF88" s="3211"/>
      <c r="AG88" s="3211"/>
      <c r="AH88" s="3211"/>
      <c r="AI88" s="3211"/>
      <c r="AJ88" s="3211"/>
      <c r="AK88" s="3211"/>
      <c r="AL88" s="3211"/>
      <c r="AM88" s="3211"/>
      <c r="AN88" s="3211"/>
      <c r="AO88" s="3211"/>
      <c r="AP88" s="3211"/>
      <c r="AQ88" s="3211"/>
      <c r="AR88" s="3211"/>
      <c r="AS88" s="3211"/>
      <c r="AT88" s="3211"/>
    </row>
    <row r="89" spans="2:53" hidden="1" x14ac:dyDescent="0.15">
      <c r="C89" s="1858"/>
      <c r="N89" s="1871"/>
      <c r="O89" s="1871"/>
      <c r="P89" s="1871"/>
      <c r="Q89" s="1871"/>
      <c r="R89" s="1871"/>
      <c r="S89" s="1871"/>
      <c r="T89" s="1871"/>
      <c r="U89" s="1871"/>
      <c r="V89" s="1871"/>
      <c r="W89" s="1871"/>
      <c r="X89" s="1871"/>
      <c r="Y89" s="1871"/>
      <c r="Z89" s="1871"/>
      <c r="AA89" s="1871"/>
      <c r="AB89" s="1871"/>
      <c r="AC89" s="1871"/>
      <c r="AD89" s="1871"/>
      <c r="AE89" s="1871"/>
      <c r="AF89" s="1871"/>
      <c r="AG89" s="1871"/>
      <c r="AH89" s="1871"/>
      <c r="AI89" s="1871"/>
      <c r="AJ89" s="1871"/>
      <c r="AK89" s="1871"/>
      <c r="AL89" s="1871"/>
      <c r="AM89" s="1871"/>
      <c r="AN89" s="1871"/>
      <c r="AO89" s="1871"/>
      <c r="AP89" s="1871"/>
      <c r="AQ89" s="1871"/>
      <c r="AR89" s="1871"/>
      <c r="AS89" s="1871"/>
      <c r="AT89" s="1871"/>
    </row>
    <row r="90" spans="2:53" hidden="1" x14ac:dyDescent="0.15">
      <c r="C90" s="1858"/>
      <c r="N90" s="1871"/>
      <c r="O90" s="1871"/>
      <c r="P90" s="1871"/>
      <c r="Q90" s="1871"/>
      <c r="R90" s="1871"/>
      <c r="S90" s="1871"/>
      <c r="T90" s="1871"/>
      <c r="U90" s="1871"/>
      <c r="V90" s="1871"/>
      <c r="W90" s="1871"/>
      <c r="X90" s="1871"/>
      <c r="Y90" s="1871"/>
      <c r="Z90" s="1871"/>
      <c r="AA90" s="1871"/>
      <c r="AB90" s="1871"/>
      <c r="AC90" s="1871"/>
      <c r="AD90" s="1871"/>
      <c r="AE90" s="1871"/>
      <c r="AF90" s="1871"/>
      <c r="AG90" s="1871"/>
      <c r="AH90" s="1871"/>
      <c r="AI90" s="1871"/>
      <c r="AJ90" s="1871"/>
      <c r="AK90" s="1871"/>
      <c r="AL90" s="1871"/>
      <c r="AM90" s="1871"/>
      <c r="AN90" s="1871"/>
      <c r="AO90" s="1871"/>
      <c r="AP90" s="1871"/>
      <c r="AQ90" s="1871"/>
      <c r="AR90" s="1871"/>
      <c r="AS90" s="1871"/>
      <c r="AT90" s="1871"/>
    </row>
    <row r="91" spans="2:53" hidden="1" x14ac:dyDescent="0.15">
      <c r="C91" s="1858"/>
      <c r="N91" s="1871"/>
      <c r="O91" s="1871"/>
      <c r="P91" s="1871"/>
      <c r="Q91" s="1871"/>
      <c r="R91" s="1871"/>
      <c r="S91" s="1871"/>
      <c r="T91" s="1871"/>
      <c r="U91" s="1871"/>
      <c r="V91" s="1871"/>
      <c r="W91" s="1871"/>
      <c r="X91" s="1871"/>
      <c r="Y91" s="1871"/>
      <c r="Z91" s="1871"/>
      <c r="AA91" s="1871"/>
      <c r="AB91" s="1871"/>
      <c r="AC91" s="1871"/>
      <c r="AD91" s="1871"/>
      <c r="AE91" s="1871"/>
      <c r="AF91" s="1871"/>
      <c r="AG91" s="1871"/>
      <c r="AH91" s="1871"/>
      <c r="AI91" s="1871"/>
      <c r="AJ91" s="1871"/>
      <c r="AK91" s="1871"/>
      <c r="AL91" s="1871"/>
      <c r="AM91" s="1871"/>
      <c r="AN91" s="1871"/>
      <c r="AO91" s="1871"/>
      <c r="AP91" s="1871"/>
      <c r="AQ91" s="1871"/>
      <c r="AR91" s="1871"/>
      <c r="AS91" s="1871"/>
      <c r="AT91" s="1871"/>
    </row>
    <row r="92" spans="2:53" ht="6" customHeight="1" x14ac:dyDescent="0.15"/>
    <row r="93" spans="2:53" ht="6" customHeight="1" x14ac:dyDescent="0.15"/>
    <row r="94" spans="2:53" ht="12" customHeight="1" x14ac:dyDescent="0.15">
      <c r="B94" s="1858" t="s">
        <v>396</v>
      </c>
      <c r="X94" s="1872"/>
    </row>
    <row r="95" spans="2:53" ht="12" customHeight="1" x14ac:dyDescent="0.15">
      <c r="D95" s="1858" t="s">
        <v>397</v>
      </c>
      <c r="O95" s="1873" t="str">
        <f>IF('1_入力シート【基本情報】'!EW328="レ","レ",IF('1_入力シート【基本情報】'!EX328="レ","レ",""))</f>
        <v/>
      </c>
      <c r="P95" s="1849" t="s">
        <v>398</v>
      </c>
      <c r="X95" s="1874" t="s">
        <v>26</v>
      </c>
      <c r="Y95" s="1873" t="str">
        <f>'1_入力シート【基本情報】'!EX328</f>
        <v/>
      </c>
      <c r="Z95" s="1849" t="s">
        <v>399</v>
      </c>
      <c r="AH95" s="1873" t="str">
        <f>IF(OR('1_入力シート【基本情報】'!EV328="レ",'1_入力シート【基本情報】'!EU328="レ"),"レ","")</f>
        <v/>
      </c>
      <c r="AI95" s="1849" t="s">
        <v>400</v>
      </c>
    </row>
    <row r="96" spans="2:53" ht="12" customHeight="1" x14ac:dyDescent="0.15">
      <c r="D96" s="1858" t="s">
        <v>401</v>
      </c>
      <c r="O96" s="3222" t="s">
        <v>1276</v>
      </c>
      <c r="P96" s="3222"/>
      <c r="Q96" s="3222"/>
      <c r="R96" s="3222"/>
      <c r="S96" s="3222"/>
      <c r="T96" s="3222"/>
      <c r="U96" s="3222"/>
      <c r="V96" s="3222"/>
      <c r="W96" s="3222"/>
      <c r="X96" s="3222"/>
      <c r="Y96" s="3222"/>
      <c r="Z96" s="3222"/>
      <c r="AA96" s="3222"/>
      <c r="AB96" s="3222"/>
      <c r="AC96" s="3222"/>
      <c r="AD96" s="3222"/>
      <c r="AE96" s="3222"/>
      <c r="AF96" s="3222"/>
      <c r="AG96" s="3222"/>
      <c r="AH96" s="3222"/>
      <c r="AI96" s="3222"/>
      <c r="AJ96" s="3222"/>
      <c r="AK96" s="3222"/>
      <c r="AL96" s="3222"/>
      <c r="AM96" s="3222"/>
      <c r="AN96" s="3222"/>
      <c r="AO96" s="3222"/>
      <c r="AP96" s="3222"/>
      <c r="AQ96" s="3222"/>
      <c r="AR96" s="3222"/>
      <c r="AS96" s="3222"/>
      <c r="BA96" s="1875"/>
    </row>
    <row r="97" spans="2:55" ht="12.95" hidden="1" customHeight="1" x14ac:dyDescent="0.15">
      <c r="D97" s="1858"/>
      <c r="O97" s="1871"/>
      <c r="P97" s="1871"/>
      <c r="Q97" s="1871"/>
      <c r="R97" s="1871"/>
      <c r="S97" s="1871"/>
      <c r="T97" s="1871"/>
      <c r="U97" s="1871"/>
      <c r="V97" s="1871"/>
      <c r="W97" s="1871"/>
      <c r="X97" s="1871"/>
      <c r="Y97" s="1871"/>
      <c r="Z97" s="1871"/>
      <c r="AA97" s="1871"/>
      <c r="AB97" s="1871"/>
      <c r="AC97" s="1871"/>
      <c r="AD97" s="1871"/>
      <c r="AE97" s="1871"/>
      <c r="AF97" s="1871"/>
      <c r="AG97" s="1871"/>
      <c r="AH97" s="1871"/>
      <c r="AI97" s="1871"/>
      <c r="AJ97" s="1871"/>
      <c r="AK97" s="1871"/>
      <c r="AL97" s="1871"/>
      <c r="AM97" s="1871"/>
      <c r="AN97" s="1871"/>
      <c r="AO97" s="1871"/>
      <c r="AP97" s="1871"/>
      <c r="AQ97" s="1871"/>
      <c r="AR97" s="1871"/>
      <c r="AS97" s="1871"/>
    </row>
    <row r="98" spans="2:55" ht="12.95" hidden="1" customHeight="1" x14ac:dyDescent="0.15">
      <c r="D98" s="1858"/>
      <c r="O98" s="1871"/>
      <c r="P98" s="1871"/>
      <c r="Q98" s="1871"/>
      <c r="R98" s="1871"/>
      <c r="S98" s="1871"/>
      <c r="T98" s="1871"/>
      <c r="U98" s="1871"/>
      <c r="V98" s="1871"/>
      <c r="W98" s="1871"/>
      <c r="X98" s="1871"/>
      <c r="Y98" s="1871"/>
      <c r="Z98" s="1871"/>
      <c r="AA98" s="1871"/>
      <c r="AB98" s="1871"/>
      <c r="AC98" s="1871"/>
      <c r="AD98" s="1871"/>
      <c r="AE98" s="1871"/>
      <c r="AF98" s="1871"/>
      <c r="AG98" s="1871"/>
      <c r="AH98" s="1871"/>
      <c r="AI98" s="1871"/>
      <c r="AJ98" s="1871"/>
      <c r="AK98" s="1871"/>
      <c r="AL98" s="1871"/>
      <c r="AM98" s="1871"/>
      <c r="AN98" s="1871"/>
      <c r="AO98" s="1871"/>
      <c r="AP98" s="1871"/>
      <c r="AQ98" s="1871"/>
      <c r="AR98" s="1871"/>
      <c r="AS98" s="1871"/>
    </row>
    <row r="99" spans="2:55" ht="12.95" hidden="1" customHeight="1" x14ac:dyDescent="0.15">
      <c r="D99" s="1858"/>
      <c r="O99" s="1871"/>
      <c r="P99" s="1871"/>
      <c r="Q99" s="1871"/>
      <c r="R99" s="1871"/>
      <c r="S99" s="1871"/>
      <c r="T99" s="1871"/>
      <c r="U99" s="1871"/>
      <c r="V99" s="1871"/>
      <c r="W99" s="1871"/>
      <c r="X99" s="1871"/>
      <c r="Y99" s="1871"/>
      <c r="Z99" s="1871"/>
      <c r="AA99" s="1871"/>
      <c r="AB99" s="1871"/>
      <c r="AC99" s="1871"/>
      <c r="AD99" s="1871"/>
      <c r="AE99" s="1871"/>
      <c r="AF99" s="1871"/>
      <c r="AG99" s="1871"/>
      <c r="AH99" s="1871"/>
      <c r="AI99" s="1871"/>
      <c r="AJ99" s="1871"/>
      <c r="AK99" s="1871"/>
      <c r="AL99" s="1871"/>
      <c r="AM99" s="1871"/>
      <c r="AN99" s="1871"/>
      <c r="AO99" s="1871"/>
      <c r="AP99" s="1871"/>
      <c r="AQ99" s="1871"/>
      <c r="AR99" s="1871"/>
      <c r="AS99" s="1871"/>
    </row>
    <row r="100" spans="2:55" ht="12.95" hidden="1" customHeight="1" x14ac:dyDescent="0.15">
      <c r="D100" s="1858"/>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1871"/>
      <c r="AM100" s="1871"/>
      <c r="AN100" s="1871"/>
      <c r="AO100" s="1871"/>
      <c r="AP100" s="1871"/>
      <c r="AQ100" s="1871"/>
      <c r="AR100" s="1871"/>
      <c r="AS100" s="1871"/>
    </row>
    <row r="101" spans="2:55" ht="12" customHeight="1" x14ac:dyDescent="0.15">
      <c r="D101" s="1858" t="s">
        <v>402</v>
      </c>
      <c r="O101" s="962" t="str">
        <f>IF(OR('1_入力シート【基本情報】'!EY316="レ",'1_入力シート【基本情報】'!EZ316="レ",'1_入力シート【基本情報】'!FD316="レ",'1_入力シート【基本情報】'!FE316="レ"),"レ","")</f>
        <v/>
      </c>
      <c r="P101" s="1872" t="s">
        <v>403</v>
      </c>
      <c r="Q101" s="1872"/>
      <c r="R101" s="3184" t="str">
        <f>IF(AND(T101="31",W101&lt;5),"平成","令和")</f>
        <v>令和</v>
      </c>
      <c r="S101" s="3184"/>
      <c r="T101" s="3214" t="str">
        <f>IF('1_入力シート【基本情報】'!FA316&lt;&gt;"",'1_入力シート【基本情報】'!FA316,IF('1_入力シート【基本情報】'!FF316&lt;&gt;"",'1_入力シート【基本情報】'!FF316,""))</f>
        <v/>
      </c>
      <c r="U101" s="3215"/>
      <c r="V101" s="1876" t="s">
        <v>12</v>
      </c>
      <c r="W101" s="3216" t="str">
        <f>IF('1_入力シート【基本情報】'!FB316&lt;&gt;"",'1_入力シート【基本情報】'!FB316,IF('1_入力シート【基本情報】'!FG316&lt;&gt;"",'1_入力シート【基本情報】'!FG316,""))</f>
        <v/>
      </c>
      <c r="X101" s="3216"/>
      <c r="Y101" s="964" t="str">
        <f>IF(OR('1_入力シート【基本情報】'!EZ316="レ",'1_入力シート【基本情報】'!FE316="レ"),"月に改善)","月に改善予定)")</f>
        <v>月に改善予定)</v>
      </c>
      <c r="AH101" s="1873" t="str">
        <f>IF(OR('1_入力シート【基本情報】'!FC316="レ",'1_入力シート【基本情報】'!FH316="レ"),"レ","")</f>
        <v>レ</v>
      </c>
      <c r="AI101" s="1849" t="s">
        <v>405</v>
      </c>
      <c r="AM101" s="1849" t="str">
        <f>IF('1_入力シート【基本情報】'!FI316="改善済","（改善済）","")&amp;IF('1_入力シート【基本情報】'!FI316="一部改善済","（一部改善済）","")</f>
        <v/>
      </c>
    </row>
    <row r="102" spans="2:55" ht="12" customHeight="1" x14ac:dyDescent="0.15">
      <c r="D102" s="1858" t="s">
        <v>406</v>
      </c>
      <c r="O102" s="3223">
        <f>'1_入力シート【基本情報】'!$AB$302</f>
        <v>0</v>
      </c>
      <c r="P102" s="3223"/>
      <c r="Q102" s="3223"/>
      <c r="R102" s="3223"/>
      <c r="S102" s="3223"/>
      <c r="T102" s="3223"/>
      <c r="U102" s="3223"/>
      <c r="V102" s="3223"/>
      <c r="W102" s="3223"/>
      <c r="X102" s="3223"/>
      <c r="Y102" s="3223"/>
      <c r="Z102" s="3223"/>
      <c r="AA102" s="3223"/>
      <c r="AB102" s="3223"/>
      <c r="AC102" s="3223"/>
      <c r="AD102" s="3223"/>
      <c r="AE102" s="3223"/>
      <c r="AF102" s="3223"/>
      <c r="AG102" s="3223"/>
      <c r="AH102" s="3223"/>
      <c r="AI102" s="3223"/>
      <c r="AJ102" s="3223"/>
      <c r="AK102" s="3223"/>
      <c r="AL102" s="3223"/>
      <c r="AM102" s="3223"/>
      <c r="AN102" s="3223"/>
      <c r="AO102" s="3223"/>
      <c r="AP102" s="3223"/>
      <c r="AQ102" s="3223"/>
      <c r="AR102" s="3223"/>
      <c r="AS102" s="3223"/>
      <c r="BA102" s="1875"/>
    </row>
    <row r="103" spans="2:55" ht="12.95" hidden="1" customHeight="1" x14ac:dyDescent="0.15">
      <c r="C103" s="1858"/>
      <c r="N103" s="3211"/>
      <c r="O103" s="3211"/>
      <c r="P103" s="3211"/>
      <c r="Q103" s="3211"/>
      <c r="R103" s="3211"/>
      <c r="S103" s="3211"/>
      <c r="T103" s="3211"/>
      <c r="U103" s="3211"/>
      <c r="V103" s="3211"/>
      <c r="W103" s="3211"/>
      <c r="X103" s="3211"/>
      <c r="Y103" s="3211"/>
      <c r="Z103" s="3211"/>
      <c r="AA103" s="3211"/>
      <c r="AB103" s="3211"/>
      <c r="AC103" s="3211"/>
      <c r="AD103" s="3211"/>
      <c r="AE103" s="3211"/>
      <c r="AF103" s="3211"/>
      <c r="AG103" s="3211"/>
      <c r="AH103" s="3211"/>
      <c r="AI103" s="3211"/>
      <c r="AJ103" s="3211"/>
      <c r="AK103" s="3211"/>
      <c r="AL103" s="3211"/>
      <c r="AM103" s="3211"/>
      <c r="AN103" s="3211"/>
      <c r="AO103" s="3211"/>
      <c r="AP103" s="3211"/>
      <c r="AQ103" s="3211"/>
      <c r="AR103" s="3211"/>
      <c r="AS103" s="3211"/>
      <c r="AT103" s="3211"/>
    </row>
    <row r="104" spans="2:55" ht="12.95" hidden="1" customHeight="1" x14ac:dyDescent="0.15">
      <c r="C104" s="1858"/>
      <c r="N104" s="3211"/>
      <c r="O104" s="3211"/>
      <c r="P104" s="3211"/>
      <c r="Q104" s="3211"/>
      <c r="R104" s="3211"/>
      <c r="S104" s="3211"/>
      <c r="T104" s="3211"/>
      <c r="U104" s="3211"/>
      <c r="V104" s="3211"/>
      <c r="W104" s="3211"/>
      <c r="X104" s="3211"/>
      <c r="Y104" s="3211"/>
      <c r="Z104" s="3211"/>
      <c r="AA104" s="3211"/>
      <c r="AB104" s="3211"/>
      <c r="AC104" s="3211"/>
      <c r="AD104" s="3211"/>
      <c r="AE104" s="3211"/>
      <c r="AF104" s="3211"/>
      <c r="AG104" s="3211"/>
      <c r="AH104" s="3211"/>
      <c r="AI104" s="3211"/>
      <c r="AJ104" s="3211"/>
      <c r="AK104" s="3211"/>
      <c r="AL104" s="3211"/>
      <c r="AM104" s="3211"/>
      <c r="AN104" s="3211"/>
      <c r="AO104" s="3211"/>
      <c r="AP104" s="3211"/>
      <c r="AQ104" s="3211"/>
      <c r="AR104" s="3211"/>
      <c r="AS104" s="3211"/>
      <c r="AT104" s="3211"/>
    </row>
    <row r="105" spans="2:55" ht="12.95" hidden="1" customHeight="1" x14ac:dyDescent="0.15">
      <c r="C105" s="1858"/>
      <c r="N105" s="3211"/>
      <c r="O105" s="3211"/>
      <c r="P105" s="3211"/>
      <c r="Q105" s="3211"/>
      <c r="R105" s="3211"/>
      <c r="S105" s="3211"/>
      <c r="T105" s="3211"/>
      <c r="U105" s="3211"/>
      <c r="V105" s="3211"/>
      <c r="W105" s="3211"/>
      <c r="X105" s="3211"/>
      <c r="Y105" s="3211"/>
      <c r="Z105" s="3211"/>
      <c r="AA105" s="3211"/>
      <c r="AB105" s="3211"/>
      <c r="AC105" s="3211"/>
      <c r="AD105" s="3211"/>
      <c r="AE105" s="3211"/>
      <c r="AF105" s="3211"/>
      <c r="AG105" s="3211"/>
      <c r="AH105" s="3211"/>
      <c r="AI105" s="3211"/>
      <c r="AJ105" s="3211"/>
      <c r="AK105" s="3211"/>
      <c r="AL105" s="3211"/>
      <c r="AM105" s="3211"/>
      <c r="AN105" s="3211"/>
      <c r="AO105" s="3211"/>
      <c r="AP105" s="3211"/>
      <c r="AQ105" s="3211"/>
      <c r="AR105" s="3211"/>
      <c r="AS105" s="3211"/>
      <c r="AT105" s="3211"/>
    </row>
    <row r="106" spans="2:55" ht="12.95" hidden="1" customHeight="1" x14ac:dyDescent="0.15">
      <c r="C106" s="1858"/>
      <c r="N106" s="3211"/>
      <c r="O106" s="3211"/>
      <c r="P106" s="3211"/>
      <c r="Q106" s="3211"/>
      <c r="R106" s="3211"/>
      <c r="S106" s="3211"/>
      <c r="T106" s="3211"/>
      <c r="U106" s="3211"/>
      <c r="V106" s="3211"/>
      <c r="W106" s="3211"/>
      <c r="X106" s="3211"/>
      <c r="Y106" s="3211"/>
      <c r="Z106" s="3211"/>
      <c r="AA106" s="3211"/>
      <c r="AB106" s="3211"/>
      <c r="AC106" s="3211"/>
      <c r="AD106" s="3211"/>
      <c r="AE106" s="3211"/>
      <c r="AF106" s="3211"/>
      <c r="AG106" s="3211"/>
      <c r="AH106" s="3211"/>
      <c r="AI106" s="3211"/>
      <c r="AJ106" s="3211"/>
      <c r="AK106" s="3211"/>
      <c r="AL106" s="3211"/>
      <c r="AM106" s="3211"/>
      <c r="AN106" s="3211"/>
      <c r="AO106" s="3211"/>
      <c r="AP106" s="3211"/>
      <c r="AQ106" s="3211"/>
      <c r="AR106" s="3211"/>
      <c r="AS106" s="3211"/>
      <c r="AT106" s="3211"/>
    </row>
    <row r="107" spans="2:55" ht="3.75" customHeight="1" collapsed="1" x14ac:dyDescent="0.15"/>
    <row r="108" spans="2:55" ht="4.5" customHeight="1" x14ac:dyDescent="0.15"/>
    <row r="109" spans="2:55" ht="6" customHeight="1" x14ac:dyDescent="0.15">
      <c r="AZ109" s="1877"/>
      <c r="BA109" s="1877"/>
      <c r="BB109" s="1877"/>
      <c r="BC109" s="1877"/>
    </row>
    <row r="110" spans="2:55" ht="12" customHeight="1" x14ac:dyDescent="0.15">
      <c r="B110" s="1849" t="s">
        <v>407</v>
      </c>
      <c r="L110" s="1849" t="s">
        <v>408</v>
      </c>
      <c r="AM110" s="1849" t="s">
        <v>874</v>
      </c>
      <c r="AZ110" s="1878"/>
      <c r="BA110" s="1877"/>
      <c r="BB110" s="1877"/>
      <c r="BC110" s="1877"/>
    </row>
    <row r="111" spans="2:55" ht="6" customHeight="1" x14ac:dyDescent="0.15">
      <c r="AZ111" s="1877"/>
      <c r="BA111" s="1877"/>
      <c r="BB111" s="1877"/>
      <c r="BC111" s="1877"/>
    </row>
    <row r="112" spans="2:55" ht="6" customHeight="1" x14ac:dyDescent="0.15">
      <c r="AZ112" s="1877"/>
      <c r="BA112" s="1877"/>
      <c r="BB112" s="1877"/>
      <c r="BC112" s="1877"/>
    </row>
    <row r="113" spans="2:55" ht="12" customHeight="1" x14ac:dyDescent="0.15">
      <c r="C113" s="3163"/>
      <c r="D113" s="3163"/>
      <c r="E113" s="1879"/>
      <c r="F113" s="1849" t="s">
        <v>12</v>
      </c>
      <c r="G113" s="1879"/>
      <c r="H113" s="1849" t="s">
        <v>348</v>
      </c>
      <c r="I113" s="1879"/>
      <c r="J113" s="1849" t="s">
        <v>364</v>
      </c>
      <c r="L113" s="3225"/>
      <c r="M113" s="3225"/>
      <c r="N113" s="3225"/>
      <c r="O113" s="3225"/>
      <c r="P113" s="3225"/>
      <c r="Q113" s="3225"/>
      <c r="R113" s="3225"/>
      <c r="S113" s="3225"/>
      <c r="T113" s="3225"/>
      <c r="U113" s="3225"/>
      <c r="V113" s="3225"/>
      <c r="W113" s="3225"/>
      <c r="X113" s="3225"/>
      <c r="Y113" s="3225"/>
      <c r="Z113" s="3225"/>
      <c r="AA113" s="3225"/>
      <c r="AB113" s="3225"/>
      <c r="AC113" s="3225"/>
      <c r="AD113" s="3225"/>
      <c r="AE113" s="3225"/>
      <c r="AF113" s="3225"/>
      <c r="AG113" s="3225"/>
      <c r="AH113" s="3225"/>
      <c r="AI113" s="3225"/>
      <c r="AJ113" s="3225"/>
      <c r="AK113" s="3225"/>
      <c r="AN113" s="3226"/>
      <c r="AO113" s="3226"/>
      <c r="AP113" s="3226"/>
      <c r="AQ113" s="3226"/>
      <c r="AR113" s="3226"/>
      <c r="AZ113" s="1878"/>
      <c r="BA113" s="1877"/>
      <c r="BB113" s="1877"/>
      <c r="BC113" s="1877"/>
    </row>
    <row r="114" spans="2:55" ht="6" customHeight="1" x14ac:dyDescent="0.15">
      <c r="L114" s="3225"/>
      <c r="M114" s="3225"/>
      <c r="N114" s="3225"/>
      <c r="O114" s="3225"/>
      <c r="P114" s="3225"/>
      <c r="Q114" s="3225"/>
      <c r="R114" s="3225"/>
      <c r="S114" s="3225"/>
      <c r="T114" s="3225"/>
      <c r="U114" s="3225"/>
      <c r="V114" s="3225"/>
      <c r="W114" s="3225"/>
      <c r="X114" s="3225"/>
      <c r="Y114" s="3225"/>
      <c r="Z114" s="3225"/>
      <c r="AA114" s="3225"/>
      <c r="AB114" s="3225"/>
      <c r="AC114" s="3225"/>
      <c r="AD114" s="3225"/>
      <c r="AE114" s="3225"/>
      <c r="AF114" s="3225"/>
      <c r="AG114" s="3225"/>
      <c r="AH114" s="3225"/>
      <c r="AI114" s="3225"/>
      <c r="AJ114" s="3225"/>
      <c r="AK114" s="3225"/>
      <c r="AN114" s="3226"/>
      <c r="AO114" s="3226"/>
      <c r="AP114" s="3226"/>
      <c r="AQ114" s="3226"/>
      <c r="AR114" s="3226"/>
      <c r="AZ114" s="1877"/>
      <c r="BA114" s="1877"/>
      <c r="BB114" s="1877"/>
      <c r="BC114" s="1877"/>
    </row>
    <row r="115" spans="2:55" ht="6" customHeight="1" x14ac:dyDescent="0.15">
      <c r="L115" s="3225"/>
      <c r="M115" s="3225"/>
      <c r="N115" s="3225"/>
      <c r="O115" s="3225"/>
      <c r="P115" s="3225"/>
      <c r="Q115" s="3225"/>
      <c r="R115" s="3225"/>
      <c r="S115" s="3225"/>
      <c r="T115" s="3225"/>
      <c r="U115" s="3225"/>
      <c r="V115" s="3225"/>
      <c r="W115" s="3225"/>
      <c r="X115" s="3225"/>
      <c r="Y115" s="3225"/>
      <c r="Z115" s="3225"/>
      <c r="AA115" s="3225"/>
      <c r="AB115" s="3225"/>
      <c r="AC115" s="3225"/>
      <c r="AD115" s="3225"/>
      <c r="AE115" s="3225"/>
      <c r="AF115" s="3225"/>
      <c r="AG115" s="3225"/>
      <c r="AH115" s="3225"/>
      <c r="AI115" s="3225"/>
      <c r="AJ115" s="3225"/>
      <c r="AK115" s="3225"/>
      <c r="AN115" s="3226"/>
      <c r="AO115" s="3226"/>
      <c r="AP115" s="3226"/>
      <c r="AQ115" s="3226"/>
      <c r="AR115" s="3226"/>
      <c r="AZ115" s="1877"/>
      <c r="BA115" s="1877"/>
      <c r="BB115" s="1877"/>
      <c r="BC115" s="1877"/>
    </row>
    <row r="116" spans="2:55" ht="12" customHeight="1" x14ac:dyDescent="0.15">
      <c r="C116" s="1875" t="s">
        <v>3</v>
      </c>
      <c r="D116" s="3226"/>
      <c r="E116" s="3226"/>
      <c r="F116" s="3226"/>
      <c r="G116" s="3226"/>
      <c r="H116" s="3226"/>
      <c r="I116" s="3226"/>
      <c r="J116" s="1849" t="s">
        <v>4</v>
      </c>
      <c r="L116" s="3225"/>
      <c r="M116" s="3225"/>
      <c r="N116" s="3225"/>
      <c r="O116" s="3225"/>
      <c r="P116" s="3225"/>
      <c r="Q116" s="3225"/>
      <c r="R116" s="3225"/>
      <c r="S116" s="3225"/>
      <c r="T116" s="3225"/>
      <c r="U116" s="3225"/>
      <c r="V116" s="3225"/>
      <c r="W116" s="3225"/>
      <c r="X116" s="3225"/>
      <c r="Y116" s="3225"/>
      <c r="Z116" s="3225"/>
      <c r="AA116" s="3225"/>
      <c r="AB116" s="3225"/>
      <c r="AC116" s="3225"/>
      <c r="AD116" s="3225"/>
      <c r="AE116" s="3225"/>
      <c r="AF116" s="3225"/>
      <c r="AG116" s="3225"/>
      <c r="AH116" s="3225"/>
      <c r="AI116" s="3225"/>
      <c r="AJ116" s="3225"/>
      <c r="AK116" s="3225"/>
      <c r="AN116" s="3226"/>
      <c r="AO116" s="3226"/>
      <c r="AP116" s="3226"/>
      <c r="AQ116" s="3226"/>
      <c r="AR116" s="3226"/>
      <c r="AZ116" s="1877"/>
      <c r="BA116" s="1877"/>
      <c r="BB116" s="1877"/>
      <c r="BC116" s="1877"/>
    </row>
    <row r="117" spans="2:55" ht="6" customHeight="1" x14ac:dyDescent="0.15">
      <c r="L117" s="3225"/>
      <c r="M117" s="3225"/>
      <c r="N117" s="3225"/>
      <c r="O117" s="3225"/>
      <c r="P117" s="3225"/>
      <c r="Q117" s="3225"/>
      <c r="R117" s="3225"/>
      <c r="S117" s="3225"/>
      <c r="T117" s="3225"/>
      <c r="U117" s="3225"/>
      <c r="V117" s="3225"/>
      <c r="W117" s="3225"/>
      <c r="X117" s="3225"/>
      <c r="Y117" s="3225"/>
      <c r="Z117" s="3225"/>
      <c r="AA117" s="3225"/>
      <c r="AB117" s="3225"/>
      <c r="AC117" s="3225"/>
      <c r="AD117" s="3225"/>
      <c r="AE117" s="3225"/>
      <c r="AF117" s="3225"/>
      <c r="AG117" s="3225"/>
      <c r="AH117" s="3225"/>
      <c r="AI117" s="3225"/>
      <c r="AJ117" s="3225"/>
      <c r="AK117" s="3225"/>
      <c r="AN117" s="3226"/>
      <c r="AO117" s="3226"/>
      <c r="AP117" s="3226"/>
      <c r="AQ117" s="3226"/>
      <c r="AR117" s="3226"/>
      <c r="AZ117" s="1877"/>
    </row>
    <row r="118" spans="2:55" ht="6" customHeight="1" x14ac:dyDescent="0.15">
      <c r="L118" s="3225"/>
      <c r="M118" s="3225"/>
      <c r="N118" s="3225"/>
      <c r="O118" s="3225"/>
      <c r="P118" s="3225"/>
      <c r="Q118" s="3225"/>
      <c r="R118" s="3225"/>
      <c r="S118" s="3225"/>
      <c r="T118" s="3225"/>
      <c r="U118" s="3225"/>
      <c r="V118" s="3225"/>
      <c r="W118" s="3225"/>
      <c r="X118" s="3225"/>
      <c r="Y118" s="3225"/>
      <c r="Z118" s="3225"/>
      <c r="AA118" s="3225"/>
      <c r="AB118" s="3225"/>
      <c r="AC118" s="3225"/>
      <c r="AD118" s="3225"/>
      <c r="AE118" s="3225"/>
      <c r="AF118" s="3225"/>
      <c r="AG118" s="3225"/>
      <c r="AH118" s="3225"/>
      <c r="AI118" s="3225"/>
      <c r="AJ118" s="3225"/>
      <c r="AK118" s="3225"/>
      <c r="AN118" s="3226"/>
      <c r="AO118" s="3226"/>
      <c r="AP118" s="3226"/>
      <c r="AQ118" s="3226"/>
      <c r="AR118" s="3226"/>
      <c r="AZ118" s="1877"/>
    </row>
    <row r="119" spans="2:55" ht="12" customHeight="1" x14ac:dyDescent="0.15">
      <c r="C119" s="1875" t="s">
        <v>409</v>
      </c>
      <c r="F119" s="1880"/>
      <c r="G119" s="3227"/>
      <c r="H119" s="3227"/>
      <c r="I119" s="3227"/>
      <c r="J119" s="3227"/>
      <c r="L119" s="3225"/>
      <c r="M119" s="3225"/>
      <c r="N119" s="3225"/>
      <c r="O119" s="3225"/>
      <c r="P119" s="3225"/>
      <c r="Q119" s="3225"/>
      <c r="R119" s="3225"/>
      <c r="S119" s="3225"/>
      <c r="T119" s="3225"/>
      <c r="U119" s="3225"/>
      <c r="V119" s="3225"/>
      <c r="W119" s="3225"/>
      <c r="X119" s="3225"/>
      <c r="Y119" s="3225"/>
      <c r="Z119" s="3225"/>
      <c r="AA119" s="3225"/>
      <c r="AB119" s="3225"/>
      <c r="AC119" s="3225"/>
      <c r="AD119" s="3225"/>
      <c r="AE119" s="3225"/>
      <c r="AF119" s="3225"/>
      <c r="AG119" s="3225"/>
      <c r="AH119" s="3225"/>
      <c r="AI119" s="3225"/>
      <c r="AJ119" s="3225"/>
      <c r="AK119" s="3225"/>
      <c r="AN119" s="3226"/>
      <c r="AO119" s="3226"/>
      <c r="AP119" s="3226"/>
      <c r="AQ119" s="3226"/>
      <c r="AR119" s="3226"/>
      <c r="AS119" s="3228"/>
      <c r="AZ119" s="1877"/>
    </row>
    <row r="120" spans="2:55" ht="6" customHeight="1" x14ac:dyDescent="0.15">
      <c r="AS120" s="3228"/>
      <c r="AZ120" s="1877"/>
    </row>
    <row r="121" spans="2:55" ht="5.25" customHeight="1" x14ac:dyDescent="0.15">
      <c r="C121" s="1856"/>
      <c r="AS121" s="1874"/>
      <c r="AZ121" s="1877"/>
    </row>
    <row r="122" spans="2:55" ht="12" hidden="1" customHeight="1" x14ac:dyDescent="0.15">
      <c r="AZ122" s="1877"/>
    </row>
    <row r="123" spans="2:55" ht="12" hidden="1" customHeight="1" x14ac:dyDescent="0.15">
      <c r="B123" s="1881"/>
      <c r="C123" s="1881"/>
      <c r="D123" s="1881"/>
      <c r="E123" s="1881"/>
      <c r="F123" s="1881"/>
      <c r="G123" s="1881"/>
      <c r="H123" s="1881"/>
      <c r="I123" s="1881"/>
      <c r="J123" s="1881"/>
      <c r="K123" s="1881"/>
      <c r="L123" s="1881"/>
      <c r="M123" s="1881"/>
      <c r="N123" s="1881"/>
      <c r="O123" s="1881"/>
      <c r="P123" s="1881"/>
      <c r="Q123" s="1881"/>
      <c r="R123" s="1881"/>
      <c r="S123" s="1881"/>
      <c r="T123" s="1881"/>
      <c r="U123" s="1881"/>
      <c r="V123" s="1881"/>
      <c r="W123" s="1881"/>
      <c r="X123" s="1881"/>
      <c r="Y123" s="1881"/>
      <c r="Z123" s="1881"/>
      <c r="AA123" s="1881"/>
      <c r="AB123" s="1881"/>
      <c r="AC123" s="1881"/>
      <c r="AD123" s="1881"/>
      <c r="AE123" s="1881"/>
      <c r="AF123" s="1881"/>
      <c r="AG123" s="1881"/>
      <c r="AH123" s="1881"/>
      <c r="AI123" s="1881"/>
      <c r="AJ123" s="1881"/>
      <c r="AK123" s="1881"/>
      <c r="AL123" s="1881"/>
      <c r="AM123" s="1881"/>
      <c r="AN123" s="1881"/>
      <c r="AO123" s="1881"/>
      <c r="AP123" s="1881"/>
      <c r="AQ123" s="1881"/>
      <c r="AR123" s="1881"/>
      <c r="AS123" s="1881"/>
      <c r="AT123" s="1881"/>
      <c r="AZ123" s="1877"/>
    </row>
    <row r="124" spans="2:55" ht="12" hidden="1" customHeight="1" x14ac:dyDescent="0.15">
      <c r="AZ124" s="1877"/>
    </row>
    <row r="125" spans="2:55" ht="12" hidden="1" customHeight="1" x14ac:dyDescent="0.15">
      <c r="AZ125" s="1877"/>
    </row>
    <row r="126" spans="2:55" ht="12" hidden="1" customHeight="1" x14ac:dyDescent="0.15">
      <c r="AZ126" s="1877"/>
    </row>
    <row r="127" spans="2:55" ht="12.75" hidden="1" customHeight="1" x14ac:dyDescent="0.15">
      <c r="AZ127" s="1877"/>
    </row>
    <row r="128" spans="2:55" ht="12.95" customHeight="1" x14ac:dyDescent="0.15">
      <c r="B128" s="3172" t="s">
        <v>1241</v>
      </c>
      <c r="C128" s="3172"/>
      <c r="D128" s="3172"/>
      <c r="E128" s="3172"/>
      <c r="F128" s="3172"/>
      <c r="G128" s="3172"/>
      <c r="H128" s="3172"/>
      <c r="I128" s="3172"/>
      <c r="J128" s="3172"/>
      <c r="K128" s="3172"/>
      <c r="L128" s="3172"/>
      <c r="M128" s="3172"/>
      <c r="N128" s="3172"/>
      <c r="O128" s="3172"/>
      <c r="P128" s="3172"/>
      <c r="Q128" s="3172"/>
      <c r="R128" s="3172"/>
      <c r="S128" s="3172"/>
      <c r="T128" s="3172"/>
      <c r="U128" s="3172"/>
      <c r="V128" s="3172"/>
      <c r="W128" s="3172"/>
      <c r="X128" s="3172"/>
      <c r="Y128" s="3172"/>
      <c r="Z128" s="3172"/>
      <c r="AA128" s="3172"/>
      <c r="AB128" s="3172"/>
      <c r="AC128" s="3172"/>
      <c r="AD128" s="3172"/>
      <c r="AE128" s="3172"/>
      <c r="AF128" s="3172"/>
      <c r="AG128" s="3172"/>
      <c r="AH128" s="3172"/>
      <c r="AI128" s="3172"/>
      <c r="AJ128" s="3172"/>
      <c r="AK128" s="3172"/>
      <c r="AL128" s="3172"/>
      <c r="AM128" s="3172"/>
      <c r="AN128" s="3172"/>
      <c r="AO128" s="3172"/>
      <c r="AP128" s="3172"/>
      <c r="AQ128" s="3172"/>
      <c r="AR128" s="3172"/>
      <c r="AS128" s="3172"/>
      <c r="AT128" s="3172"/>
      <c r="AU128" s="1882"/>
    </row>
    <row r="129" spans="1:58" ht="6" customHeight="1" x14ac:dyDescent="0.15"/>
    <row r="130" spans="1:58" s="1883" customFormat="1" ht="14.25" customHeight="1" x14ac:dyDescent="0.15">
      <c r="B130" s="1849" t="s">
        <v>1242</v>
      </c>
      <c r="AG130" s="1884"/>
      <c r="AH130" s="1884"/>
    </row>
    <row r="131" spans="1:58" s="1883" customFormat="1" ht="6" customHeight="1" x14ac:dyDescent="0.15">
      <c r="AG131" s="1884"/>
      <c r="AH131" s="1884"/>
    </row>
    <row r="132" spans="1:58" s="1883" customFormat="1" ht="6" customHeight="1" x14ac:dyDescent="0.15">
      <c r="A132" s="1884"/>
      <c r="B132" s="1885"/>
      <c r="C132" s="1884"/>
      <c r="D132" s="1884"/>
      <c r="E132" s="1884"/>
      <c r="F132" s="1884"/>
      <c r="G132" s="1884"/>
      <c r="H132" s="1884"/>
      <c r="I132" s="1884"/>
      <c r="J132" s="1884"/>
      <c r="K132" s="1884"/>
      <c r="L132" s="1884"/>
      <c r="M132" s="1884"/>
      <c r="N132" s="1884"/>
      <c r="O132" s="1884"/>
      <c r="P132" s="1884"/>
      <c r="Q132" s="1884"/>
      <c r="R132" s="1884"/>
      <c r="S132" s="1884"/>
      <c r="T132" s="1884"/>
      <c r="U132" s="1884"/>
      <c r="V132" s="1884"/>
      <c r="W132" s="1884"/>
      <c r="X132" s="1884"/>
      <c r="Y132" s="1884"/>
      <c r="Z132" s="1884"/>
      <c r="AA132" s="1884"/>
      <c r="AB132" s="1884"/>
      <c r="AC132" s="1884"/>
      <c r="AD132" s="1884"/>
      <c r="AE132" s="1884"/>
      <c r="AF132" s="1884"/>
      <c r="AG132" s="1884"/>
      <c r="AH132" s="1884"/>
      <c r="AI132" s="1884"/>
      <c r="AJ132" s="1884"/>
      <c r="AK132" s="1884"/>
      <c r="AL132" s="1884"/>
      <c r="AM132" s="1884"/>
      <c r="AN132" s="1884"/>
      <c r="AO132" s="1884"/>
      <c r="AP132" s="1884"/>
      <c r="AQ132" s="1884"/>
      <c r="AR132" s="1884"/>
      <c r="AS132" s="1884"/>
      <c r="AT132" s="1884"/>
      <c r="AU132" s="1884"/>
      <c r="AV132" s="1884"/>
    </row>
    <row r="133" spans="1:58" s="1883" customFormat="1" ht="12.95" hidden="1" customHeight="1" x14ac:dyDescent="0.15">
      <c r="A133" s="1884"/>
      <c r="C133" s="971" t="s">
        <v>851</v>
      </c>
      <c r="D133" s="972"/>
      <c r="E133" s="972"/>
      <c r="F133" s="972"/>
      <c r="G133" s="972"/>
      <c r="H133" s="972"/>
      <c r="I133" s="1886"/>
      <c r="J133" s="974" t="s">
        <v>852</v>
      </c>
      <c r="K133" s="975"/>
      <c r="L133" s="975"/>
      <c r="M133" s="975"/>
      <c r="N133" s="975"/>
      <c r="O133" s="975"/>
      <c r="P133" s="975"/>
      <c r="Q133" s="975"/>
      <c r="R133" s="1887"/>
      <c r="S133" s="1887"/>
      <c r="T133" s="1887"/>
      <c r="U133" s="977" t="str">
        <f>IF('1_入力シート【基本情報】'!DP151="レ","レ",IF('1_入力シート【基本情報】'!DO151="レ","レ",""))</f>
        <v/>
      </c>
      <c r="V133" s="975" t="s">
        <v>853</v>
      </c>
      <c r="W133" s="975"/>
      <c r="X133" s="975"/>
      <c r="Y133" s="975"/>
      <c r="Z133" s="975"/>
      <c r="AA133" s="975"/>
      <c r="AB133" s="1887"/>
      <c r="AC133" s="975" t="s">
        <v>432</v>
      </c>
      <c r="AD133" s="977">
        <f>'1_入力シート【基本情報】'!DP151</f>
        <v>0</v>
      </c>
      <c r="AE133" s="975" t="s">
        <v>854</v>
      </c>
      <c r="AF133" s="975"/>
      <c r="AG133" s="975"/>
      <c r="AH133" s="975"/>
      <c r="AI133" s="975"/>
      <c r="AJ133" s="1887"/>
      <c r="AK133" s="975"/>
      <c r="AL133" s="975"/>
      <c r="AM133" s="975"/>
      <c r="AN133" s="975"/>
      <c r="AO133" s="975"/>
      <c r="AP133" s="975"/>
      <c r="AQ133" s="975"/>
      <c r="AR133" s="975"/>
      <c r="AS133" s="978"/>
      <c r="AT133" s="1888"/>
      <c r="AU133" s="1888"/>
      <c r="AV133" s="1888"/>
      <c r="AW133" s="1884"/>
      <c r="AX133" s="1884"/>
    </row>
    <row r="134" spans="1:58" s="1883" customFormat="1" ht="12.95" hidden="1" customHeight="1" x14ac:dyDescent="0.15">
      <c r="A134" s="1884"/>
      <c r="C134" s="980" t="s">
        <v>855</v>
      </c>
      <c r="D134" s="981"/>
      <c r="E134" s="981"/>
      <c r="F134" s="981"/>
      <c r="G134" s="981"/>
      <c r="H134" s="981"/>
      <c r="I134" s="1889"/>
      <c r="J134" s="983"/>
      <c r="K134" s="964"/>
      <c r="L134" s="964"/>
      <c r="M134" s="964"/>
      <c r="N134" s="964"/>
      <c r="O134" s="964"/>
      <c r="P134" s="964"/>
      <c r="Q134" s="964"/>
      <c r="R134" s="964"/>
      <c r="S134" s="964"/>
      <c r="T134" s="964"/>
      <c r="U134" s="984" t="str">
        <f>IF(OR('1_入力シート【基本情報】'!DN151="レ",'1_入力シート【基本情報】'!DM151="レ"),"レ","")</f>
        <v/>
      </c>
      <c r="V134" s="964" t="s">
        <v>864</v>
      </c>
      <c r="W134" s="964"/>
      <c r="X134" s="964"/>
      <c r="Y134" s="964"/>
      <c r="Z134" s="964"/>
      <c r="AA134" s="964"/>
      <c r="AB134" s="964"/>
      <c r="AC134" s="964"/>
      <c r="AD134" s="964"/>
      <c r="AE134" s="964"/>
      <c r="AF134" s="964"/>
      <c r="AG134" s="964"/>
      <c r="AH134" s="964"/>
      <c r="AI134" s="964"/>
      <c r="AJ134" s="964"/>
      <c r="AK134" s="964"/>
      <c r="AL134" s="964"/>
      <c r="AM134" s="964"/>
      <c r="AN134" s="964"/>
      <c r="AO134" s="964"/>
      <c r="AP134" s="964"/>
      <c r="AQ134" s="964"/>
      <c r="AR134" s="964"/>
      <c r="AS134" s="985"/>
      <c r="AT134" s="1888"/>
      <c r="AU134" s="1888"/>
      <c r="AV134" s="1888"/>
      <c r="AW134" s="1890"/>
      <c r="AX134" s="1884"/>
      <c r="BC134" s="1891"/>
    </row>
    <row r="135" spans="1:58" s="1883" customFormat="1" ht="12.95" customHeight="1" x14ac:dyDescent="0.15">
      <c r="A135" s="1884"/>
      <c r="C135" s="3229" t="s">
        <v>856</v>
      </c>
      <c r="D135" s="3203"/>
      <c r="E135" s="3203"/>
      <c r="F135" s="3203"/>
      <c r="G135" s="3203"/>
      <c r="H135" s="3203"/>
      <c r="I135" s="3204"/>
      <c r="J135" s="3185" t="str">
        <f>SUBSTITUTE(TRIM('1_入力シート【基本情報】'!DY316&amp;"　"&amp;'1_入力シート【基本情報】'!DY334&amp;"　"&amp;'1_入力シート【基本情報】'!DY361&amp;"　"&amp;'1_入力シート【基本情報】'!DY379&amp;"　"&amp;'1_入力シート【基本情報】'!DY493&amp;"　"&amp;'1_入力シート【基本情報】'!DY433&amp;"　"&amp;'1_入力シート【基本情報】'!DY494&amp;"　"&amp;'1_入力シート【基本情報】'!DY475),"　","　/　")</f>
        <v/>
      </c>
      <c r="K135" s="3230"/>
      <c r="L135" s="3230"/>
      <c r="M135" s="3230"/>
      <c r="N135" s="3230"/>
      <c r="O135" s="3230"/>
      <c r="P135" s="3231"/>
      <c r="Q135" s="3231"/>
      <c r="R135" s="3231"/>
      <c r="S135" s="3231"/>
      <c r="T135" s="3231"/>
      <c r="U135" s="3231"/>
      <c r="V135" s="3231"/>
      <c r="W135" s="3231"/>
      <c r="X135" s="3231"/>
      <c r="Y135" s="3231"/>
      <c r="Z135" s="3231"/>
      <c r="AA135" s="3231"/>
      <c r="AB135" s="3231"/>
      <c r="AC135" s="3231"/>
      <c r="AD135" s="3231"/>
      <c r="AE135" s="3231"/>
      <c r="AF135" s="3231"/>
      <c r="AG135" s="3231"/>
      <c r="AH135" s="3231"/>
      <c r="AI135" s="3231"/>
      <c r="AJ135" s="3231"/>
      <c r="AK135" s="3231"/>
      <c r="AL135" s="3231"/>
      <c r="AM135" s="3231"/>
      <c r="AN135" s="3231"/>
      <c r="AO135" s="3231"/>
      <c r="AP135" s="3231"/>
      <c r="AQ135" s="3231"/>
      <c r="AR135" s="3231"/>
      <c r="AS135" s="3232"/>
      <c r="AT135" s="1888"/>
      <c r="AU135" s="1888"/>
      <c r="AV135" s="1888"/>
      <c r="AW135" s="1890"/>
      <c r="AX135" s="1884"/>
      <c r="BA135" s="1892"/>
      <c r="BB135" s="1893"/>
      <c r="BC135" s="1893"/>
      <c r="BD135" s="1893"/>
      <c r="BE135" s="1893"/>
      <c r="BF135" s="1893"/>
    </row>
    <row r="136" spans="1:58" s="1883" customFormat="1" ht="12.95" customHeight="1" x14ac:dyDescent="0.15">
      <c r="A136" s="1884"/>
      <c r="C136" s="988"/>
      <c r="D136" s="1894"/>
      <c r="E136" s="1894"/>
      <c r="F136" s="1894"/>
      <c r="G136" s="1894"/>
      <c r="H136" s="1894"/>
      <c r="I136" s="1895"/>
      <c r="J136" s="3233"/>
      <c r="K136" s="3234"/>
      <c r="L136" s="3234"/>
      <c r="M136" s="3234"/>
      <c r="N136" s="3234"/>
      <c r="O136" s="3234"/>
      <c r="P136" s="3235"/>
      <c r="Q136" s="3235"/>
      <c r="R136" s="3235"/>
      <c r="S136" s="3235"/>
      <c r="T136" s="3235"/>
      <c r="U136" s="3235"/>
      <c r="V136" s="3235"/>
      <c r="W136" s="3235"/>
      <c r="X136" s="3235"/>
      <c r="Y136" s="3235"/>
      <c r="Z136" s="3235"/>
      <c r="AA136" s="3235"/>
      <c r="AB136" s="3235"/>
      <c r="AC136" s="3235"/>
      <c r="AD136" s="3235"/>
      <c r="AE136" s="3235"/>
      <c r="AF136" s="3235"/>
      <c r="AG136" s="3235"/>
      <c r="AH136" s="3235"/>
      <c r="AI136" s="3235"/>
      <c r="AJ136" s="3235"/>
      <c r="AK136" s="3235"/>
      <c r="AL136" s="3235"/>
      <c r="AM136" s="3235"/>
      <c r="AN136" s="3235"/>
      <c r="AO136" s="3235"/>
      <c r="AP136" s="3235"/>
      <c r="AQ136" s="3235"/>
      <c r="AR136" s="3235"/>
      <c r="AS136" s="3236"/>
      <c r="AT136" s="1888"/>
      <c r="AU136" s="1888"/>
      <c r="AV136" s="1888"/>
      <c r="AW136" s="1890"/>
      <c r="AX136" s="1884"/>
      <c r="BC136" s="1891"/>
    </row>
    <row r="137" spans="1:58" s="1883" customFormat="1" ht="12.95" customHeight="1" x14ac:dyDescent="0.15">
      <c r="A137" s="1884"/>
      <c r="C137" s="988"/>
      <c r="D137" s="1894"/>
      <c r="E137" s="1894"/>
      <c r="F137" s="1894"/>
      <c r="G137" s="1894"/>
      <c r="H137" s="1894"/>
      <c r="I137" s="1895"/>
      <c r="J137" s="3233"/>
      <c r="K137" s="3234"/>
      <c r="L137" s="3234"/>
      <c r="M137" s="3234"/>
      <c r="N137" s="3234"/>
      <c r="O137" s="3234"/>
      <c r="P137" s="3235"/>
      <c r="Q137" s="3235"/>
      <c r="R137" s="3235"/>
      <c r="S137" s="3235"/>
      <c r="T137" s="3235"/>
      <c r="U137" s="3235"/>
      <c r="V137" s="3235"/>
      <c r="W137" s="3235"/>
      <c r="X137" s="3235"/>
      <c r="Y137" s="3235"/>
      <c r="Z137" s="3235"/>
      <c r="AA137" s="3235"/>
      <c r="AB137" s="3235"/>
      <c r="AC137" s="3235"/>
      <c r="AD137" s="3235"/>
      <c r="AE137" s="3235"/>
      <c r="AF137" s="3235"/>
      <c r="AG137" s="3235"/>
      <c r="AH137" s="3235"/>
      <c r="AI137" s="3235"/>
      <c r="AJ137" s="3235"/>
      <c r="AK137" s="3235"/>
      <c r="AL137" s="3235"/>
      <c r="AM137" s="3235"/>
      <c r="AN137" s="3235"/>
      <c r="AO137" s="3235"/>
      <c r="AP137" s="3235"/>
      <c r="AQ137" s="3235"/>
      <c r="AR137" s="3235"/>
      <c r="AS137" s="3236"/>
      <c r="AT137" s="1888"/>
      <c r="AU137" s="1888"/>
      <c r="AV137" s="1888"/>
      <c r="AW137" s="1890"/>
      <c r="AX137" s="1884"/>
      <c r="BC137" s="1891"/>
    </row>
    <row r="138" spans="1:58" s="1883" customFormat="1" ht="12.95" customHeight="1" x14ac:dyDescent="0.15">
      <c r="A138" s="1884"/>
      <c r="C138" s="988"/>
      <c r="D138" s="1894"/>
      <c r="E138" s="1894"/>
      <c r="F138" s="1894"/>
      <c r="G138" s="1894"/>
      <c r="H138" s="1894"/>
      <c r="I138" s="1895"/>
      <c r="J138" s="3233"/>
      <c r="K138" s="3234"/>
      <c r="L138" s="3234"/>
      <c r="M138" s="3234"/>
      <c r="N138" s="3234"/>
      <c r="O138" s="3234"/>
      <c r="P138" s="3235"/>
      <c r="Q138" s="3235"/>
      <c r="R138" s="3235"/>
      <c r="S138" s="3235"/>
      <c r="T138" s="3235"/>
      <c r="U138" s="3235"/>
      <c r="V138" s="3235"/>
      <c r="W138" s="3235"/>
      <c r="X138" s="3235"/>
      <c r="Y138" s="3235"/>
      <c r="Z138" s="3235"/>
      <c r="AA138" s="3235"/>
      <c r="AB138" s="3235"/>
      <c r="AC138" s="3235"/>
      <c r="AD138" s="3235"/>
      <c r="AE138" s="3235"/>
      <c r="AF138" s="3235"/>
      <c r="AG138" s="3235"/>
      <c r="AH138" s="3235"/>
      <c r="AI138" s="3235"/>
      <c r="AJ138" s="3235"/>
      <c r="AK138" s="3235"/>
      <c r="AL138" s="3235"/>
      <c r="AM138" s="3235"/>
      <c r="AN138" s="3235"/>
      <c r="AO138" s="3235"/>
      <c r="AP138" s="3235"/>
      <c r="AQ138" s="3235"/>
      <c r="AR138" s="3235"/>
      <c r="AS138" s="3236"/>
      <c r="AT138" s="1888"/>
      <c r="AU138" s="1888"/>
      <c r="AV138" s="1888"/>
      <c r="AW138" s="1890"/>
      <c r="AX138" s="1884"/>
      <c r="BC138" s="1891"/>
    </row>
    <row r="139" spans="1:58" s="1883" customFormat="1" ht="12.95" customHeight="1" x14ac:dyDescent="0.15">
      <c r="A139" s="1884"/>
      <c r="C139" s="988"/>
      <c r="D139" s="1894"/>
      <c r="E139" s="1894"/>
      <c r="F139" s="1894"/>
      <c r="G139" s="1894"/>
      <c r="H139" s="1894"/>
      <c r="I139" s="1895"/>
      <c r="J139" s="3233"/>
      <c r="K139" s="3234"/>
      <c r="L139" s="3234"/>
      <c r="M139" s="3234"/>
      <c r="N139" s="3234"/>
      <c r="O139" s="3234"/>
      <c r="P139" s="3235"/>
      <c r="Q139" s="3235"/>
      <c r="R139" s="3235"/>
      <c r="S139" s="3235"/>
      <c r="T139" s="3235"/>
      <c r="U139" s="3235"/>
      <c r="V139" s="3235"/>
      <c r="W139" s="3235"/>
      <c r="X139" s="3235"/>
      <c r="Y139" s="3235"/>
      <c r="Z139" s="3235"/>
      <c r="AA139" s="3235"/>
      <c r="AB139" s="3235"/>
      <c r="AC139" s="3235"/>
      <c r="AD139" s="3235"/>
      <c r="AE139" s="3235"/>
      <c r="AF139" s="3235"/>
      <c r="AG139" s="3235"/>
      <c r="AH139" s="3235"/>
      <c r="AI139" s="3235"/>
      <c r="AJ139" s="3235"/>
      <c r="AK139" s="3235"/>
      <c r="AL139" s="3235"/>
      <c r="AM139" s="3235"/>
      <c r="AN139" s="3235"/>
      <c r="AO139" s="3235"/>
      <c r="AP139" s="3235"/>
      <c r="AQ139" s="3235"/>
      <c r="AR139" s="3235"/>
      <c r="AS139" s="3236"/>
      <c r="AT139" s="1888"/>
      <c r="AU139" s="1888"/>
      <c r="AV139" s="1888"/>
      <c r="AW139" s="1890"/>
      <c r="AX139" s="1884"/>
      <c r="BC139" s="1891"/>
    </row>
    <row r="140" spans="1:58" s="1883" customFormat="1" ht="12.95" customHeight="1" x14ac:dyDescent="0.15">
      <c r="A140" s="1884"/>
      <c r="C140" s="988"/>
      <c r="D140" s="1894"/>
      <c r="E140" s="1894"/>
      <c r="F140" s="1894"/>
      <c r="G140" s="1894"/>
      <c r="H140" s="1894"/>
      <c r="I140" s="1895"/>
      <c r="J140" s="3233"/>
      <c r="K140" s="3234"/>
      <c r="L140" s="3234"/>
      <c r="M140" s="3234"/>
      <c r="N140" s="3234"/>
      <c r="O140" s="3234"/>
      <c r="P140" s="3235"/>
      <c r="Q140" s="3235"/>
      <c r="R140" s="3235"/>
      <c r="S140" s="3235"/>
      <c r="T140" s="3235"/>
      <c r="U140" s="3235"/>
      <c r="V140" s="3235"/>
      <c r="W140" s="3235"/>
      <c r="X140" s="3235"/>
      <c r="Y140" s="3235"/>
      <c r="Z140" s="3235"/>
      <c r="AA140" s="3235"/>
      <c r="AB140" s="3235"/>
      <c r="AC140" s="3235"/>
      <c r="AD140" s="3235"/>
      <c r="AE140" s="3235"/>
      <c r="AF140" s="3235"/>
      <c r="AG140" s="3235"/>
      <c r="AH140" s="3235"/>
      <c r="AI140" s="3235"/>
      <c r="AJ140" s="3235"/>
      <c r="AK140" s="3235"/>
      <c r="AL140" s="3235"/>
      <c r="AM140" s="3235"/>
      <c r="AN140" s="3235"/>
      <c r="AO140" s="3235"/>
      <c r="AP140" s="3235"/>
      <c r="AQ140" s="3235"/>
      <c r="AR140" s="3235"/>
      <c r="AS140" s="3236"/>
      <c r="AT140" s="1888"/>
      <c r="AU140" s="1888"/>
      <c r="AV140" s="1888"/>
      <c r="AW140" s="1890"/>
      <c r="AX140" s="1884"/>
      <c r="BC140" s="1891"/>
    </row>
    <row r="141" spans="1:58" s="1883" customFormat="1" ht="12.95" customHeight="1" x14ac:dyDescent="0.15">
      <c r="A141" s="1884"/>
      <c r="C141" s="988"/>
      <c r="D141" s="1894"/>
      <c r="E141" s="1894"/>
      <c r="F141" s="1894"/>
      <c r="G141" s="1894"/>
      <c r="H141" s="1894"/>
      <c r="I141" s="1895"/>
      <c r="J141" s="3233"/>
      <c r="K141" s="3234"/>
      <c r="L141" s="3234"/>
      <c r="M141" s="3234"/>
      <c r="N141" s="3234"/>
      <c r="O141" s="3234"/>
      <c r="P141" s="3235"/>
      <c r="Q141" s="3235"/>
      <c r="R141" s="3235"/>
      <c r="S141" s="3235"/>
      <c r="T141" s="3235"/>
      <c r="U141" s="3235"/>
      <c r="V141" s="3235"/>
      <c r="W141" s="3235"/>
      <c r="X141" s="3235"/>
      <c r="Y141" s="3235"/>
      <c r="Z141" s="3235"/>
      <c r="AA141" s="3235"/>
      <c r="AB141" s="3235"/>
      <c r="AC141" s="3235"/>
      <c r="AD141" s="3235"/>
      <c r="AE141" s="3235"/>
      <c r="AF141" s="3235"/>
      <c r="AG141" s="3235"/>
      <c r="AH141" s="3235"/>
      <c r="AI141" s="3235"/>
      <c r="AJ141" s="3235"/>
      <c r="AK141" s="3235"/>
      <c r="AL141" s="3235"/>
      <c r="AM141" s="3235"/>
      <c r="AN141" s="3235"/>
      <c r="AO141" s="3235"/>
      <c r="AP141" s="3235"/>
      <c r="AQ141" s="3235"/>
      <c r="AR141" s="3235"/>
      <c r="AS141" s="3236"/>
      <c r="AT141" s="1888"/>
      <c r="AU141" s="1888"/>
      <c r="AV141" s="1888"/>
      <c r="AW141" s="1890"/>
      <c r="AX141" s="1884"/>
      <c r="BC141" s="1891"/>
    </row>
    <row r="142" spans="1:58" s="1883" customFormat="1" ht="12.95" customHeight="1" x14ac:dyDescent="0.15">
      <c r="A142" s="1884"/>
      <c r="C142" s="988"/>
      <c r="D142" s="1894"/>
      <c r="E142" s="1894"/>
      <c r="F142" s="1894"/>
      <c r="G142" s="1894"/>
      <c r="H142" s="1894"/>
      <c r="I142" s="1895"/>
      <c r="J142" s="3233"/>
      <c r="K142" s="3234"/>
      <c r="L142" s="3234"/>
      <c r="M142" s="3234"/>
      <c r="N142" s="3234"/>
      <c r="O142" s="3234"/>
      <c r="P142" s="3235"/>
      <c r="Q142" s="3235"/>
      <c r="R142" s="3235"/>
      <c r="S142" s="3235"/>
      <c r="T142" s="3235"/>
      <c r="U142" s="3235"/>
      <c r="V142" s="3235"/>
      <c r="W142" s="3235"/>
      <c r="X142" s="3235"/>
      <c r="Y142" s="3235"/>
      <c r="Z142" s="3235"/>
      <c r="AA142" s="3235"/>
      <c r="AB142" s="3235"/>
      <c r="AC142" s="3235"/>
      <c r="AD142" s="3235"/>
      <c r="AE142" s="3235"/>
      <c r="AF142" s="3235"/>
      <c r="AG142" s="3235"/>
      <c r="AH142" s="3235"/>
      <c r="AI142" s="3235"/>
      <c r="AJ142" s="3235"/>
      <c r="AK142" s="3235"/>
      <c r="AL142" s="3235"/>
      <c r="AM142" s="3235"/>
      <c r="AN142" s="3235"/>
      <c r="AO142" s="3235"/>
      <c r="AP142" s="3235"/>
      <c r="AQ142" s="3235"/>
      <c r="AR142" s="3235"/>
      <c r="AS142" s="3236"/>
      <c r="AT142" s="1888"/>
      <c r="AU142" s="1888"/>
      <c r="AV142" s="1888"/>
      <c r="AW142" s="1890"/>
      <c r="AX142" s="1884"/>
      <c r="BC142" s="1891"/>
    </row>
    <row r="143" spans="1:58" s="1883" customFormat="1" ht="12.95" customHeight="1" x14ac:dyDescent="0.15">
      <c r="A143" s="1884"/>
      <c r="C143" s="988"/>
      <c r="D143" s="1894"/>
      <c r="E143" s="1894"/>
      <c r="F143" s="1894"/>
      <c r="G143" s="1894"/>
      <c r="H143" s="1894"/>
      <c r="I143" s="1895"/>
      <c r="J143" s="3233"/>
      <c r="K143" s="3234"/>
      <c r="L143" s="3234"/>
      <c r="M143" s="3234"/>
      <c r="N143" s="3234"/>
      <c r="O143" s="3234"/>
      <c r="P143" s="3235"/>
      <c r="Q143" s="3235"/>
      <c r="R143" s="3235"/>
      <c r="S143" s="3235"/>
      <c r="T143" s="3235"/>
      <c r="U143" s="3235"/>
      <c r="V143" s="3235"/>
      <c r="W143" s="3235"/>
      <c r="X143" s="3235"/>
      <c r="Y143" s="3235"/>
      <c r="Z143" s="3235"/>
      <c r="AA143" s="3235"/>
      <c r="AB143" s="3235"/>
      <c r="AC143" s="3235"/>
      <c r="AD143" s="3235"/>
      <c r="AE143" s="3235"/>
      <c r="AF143" s="3235"/>
      <c r="AG143" s="3235"/>
      <c r="AH143" s="3235"/>
      <c r="AI143" s="3235"/>
      <c r="AJ143" s="3235"/>
      <c r="AK143" s="3235"/>
      <c r="AL143" s="3235"/>
      <c r="AM143" s="3235"/>
      <c r="AN143" s="3235"/>
      <c r="AO143" s="3235"/>
      <c r="AP143" s="3235"/>
      <c r="AQ143" s="3235"/>
      <c r="AR143" s="3235"/>
      <c r="AS143" s="3236"/>
      <c r="AT143" s="1888"/>
      <c r="AU143" s="1888"/>
      <c r="AV143" s="1888"/>
      <c r="AW143" s="1890"/>
      <c r="AX143" s="1884"/>
      <c r="BC143" s="1891"/>
    </row>
    <row r="144" spans="1:58" s="1883" customFormat="1" ht="12.95" customHeight="1" x14ac:dyDescent="0.15">
      <c r="A144" s="1884"/>
      <c r="C144" s="988"/>
      <c r="D144" s="1894"/>
      <c r="E144" s="1894"/>
      <c r="F144" s="1894"/>
      <c r="G144" s="1894"/>
      <c r="H144" s="1894"/>
      <c r="I144" s="1895"/>
      <c r="J144" s="3233"/>
      <c r="K144" s="3234"/>
      <c r="L144" s="3234"/>
      <c r="M144" s="3234"/>
      <c r="N144" s="3234"/>
      <c r="O144" s="3234"/>
      <c r="P144" s="3235"/>
      <c r="Q144" s="3235"/>
      <c r="R144" s="3235"/>
      <c r="S144" s="3235"/>
      <c r="T144" s="3235"/>
      <c r="U144" s="3235"/>
      <c r="V144" s="3235"/>
      <c r="W144" s="3235"/>
      <c r="X144" s="3235"/>
      <c r="Y144" s="3235"/>
      <c r="Z144" s="3235"/>
      <c r="AA144" s="3235"/>
      <c r="AB144" s="3235"/>
      <c r="AC144" s="3235"/>
      <c r="AD144" s="3235"/>
      <c r="AE144" s="3235"/>
      <c r="AF144" s="3235"/>
      <c r="AG144" s="3235"/>
      <c r="AH144" s="3235"/>
      <c r="AI144" s="3235"/>
      <c r="AJ144" s="3235"/>
      <c r="AK144" s="3235"/>
      <c r="AL144" s="3235"/>
      <c r="AM144" s="3235"/>
      <c r="AN144" s="3235"/>
      <c r="AO144" s="3235"/>
      <c r="AP144" s="3235"/>
      <c r="AQ144" s="3235"/>
      <c r="AR144" s="3235"/>
      <c r="AS144" s="3236"/>
      <c r="AT144" s="1888"/>
      <c r="AU144" s="1888"/>
      <c r="AV144" s="1888"/>
      <c r="AW144" s="1890"/>
      <c r="AX144" s="1884"/>
      <c r="BC144" s="1891"/>
    </row>
    <row r="145" spans="1:55" s="1883" customFormat="1" ht="12.95" customHeight="1" x14ac:dyDescent="0.15">
      <c r="A145" s="1884"/>
      <c r="C145" s="988"/>
      <c r="D145" s="1894"/>
      <c r="E145" s="1894"/>
      <c r="F145" s="1894"/>
      <c r="G145" s="1894"/>
      <c r="H145" s="1894"/>
      <c r="I145" s="1895"/>
      <c r="J145" s="3233"/>
      <c r="K145" s="3234"/>
      <c r="L145" s="3234"/>
      <c r="M145" s="3234"/>
      <c r="N145" s="3234"/>
      <c r="O145" s="3234"/>
      <c r="P145" s="3235"/>
      <c r="Q145" s="3235"/>
      <c r="R145" s="3235"/>
      <c r="S145" s="3235"/>
      <c r="T145" s="3235"/>
      <c r="U145" s="3235"/>
      <c r="V145" s="3235"/>
      <c r="W145" s="3235"/>
      <c r="X145" s="3235"/>
      <c r="Y145" s="3235"/>
      <c r="Z145" s="3235"/>
      <c r="AA145" s="3235"/>
      <c r="AB145" s="3235"/>
      <c r="AC145" s="3235"/>
      <c r="AD145" s="3235"/>
      <c r="AE145" s="3235"/>
      <c r="AF145" s="3235"/>
      <c r="AG145" s="3235"/>
      <c r="AH145" s="3235"/>
      <c r="AI145" s="3235"/>
      <c r="AJ145" s="3235"/>
      <c r="AK145" s="3235"/>
      <c r="AL145" s="3235"/>
      <c r="AM145" s="3235"/>
      <c r="AN145" s="3235"/>
      <c r="AO145" s="3235"/>
      <c r="AP145" s="3235"/>
      <c r="AQ145" s="3235"/>
      <c r="AR145" s="3235"/>
      <c r="AS145" s="3236"/>
      <c r="AT145" s="1888"/>
      <c r="AU145" s="1888"/>
      <c r="AV145" s="1888"/>
      <c r="AW145" s="1890"/>
      <c r="AX145" s="1884"/>
      <c r="BC145" s="1891"/>
    </row>
    <row r="146" spans="1:55" s="1883" customFormat="1" ht="12.95" customHeight="1" x14ac:dyDescent="0.15">
      <c r="A146" s="1884"/>
      <c r="C146" s="988"/>
      <c r="D146" s="1894"/>
      <c r="E146" s="1894"/>
      <c r="F146" s="1894"/>
      <c r="G146" s="1894"/>
      <c r="H146" s="1894"/>
      <c r="I146" s="1895"/>
      <c r="J146" s="3233"/>
      <c r="K146" s="3234"/>
      <c r="L146" s="3234"/>
      <c r="M146" s="3234"/>
      <c r="N146" s="3234"/>
      <c r="O146" s="3234"/>
      <c r="P146" s="3235"/>
      <c r="Q146" s="3235"/>
      <c r="R146" s="3235"/>
      <c r="S146" s="3235"/>
      <c r="T146" s="3235"/>
      <c r="U146" s="3235"/>
      <c r="V146" s="3235"/>
      <c r="W146" s="3235"/>
      <c r="X146" s="3235"/>
      <c r="Y146" s="3235"/>
      <c r="Z146" s="3235"/>
      <c r="AA146" s="3235"/>
      <c r="AB146" s="3235"/>
      <c r="AC146" s="3235"/>
      <c r="AD146" s="3235"/>
      <c r="AE146" s="3235"/>
      <c r="AF146" s="3235"/>
      <c r="AG146" s="3235"/>
      <c r="AH146" s="3235"/>
      <c r="AI146" s="3235"/>
      <c r="AJ146" s="3235"/>
      <c r="AK146" s="3235"/>
      <c r="AL146" s="3235"/>
      <c r="AM146" s="3235"/>
      <c r="AN146" s="3235"/>
      <c r="AO146" s="3235"/>
      <c r="AP146" s="3235"/>
      <c r="AQ146" s="3235"/>
      <c r="AR146" s="3235"/>
      <c r="AS146" s="3236"/>
      <c r="AT146" s="1888"/>
      <c r="AU146" s="1888"/>
      <c r="AV146" s="1888"/>
      <c r="AW146" s="1890"/>
      <c r="AX146" s="1884"/>
      <c r="BC146" s="1891"/>
    </row>
    <row r="147" spans="1:55" s="1883" customFormat="1" ht="12.95" customHeight="1" x14ac:dyDescent="0.15">
      <c r="A147" s="1884"/>
      <c r="C147" s="988"/>
      <c r="D147" s="1894"/>
      <c r="E147" s="1894"/>
      <c r="F147" s="1894"/>
      <c r="G147" s="1894"/>
      <c r="H147" s="1894"/>
      <c r="I147" s="1895"/>
      <c r="J147" s="3233"/>
      <c r="K147" s="3234"/>
      <c r="L147" s="3234"/>
      <c r="M147" s="3234"/>
      <c r="N147" s="3234"/>
      <c r="O147" s="3234"/>
      <c r="P147" s="3235"/>
      <c r="Q147" s="3235"/>
      <c r="R147" s="3235"/>
      <c r="S147" s="3235"/>
      <c r="T147" s="3235"/>
      <c r="U147" s="3235"/>
      <c r="V147" s="3235"/>
      <c r="W147" s="3235"/>
      <c r="X147" s="3235"/>
      <c r="Y147" s="3235"/>
      <c r="Z147" s="3235"/>
      <c r="AA147" s="3235"/>
      <c r="AB147" s="3235"/>
      <c r="AC147" s="3235"/>
      <c r="AD147" s="3235"/>
      <c r="AE147" s="3235"/>
      <c r="AF147" s="3235"/>
      <c r="AG147" s="3235"/>
      <c r="AH147" s="3235"/>
      <c r="AI147" s="3235"/>
      <c r="AJ147" s="3235"/>
      <c r="AK147" s="3235"/>
      <c r="AL147" s="3235"/>
      <c r="AM147" s="3235"/>
      <c r="AN147" s="3235"/>
      <c r="AO147" s="3235"/>
      <c r="AP147" s="3235"/>
      <c r="AQ147" s="3235"/>
      <c r="AR147" s="3235"/>
      <c r="AS147" s="3236"/>
      <c r="AT147" s="1888"/>
      <c r="AU147" s="1888"/>
      <c r="AV147" s="1888"/>
      <c r="AW147" s="1890"/>
      <c r="AX147" s="1884"/>
      <c r="BC147" s="1891"/>
    </row>
    <row r="148" spans="1:55" s="1883" customFormat="1" ht="12.75" customHeight="1" x14ac:dyDescent="0.15">
      <c r="A148" s="1884"/>
      <c r="C148" s="983"/>
      <c r="D148" s="964"/>
      <c r="E148" s="964"/>
      <c r="F148" s="964"/>
      <c r="G148" s="964"/>
      <c r="H148" s="964"/>
      <c r="I148" s="1889"/>
      <c r="J148" s="3237"/>
      <c r="K148" s="3238"/>
      <c r="L148" s="3238"/>
      <c r="M148" s="3238"/>
      <c r="N148" s="3238"/>
      <c r="O148" s="3238"/>
      <c r="P148" s="3238"/>
      <c r="Q148" s="3238"/>
      <c r="R148" s="3238"/>
      <c r="S148" s="3238"/>
      <c r="T148" s="3238"/>
      <c r="U148" s="3238"/>
      <c r="V148" s="3238"/>
      <c r="W148" s="3238"/>
      <c r="X148" s="3238"/>
      <c r="Y148" s="3238"/>
      <c r="Z148" s="3238"/>
      <c r="AA148" s="3238"/>
      <c r="AB148" s="3238"/>
      <c r="AC148" s="3238"/>
      <c r="AD148" s="3238"/>
      <c r="AE148" s="3238"/>
      <c r="AF148" s="3238"/>
      <c r="AG148" s="3238"/>
      <c r="AH148" s="3238"/>
      <c r="AI148" s="3238"/>
      <c r="AJ148" s="3238"/>
      <c r="AK148" s="3238"/>
      <c r="AL148" s="3238"/>
      <c r="AM148" s="3238"/>
      <c r="AN148" s="3238"/>
      <c r="AO148" s="3238"/>
      <c r="AP148" s="3238"/>
      <c r="AQ148" s="3238"/>
      <c r="AR148" s="3238"/>
      <c r="AS148" s="3236"/>
      <c r="AT148" s="1888"/>
      <c r="AU148" s="1888"/>
      <c r="AV148" s="1888"/>
      <c r="AW148" s="1890"/>
      <c r="AX148" s="1884"/>
      <c r="BC148" s="1891"/>
    </row>
    <row r="149" spans="1:55" s="1883" customFormat="1" ht="12.95" customHeight="1" x14ac:dyDescent="0.15">
      <c r="A149" s="1884"/>
      <c r="C149" s="983"/>
      <c r="D149" s="964"/>
      <c r="E149" s="964"/>
      <c r="F149" s="964"/>
      <c r="G149" s="964"/>
      <c r="H149" s="964"/>
      <c r="I149" s="1889"/>
      <c r="J149" s="3237"/>
      <c r="K149" s="3238"/>
      <c r="L149" s="3238"/>
      <c r="M149" s="3238"/>
      <c r="N149" s="3238"/>
      <c r="O149" s="3238"/>
      <c r="P149" s="3238"/>
      <c r="Q149" s="3238"/>
      <c r="R149" s="3238"/>
      <c r="S149" s="3238"/>
      <c r="T149" s="3238"/>
      <c r="U149" s="3238"/>
      <c r="V149" s="3238"/>
      <c r="W149" s="3238"/>
      <c r="X149" s="3238"/>
      <c r="Y149" s="3238"/>
      <c r="Z149" s="3238"/>
      <c r="AA149" s="3238"/>
      <c r="AB149" s="3238"/>
      <c r="AC149" s="3238"/>
      <c r="AD149" s="3238"/>
      <c r="AE149" s="3238"/>
      <c r="AF149" s="3238"/>
      <c r="AG149" s="3238"/>
      <c r="AH149" s="3238"/>
      <c r="AI149" s="3238"/>
      <c r="AJ149" s="3238"/>
      <c r="AK149" s="3238"/>
      <c r="AL149" s="3238"/>
      <c r="AM149" s="3238"/>
      <c r="AN149" s="3238"/>
      <c r="AO149" s="3238"/>
      <c r="AP149" s="3238"/>
      <c r="AQ149" s="3238"/>
      <c r="AR149" s="3238"/>
      <c r="AS149" s="3236"/>
      <c r="AT149" s="1888"/>
      <c r="AU149" s="1888"/>
      <c r="AV149" s="1888"/>
      <c r="AW149" s="1890"/>
      <c r="AX149" s="1884"/>
      <c r="BC149" s="1891"/>
    </row>
    <row r="150" spans="1:55" s="1883" customFormat="1" ht="12.95" customHeight="1" x14ac:dyDescent="0.15">
      <c r="A150" s="1884"/>
      <c r="C150" s="983"/>
      <c r="D150" s="964"/>
      <c r="E150" s="964"/>
      <c r="F150" s="964"/>
      <c r="G150" s="964"/>
      <c r="H150" s="964"/>
      <c r="I150" s="1889"/>
      <c r="J150" s="3237"/>
      <c r="K150" s="3238"/>
      <c r="L150" s="3238"/>
      <c r="M150" s="3238"/>
      <c r="N150" s="3238"/>
      <c r="O150" s="3238"/>
      <c r="P150" s="3238"/>
      <c r="Q150" s="3238"/>
      <c r="R150" s="3238"/>
      <c r="S150" s="3238"/>
      <c r="T150" s="3238"/>
      <c r="U150" s="3238"/>
      <c r="V150" s="3238"/>
      <c r="W150" s="3238"/>
      <c r="X150" s="3238"/>
      <c r="Y150" s="3238"/>
      <c r="Z150" s="3238"/>
      <c r="AA150" s="3238"/>
      <c r="AB150" s="3238"/>
      <c r="AC150" s="3238"/>
      <c r="AD150" s="3238"/>
      <c r="AE150" s="3238"/>
      <c r="AF150" s="3238"/>
      <c r="AG150" s="3238"/>
      <c r="AH150" s="3238"/>
      <c r="AI150" s="3238"/>
      <c r="AJ150" s="3238"/>
      <c r="AK150" s="3238"/>
      <c r="AL150" s="3238"/>
      <c r="AM150" s="3238"/>
      <c r="AN150" s="3238"/>
      <c r="AO150" s="3238"/>
      <c r="AP150" s="3238"/>
      <c r="AQ150" s="3238"/>
      <c r="AR150" s="3238"/>
      <c r="AS150" s="3236"/>
      <c r="AT150" s="1888"/>
      <c r="AU150" s="1888"/>
      <c r="AV150" s="1888"/>
      <c r="AW150" s="1890"/>
      <c r="AX150" s="1884"/>
      <c r="BC150" s="1891"/>
    </row>
    <row r="151" spans="1:55" s="1883" customFormat="1" ht="12.95" customHeight="1" x14ac:dyDescent="0.15">
      <c r="A151" s="1884"/>
      <c r="C151" s="983"/>
      <c r="D151" s="964"/>
      <c r="E151" s="964"/>
      <c r="F151" s="964"/>
      <c r="G151" s="964"/>
      <c r="H151" s="964"/>
      <c r="I151" s="1889"/>
      <c r="J151" s="3237"/>
      <c r="K151" s="3238"/>
      <c r="L151" s="3238"/>
      <c r="M151" s="3238"/>
      <c r="N151" s="3238"/>
      <c r="O151" s="3238"/>
      <c r="P151" s="3238"/>
      <c r="Q151" s="3238"/>
      <c r="R151" s="3238"/>
      <c r="S151" s="3238"/>
      <c r="T151" s="3238"/>
      <c r="U151" s="3238"/>
      <c r="V151" s="3238"/>
      <c r="W151" s="3238"/>
      <c r="X151" s="3238"/>
      <c r="Y151" s="3238"/>
      <c r="Z151" s="3238"/>
      <c r="AA151" s="3238"/>
      <c r="AB151" s="3238"/>
      <c r="AC151" s="3238"/>
      <c r="AD151" s="3238"/>
      <c r="AE151" s="3238"/>
      <c r="AF151" s="3238"/>
      <c r="AG151" s="3238"/>
      <c r="AH151" s="3238"/>
      <c r="AI151" s="3238"/>
      <c r="AJ151" s="3238"/>
      <c r="AK151" s="3238"/>
      <c r="AL151" s="3238"/>
      <c r="AM151" s="3238"/>
      <c r="AN151" s="3238"/>
      <c r="AO151" s="3238"/>
      <c r="AP151" s="3238"/>
      <c r="AQ151" s="3238"/>
      <c r="AR151" s="3238"/>
      <c r="AS151" s="3236"/>
      <c r="AT151" s="1888"/>
      <c r="AU151" s="1888"/>
      <c r="AV151" s="1888"/>
      <c r="AW151" s="1890"/>
      <c r="AX151" s="1884"/>
      <c r="BC151" s="1891"/>
    </row>
    <row r="152" spans="1:55" s="1883" customFormat="1" ht="12.95" customHeight="1" x14ac:dyDescent="0.15">
      <c r="A152" s="1884"/>
      <c r="C152" s="983"/>
      <c r="D152" s="964"/>
      <c r="E152" s="964"/>
      <c r="F152" s="964"/>
      <c r="G152" s="964"/>
      <c r="H152" s="964"/>
      <c r="I152" s="1889"/>
      <c r="J152" s="3237"/>
      <c r="K152" s="3238"/>
      <c r="L152" s="3238"/>
      <c r="M152" s="3238"/>
      <c r="N152" s="3238"/>
      <c r="O152" s="3238"/>
      <c r="P152" s="3238"/>
      <c r="Q152" s="3238"/>
      <c r="R152" s="3238"/>
      <c r="S152" s="3238"/>
      <c r="T152" s="3238"/>
      <c r="U152" s="3238"/>
      <c r="V152" s="3238"/>
      <c r="W152" s="3238"/>
      <c r="X152" s="3238"/>
      <c r="Y152" s="3238"/>
      <c r="Z152" s="3238"/>
      <c r="AA152" s="3238"/>
      <c r="AB152" s="3238"/>
      <c r="AC152" s="3238"/>
      <c r="AD152" s="3238"/>
      <c r="AE152" s="3238"/>
      <c r="AF152" s="3238"/>
      <c r="AG152" s="3238"/>
      <c r="AH152" s="3238"/>
      <c r="AI152" s="3238"/>
      <c r="AJ152" s="3238"/>
      <c r="AK152" s="3238"/>
      <c r="AL152" s="3238"/>
      <c r="AM152" s="3238"/>
      <c r="AN152" s="3238"/>
      <c r="AO152" s="3238"/>
      <c r="AP152" s="3238"/>
      <c r="AQ152" s="3238"/>
      <c r="AR152" s="3238"/>
      <c r="AS152" s="3236"/>
      <c r="AT152" s="1888"/>
      <c r="AU152" s="1888"/>
      <c r="AV152" s="1888"/>
      <c r="AW152" s="1890"/>
      <c r="AX152" s="1884"/>
      <c r="BC152" s="1891"/>
    </row>
    <row r="153" spans="1:55" s="1883" customFormat="1" ht="12.95" customHeight="1" x14ac:dyDescent="0.15">
      <c r="A153" s="1884"/>
      <c r="C153" s="983"/>
      <c r="D153" s="964"/>
      <c r="E153" s="964"/>
      <c r="F153" s="964"/>
      <c r="G153" s="964"/>
      <c r="H153" s="964"/>
      <c r="I153" s="1889"/>
      <c r="J153" s="3237"/>
      <c r="K153" s="3238"/>
      <c r="L153" s="3238"/>
      <c r="M153" s="3238"/>
      <c r="N153" s="3238"/>
      <c r="O153" s="3238"/>
      <c r="P153" s="3238"/>
      <c r="Q153" s="3238"/>
      <c r="R153" s="3238"/>
      <c r="S153" s="3238"/>
      <c r="T153" s="3238"/>
      <c r="U153" s="3238"/>
      <c r="V153" s="3238"/>
      <c r="W153" s="3238"/>
      <c r="X153" s="3238"/>
      <c r="Y153" s="3238"/>
      <c r="Z153" s="3238"/>
      <c r="AA153" s="3238"/>
      <c r="AB153" s="3238"/>
      <c r="AC153" s="3238"/>
      <c r="AD153" s="3238"/>
      <c r="AE153" s="3238"/>
      <c r="AF153" s="3238"/>
      <c r="AG153" s="3238"/>
      <c r="AH153" s="3238"/>
      <c r="AI153" s="3238"/>
      <c r="AJ153" s="3238"/>
      <c r="AK153" s="3238"/>
      <c r="AL153" s="3238"/>
      <c r="AM153" s="3238"/>
      <c r="AN153" s="3238"/>
      <c r="AO153" s="3238"/>
      <c r="AP153" s="3238"/>
      <c r="AQ153" s="3238"/>
      <c r="AR153" s="3238"/>
      <c r="AS153" s="3236"/>
      <c r="AT153" s="1888"/>
      <c r="AU153" s="1888"/>
      <c r="AV153" s="1888"/>
      <c r="AW153" s="1890"/>
      <c r="AX153" s="1884"/>
      <c r="BC153" s="1891"/>
    </row>
    <row r="154" spans="1:55" s="1883" customFormat="1" ht="12.95" customHeight="1" x14ac:dyDescent="0.15">
      <c r="A154" s="1884"/>
      <c r="C154" s="989"/>
      <c r="D154" s="990"/>
      <c r="E154" s="990"/>
      <c r="F154" s="990"/>
      <c r="G154" s="990"/>
      <c r="H154" s="990"/>
      <c r="I154" s="1896"/>
      <c r="J154" s="3239"/>
      <c r="K154" s="3240"/>
      <c r="L154" s="3240"/>
      <c r="M154" s="3240"/>
      <c r="N154" s="3240"/>
      <c r="O154" s="3240"/>
      <c r="P154" s="3240"/>
      <c r="Q154" s="3240"/>
      <c r="R154" s="3240"/>
      <c r="S154" s="3240"/>
      <c r="T154" s="3240"/>
      <c r="U154" s="3240"/>
      <c r="V154" s="3240"/>
      <c r="W154" s="3240"/>
      <c r="X154" s="3240"/>
      <c r="Y154" s="3240"/>
      <c r="Z154" s="3240"/>
      <c r="AA154" s="3240"/>
      <c r="AB154" s="3240"/>
      <c r="AC154" s="3240"/>
      <c r="AD154" s="3240"/>
      <c r="AE154" s="3240"/>
      <c r="AF154" s="3240"/>
      <c r="AG154" s="3240"/>
      <c r="AH154" s="3240"/>
      <c r="AI154" s="3240"/>
      <c r="AJ154" s="3240"/>
      <c r="AK154" s="3240"/>
      <c r="AL154" s="3240"/>
      <c r="AM154" s="3240"/>
      <c r="AN154" s="3240"/>
      <c r="AO154" s="3240"/>
      <c r="AP154" s="3240"/>
      <c r="AQ154" s="3240"/>
      <c r="AR154" s="3240"/>
      <c r="AS154" s="3241"/>
      <c r="AT154" s="1888"/>
      <c r="AU154" s="1888"/>
      <c r="AV154" s="1888"/>
      <c r="AW154" s="1890"/>
      <c r="AX154" s="1884"/>
      <c r="BC154" s="1891"/>
    </row>
    <row r="155" spans="1:55" s="1883" customFormat="1" ht="12.95" customHeight="1" x14ac:dyDescent="0.15">
      <c r="A155" s="1884"/>
      <c r="C155" s="992"/>
      <c r="D155" s="992"/>
      <c r="E155" s="992"/>
      <c r="F155" s="992"/>
      <c r="G155" s="992"/>
      <c r="H155" s="992"/>
      <c r="I155" s="1897"/>
      <c r="J155" s="1898"/>
      <c r="K155" s="1898"/>
      <c r="L155" s="1898"/>
      <c r="M155" s="1898"/>
      <c r="N155" s="1898"/>
      <c r="O155" s="1898"/>
      <c r="P155" s="1898"/>
      <c r="Q155" s="1898"/>
      <c r="R155" s="1898"/>
      <c r="S155" s="1898"/>
      <c r="T155" s="1898"/>
      <c r="U155" s="1898"/>
      <c r="V155" s="1898"/>
      <c r="W155" s="1898"/>
      <c r="X155" s="1898"/>
      <c r="Y155" s="1898"/>
      <c r="Z155" s="1898"/>
      <c r="AA155" s="1898"/>
      <c r="AB155" s="1898"/>
      <c r="AC155" s="1898"/>
      <c r="AD155" s="1898"/>
      <c r="AE155" s="1898"/>
      <c r="AF155" s="1898"/>
      <c r="AG155" s="1898"/>
      <c r="AH155" s="1898"/>
      <c r="AI155" s="1898"/>
      <c r="AJ155" s="1898"/>
      <c r="AK155" s="1898"/>
      <c r="AL155" s="1898"/>
      <c r="AM155" s="1898"/>
      <c r="AN155" s="1898"/>
      <c r="AO155" s="1898"/>
      <c r="AP155" s="1898"/>
      <c r="AQ155" s="1898"/>
      <c r="AR155" s="1898"/>
      <c r="AS155" s="1898"/>
      <c r="AT155" s="1888"/>
      <c r="AU155" s="1888"/>
      <c r="AV155" s="1888"/>
      <c r="AW155" s="1890"/>
      <c r="AX155" s="1884"/>
      <c r="BC155" s="1891"/>
    </row>
    <row r="156" spans="1:55" s="1883" customFormat="1" ht="12.95" customHeight="1" x14ac:dyDescent="0.15">
      <c r="A156" s="1884"/>
      <c r="C156" s="964"/>
      <c r="D156" s="964"/>
      <c r="E156" s="964"/>
      <c r="F156" s="964"/>
      <c r="G156" s="964"/>
      <c r="H156" s="964"/>
      <c r="I156" s="1899"/>
      <c r="J156" s="1900"/>
      <c r="K156" s="1900"/>
      <c r="L156" s="1900"/>
      <c r="M156" s="1900"/>
      <c r="N156" s="1900"/>
      <c r="O156" s="1900"/>
      <c r="P156" s="1900"/>
      <c r="Q156" s="1900"/>
      <c r="R156" s="1900"/>
      <c r="S156" s="1900"/>
      <c r="T156" s="1900"/>
      <c r="U156" s="1900"/>
      <c r="V156" s="1900"/>
      <c r="W156" s="1900"/>
      <c r="X156" s="1900"/>
      <c r="Y156" s="1900"/>
      <c r="Z156" s="1900"/>
      <c r="AA156" s="1900"/>
      <c r="AB156" s="1900"/>
      <c r="AC156" s="1900"/>
      <c r="AD156" s="1900"/>
      <c r="AE156" s="1900"/>
      <c r="AF156" s="1900"/>
      <c r="AG156" s="1900"/>
      <c r="AH156" s="1900"/>
      <c r="AI156" s="1900"/>
      <c r="AJ156" s="1900"/>
      <c r="AK156" s="1900"/>
      <c r="AL156" s="1900"/>
      <c r="AM156" s="1900"/>
      <c r="AN156" s="1900"/>
      <c r="AO156" s="1900"/>
      <c r="AP156" s="1900"/>
      <c r="AQ156" s="1900"/>
      <c r="AR156" s="1900"/>
      <c r="AS156" s="1900"/>
      <c r="AT156" s="1888"/>
      <c r="AU156" s="1888"/>
      <c r="AV156" s="1888"/>
      <c r="AW156" s="1890"/>
      <c r="AX156" s="1884"/>
      <c r="BC156" s="1891"/>
    </row>
    <row r="157" spans="1:55" s="1883" customFormat="1" ht="12.95" customHeight="1" x14ac:dyDescent="0.15">
      <c r="A157" s="1884"/>
      <c r="B157" s="1849" t="s">
        <v>2853</v>
      </c>
      <c r="C157" s="964"/>
      <c r="D157" s="964"/>
      <c r="E157" s="964"/>
      <c r="F157" s="964"/>
      <c r="G157" s="964"/>
      <c r="H157" s="964"/>
      <c r="I157" s="1899"/>
      <c r="J157" s="1900"/>
      <c r="K157" s="1900"/>
      <c r="L157" s="1900"/>
      <c r="M157" s="1900"/>
      <c r="N157" s="1900"/>
      <c r="O157" s="1900"/>
      <c r="P157" s="1900"/>
      <c r="Q157" s="1900"/>
      <c r="R157" s="1900"/>
      <c r="S157" s="1900"/>
      <c r="T157" s="1900"/>
      <c r="U157" s="1900"/>
      <c r="V157" s="1900"/>
      <c r="W157" s="1900"/>
      <c r="X157" s="1900"/>
      <c r="Y157" s="1900"/>
      <c r="Z157" s="1900"/>
      <c r="AA157" s="1900"/>
      <c r="AB157" s="1900"/>
      <c r="AC157" s="1900"/>
      <c r="AD157" s="1900"/>
      <c r="AE157" s="1900"/>
      <c r="AF157" s="1900"/>
      <c r="AG157" s="1900"/>
      <c r="AH157" s="1900"/>
      <c r="AI157" s="1900"/>
      <c r="AJ157" s="1900"/>
      <c r="AK157" s="1900"/>
      <c r="AL157" s="1900"/>
      <c r="AM157" s="1900"/>
      <c r="AN157" s="1900"/>
      <c r="AO157" s="1900"/>
      <c r="AP157" s="1900"/>
      <c r="AQ157" s="1900"/>
      <c r="AR157" s="1900"/>
      <c r="AS157" s="1900"/>
      <c r="AT157" s="1888"/>
      <c r="AU157" s="1888"/>
      <c r="AV157" s="1888"/>
      <c r="AW157" s="1890"/>
      <c r="AX157" s="1884"/>
      <c r="BC157" s="1891"/>
    </row>
    <row r="158" spans="1:55" s="1883" customFormat="1" ht="6" customHeight="1" x14ac:dyDescent="0.15">
      <c r="A158" s="1884"/>
      <c r="C158" s="964"/>
      <c r="D158" s="964"/>
      <c r="E158" s="964"/>
      <c r="F158" s="964"/>
      <c r="G158" s="964"/>
      <c r="H158" s="964"/>
      <c r="I158" s="1899"/>
      <c r="J158" s="1900"/>
      <c r="K158" s="1900"/>
      <c r="L158" s="1900"/>
      <c r="M158" s="1900"/>
      <c r="N158" s="1900"/>
      <c r="O158" s="1900"/>
      <c r="P158" s="1900"/>
      <c r="Q158" s="1900"/>
      <c r="R158" s="1900"/>
      <c r="S158" s="1900"/>
      <c r="T158" s="1900"/>
      <c r="U158" s="1900"/>
      <c r="V158" s="1900"/>
      <c r="W158" s="1900"/>
      <c r="X158" s="1900"/>
      <c r="Y158" s="1900"/>
      <c r="Z158" s="1900"/>
      <c r="AA158" s="1900"/>
      <c r="AB158" s="1900"/>
      <c r="AC158" s="1900"/>
      <c r="AD158" s="1900"/>
      <c r="AE158" s="1900"/>
      <c r="AF158" s="1900"/>
      <c r="AG158" s="1900"/>
      <c r="AH158" s="1900"/>
      <c r="AI158" s="1900"/>
      <c r="AJ158" s="1900"/>
      <c r="AK158" s="1900"/>
      <c r="AL158" s="1900"/>
      <c r="AM158" s="1900"/>
      <c r="AN158" s="1900"/>
      <c r="AO158" s="1900"/>
      <c r="AP158" s="1900"/>
      <c r="AQ158" s="1900"/>
      <c r="AR158" s="1900"/>
      <c r="AS158" s="1900"/>
      <c r="AT158" s="1888"/>
      <c r="AU158" s="1888"/>
      <c r="AV158" s="1888"/>
      <c r="AW158" s="1890"/>
      <c r="AX158" s="1884"/>
      <c r="BC158" s="1891"/>
    </row>
    <row r="159" spans="1:55" s="1883" customFormat="1" ht="12.75" customHeight="1" x14ac:dyDescent="0.15">
      <c r="A159" s="1884"/>
      <c r="C159" s="964"/>
      <c r="D159" s="964"/>
      <c r="E159" s="964"/>
      <c r="F159" s="964"/>
      <c r="G159" s="964"/>
      <c r="H159" s="964"/>
      <c r="I159" s="1899"/>
      <c r="J159" s="1900"/>
      <c r="K159" s="1900"/>
      <c r="L159" s="1900"/>
      <c r="M159" s="1900"/>
      <c r="N159" s="1900"/>
      <c r="O159" s="1900"/>
      <c r="P159" s="1900"/>
      <c r="Q159" s="1900"/>
      <c r="R159" s="1900"/>
      <c r="S159" s="1900"/>
      <c r="T159" s="1900"/>
      <c r="U159" s="1900"/>
      <c r="V159" s="1900"/>
      <c r="W159" s="1900"/>
      <c r="X159" s="1900"/>
      <c r="Y159" s="1900"/>
      <c r="Z159" s="1900"/>
      <c r="AA159" s="1900"/>
      <c r="AB159" s="1900"/>
      <c r="AC159" s="1900"/>
      <c r="AD159" s="1900"/>
      <c r="AE159" s="1900"/>
      <c r="AF159" s="1900"/>
      <c r="AG159" s="1900"/>
      <c r="AH159" s="1900"/>
      <c r="AI159" s="1900"/>
      <c r="AJ159" s="1900"/>
      <c r="AK159" s="1900"/>
      <c r="AL159" s="1900"/>
      <c r="AM159" s="1900"/>
      <c r="AN159" s="1900"/>
      <c r="AO159" s="1900"/>
      <c r="AP159" s="1900"/>
      <c r="AQ159" s="1900"/>
      <c r="AR159" s="1900"/>
      <c r="AS159" s="1900"/>
      <c r="AT159" s="1888"/>
      <c r="AU159" s="1888"/>
      <c r="AV159" s="1888"/>
      <c r="AW159" s="1890"/>
      <c r="AX159" s="1884"/>
      <c r="BC159" s="1891"/>
    </row>
    <row r="160" spans="1:55" s="1883" customFormat="1" ht="12.95" customHeight="1" x14ac:dyDescent="0.15">
      <c r="A160" s="1884"/>
      <c r="C160" s="1858" t="s">
        <v>2854</v>
      </c>
      <c r="D160" s="964"/>
      <c r="E160" s="964"/>
      <c r="F160" s="964"/>
      <c r="G160" s="964"/>
      <c r="H160" s="964"/>
      <c r="I160" s="1899"/>
      <c r="J160" s="1900"/>
      <c r="K160" s="1900"/>
      <c r="L160" s="1900"/>
      <c r="M160" s="1900"/>
      <c r="N160" s="1900"/>
      <c r="O160" s="1900"/>
      <c r="P160" s="1900"/>
      <c r="Q160" s="1900"/>
      <c r="R160" s="1900"/>
      <c r="S160" s="1900"/>
      <c r="T160" s="1900"/>
      <c r="U160" s="1900"/>
      <c r="V160" s="1900"/>
      <c r="W160" s="1900"/>
      <c r="X160" s="1900"/>
      <c r="Y160" s="1900"/>
      <c r="Z160" s="1900"/>
      <c r="AA160" s="1900"/>
      <c r="AB160" s="1900"/>
      <c r="AC160" s="1900"/>
      <c r="AD160" s="1900"/>
      <c r="AE160" s="1900"/>
      <c r="AF160" s="1900"/>
      <c r="AG160" s="1900"/>
      <c r="AH160" s="1900"/>
      <c r="AI160" s="1900"/>
      <c r="AJ160" s="1900"/>
      <c r="AK160" s="1900"/>
      <c r="AL160" s="1900"/>
      <c r="AM160" s="1900"/>
      <c r="AN160" s="1900"/>
      <c r="AO160" s="1900"/>
      <c r="AP160" s="1900"/>
      <c r="AQ160" s="1900"/>
      <c r="AR160" s="1900"/>
      <c r="AS160" s="1900"/>
      <c r="AT160" s="1888"/>
      <c r="AU160" s="1888"/>
      <c r="AV160" s="1888"/>
      <c r="AW160" s="1890"/>
      <c r="AX160" s="1884"/>
      <c r="BC160" s="1891"/>
    </row>
    <row r="161" spans="1:55" s="1883" customFormat="1" ht="12.95" customHeight="1" x14ac:dyDescent="0.15">
      <c r="A161" s="1884"/>
      <c r="C161" s="964"/>
      <c r="D161" s="1858" t="s">
        <v>368</v>
      </c>
      <c r="E161" s="1859"/>
      <c r="F161" s="1859"/>
      <c r="G161" s="1859"/>
      <c r="H161" s="1859"/>
      <c r="I161" s="1859"/>
      <c r="J161" s="1859"/>
      <c r="K161" s="1859"/>
      <c r="L161" s="1859"/>
      <c r="M161" s="1859"/>
      <c r="N161" s="1859"/>
      <c r="O161" s="3243" t="str">
        <f>IF('1_入力シート【基本情報】'!DZ45="","",'1_入力シート【基本情報】'!DZ45)</f>
        <v xml:space="preserve">  </v>
      </c>
      <c r="P161" s="3243"/>
      <c r="Q161" s="3243"/>
      <c r="R161" s="3243"/>
      <c r="S161" s="3243"/>
      <c r="T161" s="3243"/>
      <c r="U161" s="3243"/>
      <c r="V161" s="3243"/>
      <c r="W161" s="3243"/>
      <c r="X161" s="3243"/>
      <c r="Y161" s="3243"/>
      <c r="Z161" s="3243"/>
      <c r="AA161" s="3243"/>
      <c r="AB161" s="3243"/>
      <c r="AC161" s="3243"/>
      <c r="AD161" s="3243"/>
      <c r="AE161" s="3243"/>
      <c r="AF161" s="3243"/>
      <c r="AG161" s="3243"/>
      <c r="AH161" s="3243"/>
      <c r="AI161" s="3243"/>
      <c r="AJ161" s="3243"/>
      <c r="AK161" s="3243"/>
      <c r="AL161" s="3243"/>
      <c r="AM161" s="3243"/>
      <c r="AN161" s="3243"/>
      <c r="AO161" s="3243"/>
      <c r="AP161" s="3243"/>
      <c r="AQ161" s="3243"/>
      <c r="AR161" s="3243"/>
      <c r="AS161" s="3243"/>
      <c r="AT161" s="1888"/>
      <c r="AU161" s="1888"/>
      <c r="AV161" s="1888"/>
      <c r="AW161" s="1890"/>
      <c r="AX161" s="1884"/>
      <c r="BC161" s="1891"/>
    </row>
    <row r="162" spans="1:55" s="1883" customFormat="1" ht="12.95" customHeight="1" x14ac:dyDescent="0.15">
      <c r="A162" s="1884"/>
      <c r="C162" s="964"/>
      <c r="D162" s="1858" t="s">
        <v>369</v>
      </c>
      <c r="E162" s="1859"/>
      <c r="F162" s="1859"/>
      <c r="G162" s="1859"/>
      <c r="H162" s="1859"/>
      <c r="I162" s="1859"/>
      <c r="J162" s="1859"/>
      <c r="K162" s="1859"/>
      <c r="L162" s="1859"/>
      <c r="M162" s="1859"/>
      <c r="N162" s="1859"/>
      <c r="O162" s="3174" t="str">
        <f>IF('1_入力シート【基本情報】'!DZ46="","",'1_入力シート【基本情報】'!DZ46)</f>
        <v xml:space="preserve">  </v>
      </c>
      <c r="P162" s="3174"/>
      <c r="Q162" s="3174"/>
      <c r="R162" s="3174"/>
      <c r="S162" s="3174"/>
      <c r="T162" s="3174"/>
      <c r="U162" s="3174"/>
      <c r="V162" s="3174"/>
      <c r="W162" s="3174"/>
      <c r="X162" s="3174"/>
      <c r="Y162" s="3174"/>
      <c r="Z162" s="3174"/>
      <c r="AA162" s="3174"/>
      <c r="AB162" s="3174"/>
      <c r="AC162" s="3174"/>
      <c r="AD162" s="3174"/>
      <c r="AE162" s="3174"/>
      <c r="AF162" s="3174"/>
      <c r="AG162" s="3174"/>
      <c r="AH162" s="3174"/>
      <c r="AI162" s="3174"/>
      <c r="AJ162" s="3174"/>
      <c r="AK162" s="3174"/>
      <c r="AL162" s="3174"/>
      <c r="AM162" s="3174"/>
      <c r="AN162" s="3174"/>
      <c r="AO162" s="3174"/>
      <c r="AP162" s="3174"/>
      <c r="AQ162" s="3174"/>
      <c r="AR162" s="3174"/>
      <c r="AS162" s="3174"/>
      <c r="AT162" s="1888"/>
      <c r="AU162" s="1888"/>
      <c r="AV162" s="1888"/>
      <c r="AW162" s="1890"/>
      <c r="AX162" s="1884"/>
      <c r="BC162" s="1891"/>
    </row>
    <row r="163" spans="1:55" s="1883" customFormat="1" ht="12.95" customHeight="1" x14ac:dyDescent="0.15">
      <c r="A163" s="1884"/>
      <c r="C163" s="964"/>
      <c r="D163" s="1858" t="s">
        <v>370</v>
      </c>
      <c r="E163" s="1859"/>
      <c r="F163" s="1859"/>
      <c r="G163" s="1859"/>
      <c r="H163" s="1859"/>
      <c r="I163" s="1859"/>
      <c r="J163" s="1859"/>
      <c r="K163" s="1859"/>
      <c r="L163" s="1859"/>
      <c r="M163" s="1859"/>
      <c r="N163" s="1859"/>
      <c r="O163" s="3175" t="str">
        <f>IF('1_入力シート【基本情報】'!EC51="","",'1_入力シート【基本情報】'!EC51)</f>
        <v/>
      </c>
      <c r="P163" s="3176"/>
      <c r="Q163" s="3176"/>
      <c r="R163" s="3176"/>
      <c r="S163" s="3176"/>
      <c r="T163" s="3176"/>
      <c r="U163" s="3176"/>
      <c r="V163" s="1859"/>
      <c r="W163" s="1859"/>
      <c r="X163" s="1859"/>
      <c r="Y163" s="1859"/>
      <c r="Z163" s="1859"/>
      <c r="AA163" s="1859"/>
      <c r="AB163" s="1859"/>
      <c r="AC163" s="1859"/>
      <c r="AD163" s="1859"/>
      <c r="AE163" s="1859"/>
      <c r="AF163" s="1859"/>
      <c r="AG163" s="1859"/>
      <c r="AH163" s="1859"/>
      <c r="AI163" s="1859"/>
      <c r="AJ163" s="1859"/>
      <c r="AK163" s="1859"/>
      <c r="AL163" s="1859"/>
      <c r="AM163" s="1859"/>
      <c r="AN163" s="1859"/>
      <c r="AO163" s="1859"/>
      <c r="AP163" s="1859"/>
      <c r="AQ163" s="1859"/>
      <c r="AR163" s="1859"/>
      <c r="AS163" s="1859"/>
      <c r="AT163" s="1888"/>
      <c r="AU163" s="1888"/>
      <c r="AV163" s="1888"/>
      <c r="AW163" s="1890"/>
      <c r="AX163" s="1884"/>
      <c r="BC163" s="1891"/>
    </row>
    <row r="164" spans="1:55" s="1883" customFormat="1" ht="12.95" customHeight="1" x14ac:dyDescent="0.15">
      <c r="A164" s="1884"/>
      <c r="C164" s="964"/>
      <c r="D164" s="1858" t="s">
        <v>371</v>
      </c>
      <c r="E164" s="1859"/>
      <c r="F164" s="1859"/>
      <c r="G164" s="1859"/>
      <c r="H164" s="1859"/>
      <c r="I164" s="1859"/>
      <c r="J164" s="1859"/>
      <c r="K164" s="1859"/>
      <c r="L164" s="1859"/>
      <c r="M164" s="1859"/>
      <c r="N164" s="1859"/>
      <c r="O164" s="3174" t="str">
        <f>IF('1_入力シート【基本情報】'!EC52="","",'1_入力シート【基本情報】'!EC52)</f>
        <v/>
      </c>
      <c r="P164" s="3174"/>
      <c r="Q164" s="3174"/>
      <c r="R164" s="3174"/>
      <c r="S164" s="3174"/>
      <c r="T164" s="3174"/>
      <c r="U164" s="3174"/>
      <c r="V164" s="3174"/>
      <c r="W164" s="3174"/>
      <c r="X164" s="3174"/>
      <c r="Y164" s="3174"/>
      <c r="Z164" s="3174"/>
      <c r="AA164" s="3174"/>
      <c r="AB164" s="3174"/>
      <c r="AC164" s="3174"/>
      <c r="AD164" s="3174"/>
      <c r="AE164" s="3174"/>
      <c r="AF164" s="3174"/>
      <c r="AG164" s="3174"/>
      <c r="AH164" s="3174"/>
      <c r="AI164" s="3174"/>
      <c r="AJ164" s="3174"/>
      <c r="AK164" s="3174"/>
      <c r="AL164" s="3174"/>
      <c r="AM164" s="3174"/>
      <c r="AN164" s="3174"/>
      <c r="AO164" s="3174"/>
      <c r="AP164" s="3174"/>
      <c r="AQ164" s="3174"/>
      <c r="AR164" s="3174"/>
      <c r="AS164" s="3174"/>
      <c r="AT164" s="1888"/>
      <c r="AU164" s="1888"/>
      <c r="AV164" s="1888"/>
      <c r="AW164" s="1890"/>
      <c r="AX164" s="1884"/>
      <c r="BC164" s="1891"/>
    </row>
    <row r="165" spans="1:55" s="1883" customFormat="1" ht="12.95" customHeight="1" x14ac:dyDescent="0.15">
      <c r="A165" s="1884"/>
      <c r="C165" s="964"/>
      <c r="D165" s="1858" t="s">
        <v>372</v>
      </c>
      <c r="E165" s="1860"/>
      <c r="F165" s="1860"/>
      <c r="G165" s="1860"/>
      <c r="H165" s="1860"/>
      <c r="I165" s="1860"/>
      <c r="J165" s="1860"/>
      <c r="K165" s="1861"/>
      <c r="L165" s="1862"/>
      <c r="M165" s="1862"/>
      <c r="N165" s="1862"/>
      <c r="O165" s="3210" t="str">
        <f>IF('1_入力シート【基本情報】'!EC53="","",'1_入力シート【基本情報】'!EC53)</f>
        <v/>
      </c>
      <c r="P165" s="3210"/>
      <c r="Q165" s="3210"/>
      <c r="R165" s="3210"/>
      <c r="S165" s="3210"/>
      <c r="T165" s="3210"/>
      <c r="U165" s="3210"/>
      <c r="V165" s="3210"/>
      <c r="W165" s="3210"/>
      <c r="X165" s="3210"/>
      <c r="Y165" s="3210"/>
      <c r="Z165" s="3210"/>
      <c r="AA165" s="3210"/>
      <c r="AB165" s="3210"/>
      <c r="AC165" s="1860"/>
      <c r="AD165" s="1860"/>
      <c r="AE165" s="1860"/>
      <c r="AF165" s="1860"/>
      <c r="AG165" s="1860"/>
      <c r="AH165" s="1860"/>
      <c r="AI165" s="1860"/>
      <c r="AJ165" s="1860"/>
      <c r="AK165" s="1860"/>
      <c r="AL165" s="1860"/>
      <c r="AM165" s="1860"/>
      <c r="AN165" s="1860"/>
      <c r="AO165" s="1860"/>
      <c r="AP165" s="1860"/>
      <c r="AQ165" s="1860"/>
      <c r="AR165" s="1860"/>
      <c r="AS165" s="1860"/>
      <c r="AT165" s="1888"/>
      <c r="AU165" s="1888"/>
      <c r="AV165" s="1888"/>
      <c r="AW165" s="1890"/>
      <c r="AX165" s="1884"/>
      <c r="BC165" s="1891"/>
    </row>
    <row r="166" spans="1:55" s="1883" customFormat="1" ht="12.95" customHeight="1" x14ac:dyDescent="0.15">
      <c r="A166" s="1884"/>
      <c r="C166" s="964"/>
      <c r="D166" s="964"/>
      <c r="E166" s="964"/>
      <c r="F166" s="964"/>
      <c r="G166" s="964"/>
      <c r="H166" s="964"/>
      <c r="I166" s="1899"/>
      <c r="J166" s="1900"/>
      <c r="K166" s="1900"/>
      <c r="L166" s="1900"/>
      <c r="M166" s="1900"/>
      <c r="N166" s="1900"/>
      <c r="O166" s="1900"/>
      <c r="P166" s="1900"/>
      <c r="Q166" s="1900"/>
      <c r="R166" s="1900"/>
      <c r="S166" s="1900"/>
      <c r="T166" s="1900"/>
      <c r="U166" s="1900"/>
      <c r="V166" s="1900"/>
      <c r="W166" s="1900"/>
      <c r="X166" s="1900"/>
      <c r="Y166" s="1900"/>
      <c r="Z166" s="1900"/>
      <c r="AA166" s="1900"/>
      <c r="AB166" s="1900"/>
      <c r="AC166" s="1900"/>
      <c r="AD166" s="1900"/>
      <c r="AE166" s="1900"/>
      <c r="AF166" s="1900"/>
      <c r="AG166" s="1900"/>
      <c r="AH166" s="1900"/>
      <c r="AI166" s="1900"/>
      <c r="AJ166" s="1900"/>
      <c r="AK166" s="1900"/>
      <c r="AL166" s="1900"/>
      <c r="AM166" s="1900"/>
      <c r="AN166" s="1900"/>
      <c r="AO166" s="1900"/>
      <c r="AP166" s="1900"/>
      <c r="AQ166" s="1900"/>
      <c r="AR166" s="1900"/>
      <c r="AS166" s="1900"/>
      <c r="AT166" s="1888"/>
      <c r="AU166" s="1888"/>
      <c r="AV166" s="1888"/>
      <c r="AW166" s="1890"/>
      <c r="AX166" s="1884"/>
      <c r="BC166" s="1891"/>
    </row>
    <row r="167" spans="1:55" s="1883" customFormat="1" ht="12.95" customHeight="1" x14ac:dyDescent="0.15">
      <c r="A167" s="1884"/>
      <c r="C167" s="964"/>
      <c r="D167" s="964"/>
      <c r="E167" s="964"/>
      <c r="F167" s="964"/>
      <c r="G167" s="964"/>
      <c r="H167" s="964"/>
      <c r="I167" s="1899"/>
      <c r="J167" s="1900"/>
      <c r="K167" s="1900"/>
      <c r="L167" s="1900"/>
      <c r="M167" s="1900"/>
      <c r="N167" s="1900"/>
      <c r="O167" s="1900"/>
      <c r="P167" s="1900"/>
      <c r="Q167" s="1900"/>
      <c r="R167" s="1900"/>
      <c r="S167" s="1900"/>
      <c r="T167" s="1900"/>
      <c r="U167" s="1900"/>
      <c r="V167" s="1900"/>
      <c r="W167" s="1900"/>
      <c r="X167" s="1900"/>
      <c r="Y167" s="1900"/>
      <c r="Z167" s="1900"/>
      <c r="AA167" s="1900"/>
      <c r="AB167" s="1900"/>
      <c r="AC167" s="1900"/>
      <c r="AD167" s="1900"/>
      <c r="AE167" s="1900"/>
      <c r="AF167" s="1900"/>
      <c r="AG167" s="1900"/>
      <c r="AH167" s="1900"/>
      <c r="AI167" s="1900"/>
      <c r="AJ167" s="1900"/>
      <c r="AK167" s="1900"/>
      <c r="AL167" s="1900"/>
      <c r="AM167" s="1900"/>
      <c r="AN167" s="1900"/>
      <c r="AO167" s="1900"/>
      <c r="AP167" s="1900"/>
      <c r="AQ167" s="1900"/>
      <c r="AR167" s="1900"/>
      <c r="AS167" s="1900"/>
      <c r="AT167" s="1888"/>
      <c r="AU167" s="1888"/>
      <c r="AV167" s="1888"/>
      <c r="AW167" s="1890"/>
      <c r="AX167" s="1884"/>
      <c r="BC167" s="1891"/>
    </row>
    <row r="168" spans="1:55" s="1883" customFormat="1" ht="14.25" customHeight="1" x14ac:dyDescent="0.15">
      <c r="B168" s="1849" t="s">
        <v>1245</v>
      </c>
      <c r="AG168" s="1884"/>
      <c r="AH168" s="1884"/>
    </row>
    <row r="169" spans="1:55" s="1883" customFormat="1" ht="6" customHeight="1" x14ac:dyDescent="0.15">
      <c r="AG169" s="1884"/>
      <c r="AH169" s="1884"/>
    </row>
    <row r="170" spans="1:55" s="1883" customFormat="1" ht="12.95" customHeight="1" x14ac:dyDescent="0.15">
      <c r="A170" s="1884"/>
      <c r="C170" s="964"/>
      <c r="D170" s="964"/>
      <c r="E170" s="964"/>
      <c r="F170" s="964"/>
      <c r="G170" s="964"/>
      <c r="H170" s="964"/>
      <c r="I170" s="1899"/>
      <c r="J170" s="1900"/>
      <c r="K170" s="1900"/>
      <c r="L170" s="1900"/>
      <c r="M170" s="1900"/>
      <c r="N170" s="1900"/>
      <c r="O170" s="1900"/>
      <c r="P170" s="1900"/>
      <c r="Q170" s="1900"/>
      <c r="R170" s="1900"/>
      <c r="S170" s="1900"/>
      <c r="T170" s="1900"/>
      <c r="U170" s="1900"/>
      <c r="V170" s="1900"/>
      <c r="W170" s="1900"/>
      <c r="X170" s="1900"/>
      <c r="Y170" s="1900"/>
      <c r="Z170" s="1900"/>
      <c r="AA170" s="1900"/>
      <c r="AB170" s="1900"/>
      <c r="AC170" s="1900"/>
      <c r="AD170" s="1900"/>
      <c r="AE170" s="1900"/>
      <c r="AF170" s="1900"/>
      <c r="AG170" s="1900"/>
      <c r="AH170" s="1900"/>
      <c r="AI170" s="1900"/>
      <c r="AJ170" s="1900"/>
      <c r="AK170" s="1900"/>
      <c r="AL170" s="1900"/>
      <c r="AM170" s="1900"/>
      <c r="AN170" s="1900"/>
      <c r="AO170" s="1900"/>
      <c r="AP170" s="1900"/>
      <c r="AQ170" s="1900"/>
      <c r="AR170" s="1900"/>
      <c r="AS170" s="1900"/>
      <c r="AT170" s="1888"/>
      <c r="AU170" s="1888"/>
      <c r="AV170" s="1888"/>
      <c r="AW170" s="1890"/>
      <c r="AX170" s="1884"/>
      <c r="BC170" s="1891"/>
    </row>
    <row r="171" spans="1:55" ht="12" customHeight="1" x14ac:dyDescent="0.15">
      <c r="C171" s="1858" t="s">
        <v>1244</v>
      </c>
    </row>
    <row r="172" spans="1:55" ht="12" customHeight="1" x14ac:dyDescent="0.15">
      <c r="D172" s="1865" t="s">
        <v>390</v>
      </c>
      <c r="N172" s="1901"/>
      <c r="O172" s="1901"/>
      <c r="P172" s="1901"/>
      <c r="Q172" s="1901"/>
      <c r="R172" s="1901"/>
      <c r="S172" s="1901"/>
      <c r="T172" s="1901"/>
      <c r="U172" s="1901"/>
      <c r="V172" s="1901"/>
      <c r="W172" s="1901"/>
      <c r="X172" s="1901"/>
      <c r="Y172" s="1901"/>
      <c r="Z172" s="1901"/>
      <c r="AA172" s="1901"/>
      <c r="AB172" s="1901"/>
      <c r="AC172" s="1901"/>
      <c r="AD172" s="1901"/>
      <c r="AE172" s="1901"/>
      <c r="AF172" s="1901"/>
      <c r="AG172" s="1901"/>
      <c r="AH172" s="1901"/>
      <c r="AI172" s="1901"/>
      <c r="AJ172" s="1901"/>
      <c r="AK172" s="1901"/>
      <c r="AL172" s="1901"/>
      <c r="AM172" s="1901"/>
      <c r="AN172" s="1901"/>
      <c r="AO172" s="1901"/>
      <c r="AP172" s="1901"/>
      <c r="AQ172" s="1901"/>
      <c r="AR172" s="1901"/>
      <c r="AS172" s="1901"/>
      <c r="AU172" s="1902"/>
      <c r="AV172" s="1902"/>
      <c r="AW172" s="1902"/>
      <c r="AX172" s="1902"/>
      <c r="AY172" s="1902"/>
    </row>
    <row r="173" spans="1:55" ht="12" customHeight="1" x14ac:dyDescent="0.15">
      <c r="D173" s="1865"/>
      <c r="E173" s="1865"/>
      <c r="F173" s="1865"/>
      <c r="G173" s="1865"/>
      <c r="H173" s="1865"/>
      <c r="I173" s="1865"/>
      <c r="J173" s="1865"/>
      <c r="K173" s="1865"/>
      <c r="L173" s="1865"/>
      <c r="M173" s="1866"/>
      <c r="N173" s="1865"/>
      <c r="O173" s="1866" t="s">
        <v>25</v>
      </c>
      <c r="P173" s="3212" t="str">
        <f>'1_入力シート【基本情報】'!$DS$109</f>
        <v/>
      </c>
      <c r="Q173" s="3212"/>
      <c r="R173" s="1865" t="s">
        <v>377</v>
      </c>
      <c r="S173" s="1865"/>
      <c r="T173" s="1865"/>
      <c r="U173" s="1865"/>
      <c r="V173" s="1867"/>
      <c r="W173" s="1865"/>
      <c r="X173" s="1865"/>
      <c r="Y173" s="1866" t="s">
        <v>25</v>
      </c>
      <c r="Z173" s="3242" t="str">
        <f>'1_入力シート【基本情報】'!$DS$110</f>
        <v/>
      </c>
      <c r="AA173" s="3242"/>
      <c r="AB173" s="3242"/>
      <c r="AC173" s="3242"/>
      <c r="AD173" s="3242"/>
      <c r="AE173" s="3242"/>
      <c r="AF173" s="3242"/>
      <c r="AG173" s="3242"/>
      <c r="AH173" s="1868" t="s">
        <v>378</v>
      </c>
      <c r="AI173" s="1865"/>
      <c r="AJ173" s="1865"/>
      <c r="AK173" s="1865"/>
      <c r="AL173" s="1866" t="s">
        <v>379</v>
      </c>
      <c r="AM173" s="3213" t="str">
        <f>IF('1_入力シート【基本情報】'!DS111="","",'1_入力シート【基本情報】'!DS111)</f>
        <v/>
      </c>
      <c r="AN173" s="3213"/>
      <c r="AO173" s="3213"/>
      <c r="AP173" s="3213"/>
      <c r="AQ173" s="3213"/>
      <c r="AR173" s="3213"/>
      <c r="AS173" s="1865" t="s">
        <v>380</v>
      </c>
    </row>
    <row r="174" spans="1:55" ht="12" customHeight="1" x14ac:dyDescent="0.15">
      <c r="D174" s="1865"/>
      <c r="E174" s="1865"/>
      <c r="F174" s="1865"/>
      <c r="G174" s="1865"/>
      <c r="H174" s="1865"/>
      <c r="I174" s="1865"/>
      <c r="J174" s="1865"/>
      <c r="K174" s="1865"/>
      <c r="L174" s="1865"/>
      <c r="M174" s="1865"/>
      <c r="N174" s="1865"/>
      <c r="O174" s="1865" t="s">
        <v>243</v>
      </c>
      <c r="P174" s="1865"/>
      <c r="Q174" s="1865"/>
      <c r="R174" s="1865"/>
      <c r="S174" s="1865"/>
      <c r="T174" s="1865"/>
      <c r="U174" s="1865"/>
      <c r="V174" s="1865"/>
      <c r="W174" s="1865"/>
      <c r="X174" s="1865"/>
      <c r="Y174" s="1865"/>
      <c r="Z174" s="1865"/>
      <c r="AA174" s="1865"/>
      <c r="AB174" s="1865"/>
      <c r="AC174" s="1865"/>
      <c r="AD174" s="1865"/>
      <c r="AE174" s="1865"/>
      <c r="AF174" s="1865"/>
      <c r="AG174" s="1867"/>
      <c r="AH174" s="1865"/>
      <c r="AI174" s="1865"/>
      <c r="AJ174" s="1865"/>
      <c r="AK174" s="1865"/>
      <c r="AL174" s="1866" t="s">
        <v>379</v>
      </c>
      <c r="AM174" s="3213" t="str">
        <f>IF('1_入力シート【基本情報】'!DS112="","",'1_入力シート【基本情報】'!DS112)</f>
        <v/>
      </c>
      <c r="AN174" s="3213"/>
      <c r="AO174" s="3213"/>
      <c r="AP174" s="3213"/>
      <c r="AQ174" s="3213"/>
      <c r="AR174" s="3213"/>
      <c r="AS174" s="1865" t="s">
        <v>380</v>
      </c>
    </row>
    <row r="175" spans="1:55" ht="12" customHeight="1" x14ac:dyDescent="0.15">
      <c r="D175" s="1865" t="s">
        <v>381</v>
      </c>
      <c r="E175" s="1865"/>
      <c r="F175" s="1865"/>
      <c r="G175" s="1865"/>
      <c r="H175" s="1865"/>
      <c r="I175" s="1865"/>
      <c r="J175" s="1866"/>
      <c r="K175" s="1865"/>
      <c r="L175" s="1867"/>
      <c r="M175" s="1866"/>
      <c r="N175" s="1865"/>
      <c r="O175" s="3174" t="str">
        <f>IF('1_入力シート【基本情報】'!DS113="","",'1_入力シート【基本情報】'!DS113)</f>
        <v/>
      </c>
      <c r="P175" s="3174"/>
      <c r="Q175" s="3174"/>
      <c r="R175" s="3174"/>
      <c r="S175" s="3174"/>
      <c r="T175" s="3174"/>
      <c r="U175" s="3174"/>
      <c r="V175" s="3174"/>
      <c r="W175" s="3174"/>
      <c r="X175" s="3174"/>
      <c r="Y175" s="3174"/>
      <c r="Z175" s="3174"/>
      <c r="AA175" s="3174"/>
      <c r="AB175" s="3174"/>
      <c r="AC175" s="3174"/>
      <c r="AD175" s="3174"/>
      <c r="AE175" s="3174"/>
      <c r="AF175" s="3174"/>
      <c r="AG175" s="3174"/>
      <c r="AH175" s="3174"/>
      <c r="AI175" s="3174"/>
      <c r="AJ175" s="3174"/>
      <c r="AK175" s="3174"/>
      <c r="AL175" s="3174"/>
      <c r="AM175" s="3174"/>
      <c r="AN175" s="3174"/>
      <c r="AO175" s="3174"/>
      <c r="AP175" s="3174"/>
      <c r="AQ175" s="3174"/>
      <c r="AR175" s="3174"/>
      <c r="AS175" s="3174"/>
    </row>
    <row r="176" spans="1:55" ht="12" customHeight="1" x14ac:dyDescent="0.15">
      <c r="D176" s="1865" t="s">
        <v>382</v>
      </c>
      <c r="E176" s="1865"/>
      <c r="F176" s="1865"/>
      <c r="G176" s="1865"/>
      <c r="H176" s="1865"/>
      <c r="I176" s="1865"/>
      <c r="J176" s="1866"/>
      <c r="K176" s="1865"/>
      <c r="L176" s="1867"/>
      <c r="M176" s="1866"/>
      <c r="N176" s="1865"/>
      <c r="O176" s="3174" t="str">
        <f>IF('1_入力シート【基本情報】'!DS114="","",'1_入力シート【基本情報】'!DS114)</f>
        <v/>
      </c>
      <c r="P176" s="3174"/>
      <c r="Q176" s="3174"/>
      <c r="R176" s="3174"/>
      <c r="S176" s="3174"/>
      <c r="T176" s="3174"/>
      <c r="U176" s="3174"/>
      <c r="V176" s="3174"/>
      <c r="W176" s="3174"/>
      <c r="X176" s="3174"/>
      <c r="Y176" s="3174"/>
      <c r="Z176" s="3174"/>
      <c r="AA176" s="3174"/>
      <c r="AB176" s="3174"/>
      <c r="AC176" s="3174"/>
      <c r="AD176" s="3174"/>
      <c r="AE176" s="3174"/>
      <c r="AF176" s="3174"/>
      <c r="AG176" s="3174"/>
      <c r="AH176" s="3174"/>
      <c r="AI176" s="3174"/>
      <c r="AJ176" s="3174"/>
      <c r="AK176" s="3174"/>
      <c r="AL176" s="3174"/>
      <c r="AM176" s="3174"/>
      <c r="AN176" s="3174"/>
      <c r="AO176" s="3174"/>
      <c r="AP176" s="3174"/>
      <c r="AQ176" s="3174"/>
      <c r="AR176" s="3174"/>
      <c r="AS176" s="3174"/>
    </row>
    <row r="177" spans="1:55" ht="12" customHeight="1" x14ac:dyDescent="0.15">
      <c r="D177" s="1865" t="s">
        <v>383</v>
      </c>
      <c r="E177" s="1865"/>
      <c r="F177" s="1865"/>
      <c r="G177" s="1865"/>
      <c r="H177" s="1865"/>
      <c r="I177" s="1865"/>
      <c r="J177" s="1866"/>
      <c r="K177" s="1865"/>
      <c r="L177" s="1867"/>
      <c r="M177" s="1865"/>
      <c r="N177" s="1865"/>
      <c r="O177" s="3167" t="str">
        <f>'1_入力シート【基本情報】'!DW115</f>
        <v/>
      </c>
      <c r="P177" s="3167"/>
      <c r="Q177" s="3167"/>
      <c r="R177" s="3167"/>
      <c r="S177" s="3167"/>
      <c r="T177" s="3167"/>
      <c r="U177" s="3167"/>
      <c r="V177" s="3167"/>
      <c r="W177" s="3167"/>
      <c r="X177" s="3167"/>
      <c r="Y177" s="3167"/>
      <c r="Z177" s="3167"/>
      <c r="AA177" s="3167"/>
      <c r="AB177" s="3167"/>
      <c r="AC177" s="3167"/>
      <c r="AD177" s="3167"/>
      <c r="AE177" s="3167"/>
      <c r="AF177" s="3167"/>
      <c r="AG177" s="3167"/>
      <c r="AH177" s="3167"/>
      <c r="AI177" s="3167"/>
      <c r="AJ177" s="3167"/>
      <c r="AK177" s="3167"/>
      <c r="AL177" s="3167"/>
      <c r="AM177" s="3167"/>
      <c r="AN177" s="3167"/>
      <c r="AO177" s="3167"/>
      <c r="AP177" s="3167"/>
      <c r="AQ177" s="3167"/>
      <c r="AR177" s="3167"/>
      <c r="AS177" s="3167"/>
    </row>
    <row r="178" spans="1:55" ht="12" customHeight="1" x14ac:dyDescent="0.15">
      <c r="D178" s="1865"/>
      <c r="E178" s="1865"/>
      <c r="F178" s="1865"/>
      <c r="G178" s="1865"/>
      <c r="H178" s="1865"/>
      <c r="I178" s="1865"/>
      <c r="J178" s="1866"/>
      <c r="K178" s="1865"/>
      <c r="L178" s="1866"/>
      <c r="M178" s="1865"/>
      <c r="N178" s="1865"/>
      <c r="O178" s="1866" t="s">
        <v>25</v>
      </c>
      <c r="P178" s="3168" t="str">
        <f>'1_入力シート【基本情報】'!DW116</f>
        <v/>
      </c>
      <c r="Q178" s="3168"/>
      <c r="R178" s="1865" t="s">
        <v>384</v>
      </c>
      <c r="S178" s="1865"/>
      <c r="T178" s="1865"/>
      <c r="U178" s="1865"/>
      <c r="V178" s="1865"/>
      <c r="W178" s="1865"/>
      <c r="X178" s="1866"/>
      <c r="Y178" s="1866" t="s">
        <v>25</v>
      </c>
      <c r="Z178" s="3168" t="str">
        <f>'1_入力シート【基本情報】'!DW117</f>
        <v/>
      </c>
      <c r="AA178" s="3168"/>
      <c r="AB178" s="3168"/>
      <c r="AC178" s="3168"/>
      <c r="AD178" s="3168"/>
      <c r="AE178" s="3168"/>
      <c r="AF178" s="1868" t="s">
        <v>385</v>
      </c>
      <c r="AG178" s="1868"/>
      <c r="AH178" s="1865"/>
      <c r="AI178" s="1867"/>
      <c r="AJ178" s="1865"/>
      <c r="AK178" s="1865"/>
      <c r="AL178" s="1866" t="s">
        <v>379</v>
      </c>
      <c r="AM178" s="3169" t="str">
        <f>'1_入力シート【基本情報】'!DW118</f>
        <v/>
      </c>
      <c r="AN178" s="3169"/>
      <c r="AO178" s="3169"/>
      <c r="AP178" s="3169"/>
      <c r="AQ178" s="3169"/>
      <c r="AR178" s="3169"/>
      <c r="AS178" s="1865" t="s">
        <v>380</v>
      </c>
    </row>
    <row r="179" spans="1:55" ht="12" customHeight="1" x14ac:dyDescent="0.15">
      <c r="D179" s="1865" t="s">
        <v>386</v>
      </c>
      <c r="E179" s="1865"/>
      <c r="F179" s="1865"/>
      <c r="G179" s="1865"/>
      <c r="H179" s="1865"/>
      <c r="I179" s="1865"/>
      <c r="J179" s="1865"/>
      <c r="K179" s="1865"/>
      <c r="L179" s="1865"/>
      <c r="M179" s="1865"/>
      <c r="N179" s="1865"/>
      <c r="O179" s="3170" t="str">
        <f>'1_入力シート【基本情報】'!DW119</f>
        <v/>
      </c>
      <c r="P179" s="3170"/>
      <c r="Q179" s="3170"/>
      <c r="R179" s="3170"/>
      <c r="S179" s="3170"/>
      <c r="T179" s="3170"/>
      <c r="U179" s="3170"/>
      <c r="V179" s="1865"/>
      <c r="W179" s="1865"/>
      <c r="X179" s="1865"/>
      <c r="Y179" s="1865"/>
      <c r="Z179" s="1865"/>
      <c r="AA179" s="1865"/>
      <c r="AB179" s="1865"/>
      <c r="AC179" s="1865"/>
      <c r="AD179" s="1865"/>
      <c r="AE179" s="1865"/>
      <c r="AF179" s="1865"/>
      <c r="AG179" s="1865"/>
      <c r="AH179" s="1865"/>
      <c r="AI179" s="1865"/>
      <c r="AJ179" s="1865"/>
      <c r="AK179" s="1866"/>
      <c r="AL179" s="1866"/>
      <c r="AM179" s="1865"/>
      <c r="AN179" s="1865"/>
      <c r="AO179" s="1865"/>
      <c r="AP179" s="1865"/>
      <c r="AQ179" s="1865"/>
      <c r="AR179" s="1865"/>
      <c r="AS179" s="1865"/>
    </row>
    <row r="180" spans="1:55" ht="12" customHeight="1" x14ac:dyDescent="0.15">
      <c r="D180" s="1865" t="s">
        <v>387</v>
      </c>
      <c r="E180" s="1865"/>
      <c r="F180" s="1865"/>
      <c r="G180" s="1865"/>
      <c r="H180" s="1865"/>
      <c r="I180" s="1865"/>
      <c r="J180" s="1865"/>
      <c r="K180" s="1865"/>
      <c r="L180" s="1867"/>
      <c r="M180" s="1865"/>
      <c r="N180" s="1865"/>
      <c r="O180" s="3167" t="str">
        <f>'1_入力シート【基本情報】'!DW120</f>
        <v/>
      </c>
      <c r="P180" s="3167"/>
      <c r="Q180" s="3167"/>
      <c r="R180" s="3167"/>
      <c r="S180" s="3167"/>
      <c r="T180" s="3167"/>
      <c r="U180" s="3167"/>
      <c r="V180" s="3167"/>
      <c r="W180" s="3167"/>
      <c r="X180" s="3167"/>
      <c r="Y180" s="3167"/>
      <c r="Z180" s="3167"/>
      <c r="AA180" s="3167"/>
      <c r="AB180" s="3167"/>
      <c r="AC180" s="3167"/>
      <c r="AD180" s="3167"/>
      <c r="AE180" s="3167"/>
      <c r="AF180" s="3167"/>
      <c r="AG180" s="3167"/>
      <c r="AH180" s="3167"/>
      <c r="AI180" s="3167"/>
      <c r="AJ180" s="3167"/>
      <c r="AK180" s="3167"/>
      <c r="AL180" s="3167"/>
      <c r="AM180" s="3167"/>
      <c r="AN180" s="3167"/>
      <c r="AO180" s="3167"/>
      <c r="AP180" s="3167"/>
      <c r="AQ180" s="3167"/>
      <c r="AR180" s="3167"/>
      <c r="AS180" s="3167"/>
    </row>
    <row r="181" spans="1:55" ht="12" customHeight="1" x14ac:dyDescent="0.15">
      <c r="D181" s="1865" t="s">
        <v>388</v>
      </c>
      <c r="E181" s="1865"/>
      <c r="F181" s="1865"/>
      <c r="G181" s="1865"/>
      <c r="H181" s="1865"/>
      <c r="I181" s="1865"/>
      <c r="J181" s="1865"/>
      <c r="K181" s="1865"/>
      <c r="L181" s="1869"/>
      <c r="M181" s="1865"/>
      <c r="N181" s="1865"/>
      <c r="O181" s="3171" t="str">
        <f>'1_入力シート【基本情報】'!DW121</f>
        <v/>
      </c>
      <c r="P181" s="3171"/>
      <c r="Q181" s="3171"/>
      <c r="R181" s="3171"/>
      <c r="S181" s="3171"/>
      <c r="T181" s="3171"/>
      <c r="U181" s="3171"/>
      <c r="V181" s="3171"/>
      <c r="W181" s="3171"/>
      <c r="X181" s="3171"/>
      <c r="Y181" s="3171"/>
      <c r="Z181" s="3171"/>
      <c r="AA181" s="3171"/>
      <c r="AB181" s="3171"/>
      <c r="AC181" s="1869"/>
      <c r="AD181" s="1869"/>
      <c r="AE181" s="1869"/>
      <c r="AF181" s="1869"/>
      <c r="AG181" s="1869"/>
      <c r="AH181" s="1869"/>
      <c r="AI181" s="1869"/>
      <c r="AJ181" s="1869"/>
      <c r="AK181" s="1869"/>
      <c r="AL181" s="1869"/>
      <c r="AM181" s="1869"/>
      <c r="AN181" s="1869"/>
      <c r="AO181" s="1869"/>
      <c r="AP181" s="1869"/>
      <c r="AQ181" s="1869"/>
      <c r="AR181" s="1869"/>
      <c r="AS181" s="1869"/>
    </row>
    <row r="182" spans="1:55" s="1883" customFormat="1" ht="12.95" customHeight="1" x14ac:dyDescent="0.15">
      <c r="A182" s="1884"/>
      <c r="C182" s="964"/>
      <c r="D182" s="964"/>
      <c r="E182" s="964"/>
      <c r="F182" s="964"/>
      <c r="G182" s="964"/>
      <c r="H182" s="964"/>
      <c r="I182" s="1899"/>
      <c r="J182" s="1900"/>
      <c r="K182" s="1900"/>
      <c r="L182" s="1900"/>
      <c r="M182" s="1900"/>
      <c r="N182" s="1900"/>
      <c r="O182" s="1900"/>
      <c r="P182" s="1900"/>
      <c r="Q182" s="1900"/>
      <c r="R182" s="1900"/>
      <c r="S182" s="1900"/>
      <c r="T182" s="1900"/>
      <c r="U182" s="1900"/>
      <c r="V182" s="1900"/>
      <c r="W182" s="1900"/>
      <c r="X182" s="1900"/>
      <c r="Y182" s="1900"/>
      <c r="Z182" s="1900"/>
      <c r="AA182" s="1900"/>
      <c r="AB182" s="1900"/>
      <c r="AC182" s="1900"/>
      <c r="AD182" s="1900"/>
      <c r="AE182" s="1900"/>
      <c r="AF182" s="1900"/>
      <c r="AG182" s="1900"/>
      <c r="AH182" s="1900"/>
      <c r="AI182" s="1900"/>
      <c r="AJ182" s="1900"/>
      <c r="AK182" s="1900"/>
      <c r="AL182" s="1900"/>
      <c r="AM182" s="1900"/>
      <c r="AN182" s="1900"/>
      <c r="AO182" s="1900"/>
      <c r="AP182" s="1900"/>
      <c r="AQ182" s="1900"/>
      <c r="AR182" s="1900"/>
      <c r="AS182" s="1900"/>
      <c r="AT182" s="1888"/>
      <c r="AU182" s="1888"/>
      <c r="AV182" s="1888"/>
      <c r="AW182" s="1890"/>
      <c r="AX182" s="1884"/>
      <c r="BC182" s="1891"/>
    </row>
    <row r="183" spans="1:55" s="1883" customFormat="1" ht="14.25" customHeight="1" x14ac:dyDescent="0.15">
      <c r="A183" s="1885"/>
      <c r="B183" s="1885"/>
      <c r="C183" s="1885"/>
      <c r="D183" s="1885"/>
      <c r="E183" s="1885"/>
      <c r="F183" s="1885"/>
      <c r="G183" s="1885"/>
      <c r="H183" s="1885"/>
      <c r="I183" s="1885"/>
      <c r="J183" s="1885"/>
      <c r="K183" s="1885"/>
      <c r="L183" s="1885"/>
      <c r="M183" s="1885"/>
      <c r="N183" s="1885"/>
      <c r="O183" s="1885"/>
      <c r="P183" s="1885"/>
      <c r="Q183" s="1885"/>
      <c r="R183" s="1885"/>
      <c r="S183" s="1885"/>
      <c r="T183" s="1885"/>
      <c r="U183" s="1885"/>
      <c r="V183" s="1885"/>
      <c r="W183" s="1885"/>
      <c r="X183" s="1885"/>
      <c r="Y183" s="1885"/>
      <c r="Z183" s="1885"/>
      <c r="AA183" s="1885"/>
      <c r="AB183" s="1885"/>
      <c r="AC183" s="1885"/>
      <c r="AD183" s="1885"/>
      <c r="AE183" s="1885"/>
      <c r="AF183" s="1885"/>
      <c r="AG183" s="1860"/>
      <c r="AH183" s="1860"/>
      <c r="AI183" s="1885"/>
      <c r="AJ183" s="1885"/>
      <c r="AK183" s="1885"/>
      <c r="AL183" s="1885"/>
      <c r="AM183" s="1885"/>
      <c r="AN183" s="1885"/>
      <c r="AO183" s="1885"/>
      <c r="AP183" s="1885"/>
      <c r="AQ183" s="1885"/>
      <c r="AR183" s="1885"/>
      <c r="AS183" s="1885"/>
    </row>
    <row r="184" spans="1:55" s="1883" customFormat="1" ht="6" customHeight="1" x14ac:dyDescent="0.15">
      <c r="A184" s="1885"/>
      <c r="B184" s="1885"/>
      <c r="C184" s="1885"/>
      <c r="D184" s="1885"/>
      <c r="E184" s="1885"/>
      <c r="F184" s="1885"/>
      <c r="G184" s="1885"/>
      <c r="H184" s="1885"/>
      <c r="I184" s="1885"/>
      <c r="J184" s="1885"/>
      <c r="K184" s="1885"/>
      <c r="L184" s="1885"/>
      <c r="M184" s="1885"/>
      <c r="N184" s="1885"/>
      <c r="O184" s="1885"/>
      <c r="P184" s="1885"/>
      <c r="Q184" s="1885"/>
      <c r="R184" s="1885"/>
      <c r="S184" s="1885"/>
      <c r="T184" s="1885"/>
      <c r="U184" s="1885"/>
      <c r="V184" s="1885"/>
      <c r="W184" s="1885"/>
      <c r="X184" s="1885"/>
      <c r="Y184" s="1885"/>
      <c r="Z184" s="1885"/>
      <c r="AA184" s="1885"/>
      <c r="AB184" s="1885"/>
      <c r="AC184" s="1885"/>
      <c r="AD184" s="1885"/>
      <c r="AE184" s="1885"/>
      <c r="AF184" s="1885"/>
      <c r="AG184" s="1860"/>
      <c r="AH184" s="1860"/>
      <c r="AI184" s="1885"/>
      <c r="AJ184" s="1885"/>
      <c r="AK184" s="1885"/>
      <c r="AL184" s="1885"/>
      <c r="AM184" s="1885"/>
      <c r="AN184" s="1885"/>
      <c r="AO184" s="1885"/>
      <c r="AP184" s="1885"/>
      <c r="AQ184" s="1885"/>
      <c r="AR184" s="1885"/>
      <c r="AS184" s="1885"/>
    </row>
    <row r="185" spans="1:55" s="1883" customFormat="1" ht="12.95" customHeight="1" x14ac:dyDescent="0.15">
      <c r="A185" s="1860"/>
      <c r="B185" s="1885"/>
      <c r="C185" s="996"/>
      <c r="D185" s="996"/>
      <c r="E185" s="996"/>
      <c r="F185" s="996"/>
      <c r="G185" s="996"/>
      <c r="H185" s="996"/>
      <c r="I185" s="1885"/>
      <c r="J185" s="1900"/>
      <c r="K185" s="1900"/>
      <c r="L185" s="1900"/>
      <c r="M185" s="1900"/>
      <c r="N185" s="1900"/>
      <c r="O185" s="1900"/>
      <c r="P185" s="1900"/>
      <c r="Q185" s="1900"/>
      <c r="R185" s="1900"/>
      <c r="S185" s="1900"/>
      <c r="T185" s="1900"/>
      <c r="U185" s="1900"/>
      <c r="V185" s="1900"/>
      <c r="W185" s="1900"/>
      <c r="X185" s="1900"/>
      <c r="Y185" s="1900"/>
      <c r="Z185" s="1900"/>
      <c r="AA185" s="1900"/>
      <c r="AB185" s="1900"/>
      <c r="AC185" s="1900"/>
      <c r="AD185" s="1900"/>
      <c r="AE185" s="1900"/>
      <c r="AF185" s="1900"/>
      <c r="AG185" s="1900"/>
      <c r="AH185" s="1900"/>
      <c r="AI185" s="1900"/>
      <c r="AJ185" s="1900"/>
      <c r="AK185" s="1900"/>
      <c r="AL185" s="1900"/>
      <c r="AM185" s="1900"/>
      <c r="AN185" s="1900"/>
      <c r="AO185" s="1900"/>
      <c r="AP185" s="1900"/>
      <c r="AQ185" s="1900"/>
      <c r="AR185" s="1900"/>
      <c r="AS185" s="1900"/>
      <c r="AT185" s="1888"/>
      <c r="AU185" s="1888"/>
      <c r="AV185" s="1888"/>
      <c r="AW185" s="1890"/>
      <c r="AX185" s="1884"/>
      <c r="BC185" s="1891"/>
    </row>
    <row r="186" spans="1:55" s="1883" customFormat="1" ht="12.95" customHeight="1" x14ac:dyDescent="0.15">
      <c r="A186" s="1884"/>
      <c r="C186" s="964"/>
      <c r="D186" s="964"/>
      <c r="E186" s="964"/>
      <c r="F186" s="964"/>
      <c r="G186" s="964"/>
      <c r="H186" s="964"/>
      <c r="I186" s="1899"/>
      <c r="J186" s="1903"/>
      <c r="K186" s="1903"/>
      <c r="L186" s="1903"/>
      <c r="M186" s="1903"/>
      <c r="N186" s="1903"/>
      <c r="O186" s="1903"/>
      <c r="P186" s="1903"/>
      <c r="Q186" s="1903"/>
      <c r="R186" s="1903"/>
      <c r="S186" s="1903"/>
      <c r="T186" s="1903"/>
      <c r="U186" s="1903"/>
      <c r="V186" s="1903"/>
      <c r="W186" s="1903"/>
      <c r="X186" s="1903"/>
      <c r="Y186" s="1903"/>
      <c r="Z186" s="1903"/>
      <c r="AA186" s="1903"/>
      <c r="AB186" s="1903"/>
      <c r="AC186" s="1903"/>
      <c r="AD186" s="1903"/>
      <c r="AE186" s="1903"/>
      <c r="AF186" s="1903"/>
      <c r="AG186" s="1903"/>
      <c r="AH186" s="1903"/>
      <c r="AI186" s="1903"/>
      <c r="AJ186" s="1903"/>
      <c r="AK186" s="1903"/>
      <c r="AL186" s="1903"/>
      <c r="AM186" s="1903"/>
      <c r="AN186" s="1903"/>
      <c r="AO186" s="1903"/>
      <c r="AP186" s="1903"/>
      <c r="AQ186" s="1903"/>
      <c r="AR186" s="1903"/>
      <c r="AS186" s="1903"/>
      <c r="AT186" s="1888"/>
      <c r="AU186" s="1888"/>
      <c r="AV186" s="1888"/>
      <c r="AW186" s="1890"/>
      <c r="AX186" s="1884"/>
      <c r="BC186" s="1891"/>
    </row>
    <row r="187" spans="1:55" ht="14.1" customHeight="1" x14ac:dyDescent="0.15">
      <c r="B187" s="3172" t="s">
        <v>410</v>
      </c>
      <c r="C187" s="3172"/>
      <c r="D187" s="3172"/>
      <c r="E187" s="3172"/>
      <c r="F187" s="3172"/>
      <c r="G187" s="3172"/>
      <c r="H187" s="3172"/>
      <c r="I187" s="3172"/>
      <c r="J187" s="3172"/>
      <c r="K187" s="3172"/>
      <c r="L187" s="3172"/>
      <c r="M187" s="3172"/>
      <c r="N187" s="3172"/>
      <c r="O187" s="3172"/>
      <c r="P187" s="3172"/>
      <c r="Q187" s="3172"/>
      <c r="R187" s="3172"/>
      <c r="S187" s="3172"/>
      <c r="T187" s="3172"/>
      <c r="U187" s="3172"/>
      <c r="V187" s="3172"/>
      <c r="W187" s="3172"/>
      <c r="X187" s="3172"/>
      <c r="Y187" s="3172"/>
      <c r="Z187" s="3172"/>
      <c r="AA187" s="3172"/>
      <c r="AB187" s="3172"/>
      <c r="AC187" s="3172"/>
      <c r="AD187" s="3172"/>
      <c r="AE187" s="3172"/>
      <c r="AF187" s="3172"/>
      <c r="AG187" s="3172"/>
      <c r="AH187" s="3172"/>
      <c r="AI187" s="3172"/>
      <c r="AJ187" s="3172"/>
      <c r="AK187" s="3172"/>
      <c r="AL187" s="3172"/>
      <c r="AM187" s="3172"/>
      <c r="AN187" s="3172"/>
      <c r="AO187" s="3172"/>
      <c r="AP187" s="3172"/>
      <c r="AQ187" s="3172"/>
      <c r="AR187" s="3172"/>
      <c r="AS187" s="3172"/>
      <c r="AT187" s="3172"/>
      <c r="AU187" s="1882"/>
      <c r="AZ187" s="1877"/>
    </row>
    <row r="188" spans="1:55" ht="14.1" customHeight="1" x14ac:dyDescent="0.15">
      <c r="B188" s="1849" t="s">
        <v>411</v>
      </c>
      <c r="AG188" s="1884"/>
      <c r="AH188" s="1884"/>
    </row>
    <row r="189" spans="1:55" ht="4.5" customHeight="1" x14ac:dyDescent="0.15"/>
    <row r="190" spans="1:55" ht="4.5" customHeight="1" x14ac:dyDescent="0.15"/>
    <row r="191" spans="1:55" ht="14.1" customHeight="1" x14ac:dyDescent="0.15">
      <c r="B191" s="1858" t="s">
        <v>412</v>
      </c>
    </row>
    <row r="192" spans="1:55" ht="12.95" customHeight="1" x14ac:dyDescent="0.15">
      <c r="D192" s="1858" t="s">
        <v>413</v>
      </c>
      <c r="O192" s="1873" t="str">
        <f>'1_入力シート【基本情報】'!DO128</f>
        <v/>
      </c>
      <c r="P192" s="1904" t="s">
        <v>414</v>
      </c>
      <c r="V192" s="1873" t="str">
        <f>'1_入力シート【基本情報】'!DP128</f>
        <v/>
      </c>
      <c r="W192" s="1905" t="s">
        <v>247</v>
      </c>
    </row>
    <row r="193" spans="2:45" ht="12.95" customHeight="1" x14ac:dyDescent="0.15">
      <c r="D193" s="1858"/>
      <c r="O193" s="1873" t="str">
        <f>IF(OR('1_入力シート【基本情報】'!DQ128="レ",'1_入力シート【基本情報】'!DR128="レ"),"レ","")</f>
        <v/>
      </c>
      <c r="P193" s="1904" t="s">
        <v>415</v>
      </c>
      <c r="T193" s="3161" t="str">
        <f>IF('1_入力シート【基本情報】'!DQ128="レ",'1_入力シート【基本情報】'!DQ127,"")&amp;IF(AND('1_入力シート【基本情報】'!DQ128="レ",'1_入力シート【基本情報】'!DR128="レ"),"、","")&amp;IF('1_入力シート【基本情報】'!AB130="","",'1_入力シート【基本情報】'!AB130)</f>
        <v/>
      </c>
      <c r="U193" s="3161"/>
      <c r="V193" s="3161"/>
      <c r="W193" s="3161"/>
      <c r="X193" s="3161"/>
      <c r="Y193" s="3161"/>
      <c r="Z193" s="3161"/>
      <c r="AA193" s="3161"/>
      <c r="AB193" s="3161"/>
      <c r="AC193" s="3161"/>
      <c r="AD193" s="3161"/>
      <c r="AE193" s="3161"/>
      <c r="AF193" s="1849" t="s">
        <v>22</v>
      </c>
      <c r="AI193" s="1873" t="str">
        <f>'1_入力シート【基本情報】'!DS128</f>
        <v/>
      </c>
      <c r="AJ193" s="1905" t="s">
        <v>249</v>
      </c>
    </row>
    <row r="194" spans="2:45" ht="12.95" customHeight="1" x14ac:dyDescent="0.15">
      <c r="D194" s="1858" t="s">
        <v>416</v>
      </c>
      <c r="O194" s="3224" t="str">
        <f>IF('1_入力シート【基本情報】'!AB131="","",SUBSTITUTE(TRIM('1_入力シート【基本情報】'!AB131&amp;"　"&amp;'1_入力シート【基本情報】'!AB132&amp;"　"&amp;'1_入力シート【基本情報】'!AB133),"　","、"))</f>
        <v/>
      </c>
      <c r="P194" s="3224"/>
      <c r="Q194" s="3224"/>
      <c r="R194" s="3224"/>
      <c r="S194" s="3224"/>
      <c r="T194" s="3224"/>
      <c r="U194" s="3224"/>
      <c r="V194" s="3224"/>
      <c r="W194" s="3224"/>
      <c r="X194" s="3224"/>
      <c r="Y194" s="3224"/>
      <c r="Z194" s="3224"/>
      <c r="AA194" s="3224"/>
      <c r="AB194" s="3224"/>
      <c r="AC194" s="3224"/>
      <c r="AD194" s="3224"/>
      <c r="AE194" s="3224"/>
      <c r="AF194" s="3224"/>
      <c r="AG194" s="3224"/>
      <c r="AH194" s="3224"/>
      <c r="AI194" s="3224"/>
      <c r="AJ194" s="3224"/>
      <c r="AK194" s="3224"/>
      <c r="AL194" s="3224"/>
      <c r="AM194" s="3224"/>
      <c r="AN194" s="3224"/>
      <c r="AO194" s="3224"/>
      <c r="AP194" s="3224"/>
      <c r="AQ194" s="3224"/>
      <c r="AR194" s="3224"/>
      <c r="AS194" s="3224"/>
    </row>
    <row r="195" spans="2:45" ht="12" hidden="1" customHeight="1" x14ac:dyDescent="0.15">
      <c r="N195" s="1847"/>
    </row>
    <row r="196" spans="2:45" ht="12" hidden="1" customHeight="1" x14ac:dyDescent="0.15">
      <c r="N196" s="1847"/>
    </row>
    <row r="197" spans="2:45" ht="12" hidden="1" customHeight="1" x14ac:dyDescent="0.15">
      <c r="N197" s="1847"/>
    </row>
    <row r="198" spans="2:45" ht="4.5" customHeight="1" x14ac:dyDescent="0.15"/>
    <row r="199" spans="2:45" ht="4.5" customHeight="1" x14ac:dyDescent="0.15"/>
    <row r="200" spans="2:45" ht="14.1" customHeight="1" x14ac:dyDescent="0.15">
      <c r="B200" s="1858" t="s">
        <v>417</v>
      </c>
    </row>
    <row r="201" spans="2:45" ht="12.95" customHeight="1" x14ac:dyDescent="0.15">
      <c r="D201" s="1858" t="s">
        <v>418</v>
      </c>
      <c r="O201" s="1873" t="str">
        <f>'1_入力シート【基本情報】'!DO140</f>
        <v/>
      </c>
      <c r="P201" s="1906" t="s">
        <v>419</v>
      </c>
      <c r="AA201" s="1873" t="str">
        <f>'1_入力シート【基本情報】'!DP140</f>
        <v/>
      </c>
      <c r="AB201" s="1849" t="s">
        <v>420</v>
      </c>
      <c r="AI201" s="1874"/>
      <c r="AJ201" s="1874"/>
      <c r="AK201" s="1874"/>
      <c r="AL201" s="1874"/>
      <c r="AM201" s="1874"/>
      <c r="AN201" s="1874"/>
    </row>
    <row r="202" spans="2:45" ht="12.95" customHeight="1" x14ac:dyDescent="0.15">
      <c r="D202" s="1858"/>
      <c r="O202" s="1873" t="str">
        <f>'1_入力シート【基本情報】'!DQ140</f>
        <v/>
      </c>
      <c r="P202" s="1906" t="s">
        <v>421</v>
      </c>
      <c r="Q202" s="1905"/>
      <c r="AA202" s="1873" t="str">
        <f>'1_入力シート【基本情報】'!DR140</f>
        <v/>
      </c>
      <c r="AB202" s="1849" t="s">
        <v>415</v>
      </c>
      <c r="AC202" s="1905"/>
      <c r="AD202" s="1905"/>
      <c r="AE202" s="1905"/>
      <c r="AF202" s="3161" t="str">
        <f>IF('1_入力シート【基本情報】'!AB142="","",'1_入力シート【基本情報】'!AB142)</f>
        <v/>
      </c>
      <c r="AG202" s="3161"/>
      <c r="AH202" s="3161"/>
      <c r="AI202" s="3161"/>
      <c r="AJ202" s="3161"/>
      <c r="AK202" s="3161"/>
      <c r="AL202" s="3161"/>
      <c r="AM202" s="3161"/>
      <c r="AN202" s="3161"/>
      <c r="AO202" s="3161"/>
      <c r="AP202" s="3161"/>
      <c r="AQ202" s="3161"/>
      <c r="AR202" s="1905" t="s">
        <v>22</v>
      </c>
    </row>
    <row r="203" spans="2:45" ht="12.95" customHeight="1" x14ac:dyDescent="0.15">
      <c r="D203" s="1858" t="s">
        <v>422</v>
      </c>
      <c r="P203" s="1906" t="s">
        <v>262</v>
      </c>
      <c r="R203" s="3162" t="str">
        <f>IF('1_入力シート【基本情報】'!AB143="","",'1_入力シート【基本情報】'!AB143)</f>
        <v/>
      </c>
      <c r="S203" s="3162"/>
      <c r="T203" s="3162"/>
      <c r="U203" s="1904" t="s">
        <v>17</v>
      </c>
      <c r="X203" s="1904" t="s">
        <v>263</v>
      </c>
      <c r="Z203" s="3162" t="str">
        <f>IF('1_入力シート【基本情報】'!AB144="","",'1_入力シート【基本情報】'!AB144)</f>
        <v/>
      </c>
      <c r="AA203" s="3162"/>
      <c r="AB203" s="3162"/>
      <c r="AC203" s="1906" t="s">
        <v>17</v>
      </c>
    </row>
    <row r="204" spans="2:45" ht="12.95" customHeight="1" x14ac:dyDescent="0.15">
      <c r="D204" s="1858" t="s">
        <v>423</v>
      </c>
      <c r="O204" s="3160" t="str">
        <f>IF('1_入力シート【基本情報】'!AB145="","",'1_入力シート【基本情報】'!AB145)</f>
        <v/>
      </c>
      <c r="P204" s="3160"/>
      <c r="Q204" s="3160"/>
      <c r="R204" s="3160"/>
      <c r="S204" s="3160"/>
      <c r="T204" s="3160"/>
      <c r="U204" s="3160"/>
      <c r="V204" s="3160"/>
      <c r="W204" s="1906" t="s">
        <v>28</v>
      </c>
    </row>
    <row r="205" spans="2:45" ht="12.95" customHeight="1" x14ac:dyDescent="0.15">
      <c r="D205" s="1858" t="s">
        <v>424</v>
      </c>
      <c r="O205" s="3160" t="str">
        <f>IF('1_入力シート【基本情報】'!AB146="","",'1_入力シート【基本情報】'!AB146)</f>
        <v/>
      </c>
      <c r="P205" s="3160"/>
      <c r="Q205" s="3160"/>
      <c r="R205" s="3160"/>
      <c r="S205" s="3160"/>
      <c r="T205" s="3160"/>
      <c r="U205" s="3160"/>
      <c r="V205" s="3160"/>
      <c r="W205" s="1906" t="s">
        <v>28</v>
      </c>
    </row>
    <row r="206" spans="2:45" ht="12.95" customHeight="1" x14ac:dyDescent="0.15">
      <c r="D206" s="1858" t="s">
        <v>425</v>
      </c>
      <c r="O206" s="3160" t="str">
        <f>IF('2_入力シート【用途面積】'!E13=0,"",'2_入力シート【用途面積】'!E13)</f>
        <v/>
      </c>
      <c r="P206" s="3160"/>
      <c r="Q206" s="3160"/>
      <c r="R206" s="3160"/>
      <c r="S206" s="3160"/>
      <c r="T206" s="3160"/>
      <c r="U206" s="3160"/>
      <c r="V206" s="3160"/>
      <c r="W206" s="1906" t="s">
        <v>28</v>
      </c>
    </row>
    <row r="207" spans="2:45" ht="12" hidden="1" customHeight="1" x14ac:dyDescent="0.15">
      <c r="N207" s="1847"/>
    </row>
    <row r="208" spans="2:45" ht="12" hidden="1" customHeight="1" x14ac:dyDescent="0.15">
      <c r="N208" s="1847"/>
    </row>
    <row r="209" spans="2:44" ht="12" hidden="1" customHeight="1" x14ac:dyDescent="0.15">
      <c r="N209" s="1847"/>
    </row>
    <row r="210" spans="2:44" ht="4.5" customHeight="1" x14ac:dyDescent="0.15"/>
    <row r="211" spans="2:44" ht="4.5" customHeight="1" x14ac:dyDescent="0.15"/>
    <row r="212" spans="2:44" ht="14.1" customHeight="1" x14ac:dyDescent="0.15">
      <c r="B212" s="1858" t="s">
        <v>426</v>
      </c>
      <c r="U212" s="1858" t="s">
        <v>25</v>
      </c>
      <c r="W212" s="3172" t="s">
        <v>427</v>
      </c>
      <c r="X212" s="3172"/>
      <c r="Y212" s="3172"/>
      <c r="AA212" s="1849" t="s">
        <v>22</v>
      </c>
      <c r="AC212" s="1858" t="s">
        <v>25</v>
      </c>
      <c r="AE212" s="3172" t="s">
        <v>428</v>
      </c>
      <c r="AF212" s="3172"/>
      <c r="AG212" s="3172"/>
      <c r="AI212" s="1849" t="s">
        <v>22</v>
      </c>
      <c r="AJ212" s="3183" t="s">
        <v>914</v>
      </c>
      <c r="AK212" s="3183"/>
      <c r="AL212" s="3183"/>
      <c r="AM212" s="3183"/>
      <c r="AN212" s="3183"/>
      <c r="AO212" s="3183"/>
      <c r="AP212" s="3183"/>
      <c r="AQ212" s="3183"/>
      <c r="AR212" s="3183"/>
    </row>
    <row r="213" spans="2:44" ht="12.95" customHeight="1" x14ac:dyDescent="0.15">
      <c r="D213" s="1858" t="s">
        <v>429</v>
      </c>
      <c r="N213" s="1858" t="s">
        <v>25</v>
      </c>
      <c r="O213" s="3162"/>
      <c r="P213" s="3162"/>
      <c r="Q213" s="3162"/>
      <c r="R213" s="1849" t="s">
        <v>308</v>
      </c>
      <c r="U213" s="1858" t="s">
        <v>25</v>
      </c>
      <c r="V213" s="3161"/>
      <c r="W213" s="3161"/>
      <c r="X213" s="3161"/>
      <c r="Y213" s="3161"/>
      <c r="Z213" s="3161"/>
      <c r="AA213" s="1849" t="s">
        <v>22</v>
      </c>
      <c r="AC213" s="1858" t="s">
        <v>25</v>
      </c>
      <c r="AD213" s="3160"/>
      <c r="AE213" s="3160"/>
      <c r="AF213" s="3160"/>
      <c r="AG213" s="3160"/>
      <c r="AH213" s="1906" t="s">
        <v>28</v>
      </c>
      <c r="AI213" s="1849" t="s">
        <v>22</v>
      </c>
    </row>
    <row r="214" spans="2:44" ht="12.95" customHeight="1" x14ac:dyDescent="0.15">
      <c r="C214" s="1858"/>
      <c r="U214" s="1858" t="s">
        <v>25</v>
      </c>
      <c r="V214" s="3161"/>
      <c r="W214" s="3161"/>
      <c r="X214" s="3161"/>
      <c r="Y214" s="3161"/>
      <c r="Z214" s="3161"/>
      <c r="AA214" s="1849" t="s">
        <v>22</v>
      </c>
      <c r="AC214" s="1858" t="s">
        <v>25</v>
      </c>
      <c r="AD214" s="3160"/>
      <c r="AE214" s="3160"/>
      <c r="AF214" s="3160"/>
      <c r="AG214" s="3160"/>
      <c r="AH214" s="1906" t="s">
        <v>28</v>
      </c>
      <c r="AI214" s="1849" t="s">
        <v>22</v>
      </c>
    </row>
    <row r="215" spans="2:44" ht="12.95" customHeight="1" x14ac:dyDescent="0.15">
      <c r="C215" s="1858"/>
      <c r="U215" s="1858" t="s">
        <v>25</v>
      </c>
      <c r="V215" s="3161"/>
      <c r="W215" s="3161"/>
      <c r="X215" s="3161"/>
      <c r="Y215" s="3161"/>
      <c r="Z215" s="3161"/>
      <c r="AA215" s="1849" t="s">
        <v>22</v>
      </c>
      <c r="AC215" s="1858" t="s">
        <v>25</v>
      </c>
      <c r="AD215" s="3160"/>
      <c r="AE215" s="3160"/>
      <c r="AF215" s="3160"/>
      <c r="AG215" s="3160"/>
      <c r="AH215" s="1906" t="s">
        <v>28</v>
      </c>
      <c r="AI215" s="1849" t="s">
        <v>22</v>
      </c>
    </row>
    <row r="216" spans="2:44" ht="12.95" customHeight="1" x14ac:dyDescent="0.15">
      <c r="C216" s="1858"/>
      <c r="N216" s="1858" t="s">
        <v>25</v>
      </c>
      <c r="O216" s="3162"/>
      <c r="P216" s="3162"/>
      <c r="Q216" s="3162"/>
      <c r="R216" s="1849" t="s">
        <v>308</v>
      </c>
      <c r="U216" s="1858" t="s">
        <v>25</v>
      </c>
      <c r="V216" s="3161"/>
      <c r="W216" s="3161"/>
      <c r="X216" s="3161"/>
      <c r="Y216" s="3161"/>
      <c r="Z216" s="3161"/>
      <c r="AA216" s="1849" t="s">
        <v>22</v>
      </c>
      <c r="AC216" s="1858" t="s">
        <v>25</v>
      </c>
      <c r="AD216" s="3160"/>
      <c r="AE216" s="3160"/>
      <c r="AF216" s="3160"/>
      <c r="AG216" s="3160"/>
      <c r="AH216" s="1906" t="s">
        <v>28</v>
      </c>
      <c r="AI216" s="1849" t="s">
        <v>22</v>
      </c>
    </row>
    <row r="217" spans="2:44" ht="12.95" customHeight="1" x14ac:dyDescent="0.15">
      <c r="C217" s="1858"/>
      <c r="U217" s="1858" t="s">
        <v>25</v>
      </c>
      <c r="V217" s="3161"/>
      <c r="W217" s="3161"/>
      <c r="X217" s="3161"/>
      <c r="Y217" s="3161"/>
      <c r="Z217" s="3161"/>
      <c r="AA217" s="1849" t="s">
        <v>22</v>
      </c>
      <c r="AC217" s="1858" t="s">
        <v>25</v>
      </c>
      <c r="AD217" s="3160"/>
      <c r="AE217" s="3160"/>
      <c r="AF217" s="3160"/>
      <c r="AG217" s="3160"/>
      <c r="AH217" s="1906" t="s">
        <v>28</v>
      </c>
      <c r="AI217" s="1849" t="s">
        <v>22</v>
      </c>
    </row>
    <row r="218" spans="2:44" ht="12.95" customHeight="1" x14ac:dyDescent="0.15">
      <c r="C218" s="1858"/>
      <c r="U218" s="1858" t="s">
        <v>25</v>
      </c>
      <c r="V218" s="3161"/>
      <c r="W218" s="3161"/>
      <c r="X218" s="3161"/>
      <c r="Y218" s="3161"/>
      <c r="Z218" s="3161"/>
      <c r="AA218" s="1849" t="s">
        <v>22</v>
      </c>
      <c r="AC218" s="1858" t="s">
        <v>25</v>
      </c>
      <c r="AD218" s="3160"/>
      <c r="AE218" s="3160"/>
      <c r="AF218" s="3160"/>
      <c r="AG218" s="3160"/>
      <c r="AH218" s="1906" t="s">
        <v>28</v>
      </c>
      <c r="AI218" s="1849" t="s">
        <v>22</v>
      </c>
    </row>
    <row r="219" spans="2:44" ht="12.95" customHeight="1" x14ac:dyDescent="0.15">
      <c r="C219" s="1858"/>
      <c r="N219" s="1858" t="s">
        <v>25</v>
      </c>
      <c r="O219" s="3162"/>
      <c r="P219" s="3162"/>
      <c r="Q219" s="3162"/>
      <c r="R219" s="1849" t="s">
        <v>308</v>
      </c>
      <c r="U219" s="1858" t="s">
        <v>25</v>
      </c>
      <c r="V219" s="3161"/>
      <c r="W219" s="3161"/>
      <c r="X219" s="3161"/>
      <c r="Y219" s="3161"/>
      <c r="Z219" s="3161"/>
      <c r="AA219" s="1849" t="s">
        <v>22</v>
      </c>
      <c r="AC219" s="1858" t="s">
        <v>25</v>
      </c>
      <c r="AD219" s="3160"/>
      <c r="AE219" s="3160"/>
      <c r="AF219" s="3160"/>
      <c r="AG219" s="3160"/>
      <c r="AH219" s="1906" t="s">
        <v>28</v>
      </c>
      <c r="AI219" s="1849" t="s">
        <v>22</v>
      </c>
    </row>
    <row r="220" spans="2:44" ht="12.95" customHeight="1" x14ac:dyDescent="0.15">
      <c r="C220" s="1858"/>
      <c r="U220" s="1858" t="s">
        <v>25</v>
      </c>
      <c r="V220" s="3161"/>
      <c r="W220" s="3161"/>
      <c r="X220" s="3161"/>
      <c r="Y220" s="3161"/>
      <c r="Z220" s="3161"/>
      <c r="AA220" s="1849" t="s">
        <v>22</v>
      </c>
      <c r="AC220" s="1858" t="s">
        <v>25</v>
      </c>
      <c r="AD220" s="3160"/>
      <c r="AE220" s="3160"/>
      <c r="AF220" s="3160"/>
      <c r="AG220" s="3160"/>
      <c r="AH220" s="1906" t="s">
        <v>28</v>
      </c>
      <c r="AI220" s="1849" t="s">
        <v>22</v>
      </c>
    </row>
    <row r="221" spans="2:44" ht="12.95" customHeight="1" x14ac:dyDescent="0.15">
      <c r="C221" s="1858"/>
      <c r="U221" s="1858" t="s">
        <v>25</v>
      </c>
      <c r="V221" s="3161"/>
      <c r="W221" s="3161"/>
      <c r="X221" s="3161"/>
      <c r="Y221" s="3161"/>
      <c r="Z221" s="3161"/>
      <c r="AA221" s="1849" t="s">
        <v>22</v>
      </c>
      <c r="AC221" s="1858" t="s">
        <v>25</v>
      </c>
      <c r="AD221" s="3160"/>
      <c r="AE221" s="3160"/>
      <c r="AF221" s="3160"/>
      <c r="AG221" s="3160"/>
      <c r="AH221" s="1906" t="s">
        <v>28</v>
      </c>
      <c r="AI221" s="1849" t="s">
        <v>22</v>
      </c>
    </row>
    <row r="222" spans="2:44" ht="12.95" customHeight="1" x14ac:dyDescent="0.15">
      <c r="C222" s="1858"/>
      <c r="N222" s="1858" t="s">
        <v>25</v>
      </c>
      <c r="O222" s="3162"/>
      <c r="P222" s="3162"/>
      <c r="Q222" s="3162"/>
      <c r="R222" s="1849" t="s">
        <v>308</v>
      </c>
      <c r="U222" s="1858" t="s">
        <v>25</v>
      </c>
      <c r="V222" s="3161"/>
      <c r="W222" s="3161"/>
      <c r="X222" s="3161"/>
      <c r="Y222" s="3161"/>
      <c r="Z222" s="3161"/>
      <c r="AA222" s="1849" t="s">
        <v>22</v>
      </c>
      <c r="AC222" s="1858" t="s">
        <v>25</v>
      </c>
      <c r="AD222" s="3160"/>
      <c r="AE222" s="3160"/>
      <c r="AF222" s="3160"/>
      <c r="AG222" s="3160"/>
      <c r="AH222" s="1906" t="s">
        <v>28</v>
      </c>
      <c r="AI222" s="1849" t="s">
        <v>22</v>
      </c>
    </row>
    <row r="223" spans="2:44" ht="12.95" customHeight="1" x14ac:dyDescent="0.15">
      <c r="C223" s="1858"/>
      <c r="U223" s="1858" t="s">
        <v>25</v>
      </c>
      <c r="V223" s="3161"/>
      <c r="W223" s="3161"/>
      <c r="X223" s="3161"/>
      <c r="Y223" s="3161"/>
      <c r="Z223" s="3161"/>
      <c r="AA223" s="1849" t="s">
        <v>22</v>
      </c>
      <c r="AC223" s="1858" t="s">
        <v>25</v>
      </c>
      <c r="AD223" s="3160"/>
      <c r="AE223" s="3160"/>
      <c r="AF223" s="3160"/>
      <c r="AG223" s="3160"/>
      <c r="AH223" s="1906" t="s">
        <v>28</v>
      </c>
      <c r="AI223" s="1849" t="s">
        <v>22</v>
      </c>
    </row>
    <row r="224" spans="2:44" ht="12.95" customHeight="1" x14ac:dyDescent="0.15">
      <c r="C224" s="1858"/>
      <c r="U224" s="1858" t="s">
        <v>25</v>
      </c>
      <c r="V224" s="3161"/>
      <c r="W224" s="3161"/>
      <c r="X224" s="3161"/>
      <c r="Y224" s="3161"/>
      <c r="Z224" s="3161"/>
      <c r="AA224" s="1849" t="s">
        <v>22</v>
      </c>
      <c r="AC224" s="1858" t="s">
        <v>25</v>
      </c>
      <c r="AD224" s="3160"/>
      <c r="AE224" s="3160"/>
      <c r="AF224" s="3160"/>
      <c r="AG224" s="3160"/>
      <c r="AH224" s="1906" t="s">
        <v>28</v>
      </c>
      <c r="AI224" s="1849" t="s">
        <v>22</v>
      </c>
    </row>
    <row r="225" spans="2:46" ht="12.95" customHeight="1" x14ac:dyDescent="0.15">
      <c r="C225" s="1858"/>
      <c r="N225" s="1858" t="s">
        <v>25</v>
      </c>
      <c r="O225" s="3162"/>
      <c r="P225" s="3162"/>
      <c r="Q225" s="3162"/>
      <c r="R225" s="1849" t="s">
        <v>308</v>
      </c>
      <c r="U225" s="1858" t="s">
        <v>25</v>
      </c>
      <c r="V225" s="3161"/>
      <c r="W225" s="3161"/>
      <c r="X225" s="3161"/>
      <c r="Y225" s="3161"/>
      <c r="Z225" s="3161"/>
      <c r="AA225" s="1849" t="s">
        <v>22</v>
      </c>
      <c r="AC225" s="1858" t="s">
        <v>25</v>
      </c>
      <c r="AD225" s="3160"/>
      <c r="AE225" s="3160"/>
      <c r="AF225" s="3160"/>
      <c r="AG225" s="3160"/>
      <c r="AH225" s="1906" t="s">
        <v>28</v>
      </c>
      <c r="AI225" s="1849" t="s">
        <v>22</v>
      </c>
    </row>
    <row r="226" spans="2:46" ht="12.95" customHeight="1" x14ac:dyDescent="0.15">
      <c r="C226" s="1858"/>
      <c r="U226" s="1858" t="s">
        <v>25</v>
      </c>
      <c r="V226" s="3161"/>
      <c r="W226" s="3161"/>
      <c r="X226" s="3161"/>
      <c r="Y226" s="3161"/>
      <c r="Z226" s="3161"/>
      <c r="AA226" s="1849" t="s">
        <v>22</v>
      </c>
      <c r="AC226" s="1858" t="s">
        <v>25</v>
      </c>
      <c r="AD226" s="3160"/>
      <c r="AE226" s="3160"/>
      <c r="AF226" s="3160"/>
      <c r="AG226" s="3160"/>
      <c r="AH226" s="1906" t="s">
        <v>28</v>
      </c>
      <c r="AI226" s="1849" t="s">
        <v>22</v>
      </c>
    </row>
    <row r="227" spans="2:46" ht="12.95" customHeight="1" x14ac:dyDescent="0.15">
      <c r="C227" s="1858"/>
      <c r="U227" s="1858" t="s">
        <v>25</v>
      </c>
      <c r="V227" s="3161"/>
      <c r="W227" s="3161"/>
      <c r="X227" s="3161"/>
      <c r="Y227" s="3161"/>
      <c r="Z227" s="3161"/>
      <c r="AA227" s="1849" t="s">
        <v>22</v>
      </c>
      <c r="AC227" s="1858" t="s">
        <v>25</v>
      </c>
      <c r="AD227" s="3160"/>
      <c r="AE227" s="3160"/>
      <c r="AF227" s="3160"/>
      <c r="AG227" s="3160"/>
      <c r="AH227" s="1906" t="s">
        <v>28</v>
      </c>
      <c r="AI227" s="1849" t="s">
        <v>22</v>
      </c>
    </row>
    <row r="228" spans="2:46" ht="12.95" customHeight="1" x14ac:dyDescent="0.15">
      <c r="D228" s="1858" t="s">
        <v>430</v>
      </c>
      <c r="U228" s="1858" t="s">
        <v>25</v>
      </c>
      <c r="V228" s="3161"/>
      <c r="W228" s="3161"/>
      <c r="X228" s="3161"/>
      <c r="Y228" s="3161"/>
      <c r="Z228" s="3161"/>
      <c r="AA228" s="1849" t="s">
        <v>22</v>
      </c>
      <c r="AC228" s="1858" t="s">
        <v>25</v>
      </c>
      <c r="AD228" s="3160"/>
      <c r="AE228" s="3160"/>
      <c r="AF228" s="3160"/>
      <c r="AG228" s="3160"/>
      <c r="AH228" s="1906" t="s">
        <v>28</v>
      </c>
      <c r="AI228" s="1849" t="s">
        <v>22</v>
      </c>
    </row>
    <row r="229" spans="2:46" ht="12.95" customHeight="1" x14ac:dyDescent="0.15">
      <c r="C229" s="1858"/>
      <c r="U229" s="1858" t="s">
        <v>25</v>
      </c>
      <c r="V229" s="3161"/>
      <c r="W229" s="3161"/>
      <c r="X229" s="3161"/>
      <c r="Y229" s="3161"/>
      <c r="Z229" s="3161"/>
      <c r="AA229" s="1849" t="s">
        <v>22</v>
      </c>
      <c r="AC229" s="1858" t="s">
        <v>25</v>
      </c>
      <c r="AD229" s="3160"/>
      <c r="AE229" s="3160"/>
      <c r="AF229" s="3160"/>
      <c r="AG229" s="3160"/>
      <c r="AH229" s="1906" t="s">
        <v>28</v>
      </c>
      <c r="AI229" s="1849" t="s">
        <v>22</v>
      </c>
    </row>
    <row r="230" spans="2:46" ht="12.95" customHeight="1" x14ac:dyDescent="0.15">
      <c r="C230" s="1858"/>
      <c r="U230" s="1858" t="s">
        <v>25</v>
      </c>
      <c r="V230" s="3161"/>
      <c r="W230" s="3161"/>
      <c r="X230" s="3161"/>
      <c r="Y230" s="3161"/>
      <c r="Z230" s="3161"/>
      <c r="AA230" s="1849" t="s">
        <v>22</v>
      </c>
      <c r="AC230" s="1858" t="s">
        <v>25</v>
      </c>
      <c r="AD230" s="3160"/>
      <c r="AE230" s="3160"/>
      <c r="AF230" s="3160"/>
      <c r="AG230" s="3160"/>
      <c r="AH230" s="1906" t="s">
        <v>28</v>
      </c>
      <c r="AI230" s="1849" t="s">
        <v>22</v>
      </c>
    </row>
    <row r="231" spans="2:46" ht="12.95" hidden="1" customHeight="1" x14ac:dyDescent="0.15">
      <c r="B231" s="1858" t="s">
        <v>431</v>
      </c>
    </row>
    <row r="232" spans="2:46" ht="12.95" hidden="1" customHeight="1" x14ac:dyDescent="0.15">
      <c r="C232" s="1858" t="s">
        <v>390</v>
      </c>
      <c r="J232" s="1874" t="s">
        <v>432</v>
      </c>
      <c r="K232" s="3163"/>
      <c r="L232" s="3163"/>
      <c r="M232" s="1849" t="s">
        <v>433</v>
      </c>
      <c r="V232" s="1874"/>
      <c r="W232" s="1856" t="s">
        <v>25</v>
      </c>
      <c r="X232" s="3163"/>
      <c r="Y232" s="3163"/>
      <c r="Z232" s="3163"/>
      <c r="AA232" s="3163"/>
      <c r="AB232" s="3163"/>
      <c r="AC232" s="3163"/>
      <c r="AG232" s="1874" t="s">
        <v>434</v>
      </c>
      <c r="AH232" s="3244"/>
      <c r="AI232" s="3244"/>
      <c r="AJ232" s="3244"/>
      <c r="AK232" s="3244"/>
      <c r="AL232" s="3244"/>
      <c r="AM232" s="3244"/>
      <c r="AN232" s="3244"/>
      <c r="AO232" s="1849" t="s">
        <v>4</v>
      </c>
    </row>
    <row r="233" spans="2:46" ht="12.95" hidden="1" customHeight="1" x14ac:dyDescent="0.15">
      <c r="C233" s="1858"/>
      <c r="J233" s="1849" t="s">
        <v>435</v>
      </c>
      <c r="AG233" s="1874" t="s">
        <v>3</v>
      </c>
      <c r="AH233" s="3244"/>
      <c r="AI233" s="3244"/>
      <c r="AJ233" s="3244"/>
      <c r="AK233" s="3244"/>
      <c r="AL233" s="3244"/>
      <c r="AM233" s="3244"/>
      <c r="AN233" s="3244"/>
      <c r="AO233" s="1849" t="s">
        <v>4</v>
      </c>
    </row>
    <row r="234" spans="2:46" ht="12" hidden="1" customHeight="1" x14ac:dyDescent="0.15">
      <c r="C234" s="1858"/>
      <c r="J234" s="1849" t="s">
        <v>436</v>
      </c>
      <c r="AG234" s="1874" t="s">
        <v>3</v>
      </c>
      <c r="AH234" s="3244"/>
      <c r="AI234" s="3244"/>
      <c r="AJ234" s="3244"/>
      <c r="AK234" s="3244"/>
      <c r="AL234" s="3244"/>
      <c r="AM234" s="3244"/>
      <c r="AN234" s="3244"/>
      <c r="AO234" s="1849" t="s">
        <v>4</v>
      </c>
    </row>
    <row r="235" spans="2:46" ht="12.95" hidden="1" customHeight="1" x14ac:dyDescent="0.15">
      <c r="C235" s="1858" t="s">
        <v>381</v>
      </c>
      <c r="N235" s="3211"/>
      <c r="O235" s="3211"/>
      <c r="P235" s="3211"/>
      <c r="Q235" s="3211"/>
      <c r="R235" s="3211"/>
      <c r="S235" s="3211"/>
      <c r="T235" s="3211"/>
      <c r="U235" s="3211"/>
      <c r="V235" s="3211"/>
      <c r="W235" s="3211"/>
      <c r="X235" s="3211"/>
      <c r="Y235" s="3211"/>
      <c r="Z235" s="3211"/>
      <c r="AA235" s="3211"/>
      <c r="AB235" s="3211"/>
      <c r="AC235" s="3211"/>
      <c r="AD235" s="3211"/>
      <c r="AE235" s="3211"/>
      <c r="AF235" s="3211"/>
      <c r="AG235" s="3211"/>
      <c r="AH235" s="3211"/>
      <c r="AI235" s="3211"/>
      <c r="AJ235" s="3211"/>
      <c r="AK235" s="3211"/>
      <c r="AL235" s="3211"/>
      <c r="AM235" s="3211"/>
      <c r="AN235" s="3211"/>
      <c r="AO235" s="3211"/>
      <c r="AP235" s="3211"/>
      <c r="AQ235" s="3211"/>
      <c r="AR235" s="3211"/>
      <c r="AS235" s="3211"/>
      <c r="AT235" s="3211"/>
    </row>
    <row r="236" spans="2:46" ht="12.95" hidden="1" customHeight="1" x14ac:dyDescent="0.15">
      <c r="C236" s="1858" t="s">
        <v>437</v>
      </c>
      <c r="N236" s="3245"/>
      <c r="O236" s="3245"/>
      <c r="P236" s="3245"/>
      <c r="Q236" s="3245"/>
      <c r="R236" s="3245"/>
      <c r="S236" s="3245"/>
      <c r="T236" s="3245"/>
      <c r="U236" s="3245"/>
      <c r="V236" s="3245"/>
      <c r="W236" s="3245"/>
      <c r="X236" s="3245"/>
      <c r="Y236" s="3245"/>
      <c r="Z236" s="3245"/>
      <c r="AA236" s="3245"/>
      <c r="AB236" s="3245"/>
      <c r="AC236" s="3245"/>
      <c r="AD236" s="3245"/>
      <c r="AE236" s="3245"/>
      <c r="AF236" s="3245"/>
      <c r="AG236" s="3245"/>
      <c r="AH236" s="3245"/>
      <c r="AI236" s="3245"/>
      <c r="AJ236" s="3245"/>
      <c r="AK236" s="3245"/>
      <c r="AL236" s="3245"/>
      <c r="AM236" s="3245"/>
      <c r="AN236" s="3245"/>
      <c r="AO236" s="3245"/>
      <c r="AP236" s="3245"/>
      <c r="AQ236" s="3245"/>
      <c r="AR236" s="3245"/>
      <c r="AS236" s="3245"/>
      <c r="AT236" s="3245"/>
    </row>
    <row r="237" spans="2:46" ht="12.95" hidden="1" customHeight="1" x14ac:dyDescent="0.15">
      <c r="C237" s="1858" t="s">
        <v>438</v>
      </c>
      <c r="N237" s="3211"/>
      <c r="O237" s="3211"/>
      <c r="P237" s="3211"/>
      <c r="Q237" s="3211"/>
      <c r="R237" s="3211"/>
      <c r="S237" s="3211"/>
      <c r="T237" s="3211"/>
      <c r="U237" s="3211"/>
      <c r="V237" s="3211"/>
      <c r="W237" s="3211"/>
      <c r="X237" s="3211"/>
      <c r="Y237" s="3211"/>
      <c r="Z237" s="3211"/>
      <c r="AA237" s="3211"/>
      <c r="AB237" s="3211"/>
      <c r="AC237" s="3211"/>
      <c r="AD237" s="3211"/>
      <c r="AE237" s="3211"/>
      <c r="AF237" s="3211"/>
      <c r="AG237" s="3211"/>
      <c r="AH237" s="3211"/>
      <c r="AI237" s="3211"/>
      <c r="AJ237" s="3211"/>
      <c r="AK237" s="3211"/>
      <c r="AL237" s="3211"/>
      <c r="AM237" s="3211"/>
      <c r="AN237" s="3211"/>
      <c r="AO237" s="3211"/>
      <c r="AP237" s="3211"/>
      <c r="AQ237" s="3211"/>
      <c r="AR237" s="3211"/>
      <c r="AS237" s="3211"/>
      <c r="AT237" s="3211"/>
    </row>
    <row r="238" spans="2:46" ht="12.95" hidden="1" customHeight="1" x14ac:dyDescent="0.15">
      <c r="C238" s="1858"/>
      <c r="J238" s="1874" t="s">
        <v>432</v>
      </c>
      <c r="K238" s="3163"/>
      <c r="L238" s="3163"/>
      <c r="M238" s="1849" t="s">
        <v>439</v>
      </c>
      <c r="V238" s="1874"/>
      <c r="W238" s="1856" t="s">
        <v>25</v>
      </c>
      <c r="X238" s="3163"/>
      <c r="Y238" s="3163"/>
      <c r="Z238" s="3163"/>
      <c r="AA238" s="3163"/>
      <c r="AG238" s="1874" t="s">
        <v>440</v>
      </c>
      <c r="AH238" s="3244"/>
      <c r="AI238" s="3244"/>
      <c r="AJ238" s="3244"/>
      <c r="AK238" s="3244"/>
      <c r="AL238" s="3244"/>
      <c r="AM238" s="3244"/>
      <c r="AN238" s="3244"/>
      <c r="AO238" s="1849" t="s">
        <v>4</v>
      </c>
    </row>
    <row r="239" spans="2:46" ht="12.95" hidden="1" customHeight="1" x14ac:dyDescent="0.15">
      <c r="C239" s="1858" t="s">
        <v>441</v>
      </c>
      <c r="N239" s="3247"/>
      <c r="O239" s="3247"/>
      <c r="P239" s="3247"/>
      <c r="Q239" s="3247"/>
      <c r="R239" s="3247"/>
      <c r="S239" s="3247"/>
      <c r="T239" s="3247"/>
      <c r="U239" s="3247"/>
      <c r="V239" s="3247"/>
      <c r="W239" s="1864"/>
      <c r="X239" s="1864"/>
      <c r="Y239" s="1864"/>
      <c r="Z239" s="1864"/>
      <c r="AA239" s="1864"/>
      <c r="AB239" s="1864"/>
      <c r="AC239" s="1864"/>
      <c r="AD239" s="1864"/>
      <c r="AE239" s="1864"/>
      <c r="AF239" s="1864"/>
      <c r="AG239" s="1864"/>
      <c r="AH239" s="1864"/>
      <c r="AI239" s="1864"/>
      <c r="AJ239" s="1864"/>
      <c r="AK239" s="1864"/>
      <c r="AL239" s="1864"/>
      <c r="AM239" s="1864"/>
      <c r="AN239" s="1864"/>
      <c r="AO239" s="1864"/>
      <c r="AP239" s="1864"/>
    </row>
    <row r="240" spans="2:46" ht="12.95" hidden="1" customHeight="1" x14ac:dyDescent="0.15">
      <c r="C240" s="1858" t="s">
        <v>442</v>
      </c>
      <c r="N240" s="3211"/>
      <c r="O240" s="3211"/>
      <c r="P240" s="3211"/>
      <c r="Q240" s="3211"/>
      <c r="R240" s="3211"/>
      <c r="S240" s="3211"/>
      <c r="T240" s="3211"/>
      <c r="U240" s="3211"/>
      <c r="V240" s="3211"/>
      <c r="W240" s="3211"/>
      <c r="X240" s="3211"/>
      <c r="Y240" s="3211"/>
      <c r="Z240" s="3211"/>
      <c r="AA240" s="3211"/>
      <c r="AB240" s="3211"/>
      <c r="AC240" s="3211"/>
      <c r="AD240" s="3211"/>
      <c r="AE240" s="3211"/>
      <c r="AF240" s="3211"/>
      <c r="AG240" s="3211"/>
      <c r="AH240" s="3211"/>
      <c r="AI240" s="3211"/>
      <c r="AJ240" s="3211"/>
      <c r="AK240" s="3211"/>
      <c r="AL240" s="3211"/>
      <c r="AM240" s="3211"/>
      <c r="AN240" s="3211"/>
      <c r="AO240" s="3211"/>
      <c r="AP240" s="3211"/>
      <c r="AQ240" s="3211"/>
      <c r="AR240" s="3211"/>
      <c r="AS240" s="3211"/>
      <c r="AT240" s="3211"/>
    </row>
    <row r="241" spans="2:45" ht="12.95" hidden="1" customHeight="1" x14ac:dyDescent="0.15">
      <c r="C241" s="1858" t="s">
        <v>388</v>
      </c>
      <c r="N241" s="3245"/>
      <c r="O241" s="3245"/>
      <c r="P241" s="3245"/>
      <c r="Q241" s="3245"/>
      <c r="R241" s="3245"/>
      <c r="S241" s="3245"/>
      <c r="T241" s="3245"/>
      <c r="U241" s="3245"/>
      <c r="V241" s="3245"/>
      <c r="W241" s="3245"/>
      <c r="X241" s="3245"/>
      <c r="Y241" s="3245"/>
      <c r="Z241" s="3245"/>
      <c r="AA241" s="3245"/>
      <c r="AB241" s="3245"/>
      <c r="AC241" s="3245"/>
      <c r="AD241" s="3245"/>
      <c r="AE241" s="1907"/>
      <c r="AF241" s="1907"/>
      <c r="AG241" s="1907"/>
      <c r="AH241" s="1907"/>
      <c r="AI241" s="1907"/>
      <c r="AJ241" s="1907"/>
      <c r="AK241" s="1907"/>
      <c r="AL241" s="1907"/>
      <c r="AM241" s="1907"/>
      <c r="AN241" s="1907"/>
      <c r="AO241" s="1907"/>
      <c r="AP241" s="1907"/>
    </row>
    <row r="242" spans="2:45" ht="4.5" customHeight="1" x14ac:dyDescent="0.15"/>
    <row r="243" spans="2:45" ht="4.5" customHeight="1" x14ac:dyDescent="0.15"/>
    <row r="244" spans="2:45" ht="12" hidden="1" customHeight="1" x14ac:dyDescent="0.15"/>
    <row r="245" spans="2:45" ht="12" hidden="1" customHeight="1" x14ac:dyDescent="0.15"/>
    <row r="246" spans="2:45" ht="12" hidden="1" customHeight="1" x14ac:dyDescent="0.15"/>
    <row r="247" spans="2:45" ht="14.1" customHeight="1" x14ac:dyDescent="0.15">
      <c r="B247" s="1858" t="s">
        <v>443</v>
      </c>
      <c r="O247" s="1873" t="str">
        <f>'1_入力シート【基本情報】'!DO153</f>
        <v/>
      </c>
      <c r="P247" s="1849" t="s">
        <v>264</v>
      </c>
      <c r="V247" s="1875"/>
      <c r="AF247" s="1873" t="str">
        <f>'1_入力シート【基本情報】'!DP153</f>
        <v/>
      </c>
      <c r="AG247" s="1849" t="s">
        <v>444</v>
      </c>
    </row>
    <row r="248" spans="2:45" ht="12.95" customHeight="1" x14ac:dyDescent="0.15">
      <c r="O248" s="1873" t="str">
        <f>'1_入力シート【基本情報】'!DQ153</f>
        <v/>
      </c>
      <c r="P248" s="1849" t="s">
        <v>445</v>
      </c>
      <c r="Z248" s="3244" t="str">
        <f>IF('1_入力シート【基本情報】'!AF154="","",'1_入力シート【基本情報】'!AF154)</f>
        <v/>
      </c>
      <c r="AA248" s="3244"/>
      <c r="AB248" s="3244"/>
      <c r="AC248" s="1905" t="s">
        <v>308</v>
      </c>
      <c r="AF248" s="1873" t="str">
        <f>'1_入力シート【基本情報】'!DR153</f>
        <v/>
      </c>
      <c r="AG248" s="1849" t="s">
        <v>446</v>
      </c>
      <c r="AP248" s="3244" t="str">
        <f>IF('1_入力シート【基本情報】'!AF155="","",'1_入力シート【基本情報】'!AF155)</f>
        <v/>
      </c>
      <c r="AQ248" s="3244"/>
      <c r="AR248" s="3244"/>
      <c r="AS248" s="1905" t="s">
        <v>308</v>
      </c>
    </row>
    <row r="249" spans="2:45" ht="12.95" customHeight="1" x14ac:dyDescent="0.15">
      <c r="C249" s="1858"/>
      <c r="O249" s="1873" t="str">
        <f>'1_入力シート【基本情報】'!DS153</f>
        <v/>
      </c>
      <c r="P249" s="1849" t="s">
        <v>447</v>
      </c>
      <c r="S249" s="1875"/>
      <c r="T249" s="1875"/>
      <c r="U249" s="1875"/>
      <c r="V249" s="1875"/>
      <c r="W249" s="1875"/>
      <c r="X249" s="1875"/>
      <c r="Y249" s="1875"/>
      <c r="Z249" s="1875"/>
      <c r="AA249" s="1875"/>
      <c r="AB249" s="1875"/>
    </row>
    <row r="250" spans="2:45" ht="12.95" customHeight="1" x14ac:dyDescent="0.15">
      <c r="C250" s="1858"/>
      <c r="O250" s="1873" t="str">
        <f>'1_入力シート【基本情報】'!DT153</f>
        <v/>
      </c>
      <c r="P250" s="1849" t="s">
        <v>415</v>
      </c>
      <c r="S250" s="1875"/>
      <c r="T250" s="3217" t="str">
        <f>IF('1_入力シート【基本情報】'!AF157="","",'1_入力シート【基本情報】'!AF157)</f>
        <v/>
      </c>
      <c r="U250" s="3217"/>
      <c r="V250" s="3217"/>
      <c r="W250" s="3217"/>
      <c r="X250" s="3217"/>
      <c r="Y250" s="3217"/>
      <c r="Z250" s="3217"/>
      <c r="AA250" s="3217"/>
      <c r="AB250" s="3217"/>
      <c r="AC250" s="3217"/>
      <c r="AD250" s="3217"/>
      <c r="AE250" s="3217"/>
      <c r="AF250" s="3217"/>
      <c r="AG250" s="3217"/>
      <c r="AH250" s="3217"/>
      <c r="AI250" s="3217"/>
      <c r="AJ250" s="3217"/>
      <c r="AK250" s="3217"/>
      <c r="AL250" s="3217"/>
      <c r="AM250" s="3217"/>
      <c r="AN250" s="3217"/>
      <c r="AO250" s="3217"/>
      <c r="AP250" s="1905" t="s">
        <v>22</v>
      </c>
    </row>
    <row r="251" spans="2:45" ht="12" hidden="1" customHeight="1" x14ac:dyDescent="0.15"/>
    <row r="252" spans="2:45" ht="12" hidden="1" customHeight="1" x14ac:dyDescent="0.15"/>
    <row r="253" spans="2:45" ht="4.5" customHeight="1" x14ac:dyDescent="0.15"/>
    <row r="254" spans="2:45" ht="4.5" customHeight="1" x14ac:dyDescent="0.15"/>
    <row r="255" spans="2:45" ht="14.1" customHeight="1" x14ac:dyDescent="0.15">
      <c r="B255" s="1858" t="s">
        <v>448</v>
      </c>
    </row>
    <row r="256" spans="2:45" ht="12.95" customHeight="1" x14ac:dyDescent="0.15">
      <c r="K256" s="3184" t="str">
        <f>IF('1_入力シート【基本情報】'!AB163="","",'1_入力シート【基本情報】'!AB163)</f>
        <v/>
      </c>
      <c r="L256" s="3184"/>
      <c r="M256" s="3209" t="str">
        <f>IF('1_入力シート【基本情報】'!AE163="","",'1_入力シート【基本情報】'!AE163)</f>
        <v/>
      </c>
      <c r="N256" s="3209"/>
      <c r="O256" s="1857" t="s">
        <v>12</v>
      </c>
      <c r="P256" s="3246" t="str">
        <f>IF('1_入力シート【基本情報】'!AJ163="","",'1_入力シート【基本情報】'!AJ163)</f>
        <v/>
      </c>
      <c r="Q256" s="3246"/>
      <c r="R256" s="1857" t="s">
        <v>348</v>
      </c>
      <c r="S256" s="3184" t="str">
        <f>IF('1_入力シート【基本情報】'!AO163="","",'1_入力シート【基本情報】'!AO163)</f>
        <v/>
      </c>
      <c r="T256" s="3184"/>
      <c r="U256" s="1857" t="s">
        <v>364</v>
      </c>
      <c r="X256" s="1849" t="s">
        <v>349</v>
      </c>
      <c r="AA256" s="3223">
        <f>IF('1_入力シート【基本情報】'!AB165="",'1_入力シート【基本情報】'!AB164,CONCATENATE('1_入力シート【基本情報】'!AB164,"．",'1_入力シート【基本情報】'!AB165))</f>
        <v>0</v>
      </c>
      <c r="AB256" s="3223"/>
      <c r="AC256" s="3223"/>
      <c r="AD256" s="3223"/>
      <c r="AE256" s="3223"/>
      <c r="AF256" s="3223"/>
      <c r="AG256" s="3223"/>
      <c r="AH256" s="3223"/>
      <c r="AI256" s="3223"/>
      <c r="AJ256" s="3223"/>
      <c r="AK256" s="3223"/>
      <c r="AL256" s="3223"/>
      <c r="AM256" s="3223"/>
      <c r="AN256" s="3223"/>
      <c r="AO256" s="3223"/>
      <c r="AP256" s="3223"/>
      <c r="AQ256" s="3223"/>
      <c r="AR256" s="3223"/>
      <c r="AS256" s="1849" t="s">
        <v>22</v>
      </c>
    </row>
    <row r="257" spans="2:45" ht="12.95" customHeight="1" x14ac:dyDescent="0.15">
      <c r="K257" s="3184" t="str">
        <f>IF('1_入力シート【基本情報】'!AB166="","",'1_入力シート【基本情報】'!AB166)</f>
        <v/>
      </c>
      <c r="L257" s="3184"/>
      <c r="M257" s="3209" t="str">
        <f>IF('1_入力シート【基本情報】'!AE166="","",'1_入力シート【基本情報】'!AE166)</f>
        <v/>
      </c>
      <c r="N257" s="3209"/>
      <c r="O257" s="1857" t="s">
        <v>12</v>
      </c>
      <c r="P257" s="3246" t="str">
        <f>IF('1_入力シート【基本情報】'!AJ166="","",'1_入力シート【基本情報】'!AJ166)</f>
        <v/>
      </c>
      <c r="Q257" s="3246"/>
      <c r="R257" s="1857" t="s">
        <v>348</v>
      </c>
      <c r="S257" s="3184" t="str">
        <f>IF('1_入力シート【基本情報】'!AO166="","",'1_入力シート【基本情報】'!AO166)</f>
        <v/>
      </c>
      <c r="T257" s="3184"/>
      <c r="U257" s="1857" t="s">
        <v>364</v>
      </c>
      <c r="X257" s="1849" t="s">
        <v>349</v>
      </c>
      <c r="AA257" s="3223">
        <f>IF('1_入力シート【基本情報】'!AB168="",'1_入力シート【基本情報】'!AB167,CONCATENATE('1_入力シート【基本情報】'!AB167,"．",'1_入力シート【基本情報】'!AB168))</f>
        <v>0</v>
      </c>
      <c r="AB257" s="3223"/>
      <c r="AC257" s="3223"/>
      <c r="AD257" s="3223"/>
      <c r="AE257" s="3223"/>
      <c r="AF257" s="3223"/>
      <c r="AG257" s="3223"/>
      <c r="AH257" s="3223"/>
      <c r="AI257" s="3223"/>
      <c r="AJ257" s="3223"/>
      <c r="AK257" s="3223"/>
      <c r="AL257" s="3223"/>
      <c r="AM257" s="3223"/>
      <c r="AN257" s="3223"/>
      <c r="AO257" s="3223"/>
      <c r="AP257" s="3223"/>
      <c r="AQ257" s="3223"/>
      <c r="AR257" s="3223"/>
      <c r="AS257" s="1849" t="s">
        <v>22</v>
      </c>
    </row>
    <row r="258" spans="2:45" ht="12.95" customHeight="1" x14ac:dyDescent="0.15">
      <c r="K258" s="3184" t="str">
        <f>IF('1_入力シート【基本情報】'!AB169="","",'1_入力シート【基本情報】'!AB169)</f>
        <v/>
      </c>
      <c r="L258" s="3184"/>
      <c r="M258" s="3209" t="str">
        <f>IF('1_入力シート【基本情報】'!AE169="","",'1_入力シート【基本情報】'!AE169)</f>
        <v/>
      </c>
      <c r="N258" s="3209"/>
      <c r="O258" s="1857" t="s">
        <v>12</v>
      </c>
      <c r="P258" s="3246" t="str">
        <f>IF('1_入力シート【基本情報】'!AJ169="","",'1_入力シート【基本情報】'!AJ169)</f>
        <v/>
      </c>
      <c r="Q258" s="3246"/>
      <c r="R258" s="1857" t="s">
        <v>348</v>
      </c>
      <c r="S258" s="3184" t="str">
        <f>IF('1_入力シート【基本情報】'!AO169="","",'1_入力シート【基本情報】'!AO169)</f>
        <v/>
      </c>
      <c r="T258" s="3184"/>
      <c r="U258" s="1857" t="s">
        <v>364</v>
      </c>
      <c r="X258" s="1849" t="s">
        <v>349</v>
      </c>
      <c r="AA258" s="3223">
        <f>IF('1_入力シート【基本情報】'!AB171="",'1_入力シート【基本情報】'!AB170,CONCATENATE('1_入力シート【基本情報】'!AB170,"．",'1_入力シート【基本情報】'!AB171))</f>
        <v>0</v>
      </c>
      <c r="AB258" s="3223"/>
      <c r="AC258" s="3223"/>
      <c r="AD258" s="3223"/>
      <c r="AE258" s="3223"/>
      <c r="AF258" s="3223"/>
      <c r="AG258" s="3223"/>
      <c r="AH258" s="3223"/>
      <c r="AI258" s="3223"/>
      <c r="AJ258" s="3223"/>
      <c r="AK258" s="3223"/>
      <c r="AL258" s="3223"/>
      <c r="AM258" s="3223"/>
      <c r="AN258" s="3223"/>
      <c r="AO258" s="3223"/>
      <c r="AP258" s="3223"/>
      <c r="AQ258" s="3223"/>
      <c r="AR258" s="3223"/>
      <c r="AS258" s="1849" t="s">
        <v>22</v>
      </c>
    </row>
    <row r="259" spans="2:45" ht="12.95" customHeight="1" x14ac:dyDescent="0.15">
      <c r="J259" s="1908"/>
      <c r="K259" s="3184" t="str">
        <f>IF('1_入力シート【基本情報】'!AB172="","",'1_入力シート【基本情報】'!AB172)</f>
        <v/>
      </c>
      <c r="L259" s="3184"/>
      <c r="M259" s="3209" t="str">
        <f>IF('1_入力シート【基本情報】'!AE172="","",'1_入力シート【基本情報】'!AE172)</f>
        <v/>
      </c>
      <c r="N259" s="3209"/>
      <c r="O259" s="1857" t="s">
        <v>12</v>
      </c>
      <c r="P259" s="3246" t="str">
        <f>IF('1_入力シート【基本情報】'!AJ172="","",'1_入力シート【基本情報】'!AJ172)</f>
        <v/>
      </c>
      <c r="Q259" s="3246"/>
      <c r="R259" s="1857" t="s">
        <v>348</v>
      </c>
      <c r="S259" s="3184" t="str">
        <f>IF('1_入力シート【基本情報】'!AO172="","",'1_入力シート【基本情報】'!AO172)</f>
        <v/>
      </c>
      <c r="T259" s="3184"/>
      <c r="U259" s="1857" t="s">
        <v>364</v>
      </c>
      <c r="X259" s="1849" t="s">
        <v>349</v>
      </c>
      <c r="AA259" s="3223">
        <f>IF('1_入力シート【基本情報】'!AB174="",'1_入力シート【基本情報】'!AB173,CONCATENATE('1_入力シート【基本情報】'!AB173,"．",'1_入力シート【基本情報】'!AB174))</f>
        <v>0</v>
      </c>
      <c r="AB259" s="3223"/>
      <c r="AC259" s="3223"/>
      <c r="AD259" s="3223"/>
      <c r="AE259" s="3223"/>
      <c r="AF259" s="3223"/>
      <c r="AG259" s="3223"/>
      <c r="AH259" s="3223"/>
      <c r="AI259" s="3223"/>
      <c r="AJ259" s="3223"/>
      <c r="AK259" s="3223"/>
      <c r="AL259" s="3223"/>
      <c r="AM259" s="3223"/>
      <c r="AN259" s="3223"/>
      <c r="AO259" s="3223"/>
      <c r="AP259" s="3223"/>
      <c r="AQ259" s="3223"/>
      <c r="AR259" s="3223"/>
      <c r="AS259" s="1849" t="s">
        <v>22</v>
      </c>
    </row>
    <row r="260" spans="2:45" ht="12" hidden="1" customHeight="1" x14ac:dyDescent="0.15">
      <c r="C260" s="1858"/>
    </row>
    <row r="261" spans="2:45" ht="12" hidden="1" customHeight="1" x14ac:dyDescent="0.15">
      <c r="C261" s="1858"/>
    </row>
    <row r="262" spans="2:45" ht="12" hidden="1" customHeight="1" x14ac:dyDescent="0.15">
      <c r="C262" s="1858"/>
    </row>
    <row r="263" spans="2:45" ht="4.5" customHeight="1" x14ac:dyDescent="0.15"/>
    <row r="264" spans="2:45" ht="4.5" customHeight="1" x14ac:dyDescent="0.15"/>
    <row r="265" spans="2:45" ht="12" hidden="1" customHeight="1" x14ac:dyDescent="0.15"/>
    <row r="266" spans="2:45" ht="12" hidden="1" customHeight="1" x14ac:dyDescent="0.15">
      <c r="B266" s="1858"/>
    </row>
    <row r="267" spans="2:45" ht="12" hidden="1" customHeight="1" x14ac:dyDescent="0.15">
      <c r="B267" s="1858"/>
    </row>
    <row r="268" spans="2:45" ht="12" hidden="1" customHeight="1" x14ac:dyDescent="0.15">
      <c r="B268" s="1858"/>
    </row>
    <row r="269" spans="2:45" ht="12" hidden="1" customHeight="1" x14ac:dyDescent="0.15">
      <c r="B269" s="1858"/>
    </row>
    <row r="270" spans="2:45" ht="14.1" customHeight="1" x14ac:dyDescent="0.15">
      <c r="B270" s="1858" t="s">
        <v>449</v>
      </c>
    </row>
    <row r="271" spans="2:45" ht="12.95" customHeight="1" x14ac:dyDescent="0.15">
      <c r="D271" s="1858" t="s">
        <v>450</v>
      </c>
      <c r="P271" s="1873" t="str">
        <f>IF(OR('1_入力シート【基本情報】'!DO181="レ",'1_入力シート【基本情報】'!DP181="レ"),"レ","")</f>
        <v/>
      </c>
      <c r="Q271" s="1849" t="s">
        <v>451</v>
      </c>
      <c r="R271" s="1875"/>
      <c r="S271" s="1873" t="str">
        <f>IF('1_入力シート【基本情報】'!DP181="レ","レ","")</f>
        <v/>
      </c>
      <c r="T271" s="1849" t="s">
        <v>452</v>
      </c>
      <c r="AB271" s="1873" t="str">
        <f>IF('1_入力シート【基本情報】'!DQ181="レ","レ","")</f>
        <v/>
      </c>
      <c r="AC271" s="1849" t="s">
        <v>211</v>
      </c>
    </row>
    <row r="272" spans="2:45" ht="12.95" customHeight="1" x14ac:dyDescent="0.15">
      <c r="D272" s="1858" t="s">
        <v>453</v>
      </c>
      <c r="P272" s="1873" t="str">
        <f>IF('1_入力シート【基本情報】'!DO183="レ","レ","")</f>
        <v/>
      </c>
      <c r="Q272" s="1849" t="s">
        <v>454</v>
      </c>
      <c r="S272" s="1873" t="str">
        <f>IF('1_入力シート【基本情報】'!DP183="レ","レ","")</f>
        <v/>
      </c>
      <c r="T272" s="1849" t="s">
        <v>211</v>
      </c>
    </row>
    <row r="273" spans="2:46" ht="12" customHeight="1" x14ac:dyDescent="0.15">
      <c r="D273" s="1858"/>
      <c r="P273" s="1849" t="s">
        <v>229</v>
      </c>
      <c r="U273" s="3184" t="str">
        <f>IF('1_入力シート【基本情報】'!AB184="","",'1_入力シート【基本情報】'!AB184)</f>
        <v/>
      </c>
      <c r="V273" s="3184"/>
      <c r="W273" s="3209" t="str">
        <f>IF('1_入力シート【基本情報】'!AE184="","",'1_入力シート【基本情報】'!AE184)</f>
        <v/>
      </c>
      <c r="X273" s="3209"/>
      <c r="Y273" s="1849" t="s">
        <v>12</v>
      </c>
      <c r="Z273" s="3184" t="str">
        <f>IF('1_入力シート【基本情報】'!AJ184="","",'1_入力シート【基本情報】'!AJ184)</f>
        <v/>
      </c>
      <c r="AA273" s="3184"/>
      <c r="AB273" s="1849" t="s">
        <v>348</v>
      </c>
      <c r="AC273" s="3184" t="str">
        <f>IF('1_入力シート【基本情報】'!AO184="","",'1_入力シート【基本情報】'!AO184)</f>
        <v/>
      </c>
      <c r="AD273" s="3184"/>
      <c r="AE273" s="1849" t="s">
        <v>364</v>
      </c>
      <c r="AG273" s="1849" t="s">
        <v>3</v>
      </c>
      <c r="AH273" s="3161" t="str">
        <f>IF('1_入力シート【基本情報】'!AB185="","",'1_入力シート【基本情報】'!AB185)</f>
        <v/>
      </c>
      <c r="AI273" s="3161"/>
      <c r="AJ273" s="3161"/>
      <c r="AK273" s="3161"/>
      <c r="AL273" s="3161"/>
      <c r="AM273" s="3161"/>
      <c r="AN273" s="3161"/>
      <c r="AO273" s="3161"/>
      <c r="AP273" s="3161"/>
      <c r="AQ273" s="3161"/>
      <c r="AR273" s="3161"/>
      <c r="AS273" s="1909" t="s">
        <v>380</v>
      </c>
    </row>
    <row r="274" spans="2:46" ht="12.95" customHeight="1" x14ac:dyDescent="0.15">
      <c r="D274" s="1858"/>
      <c r="P274" s="1849" t="s">
        <v>455</v>
      </c>
      <c r="U274" s="1873" t="str">
        <f>IF('1_入力シート【基本情報】'!DO187="レ","レ","")</f>
        <v/>
      </c>
      <c r="V274" s="1849" t="s">
        <v>3001</v>
      </c>
      <c r="AA274" s="1873" t="str">
        <f>IF('1_入力シート【基本情報】'!DP187="レ","レ","")</f>
        <v/>
      </c>
      <c r="AB274" s="1849" t="s">
        <v>456</v>
      </c>
      <c r="AK274" s="3173" t="str">
        <f>IF('1_入力シート【基本情報】'!AB187="","",'1_入力シート【基本情報】'!AB187)</f>
        <v/>
      </c>
      <c r="AL274" s="3173"/>
      <c r="AM274" s="3173"/>
      <c r="AN274" s="3173"/>
      <c r="AO274" s="3173"/>
      <c r="AP274" s="3173"/>
      <c r="AQ274" s="3173"/>
      <c r="AR274" s="3173"/>
      <c r="AS274" s="1857" t="s">
        <v>22</v>
      </c>
    </row>
    <row r="275" spans="2:46" ht="12.95" customHeight="1" x14ac:dyDescent="0.15">
      <c r="D275" s="1858" t="s">
        <v>457</v>
      </c>
      <c r="R275" s="1873" t="str">
        <f>IF('1_入力シート【基本情報】'!DO189="レ","レ","")</f>
        <v/>
      </c>
      <c r="S275" s="1849" t="s">
        <v>454</v>
      </c>
      <c r="U275" s="1873" t="str">
        <f>IF('1_入力シート【基本情報】'!DP189="レ","レ","")</f>
        <v/>
      </c>
      <c r="V275" s="1849" t="s">
        <v>211</v>
      </c>
    </row>
    <row r="276" spans="2:46" ht="12.95" customHeight="1" x14ac:dyDescent="0.15">
      <c r="D276" s="1858" t="s">
        <v>458</v>
      </c>
      <c r="P276" s="1873" t="str">
        <f>IF('1_入力シート【基本情報】'!DR189="レ","レ","")</f>
        <v/>
      </c>
      <c r="Q276" s="1849" t="s">
        <v>454</v>
      </c>
      <c r="S276" s="1873" t="str">
        <f>IF('1_入力シート【基本情報】'!DS189="レ","レ","")</f>
        <v/>
      </c>
      <c r="T276" s="1849" t="s">
        <v>211</v>
      </c>
    </row>
    <row r="277" spans="2:46" ht="12.95" customHeight="1" x14ac:dyDescent="0.15">
      <c r="D277" s="1858"/>
      <c r="P277" s="1849" t="s">
        <v>229</v>
      </c>
      <c r="U277" s="3184" t="str">
        <f>IF('1_入力シート【基本情報】'!AB190="","",'1_入力シート【基本情報】'!AB190)</f>
        <v/>
      </c>
      <c r="V277" s="3184"/>
      <c r="W277" s="3184" t="str">
        <f>IF('1_入力シート【基本情報】'!AE190="","",'1_入力シート【基本情報】'!AE190)</f>
        <v/>
      </c>
      <c r="X277" s="3184"/>
      <c r="Y277" s="1849" t="s">
        <v>12</v>
      </c>
      <c r="Z277" s="3184" t="str">
        <f>IF('1_入力シート【基本情報】'!AJ190="","",'1_入力シート【基本情報】'!AJ190)</f>
        <v/>
      </c>
      <c r="AA277" s="3184"/>
      <c r="AB277" s="1849" t="s">
        <v>348</v>
      </c>
      <c r="AC277" s="3184" t="str">
        <f>IF('1_入力シート【基本情報】'!AO190="","",'1_入力シート【基本情報】'!AO190)</f>
        <v/>
      </c>
      <c r="AD277" s="3184"/>
      <c r="AE277" s="1849" t="s">
        <v>364</v>
      </c>
      <c r="AG277" s="1849" t="s">
        <v>3</v>
      </c>
      <c r="AH277" s="3161" t="str">
        <f>IF('1_入力シート【基本情報】'!AB191="","",'1_入力シート【基本情報】'!AB191)</f>
        <v/>
      </c>
      <c r="AI277" s="3161"/>
      <c r="AJ277" s="3161"/>
      <c r="AK277" s="3161"/>
      <c r="AL277" s="3161"/>
      <c r="AM277" s="3161"/>
      <c r="AN277" s="3161"/>
      <c r="AO277" s="3161"/>
      <c r="AP277" s="3161"/>
      <c r="AQ277" s="3161"/>
      <c r="AR277" s="3161"/>
      <c r="AS277" s="1909" t="s">
        <v>380</v>
      </c>
    </row>
    <row r="278" spans="2:46" ht="12.95" customHeight="1" x14ac:dyDescent="0.15">
      <c r="D278" s="1858"/>
      <c r="P278" s="1849" t="s">
        <v>459</v>
      </c>
      <c r="U278" s="1873" t="str">
        <f>IF('1_入力シート【基本情報】'!DO193="レ","レ","")</f>
        <v/>
      </c>
      <c r="V278" s="1849" t="s">
        <v>3001</v>
      </c>
      <c r="AA278" s="1873" t="str">
        <f>IF('1_入力シート【基本情報】'!DP193="レ","レ","")</f>
        <v/>
      </c>
      <c r="AB278" s="1849" t="s">
        <v>456</v>
      </c>
      <c r="AK278" s="3173" t="str">
        <f>IF('1_入力シート【基本情報】'!AB193="","",'1_入力シート【基本情報】'!AB193)</f>
        <v/>
      </c>
      <c r="AL278" s="3173"/>
      <c r="AM278" s="3173"/>
      <c r="AN278" s="3173"/>
      <c r="AO278" s="3173"/>
      <c r="AP278" s="3173"/>
      <c r="AQ278" s="3173"/>
      <c r="AR278" s="3173"/>
      <c r="AS278" s="1857" t="s">
        <v>22</v>
      </c>
    </row>
    <row r="279" spans="2:46" ht="12.95" customHeight="1" x14ac:dyDescent="0.15">
      <c r="D279" s="1858" t="s">
        <v>460</v>
      </c>
      <c r="V279" s="1873" t="str">
        <f>IF('1_入力シート【基本情報】'!DO209="レ","レ","")</f>
        <v/>
      </c>
      <c r="W279" s="1849" t="s">
        <v>454</v>
      </c>
      <c r="Y279" s="1873" t="str">
        <f>IF('1_入力シート【基本情報】'!DP209="レ","レ","")</f>
        <v/>
      </c>
      <c r="Z279" s="1849" t="s">
        <v>211</v>
      </c>
    </row>
    <row r="280" spans="2:46" ht="12.95" customHeight="1" x14ac:dyDescent="0.15">
      <c r="D280" s="1858" t="s">
        <v>461</v>
      </c>
      <c r="V280" s="1873" t="str">
        <f>IF('1_入力シート【基本情報】'!DR209="レ","レ","")</f>
        <v/>
      </c>
      <c r="W280" s="1849" t="s">
        <v>454</v>
      </c>
      <c r="Y280" s="1873" t="str">
        <f>IF('1_入力シート【基本情報】'!DS209="レ","レ","")</f>
        <v/>
      </c>
      <c r="Z280" s="1849" t="s">
        <v>211</v>
      </c>
      <c r="AB280" s="1873" t="str">
        <f>IF('1_入力シート【基本情報】'!DT209="レ","レ","")</f>
        <v/>
      </c>
      <c r="AC280" s="1849" t="s">
        <v>271</v>
      </c>
    </row>
    <row r="281" spans="2:46" ht="12.95" hidden="1" customHeight="1" x14ac:dyDescent="0.15">
      <c r="B281" s="1858" t="s">
        <v>431</v>
      </c>
    </row>
    <row r="282" spans="2:46" ht="12.95" hidden="1" customHeight="1" x14ac:dyDescent="0.15">
      <c r="C282" s="1858" t="s">
        <v>390</v>
      </c>
      <c r="J282" s="1874" t="s">
        <v>432</v>
      </c>
      <c r="K282" s="3163"/>
      <c r="L282" s="3163"/>
      <c r="M282" s="1849" t="s">
        <v>433</v>
      </c>
      <c r="V282" s="1874"/>
      <c r="W282" s="1856" t="s">
        <v>25</v>
      </c>
      <c r="X282" s="3163"/>
      <c r="Y282" s="3163"/>
      <c r="Z282" s="3163"/>
      <c r="AA282" s="3163"/>
      <c r="AB282" s="3163"/>
      <c r="AC282" s="3163"/>
      <c r="AG282" s="1874" t="s">
        <v>434</v>
      </c>
      <c r="AH282" s="3244"/>
      <c r="AI282" s="3244"/>
      <c r="AJ282" s="3244"/>
      <c r="AK282" s="3244"/>
      <c r="AL282" s="3244"/>
      <c r="AM282" s="3244"/>
      <c r="AN282" s="3244"/>
      <c r="AO282" s="1849" t="s">
        <v>4</v>
      </c>
    </row>
    <row r="283" spans="2:46" ht="12.95" hidden="1" customHeight="1" x14ac:dyDescent="0.15">
      <c r="C283" s="1858"/>
      <c r="J283" s="1849" t="s">
        <v>462</v>
      </c>
      <c r="AG283" s="1874" t="s">
        <v>3</v>
      </c>
      <c r="AH283" s="3244"/>
      <c r="AI283" s="3244"/>
      <c r="AJ283" s="3244"/>
      <c r="AK283" s="3244"/>
      <c r="AL283" s="3244"/>
      <c r="AM283" s="3244"/>
      <c r="AN283" s="3244"/>
      <c r="AO283" s="1849" t="s">
        <v>4</v>
      </c>
    </row>
    <row r="284" spans="2:46" ht="12" hidden="1" customHeight="1" x14ac:dyDescent="0.15">
      <c r="C284" s="1858"/>
      <c r="J284" s="1849" t="s">
        <v>436</v>
      </c>
      <c r="AG284" s="1874" t="s">
        <v>3</v>
      </c>
      <c r="AH284" s="3244"/>
      <c r="AI284" s="3244"/>
      <c r="AJ284" s="3244"/>
      <c r="AK284" s="3244"/>
      <c r="AL284" s="3244"/>
      <c r="AM284" s="3244"/>
      <c r="AN284" s="3244"/>
      <c r="AO284" s="1849" t="s">
        <v>4</v>
      </c>
    </row>
    <row r="285" spans="2:46" ht="12.95" hidden="1" customHeight="1" x14ac:dyDescent="0.15">
      <c r="C285" s="1858" t="s">
        <v>381</v>
      </c>
      <c r="N285" s="3211"/>
      <c r="O285" s="3211"/>
      <c r="P285" s="3211"/>
      <c r="Q285" s="3211"/>
      <c r="R285" s="3211"/>
      <c r="S285" s="3211"/>
      <c r="T285" s="3211"/>
      <c r="U285" s="3211"/>
      <c r="V285" s="3211"/>
      <c r="W285" s="3211"/>
      <c r="X285" s="3211"/>
      <c r="Y285" s="3211"/>
      <c r="Z285" s="3211"/>
      <c r="AA285" s="3211"/>
      <c r="AB285" s="3211"/>
      <c r="AC285" s="3211"/>
      <c r="AD285" s="3211"/>
      <c r="AE285" s="3211"/>
      <c r="AF285" s="3211"/>
      <c r="AG285" s="3211"/>
      <c r="AH285" s="3211"/>
      <c r="AI285" s="3211"/>
      <c r="AJ285" s="3211"/>
      <c r="AK285" s="3211"/>
      <c r="AL285" s="3211"/>
      <c r="AM285" s="3211"/>
      <c r="AN285" s="3211"/>
      <c r="AO285" s="3211"/>
      <c r="AP285" s="3211"/>
      <c r="AQ285" s="3211"/>
      <c r="AR285" s="3211"/>
      <c r="AS285" s="3211"/>
      <c r="AT285" s="3211"/>
    </row>
    <row r="286" spans="2:46" ht="12.95" hidden="1" customHeight="1" x14ac:dyDescent="0.15">
      <c r="C286" s="1858" t="s">
        <v>437</v>
      </c>
      <c r="N286" s="3245"/>
      <c r="O286" s="3245"/>
      <c r="P286" s="3245"/>
      <c r="Q286" s="3245"/>
      <c r="R286" s="3245"/>
      <c r="S286" s="3245"/>
      <c r="T286" s="3245"/>
      <c r="U286" s="3245"/>
      <c r="V286" s="3245"/>
      <c r="W286" s="3245"/>
      <c r="X286" s="3245"/>
      <c r="Y286" s="3245"/>
      <c r="Z286" s="3245"/>
      <c r="AA286" s="3245"/>
      <c r="AB286" s="3245"/>
      <c r="AC286" s="3245"/>
      <c r="AD286" s="3245"/>
      <c r="AE286" s="3245"/>
      <c r="AF286" s="3245"/>
      <c r="AG286" s="3245"/>
      <c r="AH286" s="3245"/>
      <c r="AI286" s="3245"/>
      <c r="AJ286" s="3245"/>
      <c r="AK286" s="3245"/>
      <c r="AL286" s="3245"/>
      <c r="AM286" s="3245"/>
      <c r="AN286" s="3245"/>
      <c r="AO286" s="3245"/>
      <c r="AP286" s="3245"/>
      <c r="AQ286" s="3245"/>
      <c r="AR286" s="3245"/>
      <c r="AS286" s="3245"/>
      <c r="AT286" s="3245"/>
    </row>
    <row r="287" spans="2:46" ht="12.95" hidden="1" customHeight="1" x14ac:dyDescent="0.15">
      <c r="C287" s="1858" t="s">
        <v>438</v>
      </c>
      <c r="N287" s="3211"/>
      <c r="O287" s="3211"/>
      <c r="P287" s="3211"/>
      <c r="Q287" s="3211"/>
      <c r="R287" s="3211"/>
      <c r="S287" s="3211"/>
      <c r="T287" s="3211"/>
      <c r="U287" s="3211"/>
      <c r="V287" s="3211"/>
      <c r="W287" s="3211"/>
      <c r="X287" s="3211"/>
      <c r="Y287" s="3211"/>
      <c r="Z287" s="3211"/>
      <c r="AA287" s="3211"/>
      <c r="AB287" s="3211"/>
      <c r="AC287" s="3211"/>
      <c r="AD287" s="3211"/>
      <c r="AE287" s="3211"/>
      <c r="AF287" s="3211"/>
      <c r="AG287" s="3211"/>
      <c r="AH287" s="3211"/>
      <c r="AI287" s="3211"/>
      <c r="AJ287" s="3211"/>
      <c r="AK287" s="3211"/>
      <c r="AL287" s="3211"/>
      <c r="AM287" s="3211"/>
      <c r="AN287" s="3211"/>
      <c r="AO287" s="3211"/>
      <c r="AP287" s="3211"/>
      <c r="AQ287" s="3211"/>
      <c r="AR287" s="3211"/>
      <c r="AS287" s="3211"/>
      <c r="AT287" s="3211"/>
    </row>
    <row r="288" spans="2:46" ht="12.95" hidden="1" customHeight="1" x14ac:dyDescent="0.15">
      <c r="C288" s="1858"/>
      <c r="J288" s="1874" t="s">
        <v>432</v>
      </c>
      <c r="K288" s="3163"/>
      <c r="L288" s="3163"/>
      <c r="M288" s="1849" t="s">
        <v>439</v>
      </c>
      <c r="V288" s="1874"/>
      <c r="W288" s="1856" t="s">
        <v>25</v>
      </c>
      <c r="X288" s="3163"/>
      <c r="Y288" s="3163"/>
      <c r="Z288" s="3163"/>
      <c r="AA288" s="3163"/>
      <c r="AG288" s="1874" t="s">
        <v>440</v>
      </c>
      <c r="AH288" s="3244"/>
      <c r="AI288" s="3244"/>
      <c r="AJ288" s="3244"/>
      <c r="AK288" s="3244"/>
      <c r="AL288" s="3244"/>
      <c r="AM288" s="3244"/>
      <c r="AN288" s="3244"/>
      <c r="AO288" s="1849" t="s">
        <v>4</v>
      </c>
    </row>
    <row r="289" spans="2:46" ht="12.95" hidden="1" customHeight="1" x14ac:dyDescent="0.15">
      <c r="C289" s="1858" t="s">
        <v>441</v>
      </c>
      <c r="N289" s="3247"/>
      <c r="O289" s="3247"/>
      <c r="P289" s="3247"/>
      <c r="Q289" s="3247"/>
      <c r="R289" s="3247"/>
      <c r="S289" s="3247"/>
      <c r="T289" s="3247"/>
      <c r="U289" s="3247"/>
      <c r="V289" s="3247"/>
      <c r="W289" s="1864"/>
      <c r="X289" s="1864"/>
      <c r="Y289" s="1864"/>
      <c r="Z289" s="1864"/>
      <c r="AA289" s="1864"/>
      <c r="AB289" s="1864"/>
      <c r="AC289" s="1864"/>
      <c r="AD289" s="1864"/>
      <c r="AE289" s="1864"/>
      <c r="AF289" s="1864"/>
      <c r="AG289" s="1864"/>
      <c r="AH289" s="1864"/>
      <c r="AI289" s="1864"/>
      <c r="AJ289" s="1864"/>
      <c r="AK289" s="1864"/>
      <c r="AL289" s="1864"/>
      <c r="AM289" s="1864"/>
      <c r="AN289" s="1864"/>
      <c r="AO289" s="1864"/>
      <c r="AP289" s="1864"/>
    </row>
    <row r="290" spans="2:46" ht="12.95" hidden="1" customHeight="1" x14ac:dyDescent="0.15">
      <c r="C290" s="1858" t="s">
        <v>442</v>
      </c>
      <c r="N290" s="3211"/>
      <c r="O290" s="3211"/>
      <c r="P290" s="3211"/>
      <c r="Q290" s="3211"/>
      <c r="R290" s="3211"/>
      <c r="S290" s="3211"/>
      <c r="T290" s="3211"/>
      <c r="U290" s="3211"/>
      <c r="V290" s="3211"/>
      <c r="W290" s="3211"/>
      <c r="X290" s="3211"/>
      <c r="Y290" s="3211"/>
      <c r="Z290" s="3211"/>
      <c r="AA290" s="3211"/>
      <c r="AB290" s="3211"/>
      <c r="AC290" s="3211"/>
      <c r="AD290" s="3211"/>
      <c r="AE290" s="3211"/>
      <c r="AF290" s="3211"/>
      <c r="AG290" s="3211"/>
      <c r="AH290" s="3211"/>
      <c r="AI290" s="3211"/>
      <c r="AJ290" s="3211"/>
      <c r="AK290" s="3211"/>
      <c r="AL290" s="3211"/>
      <c r="AM290" s="3211"/>
      <c r="AN290" s="3211"/>
      <c r="AO290" s="3211"/>
      <c r="AP290" s="3211"/>
      <c r="AQ290" s="3211"/>
      <c r="AR290" s="3211"/>
      <c r="AS290" s="3211"/>
      <c r="AT290" s="3211"/>
    </row>
    <row r="291" spans="2:46" ht="12.95" hidden="1" customHeight="1" x14ac:dyDescent="0.15">
      <c r="C291" s="1858" t="s">
        <v>388</v>
      </c>
      <c r="N291" s="3245"/>
      <c r="O291" s="3245"/>
      <c r="P291" s="3245"/>
      <c r="Q291" s="3245"/>
      <c r="R291" s="3245"/>
      <c r="S291" s="3245"/>
      <c r="T291" s="3245"/>
      <c r="U291" s="3245"/>
      <c r="V291" s="3245"/>
      <c r="W291" s="3245"/>
      <c r="X291" s="3245"/>
      <c r="Y291" s="3245"/>
      <c r="Z291" s="3245"/>
      <c r="AA291" s="3245"/>
      <c r="AB291" s="3245"/>
      <c r="AC291" s="3245"/>
      <c r="AD291" s="3245"/>
      <c r="AE291" s="1907"/>
      <c r="AF291" s="1907"/>
      <c r="AG291" s="1907"/>
      <c r="AH291" s="1907"/>
      <c r="AI291" s="1907"/>
      <c r="AJ291" s="1907"/>
      <c r="AK291" s="1907"/>
      <c r="AL291" s="1907"/>
      <c r="AM291" s="1907"/>
      <c r="AN291" s="1907"/>
      <c r="AO291" s="1907"/>
      <c r="AP291" s="1907"/>
    </row>
    <row r="292" spans="2:46" ht="4.5" customHeight="1" x14ac:dyDescent="0.15"/>
    <row r="293" spans="2:46" ht="4.5" customHeight="1" x14ac:dyDescent="0.15"/>
    <row r="294" spans="2:46" ht="12" hidden="1" customHeight="1" x14ac:dyDescent="0.15"/>
    <row r="295" spans="2:46" ht="14.1" customHeight="1" x14ac:dyDescent="0.15">
      <c r="B295" s="1858" t="s">
        <v>463</v>
      </c>
    </row>
    <row r="296" spans="2:46" ht="12.95" customHeight="1" x14ac:dyDescent="0.15">
      <c r="C296" s="3308" t="str">
        <f>IF('1_入力シート【基本情報】'!DW212="","",'1_入力シート【基本情報】'!DW212&amp;CHAR(10))&amp;IF('1_入力シート【基本情報】'!AB212="","",'1_入力シート【基本情報】'!AB212)</f>
        <v/>
      </c>
      <c r="D296" s="3308"/>
      <c r="E296" s="3308"/>
      <c r="F296" s="3308"/>
      <c r="G296" s="3308"/>
      <c r="H296" s="3308"/>
      <c r="I296" s="3308"/>
      <c r="J296" s="3308"/>
      <c r="K296" s="3308"/>
      <c r="L296" s="3308"/>
      <c r="M296" s="3308"/>
      <c r="N296" s="3308"/>
      <c r="O296" s="3308"/>
      <c r="P296" s="3308"/>
      <c r="Q296" s="3308"/>
      <c r="R296" s="3308"/>
      <c r="S296" s="3308"/>
      <c r="T296" s="3308"/>
      <c r="U296" s="3308"/>
      <c r="V296" s="3308"/>
      <c r="W296" s="3308"/>
      <c r="X296" s="3308"/>
      <c r="Y296" s="3308"/>
      <c r="Z296" s="3308"/>
      <c r="AA296" s="3308"/>
      <c r="AB296" s="3308"/>
      <c r="AC296" s="3308"/>
      <c r="AD296" s="3308"/>
      <c r="AE296" s="3308"/>
      <c r="AF296" s="3308"/>
      <c r="AG296" s="3308"/>
      <c r="AH296" s="3308"/>
      <c r="AI296" s="3308"/>
      <c r="AJ296" s="3308"/>
      <c r="AK296" s="3308"/>
      <c r="AL296" s="3308"/>
      <c r="AM296" s="3308"/>
      <c r="AN296" s="3308"/>
      <c r="AO296" s="3308"/>
      <c r="AP296" s="3308"/>
      <c r="AQ296" s="3308"/>
      <c r="AR296" s="3308"/>
      <c r="AS296" s="3308"/>
    </row>
    <row r="297" spans="2:46" ht="12.95" customHeight="1" x14ac:dyDescent="0.15">
      <c r="C297" s="3308"/>
      <c r="D297" s="3308"/>
      <c r="E297" s="3308"/>
      <c r="F297" s="3308"/>
      <c r="G297" s="3308"/>
      <c r="H297" s="3308"/>
      <c r="I297" s="3308"/>
      <c r="J297" s="3308"/>
      <c r="K297" s="3308"/>
      <c r="L297" s="3308"/>
      <c r="M297" s="3308"/>
      <c r="N297" s="3308"/>
      <c r="O297" s="3308"/>
      <c r="P297" s="3308"/>
      <c r="Q297" s="3308"/>
      <c r="R297" s="3308"/>
      <c r="S297" s="3308"/>
      <c r="T297" s="3308"/>
      <c r="U297" s="3308"/>
      <c r="V297" s="3308"/>
      <c r="W297" s="3308"/>
      <c r="X297" s="3308"/>
      <c r="Y297" s="3308"/>
      <c r="Z297" s="3308"/>
      <c r="AA297" s="3308"/>
      <c r="AB297" s="3308"/>
      <c r="AC297" s="3308"/>
      <c r="AD297" s="3308"/>
      <c r="AE297" s="3308"/>
      <c r="AF297" s="3308"/>
      <c r="AG297" s="3308"/>
      <c r="AH297" s="3308"/>
      <c r="AI297" s="3308"/>
      <c r="AJ297" s="3308"/>
      <c r="AK297" s="3308"/>
      <c r="AL297" s="3308"/>
      <c r="AM297" s="3308"/>
      <c r="AN297" s="3308"/>
      <c r="AO297" s="3308"/>
      <c r="AP297" s="3308"/>
      <c r="AQ297" s="3308"/>
      <c r="AR297" s="3308"/>
      <c r="AS297" s="3308"/>
    </row>
    <row r="298" spans="2:46" ht="12.95" customHeight="1" x14ac:dyDescent="0.15">
      <c r="C298" s="3308"/>
      <c r="D298" s="3308"/>
      <c r="E298" s="3308"/>
      <c r="F298" s="3308"/>
      <c r="G298" s="3308"/>
      <c r="H298" s="3308"/>
      <c r="I298" s="3308"/>
      <c r="J298" s="3308"/>
      <c r="K298" s="3308"/>
      <c r="L298" s="3308"/>
      <c r="M298" s="3308"/>
      <c r="N298" s="3308"/>
      <c r="O298" s="3308"/>
      <c r="P298" s="3308"/>
      <c r="Q298" s="3308"/>
      <c r="R298" s="3308"/>
      <c r="S298" s="3308"/>
      <c r="T298" s="3308"/>
      <c r="U298" s="3308"/>
      <c r="V298" s="3308"/>
      <c r="W298" s="3308"/>
      <c r="X298" s="3308"/>
      <c r="Y298" s="3308"/>
      <c r="Z298" s="3308"/>
      <c r="AA298" s="3308"/>
      <c r="AB298" s="3308"/>
      <c r="AC298" s="3308"/>
      <c r="AD298" s="3308"/>
      <c r="AE298" s="3308"/>
      <c r="AF298" s="3308"/>
      <c r="AG298" s="3308"/>
      <c r="AH298" s="3308"/>
      <c r="AI298" s="3308"/>
      <c r="AJ298" s="3308"/>
      <c r="AK298" s="3308"/>
      <c r="AL298" s="3308"/>
      <c r="AM298" s="3308"/>
      <c r="AN298" s="3308"/>
      <c r="AO298" s="3308"/>
      <c r="AP298" s="3308"/>
      <c r="AQ298" s="3308"/>
      <c r="AR298" s="3308"/>
      <c r="AS298" s="3308"/>
    </row>
    <row r="299" spans="2:46" ht="12.95" customHeight="1" x14ac:dyDescent="0.15">
      <c r="C299" s="3308"/>
      <c r="D299" s="3308"/>
      <c r="E299" s="3308"/>
      <c r="F299" s="3308"/>
      <c r="G299" s="3308"/>
      <c r="H299" s="3308"/>
      <c r="I299" s="3308"/>
      <c r="J299" s="3308"/>
      <c r="K299" s="3308"/>
      <c r="L299" s="3308"/>
      <c r="M299" s="3308"/>
      <c r="N299" s="3308"/>
      <c r="O299" s="3308"/>
      <c r="P299" s="3308"/>
      <c r="Q299" s="3308"/>
      <c r="R299" s="3308"/>
      <c r="S299" s="3308"/>
      <c r="T299" s="3308"/>
      <c r="U299" s="3308"/>
      <c r="V299" s="3308"/>
      <c r="W299" s="3308"/>
      <c r="X299" s="3308"/>
      <c r="Y299" s="3308"/>
      <c r="Z299" s="3308"/>
      <c r="AA299" s="3308"/>
      <c r="AB299" s="3308"/>
      <c r="AC299" s="3308"/>
      <c r="AD299" s="3308"/>
      <c r="AE299" s="3308"/>
      <c r="AF299" s="3308"/>
      <c r="AG299" s="3308"/>
      <c r="AH299" s="3308"/>
      <c r="AI299" s="3308"/>
      <c r="AJ299" s="3308"/>
      <c r="AK299" s="3308"/>
      <c r="AL299" s="3308"/>
      <c r="AM299" s="3308"/>
      <c r="AN299" s="3308"/>
      <c r="AO299" s="3308"/>
      <c r="AP299" s="3308"/>
      <c r="AQ299" s="3308"/>
      <c r="AR299" s="3308"/>
      <c r="AS299" s="3308"/>
    </row>
    <row r="300" spans="2:46" ht="12.95" customHeight="1" x14ac:dyDescent="0.15">
      <c r="C300" s="3308"/>
      <c r="D300" s="3308"/>
      <c r="E300" s="3308"/>
      <c r="F300" s="3308"/>
      <c r="G300" s="3308"/>
      <c r="H300" s="3308"/>
      <c r="I300" s="3308"/>
      <c r="J300" s="3308"/>
      <c r="K300" s="3308"/>
      <c r="L300" s="3308"/>
      <c r="M300" s="3308"/>
      <c r="N300" s="3308"/>
      <c r="O300" s="3308"/>
      <c r="P300" s="3308"/>
      <c r="Q300" s="3308"/>
      <c r="R300" s="3308"/>
      <c r="S300" s="3308"/>
      <c r="T300" s="3308"/>
      <c r="U300" s="3308"/>
      <c r="V300" s="3308"/>
      <c r="W300" s="3308"/>
      <c r="X300" s="3308"/>
      <c r="Y300" s="3308"/>
      <c r="Z300" s="3308"/>
      <c r="AA300" s="3308"/>
      <c r="AB300" s="3308"/>
      <c r="AC300" s="3308"/>
      <c r="AD300" s="3308"/>
      <c r="AE300" s="3308"/>
      <c r="AF300" s="3308"/>
      <c r="AG300" s="3308"/>
      <c r="AH300" s="3308"/>
      <c r="AI300" s="3308"/>
      <c r="AJ300" s="3308"/>
      <c r="AK300" s="3308"/>
      <c r="AL300" s="3308"/>
      <c r="AM300" s="3308"/>
      <c r="AN300" s="3308"/>
      <c r="AO300" s="3308"/>
      <c r="AP300" s="3308"/>
      <c r="AQ300" s="3308"/>
      <c r="AR300" s="3308"/>
      <c r="AS300" s="3308"/>
    </row>
    <row r="301" spans="2:46" ht="12.75" customHeight="1" x14ac:dyDescent="0.15">
      <c r="C301" s="3308"/>
      <c r="D301" s="3308"/>
      <c r="E301" s="3308"/>
      <c r="F301" s="3308"/>
      <c r="G301" s="3308"/>
      <c r="H301" s="3308"/>
      <c r="I301" s="3308"/>
      <c r="J301" s="3308"/>
      <c r="K301" s="3308"/>
      <c r="L301" s="3308"/>
      <c r="M301" s="3308"/>
      <c r="N301" s="3308"/>
      <c r="O301" s="3308"/>
      <c r="P301" s="3308"/>
      <c r="Q301" s="3308"/>
      <c r="R301" s="3308"/>
      <c r="S301" s="3308"/>
      <c r="T301" s="3308"/>
      <c r="U301" s="3308"/>
      <c r="V301" s="3308"/>
      <c r="W301" s="3308"/>
      <c r="X301" s="3308"/>
      <c r="Y301" s="3308"/>
      <c r="Z301" s="3308"/>
      <c r="AA301" s="3308"/>
      <c r="AB301" s="3308"/>
      <c r="AC301" s="3308"/>
      <c r="AD301" s="3308"/>
      <c r="AE301" s="3308"/>
      <c r="AF301" s="3308"/>
      <c r="AG301" s="3308"/>
      <c r="AH301" s="3308"/>
      <c r="AI301" s="3308"/>
      <c r="AJ301" s="3308"/>
      <c r="AK301" s="3308"/>
      <c r="AL301" s="3308"/>
      <c r="AM301" s="3308"/>
      <c r="AN301" s="3308"/>
      <c r="AO301" s="3308"/>
      <c r="AP301" s="3308"/>
      <c r="AQ301" s="3308"/>
      <c r="AR301" s="3308"/>
      <c r="AS301" s="3308"/>
    </row>
    <row r="302" spans="2:46" ht="12.75" customHeight="1" x14ac:dyDescent="0.15">
      <c r="C302" s="3308"/>
      <c r="D302" s="3308"/>
      <c r="E302" s="3308"/>
      <c r="F302" s="3308"/>
      <c r="G302" s="3308"/>
      <c r="H302" s="3308"/>
      <c r="I302" s="3308"/>
      <c r="J302" s="3308"/>
      <c r="K302" s="3308"/>
      <c r="L302" s="3308"/>
      <c r="M302" s="3308"/>
      <c r="N302" s="3308"/>
      <c r="O302" s="3308"/>
      <c r="P302" s="3308"/>
      <c r="Q302" s="3308"/>
      <c r="R302" s="3308"/>
      <c r="S302" s="3308"/>
      <c r="T302" s="3308"/>
      <c r="U302" s="3308"/>
      <c r="V302" s="3308"/>
      <c r="W302" s="3308"/>
      <c r="X302" s="3308"/>
      <c r="Y302" s="3308"/>
      <c r="Z302" s="3308"/>
      <c r="AA302" s="3308"/>
      <c r="AB302" s="3308"/>
      <c r="AC302" s="3308"/>
      <c r="AD302" s="3308"/>
      <c r="AE302" s="3308"/>
      <c r="AF302" s="3308"/>
      <c r="AG302" s="3308"/>
      <c r="AH302" s="3308"/>
      <c r="AI302" s="3308"/>
      <c r="AJ302" s="3308"/>
      <c r="AK302" s="3308"/>
      <c r="AL302" s="3308"/>
      <c r="AM302" s="3308"/>
      <c r="AN302" s="3308"/>
      <c r="AO302" s="3308"/>
      <c r="AP302" s="3308"/>
      <c r="AQ302" s="3308"/>
      <c r="AR302" s="3308"/>
      <c r="AS302" s="3308"/>
    </row>
    <row r="304" spans="2:46" ht="4.5" customHeight="1" x14ac:dyDescent="0.15"/>
    <row r="305" spans="2:48" ht="5.25" customHeight="1" x14ac:dyDescent="0.15">
      <c r="AU305" s="1872"/>
      <c r="AV305" s="1872"/>
    </row>
    <row r="306" spans="2:48" x14ac:dyDescent="0.15">
      <c r="AU306" s="1872"/>
      <c r="AV306" s="1872"/>
    </row>
    <row r="307" spans="2:48" x14ac:dyDescent="0.15">
      <c r="AU307" s="1872"/>
      <c r="AV307" s="1872"/>
    </row>
    <row r="308" spans="2:48" ht="14.1" customHeight="1" x14ac:dyDescent="0.15">
      <c r="B308" s="3172" t="s">
        <v>889</v>
      </c>
      <c r="C308" s="3172"/>
      <c r="D308" s="3172"/>
      <c r="E308" s="3172"/>
      <c r="F308" s="3172"/>
      <c r="G308" s="3172"/>
      <c r="H308" s="3172"/>
      <c r="I308" s="3172"/>
      <c r="J308" s="3172"/>
      <c r="K308" s="3172"/>
      <c r="L308" s="3172"/>
      <c r="M308" s="3172"/>
      <c r="N308" s="3172"/>
      <c r="O308" s="3172"/>
      <c r="P308" s="3172"/>
      <c r="Q308" s="3172"/>
      <c r="R308" s="3172"/>
      <c r="S308" s="3172"/>
      <c r="T308" s="3172"/>
      <c r="U308" s="3172"/>
      <c r="V308" s="3172"/>
      <c r="W308" s="3172"/>
      <c r="X308" s="3172"/>
      <c r="Y308" s="3172"/>
      <c r="Z308" s="3172"/>
      <c r="AA308" s="3172"/>
      <c r="AB308" s="3172"/>
      <c r="AC308" s="3172"/>
      <c r="AD308" s="3172"/>
      <c r="AE308" s="3172"/>
      <c r="AF308" s="3172"/>
      <c r="AG308" s="3172"/>
      <c r="AH308" s="3172"/>
      <c r="AI308" s="3172"/>
      <c r="AJ308" s="3172"/>
      <c r="AK308" s="3172"/>
      <c r="AL308" s="3172"/>
      <c r="AM308" s="3172"/>
      <c r="AN308" s="3172"/>
      <c r="AO308" s="3172"/>
      <c r="AP308" s="3172"/>
      <c r="AQ308" s="3172"/>
      <c r="AR308" s="3172"/>
      <c r="AS308" s="3172"/>
      <c r="AT308" s="3172"/>
      <c r="AU308" s="1872"/>
      <c r="AV308" s="1872"/>
    </row>
    <row r="309" spans="2:48" ht="14.1" customHeight="1" x14ac:dyDescent="0.15">
      <c r="B309" s="1849" t="s">
        <v>826</v>
      </c>
      <c r="AG309" s="1884"/>
      <c r="AH309" s="1884"/>
      <c r="AU309" s="1872"/>
      <c r="AV309" s="1872"/>
    </row>
    <row r="310" spans="2:48" ht="4.5" customHeight="1" x14ac:dyDescent="0.15">
      <c r="AU310" s="1872"/>
      <c r="AV310" s="1872"/>
    </row>
    <row r="311" spans="2:48" ht="4.5" customHeight="1" x14ac:dyDescent="0.15">
      <c r="AU311" s="1872"/>
      <c r="AV311" s="1872"/>
    </row>
    <row r="312" spans="2:48" ht="12.95" customHeight="1" x14ac:dyDescent="0.15">
      <c r="B312" s="3287" t="s">
        <v>330</v>
      </c>
      <c r="C312" s="3287"/>
      <c r="D312" s="3287"/>
      <c r="E312" s="3287"/>
      <c r="F312" s="3286" t="s">
        <v>269</v>
      </c>
      <c r="G312" s="3286"/>
      <c r="H312" s="3286"/>
      <c r="I312" s="3286"/>
      <c r="J312" s="3286"/>
      <c r="K312" s="3290" t="str">
        <f>IF('2_入力シート【用途面積】'!G4="","",'2_入力シート【用途面積】'!G4)</f>
        <v/>
      </c>
      <c r="L312" s="3290"/>
      <c r="M312" s="3290"/>
      <c r="N312" s="3290"/>
      <c r="O312" s="3290"/>
      <c r="P312" s="3290" t="str">
        <f>IF('2_入力シート【用途面積】'!I4="","",'2_入力シート【用途面積】'!I4)</f>
        <v/>
      </c>
      <c r="Q312" s="3290"/>
      <c r="R312" s="3290"/>
      <c r="S312" s="3290"/>
      <c r="T312" s="3290"/>
      <c r="U312" s="3290" t="str">
        <f>IF('2_入力シート【用途面積】'!K4="","",'2_入力シート【用途面積】'!K4)</f>
        <v/>
      </c>
      <c r="V312" s="3290"/>
      <c r="W312" s="3290"/>
      <c r="X312" s="3290"/>
      <c r="Y312" s="3290"/>
      <c r="Z312" s="3290" t="str">
        <f>IF('2_入力シート【用途面積】'!M4="","",'2_入力シート【用途面積】'!M4)</f>
        <v/>
      </c>
      <c r="AA312" s="3290"/>
      <c r="AB312" s="3290"/>
      <c r="AC312" s="3290"/>
      <c r="AD312" s="3290"/>
      <c r="AE312" s="3290" t="str">
        <f>IF('2_入力シート【用途面積】'!O4="","",'2_入力シート【用途面積】'!O4)</f>
        <v/>
      </c>
      <c r="AF312" s="3290"/>
      <c r="AG312" s="3290"/>
      <c r="AH312" s="3290"/>
      <c r="AI312" s="3290"/>
      <c r="AJ312" s="3290" t="str">
        <f>IF('2_入力シート【用途面積】'!Q4="","",'2_入力シート【用途面積】'!Q4)</f>
        <v/>
      </c>
      <c r="AK312" s="3290"/>
      <c r="AL312" s="3290"/>
      <c r="AM312" s="3290"/>
      <c r="AN312" s="3290"/>
      <c r="AO312" s="3290" t="str">
        <f>IF('2_入力シート【用途面積】'!S4="","",'2_入力シート【用途面積】'!S4)</f>
        <v/>
      </c>
      <c r="AP312" s="3290"/>
      <c r="AQ312" s="3290"/>
      <c r="AR312" s="3290"/>
      <c r="AS312" s="3290"/>
      <c r="AT312" s="1858"/>
      <c r="AU312" s="1872"/>
      <c r="AV312" s="1872"/>
    </row>
    <row r="313" spans="2:48" ht="12.95" customHeight="1" x14ac:dyDescent="0.15">
      <c r="B313" s="3287"/>
      <c r="C313" s="3287"/>
      <c r="D313" s="3287"/>
      <c r="E313" s="3287"/>
      <c r="F313" s="3286"/>
      <c r="G313" s="3286"/>
      <c r="H313" s="3286"/>
      <c r="I313" s="3286"/>
      <c r="J313" s="3286"/>
      <c r="K313" s="3290"/>
      <c r="L313" s="3290"/>
      <c r="M313" s="3290"/>
      <c r="N313" s="3290"/>
      <c r="O313" s="3290"/>
      <c r="P313" s="3290"/>
      <c r="Q313" s="3290"/>
      <c r="R313" s="3290"/>
      <c r="S313" s="3290"/>
      <c r="T313" s="3290"/>
      <c r="U313" s="3290"/>
      <c r="V313" s="3290"/>
      <c r="W313" s="3290"/>
      <c r="X313" s="3290"/>
      <c r="Y313" s="3290"/>
      <c r="Z313" s="3290"/>
      <c r="AA313" s="3290"/>
      <c r="AB313" s="3290"/>
      <c r="AC313" s="3290"/>
      <c r="AD313" s="3290"/>
      <c r="AE313" s="3290"/>
      <c r="AF313" s="3290"/>
      <c r="AG313" s="3290"/>
      <c r="AH313" s="3290"/>
      <c r="AI313" s="3290"/>
      <c r="AJ313" s="3290"/>
      <c r="AK313" s="3290"/>
      <c r="AL313" s="3290"/>
      <c r="AM313" s="3290"/>
      <c r="AN313" s="3290"/>
      <c r="AO313" s="3290"/>
      <c r="AP313" s="3290"/>
      <c r="AQ313" s="3290"/>
      <c r="AR313" s="3290"/>
      <c r="AS313" s="3290"/>
      <c r="AT313" s="1858"/>
      <c r="AU313" s="1872"/>
      <c r="AV313" s="1872"/>
    </row>
    <row r="314" spans="2:48" ht="12.95" customHeight="1" x14ac:dyDescent="0.15">
      <c r="B314" s="3287"/>
      <c r="C314" s="3287"/>
      <c r="D314" s="3287"/>
      <c r="E314" s="3287"/>
      <c r="F314" s="3286"/>
      <c r="G314" s="3286"/>
      <c r="H314" s="3286"/>
      <c r="I314" s="3286"/>
      <c r="J314" s="3286"/>
      <c r="K314" s="3290" t="str">
        <f>IF('2_入力シート【用途面積】'!G7="","",'2_入力シート【用途面積】'!G7)</f>
        <v/>
      </c>
      <c r="L314" s="3290"/>
      <c r="M314" s="3290"/>
      <c r="N314" s="3290"/>
      <c r="O314" s="3290"/>
      <c r="P314" s="3290" t="str">
        <f>IF('2_入力シート【用途面積】'!I7="","",'2_入力シート【用途面積】'!I7)</f>
        <v/>
      </c>
      <c r="Q314" s="3290"/>
      <c r="R314" s="3290"/>
      <c r="S314" s="3290"/>
      <c r="T314" s="3290"/>
      <c r="U314" s="3290" t="str">
        <f>IF('2_入力シート【用途面積】'!K7="","",'2_入力シート【用途面積】'!K7)</f>
        <v/>
      </c>
      <c r="V314" s="3290"/>
      <c r="W314" s="3290"/>
      <c r="X314" s="3290"/>
      <c r="Y314" s="3290"/>
      <c r="Z314" s="3290" t="str">
        <f>IF('2_入力シート【用途面積】'!M7="","",'2_入力シート【用途面積】'!M7)</f>
        <v/>
      </c>
      <c r="AA314" s="3290"/>
      <c r="AB314" s="3290"/>
      <c r="AC314" s="3290"/>
      <c r="AD314" s="3290"/>
      <c r="AE314" s="3290" t="str">
        <f>IF('2_入力シート【用途面積】'!O7="","",'2_入力シート【用途面積】'!O7)</f>
        <v/>
      </c>
      <c r="AF314" s="3290"/>
      <c r="AG314" s="3290"/>
      <c r="AH314" s="3290"/>
      <c r="AI314" s="3290"/>
      <c r="AJ314" s="3290" t="str">
        <f>IF('2_入力シート【用途面積】'!Q7="","",'2_入力シート【用途面積】'!Q7)</f>
        <v/>
      </c>
      <c r="AK314" s="3290"/>
      <c r="AL314" s="3290"/>
      <c r="AM314" s="3290"/>
      <c r="AN314" s="3290"/>
      <c r="AO314" s="3291" t="str">
        <f>IF('2_入力シート【用途面積】'!S7="","",'2_入力シート【用途面積】'!S7)</f>
        <v/>
      </c>
      <c r="AP314" s="3291"/>
      <c r="AQ314" s="3291"/>
      <c r="AR314" s="3291"/>
      <c r="AS314" s="3291"/>
      <c r="AT314" s="1858"/>
      <c r="AU314" s="1872"/>
      <c r="AV314" s="1872"/>
    </row>
    <row r="315" spans="2:48" ht="12.95" customHeight="1" x14ac:dyDescent="0.15">
      <c r="B315" s="3287"/>
      <c r="C315" s="3287"/>
      <c r="D315" s="3287"/>
      <c r="E315" s="3287"/>
      <c r="F315" s="3286"/>
      <c r="G315" s="3286"/>
      <c r="H315" s="3286"/>
      <c r="I315" s="3286"/>
      <c r="J315" s="3286"/>
      <c r="K315" s="3290"/>
      <c r="L315" s="3290"/>
      <c r="M315" s="3290"/>
      <c r="N315" s="3290"/>
      <c r="O315" s="3290"/>
      <c r="P315" s="3290"/>
      <c r="Q315" s="3290"/>
      <c r="R315" s="3290"/>
      <c r="S315" s="3290"/>
      <c r="T315" s="3290"/>
      <c r="U315" s="3290"/>
      <c r="V315" s="3290"/>
      <c r="W315" s="3290"/>
      <c r="X315" s="3290"/>
      <c r="Y315" s="3290"/>
      <c r="Z315" s="3290"/>
      <c r="AA315" s="3290"/>
      <c r="AB315" s="3290"/>
      <c r="AC315" s="3290"/>
      <c r="AD315" s="3290"/>
      <c r="AE315" s="3290"/>
      <c r="AF315" s="3290"/>
      <c r="AG315" s="3290"/>
      <c r="AH315" s="3290"/>
      <c r="AI315" s="3290"/>
      <c r="AJ315" s="3290"/>
      <c r="AK315" s="3290"/>
      <c r="AL315" s="3290"/>
      <c r="AM315" s="3290"/>
      <c r="AN315" s="3290"/>
      <c r="AO315" s="3291"/>
      <c r="AP315" s="3291"/>
      <c r="AQ315" s="3291"/>
      <c r="AR315" s="3291"/>
      <c r="AS315" s="3291"/>
      <c r="AT315" s="1858"/>
      <c r="AU315" s="1872"/>
      <c r="AV315" s="1872"/>
    </row>
    <row r="316" spans="2:48" ht="12.95" customHeight="1" x14ac:dyDescent="0.15">
      <c r="B316" s="3287"/>
      <c r="C316" s="3287"/>
      <c r="D316" s="3287"/>
      <c r="E316" s="3287"/>
      <c r="F316" s="3286"/>
      <c r="G316" s="3286"/>
      <c r="H316" s="3286"/>
      <c r="I316" s="3286"/>
      <c r="J316" s="3286"/>
      <c r="K316" s="3290"/>
      <c r="L316" s="3290"/>
      <c r="M316" s="3290"/>
      <c r="N316" s="3290"/>
      <c r="O316" s="3290"/>
      <c r="P316" s="3290"/>
      <c r="Q316" s="3290"/>
      <c r="R316" s="3290"/>
      <c r="S316" s="3290"/>
      <c r="T316" s="3290"/>
      <c r="U316" s="3290"/>
      <c r="V316" s="3290"/>
      <c r="W316" s="3290"/>
      <c r="X316" s="3290"/>
      <c r="Y316" s="3290"/>
      <c r="Z316" s="3290"/>
      <c r="AA316" s="3290"/>
      <c r="AB316" s="3290"/>
      <c r="AC316" s="3290"/>
      <c r="AD316" s="3290"/>
      <c r="AE316" s="3290"/>
      <c r="AF316" s="3290"/>
      <c r="AG316" s="3290"/>
      <c r="AH316" s="3290"/>
      <c r="AI316" s="3290"/>
      <c r="AJ316" s="3290"/>
      <c r="AK316" s="3290"/>
      <c r="AL316" s="3290"/>
      <c r="AM316" s="3290"/>
      <c r="AN316" s="3290"/>
      <c r="AO316" s="3291"/>
      <c r="AP316" s="3291"/>
      <c r="AQ316" s="3291"/>
      <c r="AR316" s="3291"/>
      <c r="AS316" s="3291"/>
      <c r="AT316" s="1858"/>
      <c r="AU316" s="1872"/>
      <c r="AV316" s="1872"/>
    </row>
    <row r="317" spans="2:48" ht="12.95" customHeight="1" x14ac:dyDescent="0.15">
      <c r="B317" s="3287"/>
      <c r="C317" s="3287"/>
      <c r="D317" s="3287"/>
      <c r="E317" s="3287"/>
      <c r="F317" s="3286"/>
      <c r="G317" s="3286"/>
      <c r="H317" s="3286"/>
      <c r="I317" s="3286"/>
      <c r="J317" s="3286"/>
      <c r="K317" s="3290"/>
      <c r="L317" s="3290"/>
      <c r="M317" s="3290"/>
      <c r="N317" s="3290"/>
      <c r="O317" s="3290"/>
      <c r="P317" s="3290"/>
      <c r="Q317" s="3290"/>
      <c r="R317" s="3290"/>
      <c r="S317" s="3290"/>
      <c r="T317" s="3290"/>
      <c r="U317" s="3290"/>
      <c r="V317" s="3290"/>
      <c r="W317" s="3290"/>
      <c r="X317" s="3290"/>
      <c r="Y317" s="3290"/>
      <c r="Z317" s="3290"/>
      <c r="AA317" s="3290"/>
      <c r="AB317" s="3290"/>
      <c r="AC317" s="3290"/>
      <c r="AD317" s="3290"/>
      <c r="AE317" s="3290"/>
      <c r="AF317" s="3290"/>
      <c r="AG317" s="3290"/>
      <c r="AH317" s="3290"/>
      <c r="AI317" s="3290"/>
      <c r="AJ317" s="3290"/>
      <c r="AK317" s="3290"/>
      <c r="AL317" s="3290"/>
      <c r="AM317" s="3290"/>
      <c r="AN317" s="3290"/>
      <c r="AO317" s="3291"/>
      <c r="AP317" s="3291"/>
      <c r="AQ317" s="3291"/>
      <c r="AR317" s="3291"/>
      <c r="AS317" s="3291"/>
      <c r="AT317" s="1858"/>
      <c r="AU317" s="1872"/>
      <c r="AV317" s="1872"/>
    </row>
    <row r="318" spans="2:48" ht="12.95" customHeight="1" thickBot="1" x14ac:dyDescent="0.2">
      <c r="B318" s="3305" t="s">
        <v>343</v>
      </c>
      <c r="C318" s="3306"/>
      <c r="D318" s="3306"/>
      <c r="E318" s="3307"/>
      <c r="F318" s="3288">
        <f>'2_入力シート【用途面積】'!E13</f>
        <v>0</v>
      </c>
      <c r="G318" s="3289"/>
      <c r="H318" s="3289"/>
      <c r="I318" s="3289"/>
      <c r="J318" s="1910" t="s">
        <v>28</v>
      </c>
      <c r="K318" s="3288">
        <f>'2_入力シート【用途面積】'!G13</f>
        <v>0</v>
      </c>
      <c r="L318" s="3289"/>
      <c r="M318" s="3289"/>
      <c r="N318" s="3289"/>
      <c r="O318" s="1910" t="s">
        <v>28</v>
      </c>
      <c r="P318" s="3288">
        <f>'2_入力シート【用途面積】'!I13</f>
        <v>0</v>
      </c>
      <c r="Q318" s="3289"/>
      <c r="R318" s="3289"/>
      <c r="S318" s="3289"/>
      <c r="T318" s="1910" t="s">
        <v>28</v>
      </c>
      <c r="U318" s="3288">
        <f>'2_入力シート【用途面積】'!K13</f>
        <v>0</v>
      </c>
      <c r="V318" s="3289"/>
      <c r="W318" s="3289"/>
      <c r="X318" s="3289"/>
      <c r="Y318" s="1910" t="s">
        <v>28</v>
      </c>
      <c r="Z318" s="3288">
        <f>'2_入力シート【用途面積】'!M13</f>
        <v>0</v>
      </c>
      <c r="AA318" s="3289"/>
      <c r="AB318" s="3289"/>
      <c r="AC318" s="3289"/>
      <c r="AD318" s="1910" t="s">
        <v>28</v>
      </c>
      <c r="AE318" s="3288">
        <f>'2_入力シート【用途面積】'!O13</f>
        <v>0</v>
      </c>
      <c r="AF318" s="3289"/>
      <c r="AG318" s="3289"/>
      <c r="AH318" s="3289"/>
      <c r="AI318" s="1910" t="s">
        <v>28</v>
      </c>
      <c r="AJ318" s="3288">
        <f>'2_入力シート【用途面積】'!Q13</f>
        <v>0</v>
      </c>
      <c r="AK318" s="3289"/>
      <c r="AL318" s="3289"/>
      <c r="AM318" s="3289"/>
      <c r="AN318" s="1910" t="s">
        <v>28</v>
      </c>
      <c r="AO318" s="3288">
        <f>'2_入力シート【用途面積】'!S13</f>
        <v>0</v>
      </c>
      <c r="AP318" s="3289"/>
      <c r="AQ318" s="3289"/>
      <c r="AR318" s="3289"/>
      <c r="AS318" s="1910" t="s">
        <v>28</v>
      </c>
      <c r="AT318" s="1858"/>
      <c r="AU318" s="1872"/>
      <c r="AV318" s="1872"/>
    </row>
    <row r="319" spans="2:48" ht="12.95" customHeight="1" thickTop="1" x14ac:dyDescent="0.15">
      <c r="B319" s="3294" t="s">
        <v>339</v>
      </c>
      <c r="C319" s="3295"/>
      <c r="D319" s="3295"/>
      <c r="E319" s="1911" t="s">
        <v>17</v>
      </c>
      <c r="F319" s="3177">
        <f>'2_入力シート【用途面積】'!E14</f>
        <v>0</v>
      </c>
      <c r="G319" s="3178"/>
      <c r="H319" s="3178"/>
      <c r="I319" s="3178"/>
      <c r="J319" s="1912" t="s">
        <v>28</v>
      </c>
      <c r="K319" s="3177" t="str">
        <f>IF('2_入力シート【用途面積】'!G14="","",'2_入力シート【用途面積】'!G14)</f>
        <v/>
      </c>
      <c r="L319" s="3178"/>
      <c r="M319" s="3178"/>
      <c r="N319" s="3178"/>
      <c r="O319" s="1912" t="s">
        <v>28</v>
      </c>
      <c r="P319" s="3177" t="str">
        <f>IF('2_入力シート【用途面積】'!I14="","",'2_入力シート【用途面積】'!I14)</f>
        <v/>
      </c>
      <c r="Q319" s="3178"/>
      <c r="R319" s="3178"/>
      <c r="S319" s="3178"/>
      <c r="T319" s="1912" t="s">
        <v>28</v>
      </c>
      <c r="U319" s="3177" t="str">
        <f>IF('2_入力シート【用途面積】'!K14="","",'2_入力シート【用途面積】'!K14)</f>
        <v/>
      </c>
      <c r="V319" s="3178"/>
      <c r="W319" s="3178"/>
      <c r="X319" s="3178"/>
      <c r="Y319" s="1912" t="s">
        <v>28</v>
      </c>
      <c r="Z319" s="3177" t="str">
        <f>IF('2_入力シート【用途面積】'!M14="","",'2_入力シート【用途面積】'!M14)</f>
        <v/>
      </c>
      <c r="AA319" s="3178"/>
      <c r="AB319" s="3178"/>
      <c r="AC319" s="3178"/>
      <c r="AD319" s="1912" t="s">
        <v>28</v>
      </c>
      <c r="AE319" s="3177" t="str">
        <f>IF('2_入力シート【用途面積】'!O14="","",'2_入力シート【用途面積】'!O14)</f>
        <v/>
      </c>
      <c r="AF319" s="3178"/>
      <c r="AG319" s="3178"/>
      <c r="AH319" s="3178"/>
      <c r="AI319" s="1912" t="s">
        <v>28</v>
      </c>
      <c r="AJ319" s="3177" t="str">
        <f>IF('2_入力シート【用途面積】'!Q14="","",'2_入力シート【用途面積】'!Q14)</f>
        <v/>
      </c>
      <c r="AK319" s="3178"/>
      <c r="AL319" s="3178"/>
      <c r="AM319" s="3178"/>
      <c r="AN319" s="1912" t="s">
        <v>28</v>
      </c>
      <c r="AO319" s="3177" t="str">
        <f>IF('2_入力シート【用途面積】'!S14="","",'2_入力シート【用途面積】'!S14)</f>
        <v/>
      </c>
      <c r="AP319" s="3178"/>
      <c r="AQ319" s="3178"/>
      <c r="AR319" s="3178"/>
      <c r="AS319" s="1912" t="s">
        <v>28</v>
      </c>
      <c r="AT319" s="1858"/>
      <c r="AU319" s="1872"/>
      <c r="AV319" s="1872"/>
    </row>
    <row r="320" spans="2:48" ht="12.95" customHeight="1" x14ac:dyDescent="0.15">
      <c r="B320" s="3296" t="s">
        <v>340</v>
      </c>
      <c r="C320" s="3297"/>
      <c r="D320" s="3297"/>
      <c r="E320" s="1911" t="s">
        <v>17</v>
      </c>
      <c r="F320" s="3177">
        <f>'2_入力シート【用途面積】'!E15</f>
        <v>0</v>
      </c>
      <c r="G320" s="3178"/>
      <c r="H320" s="3178"/>
      <c r="I320" s="3178"/>
      <c r="J320" s="1912" t="s">
        <v>28</v>
      </c>
      <c r="K320" s="3177" t="str">
        <f>IF('2_入力シート【用途面積】'!G15="","",'2_入力シート【用途面積】'!G15)</f>
        <v/>
      </c>
      <c r="L320" s="3178"/>
      <c r="M320" s="3178"/>
      <c r="N320" s="3178"/>
      <c r="O320" s="1912" t="s">
        <v>28</v>
      </c>
      <c r="P320" s="3177" t="str">
        <f>IF('2_入力シート【用途面積】'!I15="","",'2_入力シート【用途面積】'!I15)</f>
        <v/>
      </c>
      <c r="Q320" s="3178"/>
      <c r="R320" s="3178"/>
      <c r="S320" s="3178"/>
      <c r="T320" s="1912" t="s">
        <v>28</v>
      </c>
      <c r="U320" s="3177" t="str">
        <f>IF('2_入力シート【用途面積】'!K15="","",'2_入力シート【用途面積】'!K15)</f>
        <v/>
      </c>
      <c r="V320" s="3178"/>
      <c r="W320" s="3178"/>
      <c r="X320" s="3178"/>
      <c r="Y320" s="1912" t="s">
        <v>28</v>
      </c>
      <c r="Z320" s="3177" t="str">
        <f>IF('2_入力シート【用途面積】'!M15="","",'2_入力シート【用途面積】'!M15)</f>
        <v/>
      </c>
      <c r="AA320" s="3178"/>
      <c r="AB320" s="3178"/>
      <c r="AC320" s="3178"/>
      <c r="AD320" s="1912" t="s">
        <v>28</v>
      </c>
      <c r="AE320" s="3177" t="str">
        <f>IF('2_入力シート【用途面積】'!O15="","",'2_入力シート【用途面積】'!O15)</f>
        <v/>
      </c>
      <c r="AF320" s="3178"/>
      <c r="AG320" s="3178"/>
      <c r="AH320" s="3178"/>
      <c r="AI320" s="1912" t="s">
        <v>28</v>
      </c>
      <c r="AJ320" s="3177" t="str">
        <f>IF('2_入力シート【用途面積】'!Q15="","",'2_入力シート【用途面積】'!Q15)</f>
        <v/>
      </c>
      <c r="AK320" s="3178"/>
      <c r="AL320" s="3178"/>
      <c r="AM320" s="3178"/>
      <c r="AN320" s="1912" t="s">
        <v>28</v>
      </c>
      <c r="AO320" s="3177" t="str">
        <f>IF('2_入力シート【用途面積】'!S15="","",'2_入力シート【用途面積】'!S15)</f>
        <v/>
      </c>
      <c r="AP320" s="3178"/>
      <c r="AQ320" s="3178"/>
      <c r="AR320" s="3178"/>
      <c r="AS320" s="1912" t="s">
        <v>28</v>
      </c>
      <c r="AT320" s="1858"/>
      <c r="AU320" s="1872"/>
      <c r="AV320" s="1872"/>
    </row>
    <row r="321" spans="2:48" ht="12.95" customHeight="1" x14ac:dyDescent="0.15">
      <c r="B321" s="3296" t="s">
        <v>341</v>
      </c>
      <c r="C321" s="3297"/>
      <c r="D321" s="3297"/>
      <c r="E321" s="1911" t="s">
        <v>17</v>
      </c>
      <c r="F321" s="3177">
        <f>'2_入力シート【用途面積】'!E16</f>
        <v>0</v>
      </c>
      <c r="G321" s="3178"/>
      <c r="H321" s="3178"/>
      <c r="I321" s="3178"/>
      <c r="J321" s="1912" t="s">
        <v>28</v>
      </c>
      <c r="K321" s="3177" t="str">
        <f>IF('2_入力シート【用途面積】'!G16="","",'2_入力シート【用途面積】'!G16)</f>
        <v/>
      </c>
      <c r="L321" s="3178"/>
      <c r="M321" s="3178"/>
      <c r="N321" s="3178"/>
      <c r="O321" s="1912" t="s">
        <v>28</v>
      </c>
      <c r="P321" s="3177" t="str">
        <f>IF('2_入力シート【用途面積】'!I16="","",'2_入力シート【用途面積】'!I16)</f>
        <v/>
      </c>
      <c r="Q321" s="3178"/>
      <c r="R321" s="3178"/>
      <c r="S321" s="3178"/>
      <c r="T321" s="1912" t="s">
        <v>28</v>
      </c>
      <c r="U321" s="3177" t="str">
        <f>IF('2_入力シート【用途面積】'!K16="","",'2_入力シート【用途面積】'!K16)</f>
        <v/>
      </c>
      <c r="V321" s="3178"/>
      <c r="W321" s="3178"/>
      <c r="X321" s="3178"/>
      <c r="Y321" s="1912" t="s">
        <v>28</v>
      </c>
      <c r="Z321" s="3177" t="str">
        <f>IF('2_入力シート【用途面積】'!M16="","",'2_入力シート【用途面積】'!M16)</f>
        <v/>
      </c>
      <c r="AA321" s="3178"/>
      <c r="AB321" s="3178"/>
      <c r="AC321" s="3178"/>
      <c r="AD321" s="1912" t="s">
        <v>28</v>
      </c>
      <c r="AE321" s="3177" t="str">
        <f>IF('2_入力シート【用途面積】'!O16="","",'2_入力シート【用途面積】'!O16)</f>
        <v/>
      </c>
      <c r="AF321" s="3178"/>
      <c r="AG321" s="3178"/>
      <c r="AH321" s="3178"/>
      <c r="AI321" s="1912" t="s">
        <v>28</v>
      </c>
      <c r="AJ321" s="3177" t="str">
        <f>IF('2_入力シート【用途面積】'!Q16="","",'2_入力シート【用途面積】'!Q16)</f>
        <v/>
      </c>
      <c r="AK321" s="3178"/>
      <c r="AL321" s="3178"/>
      <c r="AM321" s="3178"/>
      <c r="AN321" s="1912" t="s">
        <v>28</v>
      </c>
      <c r="AO321" s="3177" t="str">
        <f>IF('2_入力シート【用途面積】'!S16="","",'2_入力シート【用途面積】'!S16)</f>
        <v/>
      </c>
      <c r="AP321" s="3178"/>
      <c r="AQ321" s="3178"/>
      <c r="AR321" s="3178"/>
      <c r="AS321" s="1912" t="s">
        <v>28</v>
      </c>
      <c r="AT321" s="1858"/>
      <c r="AU321" s="1872"/>
      <c r="AV321" s="1872"/>
    </row>
    <row r="322" spans="2:48" ht="12.95" customHeight="1" x14ac:dyDescent="0.15">
      <c r="B322" s="3300" t="s">
        <v>342</v>
      </c>
      <c r="C322" s="3301"/>
      <c r="D322" s="3301"/>
      <c r="E322" s="1911" t="s">
        <v>17</v>
      </c>
      <c r="F322" s="3179">
        <f>'2_入力シート【用途面積】'!E17</f>
        <v>0</v>
      </c>
      <c r="G322" s="3180"/>
      <c r="H322" s="3180"/>
      <c r="I322" s="3180"/>
      <c r="J322" s="1913" t="s">
        <v>28</v>
      </c>
      <c r="K322" s="3179" t="str">
        <f>IF('2_入力シート【用途面積】'!G17="","",'2_入力シート【用途面積】'!G17)</f>
        <v/>
      </c>
      <c r="L322" s="3180"/>
      <c r="M322" s="3180"/>
      <c r="N322" s="3180"/>
      <c r="O322" s="1913" t="s">
        <v>28</v>
      </c>
      <c r="P322" s="3179" t="str">
        <f>IF('2_入力シート【用途面積】'!I17="","",'2_入力シート【用途面積】'!I17)</f>
        <v/>
      </c>
      <c r="Q322" s="3180"/>
      <c r="R322" s="3180"/>
      <c r="S322" s="3180"/>
      <c r="T322" s="1913" t="s">
        <v>28</v>
      </c>
      <c r="U322" s="3179" t="str">
        <f>IF('2_入力シート【用途面積】'!K17="","",'2_入力シート【用途面積】'!K17)</f>
        <v/>
      </c>
      <c r="V322" s="3180"/>
      <c r="W322" s="3180"/>
      <c r="X322" s="3180"/>
      <c r="Y322" s="1913" t="s">
        <v>28</v>
      </c>
      <c r="Z322" s="3179" t="str">
        <f>IF('2_入力シート【用途面積】'!M17="","",'2_入力シート【用途面積】'!M17)</f>
        <v/>
      </c>
      <c r="AA322" s="3180"/>
      <c r="AB322" s="3180"/>
      <c r="AC322" s="3180"/>
      <c r="AD322" s="1913" t="s">
        <v>28</v>
      </c>
      <c r="AE322" s="3179" t="str">
        <f>IF('2_入力シート【用途面積】'!O17="","",'2_入力シート【用途面積】'!O17)</f>
        <v/>
      </c>
      <c r="AF322" s="3180"/>
      <c r="AG322" s="3180"/>
      <c r="AH322" s="3180"/>
      <c r="AI322" s="1913" t="s">
        <v>28</v>
      </c>
      <c r="AJ322" s="3179" t="str">
        <f>IF('2_入力シート【用途面積】'!Q17="","",'2_入力シート【用途面積】'!Q17)</f>
        <v/>
      </c>
      <c r="AK322" s="3180"/>
      <c r="AL322" s="3180"/>
      <c r="AM322" s="3180"/>
      <c r="AN322" s="1913" t="s">
        <v>28</v>
      </c>
      <c r="AO322" s="3179" t="str">
        <f>IF('2_入力シート【用途面積】'!S17="","",'2_入力シート【用途面積】'!S17)</f>
        <v/>
      </c>
      <c r="AP322" s="3180"/>
      <c r="AQ322" s="3180"/>
      <c r="AR322" s="3180"/>
      <c r="AS322" s="1913" t="s">
        <v>28</v>
      </c>
      <c r="AT322" s="1858"/>
      <c r="AU322" s="1872"/>
      <c r="AV322" s="1872"/>
    </row>
    <row r="323" spans="2:48" ht="12.95" customHeight="1" x14ac:dyDescent="0.15">
      <c r="B323" s="3302" t="s">
        <v>331</v>
      </c>
      <c r="C323" s="3303"/>
      <c r="D323" s="3303"/>
      <c r="E323" s="1914" t="s">
        <v>17</v>
      </c>
      <c r="F323" s="3181">
        <f>'2_入力シート【用途面積】'!E18</f>
        <v>0</v>
      </c>
      <c r="G323" s="3182"/>
      <c r="H323" s="3182"/>
      <c r="I323" s="3182"/>
      <c r="J323" s="1915" t="s">
        <v>28</v>
      </c>
      <c r="K323" s="3181" t="str">
        <f>IF('2_入力シート【用途面積】'!G18="","",'2_入力シート【用途面積】'!G18)</f>
        <v/>
      </c>
      <c r="L323" s="3182"/>
      <c r="M323" s="3182"/>
      <c r="N323" s="3182"/>
      <c r="O323" s="1915" t="s">
        <v>28</v>
      </c>
      <c r="P323" s="3181" t="str">
        <f>IF('2_入力シート【用途面積】'!I18="","",'2_入力シート【用途面積】'!I18)</f>
        <v/>
      </c>
      <c r="Q323" s="3182"/>
      <c r="R323" s="3182"/>
      <c r="S323" s="3182"/>
      <c r="T323" s="1915" t="s">
        <v>28</v>
      </c>
      <c r="U323" s="3181" t="str">
        <f>IF('2_入力シート【用途面積】'!K18="","",'2_入力シート【用途面積】'!K18)</f>
        <v/>
      </c>
      <c r="V323" s="3182"/>
      <c r="W323" s="3182"/>
      <c r="X323" s="3182"/>
      <c r="Y323" s="1915" t="s">
        <v>28</v>
      </c>
      <c r="Z323" s="3181" t="str">
        <f>IF('2_入力シート【用途面積】'!M18="","",'2_入力シート【用途面積】'!M18)</f>
        <v/>
      </c>
      <c r="AA323" s="3182"/>
      <c r="AB323" s="3182"/>
      <c r="AC323" s="3182"/>
      <c r="AD323" s="1915" t="s">
        <v>28</v>
      </c>
      <c r="AE323" s="3181" t="str">
        <f>IF('2_入力シート【用途面積】'!O18="","",'2_入力シート【用途面積】'!O18)</f>
        <v/>
      </c>
      <c r="AF323" s="3182"/>
      <c r="AG323" s="3182"/>
      <c r="AH323" s="3182"/>
      <c r="AI323" s="1915" t="s">
        <v>28</v>
      </c>
      <c r="AJ323" s="3181" t="str">
        <f>IF('2_入力シート【用途面積】'!Q18="","",'2_入力シート【用途面積】'!Q18)</f>
        <v/>
      </c>
      <c r="AK323" s="3182"/>
      <c r="AL323" s="3182"/>
      <c r="AM323" s="3182"/>
      <c r="AN323" s="1915" t="s">
        <v>28</v>
      </c>
      <c r="AO323" s="3181" t="str">
        <f>IF('2_入力シート【用途面積】'!S18="","",'2_入力シート【用途面積】'!S18)</f>
        <v/>
      </c>
      <c r="AP323" s="3182"/>
      <c r="AQ323" s="3182"/>
      <c r="AR323" s="3182"/>
      <c r="AS323" s="1915" t="s">
        <v>28</v>
      </c>
      <c r="AT323" s="1858"/>
      <c r="AU323" s="1872"/>
      <c r="AV323" s="1872"/>
    </row>
    <row r="324" spans="2:48" ht="12.95" customHeight="1" x14ac:dyDescent="0.15">
      <c r="B324" s="3296" t="s">
        <v>332</v>
      </c>
      <c r="C324" s="3297"/>
      <c r="D324" s="3297"/>
      <c r="E324" s="1911" t="s">
        <v>17</v>
      </c>
      <c r="F324" s="3177">
        <f>'2_入力シート【用途面積】'!E19</f>
        <v>0</v>
      </c>
      <c r="G324" s="3178"/>
      <c r="H324" s="3178"/>
      <c r="I324" s="3178"/>
      <c r="J324" s="1912" t="s">
        <v>28</v>
      </c>
      <c r="K324" s="3177" t="str">
        <f>IF('2_入力シート【用途面積】'!G19="","",'2_入力シート【用途面積】'!G19)</f>
        <v/>
      </c>
      <c r="L324" s="3178"/>
      <c r="M324" s="3178"/>
      <c r="N324" s="3178"/>
      <c r="O324" s="1912" t="s">
        <v>28</v>
      </c>
      <c r="P324" s="3177" t="str">
        <f>IF('2_入力シート【用途面積】'!I19="","",'2_入力シート【用途面積】'!I19)</f>
        <v/>
      </c>
      <c r="Q324" s="3178"/>
      <c r="R324" s="3178"/>
      <c r="S324" s="3178"/>
      <c r="T324" s="1912" t="s">
        <v>28</v>
      </c>
      <c r="U324" s="3177" t="str">
        <f>IF('2_入力シート【用途面積】'!K19="","",'2_入力シート【用途面積】'!K19)</f>
        <v/>
      </c>
      <c r="V324" s="3178"/>
      <c r="W324" s="3178"/>
      <c r="X324" s="3178"/>
      <c r="Y324" s="1912" t="s">
        <v>28</v>
      </c>
      <c r="Z324" s="3177" t="str">
        <f>IF('2_入力シート【用途面積】'!M19="","",'2_入力シート【用途面積】'!M19)</f>
        <v/>
      </c>
      <c r="AA324" s="3178"/>
      <c r="AB324" s="3178"/>
      <c r="AC324" s="3178"/>
      <c r="AD324" s="1912" t="s">
        <v>28</v>
      </c>
      <c r="AE324" s="3177" t="str">
        <f>IF('2_入力シート【用途面積】'!O19="","",'2_入力シート【用途面積】'!O19)</f>
        <v/>
      </c>
      <c r="AF324" s="3178"/>
      <c r="AG324" s="3178"/>
      <c r="AH324" s="3178"/>
      <c r="AI324" s="1912" t="s">
        <v>28</v>
      </c>
      <c r="AJ324" s="3177" t="str">
        <f>IF('2_入力シート【用途面積】'!Q19="","",'2_入力シート【用途面積】'!Q19)</f>
        <v/>
      </c>
      <c r="AK324" s="3178"/>
      <c r="AL324" s="3178"/>
      <c r="AM324" s="3178"/>
      <c r="AN324" s="1912" t="s">
        <v>28</v>
      </c>
      <c r="AO324" s="3177" t="str">
        <f>IF('2_入力シート【用途面積】'!S19="","",'2_入力シート【用途面積】'!S19)</f>
        <v/>
      </c>
      <c r="AP324" s="3178"/>
      <c r="AQ324" s="3178"/>
      <c r="AR324" s="3178"/>
      <c r="AS324" s="1912" t="s">
        <v>28</v>
      </c>
      <c r="AT324" s="1858"/>
      <c r="AU324" s="1872"/>
      <c r="AV324" s="1872"/>
    </row>
    <row r="325" spans="2:48" ht="12.95" customHeight="1" x14ac:dyDescent="0.15">
      <c r="B325" s="3296" t="s">
        <v>333</v>
      </c>
      <c r="C325" s="3297"/>
      <c r="D325" s="3297"/>
      <c r="E325" s="1911" t="s">
        <v>17</v>
      </c>
      <c r="F325" s="3177">
        <f>'2_入力シート【用途面積】'!E20</f>
        <v>0</v>
      </c>
      <c r="G325" s="3178"/>
      <c r="H325" s="3178"/>
      <c r="I325" s="3178"/>
      <c r="J325" s="1912" t="s">
        <v>28</v>
      </c>
      <c r="K325" s="3177" t="str">
        <f>IF('2_入力シート【用途面積】'!G20="","",'2_入力シート【用途面積】'!G20)</f>
        <v/>
      </c>
      <c r="L325" s="3178"/>
      <c r="M325" s="3178"/>
      <c r="N325" s="3178"/>
      <c r="O325" s="1912" t="s">
        <v>28</v>
      </c>
      <c r="P325" s="3177" t="str">
        <f>IF('2_入力シート【用途面積】'!I20="","",'2_入力シート【用途面積】'!I20)</f>
        <v/>
      </c>
      <c r="Q325" s="3178"/>
      <c r="R325" s="3178"/>
      <c r="S325" s="3178"/>
      <c r="T325" s="1912" t="s">
        <v>28</v>
      </c>
      <c r="U325" s="3177" t="str">
        <f>IF('2_入力シート【用途面積】'!K20="","",'2_入力シート【用途面積】'!K20)</f>
        <v/>
      </c>
      <c r="V325" s="3178"/>
      <c r="W325" s="3178"/>
      <c r="X325" s="3178"/>
      <c r="Y325" s="1912" t="s">
        <v>28</v>
      </c>
      <c r="Z325" s="3177" t="str">
        <f>IF('2_入力シート【用途面積】'!M20="","",'2_入力シート【用途面積】'!M20)</f>
        <v/>
      </c>
      <c r="AA325" s="3178"/>
      <c r="AB325" s="3178"/>
      <c r="AC325" s="3178"/>
      <c r="AD325" s="1912" t="s">
        <v>28</v>
      </c>
      <c r="AE325" s="3177" t="str">
        <f>IF('2_入力シート【用途面積】'!O20="","",'2_入力シート【用途面積】'!O20)</f>
        <v/>
      </c>
      <c r="AF325" s="3178"/>
      <c r="AG325" s="3178"/>
      <c r="AH325" s="3178"/>
      <c r="AI325" s="1912" t="s">
        <v>28</v>
      </c>
      <c r="AJ325" s="3177" t="str">
        <f>IF('2_入力シート【用途面積】'!Q20="","",'2_入力シート【用途面積】'!Q20)</f>
        <v/>
      </c>
      <c r="AK325" s="3178"/>
      <c r="AL325" s="3178"/>
      <c r="AM325" s="3178"/>
      <c r="AN325" s="1912" t="s">
        <v>28</v>
      </c>
      <c r="AO325" s="3177" t="str">
        <f>IF('2_入力シート【用途面積】'!S20="","",'2_入力シート【用途面積】'!S20)</f>
        <v/>
      </c>
      <c r="AP325" s="3178"/>
      <c r="AQ325" s="3178"/>
      <c r="AR325" s="3178"/>
      <c r="AS325" s="1912" t="s">
        <v>28</v>
      </c>
      <c r="AT325" s="1858"/>
      <c r="AU325" s="1872"/>
      <c r="AV325" s="1872"/>
    </row>
    <row r="326" spans="2:48" ht="12.95" customHeight="1" x14ac:dyDescent="0.15">
      <c r="B326" s="3296" t="s">
        <v>334</v>
      </c>
      <c r="C326" s="3297"/>
      <c r="D326" s="3297"/>
      <c r="E326" s="1911" t="s">
        <v>17</v>
      </c>
      <c r="F326" s="3177">
        <f>'2_入力シート【用途面積】'!E21</f>
        <v>0</v>
      </c>
      <c r="G326" s="3178"/>
      <c r="H326" s="3178"/>
      <c r="I326" s="3178"/>
      <c r="J326" s="1912" t="s">
        <v>28</v>
      </c>
      <c r="K326" s="3177" t="str">
        <f>IF('2_入力シート【用途面積】'!G21="","",'2_入力シート【用途面積】'!G21)</f>
        <v/>
      </c>
      <c r="L326" s="3178"/>
      <c r="M326" s="3178"/>
      <c r="N326" s="3178"/>
      <c r="O326" s="1912" t="s">
        <v>28</v>
      </c>
      <c r="P326" s="3177" t="str">
        <f>IF('2_入力シート【用途面積】'!I21="","",'2_入力シート【用途面積】'!I21)</f>
        <v/>
      </c>
      <c r="Q326" s="3178"/>
      <c r="R326" s="3178"/>
      <c r="S326" s="3178"/>
      <c r="T326" s="1912" t="s">
        <v>28</v>
      </c>
      <c r="U326" s="3177" t="str">
        <f>IF('2_入力シート【用途面積】'!K21="","",'2_入力シート【用途面積】'!K21)</f>
        <v/>
      </c>
      <c r="V326" s="3178"/>
      <c r="W326" s="3178"/>
      <c r="X326" s="3178"/>
      <c r="Y326" s="1912" t="s">
        <v>28</v>
      </c>
      <c r="Z326" s="3177" t="str">
        <f>IF('2_入力シート【用途面積】'!M21="","",'2_入力シート【用途面積】'!M21)</f>
        <v/>
      </c>
      <c r="AA326" s="3178"/>
      <c r="AB326" s="3178"/>
      <c r="AC326" s="3178"/>
      <c r="AD326" s="1912" t="s">
        <v>28</v>
      </c>
      <c r="AE326" s="3177" t="str">
        <f>IF('2_入力シート【用途面積】'!O21="","",'2_入力シート【用途面積】'!O21)</f>
        <v/>
      </c>
      <c r="AF326" s="3178"/>
      <c r="AG326" s="3178"/>
      <c r="AH326" s="3178"/>
      <c r="AI326" s="1912" t="s">
        <v>28</v>
      </c>
      <c r="AJ326" s="3177" t="str">
        <f>IF('2_入力シート【用途面積】'!Q21="","",'2_入力シート【用途面積】'!Q21)</f>
        <v/>
      </c>
      <c r="AK326" s="3178"/>
      <c r="AL326" s="3178"/>
      <c r="AM326" s="3178"/>
      <c r="AN326" s="1912" t="s">
        <v>28</v>
      </c>
      <c r="AO326" s="3177" t="str">
        <f>IF('2_入力シート【用途面積】'!S21="","",'2_入力シート【用途面積】'!S21)</f>
        <v/>
      </c>
      <c r="AP326" s="3178"/>
      <c r="AQ326" s="3178"/>
      <c r="AR326" s="3178"/>
      <c r="AS326" s="1912" t="s">
        <v>28</v>
      </c>
      <c r="AT326" s="1858"/>
      <c r="AU326" s="1872"/>
      <c r="AV326" s="1872"/>
    </row>
    <row r="327" spans="2:48" ht="12.95" customHeight="1" x14ac:dyDescent="0.15">
      <c r="B327" s="3300" t="s">
        <v>335</v>
      </c>
      <c r="C327" s="3301"/>
      <c r="D327" s="3301"/>
      <c r="E327" s="1916" t="s">
        <v>17</v>
      </c>
      <c r="F327" s="3179">
        <f>'2_入力シート【用途面積】'!E22</f>
        <v>0</v>
      </c>
      <c r="G327" s="3180"/>
      <c r="H327" s="3180"/>
      <c r="I327" s="3180"/>
      <c r="J327" s="1913" t="s">
        <v>28</v>
      </c>
      <c r="K327" s="3179" t="str">
        <f>IF('2_入力シート【用途面積】'!G22="","",'2_入力シート【用途面積】'!G22)</f>
        <v/>
      </c>
      <c r="L327" s="3180"/>
      <c r="M327" s="3180"/>
      <c r="N327" s="3180"/>
      <c r="O327" s="1913" t="s">
        <v>28</v>
      </c>
      <c r="P327" s="3179" t="str">
        <f>IF('2_入力シート【用途面積】'!I22="","",'2_入力シート【用途面積】'!I22)</f>
        <v/>
      </c>
      <c r="Q327" s="3180"/>
      <c r="R327" s="3180"/>
      <c r="S327" s="3180"/>
      <c r="T327" s="1913" t="s">
        <v>28</v>
      </c>
      <c r="U327" s="3179" t="str">
        <f>IF('2_入力シート【用途面積】'!K22="","",'2_入力シート【用途面積】'!K22)</f>
        <v/>
      </c>
      <c r="V327" s="3180"/>
      <c r="W327" s="3180"/>
      <c r="X327" s="3180"/>
      <c r="Y327" s="1913" t="s">
        <v>28</v>
      </c>
      <c r="Z327" s="3179" t="str">
        <f>IF('2_入力シート【用途面積】'!M22="","",'2_入力シート【用途面積】'!M22)</f>
        <v/>
      </c>
      <c r="AA327" s="3180"/>
      <c r="AB327" s="3180"/>
      <c r="AC327" s="3180"/>
      <c r="AD327" s="1913" t="s">
        <v>28</v>
      </c>
      <c r="AE327" s="3179" t="str">
        <f>IF('2_入力シート【用途面積】'!O22="","",'2_入力シート【用途面積】'!O22)</f>
        <v/>
      </c>
      <c r="AF327" s="3180"/>
      <c r="AG327" s="3180"/>
      <c r="AH327" s="3180"/>
      <c r="AI327" s="1913" t="s">
        <v>28</v>
      </c>
      <c r="AJ327" s="3179" t="str">
        <f>IF('2_入力シート【用途面積】'!Q22="","",'2_入力シート【用途面積】'!Q22)</f>
        <v/>
      </c>
      <c r="AK327" s="3180"/>
      <c r="AL327" s="3180"/>
      <c r="AM327" s="3180"/>
      <c r="AN327" s="1913" t="s">
        <v>28</v>
      </c>
      <c r="AO327" s="3179" t="str">
        <f>IF('2_入力シート【用途面積】'!S22="","",'2_入力シート【用途面積】'!S22)</f>
        <v/>
      </c>
      <c r="AP327" s="3180"/>
      <c r="AQ327" s="3180"/>
      <c r="AR327" s="3180"/>
      <c r="AS327" s="1913" t="s">
        <v>28</v>
      </c>
      <c r="AT327" s="1858"/>
      <c r="AU327" s="1872"/>
      <c r="AV327" s="1872"/>
    </row>
    <row r="328" spans="2:48" ht="12.95" customHeight="1" x14ac:dyDescent="0.15">
      <c r="B328" s="1917"/>
      <c r="C328" s="3309">
        <v>1</v>
      </c>
      <c r="D328" s="3310"/>
      <c r="E328" s="1914" t="s">
        <v>17</v>
      </c>
      <c r="F328" s="3181">
        <f>'2_入力シート【用途面積】'!E23</f>
        <v>0</v>
      </c>
      <c r="G328" s="3182"/>
      <c r="H328" s="3182"/>
      <c r="I328" s="3182"/>
      <c r="J328" s="1915" t="s">
        <v>28</v>
      </c>
      <c r="K328" s="3181" t="str">
        <f>IF('2_入力シート【用途面積】'!G23="","",'2_入力シート【用途面積】'!G23)</f>
        <v/>
      </c>
      <c r="L328" s="3182"/>
      <c r="M328" s="3182"/>
      <c r="N328" s="3182"/>
      <c r="O328" s="1915" t="s">
        <v>28</v>
      </c>
      <c r="P328" s="3181" t="str">
        <f>IF('2_入力シート【用途面積】'!I23="","",'2_入力シート【用途面積】'!I23)</f>
        <v/>
      </c>
      <c r="Q328" s="3182"/>
      <c r="R328" s="3182"/>
      <c r="S328" s="3182"/>
      <c r="T328" s="1915" t="s">
        <v>28</v>
      </c>
      <c r="U328" s="3181" t="str">
        <f>IF('2_入力シート【用途面積】'!K23="","",'2_入力シート【用途面積】'!K23)</f>
        <v/>
      </c>
      <c r="V328" s="3182"/>
      <c r="W328" s="3182"/>
      <c r="X328" s="3182"/>
      <c r="Y328" s="1915" t="s">
        <v>28</v>
      </c>
      <c r="Z328" s="3181" t="str">
        <f>IF('2_入力シート【用途面積】'!M23="","",'2_入力シート【用途面積】'!M23)</f>
        <v/>
      </c>
      <c r="AA328" s="3182"/>
      <c r="AB328" s="3182"/>
      <c r="AC328" s="3182"/>
      <c r="AD328" s="1915" t="s">
        <v>28</v>
      </c>
      <c r="AE328" s="3181" t="str">
        <f>IF('2_入力シート【用途面積】'!O23="","",'2_入力シート【用途面積】'!O23)</f>
        <v/>
      </c>
      <c r="AF328" s="3182"/>
      <c r="AG328" s="3182"/>
      <c r="AH328" s="3182"/>
      <c r="AI328" s="1915" t="s">
        <v>28</v>
      </c>
      <c r="AJ328" s="3181" t="str">
        <f>IF('2_入力シート【用途面積】'!Q23="","",'2_入力シート【用途面積】'!Q23)</f>
        <v/>
      </c>
      <c r="AK328" s="3182"/>
      <c r="AL328" s="3182"/>
      <c r="AM328" s="3182"/>
      <c r="AN328" s="1915" t="s">
        <v>28</v>
      </c>
      <c r="AO328" s="3181" t="str">
        <f>IF('2_入力シート【用途面積】'!S23="","",'2_入力シート【用途面積】'!S23)</f>
        <v/>
      </c>
      <c r="AP328" s="3182"/>
      <c r="AQ328" s="3182"/>
      <c r="AR328" s="3182"/>
      <c r="AS328" s="1915" t="s">
        <v>28</v>
      </c>
      <c r="AT328" s="1858"/>
      <c r="AU328" s="1872"/>
      <c r="AV328" s="1872"/>
    </row>
    <row r="329" spans="2:48" ht="12.95" customHeight="1" x14ac:dyDescent="0.15">
      <c r="B329" s="1918"/>
      <c r="C329" s="3298">
        <v>2</v>
      </c>
      <c r="D329" s="3299"/>
      <c r="E329" s="1911" t="s">
        <v>17</v>
      </c>
      <c r="F329" s="3177">
        <f>'2_入力シート【用途面積】'!E24</f>
        <v>0</v>
      </c>
      <c r="G329" s="3178"/>
      <c r="H329" s="3178"/>
      <c r="I329" s="3178"/>
      <c r="J329" s="1912" t="s">
        <v>28</v>
      </c>
      <c r="K329" s="3177" t="str">
        <f>IF('2_入力シート【用途面積】'!G24="","",'2_入力シート【用途面積】'!G24)</f>
        <v/>
      </c>
      <c r="L329" s="3178"/>
      <c r="M329" s="3178"/>
      <c r="N329" s="3178"/>
      <c r="O329" s="1912" t="s">
        <v>28</v>
      </c>
      <c r="P329" s="3177" t="str">
        <f>IF('2_入力シート【用途面積】'!I24="","",'2_入力シート【用途面積】'!I24)</f>
        <v/>
      </c>
      <c r="Q329" s="3178"/>
      <c r="R329" s="3178"/>
      <c r="S329" s="3178"/>
      <c r="T329" s="1912" t="s">
        <v>28</v>
      </c>
      <c r="U329" s="3177" t="str">
        <f>IF('2_入力シート【用途面積】'!K24="","",'2_入力シート【用途面積】'!K24)</f>
        <v/>
      </c>
      <c r="V329" s="3178"/>
      <c r="W329" s="3178"/>
      <c r="X329" s="3178"/>
      <c r="Y329" s="1912" t="s">
        <v>28</v>
      </c>
      <c r="Z329" s="3177" t="str">
        <f>IF('2_入力シート【用途面積】'!M24="","",'2_入力シート【用途面積】'!M24)</f>
        <v/>
      </c>
      <c r="AA329" s="3178"/>
      <c r="AB329" s="3178"/>
      <c r="AC329" s="3178"/>
      <c r="AD329" s="1912" t="s">
        <v>28</v>
      </c>
      <c r="AE329" s="3177" t="str">
        <f>IF('2_入力シート【用途面積】'!O24="","",'2_入力シート【用途面積】'!O24)</f>
        <v/>
      </c>
      <c r="AF329" s="3178"/>
      <c r="AG329" s="3178"/>
      <c r="AH329" s="3178"/>
      <c r="AI329" s="1912" t="s">
        <v>28</v>
      </c>
      <c r="AJ329" s="3177" t="str">
        <f>IF('2_入力シート【用途面積】'!Q24="","",'2_入力シート【用途面積】'!Q24)</f>
        <v/>
      </c>
      <c r="AK329" s="3178"/>
      <c r="AL329" s="3178"/>
      <c r="AM329" s="3178"/>
      <c r="AN329" s="1912" t="s">
        <v>28</v>
      </c>
      <c r="AO329" s="3177" t="str">
        <f>IF('2_入力シート【用途面積】'!S24="","",'2_入力シート【用途面積】'!S24)</f>
        <v/>
      </c>
      <c r="AP329" s="3178"/>
      <c r="AQ329" s="3178"/>
      <c r="AR329" s="3178"/>
      <c r="AS329" s="1912" t="s">
        <v>28</v>
      </c>
      <c r="AT329" s="1858"/>
      <c r="AU329" s="1872"/>
      <c r="AV329" s="1872"/>
    </row>
    <row r="330" spans="2:48" ht="12.95" customHeight="1" x14ac:dyDescent="0.15">
      <c r="B330" s="1918"/>
      <c r="C330" s="3298">
        <v>3</v>
      </c>
      <c r="D330" s="3299"/>
      <c r="E330" s="1911" t="s">
        <v>17</v>
      </c>
      <c r="F330" s="3177">
        <f>'2_入力シート【用途面積】'!E25</f>
        <v>0</v>
      </c>
      <c r="G330" s="3178"/>
      <c r="H330" s="3178"/>
      <c r="I330" s="3178"/>
      <c r="J330" s="1912" t="s">
        <v>28</v>
      </c>
      <c r="K330" s="3177" t="str">
        <f>IF('2_入力シート【用途面積】'!G25="","",'2_入力シート【用途面積】'!G25)</f>
        <v/>
      </c>
      <c r="L330" s="3178"/>
      <c r="M330" s="3178"/>
      <c r="N330" s="3178"/>
      <c r="O330" s="1912" t="s">
        <v>28</v>
      </c>
      <c r="P330" s="3177" t="str">
        <f>IF('2_入力シート【用途面積】'!I25="","",'2_入力シート【用途面積】'!I25)</f>
        <v/>
      </c>
      <c r="Q330" s="3178"/>
      <c r="R330" s="3178"/>
      <c r="S330" s="3178"/>
      <c r="T330" s="1912" t="s">
        <v>28</v>
      </c>
      <c r="U330" s="3177" t="str">
        <f>IF('2_入力シート【用途面積】'!K25="","",'2_入力シート【用途面積】'!K25)</f>
        <v/>
      </c>
      <c r="V330" s="3178"/>
      <c r="W330" s="3178"/>
      <c r="X330" s="3178"/>
      <c r="Y330" s="1912" t="s">
        <v>28</v>
      </c>
      <c r="Z330" s="3177" t="str">
        <f>IF('2_入力シート【用途面積】'!M25="","",'2_入力シート【用途面積】'!M25)</f>
        <v/>
      </c>
      <c r="AA330" s="3178"/>
      <c r="AB330" s="3178"/>
      <c r="AC330" s="3178"/>
      <c r="AD330" s="1912" t="s">
        <v>28</v>
      </c>
      <c r="AE330" s="3177" t="str">
        <f>IF('2_入力シート【用途面積】'!O25="","",'2_入力シート【用途面積】'!O25)</f>
        <v/>
      </c>
      <c r="AF330" s="3178"/>
      <c r="AG330" s="3178"/>
      <c r="AH330" s="3178"/>
      <c r="AI330" s="1912" t="s">
        <v>28</v>
      </c>
      <c r="AJ330" s="3177" t="str">
        <f>IF('2_入力シート【用途面積】'!Q25="","",'2_入力シート【用途面積】'!Q25)</f>
        <v/>
      </c>
      <c r="AK330" s="3178"/>
      <c r="AL330" s="3178"/>
      <c r="AM330" s="3178"/>
      <c r="AN330" s="1912" t="s">
        <v>28</v>
      </c>
      <c r="AO330" s="3177" t="str">
        <f>IF('2_入力シート【用途面積】'!S25="","",'2_入力シート【用途面積】'!S25)</f>
        <v/>
      </c>
      <c r="AP330" s="3178"/>
      <c r="AQ330" s="3178"/>
      <c r="AR330" s="3178"/>
      <c r="AS330" s="1912" t="s">
        <v>28</v>
      </c>
      <c r="AT330" s="1919"/>
      <c r="AU330" s="1872"/>
      <c r="AV330" s="1872"/>
    </row>
    <row r="331" spans="2:48" ht="12.95" customHeight="1" x14ac:dyDescent="0.15">
      <c r="B331" s="1918"/>
      <c r="C331" s="3298">
        <v>4</v>
      </c>
      <c r="D331" s="3299"/>
      <c r="E331" s="1911" t="s">
        <v>17</v>
      </c>
      <c r="F331" s="3177">
        <f>'2_入力シート【用途面積】'!E26</f>
        <v>0</v>
      </c>
      <c r="G331" s="3178"/>
      <c r="H331" s="3178"/>
      <c r="I331" s="3178"/>
      <c r="J331" s="1912" t="s">
        <v>28</v>
      </c>
      <c r="K331" s="3177" t="str">
        <f>IF('2_入力シート【用途面積】'!G26="","",'2_入力シート【用途面積】'!G26)</f>
        <v/>
      </c>
      <c r="L331" s="3178"/>
      <c r="M331" s="3178"/>
      <c r="N331" s="3178"/>
      <c r="O331" s="1912" t="s">
        <v>28</v>
      </c>
      <c r="P331" s="3177" t="str">
        <f>IF('2_入力シート【用途面積】'!I26="","",'2_入力シート【用途面積】'!I26)</f>
        <v/>
      </c>
      <c r="Q331" s="3178"/>
      <c r="R331" s="3178"/>
      <c r="S331" s="3178"/>
      <c r="T331" s="1912" t="s">
        <v>28</v>
      </c>
      <c r="U331" s="3177" t="str">
        <f>IF('2_入力シート【用途面積】'!K26="","",'2_入力シート【用途面積】'!K26)</f>
        <v/>
      </c>
      <c r="V331" s="3178"/>
      <c r="W331" s="3178"/>
      <c r="X331" s="3178"/>
      <c r="Y331" s="1912" t="s">
        <v>28</v>
      </c>
      <c r="Z331" s="3177" t="str">
        <f>IF('2_入力シート【用途面積】'!M26="","",'2_入力シート【用途面積】'!M26)</f>
        <v/>
      </c>
      <c r="AA331" s="3178"/>
      <c r="AB331" s="3178"/>
      <c r="AC331" s="3178"/>
      <c r="AD331" s="1912" t="s">
        <v>28</v>
      </c>
      <c r="AE331" s="3177" t="str">
        <f>IF('2_入力シート【用途面積】'!O26="","",'2_入力シート【用途面積】'!O26)</f>
        <v/>
      </c>
      <c r="AF331" s="3178"/>
      <c r="AG331" s="3178"/>
      <c r="AH331" s="3178"/>
      <c r="AI331" s="1912" t="s">
        <v>28</v>
      </c>
      <c r="AJ331" s="3177" t="str">
        <f>IF('2_入力シート【用途面積】'!Q26="","",'2_入力シート【用途面積】'!Q26)</f>
        <v/>
      </c>
      <c r="AK331" s="3178"/>
      <c r="AL331" s="3178"/>
      <c r="AM331" s="3178"/>
      <c r="AN331" s="1912" t="s">
        <v>28</v>
      </c>
      <c r="AO331" s="3177" t="str">
        <f>IF('2_入力シート【用途面積】'!S26="","",'2_入力シート【用途面積】'!S26)</f>
        <v/>
      </c>
      <c r="AP331" s="3178"/>
      <c r="AQ331" s="3178"/>
      <c r="AR331" s="3178"/>
      <c r="AS331" s="1912" t="s">
        <v>28</v>
      </c>
      <c r="AT331" s="1858"/>
      <c r="AU331" s="1872"/>
      <c r="AV331" s="1872"/>
    </row>
    <row r="332" spans="2:48" ht="12.95" customHeight="1" x14ac:dyDescent="0.15">
      <c r="B332" s="1920"/>
      <c r="C332" s="3292">
        <v>5</v>
      </c>
      <c r="D332" s="3293"/>
      <c r="E332" s="1916" t="s">
        <v>17</v>
      </c>
      <c r="F332" s="3179">
        <f>'2_入力シート【用途面積】'!E27</f>
        <v>0</v>
      </c>
      <c r="G332" s="3180"/>
      <c r="H332" s="3180"/>
      <c r="I332" s="3180"/>
      <c r="J332" s="1913" t="s">
        <v>28</v>
      </c>
      <c r="K332" s="3179" t="str">
        <f>IF('2_入力シート【用途面積】'!G27="","",'2_入力シート【用途面積】'!G27)</f>
        <v/>
      </c>
      <c r="L332" s="3180"/>
      <c r="M332" s="3180"/>
      <c r="N332" s="3180"/>
      <c r="O332" s="1913" t="s">
        <v>28</v>
      </c>
      <c r="P332" s="3179" t="str">
        <f>IF('2_入力シート【用途面積】'!I27="","",'2_入力シート【用途面積】'!I27)</f>
        <v/>
      </c>
      <c r="Q332" s="3180"/>
      <c r="R332" s="3180"/>
      <c r="S332" s="3180"/>
      <c r="T332" s="1913" t="s">
        <v>28</v>
      </c>
      <c r="U332" s="3179" t="str">
        <f>IF('2_入力シート【用途面積】'!K27="","",'2_入力シート【用途面積】'!K27)</f>
        <v/>
      </c>
      <c r="V332" s="3180"/>
      <c r="W332" s="3180"/>
      <c r="X332" s="3180"/>
      <c r="Y332" s="1913" t="s">
        <v>28</v>
      </c>
      <c r="Z332" s="3179" t="str">
        <f>IF('2_入力シート【用途面積】'!M27="","",'2_入力シート【用途面積】'!M27)</f>
        <v/>
      </c>
      <c r="AA332" s="3180"/>
      <c r="AB332" s="3180"/>
      <c r="AC332" s="3180"/>
      <c r="AD332" s="1913" t="s">
        <v>28</v>
      </c>
      <c r="AE332" s="3179" t="str">
        <f>IF('2_入力シート【用途面積】'!O27="","",'2_入力シート【用途面積】'!O27)</f>
        <v/>
      </c>
      <c r="AF332" s="3180"/>
      <c r="AG332" s="3180"/>
      <c r="AH332" s="3180"/>
      <c r="AI332" s="1913" t="s">
        <v>28</v>
      </c>
      <c r="AJ332" s="3179" t="str">
        <f>IF('2_入力シート【用途面積】'!Q27="","",'2_入力シート【用途面積】'!Q27)</f>
        <v/>
      </c>
      <c r="AK332" s="3180"/>
      <c r="AL332" s="3180"/>
      <c r="AM332" s="3180"/>
      <c r="AN332" s="1913" t="s">
        <v>28</v>
      </c>
      <c r="AO332" s="3179" t="str">
        <f>IF('2_入力シート【用途面積】'!S27="","",'2_入力シート【用途面積】'!S27)</f>
        <v/>
      </c>
      <c r="AP332" s="3180"/>
      <c r="AQ332" s="3180"/>
      <c r="AR332" s="3180"/>
      <c r="AS332" s="1913" t="s">
        <v>28</v>
      </c>
      <c r="AT332" s="1858"/>
      <c r="AU332" s="1872"/>
      <c r="AV332" s="1872"/>
    </row>
    <row r="333" spans="2:48" ht="12.95" customHeight="1" x14ac:dyDescent="0.15">
      <c r="B333" s="1917"/>
      <c r="C333" s="3298">
        <v>6</v>
      </c>
      <c r="D333" s="3299"/>
      <c r="E333" s="1914" t="s">
        <v>17</v>
      </c>
      <c r="F333" s="3181">
        <f>'2_入力シート【用途面積】'!E28</f>
        <v>0</v>
      </c>
      <c r="G333" s="3182"/>
      <c r="H333" s="3182"/>
      <c r="I333" s="3182"/>
      <c r="J333" s="1915" t="s">
        <v>28</v>
      </c>
      <c r="K333" s="3181" t="str">
        <f>IF('2_入力シート【用途面積】'!G28="","",'2_入力シート【用途面積】'!G28)</f>
        <v/>
      </c>
      <c r="L333" s="3182"/>
      <c r="M333" s="3182"/>
      <c r="N333" s="3182"/>
      <c r="O333" s="1915" t="s">
        <v>28</v>
      </c>
      <c r="P333" s="3181" t="str">
        <f>IF('2_入力シート【用途面積】'!I28="","",'2_入力シート【用途面積】'!I28)</f>
        <v/>
      </c>
      <c r="Q333" s="3182"/>
      <c r="R333" s="3182"/>
      <c r="S333" s="3182"/>
      <c r="T333" s="1915" t="s">
        <v>28</v>
      </c>
      <c r="U333" s="3181" t="str">
        <f>IF('2_入力シート【用途面積】'!K28="","",'2_入力シート【用途面積】'!K28)</f>
        <v/>
      </c>
      <c r="V333" s="3182"/>
      <c r="W333" s="3182"/>
      <c r="X333" s="3182"/>
      <c r="Y333" s="1915" t="s">
        <v>28</v>
      </c>
      <c r="Z333" s="3181" t="str">
        <f>IF('2_入力シート【用途面積】'!M28="","",'2_入力シート【用途面積】'!M28)</f>
        <v/>
      </c>
      <c r="AA333" s="3182"/>
      <c r="AB333" s="3182"/>
      <c r="AC333" s="3182"/>
      <c r="AD333" s="1915" t="s">
        <v>28</v>
      </c>
      <c r="AE333" s="3181" t="str">
        <f>IF('2_入力シート【用途面積】'!O28="","",'2_入力シート【用途面積】'!O28)</f>
        <v/>
      </c>
      <c r="AF333" s="3182"/>
      <c r="AG333" s="3182"/>
      <c r="AH333" s="3182"/>
      <c r="AI333" s="1915" t="s">
        <v>28</v>
      </c>
      <c r="AJ333" s="3181" t="str">
        <f>IF('2_入力シート【用途面積】'!Q28="","",'2_入力シート【用途面積】'!Q28)</f>
        <v/>
      </c>
      <c r="AK333" s="3182"/>
      <c r="AL333" s="3182"/>
      <c r="AM333" s="3182"/>
      <c r="AN333" s="1915" t="s">
        <v>28</v>
      </c>
      <c r="AO333" s="3181" t="str">
        <f>IF('2_入力シート【用途面積】'!S28="","",'2_入力シート【用途面積】'!S28)</f>
        <v/>
      </c>
      <c r="AP333" s="3182"/>
      <c r="AQ333" s="3182"/>
      <c r="AR333" s="3182"/>
      <c r="AS333" s="1915" t="s">
        <v>28</v>
      </c>
      <c r="AT333" s="1858"/>
      <c r="AU333" s="1872"/>
      <c r="AV333" s="1872"/>
    </row>
    <row r="334" spans="2:48" ht="12.95" customHeight="1" x14ac:dyDescent="0.15">
      <c r="B334" s="1918"/>
      <c r="C334" s="3298">
        <v>7</v>
      </c>
      <c r="D334" s="3299"/>
      <c r="E334" s="1911" t="s">
        <v>17</v>
      </c>
      <c r="F334" s="3177">
        <f>'2_入力シート【用途面積】'!E29</f>
        <v>0</v>
      </c>
      <c r="G334" s="3178"/>
      <c r="H334" s="3178"/>
      <c r="I334" s="3178"/>
      <c r="J334" s="1912" t="s">
        <v>28</v>
      </c>
      <c r="K334" s="3177" t="str">
        <f>IF('2_入力シート【用途面積】'!G29="","",'2_入力シート【用途面積】'!G29)</f>
        <v/>
      </c>
      <c r="L334" s="3178"/>
      <c r="M334" s="3178"/>
      <c r="N334" s="3178"/>
      <c r="O334" s="1912" t="s">
        <v>28</v>
      </c>
      <c r="P334" s="3177" t="str">
        <f>IF('2_入力シート【用途面積】'!I29="","",'2_入力シート【用途面積】'!I29)</f>
        <v/>
      </c>
      <c r="Q334" s="3178"/>
      <c r="R334" s="3178"/>
      <c r="S334" s="3178"/>
      <c r="T334" s="1912" t="s">
        <v>28</v>
      </c>
      <c r="U334" s="3177" t="str">
        <f>IF('2_入力シート【用途面積】'!K29="","",'2_入力シート【用途面積】'!K29)</f>
        <v/>
      </c>
      <c r="V334" s="3178"/>
      <c r="W334" s="3178"/>
      <c r="X334" s="3178"/>
      <c r="Y334" s="1912" t="s">
        <v>28</v>
      </c>
      <c r="Z334" s="3177" t="str">
        <f>IF('2_入力シート【用途面積】'!M29="","",'2_入力シート【用途面積】'!M29)</f>
        <v/>
      </c>
      <c r="AA334" s="3178"/>
      <c r="AB334" s="3178"/>
      <c r="AC334" s="3178"/>
      <c r="AD334" s="1912" t="s">
        <v>28</v>
      </c>
      <c r="AE334" s="3177" t="str">
        <f>IF('2_入力シート【用途面積】'!O29="","",'2_入力シート【用途面積】'!O29)</f>
        <v/>
      </c>
      <c r="AF334" s="3178"/>
      <c r="AG334" s="3178"/>
      <c r="AH334" s="3178"/>
      <c r="AI334" s="1912" t="s">
        <v>28</v>
      </c>
      <c r="AJ334" s="3177" t="str">
        <f>IF('2_入力シート【用途面積】'!Q29="","",'2_入力シート【用途面積】'!Q29)</f>
        <v/>
      </c>
      <c r="AK334" s="3178"/>
      <c r="AL334" s="3178"/>
      <c r="AM334" s="3178"/>
      <c r="AN334" s="1912" t="s">
        <v>28</v>
      </c>
      <c r="AO334" s="3177" t="str">
        <f>IF('2_入力シート【用途面積】'!S29="","",'2_入力シート【用途面積】'!S29)</f>
        <v/>
      </c>
      <c r="AP334" s="3178"/>
      <c r="AQ334" s="3178"/>
      <c r="AR334" s="3178"/>
      <c r="AS334" s="1912" t="s">
        <v>28</v>
      </c>
      <c r="AT334" s="1919"/>
      <c r="AU334" s="1872"/>
      <c r="AV334" s="1872"/>
    </row>
    <row r="335" spans="2:48" ht="12.95" customHeight="1" x14ac:dyDescent="0.15">
      <c r="B335" s="1918"/>
      <c r="C335" s="3298">
        <v>8</v>
      </c>
      <c r="D335" s="3299"/>
      <c r="E335" s="1911" t="s">
        <v>17</v>
      </c>
      <c r="F335" s="3177">
        <f>'2_入力シート【用途面積】'!E30</f>
        <v>0</v>
      </c>
      <c r="G335" s="3178"/>
      <c r="H335" s="3178"/>
      <c r="I335" s="3178"/>
      <c r="J335" s="1912" t="s">
        <v>28</v>
      </c>
      <c r="K335" s="3177" t="str">
        <f>IF('2_入力シート【用途面積】'!G30="","",'2_入力シート【用途面積】'!G30)</f>
        <v/>
      </c>
      <c r="L335" s="3178"/>
      <c r="M335" s="3178"/>
      <c r="N335" s="3178"/>
      <c r="O335" s="1912" t="s">
        <v>28</v>
      </c>
      <c r="P335" s="3177" t="str">
        <f>IF('2_入力シート【用途面積】'!I30="","",'2_入力シート【用途面積】'!I30)</f>
        <v/>
      </c>
      <c r="Q335" s="3178"/>
      <c r="R335" s="3178"/>
      <c r="S335" s="3178"/>
      <c r="T335" s="1912" t="s">
        <v>28</v>
      </c>
      <c r="U335" s="3177" t="str">
        <f>IF('2_入力シート【用途面積】'!K30="","",'2_入力シート【用途面積】'!K30)</f>
        <v/>
      </c>
      <c r="V335" s="3178"/>
      <c r="W335" s="3178"/>
      <c r="X335" s="3178"/>
      <c r="Y335" s="1912" t="s">
        <v>28</v>
      </c>
      <c r="Z335" s="3177" t="str">
        <f>IF('2_入力シート【用途面積】'!M30="","",'2_入力シート【用途面積】'!M30)</f>
        <v/>
      </c>
      <c r="AA335" s="3178"/>
      <c r="AB335" s="3178"/>
      <c r="AC335" s="3178"/>
      <c r="AD335" s="1912" t="s">
        <v>28</v>
      </c>
      <c r="AE335" s="3177" t="str">
        <f>IF('2_入力シート【用途面積】'!O30="","",'2_入力シート【用途面積】'!O30)</f>
        <v/>
      </c>
      <c r="AF335" s="3178"/>
      <c r="AG335" s="3178"/>
      <c r="AH335" s="3178"/>
      <c r="AI335" s="1912" t="s">
        <v>28</v>
      </c>
      <c r="AJ335" s="3177" t="str">
        <f>IF('2_入力シート【用途面積】'!Q30="","",'2_入力シート【用途面積】'!Q30)</f>
        <v/>
      </c>
      <c r="AK335" s="3178"/>
      <c r="AL335" s="3178"/>
      <c r="AM335" s="3178"/>
      <c r="AN335" s="1912" t="s">
        <v>28</v>
      </c>
      <c r="AO335" s="3177" t="str">
        <f>IF('2_入力シート【用途面積】'!S30="","",'2_入力シート【用途面積】'!S30)</f>
        <v/>
      </c>
      <c r="AP335" s="3178"/>
      <c r="AQ335" s="3178"/>
      <c r="AR335" s="3178"/>
      <c r="AS335" s="1912" t="s">
        <v>28</v>
      </c>
      <c r="AT335" s="1858"/>
      <c r="AU335" s="1872"/>
      <c r="AV335" s="1872"/>
    </row>
    <row r="336" spans="2:48" ht="12.95" customHeight="1" x14ac:dyDescent="0.15">
      <c r="B336" s="1918"/>
      <c r="C336" s="3298">
        <v>9</v>
      </c>
      <c r="D336" s="3299"/>
      <c r="E336" s="1911" t="s">
        <v>17</v>
      </c>
      <c r="F336" s="3177">
        <f>'2_入力シート【用途面積】'!E31</f>
        <v>0</v>
      </c>
      <c r="G336" s="3178"/>
      <c r="H336" s="3178"/>
      <c r="I336" s="3178"/>
      <c r="J336" s="1912" t="s">
        <v>28</v>
      </c>
      <c r="K336" s="3177" t="str">
        <f>IF('2_入力シート【用途面積】'!G31="","",'2_入力シート【用途面積】'!G31)</f>
        <v/>
      </c>
      <c r="L336" s="3178"/>
      <c r="M336" s="3178"/>
      <c r="N336" s="3178"/>
      <c r="O336" s="1912" t="s">
        <v>28</v>
      </c>
      <c r="P336" s="3177" t="str">
        <f>IF('2_入力シート【用途面積】'!I31="","",'2_入力シート【用途面積】'!I31)</f>
        <v/>
      </c>
      <c r="Q336" s="3178"/>
      <c r="R336" s="3178"/>
      <c r="S336" s="3178"/>
      <c r="T336" s="1912" t="s">
        <v>28</v>
      </c>
      <c r="U336" s="3177" t="str">
        <f>IF('2_入力シート【用途面積】'!K31="","",'2_入力シート【用途面積】'!K31)</f>
        <v/>
      </c>
      <c r="V336" s="3178"/>
      <c r="W336" s="3178"/>
      <c r="X336" s="3178"/>
      <c r="Y336" s="1912" t="s">
        <v>28</v>
      </c>
      <c r="Z336" s="3177" t="str">
        <f>IF('2_入力シート【用途面積】'!M31="","",'2_入力シート【用途面積】'!M31)</f>
        <v/>
      </c>
      <c r="AA336" s="3178"/>
      <c r="AB336" s="3178"/>
      <c r="AC336" s="3178"/>
      <c r="AD336" s="1912" t="s">
        <v>28</v>
      </c>
      <c r="AE336" s="3177" t="str">
        <f>IF('2_入力シート【用途面積】'!O31="","",'2_入力シート【用途面積】'!O31)</f>
        <v/>
      </c>
      <c r="AF336" s="3178"/>
      <c r="AG336" s="3178"/>
      <c r="AH336" s="3178"/>
      <c r="AI336" s="1912" t="s">
        <v>28</v>
      </c>
      <c r="AJ336" s="3177" t="str">
        <f>IF('2_入力シート【用途面積】'!Q31="","",'2_入力シート【用途面積】'!Q31)</f>
        <v/>
      </c>
      <c r="AK336" s="3178"/>
      <c r="AL336" s="3178"/>
      <c r="AM336" s="3178"/>
      <c r="AN336" s="1912" t="s">
        <v>28</v>
      </c>
      <c r="AO336" s="3177" t="str">
        <f>IF('2_入力シート【用途面積】'!S31="","",'2_入力シート【用途面積】'!S31)</f>
        <v/>
      </c>
      <c r="AP336" s="3178"/>
      <c r="AQ336" s="3178"/>
      <c r="AR336" s="3178"/>
      <c r="AS336" s="1912" t="s">
        <v>28</v>
      </c>
      <c r="AT336" s="1858"/>
      <c r="AU336" s="1872"/>
      <c r="AV336" s="1872"/>
    </row>
    <row r="337" spans="2:48" ht="12.95" customHeight="1" x14ac:dyDescent="0.15">
      <c r="B337" s="1920"/>
      <c r="C337" s="3292">
        <v>10</v>
      </c>
      <c r="D337" s="3293"/>
      <c r="E337" s="1916" t="s">
        <v>17</v>
      </c>
      <c r="F337" s="3179">
        <f>'2_入力シート【用途面積】'!E32</f>
        <v>0</v>
      </c>
      <c r="G337" s="3180"/>
      <c r="H337" s="3180"/>
      <c r="I337" s="3180"/>
      <c r="J337" s="1913" t="s">
        <v>28</v>
      </c>
      <c r="K337" s="3179" t="str">
        <f>IF('2_入力シート【用途面積】'!G32="","",'2_入力シート【用途面積】'!G32)</f>
        <v/>
      </c>
      <c r="L337" s="3180"/>
      <c r="M337" s="3180"/>
      <c r="N337" s="3180"/>
      <c r="O337" s="1913" t="s">
        <v>28</v>
      </c>
      <c r="P337" s="3179" t="str">
        <f>IF('2_入力シート【用途面積】'!I32="","",'2_入力シート【用途面積】'!I32)</f>
        <v/>
      </c>
      <c r="Q337" s="3180"/>
      <c r="R337" s="3180"/>
      <c r="S337" s="3180"/>
      <c r="T337" s="1913" t="s">
        <v>28</v>
      </c>
      <c r="U337" s="3179" t="str">
        <f>IF('2_入力シート【用途面積】'!K32="","",'2_入力シート【用途面積】'!K32)</f>
        <v/>
      </c>
      <c r="V337" s="3180"/>
      <c r="W337" s="3180"/>
      <c r="X337" s="3180"/>
      <c r="Y337" s="1913" t="s">
        <v>28</v>
      </c>
      <c r="Z337" s="3179" t="str">
        <f>IF('2_入力シート【用途面積】'!M32="","",'2_入力シート【用途面積】'!M32)</f>
        <v/>
      </c>
      <c r="AA337" s="3180"/>
      <c r="AB337" s="3180"/>
      <c r="AC337" s="3180"/>
      <c r="AD337" s="1913" t="s">
        <v>28</v>
      </c>
      <c r="AE337" s="3179" t="str">
        <f>IF('2_入力シート【用途面積】'!O32="","",'2_入力シート【用途面積】'!O32)</f>
        <v/>
      </c>
      <c r="AF337" s="3180"/>
      <c r="AG337" s="3180"/>
      <c r="AH337" s="3180"/>
      <c r="AI337" s="1913" t="s">
        <v>28</v>
      </c>
      <c r="AJ337" s="3179" t="str">
        <f>IF('2_入力シート【用途面積】'!Q32="","",'2_入力シート【用途面積】'!Q32)</f>
        <v/>
      </c>
      <c r="AK337" s="3180"/>
      <c r="AL337" s="3180"/>
      <c r="AM337" s="3180"/>
      <c r="AN337" s="1913" t="s">
        <v>28</v>
      </c>
      <c r="AO337" s="3179" t="str">
        <f>IF('2_入力シート【用途面積】'!S32="","",'2_入力シート【用途面積】'!S32)</f>
        <v/>
      </c>
      <c r="AP337" s="3180"/>
      <c r="AQ337" s="3180"/>
      <c r="AR337" s="3180"/>
      <c r="AS337" s="1913" t="s">
        <v>28</v>
      </c>
      <c r="AT337" s="1858"/>
      <c r="AU337" s="1872"/>
      <c r="AV337" s="1872"/>
    </row>
    <row r="338" spans="2:48" ht="12.95" customHeight="1" x14ac:dyDescent="0.15">
      <c r="B338" s="1917"/>
      <c r="C338" s="3298">
        <v>11</v>
      </c>
      <c r="D338" s="3299"/>
      <c r="E338" s="1914" t="s">
        <v>17</v>
      </c>
      <c r="F338" s="3181">
        <f>'2_入力シート【用途面積】'!E33</f>
        <v>0</v>
      </c>
      <c r="G338" s="3182"/>
      <c r="H338" s="3182"/>
      <c r="I338" s="3182"/>
      <c r="J338" s="1915" t="s">
        <v>28</v>
      </c>
      <c r="K338" s="3181" t="str">
        <f>IF('2_入力シート【用途面積】'!G33="","",'2_入力シート【用途面積】'!G33)</f>
        <v/>
      </c>
      <c r="L338" s="3182"/>
      <c r="M338" s="3182"/>
      <c r="N338" s="3182"/>
      <c r="O338" s="1915" t="s">
        <v>28</v>
      </c>
      <c r="P338" s="3181" t="str">
        <f>IF('2_入力シート【用途面積】'!I33="","",'2_入力シート【用途面積】'!I33)</f>
        <v/>
      </c>
      <c r="Q338" s="3182"/>
      <c r="R338" s="3182"/>
      <c r="S338" s="3182"/>
      <c r="T338" s="1915" t="s">
        <v>28</v>
      </c>
      <c r="U338" s="3181" t="str">
        <f>IF('2_入力シート【用途面積】'!K33="","",'2_入力シート【用途面積】'!K33)</f>
        <v/>
      </c>
      <c r="V338" s="3182"/>
      <c r="W338" s="3182"/>
      <c r="X338" s="3182"/>
      <c r="Y338" s="1915" t="s">
        <v>28</v>
      </c>
      <c r="Z338" s="3181" t="str">
        <f>IF('2_入力シート【用途面積】'!M33="","",'2_入力シート【用途面積】'!M33)</f>
        <v/>
      </c>
      <c r="AA338" s="3182"/>
      <c r="AB338" s="3182"/>
      <c r="AC338" s="3182"/>
      <c r="AD338" s="1915" t="s">
        <v>28</v>
      </c>
      <c r="AE338" s="3181" t="str">
        <f>IF('2_入力シート【用途面積】'!O33="","",'2_入力シート【用途面積】'!O33)</f>
        <v/>
      </c>
      <c r="AF338" s="3182"/>
      <c r="AG338" s="3182"/>
      <c r="AH338" s="3182"/>
      <c r="AI338" s="1915" t="s">
        <v>28</v>
      </c>
      <c r="AJ338" s="3181" t="str">
        <f>IF('2_入力シート【用途面積】'!Q33="","",'2_入力シート【用途面積】'!Q33)</f>
        <v/>
      </c>
      <c r="AK338" s="3182"/>
      <c r="AL338" s="3182"/>
      <c r="AM338" s="3182"/>
      <c r="AN338" s="1915" t="s">
        <v>28</v>
      </c>
      <c r="AO338" s="3181" t="str">
        <f>IF('2_入力シート【用途面積】'!S33="","",'2_入力シート【用途面積】'!S33)</f>
        <v/>
      </c>
      <c r="AP338" s="3182"/>
      <c r="AQ338" s="3182"/>
      <c r="AR338" s="3182"/>
      <c r="AS338" s="1915" t="s">
        <v>28</v>
      </c>
      <c r="AT338" s="1919"/>
      <c r="AU338" s="1872"/>
      <c r="AV338" s="1872"/>
    </row>
    <row r="339" spans="2:48" ht="12.95" customHeight="1" x14ac:dyDescent="0.15">
      <c r="B339" s="1918"/>
      <c r="C339" s="3298">
        <v>12</v>
      </c>
      <c r="D339" s="3299"/>
      <c r="E339" s="1911" t="s">
        <v>17</v>
      </c>
      <c r="F339" s="3177">
        <f>'2_入力シート【用途面積】'!E34</f>
        <v>0</v>
      </c>
      <c r="G339" s="3178"/>
      <c r="H339" s="3178"/>
      <c r="I339" s="3178"/>
      <c r="J339" s="1912" t="s">
        <v>28</v>
      </c>
      <c r="K339" s="3177" t="str">
        <f>IF('2_入力シート【用途面積】'!G34="","",'2_入力シート【用途面積】'!G34)</f>
        <v/>
      </c>
      <c r="L339" s="3178"/>
      <c r="M339" s="3178"/>
      <c r="N339" s="3178"/>
      <c r="O339" s="1912" t="s">
        <v>28</v>
      </c>
      <c r="P339" s="3177" t="str">
        <f>IF('2_入力シート【用途面積】'!I34="","",'2_入力シート【用途面積】'!I34)</f>
        <v/>
      </c>
      <c r="Q339" s="3178"/>
      <c r="R339" s="3178"/>
      <c r="S339" s="3178"/>
      <c r="T339" s="1912" t="s">
        <v>28</v>
      </c>
      <c r="U339" s="3177" t="str">
        <f>IF('2_入力シート【用途面積】'!K34="","",'2_入力シート【用途面積】'!K34)</f>
        <v/>
      </c>
      <c r="V339" s="3178"/>
      <c r="W339" s="3178"/>
      <c r="X339" s="3178"/>
      <c r="Y339" s="1912" t="s">
        <v>28</v>
      </c>
      <c r="Z339" s="3177" t="str">
        <f>IF('2_入力シート【用途面積】'!M34="","",'2_入力シート【用途面積】'!M34)</f>
        <v/>
      </c>
      <c r="AA339" s="3178"/>
      <c r="AB339" s="3178"/>
      <c r="AC339" s="3178"/>
      <c r="AD339" s="1912" t="s">
        <v>28</v>
      </c>
      <c r="AE339" s="3177" t="str">
        <f>IF('2_入力シート【用途面積】'!O34="","",'2_入力シート【用途面積】'!O34)</f>
        <v/>
      </c>
      <c r="AF339" s="3178"/>
      <c r="AG339" s="3178"/>
      <c r="AH339" s="3178"/>
      <c r="AI339" s="1912" t="s">
        <v>28</v>
      </c>
      <c r="AJ339" s="3177" t="str">
        <f>IF('2_入力シート【用途面積】'!Q34="","",'2_入力シート【用途面積】'!Q34)</f>
        <v/>
      </c>
      <c r="AK339" s="3178"/>
      <c r="AL339" s="3178"/>
      <c r="AM339" s="3178"/>
      <c r="AN339" s="1912" t="s">
        <v>28</v>
      </c>
      <c r="AO339" s="3177" t="str">
        <f>IF('2_入力シート【用途面積】'!S34="","",'2_入力シート【用途面積】'!S34)</f>
        <v/>
      </c>
      <c r="AP339" s="3178"/>
      <c r="AQ339" s="3178"/>
      <c r="AR339" s="3178"/>
      <c r="AS339" s="1912" t="s">
        <v>28</v>
      </c>
      <c r="AT339" s="1858"/>
      <c r="AU339" s="1872"/>
      <c r="AV339" s="1872"/>
    </row>
    <row r="340" spans="2:48" ht="12.95" customHeight="1" x14ac:dyDescent="0.15">
      <c r="B340" s="1918"/>
      <c r="C340" s="3298">
        <v>13</v>
      </c>
      <c r="D340" s="3299"/>
      <c r="E340" s="1911" t="s">
        <v>17</v>
      </c>
      <c r="F340" s="3177">
        <f>'2_入力シート【用途面積】'!E35</f>
        <v>0</v>
      </c>
      <c r="G340" s="3178"/>
      <c r="H340" s="3178"/>
      <c r="I340" s="3178"/>
      <c r="J340" s="1912" t="s">
        <v>28</v>
      </c>
      <c r="K340" s="3177" t="str">
        <f>IF('2_入力シート【用途面積】'!G35="","",'2_入力シート【用途面積】'!G35)</f>
        <v/>
      </c>
      <c r="L340" s="3178"/>
      <c r="M340" s="3178"/>
      <c r="N340" s="3178"/>
      <c r="O340" s="1912" t="s">
        <v>28</v>
      </c>
      <c r="P340" s="3177" t="str">
        <f>IF('2_入力シート【用途面積】'!I35="","",'2_入力シート【用途面積】'!I35)</f>
        <v/>
      </c>
      <c r="Q340" s="3178"/>
      <c r="R340" s="3178"/>
      <c r="S340" s="3178"/>
      <c r="T340" s="1912" t="s">
        <v>28</v>
      </c>
      <c r="U340" s="3177" t="str">
        <f>IF('2_入力シート【用途面積】'!K35="","",'2_入力シート【用途面積】'!K35)</f>
        <v/>
      </c>
      <c r="V340" s="3178"/>
      <c r="W340" s="3178"/>
      <c r="X340" s="3178"/>
      <c r="Y340" s="1912" t="s">
        <v>28</v>
      </c>
      <c r="Z340" s="3177" t="str">
        <f>IF('2_入力シート【用途面積】'!M35="","",'2_入力シート【用途面積】'!M35)</f>
        <v/>
      </c>
      <c r="AA340" s="3178"/>
      <c r="AB340" s="3178"/>
      <c r="AC340" s="3178"/>
      <c r="AD340" s="1912" t="s">
        <v>28</v>
      </c>
      <c r="AE340" s="3177" t="str">
        <f>IF('2_入力シート【用途面積】'!O35="","",'2_入力シート【用途面積】'!O35)</f>
        <v/>
      </c>
      <c r="AF340" s="3178"/>
      <c r="AG340" s="3178"/>
      <c r="AH340" s="3178"/>
      <c r="AI340" s="1912" t="s">
        <v>28</v>
      </c>
      <c r="AJ340" s="3177" t="str">
        <f>IF('2_入力シート【用途面積】'!Q35="","",'2_入力シート【用途面積】'!Q35)</f>
        <v/>
      </c>
      <c r="AK340" s="3178"/>
      <c r="AL340" s="3178"/>
      <c r="AM340" s="3178"/>
      <c r="AN340" s="1912" t="s">
        <v>28</v>
      </c>
      <c r="AO340" s="3177" t="str">
        <f>IF('2_入力シート【用途面積】'!S35="","",'2_入力シート【用途面積】'!S35)</f>
        <v/>
      </c>
      <c r="AP340" s="3178"/>
      <c r="AQ340" s="3178"/>
      <c r="AR340" s="3178"/>
      <c r="AS340" s="1912" t="s">
        <v>28</v>
      </c>
      <c r="AT340" s="1858"/>
      <c r="AU340" s="1872"/>
      <c r="AV340" s="1872"/>
    </row>
    <row r="341" spans="2:48" ht="12.95" customHeight="1" x14ac:dyDescent="0.15">
      <c r="B341" s="1918"/>
      <c r="C341" s="3298">
        <v>14</v>
      </c>
      <c r="D341" s="3299"/>
      <c r="E341" s="1911" t="s">
        <v>17</v>
      </c>
      <c r="F341" s="3177">
        <f>'2_入力シート【用途面積】'!E36</f>
        <v>0</v>
      </c>
      <c r="G341" s="3178"/>
      <c r="H341" s="3178"/>
      <c r="I341" s="3178"/>
      <c r="J341" s="1912" t="s">
        <v>28</v>
      </c>
      <c r="K341" s="3177" t="str">
        <f>IF('2_入力シート【用途面積】'!G36="","",'2_入力シート【用途面積】'!G36)</f>
        <v/>
      </c>
      <c r="L341" s="3178"/>
      <c r="M341" s="3178"/>
      <c r="N341" s="3178"/>
      <c r="O341" s="1912" t="s">
        <v>28</v>
      </c>
      <c r="P341" s="3177" t="str">
        <f>IF('2_入力シート【用途面積】'!I36="","",'2_入力シート【用途面積】'!I36)</f>
        <v/>
      </c>
      <c r="Q341" s="3178"/>
      <c r="R341" s="3178"/>
      <c r="S341" s="3178"/>
      <c r="T341" s="1912" t="s">
        <v>28</v>
      </c>
      <c r="U341" s="3177" t="str">
        <f>IF('2_入力シート【用途面積】'!K36="","",'2_入力シート【用途面積】'!K36)</f>
        <v/>
      </c>
      <c r="V341" s="3178"/>
      <c r="W341" s="3178"/>
      <c r="X341" s="3178"/>
      <c r="Y341" s="1912" t="s">
        <v>28</v>
      </c>
      <c r="Z341" s="3177" t="str">
        <f>IF('2_入力シート【用途面積】'!M36="","",'2_入力シート【用途面積】'!M36)</f>
        <v/>
      </c>
      <c r="AA341" s="3178"/>
      <c r="AB341" s="3178"/>
      <c r="AC341" s="3178"/>
      <c r="AD341" s="1912" t="s">
        <v>28</v>
      </c>
      <c r="AE341" s="3177" t="str">
        <f>IF('2_入力シート【用途面積】'!O36="","",'2_入力シート【用途面積】'!O36)</f>
        <v/>
      </c>
      <c r="AF341" s="3178"/>
      <c r="AG341" s="3178"/>
      <c r="AH341" s="3178"/>
      <c r="AI341" s="1912" t="s">
        <v>28</v>
      </c>
      <c r="AJ341" s="3177" t="str">
        <f>IF('2_入力シート【用途面積】'!Q36="","",'2_入力シート【用途面積】'!Q36)</f>
        <v/>
      </c>
      <c r="AK341" s="3178"/>
      <c r="AL341" s="3178"/>
      <c r="AM341" s="3178"/>
      <c r="AN341" s="1912" t="s">
        <v>28</v>
      </c>
      <c r="AO341" s="3177" t="str">
        <f>IF('2_入力シート【用途面積】'!S36="","",'2_入力シート【用途面積】'!S36)</f>
        <v/>
      </c>
      <c r="AP341" s="3178"/>
      <c r="AQ341" s="3178"/>
      <c r="AR341" s="3178"/>
      <c r="AS341" s="1912" t="s">
        <v>28</v>
      </c>
      <c r="AT341" s="1858"/>
      <c r="AU341" s="1872"/>
      <c r="AV341" s="1872"/>
    </row>
    <row r="342" spans="2:48" ht="12.95" customHeight="1" x14ac:dyDescent="0.15">
      <c r="B342" s="1920"/>
      <c r="C342" s="3292">
        <v>15</v>
      </c>
      <c r="D342" s="3293"/>
      <c r="E342" s="1916" t="s">
        <v>17</v>
      </c>
      <c r="F342" s="3179">
        <f>'2_入力シート【用途面積】'!E37</f>
        <v>0</v>
      </c>
      <c r="G342" s="3180"/>
      <c r="H342" s="3180"/>
      <c r="I342" s="3180"/>
      <c r="J342" s="1913" t="s">
        <v>28</v>
      </c>
      <c r="K342" s="3179" t="str">
        <f>IF('2_入力シート【用途面積】'!G37="","",'2_入力シート【用途面積】'!G37)</f>
        <v/>
      </c>
      <c r="L342" s="3180"/>
      <c r="M342" s="3180"/>
      <c r="N342" s="3180"/>
      <c r="O342" s="1913" t="s">
        <v>28</v>
      </c>
      <c r="P342" s="3179" t="str">
        <f>IF('2_入力シート【用途面積】'!I37="","",'2_入力シート【用途面積】'!I37)</f>
        <v/>
      </c>
      <c r="Q342" s="3180"/>
      <c r="R342" s="3180"/>
      <c r="S342" s="3180"/>
      <c r="T342" s="1913" t="s">
        <v>28</v>
      </c>
      <c r="U342" s="3179" t="str">
        <f>IF('2_入力シート【用途面積】'!K37="","",'2_入力シート【用途面積】'!K37)</f>
        <v/>
      </c>
      <c r="V342" s="3180"/>
      <c r="W342" s="3180"/>
      <c r="X342" s="3180"/>
      <c r="Y342" s="1913" t="s">
        <v>28</v>
      </c>
      <c r="Z342" s="3179" t="str">
        <f>IF('2_入力シート【用途面積】'!M37="","",'2_入力シート【用途面積】'!M37)</f>
        <v/>
      </c>
      <c r="AA342" s="3180"/>
      <c r="AB342" s="3180"/>
      <c r="AC342" s="3180"/>
      <c r="AD342" s="1913" t="s">
        <v>28</v>
      </c>
      <c r="AE342" s="3179" t="str">
        <f>IF('2_入力シート【用途面積】'!O37="","",'2_入力シート【用途面積】'!O37)</f>
        <v/>
      </c>
      <c r="AF342" s="3180"/>
      <c r="AG342" s="3180"/>
      <c r="AH342" s="3180"/>
      <c r="AI342" s="1913" t="s">
        <v>28</v>
      </c>
      <c r="AJ342" s="3179" t="str">
        <f>IF('2_入力シート【用途面積】'!Q37="","",'2_入力シート【用途面積】'!Q37)</f>
        <v/>
      </c>
      <c r="AK342" s="3180"/>
      <c r="AL342" s="3180"/>
      <c r="AM342" s="3180"/>
      <c r="AN342" s="1913" t="s">
        <v>28</v>
      </c>
      <c r="AO342" s="3179" t="str">
        <f>IF('2_入力シート【用途面積】'!S37="","",'2_入力シート【用途面積】'!S37)</f>
        <v/>
      </c>
      <c r="AP342" s="3180"/>
      <c r="AQ342" s="3180"/>
      <c r="AR342" s="3180"/>
      <c r="AS342" s="1913" t="s">
        <v>28</v>
      </c>
      <c r="AT342" s="1919"/>
      <c r="AU342" s="1872"/>
      <c r="AV342" s="1872"/>
    </row>
    <row r="343" spans="2:48" ht="12.95" customHeight="1" x14ac:dyDescent="0.15">
      <c r="B343" s="1917"/>
      <c r="C343" s="3298">
        <v>16</v>
      </c>
      <c r="D343" s="3299"/>
      <c r="E343" s="1914" t="s">
        <v>17</v>
      </c>
      <c r="F343" s="3181">
        <f>'2_入力シート【用途面積】'!E38</f>
        <v>0</v>
      </c>
      <c r="G343" s="3182"/>
      <c r="H343" s="3182"/>
      <c r="I343" s="3182"/>
      <c r="J343" s="1915" t="s">
        <v>28</v>
      </c>
      <c r="K343" s="3181" t="str">
        <f>IF('2_入力シート【用途面積】'!G38="","",'2_入力シート【用途面積】'!G38)</f>
        <v/>
      </c>
      <c r="L343" s="3182"/>
      <c r="M343" s="3182"/>
      <c r="N343" s="3182"/>
      <c r="O343" s="1915" t="s">
        <v>28</v>
      </c>
      <c r="P343" s="3181" t="str">
        <f>IF('2_入力シート【用途面積】'!I38="","",'2_入力シート【用途面積】'!I38)</f>
        <v/>
      </c>
      <c r="Q343" s="3182"/>
      <c r="R343" s="3182"/>
      <c r="S343" s="3182"/>
      <c r="T343" s="1915" t="s">
        <v>28</v>
      </c>
      <c r="U343" s="3181" t="str">
        <f>IF('2_入力シート【用途面積】'!K38="","",'2_入力シート【用途面積】'!K38)</f>
        <v/>
      </c>
      <c r="V343" s="3182"/>
      <c r="W343" s="3182"/>
      <c r="X343" s="3182"/>
      <c r="Y343" s="1915" t="s">
        <v>28</v>
      </c>
      <c r="Z343" s="3181" t="str">
        <f>IF('2_入力シート【用途面積】'!M38="","",'2_入力シート【用途面積】'!M38)</f>
        <v/>
      </c>
      <c r="AA343" s="3182"/>
      <c r="AB343" s="3182"/>
      <c r="AC343" s="3182"/>
      <c r="AD343" s="1915" t="s">
        <v>28</v>
      </c>
      <c r="AE343" s="3181" t="str">
        <f>IF('2_入力シート【用途面積】'!O38="","",'2_入力シート【用途面積】'!O38)</f>
        <v/>
      </c>
      <c r="AF343" s="3182"/>
      <c r="AG343" s="3182"/>
      <c r="AH343" s="3182"/>
      <c r="AI343" s="1915" t="s">
        <v>28</v>
      </c>
      <c r="AJ343" s="3181" t="str">
        <f>IF('2_入力シート【用途面積】'!Q38="","",'2_入力シート【用途面積】'!Q38)</f>
        <v/>
      </c>
      <c r="AK343" s="3182"/>
      <c r="AL343" s="3182"/>
      <c r="AM343" s="3182"/>
      <c r="AN343" s="1915" t="s">
        <v>28</v>
      </c>
      <c r="AO343" s="3181" t="str">
        <f>IF('2_入力シート【用途面積】'!S38="","",'2_入力シート【用途面積】'!S38)</f>
        <v/>
      </c>
      <c r="AP343" s="3182"/>
      <c r="AQ343" s="3182"/>
      <c r="AR343" s="3182"/>
      <c r="AS343" s="1915" t="s">
        <v>28</v>
      </c>
      <c r="AT343" s="1858"/>
      <c r="AU343" s="1872"/>
      <c r="AV343" s="1872"/>
    </row>
    <row r="344" spans="2:48" ht="12.95" customHeight="1" x14ac:dyDescent="0.15">
      <c r="B344" s="1918"/>
      <c r="C344" s="3298">
        <v>17</v>
      </c>
      <c r="D344" s="3299"/>
      <c r="E344" s="1911" t="s">
        <v>17</v>
      </c>
      <c r="F344" s="3177">
        <f>'2_入力シート【用途面積】'!E39</f>
        <v>0</v>
      </c>
      <c r="G344" s="3178"/>
      <c r="H344" s="3178"/>
      <c r="I344" s="3178"/>
      <c r="J344" s="1912" t="s">
        <v>28</v>
      </c>
      <c r="K344" s="3177" t="str">
        <f>IF('2_入力シート【用途面積】'!G39="","",'2_入力シート【用途面積】'!G39)</f>
        <v/>
      </c>
      <c r="L344" s="3178"/>
      <c r="M344" s="3178"/>
      <c r="N344" s="3178"/>
      <c r="O344" s="1912" t="s">
        <v>28</v>
      </c>
      <c r="P344" s="3177" t="str">
        <f>IF('2_入力シート【用途面積】'!I39="","",'2_入力シート【用途面積】'!I39)</f>
        <v/>
      </c>
      <c r="Q344" s="3178"/>
      <c r="R344" s="3178"/>
      <c r="S344" s="3178"/>
      <c r="T344" s="1912" t="s">
        <v>28</v>
      </c>
      <c r="U344" s="3177" t="str">
        <f>IF('2_入力シート【用途面積】'!K39="","",'2_入力シート【用途面積】'!K39)</f>
        <v/>
      </c>
      <c r="V344" s="3178"/>
      <c r="W344" s="3178"/>
      <c r="X344" s="3178"/>
      <c r="Y344" s="1912" t="s">
        <v>28</v>
      </c>
      <c r="Z344" s="3177" t="str">
        <f>IF('2_入力シート【用途面積】'!M39="","",'2_入力シート【用途面積】'!M39)</f>
        <v/>
      </c>
      <c r="AA344" s="3178"/>
      <c r="AB344" s="3178"/>
      <c r="AC344" s="3178"/>
      <c r="AD344" s="1912" t="s">
        <v>28</v>
      </c>
      <c r="AE344" s="3177" t="str">
        <f>IF('2_入力シート【用途面積】'!O39="","",'2_入力シート【用途面積】'!O39)</f>
        <v/>
      </c>
      <c r="AF344" s="3178"/>
      <c r="AG344" s="3178"/>
      <c r="AH344" s="3178"/>
      <c r="AI344" s="1912" t="s">
        <v>28</v>
      </c>
      <c r="AJ344" s="3177" t="str">
        <f>IF('2_入力シート【用途面積】'!Q39="","",'2_入力シート【用途面積】'!Q39)</f>
        <v/>
      </c>
      <c r="AK344" s="3178"/>
      <c r="AL344" s="3178"/>
      <c r="AM344" s="3178"/>
      <c r="AN344" s="1912" t="s">
        <v>28</v>
      </c>
      <c r="AO344" s="3177" t="str">
        <f>IF('2_入力シート【用途面積】'!S39="","",'2_入力シート【用途面積】'!S39)</f>
        <v/>
      </c>
      <c r="AP344" s="3178"/>
      <c r="AQ344" s="3178"/>
      <c r="AR344" s="3178"/>
      <c r="AS344" s="1912" t="s">
        <v>28</v>
      </c>
      <c r="AT344" s="1858"/>
      <c r="AU344" s="1872"/>
      <c r="AV344" s="1872"/>
    </row>
    <row r="345" spans="2:48" ht="12.95" customHeight="1" x14ac:dyDescent="0.15">
      <c r="B345" s="1918"/>
      <c r="C345" s="3298">
        <v>18</v>
      </c>
      <c r="D345" s="3299"/>
      <c r="E345" s="1911" t="s">
        <v>17</v>
      </c>
      <c r="F345" s="3177">
        <f>'2_入力シート【用途面積】'!E40</f>
        <v>0</v>
      </c>
      <c r="G345" s="3178"/>
      <c r="H345" s="3178"/>
      <c r="I345" s="3178"/>
      <c r="J345" s="1912" t="s">
        <v>28</v>
      </c>
      <c r="K345" s="3177" t="str">
        <f>IF('2_入力シート【用途面積】'!G40="","",'2_入力シート【用途面積】'!G40)</f>
        <v/>
      </c>
      <c r="L345" s="3178"/>
      <c r="M345" s="3178"/>
      <c r="N345" s="3178"/>
      <c r="O345" s="1912" t="s">
        <v>28</v>
      </c>
      <c r="P345" s="3177" t="str">
        <f>IF('2_入力シート【用途面積】'!I40="","",'2_入力シート【用途面積】'!I40)</f>
        <v/>
      </c>
      <c r="Q345" s="3178"/>
      <c r="R345" s="3178"/>
      <c r="S345" s="3178"/>
      <c r="T345" s="1912" t="s">
        <v>28</v>
      </c>
      <c r="U345" s="3177" t="str">
        <f>IF('2_入力シート【用途面積】'!K40="","",'2_入力シート【用途面積】'!K40)</f>
        <v/>
      </c>
      <c r="V345" s="3178"/>
      <c r="W345" s="3178"/>
      <c r="X345" s="3178"/>
      <c r="Y345" s="1912" t="s">
        <v>28</v>
      </c>
      <c r="Z345" s="3177" t="str">
        <f>IF('2_入力シート【用途面積】'!M40="","",'2_入力シート【用途面積】'!M40)</f>
        <v/>
      </c>
      <c r="AA345" s="3178"/>
      <c r="AB345" s="3178"/>
      <c r="AC345" s="3178"/>
      <c r="AD345" s="1912" t="s">
        <v>28</v>
      </c>
      <c r="AE345" s="3177" t="str">
        <f>IF('2_入力シート【用途面積】'!O40="","",'2_入力シート【用途面積】'!O40)</f>
        <v/>
      </c>
      <c r="AF345" s="3178"/>
      <c r="AG345" s="3178"/>
      <c r="AH345" s="3178"/>
      <c r="AI345" s="1912" t="s">
        <v>28</v>
      </c>
      <c r="AJ345" s="3177" t="str">
        <f>IF('2_入力シート【用途面積】'!Q40="","",'2_入力シート【用途面積】'!Q40)</f>
        <v/>
      </c>
      <c r="AK345" s="3178"/>
      <c r="AL345" s="3178"/>
      <c r="AM345" s="3178"/>
      <c r="AN345" s="1912" t="s">
        <v>28</v>
      </c>
      <c r="AO345" s="3177" t="str">
        <f>IF('2_入力シート【用途面積】'!S40="","",'2_入力シート【用途面積】'!S40)</f>
        <v/>
      </c>
      <c r="AP345" s="3178"/>
      <c r="AQ345" s="3178"/>
      <c r="AR345" s="3178"/>
      <c r="AS345" s="1912" t="s">
        <v>28</v>
      </c>
      <c r="AT345" s="1858"/>
      <c r="AU345" s="1872"/>
      <c r="AV345" s="1872"/>
    </row>
    <row r="346" spans="2:48" ht="12.95" customHeight="1" x14ac:dyDescent="0.15">
      <c r="B346" s="1918"/>
      <c r="C346" s="3298">
        <v>19</v>
      </c>
      <c r="D346" s="3299"/>
      <c r="E346" s="1911" t="s">
        <v>17</v>
      </c>
      <c r="F346" s="3177">
        <f>'2_入力シート【用途面積】'!E41</f>
        <v>0</v>
      </c>
      <c r="G346" s="3178"/>
      <c r="H346" s="3178"/>
      <c r="I346" s="3178"/>
      <c r="J346" s="1912" t="s">
        <v>28</v>
      </c>
      <c r="K346" s="3177" t="str">
        <f>IF('2_入力シート【用途面積】'!G41="","",'2_入力シート【用途面積】'!G41)</f>
        <v/>
      </c>
      <c r="L346" s="3178"/>
      <c r="M346" s="3178"/>
      <c r="N346" s="3178"/>
      <c r="O346" s="1912" t="s">
        <v>28</v>
      </c>
      <c r="P346" s="3177" t="str">
        <f>IF('2_入力シート【用途面積】'!I41="","",'2_入力シート【用途面積】'!I41)</f>
        <v/>
      </c>
      <c r="Q346" s="3178"/>
      <c r="R346" s="3178"/>
      <c r="S346" s="3178"/>
      <c r="T346" s="1912" t="s">
        <v>28</v>
      </c>
      <c r="U346" s="3177" t="str">
        <f>IF('2_入力シート【用途面積】'!K41="","",'2_入力シート【用途面積】'!K41)</f>
        <v/>
      </c>
      <c r="V346" s="3178"/>
      <c r="W346" s="3178"/>
      <c r="X346" s="3178"/>
      <c r="Y346" s="1912" t="s">
        <v>28</v>
      </c>
      <c r="Z346" s="3177" t="str">
        <f>IF('2_入力シート【用途面積】'!M41="","",'2_入力シート【用途面積】'!M41)</f>
        <v/>
      </c>
      <c r="AA346" s="3178"/>
      <c r="AB346" s="3178"/>
      <c r="AC346" s="3178"/>
      <c r="AD346" s="1912" t="s">
        <v>28</v>
      </c>
      <c r="AE346" s="3177" t="str">
        <f>IF('2_入力シート【用途面積】'!O41="","",'2_入力シート【用途面積】'!O41)</f>
        <v/>
      </c>
      <c r="AF346" s="3178"/>
      <c r="AG346" s="3178"/>
      <c r="AH346" s="3178"/>
      <c r="AI346" s="1912" t="s">
        <v>28</v>
      </c>
      <c r="AJ346" s="3177" t="str">
        <f>IF('2_入力シート【用途面積】'!Q41="","",'2_入力シート【用途面積】'!Q41)</f>
        <v/>
      </c>
      <c r="AK346" s="3178"/>
      <c r="AL346" s="3178"/>
      <c r="AM346" s="3178"/>
      <c r="AN346" s="1912" t="s">
        <v>28</v>
      </c>
      <c r="AO346" s="3177" t="str">
        <f>IF('2_入力シート【用途面積】'!S41="","",'2_入力シート【用途面積】'!S41)</f>
        <v/>
      </c>
      <c r="AP346" s="3178"/>
      <c r="AQ346" s="3178"/>
      <c r="AR346" s="3178"/>
      <c r="AS346" s="1912" t="s">
        <v>28</v>
      </c>
      <c r="AT346" s="1919"/>
      <c r="AU346" s="1872"/>
      <c r="AV346" s="1872"/>
    </row>
    <row r="347" spans="2:48" ht="12.95" customHeight="1" x14ac:dyDescent="0.15">
      <c r="B347" s="1920"/>
      <c r="C347" s="3292">
        <v>20</v>
      </c>
      <c r="D347" s="3293"/>
      <c r="E347" s="1916" t="s">
        <v>17</v>
      </c>
      <c r="F347" s="3179">
        <f>'2_入力シート【用途面積】'!E42</f>
        <v>0</v>
      </c>
      <c r="G347" s="3180"/>
      <c r="H347" s="3180"/>
      <c r="I347" s="3180"/>
      <c r="J347" s="1913" t="s">
        <v>28</v>
      </c>
      <c r="K347" s="3179" t="str">
        <f>IF('2_入力シート【用途面積】'!G42="","",'2_入力シート【用途面積】'!G42)</f>
        <v/>
      </c>
      <c r="L347" s="3180"/>
      <c r="M347" s="3180"/>
      <c r="N347" s="3180"/>
      <c r="O347" s="1913" t="s">
        <v>28</v>
      </c>
      <c r="P347" s="3179" t="str">
        <f>IF('2_入力シート【用途面積】'!I42="","",'2_入力シート【用途面積】'!I42)</f>
        <v/>
      </c>
      <c r="Q347" s="3180"/>
      <c r="R347" s="3180"/>
      <c r="S347" s="3180"/>
      <c r="T347" s="1913" t="s">
        <v>28</v>
      </c>
      <c r="U347" s="3179" t="str">
        <f>IF('2_入力シート【用途面積】'!K42="","",'2_入力シート【用途面積】'!K42)</f>
        <v/>
      </c>
      <c r="V347" s="3180"/>
      <c r="W347" s="3180"/>
      <c r="X347" s="3180"/>
      <c r="Y347" s="1913" t="s">
        <v>28</v>
      </c>
      <c r="Z347" s="3179" t="str">
        <f>IF('2_入力シート【用途面積】'!M42="","",'2_入力シート【用途面積】'!M42)</f>
        <v/>
      </c>
      <c r="AA347" s="3180"/>
      <c r="AB347" s="3180"/>
      <c r="AC347" s="3180"/>
      <c r="AD347" s="1913" t="s">
        <v>28</v>
      </c>
      <c r="AE347" s="3179" t="str">
        <f>IF('2_入力シート【用途面積】'!O42="","",'2_入力シート【用途面積】'!O42)</f>
        <v/>
      </c>
      <c r="AF347" s="3180"/>
      <c r="AG347" s="3180"/>
      <c r="AH347" s="3180"/>
      <c r="AI347" s="1913" t="s">
        <v>28</v>
      </c>
      <c r="AJ347" s="3179" t="str">
        <f>IF('2_入力シート【用途面積】'!Q42="","",'2_入力シート【用途面積】'!Q42)</f>
        <v/>
      </c>
      <c r="AK347" s="3180"/>
      <c r="AL347" s="3180"/>
      <c r="AM347" s="3180"/>
      <c r="AN347" s="1913" t="s">
        <v>28</v>
      </c>
      <c r="AO347" s="3179" t="str">
        <f>IF('2_入力シート【用途面積】'!S42="","",'2_入力シート【用途面積】'!S42)</f>
        <v/>
      </c>
      <c r="AP347" s="3180"/>
      <c r="AQ347" s="3180"/>
      <c r="AR347" s="3180"/>
      <c r="AS347" s="1913" t="s">
        <v>28</v>
      </c>
      <c r="AT347" s="1858"/>
      <c r="AU347" s="1872"/>
      <c r="AV347" s="1872"/>
    </row>
    <row r="348" spans="2:48" ht="12.95" customHeight="1" x14ac:dyDescent="0.15">
      <c r="B348" s="1917"/>
      <c r="C348" s="3298">
        <v>21</v>
      </c>
      <c r="D348" s="3299"/>
      <c r="E348" s="1914" t="s">
        <v>17</v>
      </c>
      <c r="F348" s="3181">
        <f>'2_入力シート【用途面積】'!E43</f>
        <v>0</v>
      </c>
      <c r="G348" s="3182"/>
      <c r="H348" s="3182"/>
      <c r="I348" s="3182"/>
      <c r="J348" s="1915" t="s">
        <v>28</v>
      </c>
      <c r="K348" s="3181" t="str">
        <f>IF('2_入力シート【用途面積】'!G43="","",'2_入力シート【用途面積】'!G43)</f>
        <v/>
      </c>
      <c r="L348" s="3182"/>
      <c r="M348" s="3182"/>
      <c r="N348" s="3182"/>
      <c r="O348" s="1915" t="s">
        <v>28</v>
      </c>
      <c r="P348" s="3181" t="str">
        <f>IF('2_入力シート【用途面積】'!I43="","",'2_入力シート【用途面積】'!I43)</f>
        <v/>
      </c>
      <c r="Q348" s="3182"/>
      <c r="R348" s="3182"/>
      <c r="S348" s="3182"/>
      <c r="T348" s="1915" t="s">
        <v>28</v>
      </c>
      <c r="U348" s="3181" t="str">
        <f>IF('2_入力シート【用途面積】'!K43="","",'2_入力シート【用途面積】'!K43)</f>
        <v/>
      </c>
      <c r="V348" s="3182"/>
      <c r="W348" s="3182"/>
      <c r="X348" s="3182"/>
      <c r="Y348" s="1915" t="s">
        <v>28</v>
      </c>
      <c r="Z348" s="3181" t="str">
        <f>IF('2_入力シート【用途面積】'!M43="","",'2_入力シート【用途面積】'!M43)</f>
        <v/>
      </c>
      <c r="AA348" s="3182"/>
      <c r="AB348" s="3182"/>
      <c r="AC348" s="3182"/>
      <c r="AD348" s="1915" t="s">
        <v>28</v>
      </c>
      <c r="AE348" s="3181" t="str">
        <f>IF('2_入力シート【用途面積】'!O43="","",'2_入力シート【用途面積】'!O43)</f>
        <v/>
      </c>
      <c r="AF348" s="3182"/>
      <c r="AG348" s="3182"/>
      <c r="AH348" s="3182"/>
      <c r="AI348" s="1915" t="s">
        <v>28</v>
      </c>
      <c r="AJ348" s="3181" t="str">
        <f>IF('2_入力シート【用途面積】'!Q43="","",'2_入力シート【用途面積】'!Q43)</f>
        <v/>
      </c>
      <c r="AK348" s="3182"/>
      <c r="AL348" s="3182"/>
      <c r="AM348" s="3182"/>
      <c r="AN348" s="1915" t="s">
        <v>28</v>
      </c>
      <c r="AO348" s="3181" t="str">
        <f>IF('2_入力シート【用途面積】'!S43="","",'2_入力シート【用途面積】'!S43)</f>
        <v/>
      </c>
      <c r="AP348" s="3182"/>
      <c r="AQ348" s="3182"/>
      <c r="AR348" s="3182"/>
      <c r="AS348" s="1915" t="s">
        <v>28</v>
      </c>
      <c r="AT348" s="1858"/>
      <c r="AU348" s="1872"/>
      <c r="AV348" s="1872"/>
    </row>
    <row r="349" spans="2:48" ht="12.95" customHeight="1" x14ac:dyDescent="0.15">
      <c r="B349" s="1918"/>
      <c r="C349" s="3298">
        <v>22</v>
      </c>
      <c r="D349" s="3299"/>
      <c r="E349" s="1911" t="s">
        <v>17</v>
      </c>
      <c r="F349" s="3177">
        <f>'2_入力シート【用途面積】'!E44</f>
        <v>0</v>
      </c>
      <c r="G349" s="3178"/>
      <c r="H349" s="3178"/>
      <c r="I349" s="3178"/>
      <c r="J349" s="1912" t="s">
        <v>28</v>
      </c>
      <c r="K349" s="3177" t="str">
        <f>IF('2_入力シート【用途面積】'!G44="","",'2_入力シート【用途面積】'!G44)</f>
        <v/>
      </c>
      <c r="L349" s="3178"/>
      <c r="M349" s="3178"/>
      <c r="N349" s="3178"/>
      <c r="O349" s="1912" t="s">
        <v>28</v>
      </c>
      <c r="P349" s="3177" t="str">
        <f>IF('2_入力シート【用途面積】'!I44="","",'2_入力シート【用途面積】'!I44)</f>
        <v/>
      </c>
      <c r="Q349" s="3178"/>
      <c r="R349" s="3178"/>
      <c r="S349" s="3178"/>
      <c r="T349" s="1912" t="s">
        <v>28</v>
      </c>
      <c r="U349" s="3177" t="str">
        <f>IF('2_入力シート【用途面積】'!K44="","",'2_入力シート【用途面積】'!K44)</f>
        <v/>
      </c>
      <c r="V349" s="3178"/>
      <c r="W349" s="3178"/>
      <c r="X349" s="3178"/>
      <c r="Y349" s="1912" t="s">
        <v>28</v>
      </c>
      <c r="Z349" s="3177" t="str">
        <f>IF('2_入力シート【用途面積】'!M44="","",'2_入力シート【用途面積】'!M44)</f>
        <v/>
      </c>
      <c r="AA349" s="3178"/>
      <c r="AB349" s="3178"/>
      <c r="AC349" s="3178"/>
      <c r="AD349" s="1912" t="s">
        <v>28</v>
      </c>
      <c r="AE349" s="3177" t="str">
        <f>IF('2_入力シート【用途面積】'!O44="","",'2_入力シート【用途面積】'!O44)</f>
        <v/>
      </c>
      <c r="AF349" s="3178"/>
      <c r="AG349" s="3178"/>
      <c r="AH349" s="3178"/>
      <c r="AI349" s="1912" t="s">
        <v>28</v>
      </c>
      <c r="AJ349" s="3177" t="str">
        <f>IF('2_入力シート【用途面積】'!Q44="","",'2_入力シート【用途面積】'!Q44)</f>
        <v/>
      </c>
      <c r="AK349" s="3178"/>
      <c r="AL349" s="3178"/>
      <c r="AM349" s="3178"/>
      <c r="AN349" s="1912" t="s">
        <v>28</v>
      </c>
      <c r="AO349" s="3177" t="str">
        <f>IF('2_入力シート【用途面積】'!S44="","",'2_入力シート【用途面積】'!S44)</f>
        <v/>
      </c>
      <c r="AP349" s="3178"/>
      <c r="AQ349" s="3178"/>
      <c r="AR349" s="3178"/>
      <c r="AS349" s="1912" t="s">
        <v>28</v>
      </c>
      <c r="AT349" s="1858"/>
      <c r="AU349" s="1872"/>
      <c r="AV349" s="1872"/>
    </row>
    <row r="350" spans="2:48" ht="12.95" customHeight="1" x14ac:dyDescent="0.15">
      <c r="B350" s="1918"/>
      <c r="C350" s="3298">
        <v>23</v>
      </c>
      <c r="D350" s="3299"/>
      <c r="E350" s="1911" t="s">
        <v>17</v>
      </c>
      <c r="F350" s="3177">
        <f>'2_入力シート【用途面積】'!E45</f>
        <v>0</v>
      </c>
      <c r="G350" s="3178"/>
      <c r="H350" s="3178"/>
      <c r="I350" s="3178"/>
      <c r="J350" s="1912" t="s">
        <v>28</v>
      </c>
      <c r="K350" s="3177" t="str">
        <f>IF('2_入力シート【用途面積】'!G45="","",'2_入力シート【用途面積】'!G45)</f>
        <v/>
      </c>
      <c r="L350" s="3178"/>
      <c r="M350" s="3178"/>
      <c r="N350" s="3178"/>
      <c r="O350" s="1912" t="s">
        <v>28</v>
      </c>
      <c r="P350" s="3177" t="str">
        <f>IF('2_入力シート【用途面積】'!I45="","",'2_入力シート【用途面積】'!I45)</f>
        <v/>
      </c>
      <c r="Q350" s="3178"/>
      <c r="R350" s="3178"/>
      <c r="S350" s="3178"/>
      <c r="T350" s="1912" t="s">
        <v>28</v>
      </c>
      <c r="U350" s="3177" t="str">
        <f>IF('2_入力シート【用途面積】'!K45="","",'2_入力シート【用途面積】'!K45)</f>
        <v/>
      </c>
      <c r="V350" s="3178"/>
      <c r="W350" s="3178"/>
      <c r="X350" s="3178"/>
      <c r="Y350" s="1912" t="s">
        <v>28</v>
      </c>
      <c r="Z350" s="3177" t="str">
        <f>IF('2_入力シート【用途面積】'!M45="","",'2_入力シート【用途面積】'!M45)</f>
        <v/>
      </c>
      <c r="AA350" s="3178"/>
      <c r="AB350" s="3178"/>
      <c r="AC350" s="3178"/>
      <c r="AD350" s="1912" t="s">
        <v>28</v>
      </c>
      <c r="AE350" s="3177" t="str">
        <f>IF('2_入力シート【用途面積】'!O45="","",'2_入力シート【用途面積】'!O45)</f>
        <v/>
      </c>
      <c r="AF350" s="3178"/>
      <c r="AG350" s="3178"/>
      <c r="AH350" s="3178"/>
      <c r="AI350" s="1912" t="s">
        <v>28</v>
      </c>
      <c r="AJ350" s="3177" t="str">
        <f>IF('2_入力シート【用途面積】'!Q45="","",'2_入力シート【用途面積】'!Q45)</f>
        <v/>
      </c>
      <c r="AK350" s="3178"/>
      <c r="AL350" s="3178"/>
      <c r="AM350" s="3178"/>
      <c r="AN350" s="1912" t="s">
        <v>28</v>
      </c>
      <c r="AO350" s="3177" t="str">
        <f>IF('2_入力シート【用途面積】'!S45="","",'2_入力シート【用途面積】'!S45)</f>
        <v/>
      </c>
      <c r="AP350" s="3178"/>
      <c r="AQ350" s="3178"/>
      <c r="AR350" s="3178"/>
      <c r="AS350" s="1912" t="s">
        <v>28</v>
      </c>
      <c r="AT350" s="1919"/>
      <c r="AU350" s="1872"/>
      <c r="AV350" s="1872"/>
    </row>
    <row r="351" spans="2:48" ht="12.95" customHeight="1" x14ac:dyDescent="0.15">
      <c r="B351" s="1918"/>
      <c r="C351" s="3298">
        <v>24</v>
      </c>
      <c r="D351" s="3299"/>
      <c r="E351" s="1911" t="s">
        <v>17</v>
      </c>
      <c r="F351" s="3177">
        <f>'2_入力シート【用途面積】'!E46</f>
        <v>0</v>
      </c>
      <c r="G351" s="3178"/>
      <c r="H351" s="3178"/>
      <c r="I351" s="3178"/>
      <c r="J351" s="1912" t="s">
        <v>28</v>
      </c>
      <c r="K351" s="3177" t="str">
        <f>IF('2_入力シート【用途面積】'!G46="","",'2_入力シート【用途面積】'!G46)</f>
        <v/>
      </c>
      <c r="L351" s="3178"/>
      <c r="M351" s="3178"/>
      <c r="N351" s="3178"/>
      <c r="O351" s="1912" t="s">
        <v>28</v>
      </c>
      <c r="P351" s="3177" t="str">
        <f>IF('2_入力シート【用途面積】'!I46="","",'2_入力シート【用途面積】'!I46)</f>
        <v/>
      </c>
      <c r="Q351" s="3178"/>
      <c r="R351" s="3178"/>
      <c r="S351" s="3178"/>
      <c r="T351" s="1912" t="s">
        <v>28</v>
      </c>
      <c r="U351" s="3177" t="str">
        <f>IF('2_入力シート【用途面積】'!K46="","",'2_入力シート【用途面積】'!K46)</f>
        <v/>
      </c>
      <c r="V351" s="3178"/>
      <c r="W351" s="3178"/>
      <c r="X351" s="3178"/>
      <c r="Y351" s="1912" t="s">
        <v>28</v>
      </c>
      <c r="Z351" s="3177" t="str">
        <f>IF('2_入力シート【用途面積】'!M46="","",'2_入力シート【用途面積】'!M46)</f>
        <v/>
      </c>
      <c r="AA351" s="3178"/>
      <c r="AB351" s="3178"/>
      <c r="AC351" s="3178"/>
      <c r="AD351" s="1912" t="s">
        <v>28</v>
      </c>
      <c r="AE351" s="3177" t="str">
        <f>IF('2_入力シート【用途面積】'!O46="","",'2_入力シート【用途面積】'!O46)</f>
        <v/>
      </c>
      <c r="AF351" s="3178"/>
      <c r="AG351" s="3178"/>
      <c r="AH351" s="3178"/>
      <c r="AI351" s="1912" t="s">
        <v>28</v>
      </c>
      <c r="AJ351" s="3177" t="str">
        <f>IF('2_入力シート【用途面積】'!Q46="","",'2_入力シート【用途面積】'!Q46)</f>
        <v/>
      </c>
      <c r="AK351" s="3178"/>
      <c r="AL351" s="3178"/>
      <c r="AM351" s="3178"/>
      <c r="AN351" s="1912" t="s">
        <v>28</v>
      </c>
      <c r="AO351" s="3177" t="str">
        <f>IF('2_入力シート【用途面積】'!S46="","",'2_入力シート【用途面積】'!S46)</f>
        <v/>
      </c>
      <c r="AP351" s="3178"/>
      <c r="AQ351" s="3178"/>
      <c r="AR351" s="3178"/>
      <c r="AS351" s="1912" t="s">
        <v>28</v>
      </c>
      <c r="AT351" s="1858"/>
      <c r="AU351" s="1872"/>
      <c r="AV351" s="1872"/>
    </row>
    <row r="352" spans="2:48" ht="12.95" customHeight="1" x14ac:dyDescent="0.15">
      <c r="B352" s="1920"/>
      <c r="C352" s="3292">
        <v>25</v>
      </c>
      <c r="D352" s="3293"/>
      <c r="E352" s="1916" t="s">
        <v>17</v>
      </c>
      <c r="F352" s="3179">
        <f>'2_入力シート【用途面積】'!E47</f>
        <v>0</v>
      </c>
      <c r="G352" s="3180"/>
      <c r="H352" s="3180"/>
      <c r="I352" s="3180"/>
      <c r="J352" s="1913" t="s">
        <v>28</v>
      </c>
      <c r="K352" s="3179" t="str">
        <f>IF('2_入力シート【用途面積】'!G47="","",'2_入力シート【用途面積】'!G47)</f>
        <v/>
      </c>
      <c r="L352" s="3180"/>
      <c r="M352" s="3180"/>
      <c r="N352" s="3180"/>
      <c r="O352" s="1913" t="s">
        <v>28</v>
      </c>
      <c r="P352" s="3179" t="str">
        <f>IF('2_入力シート【用途面積】'!I47="","",'2_入力シート【用途面積】'!I47)</f>
        <v/>
      </c>
      <c r="Q352" s="3180"/>
      <c r="R352" s="3180"/>
      <c r="S352" s="3180"/>
      <c r="T352" s="1913" t="s">
        <v>28</v>
      </c>
      <c r="U352" s="3179" t="str">
        <f>IF('2_入力シート【用途面積】'!K47="","",'2_入力シート【用途面積】'!K47)</f>
        <v/>
      </c>
      <c r="V352" s="3180"/>
      <c r="W352" s="3180"/>
      <c r="X352" s="3180"/>
      <c r="Y352" s="1913" t="s">
        <v>28</v>
      </c>
      <c r="Z352" s="3179" t="str">
        <f>IF('2_入力シート【用途面積】'!M47="","",'2_入力シート【用途面積】'!M47)</f>
        <v/>
      </c>
      <c r="AA352" s="3180"/>
      <c r="AB352" s="3180"/>
      <c r="AC352" s="3180"/>
      <c r="AD352" s="1913" t="s">
        <v>28</v>
      </c>
      <c r="AE352" s="3179" t="str">
        <f>IF('2_入力シート【用途面積】'!O47="","",'2_入力シート【用途面積】'!O47)</f>
        <v/>
      </c>
      <c r="AF352" s="3180"/>
      <c r="AG352" s="3180"/>
      <c r="AH352" s="3180"/>
      <c r="AI352" s="1913" t="s">
        <v>28</v>
      </c>
      <c r="AJ352" s="3179" t="str">
        <f>IF('2_入力シート【用途面積】'!Q47="","",'2_入力シート【用途面積】'!Q47)</f>
        <v/>
      </c>
      <c r="AK352" s="3180"/>
      <c r="AL352" s="3180"/>
      <c r="AM352" s="3180"/>
      <c r="AN352" s="1913" t="s">
        <v>28</v>
      </c>
      <c r="AO352" s="3179" t="str">
        <f>IF('2_入力シート【用途面積】'!S47="","",'2_入力シート【用途面積】'!S47)</f>
        <v/>
      </c>
      <c r="AP352" s="3180"/>
      <c r="AQ352" s="3180"/>
      <c r="AR352" s="3180"/>
      <c r="AS352" s="1913" t="s">
        <v>28</v>
      </c>
      <c r="AT352" s="1858"/>
      <c r="AU352" s="1872"/>
      <c r="AV352" s="1872"/>
    </row>
    <row r="353" spans="2:48" ht="12.95" customHeight="1" x14ac:dyDescent="0.15">
      <c r="B353" s="1917"/>
      <c r="C353" s="3298">
        <v>26</v>
      </c>
      <c r="D353" s="3299"/>
      <c r="E353" s="1914" t="s">
        <v>17</v>
      </c>
      <c r="F353" s="3181">
        <f>'2_入力シート【用途面積】'!E48</f>
        <v>0</v>
      </c>
      <c r="G353" s="3182"/>
      <c r="H353" s="3182"/>
      <c r="I353" s="3182"/>
      <c r="J353" s="1915" t="s">
        <v>28</v>
      </c>
      <c r="K353" s="3181" t="str">
        <f>IF('2_入力シート【用途面積】'!G48="","",'2_入力シート【用途面積】'!G48)</f>
        <v/>
      </c>
      <c r="L353" s="3182"/>
      <c r="M353" s="3182"/>
      <c r="N353" s="3182"/>
      <c r="O353" s="1915" t="s">
        <v>28</v>
      </c>
      <c r="P353" s="3181" t="str">
        <f>IF('2_入力シート【用途面積】'!I48="","",'2_入力シート【用途面積】'!I48)</f>
        <v/>
      </c>
      <c r="Q353" s="3182"/>
      <c r="R353" s="3182"/>
      <c r="S353" s="3182"/>
      <c r="T353" s="1915" t="s">
        <v>28</v>
      </c>
      <c r="U353" s="3181" t="str">
        <f>IF('2_入力シート【用途面積】'!K48="","",'2_入力シート【用途面積】'!K48)</f>
        <v/>
      </c>
      <c r="V353" s="3182"/>
      <c r="W353" s="3182"/>
      <c r="X353" s="3182"/>
      <c r="Y353" s="1915" t="s">
        <v>28</v>
      </c>
      <c r="Z353" s="3181" t="str">
        <f>IF('2_入力シート【用途面積】'!M48="","",'2_入力シート【用途面積】'!M48)</f>
        <v/>
      </c>
      <c r="AA353" s="3182"/>
      <c r="AB353" s="3182"/>
      <c r="AC353" s="3182"/>
      <c r="AD353" s="1915" t="s">
        <v>28</v>
      </c>
      <c r="AE353" s="3181" t="str">
        <f>IF('2_入力シート【用途面積】'!O48="","",'2_入力シート【用途面積】'!O48)</f>
        <v/>
      </c>
      <c r="AF353" s="3182"/>
      <c r="AG353" s="3182"/>
      <c r="AH353" s="3182"/>
      <c r="AI353" s="1915" t="s">
        <v>28</v>
      </c>
      <c r="AJ353" s="3181" t="str">
        <f>IF('2_入力シート【用途面積】'!Q48="","",'2_入力シート【用途面積】'!Q48)</f>
        <v/>
      </c>
      <c r="AK353" s="3182"/>
      <c r="AL353" s="3182"/>
      <c r="AM353" s="3182"/>
      <c r="AN353" s="1915" t="s">
        <v>28</v>
      </c>
      <c r="AO353" s="3181" t="str">
        <f>IF('2_入力シート【用途面積】'!S48="","",'2_入力シート【用途面積】'!S48)</f>
        <v/>
      </c>
      <c r="AP353" s="3182"/>
      <c r="AQ353" s="3182"/>
      <c r="AR353" s="3182"/>
      <c r="AS353" s="1915" t="s">
        <v>28</v>
      </c>
      <c r="AT353" s="1858"/>
      <c r="AU353" s="1872"/>
      <c r="AV353" s="1872"/>
    </row>
    <row r="354" spans="2:48" ht="12.95" customHeight="1" x14ac:dyDescent="0.15">
      <c r="B354" s="1918"/>
      <c r="C354" s="3298">
        <v>27</v>
      </c>
      <c r="D354" s="3299"/>
      <c r="E354" s="1911" t="s">
        <v>17</v>
      </c>
      <c r="F354" s="3177">
        <f>'2_入力シート【用途面積】'!E49</f>
        <v>0</v>
      </c>
      <c r="G354" s="3178"/>
      <c r="H354" s="3178"/>
      <c r="I354" s="3178"/>
      <c r="J354" s="1912" t="s">
        <v>28</v>
      </c>
      <c r="K354" s="3177" t="str">
        <f>IF('2_入力シート【用途面積】'!G49="","",'2_入力シート【用途面積】'!G49)</f>
        <v/>
      </c>
      <c r="L354" s="3178"/>
      <c r="M354" s="3178"/>
      <c r="N354" s="3178"/>
      <c r="O354" s="1912" t="s">
        <v>28</v>
      </c>
      <c r="P354" s="3177" t="str">
        <f>IF('2_入力シート【用途面積】'!I49="","",'2_入力シート【用途面積】'!I49)</f>
        <v/>
      </c>
      <c r="Q354" s="3178"/>
      <c r="R354" s="3178"/>
      <c r="S354" s="3178"/>
      <c r="T354" s="1912" t="s">
        <v>28</v>
      </c>
      <c r="U354" s="3177" t="str">
        <f>IF('2_入力シート【用途面積】'!K49="","",'2_入力シート【用途面積】'!K49)</f>
        <v/>
      </c>
      <c r="V354" s="3178"/>
      <c r="W354" s="3178"/>
      <c r="X354" s="3178"/>
      <c r="Y354" s="1912" t="s">
        <v>28</v>
      </c>
      <c r="Z354" s="3177" t="str">
        <f>IF('2_入力シート【用途面積】'!M49="","",'2_入力シート【用途面積】'!M49)</f>
        <v/>
      </c>
      <c r="AA354" s="3178"/>
      <c r="AB354" s="3178"/>
      <c r="AC354" s="3178"/>
      <c r="AD354" s="1912" t="s">
        <v>28</v>
      </c>
      <c r="AE354" s="3177" t="str">
        <f>IF('2_入力シート【用途面積】'!O49="","",'2_入力シート【用途面積】'!O49)</f>
        <v/>
      </c>
      <c r="AF354" s="3178"/>
      <c r="AG354" s="3178"/>
      <c r="AH354" s="3178"/>
      <c r="AI354" s="1912" t="s">
        <v>28</v>
      </c>
      <c r="AJ354" s="3177" t="str">
        <f>IF('2_入力シート【用途面積】'!Q49="","",'2_入力シート【用途面積】'!Q49)</f>
        <v/>
      </c>
      <c r="AK354" s="3178"/>
      <c r="AL354" s="3178"/>
      <c r="AM354" s="3178"/>
      <c r="AN354" s="1912" t="s">
        <v>28</v>
      </c>
      <c r="AO354" s="3177" t="str">
        <f>IF('2_入力シート【用途面積】'!S49="","",'2_入力シート【用途面積】'!S49)</f>
        <v/>
      </c>
      <c r="AP354" s="3178"/>
      <c r="AQ354" s="3178"/>
      <c r="AR354" s="3178"/>
      <c r="AS354" s="1912" t="s">
        <v>28</v>
      </c>
      <c r="AT354" s="1858"/>
      <c r="AU354" s="1872"/>
      <c r="AV354" s="1872"/>
    </row>
    <row r="355" spans="2:48" ht="12.95" customHeight="1" x14ac:dyDescent="0.15">
      <c r="B355" s="1918"/>
      <c r="C355" s="3298">
        <v>28</v>
      </c>
      <c r="D355" s="3299"/>
      <c r="E355" s="1911" t="s">
        <v>17</v>
      </c>
      <c r="F355" s="3177">
        <f>'2_入力シート【用途面積】'!E50</f>
        <v>0</v>
      </c>
      <c r="G355" s="3178"/>
      <c r="H355" s="3178"/>
      <c r="I355" s="3178"/>
      <c r="J355" s="1912" t="s">
        <v>28</v>
      </c>
      <c r="K355" s="3177" t="str">
        <f>IF('2_入力シート【用途面積】'!G50="","",'2_入力シート【用途面積】'!G50)</f>
        <v/>
      </c>
      <c r="L355" s="3178"/>
      <c r="M355" s="3178"/>
      <c r="N355" s="3178"/>
      <c r="O355" s="1912" t="s">
        <v>28</v>
      </c>
      <c r="P355" s="3177" t="str">
        <f>IF('2_入力シート【用途面積】'!I50="","",'2_入力シート【用途面積】'!I50)</f>
        <v/>
      </c>
      <c r="Q355" s="3178"/>
      <c r="R355" s="3178"/>
      <c r="S355" s="3178"/>
      <c r="T355" s="1912" t="s">
        <v>28</v>
      </c>
      <c r="U355" s="3177" t="str">
        <f>IF('2_入力シート【用途面積】'!K50="","",'2_入力シート【用途面積】'!K50)</f>
        <v/>
      </c>
      <c r="V355" s="3178"/>
      <c r="W355" s="3178"/>
      <c r="X355" s="3178"/>
      <c r="Y355" s="1912" t="s">
        <v>28</v>
      </c>
      <c r="Z355" s="3177" t="str">
        <f>IF('2_入力シート【用途面積】'!M50="","",'2_入力シート【用途面積】'!M50)</f>
        <v/>
      </c>
      <c r="AA355" s="3178"/>
      <c r="AB355" s="3178"/>
      <c r="AC355" s="3178"/>
      <c r="AD355" s="1912" t="s">
        <v>28</v>
      </c>
      <c r="AE355" s="3177" t="str">
        <f>IF('2_入力シート【用途面積】'!O50="","",'2_入力シート【用途面積】'!O50)</f>
        <v/>
      </c>
      <c r="AF355" s="3178"/>
      <c r="AG355" s="3178"/>
      <c r="AH355" s="3178"/>
      <c r="AI355" s="1912" t="s">
        <v>28</v>
      </c>
      <c r="AJ355" s="3177" t="str">
        <f>IF('2_入力シート【用途面積】'!Q50="","",'2_入力シート【用途面積】'!Q50)</f>
        <v/>
      </c>
      <c r="AK355" s="3178"/>
      <c r="AL355" s="3178"/>
      <c r="AM355" s="3178"/>
      <c r="AN355" s="1912" t="s">
        <v>28</v>
      </c>
      <c r="AO355" s="3177" t="str">
        <f>IF('2_入力シート【用途面積】'!S50="","",'2_入力シート【用途面積】'!S50)</f>
        <v/>
      </c>
      <c r="AP355" s="3178"/>
      <c r="AQ355" s="3178"/>
      <c r="AR355" s="3178"/>
      <c r="AS355" s="1912" t="s">
        <v>28</v>
      </c>
      <c r="AT355" s="1858"/>
      <c r="AU355" s="1872"/>
      <c r="AV355" s="1872"/>
    </row>
    <row r="356" spans="2:48" ht="12.95" customHeight="1" x14ac:dyDescent="0.15">
      <c r="B356" s="1918"/>
      <c r="C356" s="3298">
        <v>29</v>
      </c>
      <c r="D356" s="3299"/>
      <c r="E356" s="1911" t="s">
        <v>17</v>
      </c>
      <c r="F356" s="3177">
        <f>'2_入力シート【用途面積】'!E51</f>
        <v>0</v>
      </c>
      <c r="G356" s="3178"/>
      <c r="H356" s="3178"/>
      <c r="I356" s="3178"/>
      <c r="J356" s="1912" t="s">
        <v>28</v>
      </c>
      <c r="K356" s="3177" t="str">
        <f>IF('2_入力シート【用途面積】'!G51="","",'2_入力シート【用途面積】'!G51)</f>
        <v/>
      </c>
      <c r="L356" s="3178"/>
      <c r="M356" s="3178"/>
      <c r="N356" s="3178"/>
      <c r="O356" s="1912" t="s">
        <v>28</v>
      </c>
      <c r="P356" s="3177" t="str">
        <f>IF('2_入力シート【用途面積】'!I51="","",'2_入力シート【用途面積】'!I51)</f>
        <v/>
      </c>
      <c r="Q356" s="3178"/>
      <c r="R356" s="3178"/>
      <c r="S356" s="3178"/>
      <c r="T356" s="1912" t="s">
        <v>28</v>
      </c>
      <c r="U356" s="3177" t="str">
        <f>IF('2_入力シート【用途面積】'!K51="","",'2_入力シート【用途面積】'!K51)</f>
        <v/>
      </c>
      <c r="V356" s="3178"/>
      <c r="W356" s="3178"/>
      <c r="X356" s="3178"/>
      <c r="Y356" s="1912" t="s">
        <v>28</v>
      </c>
      <c r="Z356" s="3177" t="str">
        <f>IF('2_入力シート【用途面積】'!M51="","",'2_入力シート【用途面積】'!M51)</f>
        <v/>
      </c>
      <c r="AA356" s="3178"/>
      <c r="AB356" s="3178"/>
      <c r="AC356" s="3178"/>
      <c r="AD356" s="1912" t="s">
        <v>28</v>
      </c>
      <c r="AE356" s="3177" t="str">
        <f>IF('2_入力シート【用途面積】'!O51="","",'2_入力シート【用途面積】'!O51)</f>
        <v/>
      </c>
      <c r="AF356" s="3178"/>
      <c r="AG356" s="3178"/>
      <c r="AH356" s="3178"/>
      <c r="AI356" s="1912" t="s">
        <v>28</v>
      </c>
      <c r="AJ356" s="3177" t="str">
        <f>IF('2_入力シート【用途面積】'!Q51="","",'2_入力シート【用途面積】'!Q51)</f>
        <v/>
      </c>
      <c r="AK356" s="3178"/>
      <c r="AL356" s="3178"/>
      <c r="AM356" s="3178"/>
      <c r="AN356" s="1912" t="s">
        <v>28</v>
      </c>
      <c r="AO356" s="3177" t="str">
        <f>IF('2_入力シート【用途面積】'!S51="","",'2_入力シート【用途面積】'!S51)</f>
        <v/>
      </c>
      <c r="AP356" s="3178"/>
      <c r="AQ356" s="3178"/>
      <c r="AR356" s="3178"/>
      <c r="AS356" s="1912" t="s">
        <v>28</v>
      </c>
      <c r="AT356" s="1858"/>
      <c r="AU356" s="1872"/>
      <c r="AV356" s="1872"/>
    </row>
    <row r="357" spans="2:48" ht="12.95" customHeight="1" x14ac:dyDescent="0.15">
      <c r="B357" s="1920"/>
      <c r="C357" s="3292">
        <v>30</v>
      </c>
      <c r="D357" s="3293"/>
      <c r="E357" s="1916" t="s">
        <v>17</v>
      </c>
      <c r="F357" s="3179">
        <f>'2_入力シート【用途面積】'!E52</f>
        <v>0</v>
      </c>
      <c r="G357" s="3180"/>
      <c r="H357" s="3180"/>
      <c r="I357" s="3180"/>
      <c r="J357" s="1913" t="s">
        <v>28</v>
      </c>
      <c r="K357" s="3179" t="str">
        <f>IF('2_入力シート【用途面積】'!G52="","",'2_入力シート【用途面積】'!G52)</f>
        <v/>
      </c>
      <c r="L357" s="3180"/>
      <c r="M357" s="3180"/>
      <c r="N357" s="3180"/>
      <c r="O357" s="1913" t="s">
        <v>28</v>
      </c>
      <c r="P357" s="3179" t="str">
        <f>IF('2_入力シート【用途面積】'!I52="","",'2_入力シート【用途面積】'!I52)</f>
        <v/>
      </c>
      <c r="Q357" s="3180"/>
      <c r="R357" s="3180"/>
      <c r="S357" s="3180"/>
      <c r="T357" s="1913" t="s">
        <v>28</v>
      </c>
      <c r="U357" s="3179" t="str">
        <f>IF('2_入力シート【用途面積】'!K52="","",'2_入力シート【用途面積】'!K52)</f>
        <v/>
      </c>
      <c r="V357" s="3180"/>
      <c r="W357" s="3180"/>
      <c r="X357" s="3180"/>
      <c r="Y357" s="1913" t="s">
        <v>28</v>
      </c>
      <c r="Z357" s="3179" t="str">
        <f>IF('2_入力シート【用途面積】'!M52="","",'2_入力シート【用途面積】'!M52)</f>
        <v/>
      </c>
      <c r="AA357" s="3180"/>
      <c r="AB357" s="3180"/>
      <c r="AC357" s="3180"/>
      <c r="AD357" s="1913" t="s">
        <v>28</v>
      </c>
      <c r="AE357" s="3179" t="str">
        <f>IF('2_入力シート【用途面積】'!O52="","",'2_入力シート【用途面積】'!O52)</f>
        <v/>
      </c>
      <c r="AF357" s="3180"/>
      <c r="AG357" s="3180"/>
      <c r="AH357" s="3180"/>
      <c r="AI357" s="1913" t="s">
        <v>28</v>
      </c>
      <c r="AJ357" s="3179" t="str">
        <f>IF('2_入力シート【用途面積】'!Q52="","",'2_入力シート【用途面積】'!Q52)</f>
        <v/>
      </c>
      <c r="AK357" s="3180"/>
      <c r="AL357" s="3180"/>
      <c r="AM357" s="3180"/>
      <c r="AN357" s="1913" t="s">
        <v>28</v>
      </c>
      <c r="AO357" s="3179" t="str">
        <f>IF('2_入力シート【用途面積】'!S52="","",'2_入力シート【用途面積】'!S52)</f>
        <v/>
      </c>
      <c r="AP357" s="3180"/>
      <c r="AQ357" s="3180"/>
      <c r="AR357" s="3180"/>
      <c r="AS357" s="1913" t="s">
        <v>28</v>
      </c>
      <c r="AT357" s="1858"/>
      <c r="AU357" s="1872"/>
      <c r="AV357" s="1872"/>
    </row>
    <row r="358" spans="2:48" ht="12.95" customHeight="1" x14ac:dyDescent="0.15">
      <c r="B358" s="1917"/>
      <c r="C358" s="3298">
        <v>31</v>
      </c>
      <c r="D358" s="3299"/>
      <c r="E358" s="1914" t="s">
        <v>17</v>
      </c>
      <c r="F358" s="3181">
        <f>'2_入力シート【用途面積】'!E53</f>
        <v>0</v>
      </c>
      <c r="G358" s="3182"/>
      <c r="H358" s="3182"/>
      <c r="I358" s="3182"/>
      <c r="J358" s="1915" t="s">
        <v>28</v>
      </c>
      <c r="K358" s="3181" t="str">
        <f>IF('2_入力シート【用途面積】'!G53="","",'2_入力シート【用途面積】'!G53)</f>
        <v/>
      </c>
      <c r="L358" s="3182"/>
      <c r="M358" s="3182"/>
      <c r="N358" s="3182"/>
      <c r="O358" s="1915" t="s">
        <v>28</v>
      </c>
      <c r="P358" s="3181" t="str">
        <f>IF('2_入力シート【用途面積】'!I53="","",'2_入力シート【用途面積】'!I53)</f>
        <v/>
      </c>
      <c r="Q358" s="3182"/>
      <c r="R358" s="3182"/>
      <c r="S358" s="3182"/>
      <c r="T358" s="1915" t="s">
        <v>28</v>
      </c>
      <c r="U358" s="3181" t="str">
        <f>IF('2_入力シート【用途面積】'!K53="","",'2_入力シート【用途面積】'!K53)</f>
        <v/>
      </c>
      <c r="V358" s="3182"/>
      <c r="W358" s="3182"/>
      <c r="X358" s="3182"/>
      <c r="Y358" s="1915" t="s">
        <v>28</v>
      </c>
      <c r="Z358" s="3181" t="str">
        <f>IF('2_入力シート【用途面積】'!M53="","",'2_入力シート【用途面積】'!M53)</f>
        <v/>
      </c>
      <c r="AA358" s="3182"/>
      <c r="AB358" s="3182"/>
      <c r="AC358" s="3182"/>
      <c r="AD358" s="1915" t="s">
        <v>28</v>
      </c>
      <c r="AE358" s="3181" t="str">
        <f>IF('2_入力シート【用途面積】'!O53="","",'2_入力シート【用途面積】'!O53)</f>
        <v/>
      </c>
      <c r="AF358" s="3182"/>
      <c r="AG358" s="3182"/>
      <c r="AH358" s="3182"/>
      <c r="AI358" s="1915" t="s">
        <v>28</v>
      </c>
      <c r="AJ358" s="3181" t="str">
        <f>IF('2_入力シート【用途面積】'!Q53="","",'2_入力シート【用途面積】'!Q53)</f>
        <v/>
      </c>
      <c r="AK358" s="3182"/>
      <c r="AL358" s="3182"/>
      <c r="AM358" s="3182"/>
      <c r="AN358" s="1915" t="s">
        <v>28</v>
      </c>
      <c r="AO358" s="3181" t="str">
        <f>IF('2_入力シート【用途面積】'!S53="","",'2_入力シート【用途面積】'!S53)</f>
        <v/>
      </c>
      <c r="AP358" s="3182"/>
      <c r="AQ358" s="3182"/>
      <c r="AR358" s="3182"/>
      <c r="AS358" s="1915" t="s">
        <v>28</v>
      </c>
      <c r="AT358" s="1847"/>
      <c r="AU358" s="1872"/>
      <c r="AV358" s="1872"/>
    </row>
    <row r="359" spans="2:48" ht="12.95" customHeight="1" x14ac:dyDescent="0.15">
      <c r="B359" s="1918"/>
      <c r="C359" s="3298">
        <v>32</v>
      </c>
      <c r="D359" s="3299"/>
      <c r="E359" s="1911" t="s">
        <v>17</v>
      </c>
      <c r="F359" s="3177">
        <f>'2_入力シート【用途面積】'!E54</f>
        <v>0</v>
      </c>
      <c r="G359" s="3178"/>
      <c r="H359" s="3178"/>
      <c r="I359" s="3178"/>
      <c r="J359" s="1912" t="s">
        <v>28</v>
      </c>
      <c r="K359" s="3177" t="str">
        <f>IF('2_入力シート【用途面積】'!G54="","",'2_入力シート【用途面積】'!G54)</f>
        <v/>
      </c>
      <c r="L359" s="3178"/>
      <c r="M359" s="3178"/>
      <c r="N359" s="3178"/>
      <c r="O359" s="1912" t="s">
        <v>28</v>
      </c>
      <c r="P359" s="3177" t="str">
        <f>IF('2_入力シート【用途面積】'!I54="","",'2_入力シート【用途面積】'!I54)</f>
        <v/>
      </c>
      <c r="Q359" s="3178"/>
      <c r="R359" s="3178"/>
      <c r="S359" s="3178"/>
      <c r="T359" s="1912" t="s">
        <v>28</v>
      </c>
      <c r="U359" s="3177" t="str">
        <f>IF('2_入力シート【用途面積】'!K54="","",'2_入力シート【用途面積】'!K54)</f>
        <v/>
      </c>
      <c r="V359" s="3178"/>
      <c r="W359" s="3178"/>
      <c r="X359" s="3178"/>
      <c r="Y359" s="1912" t="s">
        <v>28</v>
      </c>
      <c r="Z359" s="3177" t="str">
        <f>IF('2_入力シート【用途面積】'!M54="","",'2_入力シート【用途面積】'!M54)</f>
        <v/>
      </c>
      <c r="AA359" s="3178"/>
      <c r="AB359" s="3178"/>
      <c r="AC359" s="3178"/>
      <c r="AD359" s="1912" t="s">
        <v>28</v>
      </c>
      <c r="AE359" s="3177" t="str">
        <f>IF('2_入力シート【用途面積】'!O54="","",'2_入力シート【用途面積】'!O54)</f>
        <v/>
      </c>
      <c r="AF359" s="3178"/>
      <c r="AG359" s="3178"/>
      <c r="AH359" s="3178"/>
      <c r="AI359" s="1912" t="s">
        <v>28</v>
      </c>
      <c r="AJ359" s="3177" t="str">
        <f>IF('2_入力シート【用途面積】'!Q54="","",'2_入力シート【用途面積】'!Q54)</f>
        <v/>
      </c>
      <c r="AK359" s="3178"/>
      <c r="AL359" s="3178"/>
      <c r="AM359" s="3178"/>
      <c r="AN359" s="1912" t="s">
        <v>28</v>
      </c>
      <c r="AO359" s="3177" t="str">
        <f>IF('2_入力シート【用途面積】'!S54="","",'2_入力シート【用途面積】'!S54)</f>
        <v/>
      </c>
      <c r="AP359" s="3178"/>
      <c r="AQ359" s="3178"/>
      <c r="AR359" s="3178"/>
      <c r="AS359" s="1912" t="s">
        <v>28</v>
      </c>
      <c r="AT359" s="1847"/>
      <c r="AU359" s="1872"/>
      <c r="AV359" s="1872"/>
    </row>
    <row r="360" spans="2:48" ht="12.95" customHeight="1" x14ac:dyDescent="0.15">
      <c r="B360" s="1918"/>
      <c r="C360" s="3298">
        <v>33</v>
      </c>
      <c r="D360" s="3299"/>
      <c r="E360" s="1911" t="s">
        <v>17</v>
      </c>
      <c r="F360" s="3177">
        <f>'2_入力シート【用途面積】'!E55</f>
        <v>0</v>
      </c>
      <c r="G360" s="3178"/>
      <c r="H360" s="3178"/>
      <c r="I360" s="3178"/>
      <c r="J360" s="1912" t="s">
        <v>28</v>
      </c>
      <c r="K360" s="3177" t="str">
        <f>IF('2_入力シート【用途面積】'!G55="","",'2_入力シート【用途面積】'!G55)</f>
        <v/>
      </c>
      <c r="L360" s="3178"/>
      <c r="M360" s="3178"/>
      <c r="N360" s="3178"/>
      <c r="O360" s="1912" t="s">
        <v>28</v>
      </c>
      <c r="P360" s="3177" t="str">
        <f>IF('2_入力シート【用途面積】'!I55="","",'2_入力シート【用途面積】'!I55)</f>
        <v/>
      </c>
      <c r="Q360" s="3178"/>
      <c r="R360" s="3178"/>
      <c r="S360" s="3178"/>
      <c r="T360" s="1912" t="s">
        <v>28</v>
      </c>
      <c r="U360" s="3177" t="str">
        <f>IF('2_入力シート【用途面積】'!K55="","",'2_入力シート【用途面積】'!K55)</f>
        <v/>
      </c>
      <c r="V360" s="3178"/>
      <c r="W360" s="3178"/>
      <c r="X360" s="3178"/>
      <c r="Y360" s="1912" t="s">
        <v>28</v>
      </c>
      <c r="Z360" s="3177" t="str">
        <f>IF('2_入力シート【用途面積】'!M55="","",'2_入力シート【用途面積】'!M55)</f>
        <v/>
      </c>
      <c r="AA360" s="3178"/>
      <c r="AB360" s="3178"/>
      <c r="AC360" s="3178"/>
      <c r="AD360" s="1912" t="s">
        <v>28</v>
      </c>
      <c r="AE360" s="3177" t="str">
        <f>IF('2_入力シート【用途面積】'!O55="","",'2_入力シート【用途面積】'!O55)</f>
        <v/>
      </c>
      <c r="AF360" s="3178"/>
      <c r="AG360" s="3178"/>
      <c r="AH360" s="3178"/>
      <c r="AI360" s="1912" t="s">
        <v>28</v>
      </c>
      <c r="AJ360" s="3177" t="str">
        <f>IF('2_入力シート【用途面積】'!Q55="","",'2_入力シート【用途面積】'!Q55)</f>
        <v/>
      </c>
      <c r="AK360" s="3178"/>
      <c r="AL360" s="3178"/>
      <c r="AM360" s="3178"/>
      <c r="AN360" s="1912" t="s">
        <v>28</v>
      </c>
      <c r="AO360" s="3177" t="str">
        <f>IF('2_入力シート【用途面積】'!S55="","",'2_入力シート【用途面積】'!S55)</f>
        <v/>
      </c>
      <c r="AP360" s="3178"/>
      <c r="AQ360" s="3178"/>
      <c r="AR360" s="3178"/>
      <c r="AS360" s="1912" t="s">
        <v>28</v>
      </c>
      <c r="AT360" s="1858"/>
      <c r="AU360" s="1872"/>
      <c r="AV360" s="1872"/>
    </row>
    <row r="361" spans="2:48" ht="12.95" customHeight="1" x14ac:dyDescent="0.15">
      <c r="B361" s="1918"/>
      <c r="C361" s="3298">
        <v>34</v>
      </c>
      <c r="D361" s="3299"/>
      <c r="E361" s="1911" t="s">
        <v>17</v>
      </c>
      <c r="F361" s="3177">
        <f>'2_入力シート【用途面積】'!E56</f>
        <v>0</v>
      </c>
      <c r="G361" s="3178"/>
      <c r="H361" s="3178"/>
      <c r="I361" s="3178"/>
      <c r="J361" s="1912" t="s">
        <v>28</v>
      </c>
      <c r="K361" s="3177" t="str">
        <f>IF('2_入力シート【用途面積】'!G56="","",'2_入力シート【用途面積】'!G56)</f>
        <v/>
      </c>
      <c r="L361" s="3178"/>
      <c r="M361" s="3178"/>
      <c r="N361" s="3178"/>
      <c r="O361" s="1912" t="s">
        <v>28</v>
      </c>
      <c r="P361" s="3177" t="str">
        <f>IF('2_入力シート【用途面積】'!I56="","",'2_入力シート【用途面積】'!I56)</f>
        <v/>
      </c>
      <c r="Q361" s="3178"/>
      <c r="R361" s="3178"/>
      <c r="S361" s="3178"/>
      <c r="T361" s="1912" t="s">
        <v>28</v>
      </c>
      <c r="U361" s="3177" t="str">
        <f>IF('2_入力シート【用途面積】'!K56="","",'2_入力シート【用途面積】'!K56)</f>
        <v/>
      </c>
      <c r="V361" s="3178"/>
      <c r="W361" s="3178"/>
      <c r="X361" s="3178"/>
      <c r="Y361" s="1912" t="s">
        <v>28</v>
      </c>
      <c r="Z361" s="3177" t="str">
        <f>IF('2_入力シート【用途面積】'!M56="","",'2_入力シート【用途面積】'!M56)</f>
        <v/>
      </c>
      <c r="AA361" s="3178"/>
      <c r="AB361" s="3178"/>
      <c r="AC361" s="3178"/>
      <c r="AD361" s="1912" t="s">
        <v>28</v>
      </c>
      <c r="AE361" s="3177" t="str">
        <f>IF('2_入力シート【用途面積】'!O56="","",'2_入力シート【用途面積】'!O56)</f>
        <v/>
      </c>
      <c r="AF361" s="3178"/>
      <c r="AG361" s="3178"/>
      <c r="AH361" s="3178"/>
      <c r="AI361" s="1912" t="s">
        <v>28</v>
      </c>
      <c r="AJ361" s="3177" t="str">
        <f>IF('2_入力シート【用途面積】'!Q56="","",'2_入力シート【用途面積】'!Q56)</f>
        <v/>
      </c>
      <c r="AK361" s="3178"/>
      <c r="AL361" s="3178"/>
      <c r="AM361" s="3178"/>
      <c r="AN361" s="1912" t="s">
        <v>28</v>
      </c>
      <c r="AO361" s="3177" t="str">
        <f>IF('2_入力シート【用途面積】'!S56="","",'2_入力シート【用途面積】'!S56)</f>
        <v/>
      </c>
      <c r="AP361" s="3178"/>
      <c r="AQ361" s="3178"/>
      <c r="AR361" s="3178"/>
      <c r="AS361" s="1912" t="s">
        <v>28</v>
      </c>
      <c r="AT361" s="1858"/>
      <c r="AU361" s="1872"/>
      <c r="AV361" s="1872"/>
    </row>
    <row r="362" spans="2:48" ht="12.95" customHeight="1" x14ac:dyDescent="0.15">
      <c r="B362" s="1920"/>
      <c r="C362" s="3292">
        <v>35</v>
      </c>
      <c r="D362" s="3293"/>
      <c r="E362" s="1916" t="s">
        <v>17</v>
      </c>
      <c r="F362" s="3179">
        <f>'2_入力シート【用途面積】'!E57</f>
        <v>0</v>
      </c>
      <c r="G362" s="3180"/>
      <c r="H362" s="3180"/>
      <c r="I362" s="3180"/>
      <c r="J362" s="1913" t="s">
        <v>28</v>
      </c>
      <c r="K362" s="3179" t="str">
        <f>IF('2_入力シート【用途面積】'!G57="","",'2_入力シート【用途面積】'!G57)</f>
        <v/>
      </c>
      <c r="L362" s="3180"/>
      <c r="M362" s="3180"/>
      <c r="N362" s="3180"/>
      <c r="O362" s="1913" t="s">
        <v>28</v>
      </c>
      <c r="P362" s="3179" t="str">
        <f>IF('2_入力シート【用途面積】'!I57="","",'2_入力シート【用途面積】'!I57)</f>
        <v/>
      </c>
      <c r="Q362" s="3180"/>
      <c r="R362" s="3180"/>
      <c r="S362" s="3180"/>
      <c r="T362" s="1913" t="s">
        <v>28</v>
      </c>
      <c r="U362" s="3179" t="str">
        <f>IF('2_入力シート【用途面積】'!K57="","",'2_入力シート【用途面積】'!K57)</f>
        <v/>
      </c>
      <c r="V362" s="3180"/>
      <c r="W362" s="3180"/>
      <c r="X362" s="3180"/>
      <c r="Y362" s="1913" t="s">
        <v>28</v>
      </c>
      <c r="Z362" s="3179" t="str">
        <f>IF('2_入力シート【用途面積】'!M57="","",'2_入力シート【用途面積】'!M57)</f>
        <v/>
      </c>
      <c r="AA362" s="3180"/>
      <c r="AB362" s="3180"/>
      <c r="AC362" s="3180"/>
      <c r="AD362" s="1913" t="s">
        <v>28</v>
      </c>
      <c r="AE362" s="3179" t="str">
        <f>IF('2_入力シート【用途面積】'!O57="","",'2_入力シート【用途面積】'!O57)</f>
        <v/>
      </c>
      <c r="AF362" s="3180"/>
      <c r="AG362" s="3180"/>
      <c r="AH362" s="3180"/>
      <c r="AI362" s="1913" t="s">
        <v>28</v>
      </c>
      <c r="AJ362" s="3179" t="str">
        <f>IF('2_入力シート【用途面積】'!Q57="","",'2_入力シート【用途面積】'!Q57)</f>
        <v/>
      </c>
      <c r="AK362" s="3180"/>
      <c r="AL362" s="3180"/>
      <c r="AM362" s="3180"/>
      <c r="AN362" s="1913" t="s">
        <v>28</v>
      </c>
      <c r="AO362" s="3179" t="str">
        <f>IF('2_入力シート【用途面積】'!S57="","",'2_入力シート【用途面積】'!S57)</f>
        <v/>
      </c>
      <c r="AP362" s="3180"/>
      <c r="AQ362" s="3180"/>
      <c r="AR362" s="3180"/>
      <c r="AS362" s="1913" t="s">
        <v>28</v>
      </c>
      <c r="AT362" s="1858"/>
      <c r="AU362" s="1872"/>
      <c r="AV362" s="1872"/>
    </row>
    <row r="363" spans="2:48" ht="12.95" customHeight="1" x14ac:dyDescent="0.15">
      <c r="B363" s="1917"/>
      <c r="C363" s="3298">
        <v>36</v>
      </c>
      <c r="D363" s="3299"/>
      <c r="E363" s="1914" t="s">
        <v>17</v>
      </c>
      <c r="F363" s="3181">
        <f>'2_入力シート【用途面積】'!E58</f>
        <v>0</v>
      </c>
      <c r="G363" s="3182"/>
      <c r="H363" s="3182"/>
      <c r="I363" s="3182"/>
      <c r="J363" s="1915" t="s">
        <v>28</v>
      </c>
      <c r="K363" s="3181" t="str">
        <f>IF('2_入力シート【用途面積】'!G58="","",'2_入力シート【用途面積】'!G58)</f>
        <v/>
      </c>
      <c r="L363" s="3182"/>
      <c r="M363" s="3182"/>
      <c r="N363" s="3182"/>
      <c r="O363" s="1915" t="s">
        <v>28</v>
      </c>
      <c r="P363" s="3181" t="str">
        <f>IF('2_入力シート【用途面積】'!I58="","",'2_入力シート【用途面積】'!I58)</f>
        <v/>
      </c>
      <c r="Q363" s="3182"/>
      <c r="R363" s="3182"/>
      <c r="S363" s="3182"/>
      <c r="T363" s="1915" t="s">
        <v>28</v>
      </c>
      <c r="U363" s="3181" t="str">
        <f>IF('2_入力シート【用途面積】'!K58="","",'2_入力シート【用途面積】'!K58)</f>
        <v/>
      </c>
      <c r="V363" s="3182"/>
      <c r="W363" s="3182"/>
      <c r="X363" s="3182"/>
      <c r="Y363" s="1915" t="s">
        <v>28</v>
      </c>
      <c r="Z363" s="3181" t="str">
        <f>IF('2_入力シート【用途面積】'!M58="","",'2_入力シート【用途面積】'!M58)</f>
        <v/>
      </c>
      <c r="AA363" s="3182"/>
      <c r="AB363" s="3182"/>
      <c r="AC363" s="3182"/>
      <c r="AD363" s="1915" t="s">
        <v>28</v>
      </c>
      <c r="AE363" s="3181" t="str">
        <f>IF('2_入力シート【用途面積】'!O58="","",'2_入力シート【用途面積】'!O58)</f>
        <v/>
      </c>
      <c r="AF363" s="3182"/>
      <c r="AG363" s="3182"/>
      <c r="AH363" s="3182"/>
      <c r="AI363" s="1915" t="s">
        <v>28</v>
      </c>
      <c r="AJ363" s="3181" t="str">
        <f>IF('2_入力シート【用途面積】'!Q58="","",'2_入力シート【用途面積】'!Q58)</f>
        <v/>
      </c>
      <c r="AK363" s="3182"/>
      <c r="AL363" s="3182"/>
      <c r="AM363" s="3182"/>
      <c r="AN363" s="1915" t="s">
        <v>28</v>
      </c>
      <c r="AO363" s="3181" t="str">
        <f>IF('2_入力シート【用途面積】'!S58="","",'2_入力シート【用途面積】'!S58)</f>
        <v/>
      </c>
      <c r="AP363" s="3182"/>
      <c r="AQ363" s="3182"/>
      <c r="AR363" s="3182"/>
      <c r="AS363" s="1915" t="s">
        <v>28</v>
      </c>
      <c r="AT363" s="1858"/>
      <c r="AU363" s="1872"/>
      <c r="AV363" s="1872"/>
    </row>
    <row r="364" spans="2:48" ht="12.95" customHeight="1" x14ac:dyDescent="0.15">
      <c r="B364" s="1918"/>
      <c r="C364" s="3298">
        <v>37</v>
      </c>
      <c r="D364" s="3299"/>
      <c r="E364" s="1911" t="s">
        <v>17</v>
      </c>
      <c r="F364" s="3177">
        <f>'2_入力シート【用途面積】'!E59</f>
        <v>0</v>
      </c>
      <c r="G364" s="3178"/>
      <c r="H364" s="3178"/>
      <c r="I364" s="3178"/>
      <c r="J364" s="1912" t="s">
        <v>28</v>
      </c>
      <c r="K364" s="3177" t="str">
        <f>IF('2_入力シート【用途面積】'!G59="","",'2_入力シート【用途面積】'!G59)</f>
        <v/>
      </c>
      <c r="L364" s="3178"/>
      <c r="M364" s="3178"/>
      <c r="N364" s="3178"/>
      <c r="O364" s="1912" t="s">
        <v>28</v>
      </c>
      <c r="P364" s="3177" t="str">
        <f>IF('2_入力シート【用途面積】'!I59="","",'2_入力シート【用途面積】'!I59)</f>
        <v/>
      </c>
      <c r="Q364" s="3178"/>
      <c r="R364" s="3178"/>
      <c r="S364" s="3178"/>
      <c r="T364" s="1912" t="s">
        <v>28</v>
      </c>
      <c r="U364" s="3177" t="str">
        <f>IF('2_入力シート【用途面積】'!K59="","",'2_入力シート【用途面積】'!K59)</f>
        <v/>
      </c>
      <c r="V364" s="3178"/>
      <c r="W364" s="3178"/>
      <c r="X364" s="3178"/>
      <c r="Y364" s="1912" t="s">
        <v>28</v>
      </c>
      <c r="Z364" s="3177" t="str">
        <f>IF('2_入力シート【用途面積】'!M59="","",'2_入力シート【用途面積】'!M59)</f>
        <v/>
      </c>
      <c r="AA364" s="3178"/>
      <c r="AB364" s="3178"/>
      <c r="AC364" s="3178"/>
      <c r="AD364" s="1912" t="s">
        <v>28</v>
      </c>
      <c r="AE364" s="3177" t="str">
        <f>IF('2_入力シート【用途面積】'!O59="","",'2_入力シート【用途面積】'!O59)</f>
        <v/>
      </c>
      <c r="AF364" s="3178"/>
      <c r="AG364" s="3178"/>
      <c r="AH364" s="3178"/>
      <c r="AI364" s="1912" t="s">
        <v>28</v>
      </c>
      <c r="AJ364" s="3177" t="str">
        <f>IF('2_入力シート【用途面積】'!Q59="","",'2_入力シート【用途面積】'!Q59)</f>
        <v/>
      </c>
      <c r="AK364" s="3178"/>
      <c r="AL364" s="3178"/>
      <c r="AM364" s="3178"/>
      <c r="AN364" s="1912" t="s">
        <v>28</v>
      </c>
      <c r="AO364" s="3177" t="str">
        <f>IF('2_入力シート【用途面積】'!S59="","",'2_入力シート【用途面積】'!S59)</f>
        <v/>
      </c>
      <c r="AP364" s="3178"/>
      <c r="AQ364" s="3178"/>
      <c r="AR364" s="3178"/>
      <c r="AS364" s="1912" t="s">
        <v>28</v>
      </c>
      <c r="AT364" s="1858"/>
      <c r="AU364" s="1872"/>
      <c r="AV364" s="1872"/>
    </row>
    <row r="365" spans="2:48" ht="12.95" customHeight="1" x14ac:dyDescent="0.15">
      <c r="B365" s="1918"/>
      <c r="C365" s="3298">
        <v>38</v>
      </c>
      <c r="D365" s="3299"/>
      <c r="E365" s="1911" t="s">
        <v>17</v>
      </c>
      <c r="F365" s="3177">
        <f>'2_入力シート【用途面積】'!E60</f>
        <v>0</v>
      </c>
      <c r="G365" s="3178"/>
      <c r="H365" s="3178"/>
      <c r="I365" s="3178"/>
      <c r="J365" s="1912" t="s">
        <v>28</v>
      </c>
      <c r="K365" s="3177" t="str">
        <f>IF('2_入力シート【用途面積】'!G60="","",'2_入力シート【用途面積】'!G60)</f>
        <v/>
      </c>
      <c r="L365" s="3178"/>
      <c r="M365" s="3178"/>
      <c r="N365" s="3178"/>
      <c r="O365" s="1912" t="s">
        <v>28</v>
      </c>
      <c r="P365" s="3177" t="str">
        <f>IF('2_入力シート【用途面積】'!I60="","",'2_入力シート【用途面積】'!I60)</f>
        <v/>
      </c>
      <c r="Q365" s="3178"/>
      <c r="R365" s="3178"/>
      <c r="S365" s="3178"/>
      <c r="T365" s="1912" t="s">
        <v>28</v>
      </c>
      <c r="U365" s="3177" t="str">
        <f>IF('2_入力シート【用途面積】'!K60="","",'2_入力シート【用途面積】'!K60)</f>
        <v/>
      </c>
      <c r="V365" s="3178"/>
      <c r="W365" s="3178"/>
      <c r="X365" s="3178"/>
      <c r="Y365" s="1912" t="s">
        <v>28</v>
      </c>
      <c r="Z365" s="3177" t="str">
        <f>IF('2_入力シート【用途面積】'!M60="","",'2_入力シート【用途面積】'!M60)</f>
        <v/>
      </c>
      <c r="AA365" s="3178"/>
      <c r="AB365" s="3178"/>
      <c r="AC365" s="3178"/>
      <c r="AD365" s="1912" t="s">
        <v>28</v>
      </c>
      <c r="AE365" s="3177" t="str">
        <f>IF('2_入力シート【用途面積】'!O60="","",'2_入力シート【用途面積】'!O60)</f>
        <v/>
      </c>
      <c r="AF365" s="3178"/>
      <c r="AG365" s="3178"/>
      <c r="AH365" s="3178"/>
      <c r="AI365" s="1912" t="s">
        <v>28</v>
      </c>
      <c r="AJ365" s="3177" t="str">
        <f>IF('2_入力シート【用途面積】'!Q60="","",'2_入力シート【用途面積】'!Q60)</f>
        <v/>
      </c>
      <c r="AK365" s="3178"/>
      <c r="AL365" s="3178"/>
      <c r="AM365" s="3178"/>
      <c r="AN365" s="1912" t="s">
        <v>28</v>
      </c>
      <c r="AO365" s="3177" t="str">
        <f>IF('2_入力シート【用途面積】'!S60="","",'2_入力シート【用途面積】'!S60)</f>
        <v/>
      </c>
      <c r="AP365" s="3178"/>
      <c r="AQ365" s="3178"/>
      <c r="AR365" s="3178"/>
      <c r="AS365" s="1912" t="s">
        <v>28</v>
      </c>
      <c r="AT365" s="1858"/>
      <c r="AU365" s="1872"/>
      <c r="AV365" s="1872"/>
    </row>
    <row r="366" spans="2:48" ht="12.95" customHeight="1" x14ac:dyDescent="0.15">
      <c r="B366" s="1918"/>
      <c r="C366" s="3298">
        <v>39</v>
      </c>
      <c r="D366" s="3299"/>
      <c r="E366" s="1911" t="s">
        <v>17</v>
      </c>
      <c r="F366" s="3177">
        <f>'2_入力シート【用途面積】'!E61</f>
        <v>0</v>
      </c>
      <c r="G366" s="3178"/>
      <c r="H366" s="3178"/>
      <c r="I366" s="3178"/>
      <c r="J366" s="1912" t="s">
        <v>28</v>
      </c>
      <c r="K366" s="3177" t="str">
        <f>IF('2_入力シート【用途面積】'!G61="","",'2_入力シート【用途面積】'!G61)</f>
        <v/>
      </c>
      <c r="L366" s="3178"/>
      <c r="M366" s="3178"/>
      <c r="N366" s="3178"/>
      <c r="O366" s="1912" t="s">
        <v>28</v>
      </c>
      <c r="P366" s="3177" t="str">
        <f>IF('2_入力シート【用途面積】'!I61="","",'2_入力シート【用途面積】'!I61)</f>
        <v/>
      </c>
      <c r="Q366" s="3178"/>
      <c r="R366" s="3178"/>
      <c r="S366" s="3178"/>
      <c r="T366" s="1912" t="s">
        <v>28</v>
      </c>
      <c r="U366" s="3177" t="str">
        <f>IF('2_入力シート【用途面積】'!K61="","",'2_入力シート【用途面積】'!K61)</f>
        <v/>
      </c>
      <c r="V366" s="3178"/>
      <c r="W366" s="3178"/>
      <c r="X366" s="3178"/>
      <c r="Y366" s="1912" t="s">
        <v>28</v>
      </c>
      <c r="Z366" s="3177" t="str">
        <f>IF('2_入力シート【用途面積】'!M61="","",'2_入力シート【用途面積】'!M61)</f>
        <v/>
      </c>
      <c r="AA366" s="3178"/>
      <c r="AB366" s="3178"/>
      <c r="AC366" s="3178"/>
      <c r="AD366" s="1912" t="s">
        <v>28</v>
      </c>
      <c r="AE366" s="3177" t="str">
        <f>IF('2_入力シート【用途面積】'!O61="","",'2_入力シート【用途面積】'!O61)</f>
        <v/>
      </c>
      <c r="AF366" s="3178"/>
      <c r="AG366" s="3178"/>
      <c r="AH366" s="3178"/>
      <c r="AI366" s="1912" t="s">
        <v>28</v>
      </c>
      <c r="AJ366" s="3177" t="str">
        <f>IF('2_入力シート【用途面積】'!Q61="","",'2_入力シート【用途面積】'!Q61)</f>
        <v/>
      </c>
      <c r="AK366" s="3178"/>
      <c r="AL366" s="3178"/>
      <c r="AM366" s="3178"/>
      <c r="AN366" s="1912" t="s">
        <v>28</v>
      </c>
      <c r="AO366" s="3177" t="str">
        <f>IF('2_入力シート【用途面積】'!S61="","",'2_入力シート【用途面積】'!S61)</f>
        <v/>
      </c>
      <c r="AP366" s="3178"/>
      <c r="AQ366" s="3178"/>
      <c r="AR366" s="3178"/>
      <c r="AS366" s="1912" t="s">
        <v>28</v>
      </c>
      <c r="AT366" s="1863"/>
      <c r="AU366" s="1872"/>
      <c r="AV366" s="1872"/>
    </row>
    <row r="367" spans="2:48" ht="12.95" customHeight="1" x14ac:dyDescent="0.15">
      <c r="B367" s="1920"/>
      <c r="C367" s="3292">
        <v>40</v>
      </c>
      <c r="D367" s="3293"/>
      <c r="E367" s="1916" t="s">
        <v>17</v>
      </c>
      <c r="F367" s="3179">
        <f>'2_入力シート【用途面積】'!E62</f>
        <v>0</v>
      </c>
      <c r="G367" s="3180"/>
      <c r="H367" s="3180"/>
      <c r="I367" s="3180"/>
      <c r="J367" s="1913" t="s">
        <v>28</v>
      </c>
      <c r="K367" s="3179" t="str">
        <f>IF('2_入力シート【用途面積】'!G62="","",'2_入力シート【用途面積】'!G62)</f>
        <v/>
      </c>
      <c r="L367" s="3180"/>
      <c r="M367" s="3180"/>
      <c r="N367" s="3180"/>
      <c r="O367" s="1913" t="s">
        <v>28</v>
      </c>
      <c r="P367" s="3179" t="str">
        <f>IF('2_入力シート【用途面積】'!I62="","",'2_入力シート【用途面積】'!I62)</f>
        <v/>
      </c>
      <c r="Q367" s="3180"/>
      <c r="R367" s="3180"/>
      <c r="S367" s="3180"/>
      <c r="T367" s="1913" t="s">
        <v>28</v>
      </c>
      <c r="U367" s="3179" t="str">
        <f>IF('2_入力シート【用途面積】'!K62="","",'2_入力シート【用途面積】'!K62)</f>
        <v/>
      </c>
      <c r="V367" s="3180"/>
      <c r="W367" s="3180"/>
      <c r="X367" s="3180"/>
      <c r="Y367" s="1913" t="s">
        <v>28</v>
      </c>
      <c r="Z367" s="3179" t="str">
        <f>IF('2_入力シート【用途面積】'!M62="","",'2_入力シート【用途面積】'!M62)</f>
        <v/>
      </c>
      <c r="AA367" s="3180"/>
      <c r="AB367" s="3180"/>
      <c r="AC367" s="3180"/>
      <c r="AD367" s="1913" t="s">
        <v>28</v>
      </c>
      <c r="AE367" s="3179" t="str">
        <f>IF('2_入力シート【用途面積】'!O62="","",'2_入力シート【用途面積】'!O62)</f>
        <v/>
      </c>
      <c r="AF367" s="3180"/>
      <c r="AG367" s="3180"/>
      <c r="AH367" s="3180"/>
      <c r="AI367" s="1913" t="s">
        <v>28</v>
      </c>
      <c r="AJ367" s="3179" t="str">
        <f>IF('2_入力シート【用途面積】'!Q62="","",'2_入力シート【用途面積】'!Q62)</f>
        <v/>
      </c>
      <c r="AK367" s="3180"/>
      <c r="AL367" s="3180"/>
      <c r="AM367" s="3180"/>
      <c r="AN367" s="1913" t="s">
        <v>28</v>
      </c>
      <c r="AO367" s="3179" t="str">
        <f>IF('2_入力シート【用途面積】'!S62="","",'2_入力シート【用途面積】'!S62)</f>
        <v/>
      </c>
      <c r="AP367" s="3180"/>
      <c r="AQ367" s="3180"/>
      <c r="AR367" s="3180"/>
      <c r="AS367" s="1913" t="s">
        <v>28</v>
      </c>
      <c r="AT367" s="1863"/>
      <c r="AU367" s="1872"/>
      <c r="AV367" s="1872"/>
    </row>
    <row r="368" spans="2:48" ht="12.95" customHeight="1" x14ac:dyDescent="0.15">
      <c r="B368" s="1917"/>
      <c r="C368" s="3298">
        <v>41</v>
      </c>
      <c r="D368" s="3299"/>
      <c r="E368" s="1914" t="s">
        <v>17</v>
      </c>
      <c r="F368" s="3181">
        <f>'2_入力シート【用途面積】'!E63</f>
        <v>0</v>
      </c>
      <c r="G368" s="3182"/>
      <c r="H368" s="3182"/>
      <c r="I368" s="3182"/>
      <c r="J368" s="1915" t="s">
        <v>28</v>
      </c>
      <c r="K368" s="3181" t="str">
        <f>IF('2_入力シート【用途面積】'!G63="","",'2_入力シート【用途面積】'!G63)</f>
        <v/>
      </c>
      <c r="L368" s="3182"/>
      <c r="M368" s="3182"/>
      <c r="N368" s="3182"/>
      <c r="O368" s="1915" t="s">
        <v>28</v>
      </c>
      <c r="P368" s="3181" t="str">
        <f>IF('2_入力シート【用途面積】'!I63="","",'2_入力シート【用途面積】'!I63)</f>
        <v/>
      </c>
      <c r="Q368" s="3182"/>
      <c r="R368" s="3182"/>
      <c r="S368" s="3182"/>
      <c r="T368" s="1915" t="s">
        <v>28</v>
      </c>
      <c r="U368" s="3181" t="str">
        <f>IF('2_入力シート【用途面積】'!K63="","",'2_入力シート【用途面積】'!K63)</f>
        <v/>
      </c>
      <c r="V368" s="3182"/>
      <c r="W368" s="3182"/>
      <c r="X368" s="3182"/>
      <c r="Y368" s="1915" t="s">
        <v>28</v>
      </c>
      <c r="Z368" s="3181" t="str">
        <f>IF('2_入力シート【用途面積】'!M63="","",'2_入力シート【用途面積】'!M63)</f>
        <v/>
      </c>
      <c r="AA368" s="3182"/>
      <c r="AB368" s="3182"/>
      <c r="AC368" s="3182"/>
      <c r="AD368" s="1915" t="s">
        <v>28</v>
      </c>
      <c r="AE368" s="3181" t="str">
        <f>IF('2_入力シート【用途面積】'!O63="","",'2_入力シート【用途面積】'!O63)</f>
        <v/>
      </c>
      <c r="AF368" s="3182"/>
      <c r="AG368" s="3182"/>
      <c r="AH368" s="3182"/>
      <c r="AI368" s="1915" t="s">
        <v>28</v>
      </c>
      <c r="AJ368" s="3181" t="str">
        <f>IF('2_入力シート【用途面積】'!Q63="","",'2_入力シート【用途面積】'!Q63)</f>
        <v/>
      </c>
      <c r="AK368" s="3182"/>
      <c r="AL368" s="3182"/>
      <c r="AM368" s="3182"/>
      <c r="AN368" s="1915" t="s">
        <v>28</v>
      </c>
      <c r="AO368" s="3181" t="str">
        <f>IF('2_入力シート【用途面積】'!S63="","",'2_入力シート【用途面積】'!S63)</f>
        <v/>
      </c>
      <c r="AP368" s="3182"/>
      <c r="AQ368" s="3182"/>
      <c r="AR368" s="3182"/>
      <c r="AS368" s="1915" t="s">
        <v>28</v>
      </c>
      <c r="AT368" s="1863"/>
      <c r="AU368" s="1872"/>
      <c r="AV368" s="1872"/>
    </row>
    <row r="369" spans="2:48" ht="12.95" customHeight="1" x14ac:dyDescent="0.15">
      <c r="B369" s="1918"/>
      <c r="C369" s="3298">
        <v>42</v>
      </c>
      <c r="D369" s="3299"/>
      <c r="E369" s="1911" t="s">
        <v>17</v>
      </c>
      <c r="F369" s="3177">
        <f>'2_入力シート【用途面積】'!E64</f>
        <v>0</v>
      </c>
      <c r="G369" s="3178"/>
      <c r="H369" s="3178"/>
      <c r="I369" s="3178"/>
      <c r="J369" s="1912" t="s">
        <v>28</v>
      </c>
      <c r="K369" s="3177" t="str">
        <f>IF('2_入力シート【用途面積】'!G64="","",'2_入力シート【用途面積】'!G64)</f>
        <v/>
      </c>
      <c r="L369" s="3178"/>
      <c r="M369" s="3178"/>
      <c r="N369" s="3178"/>
      <c r="O369" s="1912" t="s">
        <v>28</v>
      </c>
      <c r="P369" s="3177" t="str">
        <f>IF('2_入力シート【用途面積】'!I64="","",'2_入力シート【用途面積】'!I64)</f>
        <v/>
      </c>
      <c r="Q369" s="3178"/>
      <c r="R369" s="3178"/>
      <c r="S369" s="3178"/>
      <c r="T369" s="1912" t="s">
        <v>28</v>
      </c>
      <c r="U369" s="3177" t="str">
        <f>IF('2_入力シート【用途面積】'!K64="","",'2_入力シート【用途面積】'!K64)</f>
        <v/>
      </c>
      <c r="V369" s="3178"/>
      <c r="W369" s="3178"/>
      <c r="X369" s="3178"/>
      <c r="Y369" s="1912" t="s">
        <v>28</v>
      </c>
      <c r="Z369" s="3177" t="str">
        <f>IF('2_入力シート【用途面積】'!M64="","",'2_入力シート【用途面積】'!M64)</f>
        <v/>
      </c>
      <c r="AA369" s="3178"/>
      <c r="AB369" s="3178"/>
      <c r="AC369" s="3178"/>
      <c r="AD369" s="1912" t="s">
        <v>28</v>
      </c>
      <c r="AE369" s="3177" t="str">
        <f>IF('2_入力シート【用途面積】'!O64="","",'2_入力シート【用途面積】'!O64)</f>
        <v/>
      </c>
      <c r="AF369" s="3178"/>
      <c r="AG369" s="3178"/>
      <c r="AH369" s="3178"/>
      <c r="AI369" s="1912" t="s">
        <v>28</v>
      </c>
      <c r="AJ369" s="3177" t="str">
        <f>IF('2_入力シート【用途面積】'!Q64="","",'2_入力シート【用途面積】'!Q64)</f>
        <v/>
      </c>
      <c r="AK369" s="3178"/>
      <c r="AL369" s="3178"/>
      <c r="AM369" s="3178"/>
      <c r="AN369" s="1912" t="s">
        <v>28</v>
      </c>
      <c r="AO369" s="3177" t="str">
        <f>IF('2_入力シート【用途面積】'!S64="","",'2_入力シート【用途面積】'!S64)</f>
        <v/>
      </c>
      <c r="AP369" s="3178"/>
      <c r="AQ369" s="3178"/>
      <c r="AR369" s="3178"/>
      <c r="AS369" s="1912" t="s">
        <v>28</v>
      </c>
      <c r="AT369" s="1858"/>
      <c r="AU369" s="1872"/>
      <c r="AV369" s="1872"/>
    </row>
    <row r="370" spans="2:48" ht="12.95" customHeight="1" x14ac:dyDescent="0.15">
      <c r="B370" s="1918"/>
      <c r="C370" s="3298">
        <v>43</v>
      </c>
      <c r="D370" s="3299"/>
      <c r="E370" s="1911" t="s">
        <v>17</v>
      </c>
      <c r="F370" s="3177">
        <f>'2_入力シート【用途面積】'!E65</f>
        <v>0</v>
      </c>
      <c r="G370" s="3178"/>
      <c r="H370" s="3178"/>
      <c r="I370" s="3178"/>
      <c r="J370" s="1912" t="s">
        <v>28</v>
      </c>
      <c r="K370" s="3177" t="str">
        <f>IF('2_入力シート【用途面積】'!G65="","",'2_入力シート【用途面積】'!G65)</f>
        <v/>
      </c>
      <c r="L370" s="3178"/>
      <c r="M370" s="3178"/>
      <c r="N370" s="3178"/>
      <c r="O370" s="1912" t="s">
        <v>28</v>
      </c>
      <c r="P370" s="3177" t="str">
        <f>IF('2_入力シート【用途面積】'!I65="","",'2_入力シート【用途面積】'!I65)</f>
        <v/>
      </c>
      <c r="Q370" s="3178"/>
      <c r="R370" s="3178"/>
      <c r="S370" s="3178"/>
      <c r="T370" s="1912" t="s">
        <v>28</v>
      </c>
      <c r="U370" s="3177" t="str">
        <f>IF('2_入力シート【用途面積】'!K65="","",'2_入力シート【用途面積】'!K65)</f>
        <v/>
      </c>
      <c r="V370" s="3178"/>
      <c r="W370" s="3178"/>
      <c r="X370" s="3178"/>
      <c r="Y370" s="1912" t="s">
        <v>28</v>
      </c>
      <c r="Z370" s="3177" t="str">
        <f>IF('2_入力シート【用途面積】'!M65="","",'2_入力シート【用途面積】'!M65)</f>
        <v/>
      </c>
      <c r="AA370" s="3178"/>
      <c r="AB370" s="3178"/>
      <c r="AC370" s="3178"/>
      <c r="AD370" s="1912" t="s">
        <v>28</v>
      </c>
      <c r="AE370" s="3177" t="str">
        <f>IF('2_入力シート【用途面積】'!O65="","",'2_入力シート【用途面積】'!O65)</f>
        <v/>
      </c>
      <c r="AF370" s="3178"/>
      <c r="AG370" s="3178"/>
      <c r="AH370" s="3178"/>
      <c r="AI370" s="1912" t="s">
        <v>28</v>
      </c>
      <c r="AJ370" s="3177" t="str">
        <f>IF('2_入力シート【用途面積】'!Q65="","",'2_入力シート【用途面積】'!Q65)</f>
        <v/>
      </c>
      <c r="AK370" s="3178"/>
      <c r="AL370" s="3178"/>
      <c r="AM370" s="3178"/>
      <c r="AN370" s="1912" t="s">
        <v>28</v>
      </c>
      <c r="AO370" s="3177" t="str">
        <f>IF('2_入力シート【用途面積】'!S65="","",'2_入力シート【用途面積】'!S65)</f>
        <v/>
      </c>
      <c r="AP370" s="3178"/>
      <c r="AQ370" s="3178"/>
      <c r="AR370" s="3178"/>
      <c r="AS370" s="1912" t="s">
        <v>28</v>
      </c>
      <c r="AT370" s="1864"/>
      <c r="AU370" s="1872"/>
      <c r="AV370" s="1872"/>
    </row>
    <row r="371" spans="2:48" ht="12.95" customHeight="1" x14ac:dyDescent="0.15">
      <c r="B371" s="1918"/>
      <c r="C371" s="3298">
        <v>44</v>
      </c>
      <c r="D371" s="3299"/>
      <c r="E371" s="1911" t="s">
        <v>17</v>
      </c>
      <c r="F371" s="3177">
        <f>'2_入力シート【用途面積】'!E66</f>
        <v>0</v>
      </c>
      <c r="G371" s="3178"/>
      <c r="H371" s="3178"/>
      <c r="I371" s="3178"/>
      <c r="J371" s="1912" t="s">
        <v>28</v>
      </c>
      <c r="K371" s="3177" t="str">
        <f>IF('2_入力シート【用途面積】'!G66="","",'2_入力シート【用途面積】'!G66)</f>
        <v/>
      </c>
      <c r="L371" s="3178"/>
      <c r="M371" s="3178"/>
      <c r="N371" s="3178"/>
      <c r="O371" s="1912" t="s">
        <v>28</v>
      </c>
      <c r="P371" s="3177" t="str">
        <f>IF('2_入力シート【用途面積】'!I66="","",'2_入力シート【用途面積】'!I66)</f>
        <v/>
      </c>
      <c r="Q371" s="3178"/>
      <c r="R371" s="3178"/>
      <c r="S371" s="3178"/>
      <c r="T371" s="1912" t="s">
        <v>28</v>
      </c>
      <c r="U371" s="3177" t="str">
        <f>IF('2_入力シート【用途面積】'!K66="","",'2_入力シート【用途面積】'!K66)</f>
        <v/>
      </c>
      <c r="V371" s="3178"/>
      <c r="W371" s="3178"/>
      <c r="X371" s="3178"/>
      <c r="Y371" s="1912" t="s">
        <v>28</v>
      </c>
      <c r="Z371" s="3177" t="str">
        <f>IF('2_入力シート【用途面積】'!M66="","",'2_入力シート【用途面積】'!M66)</f>
        <v/>
      </c>
      <c r="AA371" s="3178"/>
      <c r="AB371" s="3178"/>
      <c r="AC371" s="3178"/>
      <c r="AD371" s="1912" t="s">
        <v>28</v>
      </c>
      <c r="AE371" s="3177" t="str">
        <f>IF('2_入力シート【用途面積】'!O66="","",'2_入力シート【用途面積】'!O66)</f>
        <v/>
      </c>
      <c r="AF371" s="3178"/>
      <c r="AG371" s="3178"/>
      <c r="AH371" s="3178"/>
      <c r="AI371" s="1912" t="s">
        <v>28</v>
      </c>
      <c r="AJ371" s="3177" t="str">
        <f>IF('2_入力シート【用途面積】'!Q66="","",'2_入力シート【用途面積】'!Q66)</f>
        <v/>
      </c>
      <c r="AK371" s="3178"/>
      <c r="AL371" s="3178"/>
      <c r="AM371" s="3178"/>
      <c r="AN371" s="1912" t="s">
        <v>28</v>
      </c>
      <c r="AO371" s="3177" t="str">
        <f>IF('2_入力シート【用途面積】'!S66="","",'2_入力シート【用途面積】'!S66)</f>
        <v/>
      </c>
      <c r="AP371" s="3178"/>
      <c r="AQ371" s="3178"/>
      <c r="AR371" s="3178"/>
      <c r="AS371" s="1912" t="s">
        <v>28</v>
      </c>
      <c r="AT371" s="1863"/>
      <c r="AU371" s="1872"/>
      <c r="AV371" s="1872"/>
    </row>
    <row r="372" spans="2:48" ht="12.95" customHeight="1" x14ac:dyDescent="0.15">
      <c r="B372" s="1920"/>
      <c r="C372" s="3292">
        <v>45</v>
      </c>
      <c r="D372" s="3293"/>
      <c r="E372" s="1916" t="s">
        <v>17</v>
      </c>
      <c r="F372" s="3179">
        <f>'2_入力シート【用途面積】'!E67</f>
        <v>0</v>
      </c>
      <c r="G372" s="3180"/>
      <c r="H372" s="3180"/>
      <c r="I372" s="3180"/>
      <c r="J372" s="1913" t="s">
        <v>28</v>
      </c>
      <c r="K372" s="3179" t="str">
        <f>IF('2_入力シート【用途面積】'!G67="","",'2_入力シート【用途面積】'!G67)</f>
        <v/>
      </c>
      <c r="L372" s="3180"/>
      <c r="M372" s="3180"/>
      <c r="N372" s="3180"/>
      <c r="O372" s="1913" t="s">
        <v>28</v>
      </c>
      <c r="P372" s="3179" t="str">
        <f>IF('2_入力シート【用途面積】'!I67="","",'2_入力シート【用途面積】'!I67)</f>
        <v/>
      </c>
      <c r="Q372" s="3180"/>
      <c r="R372" s="3180"/>
      <c r="S372" s="3180"/>
      <c r="T372" s="1913" t="s">
        <v>28</v>
      </c>
      <c r="U372" s="3179" t="str">
        <f>IF('2_入力シート【用途面積】'!K67="","",'2_入力シート【用途面積】'!K67)</f>
        <v/>
      </c>
      <c r="V372" s="3180"/>
      <c r="W372" s="3180"/>
      <c r="X372" s="3180"/>
      <c r="Y372" s="1913" t="s">
        <v>28</v>
      </c>
      <c r="Z372" s="3179" t="str">
        <f>IF('2_入力シート【用途面積】'!M67="","",'2_入力シート【用途面積】'!M67)</f>
        <v/>
      </c>
      <c r="AA372" s="3180"/>
      <c r="AB372" s="3180"/>
      <c r="AC372" s="3180"/>
      <c r="AD372" s="1913" t="s">
        <v>28</v>
      </c>
      <c r="AE372" s="3179" t="str">
        <f>IF('2_入力シート【用途面積】'!O67="","",'2_入力シート【用途面積】'!O67)</f>
        <v/>
      </c>
      <c r="AF372" s="3180"/>
      <c r="AG372" s="3180"/>
      <c r="AH372" s="3180"/>
      <c r="AI372" s="1913" t="s">
        <v>28</v>
      </c>
      <c r="AJ372" s="3179" t="str">
        <f>IF('2_入力シート【用途面積】'!Q67="","",'2_入力シート【用途面積】'!Q67)</f>
        <v/>
      </c>
      <c r="AK372" s="3180"/>
      <c r="AL372" s="3180"/>
      <c r="AM372" s="3180"/>
      <c r="AN372" s="1913" t="s">
        <v>28</v>
      </c>
      <c r="AO372" s="3179" t="str">
        <f>IF('2_入力シート【用途面積】'!S67="","",'2_入力シート【用途面積】'!S67)</f>
        <v/>
      </c>
      <c r="AP372" s="3180"/>
      <c r="AQ372" s="3180"/>
      <c r="AR372" s="3180"/>
      <c r="AS372" s="1913" t="s">
        <v>28</v>
      </c>
      <c r="AT372" s="1907"/>
      <c r="AU372" s="1872"/>
      <c r="AV372" s="1872"/>
    </row>
    <row r="373" spans="2:48" ht="12.95" customHeight="1" x14ac:dyDescent="0.15">
      <c r="B373" s="1917"/>
      <c r="C373" s="3298">
        <v>46</v>
      </c>
      <c r="D373" s="3299"/>
      <c r="E373" s="1914" t="s">
        <v>17</v>
      </c>
      <c r="F373" s="3181">
        <f>'2_入力シート【用途面積】'!E68</f>
        <v>0</v>
      </c>
      <c r="G373" s="3182"/>
      <c r="H373" s="3182"/>
      <c r="I373" s="3182"/>
      <c r="J373" s="1915" t="s">
        <v>28</v>
      </c>
      <c r="K373" s="3181" t="str">
        <f>IF('2_入力シート【用途面積】'!G68="","",'2_入力シート【用途面積】'!G68)</f>
        <v/>
      </c>
      <c r="L373" s="3182"/>
      <c r="M373" s="3182"/>
      <c r="N373" s="3182"/>
      <c r="O373" s="1915" t="s">
        <v>28</v>
      </c>
      <c r="P373" s="3181" t="str">
        <f>IF('2_入力シート【用途面積】'!I68="","",'2_入力シート【用途面積】'!I68)</f>
        <v/>
      </c>
      <c r="Q373" s="3182"/>
      <c r="R373" s="3182"/>
      <c r="S373" s="3182"/>
      <c r="T373" s="1915" t="s">
        <v>28</v>
      </c>
      <c r="U373" s="3181" t="str">
        <f>IF('2_入力シート【用途面積】'!K68="","",'2_入力シート【用途面積】'!K68)</f>
        <v/>
      </c>
      <c r="V373" s="3182"/>
      <c r="W373" s="3182"/>
      <c r="X373" s="3182"/>
      <c r="Y373" s="1915" t="s">
        <v>28</v>
      </c>
      <c r="Z373" s="3181" t="str">
        <f>IF('2_入力シート【用途面積】'!M68="","",'2_入力シート【用途面積】'!M68)</f>
        <v/>
      </c>
      <c r="AA373" s="3182"/>
      <c r="AB373" s="3182"/>
      <c r="AC373" s="3182"/>
      <c r="AD373" s="1915" t="s">
        <v>28</v>
      </c>
      <c r="AE373" s="3181" t="str">
        <f>IF('2_入力シート【用途面積】'!O68="","",'2_入力シート【用途面積】'!O68)</f>
        <v/>
      </c>
      <c r="AF373" s="3182"/>
      <c r="AG373" s="3182"/>
      <c r="AH373" s="3182"/>
      <c r="AI373" s="1915" t="s">
        <v>28</v>
      </c>
      <c r="AJ373" s="3181" t="str">
        <f>IF('2_入力シート【用途面積】'!Q68="","",'2_入力シート【用途面積】'!Q68)</f>
        <v/>
      </c>
      <c r="AK373" s="3182"/>
      <c r="AL373" s="3182"/>
      <c r="AM373" s="3182"/>
      <c r="AN373" s="1915" t="s">
        <v>28</v>
      </c>
      <c r="AO373" s="3181" t="str">
        <f>IF('2_入力シート【用途面積】'!S68="","",'2_入力シート【用途面積】'!S68)</f>
        <v/>
      </c>
      <c r="AP373" s="3182"/>
      <c r="AQ373" s="3182"/>
      <c r="AR373" s="3182"/>
      <c r="AS373" s="1915" t="s">
        <v>28</v>
      </c>
      <c r="AT373" s="1858"/>
      <c r="AU373" s="1872"/>
      <c r="AV373" s="1872"/>
    </row>
    <row r="374" spans="2:48" ht="12.95" customHeight="1" x14ac:dyDescent="0.15">
      <c r="B374" s="1918"/>
      <c r="C374" s="3298">
        <v>47</v>
      </c>
      <c r="D374" s="3299"/>
      <c r="E374" s="1911" t="s">
        <v>17</v>
      </c>
      <c r="F374" s="3177">
        <f>'2_入力シート【用途面積】'!E69</f>
        <v>0</v>
      </c>
      <c r="G374" s="3178"/>
      <c r="H374" s="3178"/>
      <c r="I374" s="3178"/>
      <c r="J374" s="1912" t="s">
        <v>28</v>
      </c>
      <c r="K374" s="3177" t="str">
        <f>IF('2_入力シート【用途面積】'!G69="","",'2_入力シート【用途面積】'!G69)</f>
        <v/>
      </c>
      <c r="L374" s="3178"/>
      <c r="M374" s="3178"/>
      <c r="N374" s="3178"/>
      <c r="O374" s="1912" t="s">
        <v>28</v>
      </c>
      <c r="P374" s="3177" t="str">
        <f>IF('2_入力シート【用途面積】'!I69="","",'2_入力シート【用途面積】'!I69)</f>
        <v/>
      </c>
      <c r="Q374" s="3178"/>
      <c r="R374" s="3178"/>
      <c r="S374" s="3178"/>
      <c r="T374" s="1912" t="s">
        <v>28</v>
      </c>
      <c r="U374" s="3177" t="str">
        <f>IF('2_入力シート【用途面積】'!K69="","",'2_入力シート【用途面積】'!K69)</f>
        <v/>
      </c>
      <c r="V374" s="3178"/>
      <c r="W374" s="3178"/>
      <c r="X374" s="3178"/>
      <c r="Y374" s="1912" t="s">
        <v>28</v>
      </c>
      <c r="Z374" s="3177" t="str">
        <f>IF('2_入力シート【用途面積】'!M69="","",'2_入力シート【用途面積】'!M69)</f>
        <v/>
      </c>
      <c r="AA374" s="3178"/>
      <c r="AB374" s="3178"/>
      <c r="AC374" s="3178"/>
      <c r="AD374" s="1912" t="s">
        <v>28</v>
      </c>
      <c r="AE374" s="3177" t="str">
        <f>IF('2_入力シート【用途面積】'!O69="","",'2_入力シート【用途面積】'!O69)</f>
        <v/>
      </c>
      <c r="AF374" s="3178"/>
      <c r="AG374" s="3178"/>
      <c r="AH374" s="3178"/>
      <c r="AI374" s="1912" t="s">
        <v>28</v>
      </c>
      <c r="AJ374" s="3177" t="str">
        <f>IF('2_入力シート【用途面積】'!Q69="","",'2_入力シート【用途面積】'!Q69)</f>
        <v/>
      </c>
      <c r="AK374" s="3178"/>
      <c r="AL374" s="3178"/>
      <c r="AM374" s="3178"/>
      <c r="AN374" s="1912" t="s">
        <v>28</v>
      </c>
      <c r="AO374" s="3177" t="str">
        <f>IF('2_入力シート【用途面積】'!S69="","",'2_入力シート【用途面積】'!S69)</f>
        <v/>
      </c>
      <c r="AP374" s="3178"/>
      <c r="AQ374" s="3178"/>
      <c r="AR374" s="3178"/>
      <c r="AS374" s="1912" t="s">
        <v>28</v>
      </c>
      <c r="AT374" s="1858"/>
      <c r="AU374" s="1872"/>
      <c r="AV374" s="1872"/>
    </row>
    <row r="375" spans="2:48" ht="12.95" customHeight="1" x14ac:dyDescent="0.15">
      <c r="B375" s="1918"/>
      <c r="C375" s="3298">
        <v>48</v>
      </c>
      <c r="D375" s="3299"/>
      <c r="E375" s="1911" t="s">
        <v>17</v>
      </c>
      <c r="F375" s="3177">
        <f>'2_入力シート【用途面積】'!E70</f>
        <v>0</v>
      </c>
      <c r="G375" s="3178"/>
      <c r="H375" s="3178"/>
      <c r="I375" s="3178"/>
      <c r="J375" s="1912" t="s">
        <v>28</v>
      </c>
      <c r="K375" s="3177" t="str">
        <f>IF('2_入力シート【用途面積】'!G70="","",'2_入力シート【用途面積】'!G70)</f>
        <v/>
      </c>
      <c r="L375" s="3178"/>
      <c r="M375" s="3178"/>
      <c r="N375" s="3178"/>
      <c r="O375" s="1912" t="s">
        <v>28</v>
      </c>
      <c r="P375" s="3177" t="str">
        <f>IF('2_入力シート【用途面積】'!I70="","",'2_入力シート【用途面積】'!I70)</f>
        <v/>
      </c>
      <c r="Q375" s="3178"/>
      <c r="R375" s="3178"/>
      <c r="S375" s="3178"/>
      <c r="T375" s="1912" t="s">
        <v>28</v>
      </c>
      <c r="U375" s="3177" t="str">
        <f>IF('2_入力シート【用途面積】'!K70="","",'2_入力シート【用途面積】'!K70)</f>
        <v/>
      </c>
      <c r="V375" s="3178"/>
      <c r="W375" s="3178"/>
      <c r="X375" s="3178"/>
      <c r="Y375" s="1912" t="s">
        <v>28</v>
      </c>
      <c r="Z375" s="3177" t="str">
        <f>IF('2_入力シート【用途面積】'!M70="","",'2_入力シート【用途面積】'!M70)</f>
        <v/>
      </c>
      <c r="AA375" s="3178"/>
      <c r="AB375" s="3178"/>
      <c r="AC375" s="3178"/>
      <c r="AD375" s="1912" t="s">
        <v>28</v>
      </c>
      <c r="AE375" s="3177" t="str">
        <f>IF('2_入力シート【用途面積】'!O70="","",'2_入力シート【用途面積】'!O70)</f>
        <v/>
      </c>
      <c r="AF375" s="3178"/>
      <c r="AG375" s="3178"/>
      <c r="AH375" s="3178"/>
      <c r="AI375" s="1912" t="s">
        <v>28</v>
      </c>
      <c r="AJ375" s="3177" t="str">
        <f>IF('2_入力シート【用途面積】'!Q70="","",'2_入力シート【用途面積】'!Q70)</f>
        <v/>
      </c>
      <c r="AK375" s="3178"/>
      <c r="AL375" s="3178"/>
      <c r="AM375" s="3178"/>
      <c r="AN375" s="1912" t="s">
        <v>28</v>
      </c>
      <c r="AO375" s="3177" t="str">
        <f>IF('2_入力シート【用途面積】'!S70="","",'2_入力シート【用途面積】'!S70)</f>
        <v/>
      </c>
      <c r="AP375" s="3178"/>
      <c r="AQ375" s="3178"/>
      <c r="AR375" s="3178"/>
      <c r="AS375" s="1912" t="s">
        <v>28</v>
      </c>
      <c r="AT375" s="1858"/>
      <c r="AU375" s="1872"/>
      <c r="AV375" s="1872"/>
    </row>
    <row r="376" spans="2:48" ht="12.95" customHeight="1" x14ac:dyDescent="0.15">
      <c r="B376" s="1918"/>
      <c r="C376" s="3298">
        <v>49</v>
      </c>
      <c r="D376" s="3299"/>
      <c r="E376" s="1911" t="s">
        <v>17</v>
      </c>
      <c r="F376" s="3177">
        <f>'2_入力シート【用途面積】'!E71</f>
        <v>0</v>
      </c>
      <c r="G376" s="3178"/>
      <c r="H376" s="3178"/>
      <c r="I376" s="3178"/>
      <c r="J376" s="1912" t="s">
        <v>28</v>
      </c>
      <c r="K376" s="3177" t="str">
        <f>IF('2_入力シート【用途面積】'!G71="","",'2_入力シート【用途面積】'!G71)</f>
        <v/>
      </c>
      <c r="L376" s="3178"/>
      <c r="M376" s="3178"/>
      <c r="N376" s="3178"/>
      <c r="O376" s="1912" t="s">
        <v>28</v>
      </c>
      <c r="P376" s="3177" t="str">
        <f>IF('2_入力シート【用途面積】'!I71="","",'2_入力シート【用途面積】'!I71)</f>
        <v/>
      </c>
      <c r="Q376" s="3178"/>
      <c r="R376" s="3178"/>
      <c r="S376" s="3178"/>
      <c r="T376" s="1912" t="s">
        <v>28</v>
      </c>
      <c r="U376" s="3177" t="str">
        <f>IF('2_入力シート【用途面積】'!K71="","",'2_入力シート【用途面積】'!K71)</f>
        <v/>
      </c>
      <c r="V376" s="3178"/>
      <c r="W376" s="3178"/>
      <c r="X376" s="3178"/>
      <c r="Y376" s="1912" t="s">
        <v>28</v>
      </c>
      <c r="Z376" s="3177" t="str">
        <f>IF('2_入力シート【用途面積】'!M71="","",'2_入力シート【用途面積】'!M71)</f>
        <v/>
      </c>
      <c r="AA376" s="3178"/>
      <c r="AB376" s="3178"/>
      <c r="AC376" s="3178"/>
      <c r="AD376" s="1912" t="s">
        <v>28</v>
      </c>
      <c r="AE376" s="3177" t="str">
        <f>IF('2_入力シート【用途面積】'!O71="","",'2_入力シート【用途面積】'!O71)</f>
        <v/>
      </c>
      <c r="AF376" s="3178"/>
      <c r="AG376" s="3178"/>
      <c r="AH376" s="3178"/>
      <c r="AI376" s="1912" t="s">
        <v>28</v>
      </c>
      <c r="AJ376" s="3177" t="str">
        <f>IF('2_入力シート【用途面積】'!Q71="","",'2_入力シート【用途面積】'!Q71)</f>
        <v/>
      </c>
      <c r="AK376" s="3178"/>
      <c r="AL376" s="3178"/>
      <c r="AM376" s="3178"/>
      <c r="AN376" s="1912" t="s">
        <v>28</v>
      </c>
      <c r="AO376" s="3177" t="str">
        <f>IF('2_入力シート【用途面積】'!S71="","",'2_入力シート【用途面積】'!S71)</f>
        <v/>
      </c>
      <c r="AP376" s="3178"/>
      <c r="AQ376" s="3178"/>
      <c r="AR376" s="3178"/>
      <c r="AS376" s="1912" t="s">
        <v>28</v>
      </c>
      <c r="AT376" s="1858"/>
      <c r="AU376" s="1872"/>
      <c r="AV376" s="1872"/>
    </row>
    <row r="377" spans="2:48" ht="12.95" customHeight="1" x14ac:dyDescent="0.15">
      <c r="B377" s="1920"/>
      <c r="C377" s="3292">
        <v>50</v>
      </c>
      <c r="D377" s="3293">
        <v>50</v>
      </c>
      <c r="E377" s="1916" t="s">
        <v>17</v>
      </c>
      <c r="F377" s="3179">
        <f>'2_入力シート【用途面積】'!E72</f>
        <v>0</v>
      </c>
      <c r="G377" s="3180"/>
      <c r="H377" s="3180"/>
      <c r="I377" s="3180"/>
      <c r="J377" s="1913" t="s">
        <v>28</v>
      </c>
      <c r="K377" s="3179" t="str">
        <f>IF('2_入力シート【用途面積】'!G72="","",'2_入力シート【用途面積】'!G72)</f>
        <v/>
      </c>
      <c r="L377" s="3180"/>
      <c r="M377" s="3180"/>
      <c r="N377" s="3180"/>
      <c r="O377" s="1913" t="s">
        <v>28</v>
      </c>
      <c r="P377" s="3179" t="str">
        <f>IF('2_入力シート【用途面積】'!I72="","",'2_入力シート【用途面積】'!I72)</f>
        <v/>
      </c>
      <c r="Q377" s="3180"/>
      <c r="R377" s="3180"/>
      <c r="S377" s="3180"/>
      <c r="T377" s="1913" t="s">
        <v>28</v>
      </c>
      <c r="U377" s="3179" t="str">
        <f>IF('2_入力シート【用途面積】'!K72="","",'2_入力シート【用途面積】'!K72)</f>
        <v/>
      </c>
      <c r="V377" s="3180"/>
      <c r="W377" s="3180"/>
      <c r="X377" s="3180"/>
      <c r="Y377" s="1913" t="s">
        <v>28</v>
      </c>
      <c r="Z377" s="3179" t="str">
        <f>IF('2_入力シート【用途面積】'!M72="","",'2_入力シート【用途面積】'!M72)</f>
        <v/>
      </c>
      <c r="AA377" s="3180"/>
      <c r="AB377" s="3180"/>
      <c r="AC377" s="3180"/>
      <c r="AD377" s="1913" t="s">
        <v>28</v>
      </c>
      <c r="AE377" s="3179" t="str">
        <f>IF('2_入力シート【用途面積】'!O72="","",'2_入力シート【用途面積】'!O72)</f>
        <v/>
      </c>
      <c r="AF377" s="3180"/>
      <c r="AG377" s="3180"/>
      <c r="AH377" s="3180"/>
      <c r="AI377" s="1913" t="s">
        <v>28</v>
      </c>
      <c r="AJ377" s="3179" t="str">
        <f>IF('2_入力シート【用途面積】'!Q72="","",'2_入力シート【用途面積】'!Q72)</f>
        <v/>
      </c>
      <c r="AK377" s="3180"/>
      <c r="AL377" s="3180"/>
      <c r="AM377" s="3180"/>
      <c r="AN377" s="1913" t="s">
        <v>28</v>
      </c>
      <c r="AO377" s="3179" t="str">
        <f>IF('2_入力シート【用途面積】'!S72="","",'2_入力シート【用途面積】'!S72)</f>
        <v/>
      </c>
      <c r="AP377" s="3180"/>
      <c r="AQ377" s="3180"/>
      <c r="AR377" s="3180"/>
      <c r="AS377" s="1913" t="s">
        <v>28</v>
      </c>
      <c r="AT377" s="1858"/>
      <c r="AU377" s="1872"/>
      <c r="AV377" s="1872"/>
    </row>
    <row r="378" spans="2:48" ht="11.85" customHeight="1" x14ac:dyDescent="0.15">
      <c r="B378" s="1858"/>
      <c r="AU378" s="1872"/>
      <c r="AV378" s="1872"/>
    </row>
    <row r="379" spans="2:48" ht="14.1" customHeight="1" x14ac:dyDescent="0.15">
      <c r="B379" s="3172" t="s">
        <v>464</v>
      </c>
      <c r="C379" s="3172"/>
      <c r="D379" s="3172"/>
      <c r="E379" s="3172"/>
      <c r="F379" s="3172"/>
      <c r="G379" s="3172"/>
      <c r="H379" s="3172"/>
      <c r="I379" s="3172"/>
      <c r="J379" s="3172"/>
      <c r="K379" s="3172"/>
      <c r="L379" s="3172"/>
      <c r="M379" s="3172"/>
      <c r="N379" s="3172"/>
      <c r="O379" s="3172"/>
      <c r="P379" s="3172"/>
      <c r="Q379" s="3172"/>
      <c r="R379" s="3172"/>
      <c r="S379" s="3172"/>
      <c r="T379" s="3172"/>
      <c r="U379" s="3172"/>
      <c r="V379" s="3172"/>
      <c r="W379" s="3172"/>
      <c r="X379" s="3172"/>
      <c r="Y379" s="3172"/>
      <c r="Z379" s="3172"/>
      <c r="AA379" s="3172"/>
      <c r="AB379" s="3172"/>
      <c r="AC379" s="3172"/>
      <c r="AD379" s="3172"/>
      <c r="AE379" s="3172"/>
      <c r="AF379" s="3172"/>
      <c r="AG379" s="3172"/>
      <c r="AH379" s="3172"/>
      <c r="AI379" s="3172"/>
      <c r="AJ379" s="3172"/>
      <c r="AK379" s="3172"/>
      <c r="AL379" s="3172"/>
      <c r="AM379" s="3172"/>
      <c r="AN379" s="3172"/>
      <c r="AO379" s="3172"/>
      <c r="AP379" s="3172"/>
      <c r="AQ379" s="3172"/>
      <c r="AR379" s="3172"/>
      <c r="AS379" s="3172"/>
      <c r="AT379" s="3172"/>
      <c r="AU379" s="1872"/>
      <c r="AV379" s="1872"/>
    </row>
    <row r="380" spans="2:48" ht="14.1" customHeight="1" x14ac:dyDescent="0.15">
      <c r="B380" s="1849" t="s">
        <v>465</v>
      </c>
      <c r="AG380" s="1884"/>
      <c r="AH380" s="1884"/>
      <c r="AU380" s="1872"/>
      <c r="AV380" s="1872"/>
    </row>
    <row r="381" spans="2:48" ht="4.5" customHeight="1" x14ac:dyDescent="0.15"/>
    <row r="382" spans="2:48" ht="4.5" customHeight="1" x14ac:dyDescent="0.15"/>
    <row r="383" spans="2:48" ht="14.1" customHeight="1" x14ac:dyDescent="0.15">
      <c r="B383" s="1858" t="s">
        <v>466</v>
      </c>
    </row>
    <row r="384" spans="2:48" ht="12.95" customHeight="1" x14ac:dyDescent="0.15">
      <c r="D384" s="1858" t="s">
        <v>467</v>
      </c>
      <c r="S384" s="3184" t="str">
        <f>'1_入力シート【基本情報】'!AB221</f>
        <v>令和</v>
      </c>
      <c r="T384" s="3184"/>
      <c r="U384" s="3184" t="str">
        <f>IF('1_入力シート【基本情報】'!AE221="","",'1_入力シート【基本情報】'!AE221)</f>
        <v/>
      </c>
      <c r="V384" s="3184"/>
      <c r="W384" s="1857" t="s">
        <v>12</v>
      </c>
      <c r="X384" s="3184" t="str">
        <f>IF('1_入力シート【基本情報】'!AJ221="","",'1_入力シート【基本情報】'!AJ221)</f>
        <v/>
      </c>
      <c r="Y384" s="3184"/>
      <c r="Z384" s="1857" t="s">
        <v>348</v>
      </c>
      <c r="AA384" s="3184" t="str">
        <f>IF('1_入力シート【基本情報】'!AO221="","",'1_入力シート【基本情報】'!AO221)</f>
        <v/>
      </c>
      <c r="AB384" s="3184"/>
      <c r="AC384" s="1875" t="s">
        <v>468</v>
      </c>
    </row>
    <row r="385" spans="2:45" ht="12.95" customHeight="1" x14ac:dyDescent="0.15">
      <c r="D385" s="1858" t="s">
        <v>469</v>
      </c>
      <c r="O385" s="1873" t="str">
        <f>IF('1_入力シート【基本情報】'!DO223="レ","レ","")</f>
        <v/>
      </c>
      <c r="P385" s="1849" t="s">
        <v>470</v>
      </c>
      <c r="S385" s="3184" t="str">
        <f>IF('1_入力シート【基本情報】'!AB223="","",'1_入力シート【基本情報】'!AB223)</f>
        <v/>
      </c>
      <c r="T385" s="3184"/>
      <c r="U385" s="3209" t="str">
        <f>IF('1_入力シート【基本情報】'!AE223="","",'1_入力シート【基本情報】'!AE223)</f>
        <v/>
      </c>
      <c r="V385" s="3209"/>
      <c r="W385" s="1857" t="s">
        <v>12</v>
      </c>
      <c r="X385" s="3184" t="str">
        <f>IF('1_入力シート【基本情報】'!AJ223="","",'1_入力シート【基本情報】'!AJ223)</f>
        <v/>
      </c>
      <c r="Y385" s="3184"/>
      <c r="Z385" s="1857" t="s">
        <v>348</v>
      </c>
      <c r="AA385" s="3184" t="str">
        <f>IF('1_入力シート【基本情報】'!AO223="","",'1_入力シート【基本情報】'!AO223)</f>
        <v/>
      </c>
      <c r="AB385" s="3184"/>
      <c r="AC385" s="1849" t="s">
        <v>471</v>
      </c>
      <c r="AH385" s="1873" t="str">
        <f>IF('1_入力シート【基本情報】'!DP223="レ","レ","")</f>
        <v/>
      </c>
      <c r="AI385" s="1849" t="s">
        <v>3342</v>
      </c>
      <c r="AL385" s="1904"/>
    </row>
    <row r="386" spans="2:45" ht="12.95" customHeight="1" x14ac:dyDescent="0.15">
      <c r="D386" s="1858" t="s">
        <v>472</v>
      </c>
      <c r="O386" s="1873" t="str">
        <f>IF('1_入力シート【基本情報】'!DO225="レ","レ","")</f>
        <v/>
      </c>
      <c r="P386" s="1849" t="s">
        <v>470</v>
      </c>
      <c r="S386" s="3184" t="str">
        <f>IF('1_入力シート【基本情報】'!AB225="","",'1_入力シート【基本情報】'!AB225)</f>
        <v/>
      </c>
      <c r="T386" s="3184"/>
      <c r="U386" s="3209" t="str">
        <f>IF('1_入力シート【基本情報】'!AE225="","",'1_入力シート【基本情報】'!AE225)</f>
        <v/>
      </c>
      <c r="V386" s="3209"/>
      <c r="W386" s="1857" t="s">
        <v>12</v>
      </c>
      <c r="X386" s="3184" t="str">
        <f>IF('1_入力シート【基本情報】'!AJ225="","",'1_入力シート【基本情報】'!AJ225)</f>
        <v/>
      </c>
      <c r="Y386" s="3184"/>
      <c r="Z386" s="1857" t="s">
        <v>348</v>
      </c>
      <c r="AA386" s="3184" t="str">
        <f>IF('1_入力シート【基本情報】'!AO225="","",'1_入力シート【基本情報】'!AO225)</f>
        <v/>
      </c>
      <c r="AB386" s="3184"/>
      <c r="AC386" s="1849" t="s">
        <v>471</v>
      </c>
      <c r="AH386" s="1873" t="str">
        <f>IF('1_入力シート【基本情報】'!DP225="レ","レ","")</f>
        <v/>
      </c>
      <c r="AI386" s="1849" t="s">
        <v>3342</v>
      </c>
    </row>
    <row r="387" spans="2:45" ht="12.95" customHeight="1" x14ac:dyDescent="0.15">
      <c r="D387" s="1858" t="s">
        <v>473</v>
      </c>
      <c r="O387" s="1873" t="str">
        <f>IF('1_入力シート【基本情報】'!DO227="レ","レ","")</f>
        <v/>
      </c>
      <c r="P387" s="1849" t="s">
        <v>470</v>
      </c>
      <c r="S387" s="3184" t="str">
        <f>IF('1_入力シート【基本情報】'!AB227="","",'1_入力シート【基本情報】'!AB227)</f>
        <v/>
      </c>
      <c r="T387" s="3184"/>
      <c r="U387" s="3209" t="str">
        <f>IF('1_入力シート【基本情報】'!AE227="","",'1_入力シート【基本情報】'!AE227)</f>
        <v/>
      </c>
      <c r="V387" s="3209"/>
      <c r="W387" s="1857" t="s">
        <v>12</v>
      </c>
      <c r="X387" s="3184" t="str">
        <f>IF('1_入力シート【基本情報】'!AJ227="","",'1_入力シート【基本情報】'!AJ227)</f>
        <v/>
      </c>
      <c r="Y387" s="3184"/>
      <c r="Z387" s="1857" t="s">
        <v>348</v>
      </c>
      <c r="AA387" s="3184" t="str">
        <f>IF('1_入力シート【基本情報】'!AO227="","",'1_入力シート【基本情報】'!AO227)</f>
        <v/>
      </c>
      <c r="AB387" s="3184"/>
      <c r="AC387" s="1849" t="s">
        <v>471</v>
      </c>
      <c r="AH387" s="1873" t="str">
        <f>IF('1_入力シート【基本情報】'!DP227="レ","レ","")</f>
        <v/>
      </c>
      <c r="AI387" s="1849" t="s">
        <v>3342</v>
      </c>
    </row>
    <row r="388" spans="2:45" ht="12.95" customHeight="1" x14ac:dyDescent="0.15">
      <c r="D388" s="1858" t="s">
        <v>474</v>
      </c>
      <c r="O388" s="1873" t="str">
        <f>IF('1_入力シート【基本情報】'!DO229="レ","レ","")</f>
        <v/>
      </c>
      <c r="P388" s="1849" t="s">
        <v>470</v>
      </c>
      <c r="S388" s="3184" t="str">
        <f>IF('1_入力シート【基本情報】'!AB229="","",'1_入力シート【基本情報】'!AB229)</f>
        <v/>
      </c>
      <c r="T388" s="3184"/>
      <c r="U388" s="3209" t="str">
        <f>IF('1_入力シート【基本情報】'!AE229="","",'1_入力シート【基本情報】'!AE229)</f>
        <v/>
      </c>
      <c r="V388" s="3209"/>
      <c r="W388" s="1857" t="s">
        <v>12</v>
      </c>
      <c r="X388" s="3184" t="str">
        <f>IF('1_入力シート【基本情報】'!AJ229="","",'1_入力シート【基本情報】'!AJ229)</f>
        <v/>
      </c>
      <c r="Y388" s="3184"/>
      <c r="Z388" s="1857" t="s">
        <v>348</v>
      </c>
      <c r="AA388" s="3184" t="str">
        <f>IF('1_入力シート【基本情報】'!AO229="","",'1_入力シート【基本情報】'!AO229)</f>
        <v/>
      </c>
      <c r="AB388" s="3184"/>
      <c r="AC388" s="1849" t="s">
        <v>471</v>
      </c>
      <c r="AH388" s="1873" t="str">
        <f>IF('1_入力シート【基本情報】'!DP229="レ","レ","")</f>
        <v/>
      </c>
      <c r="AI388" s="1849" t="s">
        <v>3342</v>
      </c>
    </row>
    <row r="389" spans="2:45" ht="12" hidden="1" customHeight="1" x14ac:dyDescent="0.15">
      <c r="N389" s="1847"/>
      <c r="Y389" s="3163"/>
      <c r="Z389" s="3163"/>
      <c r="AA389" s="3163"/>
      <c r="AB389" s="3163"/>
      <c r="AD389" s="3163"/>
      <c r="AE389" s="3163"/>
      <c r="AF389" s="3163"/>
      <c r="AG389" s="3163"/>
    </row>
    <row r="390" spans="2:45" ht="12" hidden="1" customHeight="1" x14ac:dyDescent="0.15">
      <c r="N390" s="1847"/>
      <c r="Y390" s="3163"/>
      <c r="Z390" s="3163"/>
      <c r="AA390" s="3163"/>
      <c r="AB390" s="3163"/>
      <c r="AD390" s="3163"/>
      <c r="AE390" s="3163"/>
      <c r="AF390" s="3163"/>
      <c r="AG390" s="3163"/>
    </row>
    <row r="391" spans="2:45" ht="12" hidden="1" customHeight="1" x14ac:dyDescent="0.15">
      <c r="N391" s="1847"/>
      <c r="Y391" s="3163"/>
      <c r="Z391" s="3163"/>
      <c r="AA391" s="3163"/>
      <c r="AB391" s="3163"/>
      <c r="AD391" s="3163"/>
      <c r="AE391" s="3163"/>
      <c r="AF391" s="3163"/>
      <c r="AG391" s="3163"/>
    </row>
    <row r="392" spans="2:45" ht="4.5" customHeight="1" x14ac:dyDescent="0.15"/>
    <row r="393" spans="2:45" ht="4.5" customHeight="1" x14ac:dyDescent="0.15"/>
    <row r="394" spans="2:45" ht="14.1" customHeight="1" x14ac:dyDescent="0.15">
      <c r="B394" s="1858" t="s">
        <v>475</v>
      </c>
      <c r="N394" s="1921"/>
      <c r="O394" s="1921"/>
      <c r="P394" s="1921"/>
      <c r="Q394" s="1921"/>
      <c r="R394" s="1921"/>
      <c r="S394" s="1921"/>
      <c r="T394" s="1921"/>
      <c r="U394" s="1921"/>
      <c r="V394" s="1921"/>
      <c r="Y394" s="3183"/>
      <c r="Z394" s="3183"/>
      <c r="AA394" s="3183"/>
      <c r="AB394" s="3183"/>
      <c r="AC394" s="3183"/>
      <c r="AD394" s="3183"/>
      <c r="AE394" s="3183"/>
      <c r="AF394" s="3183"/>
      <c r="AG394" s="3183"/>
    </row>
    <row r="395" spans="2:45" ht="14.1" customHeight="1" x14ac:dyDescent="0.15">
      <c r="B395" s="1858"/>
      <c r="C395" s="1858" t="s">
        <v>476</v>
      </c>
    </row>
    <row r="396" spans="2:45" ht="14.1" customHeight="1" x14ac:dyDescent="0.15">
      <c r="B396" s="1858"/>
      <c r="C396" s="1858"/>
      <c r="D396" s="1858" t="s">
        <v>397</v>
      </c>
      <c r="O396" s="1873" t="str">
        <f>IF('1_入力シート【基本情報】'!DP316="レ","レ",IF('1_入力シート【基本情報】'!DO316="レ","レ",""))</f>
        <v/>
      </c>
      <c r="P396" s="1849" t="s">
        <v>875</v>
      </c>
      <c r="Y396" s="1873" t="str">
        <f>'1_入力シート【基本情報】'!DP316</f>
        <v/>
      </c>
      <c r="Z396" s="1849" t="s">
        <v>399</v>
      </c>
      <c r="AH396" s="1873" t="str">
        <f>IF(OR('1_入力シート【基本情報】'!DN316="レ",'1_入力シート【基本情報】'!DM316="レ"),"レ","")</f>
        <v/>
      </c>
      <c r="AI396" s="1849" t="s">
        <v>400</v>
      </c>
    </row>
    <row r="397" spans="2:45" ht="14.1" customHeight="1" x14ac:dyDescent="0.15">
      <c r="B397" s="1858"/>
      <c r="D397" s="1858" t="s">
        <v>401</v>
      </c>
      <c r="N397" s="3183" t="s">
        <v>1274</v>
      </c>
      <c r="O397" s="3183"/>
      <c r="P397" s="3183"/>
      <c r="Q397" s="3183"/>
      <c r="R397" s="3183"/>
      <c r="S397" s="3183"/>
      <c r="T397" s="3183"/>
      <c r="U397" s="3183"/>
      <c r="V397" s="3183"/>
      <c r="W397" s="1871"/>
      <c r="X397" s="1871"/>
      <c r="Y397" s="1871"/>
      <c r="Z397" s="1871"/>
      <c r="AA397" s="1871"/>
      <c r="AB397" s="1871"/>
      <c r="AC397" s="1871"/>
      <c r="AD397" s="1871"/>
      <c r="AE397" s="1871"/>
      <c r="AF397" s="1871"/>
      <c r="AG397" s="1871"/>
      <c r="AH397" s="1871"/>
      <c r="AI397" s="1871"/>
      <c r="AJ397" s="1871"/>
      <c r="AK397" s="1871"/>
      <c r="AL397" s="1871"/>
      <c r="AM397" s="1871"/>
      <c r="AN397" s="1871"/>
      <c r="AO397" s="1871"/>
      <c r="AP397" s="1871"/>
      <c r="AQ397" s="1871"/>
      <c r="AR397" s="1871"/>
      <c r="AS397" s="1871"/>
    </row>
    <row r="398" spans="2:45" ht="14.1" customHeight="1" x14ac:dyDescent="0.15">
      <c r="B398" s="1858"/>
      <c r="D398" s="1858" t="s">
        <v>477</v>
      </c>
      <c r="O398" s="1873" t="str">
        <f>IF(OR('1_入力シート【基本情報】'!EB316="レ",'1_入力シート【基本情報】'!EG316="レ"),"レ","")</f>
        <v/>
      </c>
      <c r="P398" s="1849" t="s">
        <v>403</v>
      </c>
      <c r="R398" s="3184" t="str">
        <f>IF(AND(T398="31",W398&lt;5),"平成","令和")</f>
        <v>令和</v>
      </c>
      <c r="S398" s="3184"/>
      <c r="T398" s="3184" t="str">
        <f>IF('1_入力シート【基本情報】'!ED316&lt;&gt;"",'1_入力シート【基本情報】'!ED316,IF('1_入力シート【基本情報】'!EI316&lt;&gt;"",'1_入力シート【基本情報】'!EI316,""))</f>
        <v/>
      </c>
      <c r="U398" s="3184"/>
      <c r="V398" s="1876" t="s">
        <v>12</v>
      </c>
      <c r="W398" s="3184" t="str">
        <f>IF('1_入力シート【基本情報】'!EE316&lt;&gt;"",'1_入力シート【基本情報】'!EE316,IF('1_入力シート【基本情報】'!EJ316&lt;&gt;"",'1_入力シート【基本情報】'!EJ316,""))</f>
        <v/>
      </c>
      <c r="X398" s="3184"/>
      <c r="Y398" s="1849" t="s">
        <v>404</v>
      </c>
      <c r="AH398" s="1873" t="str">
        <f>IF(AND(O398&lt;&gt;"レ",(OR('1_入力シート【基本情報】'!EF316="レ",'1_入力シート【基本情報】'!EK316="レ"))),"レ","")</f>
        <v/>
      </c>
      <c r="AI398" s="1849" t="s">
        <v>405</v>
      </c>
      <c r="AM398" s="1849" t="str">
        <f>IF('1_入力シート【基本情報】'!ES316="改善済","（改善済）","")&amp;IF('1_入力シート【基本情報】'!ES316="一部改善済","（一部改善済）","")</f>
        <v/>
      </c>
    </row>
    <row r="399" spans="2:45" ht="14.1" customHeight="1" x14ac:dyDescent="0.15">
      <c r="B399" s="1858"/>
      <c r="C399" s="1858" t="s">
        <v>478</v>
      </c>
    </row>
    <row r="400" spans="2:45" ht="14.1" customHeight="1" x14ac:dyDescent="0.15">
      <c r="B400" s="1858"/>
      <c r="C400" s="1858"/>
      <c r="D400" s="1858" t="s">
        <v>479</v>
      </c>
      <c r="O400" s="1873" t="str">
        <f>IF('1_入力シート【基本情報】'!DP334="レ","レ",IF('1_入力シート【基本情報】'!DO334="レ","レ",""))</f>
        <v/>
      </c>
      <c r="P400" s="1849" t="s">
        <v>875</v>
      </c>
      <c r="Y400" s="1873" t="str">
        <f>'1_入力シート【基本情報】'!DP334</f>
        <v/>
      </c>
      <c r="Z400" s="1849" t="s">
        <v>399</v>
      </c>
      <c r="AH400" s="1873" t="str">
        <f>IF(OR('1_入力シート【基本情報】'!DN334="レ",'1_入力シート【基本情報】'!DM334="レ"),"レ","")</f>
        <v/>
      </c>
      <c r="AI400" s="1849" t="s">
        <v>400</v>
      </c>
    </row>
    <row r="401" spans="2:45" ht="14.1" customHeight="1" x14ac:dyDescent="0.15">
      <c r="B401" s="1858"/>
      <c r="D401" s="1858" t="s">
        <v>480</v>
      </c>
      <c r="N401" s="3183" t="s">
        <v>1274</v>
      </c>
      <c r="O401" s="3183"/>
      <c r="P401" s="3183"/>
      <c r="Q401" s="3183"/>
      <c r="R401" s="3183"/>
      <c r="S401" s="3183"/>
      <c r="T401" s="3183"/>
      <c r="U401" s="3183"/>
      <c r="V401" s="3183"/>
      <c r="W401" s="1871"/>
      <c r="X401" s="1871"/>
      <c r="Y401" s="1871"/>
      <c r="Z401" s="1871"/>
      <c r="AA401" s="1871"/>
      <c r="AB401" s="1871"/>
      <c r="AC401" s="1871"/>
      <c r="AD401" s="1871"/>
      <c r="AE401" s="1871"/>
      <c r="AF401" s="1871"/>
      <c r="AG401" s="1871"/>
      <c r="AH401" s="1871"/>
      <c r="AI401" s="1871"/>
      <c r="AJ401" s="1871"/>
      <c r="AK401" s="1871"/>
      <c r="AL401" s="1871"/>
      <c r="AM401" s="1871"/>
      <c r="AN401" s="1871"/>
      <c r="AO401" s="1871"/>
      <c r="AP401" s="1871"/>
      <c r="AQ401" s="1871"/>
      <c r="AR401" s="1871"/>
      <c r="AS401" s="1871"/>
    </row>
    <row r="402" spans="2:45" ht="14.1" customHeight="1" x14ac:dyDescent="0.15">
      <c r="B402" s="1858"/>
      <c r="D402" s="1858" t="s">
        <v>477</v>
      </c>
      <c r="O402" s="1873" t="str">
        <f>IF(OR('1_入力シート【基本情報】'!EB334="レ",'1_入力シート【基本情報】'!EG334="レ"),"レ","")</f>
        <v/>
      </c>
      <c r="P402" s="1849" t="s">
        <v>403</v>
      </c>
      <c r="R402" s="3184" t="str">
        <f>IF(AND(T402="31",W402&lt;5),"平成","令和")</f>
        <v>令和</v>
      </c>
      <c r="S402" s="3184"/>
      <c r="T402" s="3184" t="str">
        <f>IF('1_入力シート【基本情報】'!ED334&lt;&gt;"",'1_入力シート【基本情報】'!ED334,IF('1_入力シート【基本情報】'!EI334&lt;&gt;"",'1_入力シート【基本情報】'!EI334,""))</f>
        <v/>
      </c>
      <c r="U402" s="3184"/>
      <c r="V402" s="1876" t="s">
        <v>12</v>
      </c>
      <c r="W402" s="3184" t="str">
        <f>IF('1_入力シート【基本情報】'!EE334&lt;&gt;"",'1_入力シート【基本情報】'!EE334,IF('1_入力シート【基本情報】'!EJ334&lt;&gt;"",'1_入力シート【基本情報】'!EJ334,""))</f>
        <v/>
      </c>
      <c r="X402" s="3184"/>
      <c r="Y402" s="1849" t="s">
        <v>404</v>
      </c>
      <c r="AH402" s="1873" t="str">
        <f>IF(AND(O402&lt;&gt;"レ",(OR('1_入力シート【基本情報】'!EF334="レ",'1_入力シート【基本情報】'!EK334="レ"))),"レ","")</f>
        <v/>
      </c>
      <c r="AI402" s="1849" t="s">
        <v>405</v>
      </c>
      <c r="AM402" s="1849" t="str">
        <f>IF('1_入力シート【基本情報】'!ES334="改善済","（改善済）","")&amp;IF('1_入力シート【基本情報】'!ES334="一部改善済","（一部改善済）","")</f>
        <v/>
      </c>
    </row>
    <row r="403" spans="2:45" ht="14.1" customHeight="1" x14ac:dyDescent="0.15">
      <c r="B403" s="1858"/>
      <c r="C403" s="1858" t="s">
        <v>481</v>
      </c>
    </row>
    <row r="404" spans="2:45" ht="14.1" customHeight="1" x14ac:dyDescent="0.15">
      <c r="B404" s="1858"/>
      <c r="C404" s="1858"/>
      <c r="D404" s="1858" t="s">
        <v>479</v>
      </c>
      <c r="O404" s="1873" t="str">
        <f>IF('1_入力シート【基本情報】'!DP361="レ","レ",IF('1_入力シート【基本情報】'!DO361="レ","レ",""))</f>
        <v/>
      </c>
      <c r="P404" s="1849" t="s">
        <v>875</v>
      </c>
      <c r="Y404" s="1873" t="str">
        <f>'1_入力シート【基本情報】'!DP361</f>
        <v/>
      </c>
      <c r="Z404" s="1849" t="s">
        <v>399</v>
      </c>
      <c r="AH404" s="1873" t="str">
        <f>IF(OR('1_入力シート【基本情報】'!DN361="レ",'1_入力シート【基本情報】'!DM361="レ"),"レ","")</f>
        <v/>
      </c>
      <c r="AI404" s="1849" t="s">
        <v>400</v>
      </c>
    </row>
    <row r="405" spans="2:45" ht="14.1" customHeight="1" x14ac:dyDescent="0.15">
      <c r="B405" s="1858"/>
      <c r="D405" s="1858" t="s">
        <v>480</v>
      </c>
      <c r="N405" s="3183" t="s">
        <v>1274</v>
      </c>
      <c r="O405" s="3183"/>
      <c r="P405" s="3183"/>
      <c r="Q405" s="3183"/>
      <c r="R405" s="3183"/>
      <c r="S405" s="3183"/>
      <c r="T405" s="3183"/>
      <c r="U405" s="3183"/>
      <c r="V405" s="3183"/>
      <c r="W405" s="1871"/>
      <c r="X405" s="1871"/>
      <c r="Y405" s="1871"/>
      <c r="Z405" s="1871"/>
      <c r="AA405" s="1871"/>
      <c r="AB405" s="1871"/>
      <c r="AC405" s="1871"/>
      <c r="AD405" s="1871"/>
      <c r="AE405" s="1871"/>
      <c r="AF405" s="1871"/>
      <c r="AG405" s="1871"/>
      <c r="AH405" s="1871"/>
      <c r="AI405" s="1871"/>
      <c r="AJ405" s="1871"/>
      <c r="AK405" s="1871"/>
      <c r="AL405" s="1871"/>
      <c r="AM405" s="1871"/>
      <c r="AN405" s="1871"/>
      <c r="AO405" s="1871"/>
      <c r="AP405" s="1871"/>
      <c r="AQ405" s="1871"/>
      <c r="AR405" s="1871"/>
      <c r="AS405" s="1871"/>
    </row>
    <row r="406" spans="2:45" ht="14.1" customHeight="1" x14ac:dyDescent="0.15">
      <c r="B406" s="1858"/>
      <c r="D406" s="1858" t="s">
        <v>477</v>
      </c>
      <c r="O406" s="1873" t="str">
        <f>IF(OR('1_入力シート【基本情報】'!EB361="レ",'1_入力シート【基本情報】'!EG361="レ"),"レ","")</f>
        <v/>
      </c>
      <c r="P406" s="1849" t="s">
        <v>403</v>
      </c>
      <c r="R406" s="3184" t="str">
        <f>IF(AND(T406="31",W406&lt;5),"平成","令和")</f>
        <v>令和</v>
      </c>
      <c r="S406" s="3184"/>
      <c r="T406" s="3184" t="str">
        <f>IF('1_入力シート【基本情報】'!ED361&lt;&gt;"",'1_入力シート【基本情報】'!ED361,IF('1_入力シート【基本情報】'!EI361&lt;&gt;"",'1_入力シート【基本情報】'!EI361,""))</f>
        <v/>
      </c>
      <c r="U406" s="3184"/>
      <c r="V406" s="1876" t="s">
        <v>12</v>
      </c>
      <c r="W406" s="3184" t="str">
        <f>IF('1_入力シート【基本情報】'!EE361&lt;&gt;"",'1_入力シート【基本情報】'!EE361,IF('1_入力シート【基本情報】'!EJ361&lt;&gt;"",'1_入力シート【基本情報】'!EJ361,""))</f>
        <v/>
      </c>
      <c r="X406" s="3184"/>
      <c r="Y406" s="1849" t="s">
        <v>404</v>
      </c>
      <c r="AH406" s="1873" t="str">
        <f>IF(AND(O406&lt;&gt;"レ",(OR('1_入力シート【基本情報】'!EF361="レ",'1_入力シート【基本情報】'!EK361="レ"))),"レ","")</f>
        <v/>
      </c>
      <c r="AI406" s="1849" t="s">
        <v>405</v>
      </c>
      <c r="AM406" s="1849" t="str">
        <f>IF('1_入力シート【基本情報】'!ES361="改善済","（改善済）","")&amp;IF('1_入力シート【基本情報】'!ES361="一部改善済","（一部改善済）","")</f>
        <v/>
      </c>
    </row>
    <row r="407" spans="2:45" ht="14.1" customHeight="1" x14ac:dyDescent="0.15">
      <c r="B407" s="1858"/>
      <c r="C407" s="1858" t="s">
        <v>482</v>
      </c>
    </row>
    <row r="408" spans="2:45" ht="14.1" customHeight="1" x14ac:dyDescent="0.15">
      <c r="B408" s="1858"/>
      <c r="C408" s="1858"/>
      <c r="D408" s="1858" t="s">
        <v>479</v>
      </c>
      <c r="O408" s="1873" t="str">
        <f>IF('1_入力シート【基本情報】'!DP539="レ","レ",IF('1_入力シート【基本情報】'!DO539="レ","レ",""))</f>
        <v/>
      </c>
      <c r="P408" s="1849" t="s">
        <v>875</v>
      </c>
      <c r="Y408" s="1873" t="str">
        <f>'1_入力シート【基本情報】'!DP539</f>
        <v/>
      </c>
      <c r="Z408" s="1849" t="s">
        <v>399</v>
      </c>
      <c r="AH408" s="1873" t="str">
        <f>IF(OR('1_入力シート【基本情報】'!DN539="レ",'1_入力シート【基本情報】'!DM539="レ"),"レ","")</f>
        <v/>
      </c>
      <c r="AI408" s="1849" t="s">
        <v>400</v>
      </c>
    </row>
    <row r="409" spans="2:45" ht="14.1" customHeight="1" x14ac:dyDescent="0.15">
      <c r="B409" s="1858"/>
      <c r="D409" s="1858" t="s">
        <v>480</v>
      </c>
      <c r="N409" s="3183" t="s">
        <v>1274</v>
      </c>
      <c r="O409" s="3183"/>
      <c r="P409" s="3183"/>
      <c r="Q409" s="3183"/>
      <c r="R409" s="3183"/>
      <c r="S409" s="3183"/>
      <c r="T409" s="3183"/>
      <c r="U409" s="3183"/>
      <c r="V409" s="3183"/>
      <c r="W409" s="1871"/>
      <c r="X409" s="1871"/>
      <c r="Y409" s="1871"/>
      <c r="Z409" s="1871"/>
      <c r="AA409" s="1871"/>
      <c r="AB409" s="1871"/>
      <c r="AC409" s="1871"/>
      <c r="AD409" s="1871"/>
      <c r="AE409" s="1871"/>
      <c r="AF409" s="1871"/>
      <c r="AG409" s="1871"/>
      <c r="AH409" s="1871"/>
      <c r="AI409" s="1871"/>
      <c r="AJ409" s="1871"/>
      <c r="AK409" s="1871"/>
      <c r="AL409" s="1871"/>
      <c r="AM409" s="1871"/>
      <c r="AN409" s="1871"/>
      <c r="AO409" s="1871"/>
      <c r="AP409" s="1871"/>
      <c r="AQ409" s="1871"/>
      <c r="AR409" s="1871"/>
      <c r="AS409" s="1871"/>
    </row>
    <row r="410" spans="2:45" ht="14.1" customHeight="1" x14ac:dyDescent="0.15">
      <c r="B410" s="1858"/>
      <c r="D410" s="1858" t="s">
        <v>477</v>
      </c>
      <c r="O410" s="1873" t="str">
        <f>IF(OR('1_入力シート【基本情報】'!EB539="レ",'1_入力シート【基本情報】'!EG539="レ"),"レ","")</f>
        <v/>
      </c>
      <c r="P410" s="1849" t="s">
        <v>403</v>
      </c>
      <c r="R410" s="3184" t="str">
        <f>IF(AND(T410="31",W410&lt;5),"平成","令和")</f>
        <v>令和</v>
      </c>
      <c r="S410" s="3184"/>
      <c r="T410" s="3184" t="str">
        <f>IF('1_入力シート【基本情報】'!ED539&lt;&gt;"",'1_入力シート【基本情報】'!ED539,IF('1_入力シート【基本情報】'!EI539&lt;&gt;"",'1_入力シート【基本情報】'!EI539,""))</f>
        <v/>
      </c>
      <c r="U410" s="3184"/>
      <c r="V410" s="1876" t="s">
        <v>12</v>
      </c>
      <c r="W410" s="3184" t="str">
        <f>IF('1_入力シート【基本情報】'!EE539&lt;&gt;"",'1_入力シート【基本情報】'!EE539,IF('1_入力シート【基本情報】'!EJ539&lt;&gt;"",'1_入力シート【基本情報】'!EJ539,""))</f>
        <v/>
      </c>
      <c r="X410" s="3184"/>
      <c r="Y410" s="1849" t="s">
        <v>404</v>
      </c>
      <c r="AH410" s="1873" t="str">
        <f>IF(AND(O410&lt;&gt;"レ",(OR('1_入力シート【基本情報】'!EF539="レ",'1_入力シート【基本情報】'!EK539="レ"))),"レ","")</f>
        <v/>
      </c>
      <c r="AI410" s="1849" t="s">
        <v>405</v>
      </c>
      <c r="AM410" s="1849" t="str">
        <f>IF('1_入力シート【基本情報】'!ES539="改善済","（改善済）","")&amp;IF('1_入力シート【基本情報】'!ES539="一部改善済","（一部改善済）","")</f>
        <v/>
      </c>
    </row>
    <row r="411" spans="2:45" ht="14.1" customHeight="1" x14ac:dyDescent="0.15">
      <c r="B411" s="1858"/>
      <c r="C411" s="1858" t="s">
        <v>483</v>
      </c>
    </row>
    <row r="412" spans="2:45" ht="14.1" customHeight="1" x14ac:dyDescent="0.15">
      <c r="B412" s="1858"/>
      <c r="C412" s="1858"/>
      <c r="D412" s="1858" t="s">
        <v>479</v>
      </c>
      <c r="O412" s="1873" t="str">
        <f>IF('1_入力シート【基本情報】'!DP544="レ","レ",IF('1_入力シート【基本情報】'!DO544="レ","レ",""))</f>
        <v/>
      </c>
      <c r="P412" s="1849" t="s">
        <v>875</v>
      </c>
      <c r="Y412" s="1873" t="str">
        <f>'1_入力シート【基本情報】'!DP544</f>
        <v/>
      </c>
      <c r="Z412" s="1849" t="s">
        <v>399</v>
      </c>
      <c r="AH412" s="1873" t="str">
        <f>IF(OR('1_入力シート【基本情報】'!DN544="レ",'1_入力シート【基本情報】'!DM544="レ"),"レ","")</f>
        <v/>
      </c>
      <c r="AI412" s="1849" t="s">
        <v>400</v>
      </c>
    </row>
    <row r="413" spans="2:45" ht="14.1" customHeight="1" x14ac:dyDescent="0.15">
      <c r="B413" s="1858"/>
      <c r="D413" s="1858" t="s">
        <v>480</v>
      </c>
      <c r="N413" s="3183" t="s">
        <v>1274</v>
      </c>
      <c r="O413" s="3183"/>
      <c r="P413" s="3183"/>
      <c r="Q413" s="3183"/>
      <c r="R413" s="3183"/>
      <c r="S413" s="3183"/>
      <c r="T413" s="3183"/>
      <c r="U413" s="3183"/>
      <c r="V413" s="3183"/>
      <c r="W413" s="1871"/>
      <c r="X413" s="1871"/>
      <c r="Y413" s="1871"/>
      <c r="Z413" s="1871"/>
      <c r="AA413" s="1871"/>
      <c r="AB413" s="1871"/>
      <c r="AC413" s="1871"/>
      <c r="AD413" s="1871"/>
      <c r="AE413" s="1871"/>
      <c r="AF413" s="1871"/>
      <c r="AG413" s="1871"/>
      <c r="AH413" s="1871"/>
      <c r="AI413" s="1871"/>
      <c r="AJ413" s="1871"/>
      <c r="AK413" s="1871"/>
      <c r="AL413" s="1871"/>
      <c r="AM413" s="1871"/>
      <c r="AN413" s="1871"/>
      <c r="AO413" s="1871"/>
      <c r="AP413" s="1871"/>
      <c r="AQ413" s="1871"/>
      <c r="AR413" s="1871"/>
      <c r="AS413" s="1871"/>
    </row>
    <row r="414" spans="2:45" ht="14.1" customHeight="1" x14ac:dyDescent="0.15">
      <c r="B414" s="1858"/>
      <c r="D414" s="1858" t="s">
        <v>477</v>
      </c>
      <c r="O414" s="1873" t="str">
        <f>IF(OR('1_入力シート【基本情報】'!EB544="レ",'1_入力シート【基本情報】'!EG544="レ"),"レ","")</f>
        <v/>
      </c>
      <c r="P414" s="1849" t="s">
        <v>403</v>
      </c>
      <c r="R414" s="3184" t="str">
        <f>IF(AND(T414="31",W414&lt;5),"平成","令和")</f>
        <v>令和</v>
      </c>
      <c r="S414" s="3184"/>
      <c r="T414" s="3184" t="str">
        <f>IF('1_入力シート【基本情報】'!ED544&lt;&gt;"",'1_入力シート【基本情報】'!ED544,IF('1_入力シート【基本情報】'!EI544&lt;&gt;"",'1_入力シート【基本情報】'!EI544,""))</f>
        <v/>
      </c>
      <c r="U414" s="3184"/>
      <c r="V414" s="1876" t="s">
        <v>12</v>
      </c>
      <c r="W414" s="3184" t="str">
        <f>IF('1_入力シート【基本情報】'!EE544&lt;&gt;"",'1_入力シート【基本情報】'!EE544,IF('1_入力シート【基本情報】'!EJ544&lt;&gt;"",'1_入力シート【基本情報】'!EJ544,""))</f>
        <v/>
      </c>
      <c r="X414" s="3184"/>
      <c r="Y414" s="1849" t="s">
        <v>404</v>
      </c>
      <c r="AH414" s="1873" t="str">
        <f>IF(AND(O414&lt;&gt;"レ",(OR('1_入力シート【基本情報】'!EF544="レ",'1_入力シート【基本情報】'!EK544="レ"))),"レ","")</f>
        <v/>
      </c>
      <c r="AI414" s="1849" t="s">
        <v>405</v>
      </c>
      <c r="AM414" s="1849" t="str">
        <f>IF('1_入力シート【基本情報】'!ES544="改善済","（改善済）","")&amp;IF('1_入力シート【基本情報】'!ES544="一部改善済","（一部改善済）","")</f>
        <v/>
      </c>
    </row>
    <row r="415" spans="2:45" ht="14.1" customHeight="1" x14ac:dyDescent="0.15">
      <c r="B415" s="1858"/>
      <c r="C415" s="1858" t="s">
        <v>484</v>
      </c>
    </row>
    <row r="416" spans="2:45" ht="14.1" customHeight="1" x14ac:dyDescent="0.15">
      <c r="B416" s="1858"/>
      <c r="C416" s="1858"/>
      <c r="D416" s="1858" t="s">
        <v>479</v>
      </c>
      <c r="O416" s="1873" t="str">
        <f>IF('1_入力シート【基本情報】'!DP475="レ","レ",IF('1_入力シート【基本情報】'!DO475="レ","レ",""))</f>
        <v/>
      </c>
      <c r="P416" s="1849" t="s">
        <v>875</v>
      </c>
      <c r="Y416" s="1873" t="str">
        <f>'1_入力シート【基本情報】'!DP475</f>
        <v/>
      </c>
      <c r="Z416" s="1849" t="s">
        <v>399</v>
      </c>
      <c r="AH416" s="1873" t="str">
        <f>IF(OR('1_入力シート【基本情報】'!DN475="レ",'1_入力シート【基本情報】'!DM475="レ"),"レ","")</f>
        <v/>
      </c>
      <c r="AI416" s="1849" t="s">
        <v>400</v>
      </c>
    </row>
    <row r="417" spans="2:45" ht="14.1" customHeight="1" x14ac:dyDescent="0.15">
      <c r="B417" s="1858"/>
      <c r="D417" s="1858" t="s">
        <v>480</v>
      </c>
      <c r="N417" s="3183" t="s">
        <v>1274</v>
      </c>
      <c r="O417" s="3183"/>
      <c r="P417" s="3183"/>
      <c r="Q417" s="3183"/>
      <c r="R417" s="3183"/>
      <c r="S417" s="3183"/>
      <c r="T417" s="3183"/>
      <c r="U417" s="3183"/>
      <c r="V417" s="3183"/>
      <c r="W417" s="1871"/>
      <c r="X417" s="1871"/>
      <c r="Y417" s="1871"/>
      <c r="Z417" s="1871"/>
      <c r="AA417" s="1871"/>
      <c r="AB417" s="1871"/>
      <c r="AC417" s="1871"/>
      <c r="AD417" s="1871"/>
      <c r="AE417" s="1871"/>
      <c r="AF417" s="1871"/>
      <c r="AG417" s="1871"/>
      <c r="AH417" s="1871"/>
      <c r="AI417" s="1871"/>
      <c r="AJ417" s="1871"/>
      <c r="AK417" s="1871"/>
      <c r="AL417" s="1871"/>
      <c r="AM417" s="1871"/>
      <c r="AN417" s="1871"/>
      <c r="AO417" s="1871"/>
      <c r="AP417" s="1871"/>
      <c r="AQ417" s="1871"/>
      <c r="AR417" s="1871"/>
      <c r="AS417" s="1871"/>
    </row>
    <row r="418" spans="2:45" ht="14.1" customHeight="1" x14ac:dyDescent="0.15">
      <c r="B418" s="1858"/>
      <c r="D418" s="1858" t="s">
        <v>477</v>
      </c>
      <c r="O418" s="1873" t="str">
        <f>IF(OR('1_入力シート【基本情報】'!EB475="レ",'1_入力シート【基本情報】'!EG475="レ"),"レ","")</f>
        <v/>
      </c>
      <c r="P418" s="1849" t="s">
        <v>403</v>
      </c>
      <c r="R418" s="3184" t="str">
        <f>IF(AND(T418="31",W418&lt;5),"平成","令和")</f>
        <v>令和</v>
      </c>
      <c r="S418" s="3184"/>
      <c r="T418" s="3184" t="str">
        <f>IF('1_入力シート【基本情報】'!ED475&lt;&gt;"",'1_入力シート【基本情報】'!ED475,IF('1_入力シート【基本情報】'!EI475&lt;&gt;"",'1_入力シート【基本情報】'!EI475,""))</f>
        <v/>
      </c>
      <c r="U418" s="3184"/>
      <c r="V418" s="1876" t="s">
        <v>12</v>
      </c>
      <c r="W418" s="3184" t="str">
        <f>IF('1_入力シート【基本情報】'!EE475&lt;&gt;"",'1_入力シート【基本情報】'!EE475,IF('1_入力シート【基本情報】'!EJ475&lt;&gt;"",'1_入力シート【基本情報】'!EJ475,""))</f>
        <v/>
      </c>
      <c r="X418" s="3184"/>
      <c r="Y418" s="1849" t="s">
        <v>404</v>
      </c>
      <c r="AH418" s="1873" t="str">
        <f>IF(AND(O418&lt;&gt;"レ",(OR('1_入力シート【基本情報】'!EF475="レ",'1_入力シート【基本情報】'!EK475="レ"))),"レ","")</f>
        <v/>
      </c>
      <c r="AI418" s="1849" t="s">
        <v>405</v>
      </c>
      <c r="AM418" s="1849" t="str">
        <f>IF('1_入力シート【基本情報】'!ES475="改善済","（改善済）","")&amp;IF('1_入力シート【基本情報】'!ES475="一部改善済","（一部改善済）","")</f>
        <v/>
      </c>
    </row>
    <row r="419" spans="2:45" ht="12" hidden="1" customHeight="1" x14ac:dyDescent="0.15">
      <c r="N419" s="1847"/>
    </row>
    <row r="420" spans="2:45" ht="12" hidden="1" customHeight="1" x14ac:dyDescent="0.15">
      <c r="N420" s="1847"/>
    </row>
    <row r="421" spans="2:45" ht="12" hidden="1" customHeight="1" x14ac:dyDescent="0.15">
      <c r="N421" s="1847"/>
    </row>
    <row r="422" spans="2:45" ht="4.5" customHeight="1" x14ac:dyDescent="0.15"/>
    <row r="423" spans="2:45" ht="4.5" customHeight="1" x14ac:dyDescent="0.15"/>
    <row r="424" spans="2:45" ht="14.1" customHeight="1" x14ac:dyDescent="0.15">
      <c r="B424" s="1858" t="s">
        <v>485</v>
      </c>
      <c r="AB424" s="1858" t="s">
        <v>486</v>
      </c>
    </row>
    <row r="425" spans="2:45" ht="12.95" customHeight="1" x14ac:dyDescent="0.15">
      <c r="D425" s="1858" t="s">
        <v>487</v>
      </c>
      <c r="Q425" s="1873" t="str">
        <f>IF('1_入力シート【基本情報】'!DS236&gt;0,"レ","")</f>
        <v/>
      </c>
      <c r="R425" s="1906" t="s">
        <v>488</v>
      </c>
      <c r="AB425" s="1904" t="s">
        <v>25</v>
      </c>
      <c r="AC425" s="3248" t="str">
        <f>IF('1_入力シート【基本情報】'!DS236=1,'1_入力シート【基本情報】'!AB236,'1_入力シート【基本情報】'!DR237)</f>
        <v/>
      </c>
      <c r="AD425" s="3248"/>
      <c r="AE425" s="3248"/>
      <c r="AF425" s="3248"/>
      <c r="AG425" s="3248"/>
      <c r="AH425" s="3248"/>
      <c r="AI425" s="3248"/>
      <c r="AJ425" s="3248"/>
      <c r="AK425" s="3248"/>
      <c r="AL425" s="3248"/>
      <c r="AM425" s="3248"/>
      <c r="AN425" s="3248"/>
      <c r="AO425" s="3248"/>
      <c r="AP425" s="3248"/>
      <c r="AQ425" s="3249"/>
      <c r="AR425" s="3249"/>
      <c r="AS425" s="1906" t="s">
        <v>22</v>
      </c>
    </row>
    <row r="426" spans="2:45" ht="12.95" customHeight="1" x14ac:dyDescent="0.15">
      <c r="Q426" s="1873" t="str">
        <f>IF('1_入力シート【基本情報】'!DP236="レ","レ","")</f>
        <v/>
      </c>
      <c r="R426" s="1906" t="s">
        <v>489</v>
      </c>
      <c r="AB426" s="1904" t="s">
        <v>25</v>
      </c>
      <c r="AC426" s="3248" t="str">
        <f>IF('1_入力シート【基本情報】'!DP236="レ",'1_入力シート【基本情報】'!AB236,"")</f>
        <v/>
      </c>
      <c r="AD426" s="3248"/>
      <c r="AE426" s="3248"/>
      <c r="AF426" s="3248"/>
      <c r="AG426" s="3248"/>
      <c r="AH426" s="3248"/>
      <c r="AI426" s="3248"/>
      <c r="AJ426" s="3248"/>
      <c r="AK426" s="3248"/>
      <c r="AL426" s="3248"/>
      <c r="AM426" s="3248"/>
      <c r="AN426" s="3248"/>
      <c r="AO426" s="3248"/>
      <c r="AP426" s="3248"/>
      <c r="AQ426" s="3250"/>
      <c r="AR426" s="3250"/>
      <c r="AS426" s="1906" t="s">
        <v>22</v>
      </c>
    </row>
    <row r="427" spans="2:45" ht="12.95" customHeight="1" x14ac:dyDescent="0.15">
      <c r="Q427" s="1873" t="str">
        <f>IF('1_入力シート【基本情報】'!DQ236="レ","レ","")</f>
        <v/>
      </c>
      <c r="R427" s="1906" t="s">
        <v>490</v>
      </c>
    </row>
    <row r="428" spans="2:45" ht="12.95" customHeight="1" x14ac:dyDescent="0.15">
      <c r="D428" s="1858" t="s">
        <v>1277</v>
      </c>
      <c r="Q428" s="1873" t="str">
        <f>IF('1_入力シート【基本情報】'!DO238="レ","レ","")</f>
        <v/>
      </c>
      <c r="R428" s="1849" t="s">
        <v>403</v>
      </c>
      <c r="T428" s="3184" t="str">
        <f>IF(AND(V428="31",Y428&lt;5),"平成","令和")</f>
        <v>令和</v>
      </c>
      <c r="U428" s="3184"/>
      <c r="V428" s="3184" t="str">
        <f>IF('1_入力シート【基本情報】'!AE238="","",'1_入力シート【基本情報】'!AE238)</f>
        <v/>
      </c>
      <c r="W428" s="3184"/>
      <c r="X428" s="1876" t="s">
        <v>12</v>
      </c>
      <c r="Y428" s="3184" t="str">
        <f>IF('1_入力シート【基本情報】'!AJ238="","",'1_入力シート【基本情報】'!AJ238)</f>
        <v/>
      </c>
      <c r="Z428" s="3184"/>
      <c r="AA428" s="1849" t="s">
        <v>404</v>
      </c>
      <c r="AJ428" s="1873" t="str">
        <f>IF('1_入力シート【基本情報】'!DP238="レ","レ","")</f>
        <v/>
      </c>
      <c r="AK428" s="1849" t="s">
        <v>405</v>
      </c>
    </row>
    <row r="429" spans="2:45" ht="12.95" hidden="1" customHeight="1" x14ac:dyDescent="0.15">
      <c r="B429" s="1858" t="s">
        <v>431</v>
      </c>
    </row>
    <row r="430" spans="2:45" ht="12.95" hidden="1" customHeight="1" x14ac:dyDescent="0.15">
      <c r="C430" s="1858" t="s">
        <v>390</v>
      </c>
      <c r="J430" s="1874" t="s">
        <v>432</v>
      </c>
      <c r="K430" s="3163"/>
      <c r="L430" s="3163"/>
      <c r="M430" s="1849" t="s">
        <v>433</v>
      </c>
      <c r="V430" s="1874"/>
      <c r="W430" s="1856" t="s">
        <v>25</v>
      </c>
      <c r="X430" s="3163"/>
      <c r="Y430" s="3163"/>
      <c r="Z430" s="3163"/>
      <c r="AA430" s="3163"/>
      <c r="AB430" s="3163"/>
      <c r="AC430" s="3163"/>
      <c r="AG430" s="1874" t="s">
        <v>434</v>
      </c>
      <c r="AH430" s="3244"/>
      <c r="AI430" s="3244"/>
      <c r="AJ430" s="3244"/>
      <c r="AK430" s="3244"/>
      <c r="AL430" s="3244"/>
      <c r="AM430" s="3244"/>
      <c r="AN430" s="3244"/>
      <c r="AO430" s="1849" t="s">
        <v>4</v>
      </c>
    </row>
    <row r="431" spans="2:45" ht="12.95" hidden="1" customHeight="1" x14ac:dyDescent="0.15">
      <c r="C431" s="1858"/>
      <c r="J431" s="1849" t="s">
        <v>435</v>
      </c>
      <c r="AG431" s="1874" t="s">
        <v>3</v>
      </c>
      <c r="AH431" s="3244"/>
      <c r="AI431" s="3244"/>
      <c r="AJ431" s="3244"/>
      <c r="AK431" s="3244"/>
      <c r="AL431" s="3244"/>
      <c r="AM431" s="3244"/>
      <c r="AN431" s="3244"/>
      <c r="AO431" s="1849" t="s">
        <v>4</v>
      </c>
    </row>
    <row r="432" spans="2:45" ht="12" hidden="1" customHeight="1" x14ac:dyDescent="0.15">
      <c r="C432" s="1858"/>
      <c r="J432" s="1849" t="s">
        <v>436</v>
      </c>
      <c r="AG432" s="1874" t="s">
        <v>3</v>
      </c>
      <c r="AH432" s="3244"/>
      <c r="AI432" s="3244"/>
      <c r="AJ432" s="3244"/>
      <c r="AK432" s="3244"/>
      <c r="AL432" s="3244"/>
      <c r="AM432" s="3244"/>
      <c r="AN432" s="3244"/>
      <c r="AO432" s="1849" t="s">
        <v>4</v>
      </c>
    </row>
    <row r="433" spans="2:46" ht="12.95" hidden="1" customHeight="1" x14ac:dyDescent="0.15">
      <c r="C433" s="1858" t="s">
        <v>381</v>
      </c>
      <c r="N433" s="3211"/>
      <c r="O433" s="3211"/>
      <c r="P433" s="3211"/>
      <c r="Q433" s="3211"/>
      <c r="R433" s="3211"/>
      <c r="S433" s="3211"/>
      <c r="T433" s="3211"/>
      <c r="U433" s="3211"/>
      <c r="V433" s="3211"/>
      <c r="W433" s="3211"/>
      <c r="X433" s="3211"/>
      <c r="Y433" s="3211"/>
      <c r="Z433" s="3211"/>
      <c r="AA433" s="3211"/>
      <c r="AB433" s="3211"/>
      <c r="AC433" s="3211"/>
      <c r="AD433" s="3211"/>
      <c r="AE433" s="3211"/>
      <c r="AF433" s="3211"/>
      <c r="AG433" s="3211"/>
      <c r="AH433" s="3211"/>
      <c r="AI433" s="3211"/>
      <c r="AJ433" s="3211"/>
      <c r="AK433" s="3211"/>
      <c r="AL433" s="3211"/>
      <c r="AM433" s="3211"/>
      <c r="AN433" s="3211"/>
      <c r="AO433" s="3211"/>
      <c r="AP433" s="3211"/>
      <c r="AQ433" s="3211"/>
      <c r="AR433" s="3211"/>
      <c r="AS433" s="3211"/>
      <c r="AT433" s="3211"/>
    </row>
    <row r="434" spans="2:46" ht="12.95" hidden="1" customHeight="1" x14ac:dyDescent="0.15">
      <c r="C434" s="1858" t="s">
        <v>437</v>
      </c>
      <c r="N434" s="3245"/>
      <c r="O434" s="3245"/>
      <c r="P434" s="3245"/>
      <c r="Q434" s="3245"/>
      <c r="R434" s="3245"/>
      <c r="S434" s="3245"/>
      <c r="T434" s="3245"/>
      <c r="U434" s="3245"/>
      <c r="V434" s="3245"/>
      <c r="W434" s="3245"/>
      <c r="X434" s="3245"/>
      <c r="Y434" s="3245"/>
      <c r="Z434" s="3245"/>
      <c r="AA434" s="3245"/>
      <c r="AB434" s="3245"/>
      <c r="AC434" s="3245"/>
      <c r="AD434" s="3245"/>
      <c r="AE434" s="3245"/>
      <c r="AF434" s="3245"/>
      <c r="AG434" s="3245"/>
      <c r="AH434" s="3245"/>
      <c r="AI434" s="3245"/>
      <c r="AJ434" s="3245"/>
      <c r="AK434" s="3245"/>
      <c r="AL434" s="3245"/>
      <c r="AM434" s="3245"/>
      <c r="AN434" s="3245"/>
      <c r="AO434" s="3245"/>
      <c r="AP434" s="3245"/>
      <c r="AQ434" s="3245"/>
      <c r="AR434" s="3245"/>
      <c r="AS434" s="3245"/>
      <c r="AT434" s="3245"/>
    </row>
    <row r="435" spans="2:46" ht="12.95" hidden="1" customHeight="1" x14ac:dyDescent="0.15">
      <c r="C435" s="1858" t="s">
        <v>438</v>
      </c>
      <c r="N435" s="3211"/>
      <c r="O435" s="3211"/>
      <c r="P435" s="3211"/>
      <c r="Q435" s="3211"/>
      <c r="R435" s="3211"/>
      <c r="S435" s="3211"/>
      <c r="T435" s="3211"/>
      <c r="U435" s="3211"/>
      <c r="V435" s="3211"/>
      <c r="W435" s="3211"/>
      <c r="X435" s="3211"/>
      <c r="Y435" s="3211"/>
      <c r="Z435" s="3211"/>
      <c r="AA435" s="3211"/>
      <c r="AB435" s="3211"/>
      <c r="AC435" s="3211"/>
      <c r="AD435" s="3211"/>
      <c r="AE435" s="3211"/>
      <c r="AF435" s="3211"/>
      <c r="AG435" s="3211"/>
      <c r="AH435" s="3211"/>
      <c r="AI435" s="3211"/>
      <c r="AJ435" s="3211"/>
      <c r="AK435" s="3211"/>
      <c r="AL435" s="3211"/>
      <c r="AM435" s="3211"/>
      <c r="AN435" s="3211"/>
      <c r="AO435" s="3211"/>
      <c r="AP435" s="3211"/>
      <c r="AQ435" s="3211"/>
      <c r="AR435" s="3211"/>
      <c r="AS435" s="3211"/>
      <c r="AT435" s="3211"/>
    </row>
    <row r="436" spans="2:46" ht="12.95" hidden="1" customHeight="1" x14ac:dyDescent="0.15">
      <c r="C436" s="1858"/>
      <c r="J436" s="1874" t="s">
        <v>432</v>
      </c>
      <c r="K436" s="3163"/>
      <c r="L436" s="3163"/>
      <c r="M436" s="1849" t="s">
        <v>439</v>
      </c>
      <c r="V436" s="1874"/>
      <c r="W436" s="1856" t="s">
        <v>25</v>
      </c>
      <c r="X436" s="3163"/>
      <c r="Y436" s="3163"/>
      <c r="Z436" s="3163"/>
      <c r="AA436" s="3163"/>
      <c r="AG436" s="1874" t="s">
        <v>440</v>
      </c>
      <c r="AH436" s="3244"/>
      <c r="AI436" s="3244"/>
      <c r="AJ436" s="3244"/>
      <c r="AK436" s="3244"/>
      <c r="AL436" s="3244"/>
      <c r="AM436" s="3244"/>
      <c r="AN436" s="3244"/>
      <c r="AO436" s="1849" t="s">
        <v>4</v>
      </c>
    </row>
    <row r="437" spans="2:46" ht="12.95" hidden="1" customHeight="1" x14ac:dyDescent="0.15">
      <c r="C437" s="1858" t="s">
        <v>441</v>
      </c>
      <c r="N437" s="3247"/>
      <c r="O437" s="3247"/>
      <c r="P437" s="3247"/>
      <c r="Q437" s="3247"/>
      <c r="R437" s="3247"/>
      <c r="S437" s="3247"/>
      <c r="T437" s="3247"/>
      <c r="U437" s="3247"/>
      <c r="V437" s="3247"/>
      <c r="W437" s="1864"/>
      <c r="X437" s="1864"/>
      <c r="Y437" s="1864"/>
      <c r="Z437" s="1864"/>
      <c r="AA437" s="1864"/>
      <c r="AB437" s="1864"/>
      <c r="AC437" s="1864"/>
      <c r="AD437" s="1864"/>
      <c r="AE437" s="1864"/>
      <c r="AF437" s="1864"/>
      <c r="AG437" s="1864"/>
      <c r="AH437" s="1864"/>
      <c r="AI437" s="1864"/>
      <c r="AJ437" s="1864"/>
      <c r="AK437" s="1864"/>
      <c r="AL437" s="1864"/>
      <c r="AM437" s="1864"/>
      <c r="AN437" s="1864"/>
      <c r="AO437" s="1864"/>
      <c r="AP437" s="1864"/>
    </row>
    <row r="438" spans="2:46" ht="12.95" hidden="1" customHeight="1" x14ac:dyDescent="0.15">
      <c r="C438" s="1858" t="s">
        <v>442</v>
      </c>
      <c r="N438" s="3211"/>
      <c r="O438" s="3211"/>
      <c r="P438" s="3211"/>
      <c r="Q438" s="3211"/>
      <c r="R438" s="3211"/>
      <c r="S438" s="3211"/>
      <c r="T438" s="3211"/>
      <c r="U438" s="3211"/>
      <c r="V438" s="3211"/>
      <c r="W438" s="3211"/>
      <c r="X438" s="3211"/>
      <c r="Y438" s="3211"/>
      <c r="Z438" s="3211"/>
      <c r="AA438" s="3211"/>
      <c r="AB438" s="3211"/>
      <c r="AC438" s="3211"/>
      <c r="AD438" s="3211"/>
      <c r="AE438" s="3211"/>
      <c r="AF438" s="3211"/>
      <c r="AG438" s="3211"/>
      <c r="AH438" s="3211"/>
      <c r="AI438" s="3211"/>
      <c r="AJ438" s="3211"/>
      <c r="AK438" s="3211"/>
      <c r="AL438" s="3211"/>
      <c r="AM438" s="3211"/>
      <c r="AN438" s="3211"/>
      <c r="AO438" s="3211"/>
      <c r="AP438" s="3211"/>
      <c r="AQ438" s="3211"/>
      <c r="AR438" s="3211"/>
      <c r="AS438" s="3211"/>
      <c r="AT438" s="3211"/>
    </row>
    <row r="439" spans="2:46" ht="12.95" hidden="1" customHeight="1" x14ac:dyDescent="0.15">
      <c r="C439" s="1858" t="s">
        <v>388</v>
      </c>
      <c r="N439" s="3245"/>
      <c r="O439" s="3245"/>
      <c r="P439" s="3245"/>
      <c r="Q439" s="3245"/>
      <c r="R439" s="3245"/>
      <c r="S439" s="3245"/>
      <c r="T439" s="3245"/>
      <c r="U439" s="3245"/>
      <c r="V439" s="3245"/>
      <c r="W439" s="3245"/>
      <c r="X439" s="3245"/>
      <c r="Y439" s="3245"/>
      <c r="Z439" s="3245"/>
      <c r="AA439" s="3245"/>
      <c r="AB439" s="3245"/>
      <c r="AC439" s="3245"/>
      <c r="AD439" s="3245"/>
      <c r="AE439" s="1907"/>
      <c r="AF439" s="1907"/>
      <c r="AG439" s="1907"/>
      <c r="AH439" s="1907"/>
      <c r="AI439" s="1907"/>
      <c r="AJ439" s="1907"/>
      <c r="AK439" s="1907"/>
      <c r="AL439" s="1907"/>
      <c r="AM439" s="1907"/>
      <c r="AN439" s="1907"/>
      <c r="AO439" s="1907"/>
      <c r="AP439" s="1907"/>
    </row>
    <row r="440" spans="2:46" ht="4.5" customHeight="1" x14ac:dyDescent="0.15"/>
    <row r="441" spans="2:46" ht="4.5" customHeight="1" x14ac:dyDescent="0.15"/>
    <row r="442" spans="2:46" ht="12" hidden="1" customHeight="1" x14ac:dyDescent="0.15"/>
    <row r="443" spans="2:46" ht="12" hidden="1" customHeight="1" x14ac:dyDescent="0.15"/>
    <row r="444" spans="2:46" ht="12" hidden="1" customHeight="1" x14ac:dyDescent="0.15"/>
    <row r="445" spans="2:46" ht="14.1" customHeight="1" x14ac:dyDescent="0.15">
      <c r="B445" s="1858" t="s">
        <v>491</v>
      </c>
    </row>
    <row r="446" spans="2:46" ht="12.95" customHeight="1" x14ac:dyDescent="0.15">
      <c r="D446" s="1858" t="s">
        <v>492</v>
      </c>
      <c r="R446" s="1873" t="str">
        <f>IF('1_入力シート【基本情報】'!DO245="レ","レ","")</f>
        <v/>
      </c>
      <c r="S446" s="1906" t="s">
        <v>493</v>
      </c>
      <c r="U446" s="1873" t="str">
        <f>IF('1_入力シート【基本情報】'!DP245="レ","レ","")</f>
        <v/>
      </c>
      <c r="V446" s="1906" t="s">
        <v>494</v>
      </c>
      <c r="X446" s="3184" t="str">
        <f>IF('1_入力シート【基本情報】'!AB245="","",'1_入力シート【基本情報】'!AB245)</f>
        <v/>
      </c>
      <c r="Y446" s="3184"/>
      <c r="Z446" s="3184" t="str">
        <f>IF('1_入力シート【基本情報】'!AE245="","",'1_入力シート【基本情報】'!AE245)</f>
        <v/>
      </c>
      <c r="AA446" s="3184"/>
      <c r="AB446" s="1857" t="s">
        <v>12</v>
      </c>
      <c r="AC446" s="3184" t="str">
        <f>IF('1_入力シート【基本情報】'!AJ245="","",'1_入力シート【基本情報】'!AJ245)</f>
        <v/>
      </c>
      <c r="AD446" s="3184"/>
      <c r="AE446" s="1875" t="s">
        <v>1884</v>
      </c>
      <c r="AI446" s="1849" t="s">
        <v>1885</v>
      </c>
      <c r="AK446" s="1849" t="s">
        <v>1886</v>
      </c>
      <c r="AM446" s="1873" t="str">
        <f>IF('1_入力シート【基本情報】'!DQ245="レ","レ","")</f>
        <v/>
      </c>
      <c r="AN446" s="1906" t="s">
        <v>309</v>
      </c>
    </row>
    <row r="447" spans="2:46" ht="12.95" customHeight="1" x14ac:dyDescent="0.15">
      <c r="C447" s="1858"/>
      <c r="D447" s="1858" t="s">
        <v>495</v>
      </c>
      <c r="R447" s="1873" t="str">
        <f>IF('1_入力シート【基本情報】'!DO247="レ","レ","")</f>
        <v/>
      </c>
      <c r="S447" s="1906" t="s">
        <v>493</v>
      </c>
      <c r="U447" s="1873" t="str">
        <f>IF('1_入力シート【基本情報】'!DP247="レ","レ","")</f>
        <v/>
      </c>
      <c r="V447" s="1906" t="s">
        <v>494</v>
      </c>
      <c r="X447" s="3184" t="str">
        <f>IF('1_入力シート【基本情報】'!AB247="","",'1_入力シート【基本情報】'!AB247)</f>
        <v/>
      </c>
      <c r="Y447" s="3184"/>
      <c r="Z447" s="3184" t="str">
        <f>IF('1_入力シート【基本情報】'!AE247="","",'1_入力シート【基本情報】'!AE247)</f>
        <v/>
      </c>
      <c r="AA447" s="3184"/>
      <c r="AB447" s="1857" t="s">
        <v>12</v>
      </c>
      <c r="AC447" s="3184" t="str">
        <f>IF('1_入力シート【基本情報】'!AJ247="","",'1_入力シート【基本情報】'!AJ247)</f>
        <v/>
      </c>
      <c r="AD447" s="3184"/>
      <c r="AE447" s="1875" t="s">
        <v>1884</v>
      </c>
      <c r="AI447" s="1849" t="s">
        <v>1885</v>
      </c>
      <c r="AK447" s="1849" t="s">
        <v>1886</v>
      </c>
      <c r="AM447" s="1873" t="str">
        <f>IF('1_入力シート【基本情報】'!DQ247="レ","レ","")</f>
        <v/>
      </c>
      <c r="AN447" s="1906" t="s">
        <v>309</v>
      </c>
    </row>
    <row r="448" spans="2:46" ht="12" hidden="1" customHeight="1" x14ac:dyDescent="0.15"/>
    <row r="449" spans="2:40" ht="12" hidden="1" customHeight="1" x14ac:dyDescent="0.15"/>
    <row r="450" spans="2:40" ht="4.5" customHeight="1" x14ac:dyDescent="0.15"/>
    <row r="451" spans="2:40" ht="4.5" customHeight="1" x14ac:dyDescent="0.15"/>
    <row r="452" spans="2:40" ht="14.1" customHeight="1" x14ac:dyDescent="0.15">
      <c r="B452" s="1858" t="s">
        <v>496</v>
      </c>
    </row>
    <row r="453" spans="2:40" ht="12.95" customHeight="1" x14ac:dyDescent="0.15">
      <c r="D453" s="1922" t="s">
        <v>497</v>
      </c>
      <c r="O453" s="1873" t="str">
        <f>IF('1_入力シート【基本情報】'!DO254="レ","レ","")</f>
        <v/>
      </c>
      <c r="P453" s="1849" t="s">
        <v>20</v>
      </c>
      <c r="R453" s="1873" t="str">
        <f>IF('1_入力シート【基本情報】'!DP254="レ","レ","")</f>
        <v/>
      </c>
      <c r="S453" s="1849" t="s">
        <v>405</v>
      </c>
    </row>
    <row r="454" spans="2:40" ht="12.95" customHeight="1" x14ac:dyDescent="0.15">
      <c r="D454" s="1922" t="s">
        <v>498</v>
      </c>
      <c r="O454" s="1873" t="str">
        <f>IF('1_入力シート【基本情報】'!DR254="レ","レ","")</f>
        <v/>
      </c>
      <c r="P454" s="1849" t="s">
        <v>20</v>
      </c>
      <c r="R454" s="1873" t="str">
        <f>IF('1_入力シート【基本情報】'!DS254="レ","レ","")</f>
        <v/>
      </c>
      <c r="S454" s="1849" t="s">
        <v>405</v>
      </c>
    </row>
    <row r="455" spans="2:40" ht="12.95" customHeight="1" x14ac:dyDescent="0.15">
      <c r="D455" s="1858" t="s">
        <v>499</v>
      </c>
      <c r="M455" s="1873" t="str">
        <f>IF('1_入力シート【基本情報】'!DO258="レ","レ","")</f>
        <v/>
      </c>
      <c r="N455" s="1849" t="s">
        <v>500</v>
      </c>
      <c r="R455" s="1873" t="str">
        <f>IF('1_入力シート【基本情報】'!DP258="レ","レ","")</f>
        <v/>
      </c>
      <c r="S455" s="1849" t="s">
        <v>501</v>
      </c>
      <c r="W455" s="1849" t="s">
        <v>25</v>
      </c>
      <c r="X455" s="3184" t="str">
        <f>IF(AND(Z455="31",AC455&lt;5),"平成","令和")</f>
        <v>令和</v>
      </c>
      <c r="Y455" s="3184"/>
      <c r="Z455" s="3212" t="str">
        <f>IF('1_入力シート【基本情報】'!DO260="","",'1_入力シート【基本情報】'!DO260)</f>
        <v/>
      </c>
      <c r="AA455" s="3212"/>
      <c r="AB455" s="1876" t="s">
        <v>12</v>
      </c>
      <c r="AC455" s="3212" t="str">
        <f>IF('1_入力シート【基本情報】'!DP260="","",'1_入力シート【基本情報】'!DP260)</f>
        <v/>
      </c>
      <c r="AD455" s="3212"/>
      <c r="AE455" s="1849" t="s">
        <v>404</v>
      </c>
      <c r="AM455" s="1873" t="str">
        <f>IF('1_入力シート【基本情報】'!DQ258="レ","レ","")</f>
        <v/>
      </c>
      <c r="AN455" s="1849" t="s">
        <v>310</v>
      </c>
    </row>
    <row r="456" spans="2:40" ht="12" hidden="1" customHeight="1" x14ac:dyDescent="0.15">
      <c r="C456" s="1858"/>
    </row>
    <row r="457" spans="2:40" ht="12" hidden="1" customHeight="1" x14ac:dyDescent="0.15">
      <c r="C457" s="1858"/>
    </row>
    <row r="458" spans="2:40" ht="12" hidden="1" customHeight="1" x14ac:dyDescent="0.15">
      <c r="C458" s="1858"/>
    </row>
    <row r="459" spans="2:40" ht="4.5" customHeight="1" x14ac:dyDescent="0.15"/>
    <row r="460" spans="2:40" ht="4.5" customHeight="1" x14ac:dyDescent="0.15"/>
    <row r="461" spans="2:40" ht="12" hidden="1" customHeight="1" x14ac:dyDescent="0.15"/>
    <row r="462" spans="2:40" ht="12" hidden="1" customHeight="1" x14ac:dyDescent="0.15">
      <c r="B462" s="1858"/>
    </row>
    <row r="463" spans="2:40" ht="12" hidden="1" customHeight="1" x14ac:dyDescent="0.15">
      <c r="B463" s="1858"/>
    </row>
    <row r="464" spans="2:40" ht="12" hidden="1" customHeight="1" x14ac:dyDescent="0.15">
      <c r="B464" s="1858"/>
    </row>
    <row r="465" spans="1:48" ht="12" hidden="1" customHeight="1" x14ac:dyDescent="0.15">
      <c r="B465" s="1858"/>
    </row>
    <row r="466" spans="1:48" ht="14.1" customHeight="1" x14ac:dyDescent="0.15">
      <c r="B466" s="1858" t="s">
        <v>502</v>
      </c>
    </row>
    <row r="467" spans="1:48" ht="12.95" customHeight="1" x14ac:dyDescent="0.15">
      <c r="C467" s="3263" t="str">
        <f>IF('1_入力シート【基本情報】'!AB267="","",'1_入力シート【基本情報】'!AB267)</f>
        <v/>
      </c>
      <c r="D467" s="3263"/>
      <c r="E467" s="3263"/>
      <c r="F467" s="3263"/>
      <c r="G467" s="3263"/>
      <c r="H467" s="3263"/>
      <c r="I467" s="3263"/>
      <c r="J467" s="3263"/>
      <c r="K467" s="3263"/>
      <c r="L467" s="3263"/>
      <c r="M467" s="3263"/>
      <c r="N467" s="3263"/>
      <c r="O467" s="3263"/>
      <c r="P467" s="3263"/>
      <c r="Q467" s="3263"/>
      <c r="R467" s="3263"/>
      <c r="S467" s="3263"/>
      <c r="T467" s="3263"/>
      <c r="U467" s="3263"/>
      <c r="V467" s="3263"/>
      <c r="W467" s="3263"/>
      <c r="X467" s="3263"/>
      <c r="Y467" s="3263"/>
      <c r="Z467" s="3263"/>
      <c r="AA467" s="3263"/>
      <c r="AB467" s="3263"/>
      <c r="AC467" s="3263"/>
      <c r="AD467" s="3263"/>
      <c r="AE467" s="3263"/>
      <c r="AF467" s="3263"/>
      <c r="AG467" s="3263"/>
      <c r="AH467" s="3263"/>
      <c r="AI467" s="3263"/>
      <c r="AJ467" s="3263"/>
      <c r="AK467" s="3263"/>
      <c r="AL467" s="3263"/>
      <c r="AM467" s="3263"/>
      <c r="AN467" s="3263"/>
      <c r="AO467" s="3263"/>
      <c r="AP467" s="3263"/>
      <c r="AQ467" s="3263"/>
      <c r="AR467" s="3263"/>
      <c r="AS467" s="3263"/>
    </row>
    <row r="468" spans="1:48" ht="12.95" customHeight="1" x14ac:dyDescent="0.15">
      <c r="C468" s="3264"/>
      <c r="D468" s="3264"/>
      <c r="E468" s="3264"/>
      <c r="F468" s="3264"/>
      <c r="G468" s="3264"/>
      <c r="H468" s="3264"/>
      <c r="I468" s="3264"/>
      <c r="J468" s="3264"/>
      <c r="K468" s="3264"/>
      <c r="L468" s="3264"/>
      <c r="M468" s="3264"/>
      <c r="N468" s="3264"/>
      <c r="O468" s="3264"/>
      <c r="P468" s="3264"/>
      <c r="Q468" s="3264"/>
      <c r="R468" s="3264"/>
      <c r="S468" s="3264"/>
      <c r="T468" s="3264"/>
      <c r="U468" s="3264"/>
      <c r="V468" s="3264"/>
      <c r="W468" s="3264"/>
      <c r="X468" s="3264"/>
      <c r="Y468" s="3264"/>
      <c r="Z468" s="3264"/>
      <c r="AA468" s="3264"/>
      <c r="AB468" s="3264"/>
      <c r="AC468" s="3264"/>
      <c r="AD468" s="3264"/>
      <c r="AE468" s="3264"/>
      <c r="AF468" s="3264"/>
      <c r="AG468" s="3264"/>
      <c r="AH468" s="3264"/>
      <c r="AI468" s="3264"/>
      <c r="AJ468" s="3264"/>
      <c r="AK468" s="3264"/>
      <c r="AL468" s="3264"/>
      <c r="AM468" s="3264"/>
      <c r="AN468" s="3264"/>
      <c r="AO468" s="3264"/>
      <c r="AP468" s="3264"/>
      <c r="AQ468" s="3264"/>
      <c r="AR468" s="3264"/>
      <c r="AS468" s="3264"/>
    </row>
    <row r="469" spans="1:48" ht="12.95" customHeight="1" x14ac:dyDescent="0.15">
      <c r="C469" s="3264"/>
      <c r="D469" s="3264"/>
      <c r="E469" s="3264"/>
      <c r="F469" s="3264"/>
      <c r="G469" s="3264"/>
      <c r="H469" s="3264"/>
      <c r="I469" s="3264"/>
      <c r="J469" s="3264"/>
      <c r="K469" s="3264"/>
      <c r="L469" s="3264"/>
      <c r="M469" s="3264"/>
      <c r="N469" s="3264"/>
      <c r="O469" s="3264"/>
      <c r="P469" s="3264"/>
      <c r="Q469" s="3264"/>
      <c r="R469" s="3264"/>
      <c r="S469" s="3264"/>
      <c r="T469" s="3264"/>
      <c r="U469" s="3264"/>
      <c r="V469" s="3264"/>
      <c r="W469" s="3264"/>
      <c r="X469" s="3264"/>
      <c r="Y469" s="3264"/>
      <c r="Z469" s="3264"/>
      <c r="AA469" s="3264"/>
      <c r="AB469" s="3264"/>
      <c r="AC469" s="3264"/>
      <c r="AD469" s="3264"/>
      <c r="AE469" s="3264"/>
      <c r="AF469" s="3264"/>
      <c r="AG469" s="3264"/>
      <c r="AH469" s="3264"/>
      <c r="AI469" s="3264"/>
      <c r="AJ469" s="3264"/>
      <c r="AK469" s="3264"/>
      <c r="AL469" s="3264"/>
      <c r="AM469" s="3264"/>
      <c r="AN469" s="3264"/>
      <c r="AO469" s="3264"/>
      <c r="AP469" s="3264"/>
      <c r="AQ469" s="3264"/>
      <c r="AR469" s="3264"/>
      <c r="AS469" s="3264"/>
    </row>
    <row r="470" spans="1:48" ht="12.95" customHeight="1" x14ac:dyDescent="0.15">
      <c r="C470" s="3264"/>
      <c r="D470" s="3264"/>
      <c r="E470" s="3264"/>
      <c r="F470" s="3264"/>
      <c r="G470" s="3264"/>
      <c r="H470" s="3264"/>
      <c r="I470" s="3264"/>
      <c r="J470" s="3264"/>
      <c r="K470" s="3264"/>
      <c r="L470" s="3264"/>
      <c r="M470" s="3264"/>
      <c r="N470" s="3264"/>
      <c r="O470" s="3264"/>
      <c r="P470" s="3264"/>
      <c r="Q470" s="3264"/>
      <c r="R470" s="3264"/>
      <c r="S470" s="3264"/>
      <c r="T470" s="3264"/>
      <c r="U470" s="3264"/>
      <c r="V470" s="3264"/>
      <c r="W470" s="3264"/>
      <c r="X470" s="3264"/>
      <c r="Y470" s="3264"/>
      <c r="Z470" s="3264"/>
      <c r="AA470" s="3264"/>
      <c r="AB470" s="3264"/>
      <c r="AC470" s="3264"/>
      <c r="AD470" s="3264"/>
      <c r="AE470" s="3264"/>
      <c r="AF470" s="3264"/>
      <c r="AG470" s="3264"/>
      <c r="AH470" s="3264"/>
      <c r="AI470" s="3264"/>
      <c r="AJ470" s="3264"/>
      <c r="AK470" s="3264"/>
      <c r="AL470" s="3264"/>
      <c r="AM470" s="3264"/>
      <c r="AN470" s="3264"/>
      <c r="AO470" s="3264"/>
      <c r="AP470" s="3264"/>
      <c r="AQ470" s="3264"/>
      <c r="AR470" s="3264"/>
      <c r="AS470" s="3264"/>
    </row>
    <row r="471" spans="1:48" ht="12.95" customHeight="1" x14ac:dyDescent="0.15">
      <c r="C471" s="3264"/>
      <c r="D471" s="3264"/>
      <c r="E471" s="3264"/>
      <c r="F471" s="3264"/>
      <c r="G471" s="3264"/>
      <c r="H471" s="3264"/>
      <c r="I471" s="3264"/>
      <c r="J471" s="3264"/>
      <c r="K471" s="3264"/>
      <c r="L471" s="3264"/>
      <c r="M471" s="3264"/>
      <c r="N471" s="3264"/>
      <c r="O471" s="3264"/>
      <c r="P471" s="3264"/>
      <c r="Q471" s="3264"/>
      <c r="R471" s="3264"/>
      <c r="S471" s="3264"/>
      <c r="T471" s="3264"/>
      <c r="U471" s="3264"/>
      <c r="V471" s="3264"/>
      <c r="W471" s="3264"/>
      <c r="X471" s="3264"/>
      <c r="Y471" s="3264"/>
      <c r="Z471" s="3264"/>
      <c r="AA471" s="3264"/>
      <c r="AB471" s="3264"/>
      <c r="AC471" s="3264"/>
      <c r="AD471" s="3264"/>
      <c r="AE471" s="3264"/>
      <c r="AF471" s="3264"/>
      <c r="AG471" s="3264"/>
      <c r="AH471" s="3264"/>
      <c r="AI471" s="3264"/>
      <c r="AJ471" s="3264"/>
      <c r="AK471" s="3264"/>
      <c r="AL471" s="3264"/>
      <c r="AM471" s="3264"/>
      <c r="AN471" s="3264"/>
      <c r="AO471" s="3264"/>
      <c r="AP471" s="3264"/>
      <c r="AQ471" s="3264"/>
      <c r="AR471" s="3264"/>
      <c r="AS471" s="3264"/>
    </row>
    <row r="472" spans="1:48" ht="12.95" customHeight="1" x14ac:dyDescent="0.15">
      <c r="C472" s="3264"/>
      <c r="D472" s="3264"/>
      <c r="E472" s="3264"/>
      <c r="F472" s="3264"/>
      <c r="G472" s="3264"/>
      <c r="H472" s="3264"/>
      <c r="I472" s="3264"/>
      <c r="J472" s="3264"/>
      <c r="K472" s="3264"/>
      <c r="L472" s="3264"/>
      <c r="M472" s="3264"/>
      <c r="N472" s="3264"/>
      <c r="O472" s="3264"/>
      <c r="P472" s="3264"/>
      <c r="Q472" s="3264"/>
      <c r="R472" s="3264"/>
      <c r="S472" s="3264"/>
      <c r="T472" s="3264"/>
      <c r="U472" s="3264"/>
      <c r="V472" s="3264"/>
      <c r="W472" s="3264"/>
      <c r="X472" s="3264"/>
      <c r="Y472" s="3264"/>
      <c r="Z472" s="3264"/>
      <c r="AA472" s="3264"/>
      <c r="AB472" s="3264"/>
      <c r="AC472" s="3264"/>
      <c r="AD472" s="3264"/>
      <c r="AE472" s="3264"/>
      <c r="AF472" s="3264"/>
      <c r="AG472" s="3264"/>
      <c r="AH472" s="3264"/>
      <c r="AI472" s="3264"/>
      <c r="AJ472" s="3264"/>
      <c r="AK472" s="3264"/>
      <c r="AL472" s="3264"/>
      <c r="AM472" s="3264"/>
      <c r="AN472" s="3264"/>
      <c r="AO472" s="3264"/>
      <c r="AP472" s="3264"/>
      <c r="AQ472" s="3264"/>
      <c r="AR472" s="3264"/>
      <c r="AS472" s="3264"/>
    </row>
    <row r="473" spans="1:48" ht="12.95" customHeight="1" x14ac:dyDescent="0.15">
      <c r="C473" s="3264"/>
      <c r="D473" s="3264"/>
      <c r="E473" s="3264"/>
      <c r="F473" s="3264"/>
      <c r="G473" s="3264"/>
      <c r="H473" s="3264"/>
      <c r="I473" s="3264"/>
      <c r="J473" s="3264"/>
      <c r="K473" s="3264"/>
      <c r="L473" s="3264"/>
      <c r="M473" s="3264"/>
      <c r="N473" s="3264"/>
      <c r="O473" s="3264"/>
      <c r="P473" s="3264"/>
      <c r="Q473" s="3264"/>
      <c r="R473" s="3264"/>
      <c r="S473" s="3264"/>
      <c r="T473" s="3264"/>
      <c r="U473" s="3264"/>
      <c r="V473" s="3264"/>
      <c r="W473" s="3264"/>
      <c r="X473" s="3264"/>
      <c r="Y473" s="3264"/>
      <c r="Z473" s="3264"/>
      <c r="AA473" s="3264"/>
      <c r="AB473" s="3264"/>
      <c r="AC473" s="3264"/>
      <c r="AD473" s="3264"/>
      <c r="AE473" s="3264"/>
      <c r="AF473" s="3264"/>
      <c r="AG473" s="3264"/>
      <c r="AH473" s="3264"/>
      <c r="AI473" s="3264"/>
      <c r="AJ473" s="3264"/>
      <c r="AK473" s="3264"/>
      <c r="AL473" s="3264"/>
      <c r="AM473" s="3264"/>
      <c r="AN473" s="3264"/>
      <c r="AO473" s="3264"/>
      <c r="AP473" s="3264"/>
      <c r="AQ473" s="3264"/>
      <c r="AR473" s="3264"/>
      <c r="AS473" s="3264"/>
    </row>
    <row r="474" spans="1:48" ht="12.95" customHeight="1" x14ac:dyDescent="0.15">
      <c r="C474" s="3264"/>
      <c r="D474" s="3264"/>
      <c r="E474" s="3264"/>
      <c r="F474" s="3264"/>
      <c r="G474" s="3264"/>
      <c r="H474" s="3264"/>
      <c r="I474" s="3264"/>
      <c r="J474" s="3264"/>
      <c r="K474" s="3264"/>
      <c r="L474" s="3264"/>
      <c r="M474" s="3264"/>
      <c r="N474" s="3264"/>
      <c r="O474" s="3264"/>
      <c r="P474" s="3264"/>
      <c r="Q474" s="3264"/>
      <c r="R474" s="3264"/>
      <c r="S474" s="3264"/>
      <c r="T474" s="3264"/>
      <c r="U474" s="3264"/>
      <c r="V474" s="3264"/>
      <c r="W474" s="3264"/>
      <c r="X474" s="3264"/>
      <c r="Y474" s="3264"/>
      <c r="Z474" s="3264"/>
      <c r="AA474" s="3264"/>
      <c r="AB474" s="3264"/>
      <c r="AC474" s="3264"/>
      <c r="AD474" s="3264"/>
      <c r="AE474" s="3264"/>
      <c r="AF474" s="3264"/>
      <c r="AG474" s="3264"/>
      <c r="AH474" s="3264"/>
      <c r="AI474" s="3264"/>
      <c r="AJ474" s="3264"/>
      <c r="AK474" s="3264"/>
      <c r="AL474" s="3264"/>
      <c r="AM474" s="3264"/>
      <c r="AN474" s="3264"/>
      <c r="AO474" s="3264"/>
      <c r="AP474" s="3264"/>
      <c r="AQ474" s="3264"/>
      <c r="AR474" s="3264"/>
      <c r="AS474" s="3264"/>
    </row>
    <row r="475" spans="1:48" ht="12.95" customHeight="1" x14ac:dyDescent="0.15"/>
    <row r="476" spans="1:48" ht="4.5" customHeight="1" x14ac:dyDescent="0.15"/>
    <row r="477" spans="1:48" ht="4.5" customHeight="1" x14ac:dyDescent="0.15"/>
    <row r="478" spans="1:48" ht="12" hidden="1" customHeight="1" x14ac:dyDescent="0.15">
      <c r="A478" s="1906"/>
      <c r="B478" s="1906"/>
      <c r="C478" s="1906"/>
      <c r="D478" s="1906"/>
      <c r="E478" s="1906"/>
      <c r="F478" s="1906"/>
      <c r="G478" s="1906"/>
      <c r="H478" s="1906"/>
      <c r="I478" s="1906"/>
      <c r="J478" s="1906"/>
      <c r="K478" s="1906"/>
      <c r="L478" s="1906"/>
      <c r="M478" s="1906"/>
      <c r="N478" s="1906"/>
      <c r="O478" s="1906"/>
      <c r="P478" s="1906"/>
      <c r="Q478" s="1906"/>
      <c r="R478" s="1906"/>
      <c r="S478" s="1906"/>
      <c r="T478" s="1906"/>
      <c r="U478" s="1906"/>
      <c r="V478" s="1906"/>
      <c r="W478" s="1906"/>
      <c r="X478" s="1906"/>
      <c r="Y478" s="1906"/>
      <c r="Z478" s="1906"/>
      <c r="AA478" s="1906"/>
      <c r="AB478" s="1906"/>
      <c r="AC478" s="1906"/>
      <c r="AD478" s="1906"/>
      <c r="AE478" s="1906"/>
      <c r="AF478" s="1906"/>
      <c r="AG478" s="1906"/>
      <c r="AH478" s="1906"/>
      <c r="AI478" s="1906"/>
      <c r="AJ478" s="1906"/>
      <c r="AK478" s="1906"/>
      <c r="AL478" s="1906"/>
      <c r="AM478" s="1906"/>
      <c r="AN478" s="1906"/>
      <c r="AO478" s="1906"/>
      <c r="AP478" s="1906"/>
      <c r="AQ478" s="1906"/>
      <c r="AR478" s="1906"/>
      <c r="AS478" s="1906"/>
      <c r="AT478" s="1906"/>
      <c r="AU478" s="1906"/>
      <c r="AV478" s="1906"/>
    </row>
    <row r="479" spans="1:48" ht="12" hidden="1" customHeight="1" x14ac:dyDescent="0.15">
      <c r="A479" s="1906"/>
      <c r="B479" s="1906"/>
      <c r="C479" s="1906"/>
      <c r="D479" s="1906"/>
      <c r="E479" s="1906"/>
      <c r="F479" s="1906"/>
      <c r="G479" s="1906"/>
      <c r="H479" s="1906"/>
      <c r="I479" s="1906"/>
      <c r="J479" s="1906"/>
      <c r="K479" s="1906"/>
      <c r="L479" s="1906"/>
      <c r="M479" s="1906"/>
      <c r="N479" s="1906"/>
      <c r="O479" s="1906"/>
      <c r="P479" s="1906"/>
      <c r="Q479" s="1906"/>
      <c r="R479" s="1906"/>
      <c r="S479" s="1906"/>
      <c r="T479" s="1906"/>
      <c r="U479" s="1906"/>
      <c r="V479" s="1906"/>
      <c r="W479" s="1906"/>
      <c r="X479" s="1906"/>
      <c r="Y479" s="1906"/>
      <c r="Z479" s="1906"/>
      <c r="AA479" s="1906"/>
      <c r="AB479" s="1906"/>
      <c r="AC479" s="1906"/>
      <c r="AD479" s="1906"/>
      <c r="AE479" s="1906"/>
      <c r="AF479" s="1906"/>
      <c r="AG479" s="1906"/>
      <c r="AH479" s="1906"/>
      <c r="AI479" s="1906"/>
      <c r="AJ479" s="1906"/>
      <c r="AK479" s="1906"/>
      <c r="AL479" s="1906"/>
      <c r="AM479" s="1906"/>
      <c r="AN479" s="1906"/>
      <c r="AO479" s="1906"/>
      <c r="AP479" s="1906"/>
      <c r="AQ479" s="1906"/>
      <c r="AR479" s="1906"/>
      <c r="AS479" s="1906"/>
      <c r="AT479" s="1906"/>
      <c r="AU479" s="1906"/>
      <c r="AV479" s="1906"/>
    </row>
    <row r="480" spans="1:48" ht="12" hidden="1" customHeight="1" x14ac:dyDescent="0.15">
      <c r="A480" s="1906"/>
      <c r="B480" s="1906"/>
      <c r="C480" s="1906"/>
      <c r="D480" s="1906"/>
      <c r="E480" s="1906"/>
      <c r="F480" s="1906"/>
      <c r="G480" s="1906"/>
      <c r="H480" s="1906"/>
      <c r="I480" s="1906"/>
      <c r="J480" s="1906"/>
      <c r="K480" s="1906"/>
      <c r="L480" s="1906"/>
      <c r="M480" s="1906"/>
      <c r="N480" s="1906"/>
      <c r="O480" s="1906"/>
      <c r="P480" s="1906"/>
      <c r="Q480" s="1906"/>
      <c r="R480" s="1906"/>
      <c r="S480" s="1906"/>
      <c r="T480" s="1906"/>
      <c r="U480" s="1906"/>
      <c r="V480" s="1906"/>
      <c r="W480" s="1906"/>
      <c r="X480" s="1906"/>
      <c r="Y480" s="1906"/>
      <c r="Z480" s="1906"/>
      <c r="AA480" s="1906"/>
      <c r="AB480" s="1906"/>
      <c r="AC480" s="1906"/>
      <c r="AD480" s="1906"/>
      <c r="AE480" s="1906"/>
      <c r="AF480" s="1906"/>
      <c r="AG480" s="1906"/>
      <c r="AH480" s="1906"/>
      <c r="AI480" s="1906"/>
      <c r="AJ480" s="1906"/>
      <c r="AK480" s="1906"/>
      <c r="AL480" s="1906"/>
      <c r="AM480" s="1906"/>
      <c r="AN480" s="1906"/>
      <c r="AO480" s="1906"/>
      <c r="AP480" s="1906"/>
      <c r="AQ480" s="1906"/>
      <c r="AR480" s="1906"/>
      <c r="AS480" s="1906"/>
      <c r="AT480" s="1906"/>
      <c r="AU480" s="1906"/>
      <c r="AV480" s="1906"/>
    </row>
    <row r="481" spans="1:55" ht="12" customHeight="1" x14ac:dyDescent="0.15">
      <c r="A481" s="1906"/>
      <c r="B481" s="1906"/>
      <c r="C481" s="1906"/>
      <c r="D481" s="1906"/>
      <c r="E481" s="1906"/>
      <c r="F481" s="1906"/>
      <c r="G481" s="1906"/>
      <c r="H481" s="1906"/>
      <c r="I481" s="1906"/>
      <c r="J481" s="1906"/>
      <c r="K481" s="1906"/>
      <c r="L481" s="1906"/>
      <c r="M481" s="1906"/>
      <c r="N481" s="1906"/>
      <c r="O481" s="1906"/>
      <c r="P481" s="1906"/>
      <c r="Q481" s="1906"/>
      <c r="R481" s="1906"/>
      <c r="S481" s="1906"/>
      <c r="T481" s="1906"/>
      <c r="U481" s="1906"/>
      <c r="V481" s="1906"/>
      <c r="W481" s="1906"/>
      <c r="X481" s="1906"/>
      <c r="Y481" s="1906"/>
      <c r="Z481" s="1906"/>
      <c r="AA481" s="1906"/>
      <c r="AB481" s="1906"/>
      <c r="AC481" s="1906"/>
      <c r="AD481" s="1906"/>
      <c r="AE481" s="1906"/>
      <c r="AF481" s="1906"/>
      <c r="AG481" s="1906"/>
      <c r="AH481" s="1906"/>
      <c r="AI481" s="1906"/>
      <c r="AJ481" s="1906"/>
      <c r="AK481" s="1906"/>
      <c r="AL481" s="1906"/>
      <c r="AM481" s="1906"/>
      <c r="AN481" s="1906"/>
      <c r="AO481" s="1906"/>
      <c r="AP481" s="1906"/>
      <c r="AQ481" s="1906"/>
      <c r="AR481" s="1906"/>
      <c r="AS481" s="1906"/>
      <c r="AT481" s="1906"/>
      <c r="AU481" s="1906"/>
      <c r="AV481" s="1906"/>
    </row>
    <row r="482" spans="1:55" ht="12" customHeight="1" x14ac:dyDescent="0.15">
      <c r="A482" s="1906"/>
      <c r="B482" s="1906"/>
      <c r="C482" s="1906"/>
      <c r="D482" s="1906"/>
      <c r="E482" s="1906"/>
      <c r="F482" s="1906"/>
      <c r="G482" s="1906"/>
      <c r="H482" s="1906"/>
      <c r="I482" s="1906"/>
      <c r="J482" s="1906"/>
      <c r="K482" s="1906"/>
      <c r="L482" s="1906"/>
      <c r="M482" s="1906"/>
      <c r="N482" s="1906"/>
      <c r="O482" s="1906"/>
      <c r="P482" s="1906"/>
      <c r="Q482" s="1906"/>
      <c r="R482" s="1906"/>
      <c r="S482" s="1906"/>
      <c r="T482" s="1906"/>
      <c r="U482" s="1906"/>
      <c r="V482" s="1906"/>
      <c r="W482" s="1906"/>
      <c r="X482" s="1906"/>
      <c r="Y482" s="1906"/>
      <c r="Z482" s="1906"/>
      <c r="AA482" s="1906"/>
      <c r="AB482" s="1906"/>
      <c r="AC482" s="1906"/>
      <c r="AD482" s="1906"/>
      <c r="AE482" s="1906"/>
      <c r="AF482" s="1906"/>
      <c r="AG482" s="1906"/>
      <c r="AH482" s="1906"/>
      <c r="AI482" s="1906"/>
      <c r="AJ482" s="1906"/>
      <c r="AK482" s="1906"/>
      <c r="AL482" s="1906"/>
      <c r="AM482" s="1906"/>
      <c r="AN482" s="1906"/>
      <c r="AO482" s="1906"/>
      <c r="AP482" s="1906"/>
      <c r="AQ482" s="1906"/>
      <c r="AR482" s="1906"/>
      <c r="AS482" s="1906"/>
      <c r="AT482" s="1906"/>
      <c r="AU482" s="1906"/>
      <c r="AV482" s="1906"/>
    </row>
    <row r="483" spans="1:55" ht="12" customHeight="1" x14ac:dyDescent="0.15">
      <c r="A483" s="1906"/>
      <c r="B483" s="1906"/>
      <c r="C483" s="1906"/>
      <c r="D483" s="1906"/>
      <c r="E483" s="1906"/>
      <c r="F483" s="1906"/>
      <c r="G483" s="1906"/>
      <c r="H483" s="1906"/>
      <c r="I483" s="1906"/>
      <c r="J483" s="1906"/>
      <c r="K483" s="1906"/>
      <c r="L483" s="1906"/>
      <c r="M483" s="1906"/>
      <c r="N483" s="1906"/>
      <c r="O483" s="1906"/>
      <c r="P483" s="1906"/>
      <c r="Q483" s="1906"/>
      <c r="R483" s="1906"/>
      <c r="S483" s="1906"/>
      <c r="T483" s="1906"/>
      <c r="U483" s="1906"/>
      <c r="V483" s="1906"/>
      <c r="W483" s="1906"/>
      <c r="X483" s="1906"/>
      <c r="Y483" s="1906"/>
      <c r="Z483" s="1906"/>
      <c r="AA483" s="1906"/>
      <c r="AB483" s="1906"/>
      <c r="AC483" s="1906"/>
      <c r="AD483" s="1906"/>
      <c r="AE483" s="1906"/>
      <c r="AF483" s="1906"/>
      <c r="AG483" s="1906"/>
      <c r="AH483" s="1906"/>
      <c r="AI483" s="1906"/>
      <c r="AJ483" s="1906"/>
      <c r="AK483" s="1906"/>
      <c r="AL483" s="1906"/>
      <c r="AM483" s="1906"/>
      <c r="AN483" s="1906"/>
      <c r="AO483" s="1906"/>
      <c r="AP483" s="1906"/>
      <c r="AQ483" s="1906"/>
      <c r="AR483" s="1906"/>
      <c r="AS483" s="1906"/>
      <c r="AT483" s="1906"/>
      <c r="AU483" s="1906"/>
      <c r="AV483" s="1906"/>
    </row>
    <row r="484" spans="1:55" ht="12" customHeight="1" x14ac:dyDescent="0.15">
      <c r="A484" s="1906"/>
      <c r="B484" s="1906"/>
      <c r="C484" s="1906"/>
      <c r="D484" s="1906"/>
      <c r="E484" s="1906"/>
      <c r="F484" s="1906"/>
      <c r="G484" s="1906"/>
      <c r="H484" s="1906"/>
      <c r="I484" s="1906"/>
      <c r="J484" s="1906"/>
      <c r="K484" s="1906"/>
      <c r="L484" s="1906"/>
      <c r="M484" s="1906"/>
      <c r="N484" s="1906"/>
      <c r="O484" s="1906"/>
      <c r="P484" s="1906"/>
      <c r="Q484" s="1906"/>
      <c r="R484" s="1906"/>
      <c r="S484" s="1906"/>
      <c r="T484" s="1906"/>
      <c r="U484" s="1906"/>
      <c r="V484" s="1906"/>
      <c r="W484" s="1906"/>
      <c r="X484" s="1906"/>
      <c r="Y484" s="1906"/>
      <c r="Z484" s="1906"/>
      <c r="AA484" s="1906"/>
      <c r="AB484" s="1906"/>
      <c r="AC484" s="1906"/>
      <c r="AD484" s="1906"/>
      <c r="AE484" s="1906"/>
      <c r="AF484" s="1906"/>
      <c r="AG484" s="1906"/>
      <c r="AH484" s="1906"/>
      <c r="AI484" s="1906"/>
      <c r="AJ484" s="1906"/>
      <c r="AK484" s="1906"/>
      <c r="AL484" s="1906"/>
      <c r="AM484" s="1906"/>
      <c r="AN484" s="1906"/>
      <c r="AO484" s="1906"/>
      <c r="AP484" s="1906"/>
      <c r="AQ484" s="1906"/>
      <c r="AR484" s="1906"/>
      <c r="AS484" s="1906"/>
      <c r="AT484" s="1906"/>
      <c r="AU484" s="1906"/>
      <c r="AV484" s="1906"/>
    </row>
    <row r="485" spans="1:55" ht="12" customHeight="1" x14ac:dyDescent="0.15">
      <c r="A485" s="1906"/>
      <c r="B485" s="1906"/>
      <c r="C485" s="1906"/>
      <c r="D485" s="1906"/>
      <c r="E485" s="1906"/>
      <c r="F485" s="1906"/>
      <c r="G485" s="1906"/>
      <c r="H485" s="1906"/>
      <c r="I485" s="1906"/>
      <c r="J485" s="1906"/>
      <c r="K485" s="1906"/>
      <c r="L485" s="1906"/>
      <c r="M485" s="1906"/>
      <c r="N485" s="1906"/>
      <c r="O485" s="1906"/>
      <c r="P485" s="1906"/>
      <c r="Q485" s="1906"/>
      <c r="R485" s="1906"/>
      <c r="S485" s="1906"/>
      <c r="T485" s="1906"/>
      <c r="U485" s="1906"/>
      <c r="V485" s="1906"/>
      <c r="W485" s="1906"/>
      <c r="X485" s="1906"/>
      <c r="Y485" s="1906"/>
      <c r="Z485" s="1906"/>
      <c r="AA485" s="1906"/>
      <c r="AB485" s="1906"/>
      <c r="AC485" s="1906"/>
      <c r="AD485" s="1906"/>
      <c r="AE485" s="1906"/>
      <c r="AF485" s="1906"/>
      <c r="AG485" s="1906"/>
      <c r="AH485" s="1906"/>
      <c r="AI485" s="1906"/>
      <c r="AJ485" s="1906"/>
      <c r="AK485" s="1906"/>
      <c r="AL485" s="1906"/>
      <c r="AM485" s="1906"/>
      <c r="AN485" s="1906"/>
      <c r="AO485" s="1906"/>
      <c r="AP485" s="1906"/>
      <c r="AQ485" s="1906"/>
      <c r="AR485" s="1906"/>
      <c r="AS485" s="1906"/>
      <c r="AT485" s="1906"/>
      <c r="AU485" s="1906"/>
      <c r="AV485" s="1906"/>
    </row>
    <row r="486" spans="1:55" ht="12" customHeight="1" x14ac:dyDescent="0.15">
      <c r="A486" s="1906"/>
      <c r="B486" s="1906"/>
      <c r="C486" s="1906"/>
      <c r="D486" s="1906"/>
      <c r="E486" s="1906"/>
      <c r="F486" s="1906"/>
      <c r="G486" s="1906"/>
      <c r="H486" s="1906"/>
      <c r="I486" s="1906"/>
      <c r="J486" s="1906"/>
      <c r="K486" s="1906"/>
      <c r="L486" s="1906"/>
      <c r="M486" s="1906"/>
      <c r="N486" s="1906"/>
      <c r="O486" s="1906"/>
      <c r="P486" s="1906"/>
      <c r="Q486" s="1906"/>
      <c r="R486" s="1906"/>
      <c r="S486" s="1906"/>
      <c r="T486" s="1906"/>
      <c r="U486" s="1906"/>
      <c r="V486" s="1906"/>
      <c r="W486" s="1906"/>
      <c r="X486" s="1906"/>
      <c r="Y486" s="1906"/>
      <c r="Z486" s="1906"/>
      <c r="AA486" s="1906"/>
      <c r="AB486" s="1906"/>
      <c r="AC486" s="1906"/>
      <c r="AD486" s="1906"/>
      <c r="AE486" s="1906"/>
      <c r="AF486" s="1906"/>
      <c r="AG486" s="1906"/>
      <c r="AH486" s="1906"/>
      <c r="AI486" s="1906"/>
      <c r="AJ486" s="1906"/>
      <c r="AK486" s="1906"/>
      <c r="AL486" s="1906"/>
      <c r="AM486" s="1906"/>
      <c r="AN486" s="1906"/>
      <c r="AO486" s="1906"/>
      <c r="AP486" s="1906"/>
      <c r="AQ486" s="1906"/>
      <c r="AR486" s="1906"/>
      <c r="AS486" s="1906"/>
      <c r="AT486" s="1906"/>
      <c r="AU486" s="1906"/>
      <c r="AV486" s="1906"/>
    </row>
    <row r="487" spans="1:55" ht="12" customHeight="1" x14ac:dyDescent="0.15">
      <c r="A487" s="1906"/>
      <c r="B487" s="1906"/>
      <c r="C487" s="1906"/>
      <c r="D487" s="1906"/>
      <c r="E487" s="1906"/>
      <c r="F487" s="1906"/>
      <c r="G487" s="1906"/>
      <c r="H487" s="1906"/>
      <c r="I487" s="1906"/>
      <c r="J487" s="1906"/>
      <c r="K487" s="1906"/>
      <c r="L487" s="1906"/>
      <c r="M487" s="1906"/>
      <c r="N487" s="1906"/>
      <c r="O487" s="1906"/>
      <c r="P487" s="1906"/>
      <c r="Q487" s="1906"/>
      <c r="R487" s="1906"/>
      <c r="S487" s="1906"/>
      <c r="T487" s="1906"/>
      <c r="U487" s="1906"/>
      <c r="V487" s="1906"/>
      <c r="W487" s="1906"/>
      <c r="X487" s="1906"/>
      <c r="Y487" s="1906"/>
      <c r="Z487" s="1906"/>
      <c r="AA487" s="1906"/>
      <c r="AB487" s="1906"/>
      <c r="AC487" s="1906"/>
      <c r="AD487" s="1906"/>
      <c r="AE487" s="1906"/>
      <c r="AF487" s="1906"/>
      <c r="AG487" s="1906"/>
      <c r="AH487" s="1906"/>
      <c r="AI487" s="1906"/>
      <c r="AJ487" s="1906"/>
      <c r="AK487" s="1906"/>
      <c r="AL487" s="1906"/>
      <c r="AM487" s="1906"/>
      <c r="AN487" s="1906"/>
      <c r="AO487" s="1906"/>
      <c r="AP487" s="1906"/>
      <c r="AQ487" s="1906"/>
      <c r="AR487" s="1906"/>
      <c r="AS487" s="1906"/>
      <c r="AT487" s="1906"/>
      <c r="AU487" s="1906"/>
      <c r="AV487" s="1906"/>
    </row>
    <row r="488" spans="1:55" ht="12.95" customHeight="1" x14ac:dyDescent="0.15">
      <c r="B488" s="3172" t="s">
        <v>3365</v>
      </c>
      <c r="C488" s="3172"/>
      <c r="D488" s="3172"/>
      <c r="E488" s="3172"/>
      <c r="F488" s="3172"/>
      <c r="G488" s="3172"/>
      <c r="H488" s="3172"/>
      <c r="I488" s="3172"/>
      <c r="J488" s="3172"/>
      <c r="K488" s="3172"/>
      <c r="L488" s="3172"/>
      <c r="M488" s="3172"/>
      <c r="N488" s="3172"/>
      <c r="O488" s="3172"/>
      <c r="P488" s="3172"/>
      <c r="Q488" s="3172"/>
      <c r="R488" s="3172"/>
      <c r="S488" s="3172"/>
      <c r="T488" s="3172"/>
      <c r="U488" s="3172"/>
      <c r="V488" s="3172"/>
      <c r="W488" s="3172"/>
      <c r="X488" s="3172"/>
      <c r="Y488" s="3172"/>
      <c r="Z488" s="3172"/>
      <c r="AA488" s="3172"/>
      <c r="AB488" s="3172"/>
      <c r="AC488" s="3172"/>
      <c r="AD488" s="3172"/>
      <c r="AE488" s="3172"/>
      <c r="AF488" s="3172"/>
      <c r="AG488" s="3172"/>
      <c r="AH488" s="3172"/>
      <c r="AI488" s="3172"/>
      <c r="AJ488" s="3172"/>
      <c r="AK488" s="3172"/>
      <c r="AL488" s="3172"/>
      <c r="AM488" s="3172"/>
      <c r="AN488" s="3172"/>
      <c r="AO488" s="3172"/>
      <c r="AP488" s="3172"/>
      <c r="AQ488" s="3172"/>
      <c r="AR488" s="3172"/>
      <c r="AS488" s="3172"/>
      <c r="AT488" s="3172"/>
      <c r="AU488" s="1882"/>
    </row>
    <row r="489" spans="1:55" ht="6" customHeight="1" x14ac:dyDescent="0.15"/>
    <row r="490" spans="1:55" s="1883" customFormat="1" ht="14.25" customHeight="1" x14ac:dyDescent="0.15">
      <c r="B490" s="1883" t="s">
        <v>1114</v>
      </c>
      <c r="AG490" s="1884"/>
      <c r="AH490" s="1884"/>
    </row>
    <row r="491" spans="1:55" s="1883" customFormat="1" ht="6" customHeight="1" x14ac:dyDescent="0.15">
      <c r="AG491" s="1884"/>
      <c r="AH491" s="1884"/>
    </row>
    <row r="492" spans="1:55" s="1883" customFormat="1" ht="6" customHeight="1" x14ac:dyDescent="0.15">
      <c r="A492" s="1884"/>
      <c r="B492" s="1885"/>
      <c r="C492" s="1884"/>
      <c r="D492" s="1884"/>
      <c r="E492" s="1884"/>
      <c r="F492" s="1884"/>
      <c r="G492" s="1884"/>
      <c r="H492" s="1884"/>
      <c r="I492" s="1884"/>
      <c r="J492" s="1884"/>
      <c r="K492" s="1884"/>
      <c r="L492" s="1884"/>
      <c r="M492" s="1884"/>
      <c r="N492" s="1884"/>
      <c r="O492" s="1884"/>
      <c r="P492" s="1884"/>
      <c r="Q492" s="1884"/>
      <c r="R492" s="1884"/>
      <c r="S492" s="1884"/>
      <c r="T492" s="1884"/>
      <c r="U492" s="1884"/>
      <c r="V492" s="1884"/>
      <c r="W492" s="1884"/>
      <c r="X492" s="1884"/>
      <c r="Y492" s="1884"/>
      <c r="Z492" s="1884"/>
      <c r="AA492" s="1884"/>
      <c r="AB492" s="1884"/>
      <c r="AC492" s="1884"/>
      <c r="AD492" s="1884"/>
      <c r="AE492" s="1884"/>
      <c r="AF492" s="1884"/>
      <c r="AG492" s="1884"/>
      <c r="AH492" s="1884"/>
      <c r="AI492" s="1884"/>
      <c r="AJ492" s="1884"/>
      <c r="AK492" s="1884"/>
      <c r="AL492" s="1884"/>
      <c r="AM492" s="1884"/>
      <c r="AN492" s="1884"/>
      <c r="AO492" s="1884"/>
      <c r="AP492" s="1884"/>
      <c r="AQ492" s="1884"/>
      <c r="AR492" s="1884"/>
      <c r="AS492" s="1884"/>
      <c r="AT492" s="1884"/>
      <c r="AU492" s="1884"/>
      <c r="AV492" s="1884"/>
    </row>
    <row r="493" spans="1:55" s="1883" customFormat="1" ht="12.95" hidden="1" customHeight="1" x14ac:dyDescent="0.15">
      <c r="A493" s="1884"/>
      <c r="C493" s="971" t="s">
        <v>851</v>
      </c>
      <c r="D493" s="972"/>
      <c r="E493" s="972"/>
      <c r="F493" s="972"/>
      <c r="G493" s="972"/>
      <c r="H493" s="972"/>
      <c r="I493" s="1886"/>
      <c r="J493" s="974" t="s">
        <v>852</v>
      </c>
      <c r="K493" s="975"/>
      <c r="L493" s="975"/>
      <c r="M493" s="975"/>
      <c r="N493" s="975"/>
      <c r="O493" s="975"/>
      <c r="P493" s="975"/>
      <c r="Q493" s="975"/>
      <c r="R493" s="1887"/>
      <c r="S493" s="1887"/>
      <c r="T493" s="1887"/>
      <c r="U493" s="977" t="str">
        <f>IF('1_入力シート【基本情報】'!DP316="レ","レ",IF('1_入力シート【基本情報】'!DO316="レ","レ",""))</f>
        <v/>
      </c>
      <c r="V493" s="975" t="s">
        <v>853</v>
      </c>
      <c r="W493" s="975"/>
      <c r="X493" s="975"/>
      <c r="Y493" s="975"/>
      <c r="Z493" s="975"/>
      <c r="AA493" s="975"/>
      <c r="AB493" s="1887"/>
      <c r="AC493" s="975" t="s">
        <v>432</v>
      </c>
      <c r="AD493" s="977" t="str">
        <f>'1_入力シート【基本情報】'!DP316</f>
        <v/>
      </c>
      <c r="AE493" s="975" t="s">
        <v>854</v>
      </c>
      <c r="AF493" s="975"/>
      <c r="AG493" s="975"/>
      <c r="AH493" s="975"/>
      <c r="AI493" s="975"/>
      <c r="AJ493" s="1887"/>
      <c r="AK493" s="975"/>
      <c r="AL493" s="975"/>
      <c r="AM493" s="975"/>
      <c r="AN493" s="975"/>
      <c r="AO493" s="975"/>
      <c r="AP493" s="975"/>
      <c r="AQ493" s="975"/>
      <c r="AR493" s="975"/>
      <c r="AS493" s="978"/>
      <c r="AT493" s="1888"/>
      <c r="AU493" s="1888"/>
      <c r="AV493" s="1888"/>
      <c r="AW493" s="1884"/>
      <c r="AX493" s="1884"/>
    </row>
    <row r="494" spans="1:55" s="1883" customFormat="1" ht="12.95" hidden="1" customHeight="1" x14ac:dyDescent="0.15">
      <c r="A494" s="1884"/>
      <c r="C494" s="980" t="s">
        <v>855</v>
      </c>
      <c r="D494" s="981"/>
      <c r="E494" s="981"/>
      <c r="F494" s="981"/>
      <c r="G494" s="981"/>
      <c r="H494" s="981"/>
      <c r="I494" s="1889"/>
      <c r="J494" s="983"/>
      <c r="K494" s="964"/>
      <c r="L494" s="964"/>
      <c r="M494" s="964"/>
      <c r="N494" s="964"/>
      <c r="O494" s="964"/>
      <c r="P494" s="964"/>
      <c r="Q494" s="964"/>
      <c r="R494" s="964"/>
      <c r="S494" s="964"/>
      <c r="T494" s="964"/>
      <c r="U494" s="984" t="str">
        <f>IF(OR('1_入力シート【基本情報】'!DN316="レ",'1_入力シート【基本情報】'!DM316="レ"),"レ","")</f>
        <v/>
      </c>
      <c r="V494" s="964" t="s">
        <v>864</v>
      </c>
      <c r="W494" s="964"/>
      <c r="X494" s="964"/>
      <c r="Y494" s="964"/>
      <c r="Z494" s="964"/>
      <c r="AA494" s="964"/>
      <c r="AB494" s="964"/>
      <c r="AC494" s="964"/>
      <c r="AD494" s="964"/>
      <c r="AE494" s="964"/>
      <c r="AF494" s="964"/>
      <c r="AG494" s="964"/>
      <c r="AH494" s="964"/>
      <c r="AI494" s="964"/>
      <c r="AJ494" s="964"/>
      <c r="AK494" s="964"/>
      <c r="AL494" s="964"/>
      <c r="AM494" s="964"/>
      <c r="AN494" s="964"/>
      <c r="AO494" s="964"/>
      <c r="AP494" s="964"/>
      <c r="AQ494" s="964"/>
      <c r="AR494" s="964"/>
      <c r="AS494" s="985"/>
      <c r="AT494" s="1888"/>
      <c r="AU494" s="1888"/>
      <c r="AV494" s="1888"/>
      <c r="AW494" s="1890"/>
      <c r="AX494" s="1884"/>
      <c r="BC494" s="1891"/>
    </row>
    <row r="495" spans="1:55" s="1883" customFormat="1" ht="12.95" customHeight="1" x14ac:dyDescent="0.15">
      <c r="A495" s="1884"/>
      <c r="C495" s="3202" t="s">
        <v>855</v>
      </c>
      <c r="D495" s="3203"/>
      <c r="E495" s="3203"/>
      <c r="F495" s="3203"/>
      <c r="G495" s="3203"/>
      <c r="H495" s="3203"/>
      <c r="I495" s="3204"/>
      <c r="J495" s="3202" t="s">
        <v>856</v>
      </c>
      <c r="K495" s="3203"/>
      <c r="L495" s="3203"/>
      <c r="M495" s="3203"/>
      <c r="N495" s="3203"/>
      <c r="O495" s="3204"/>
      <c r="P495" s="3185" t="str">
        <f>'1_入力シート【基本情報】'!$DY$316</f>
        <v/>
      </c>
      <c r="Q495" s="3186"/>
      <c r="R495" s="3186"/>
      <c r="S495" s="3186"/>
      <c r="T495" s="3186"/>
      <c r="U495" s="3186"/>
      <c r="V495" s="3186"/>
      <c r="W495" s="3186"/>
      <c r="X495" s="3186"/>
      <c r="Y495" s="3186"/>
      <c r="Z495" s="3186"/>
      <c r="AA495" s="3186"/>
      <c r="AB495" s="3186"/>
      <c r="AC495" s="3186"/>
      <c r="AD495" s="3186"/>
      <c r="AE495" s="3186"/>
      <c r="AF495" s="3186"/>
      <c r="AG495" s="3186"/>
      <c r="AH495" s="3186"/>
      <c r="AI495" s="3186"/>
      <c r="AJ495" s="3186"/>
      <c r="AK495" s="3186"/>
      <c r="AL495" s="3186"/>
      <c r="AM495" s="3186"/>
      <c r="AN495" s="3186"/>
      <c r="AO495" s="3186"/>
      <c r="AP495" s="3186"/>
      <c r="AQ495" s="3186"/>
      <c r="AR495" s="3186"/>
      <c r="AS495" s="3187"/>
      <c r="AT495" s="1888"/>
      <c r="AU495" s="1888"/>
      <c r="AV495" s="1888"/>
      <c r="AW495" s="1890"/>
      <c r="AX495" s="1884"/>
      <c r="BC495" s="1891"/>
    </row>
    <row r="496" spans="1:55" s="1883" customFormat="1" ht="12.95" customHeight="1" x14ac:dyDescent="0.15">
      <c r="A496" s="1884"/>
      <c r="C496" s="983"/>
      <c r="D496" s="964"/>
      <c r="E496" s="964"/>
      <c r="F496" s="964"/>
      <c r="G496" s="964"/>
      <c r="H496" s="964"/>
      <c r="I496" s="1889"/>
      <c r="J496" s="988"/>
      <c r="K496" s="1018"/>
      <c r="L496" s="1018"/>
      <c r="M496" s="1018"/>
      <c r="N496" s="1018"/>
      <c r="O496" s="1019"/>
      <c r="P496" s="3188"/>
      <c r="Q496" s="3189"/>
      <c r="R496" s="3189"/>
      <c r="S496" s="3189"/>
      <c r="T496" s="3189"/>
      <c r="U496" s="3189"/>
      <c r="V496" s="3189"/>
      <c r="W496" s="3189"/>
      <c r="X496" s="3189"/>
      <c r="Y496" s="3189"/>
      <c r="Z496" s="3189"/>
      <c r="AA496" s="3189"/>
      <c r="AB496" s="3189"/>
      <c r="AC496" s="3189"/>
      <c r="AD496" s="3189"/>
      <c r="AE496" s="3189"/>
      <c r="AF496" s="3189"/>
      <c r="AG496" s="3189"/>
      <c r="AH496" s="3189"/>
      <c r="AI496" s="3189"/>
      <c r="AJ496" s="3189"/>
      <c r="AK496" s="3189"/>
      <c r="AL496" s="3189"/>
      <c r="AM496" s="3189"/>
      <c r="AN496" s="3189"/>
      <c r="AO496" s="3189"/>
      <c r="AP496" s="3189"/>
      <c r="AQ496" s="3189"/>
      <c r="AR496" s="3189"/>
      <c r="AS496" s="3190"/>
      <c r="AT496" s="1888"/>
      <c r="AU496" s="1888"/>
      <c r="AV496" s="1888"/>
      <c r="AW496" s="1890"/>
      <c r="AX496" s="1884"/>
      <c r="BC496" s="1891"/>
    </row>
    <row r="497" spans="1:55" s="1883" customFormat="1" ht="12.95" customHeight="1" x14ac:dyDescent="0.15">
      <c r="A497" s="1884"/>
      <c r="C497" s="983"/>
      <c r="D497" s="964"/>
      <c r="E497" s="964"/>
      <c r="F497" s="964"/>
      <c r="G497" s="964"/>
      <c r="H497" s="964"/>
      <c r="I497" s="1889"/>
      <c r="J497" s="988"/>
      <c r="K497" s="1018"/>
      <c r="L497" s="1018"/>
      <c r="M497" s="1018"/>
      <c r="N497" s="1018"/>
      <c r="O497" s="1019"/>
      <c r="P497" s="3188"/>
      <c r="Q497" s="3189"/>
      <c r="R497" s="3189"/>
      <c r="S497" s="3189"/>
      <c r="T497" s="3189"/>
      <c r="U497" s="3189"/>
      <c r="V497" s="3189"/>
      <c r="W497" s="3189"/>
      <c r="X497" s="3189"/>
      <c r="Y497" s="3189"/>
      <c r="Z497" s="3189"/>
      <c r="AA497" s="3189"/>
      <c r="AB497" s="3189"/>
      <c r="AC497" s="3189"/>
      <c r="AD497" s="3189"/>
      <c r="AE497" s="3189"/>
      <c r="AF497" s="3189"/>
      <c r="AG497" s="3189"/>
      <c r="AH497" s="3189"/>
      <c r="AI497" s="3189"/>
      <c r="AJ497" s="3189"/>
      <c r="AK497" s="3189"/>
      <c r="AL497" s="3189"/>
      <c r="AM497" s="3189"/>
      <c r="AN497" s="3189"/>
      <c r="AO497" s="3189"/>
      <c r="AP497" s="3189"/>
      <c r="AQ497" s="3189"/>
      <c r="AR497" s="3189"/>
      <c r="AS497" s="3190"/>
      <c r="AT497" s="1888"/>
      <c r="AU497" s="1888"/>
      <c r="AV497" s="1888"/>
      <c r="AW497" s="1890"/>
      <c r="AX497" s="1884"/>
      <c r="BC497" s="1891"/>
    </row>
    <row r="498" spans="1:55" s="1883" customFormat="1" ht="12.95" customHeight="1" x14ac:dyDescent="0.15">
      <c r="A498" s="1884"/>
      <c r="C498" s="983"/>
      <c r="D498" s="964"/>
      <c r="E498" s="964"/>
      <c r="F498" s="964"/>
      <c r="G498" s="964"/>
      <c r="H498" s="964"/>
      <c r="I498" s="1889"/>
      <c r="J498" s="988"/>
      <c r="K498" s="1018"/>
      <c r="L498" s="1018"/>
      <c r="M498" s="1018"/>
      <c r="N498" s="1018"/>
      <c r="O498" s="1019"/>
      <c r="P498" s="3188"/>
      <c r="Q498" s="3189"/>
      <c r="R498" s="3189"/>
      <c r="S498" s="3189"/>
      <c r="T498" s="3189"/>
      <c r="U498" s="3189"/>
      <c r="V498" s="3189"/>
      <c r="W498" s="3189"/>
      <c r="X498" s="3189"/>
      <c r="Y498" s="3189"/>
      <c r="Z498" s="3189"/>
      <c r="AA498" s="3189"/>
      <c r="AB498" s="3189"/>
      <c r="AC498" s="3189"/>
      <c r="AD498" s="3189"/>
      <c r="AE498" s="3189"/>
      <c r="AF498" s="3189"/>
      <c r="AG498" s="3189"/>
      <c r="AH498" s="3189"/>
      <c r="AI498" s="3189"/>
      <c r="AJ498" s="3189"/>
      <c r="AK498" s="3189"/>
      <c r="AL498" s="3189"/>
      <c r="AM498" s="3189"/>
      <c r="AN498" s="3189"/>
      <c r="AO498" s="3189"/>
      <c r="AP498" s="3189"/>
      <c r="AQ498" s="3189"/>
      <c r="AR498" s="3189"/>
      <c r="AS498" s="3190"/>
      <c r="AT498" s="1888"/>
      <c r="AU498" s="1888"/>
      <c r="AV498" s="1888"/>
      <c r="AW498" s="1890"/>
      <c r="AX498" s="1884"/>
      <c r="BC498" s="1891"/>
    </row>
    <row r="499" spans="1:55" s="1883" customFormat="1" ht="12.95" customHeight="1" x14ac:dyDescent="0.15">
      <c r="A499" s="1884"/>
      <c r="C499" s="983"/>
      <c r="D499" s="964"/>
      <c r="E499" s="964"/>
      <c r="F499" s="964"/>
      <c r="G499" s="964"/>
      <c r="H499" s="964"/>
      <c r="I499" s="1889"/>
      <c r="J499" s="988"/>
      <c r="K499" s="1018"/>
      <c r="L499" s="1018"/>
      <c r="M499" s="1018"/>
      <c r="N499" s="1018"/>
      <c r="O499" s="1019"/>
      <c r="P499" s="3188"/>
      <c r="Q499" s="3189"/>
      <c r="R499" s="3189"/>
      <c r="S499" s="3189"/>
      <c r="T499" s="3189"/>
      <c r="U499" s="3189"/>
      <c r="V499" s="3189"/>
      <c r="W499" s="3189"/>
      <c r="X499" s="3189"/>
      <c r="Y499" s="3189"/>
      <c r="Z499" s="3189"/>
      <c r="AA499" s="3189"/>
      <c r="AB499" s="3189"/>
      <c r="AC499" s="3189"/>
      <c r="AD499" s="3189"/>
      <c r="AE499" s="3189"/>
      <c r="AF499" s="3189"/>
      <c r="AG499" s="3189"/>
      <c r="AH499" s="3189"/>
      <c r="AI499" s="3189"/>
      <c r="AJ499" s="3189"/>
      <c r="AK499" s="3189"/>
      <c r="AL499" s="3189"/>
      <c r="AM499" s="3189"/>
      <c r="AN499" s="3189"/>
      <c r="AO499" s="3189"/>
      <c r="AP499" s="3189"/>
      <c r="AQ499" s="3189"/>
      <c r="AR499" s="3189"/>
      <c r="AS499" s="3190"/>
      <c r="AT499" s="1888"/>
      <c r="AU499" s="1888"/>
      <c r="AV499" s="1888"/>
      <c r="AW499" s="1890"/>
      <c r="AX499" s="1884"/>
      <c r="BC499" s="1891"/>
    </row>
    <row r="500" spans="1:55" s="1883" customFormat="1" ht="12.95" customHeight="1" x14ac:dyDescent="0.15">
      <c r="A500" s="1884"/>
      <c r="C500" s="983"/>
      <c r="D500" s="964"/>
      <c r="E500" s="964"/>
      <c r="F500" s="964"/>
      <c r="G500" s="964"/>
      <c r="H500" s="964"/>
      <c r="I500" s="1889"/>
      <c r="J500" s="988"/>
      <c r="K500" s="1018"/>
      <c r="L500" s="1018"/>
      <c r="M500" s="1018"/>
      <c r="N500" s="1018"/>
      <c r="O500" s="1019"/>
      <c r="P500" s="3188"/>
      <c r="Q500" s="3189"/>
      <c r="R500" s="3189"/>
      <c r="S500" s="3189"/>
      <c r="T500" s="3189"/>
      <c r="U500" s="3189"/>
      <c r="V500" s="3189"/>
      <c r="W500" s="3189"/>
      <c r="X500" s="3189"/>
      <c r="Y500" s="3189"/>
      <c r="Z500" s="3189"/>
      <c r="AA500" s="3189"/>
      <c r="AB500" s="3189"/>
      <c r="AC500" s="3189"/>
      <c r="AD500" s="3189"/>
      <c r="AE500" s="3189"/>
      <c r="AF500" s="3189"/>
      <c r="AG500" s="3189"/>
      <c r="AH500" s="3189"/>
      <c r="AI500" s="3189"/>
      <c r="AJ500" s="3189"/>
      <c r="AK500" s="3189"/>
      <c r="AL500" s="3189"/>
      <c r="AM500" s="3189"/>
      <c r="AN500" s="3189"/>
      <c r="AO500" s="3189"/>
      <c r="AP500" s="3189"/>
      <c r="AQ500" s="3189"/>
      <c r="AR500" s="3189"/>
      <c r="AS500" s="3190"/>
      <c r="AT500" s="1888"/>
      <c r="AU500" s="1888"/>
      <c r="AV500" s="1888"/>
      <c r="AW500" s="1890"/>
      <c r="AX500" s="1884"/>
      <c r="BC500" s="1891"/>
    </row>
    <row r="501" spans="1:55" s="1883" customFormat="1" ht="12.95" customHeight="1" x14ac:dyDescent="0.15">
      <c r="A501" s="1884"/>
      <c r="C501" s="983"/>
      <c r="D501" s="964"/>
      <c r="E501" s="964"/>
      <c r="F501" s="964"/>
      <c r="G501" s="964"/>
      <c r="H501" s="964"/>
      <c r="I501" s="1889"/>
      <c r="J501" s="988"/>
      <c r="K501" s="1018"/>
      <c r="L501" s="1018"/>
      <c r="M501" s="1018"/>
      <c r="N501" s="1018"/>
      <c r="O501" s="1019"/>
      <c r="P501" s="3188"/>
      <c r="Q501" s="3189"/>
      <c r="R501" s="3189"/>
      <c r="S501" s="3189"/>
      <c r="T501" s="3189"/>
      <c r="U501" s="3189"/>
      <c r="V501" s="3189"/>
      <c r="W501" s="3189"/>
      <c r="X501" s="3189"/>
      <c r="Y501" s="3189"/>
      <c r="Z501" s="3189"/>
      <c r="AA501" s="3189"/>
      <c r="AB501" s="3189"/>
      <c r="AC501" s="3189"/>
      <c r="AD501" s="3189"/>
      <c r="AE501" s="3189"/>
      <c r="AF501" s="3189"/>
      <c r="AG501" s="3189"/>
      <c r="AH501" s="3189"/>
      <c r="AI501" s="3189"/>
      <c r="AJ501" s="3189"/>
      <c r="AK501" s="3189"/>
      <c r="AL501" s="3189"/>
      <c r="AM501" s="3189"/>
      <c r="AN501" s="3189"/>
      <c r="AO501" s="3189"/>
      <c r="AP501" s="3189"/>
      <c r="AQ501" s="3189"/>
      <c r="AR501" s="3189"/>
      <c r="AS501" s="3190"/>
      <c r="AT501" s="1888"/>
      <c r="AU501" s="1888"/>
      <c r="AV501" s="1888"/>
      <c r="AW501" s="1890"/>
      <c r="AX501" s="1884"/>
      <c r="BC501" s="1891"/>
    </row>
    <row r="502" spans="1:55" s="1883" customFormat="1" ht="12.95" customHeight="1" x14ac:dyDescent="0.15">
      <c r="A502" s="1884"/>
      <c r="C502" s="989"/>
      <c r="D502" s="990"/>
      <c r="E502" s="990"/>
      <c r="F502" s="990"/>
      <c r="G502" s="990"/>
      <c r="H502" s="990"/>
      <c r="I502" s="1896"/>
      <c r="J502" s="1020"/>
      <c r="K502" s="1021"/>
      <c r="L502" s="1021"/>
      <c r="M502" s="1021"/>
      <c r="N502" s="1021"/>
      <c r="O502" s="1022"/>
      <c r="P502" s="3191"/>
      <c r="Q502" s="3192"/>
      <c r="R502" s="3192"/>
      <c r="S502" s="3192"/>
      <c r="T502" s="3192"/>
      <c r="U502" s="3192"/>
      <c r="V502" s="3192"/>
      <c r="W502" s="3192"/>
      <c r="X502" s="3192"/>
      <c r="Y502" s="3192"/>
      <c r="Z502" s="3192"/>
      <c r="AA502" s="3192"/>
      <c r="AB502" s="3192"/>
      <c r="AC502" s="3192"/>
      <c r="AD502" s="3192"/>
      <c r="AE502" s="3192"/>
      <c r="AF502" s="3192"/>
      <c r="AG502" s="3192"/>
      <c r="AH502" s="3192"/>
      <c r="AI502" s="3192"/>
      <c r="AJ502" s="3192"/>
      <c r="AK502" s="3192"/>
      <c r="AL502" s="3192"/>
      <c r="AM502" s="3192"/>
      <c r="AN502" s="3192"/>
      <c r="AO502" s="3192"/>
      <c r="AP502" s="3192"/>
      <c r="AQ502" s="3192"/>
      <c r="AR502" s="3192"/>
      <c r="AS502" s="3193"/>
      <c r="AT502" s="1888"/>
      <c r="AU502" s="1888"/>
      <c r="AV502" s="1888"/>
      <c r="AW502" s="1890"/>
      <c r="AX502" s="1884"/>
      <c r="BC502" s="1891"/>
    </row>
    <row r="503" spans="1:55" s="1883" customFormat="1" ht="12.95" hidden="1" customHeight="1" thickBot="1" x14ac:dyDescent="0.2">
      <c r="A503" s="1884"/>
      <c r="C503" s="1023"/>
      <c r="D503" s="1024"/>
      <c r="E503" s="1024"/>
      <c r="F503" s="1024"/>
      <c r="G503" s="1024"/>
      <c r="H503" s="1024"/>
      <c r="I503" s="1923"/>
      <c r="J503" s="1025" t="s">
        <v>857</v>
      </c>
      <c r="K503" s="1026"/>
      <c r="L503" s="1026"/>
      <c r="M503" s="1026"/>
      <c r="N503" s="1026"/>
      <c r="O503" s="1027"/>
      <c r="P503" s="1024"/>
      <c r="Q503" s="1024"/>
      <c r="R503" s="1024"/>
      <c r="S503" s="1024"/>
      <c r="T503" s="1024"/>
      <c r="U503" s="1028" t="str">
        <f>IF(OR('1_入力シート【基本情報】'!EB316="レ",'1_入力シート【基本情報】'!EC316="レ",'1_入力シート【基本情報】'!EG316="レ",'1_入力シート【基本情報】'!EH316="レ"),"レ","")</f>
        <v/>
      </c>
      <c r="V503" s="1024" t="s">
        <v>865</v>
      </c>
      <c r="W503" s="1024"/>
      <c r="X503" s="1029"/>
      <c r="Y503" s="1029"/>
      <c r="Z503" s="1030" t="s">
        <v>866</v>
      </c>
      <c r="AA503" s="3194" t="str">
        <f>IF('1_入力シート【基本情報】'!ED316&lt;&gt;"",'1_入力シート【基本情報】'!ED316,IF('1_入力シート【基本情報】'!EI316&lt;&gt;"",'1_入力シート【基本情報】'!EI316,""))</f>
        <v/>
      </c>
      <c r="AB503" s="3201"/>
      <c r="AC503" s="1024" t="s">
        <v>850</v>
      </c>
      <c r="AD503" s="3194" t="str">
        <f>IF('1_入力シート【基本情報】'!EE316&lt;&gt;"",'1_入力シート【基本情報】'!EE316,IF('1_入力シート【基本情報】'!EJ316&lt;&gt;"",'1_入力シート【基本情報】'!EJ316,""))</f>
        <v/>
      </c>
      <c r="AE503" s="3194"/>
      <c r="AF503" s="1024" t="str">
        <f>IF(OR('1_入力シート【基本情報】'!EC316="レ",'1_入力シート【基本情報】'!EH316="レ"),"月に改善)","月に改善予定)")</f>
        <v>月に改善予定)</v>
      </c>
      <c r="AG503" s="1024"/>
      <c r="AH503" s="1024"/>
      <c r="AI503" s="1024"/>
      <c r="AJ503" s="1024"/>
      <c r="AK503" s="1024"/>
      <c r="AL503" s="1031" t="str">
        <f>IF(OR('1_入力シート【基本情報】'!EF316="レ",'1_入力シート【基本情報】'!EK316="レ"),"レ","")</f>
        <v/>
      </c>
      <c r="AM503" s="1024" t="s">
        <v>867</v>
      </c>
      <c r="AN503" s="1024"/>
      <c r="AO503" s="1024"/>
      <c r="AP503" s="1024"/>
      <c r="AQ503" s="1024"/>
      <c r="AR503" s="1024"/>
      <c r="AS503" s="1032"/>
      <c r="AT503" s="1888"/>
      <c r="AU503" s="1888"/>
      <c r="AV503" s="1888"/>
      <c r="AW503" s="1890"/>
      <c r="AX503" s="1884"/>
      <c r="BC503" s="1891"/>
    </row>
    <row r="504" spans="1:55" s="1883" customFormat="1" ht="12.95" hidden="1" customHeight="1" x14ac:dyDescent="0.15">
      <c r="A504" s="1884"/>
      <c r="C504" s="1033" t="s">
        <v>858</v>
      </c>
      <c r="D504" s="972"/>
      <c r="E504" s="972"/>
      <c r="F504" s="972"/>
      <c r="G504" s="972"/>
      <c r="H504" s="972"/>
      <c r="I504" s="1886"/>
      <c r="J504" s="1034" t="s">
        <v>852</v>
      </c>
      <c r="K504" s="1035"/>
      <c r="L504" s="1035"/>
      <c r="M504" s="1035"/>
      <c r="N504" s="1035"/>
      <c r="O504" s="1036"/>
      <c r="P504" s="975"/>
      <c r="Q504" s="975"/>
      <c r="R504" s="1887"/>
      <c r="S504" s="1887"/>
      <c r="T504" s="1887"/>
      <c r="U504" s="1037" t="str">
        <f>IF('1_入力シート【基本情報】'!DP334="レ","レ",IF('1_入力シート【基本情報】'!DO334="レ","レ",""))</f>
        <v/>
      </c>
      <c r="V504" s="975" t="s">
        <v>853</v>
      </c>
      <c r="W504" s="975"/>
      <c r="X504" s="975"/>
      <c r="Y504" s="975"/>
      <c r="Z504" s="975"/>
      <c r="AA504" s="975"/>
      <c r="AB504" s="1887"/>
      <c r="AC504" s="975" t="s">
        <v>432</v>
      </c>
      <c r="AD504" s="977" t="str">
        <f>'1_入力シート【基本情報】'!DP334</f>
        <v/>
      </c>
      <c r="AE504" s="975" t="s">
        <v>854</v>
      </c>
      <c r="AF504" s="975"/>
      <c r="AG504" s="975"/>
      <c r="AH504" s="975"/>
      <c r="AI504" s="975"/>
      <c r="AJ504" s="1887"/>
      <c r="AK504" s="975"/>
      <c r="AL504" s="975"/>
      <c r="AM504" s="975"/>
      <c r="AN504" s="975"/>
      <c r="AO504" s="975"/>
      <c r="AP504" s="975"/>
      <c r="AQ504" s="975"/>
      <c r="AR504" s="975"/>
      <c r="AS504" s="1038"/>
      <c r="AT504" s="1888"/>
      <c r="AU504" s="1888"/>
      <c r="AV504" s="1888"/>
      <c r="AW504" s="1890"/>
      <c r="AX504" s="1884"/>
      <c r="BC504" s="1891"/>
    </row>
    <row r="505" spans="1:55" s="1883" customFormat="1" ht="12.95" hidden="1" customHeight="1" thickBot="1" x14ac:dyDescent="0.2">
      <c r="A505" s="1884"/>
      <c r="C505" s="1039" t="s">
        <v>859</v>
      </c>
      <c r="D505" s="981"/>
      <c r="E505" s="981"/>
      <c r="F505" s="981"/>
      <c r="G505" s="981"/>
      <c r="H505" s="981"/>
      <c r="I505" s="1889"/>
      <c r="J505" s="1020"/>
      <c r="K505" s="1021"/>
      <c r="L505" s="1021"/>
      <c r="M505" s="1021"/>
      <c r="N505" s="1021"/>
      <c r="O505" s="1022"/>
      <c r="P505" s="990"/>
      <c r="Q505" s="990"/>
      <c r="R505" s="990"/>
      <c r="S505" s="990"/>
      <c r="T505" s="990"/>
      <c r="U505" s="1040" t="str">
        <f>IF(OR('1_入力シート【基本情報】'!DN334="レ",'1_入力シート【基本情報】'!DM334="レ"),"レ","")</f>
        <v/>
      </c>
      <c r="V505" s="990" t="s">
        <v>864</v>
      </c>
      <c r="W505" s="990"/>
      <c r="X505" s="990"/>
      <c r="Y505" s="990"/>
      <c r="Z505" s="990"/>
      <c r="AA505" s="990"/>
      <c r="AB505" s="990"/>
      <c r="AC505" s="990"/>
      <c r="AD505" s="990"/>
      <c r="AE505" s="990"/>
      <c r="AF505" s="990"/>
      <c r="AG505" s="990"/>
      <c r="AH505" s="990"/>
      <c r="AI505" s="990"/>
      <c r="AJ505" s="990"/>
      <c r="AK505" s="990"/>
      <c r="AL505" s="990"/>
      <c r="AM505" s="990"/>
      <c r="AN505" s="990"/>
      <c r="AO505" s="990"/>
      <c r="AP505" s="990"/>
      <c r="AQ505" s="990"/>
      <c r="AR505" s="990"/>
      <c r="AS505" s="1041"/>
      <c r="AT505" s="1888"/>
      <c r="AU505" s="1888"/>
      <c r="AV505" s="1888"/>
      <c r="AW505" s="1890"/>
      <c r="AX505" s="1884"/>
      <c r="BC505" s="1891"/>
    </row>
    <row r="506" spans="1:55" s="1883" customFormat="1" ht="12.95" customHeight="1" x14ac:dyDescent="0.15">
      <c r="A506" s="1884"/>
      <c r="C506" s="3206" t="s">
        <v>859</v>
      </c>
      <c r="D506" s="3207"/>
      <c r="E506" s="3207"/>
      <c r="F506" s="3207"/>
      <c r="G506" s="3207"/>
      <c r="H506" s="3207"/>
      <c r="I506" s="3208"/>
      <c r="J506" s="3202" t="s">
        <v>856</v>
      </c>
      <c r="K506" s="3203"/>
      <c r="L506" s="3203"/>
      <c r="M506" s="3203"/>
      <c r="N506" s="3203"/>
      <c r="O506" s="3204"/>
      <c r="P506" s="3185" t="str">
        <f>'1_入力シート【基本情報】'!$DY$334</f>
        <v/>
      </c>
      <c r="Q506" s="3186"/>
      <c r="R506" s="3186"/>
      <c r="S506" s="3186"/>
      <c r="T506" s="3186"/>
      <c r="U506" s="3186"/>
      <c r="V506" s="3186"/>
      <c r="W506" s="3186"/>
      <c r="X506" s="3186"/>
      <c r="Y506" s="3186"/>
      <c r="Z506" s="3186"/>
      <c r="AA506" s="3186"/>
      <c r="AB506" s="3186"/>
      <c r="AC506" s="3186"/>
      <c r="AD506" s="3186"/>
      <c r="AE506" s="3186"/>
      <c r="AF506" s="3186"/>
      <c r="AG506" s="3186"/>
      <c r="AH506" s="3186"/>
      <c r="AI506" s="3186"/>
      <c r="AJ506" s="3186"/>
      <c r="AK506" s="3186"/>
      <c r="AL506" s="3186"/>
      <c r="AM506" s="3186"/>
      <c r="AN506" s="3186"/>
      <c r="AO506" s="3186"/>
      <c r="AP506" s="3186"/>
      <c r="AQ506" s="3186"/>
      <c r="AR506" s="3186"/>
      <c r="AS506" s="3187"/>
      <c r="AT506" s="1888"/>
      <c r="AU506" s="1888"/>
      <c r="AV506" s="1888"/>
      <c r="AW506" s="1890"/>
      <c r="AX506" s="1884"/>
      <c r="BC506" s="1891"/>
    </row>
    <row r="507" spans="1:55" s="1883" customFormat="1" ht="12.95" customHeight="1" x14ac:dyDescent="0.15">
      <c r="A507" s="1884"/>
      <c r="C507" s="1039"/>
      <c r="D507" s="964"/>
      <c r="E507" s="964"/>
      <c r="F507" s="964"/>
      <c r="G507" s="964"/>
      <c r="H507" s="964"/>
      <c r="I507" s="1889"/>
      <c r="J507" s="988"/>
      <c r="K507" s="1018"/>
      <c r="L507" s="1018"/>
      <c r="M507" s="1018"/>
      <c r="N507" s="1018"/>
      <c r="O507" s="1019"/>
      <c r="P507" s="3188"/>
      <c r="Q507" s="3189"/>
      <c r="R507" s="3189"/>
      <c r="S507" s="3189"/>
      <c r="T507" s="3189"/>
      <c r="U507" s="3189"/>
      <c r="V507" s="3189"/>
      <c r="W507" s="3189"/>
      <c r="X507" s="3189"/>
      <c r="Y507" s="3189"/>
      <c r="Z507" s="3189"/>
      <c r="AA507" s="3189"/>
      <c r="AB507" s="3189"/>
      <c r="AC507" s="3189"/>
      <c r="AD507" s="3189"/>
      <c r="AE507" s="3189"/>
      <c r="AF507" s="3189"/>
      <c r="AG507" s="3189"/>
      <c r="AH507" s="3189"/>
      <c r="AI507" s="3189"/>
      <c r="AJ507" s="3189"/>
      <c r="AK507" s="3189"/>
      <c r="AL507" s="3189"/>
      <c r="AM507" s="3189"/>
      <c r="AN507" s="3189"/>
      <c r="AO507" s="3189"/>
      <c r="AP507" s="3189"/>
      <c r="AQ507" s="3189"/>
      <c r="AR507" s="3189"/>
      <c r="AS507" s="3190"/>
      <c r="AT507" s="1888"/>
      <c r="AU507" s="1888"/>
      <c r="AV507" s="1888"/>
      <c r="AW507" s="1890"/>
      <c r="AX507" s="1884"/>
      <c r="BC507" s="1891"/>
    </row>
    <row r="508" spans="1:55" s="1883" customFormat="1" ht="12.95" customHeight="1" x14ac:dyDescent="0.15">
      <c r="A508" s="1884"/>
      <c r="C508" s="983"/>
      <c r="D508" s="964"/>
      <c r="E508" s="964"/>
      <c r="F508" s="964"/>
      <c r="G508" s="964"/>
      <c r="H508" s="964"/>
      <c r="I508" s="1889"/>
      <c r="J508" s="988"/>
      <c r="K508" s="1018"/>
      <c r="L508" s="1018"/>
      <c r="M508" s="1018"/>
      <c r="N508" s="1018"/>
      <c r="O508" s="1019"/>
      <c r="P508" s="3188"/>
      <c r="Q508" s="3189"/>
      <c r="R508" s="3189"/>
      <c r="S508" s="3189"/>
      <c r="T508" s="3189"/>
      <c r="U508" s="3189"/>
      <c r="V508" s="3189"/>
      <c r="W508" s="3189"/>
      <c r="X508" s="3189"/>
      <c r="Y508" s="3189"/>
      <c r="Z508" s="3189"/>
      <c r="AA508" s="3189"/>
      <c r="AB508" s="3189"/>
      <c r="AC508" s="3189"/>
      <c r="AD508" s="3189"/>
      <c r="AE508" s="3189"/>
      <c r="AF508" s="3189"/>
      <c r="AG508" s="3189"/>
      <c r="AH508" s="3189"/>
      <c r="AI508" s="3189"/>
      <c r="AJ508" s="3189"/>
      <c r="AK508" s="3189"/>
      <c r="AL508" s="3189"/>
      <c r="AM508" s="3189"/>
      <c r="AN508" s="3189"/>
      <c r="AO508" s="3189"/>
      <c r="AP508" s="3189"/>
      <c r="AQ508" s="3189"/>
      <c r="AR508" s="3189"/>
      <c r="AS508" s="3190"/>
      <c r="AT508" s="1888"/>
      <c r="AU508" s="1888"/>
      <c r="AV508" s="1888"/>
      <c r="AW508" s="1890"/>
      <c r="AX508" s="1884"/>
      <c r="BC508" s="1891"/>
    </row>
    <row r="509" spans="1:55" s="1883" customFormat="1" ht="12.95" customHeight="1" x14ac:dyDescent="0.15">
      <c r="A509" s="1884"/>
      <c r="C509" s="983"/>
      <c r="D509" s="964"/>
      <c r="E509" s="964"/>
      <c r="F509" s="964"/>
      <c r="G509" s="964"/>
      <c r="H509" s="964"/>
      <c r="I509" s="1889"/>
      <c r="J509" s="988"/>
      <c r="K509" s="1018"/>
      <c r="L509" s="1018"/>
      <c r="M509" s="1018"/>
      <c r="N509" s="1018"/>
      <c r="O509" s="1019"/>
      <c r="P509" s="3188"/>
      <c r="Q509" s="3189"/>
      <c r="R509" s="3189"/>
      <c r="S509" s="3189"/>
      <c r="T509" s="3189"/>
      <c r="U509" s="3189"/>
      <c r="V509" s="3189"/>
      <c r="W509" s="3189"/>
      <c r="X509" s="3189"/>
      <c r="Y509" s="3189"/>
      <c r="Z509" s="3189"/>
      <c r="AA509" s="3189"/>
      <c r="AB509" s="3189"/>
      <c r="AC509" s="3189"/>
      <c r="AD509" s="3189"/>
      <c r="AE509" s="3189"/>
      <c r="AF509" s="3189"/>
      <c r="AG509" s="3189"/>
      <c r="AH509" s="3189"/>
      <c r="AI509" s="3189"/>
      <c r="AJ509" s="3189"/>
      <c r="AK509" s="3189"/>
      <c r="AL509" s="3189"/>
      <c r="AM509" s="3189"/>
      <c r="AN509" s="3189"/>
      <c r="AO509" s="3189"/>
      <c r="AP509" s="3189"/>
      <c r="AQ509" s="3189"/>
      <c r="AR509" s="3189"/>
      <c r="AS509" s="3190"/>
      <c r="AT509" s="1888"/>
      <c r="AU509" s="1888"/>
      <c r="AV509" s="1888"/>
      <c r="AW509" s="1890"/>
      <c r="AX509" s="1884"/>
      <c r="BC509" s="1891"/>
    </row>
    <row r="510" spans="1:55" s="1883" customFormat="1" ht="12.95" customHeight="1" x14ac:dyDescent="0.15">
      <c r="A510" s="1884"/>
      <c r="C510" s="983"/>
      <c r="D510" s="964"/>
      <c r="E510" s="964"/>
      <c r="F510" s="964"/>
      <c r="G510" s="964"/>
      <c r="H510" s="964"/>
      <c r="I510" s="1889"/>
      <c r="J510" s="988"/>
      <c r="K510" s="1018"/>
      <c r="L510" s="1018"/>
      <c r="M510" s="1018"/>
      <c r="N510" s="1018"/>
      <c r="O510" s="1019"/>
      <c r="P510" s="3188"/>
      <c r="Q510" s="3189"/>
      <c r="R510" s="3189"/>
      <c r="S510" s="3189"/>
      <c r="T510" s="3189"/>
      <c r="U510" s="3189"/>
      <c r="V510" s="3189"/>
      <c r="W510" s="3189"/>
      <c r="X510" s="3189"/>
      <c r="Y510" s="3189"/>
      <c r="Z510" s="3189"/>
      <c r="AA510" s="3189"/>
      <c r="AB510" s="3189"/>
      <c r="AC510" s="3189"/>
      <c r="AD510" s="3189"/>
      <c r="AE510" s="3189"/>
      <c r="AF510" s="3189"/>
      <c r="AG510" s="3189"/>
      <c r="AH510" s="3189"/>
      <c r="AI510" s="3189"/>
      <c r="AJ510" s="3189"/>
      <c r="AK510" s="3189"/>
      <c r="AL510" s="3189"/>
      <c r="AM510" s="3189"/>
      <c r="AN510" s="3189"/>
      <c r="AO510" s="3189"/>
      <c r="AP510" s="3189"/>
      <c r="AQ510" s="3189"/>
      <c r="AR510" s="3189"/>
      <c r="AS510" s="3190"/>
      <c r="AT510" s="1888"/>
      <c r="AU510" s="1888"/>
      <c r="AV510" s="1888"/>
      <c r="AW510" s="1890"/>
      <c r="AX510" s="1884"/>
      <c r="BC510" s="1891"/>
    </row>
    <row r="511" spans="1:55" s="1883" customFormat="1" ht="12.95" customHeight="1" x14ac:dyDescent="0.15">
      <c r="A511" s="1884"/>
      <c r="C511" s="983"/>
      <c r="D511" s="964"/>
      <c r="E511" s="964"/>
      <c r="F511" s="964"/>
      <c r="G511" s="964"/>
      <c r="H511" s="964"/>
      <c r="I511" s="1889"/>
      <c r="J511" s="988"/>
      <c r="K511" s="1018"/>
      <c r="L511" s="1018"/>
      <c r="M511" s="1018"/>
      <c r="N511" s="1018"/>
      <c r="O511" s="1019"/>
      <c r="P511" s="3188"/>
      <c r="Q511" s="3189"/>
      <c r="R511" s="3189"/>
      <c r="S511" s="3189"/>
      <c r="T511" s="3189"/>
      <c r="U511" s="3189"/>
      <c r="V511" s="3189"/>
      <c r="W511" s="3189"/>
      <c r="X511" s="3189"/>
      <c r="Y511" s="3189"/>
      <c r="Z511" s="3189"/>
      <c r="AA511" s="3189"/>
      <c r="AB511" s="3189"/>
      <c r="AC511" s="3189"/>
      <c r="AD511" s="3189"/>
      <c r="AE511" s="3189"/>
      <c r="AF511" s="3189"/>
      <c r="AG511" s="3189"/>
      <c r="AH511" s="3189"/>
      <c r="AI511" s="3189"/>
      <c r="AJ511" s="3189"/>
      <c r="AK511" s="3189"/>
      <c r="AL511" s="3189"/>
      <c r="AM511" s="3189"/>
      <c r="AN511" s="3189"/>
      <c r="AO511" s="3189"/>
      <c r="AP511" s="3189"/>
      <c r="AQ511" s="3189"/>
      <c r="AR511" s="3189"/>
      <c r="AS511" s="3190"/>
      <c r="AT511" s="1888"/>
      <c r="AU511" s="1888"/>
      <c r="AV511" s="1888"/>
      <c r="AW511" s="1890"/>
      <c r="AX511" s="1884"/>
      <c r="BC511" s="1891"/>
    </row>
    <row r="512" spans="1:55" s="1883" customFormat="1" ht="12.95" customHeight="1" x14ac:dyDescent="0.15">
      <c r="A512" s="1884"/>
      <c r="C512" s="983"/>
      <c r="D512" s="964"/>
      <c r="E512" s="964"/>
      <c r="F512" s="964"/>
      <c r="G512" s="964"/>
      <c r="H512" s="964"/>
      <c r="I512" s="1889"/>
      <c r="J512" s="988"/>
      <c r="K512" s="1018"/>
      <c r="L512" s="1018"/>
      <c r="M512" s="1018"/>
      <c r="N512" s="1018"/>
      <c r="O512" s="1019"/>
      <c r="P512" s="3188"/>
      <c r="Q512" s="3189"/>
      <c r="R512" s="3189"/>
      <c r="S512" s="3189"/>
      <c r="T512" s="3189"/>
      <c r="U512" s="3189"/>
      <c r="V512" s="3189"/>
      <c r="W512" s="3189"/>
      <c r="X512" s="3189"/>
      <c r="Y512" s="3189"/>
      <c r="Z512" s="3189"/>
      <c r="AA512" s="3189"/>
      <c r="AB512" s="3189"/>
      <c r="AC512" s="3189"/>
      <c r="AD512" s="3189"/>
      <c r="AE512" s="3189"/>
      <c r="AF512" s="3189"/>
      <c r="AG512" s="3189"/>
      <c r="AH512" s="3189"/>
      <c r="AI512" s="3189"/>
      <c r="AJ512" s="3189"/>
      <c r="AK512" s="3189"/>
      <c r="AL512" s="3189"/>
      <c r="AM512" s="3189"/>
      <c r="AN512" s="3189"/>
      <c r="AO512" s="3189"/>
      <c r="AP512" s="3189"/>
      <c r="AQ512" s="3189"/>
      <c r="AR512" s="3189"/>
      <c r="AS512" s="3190"/>
      <c r="AT512" s="1888"/>
      <c r="AU512" s="1888"/>
      <c r="AV512" s="1888"/>
      <c r="AW512" s="1890"/>
      <c r="AX512" s="1884"/>
      <c r="BC512" s="1891"/>
    </row>
    <row r="513" spans="1:55" s="1883" customFormat="1" ht="12.95" customHeight="1" x14ac:dyDescent="0.15">
      <c r="A513" s="1884"/>
      <c r="C513" s="983"/>
      <c r="D513" s="964"/>
      <c r="E513" s="964"/>
      <c r="F513" s="964"/>
      <c r="G513" s="964"/>
      <c r="H513" s="964"/>
      <c r="I513" s="1889"/>
      <c r="J513" s="988"/>
      <c r="K513" s="1018"/>
      <c r="L513" s="1018"/>
      <c r="M513" s="1018"/>
      <c r="N513" s="1018"/>
      <c r="O513" s="1019"/>
      <c r="P513" s="3188"/>
      <c r="Q513" s="3189"/>
      <c r="R513" s="3189"/>
      <c r="S513" s="3189"/>
      <c r="T513" s="3189"/>
      <c r="U513" s="3189"/>
      <c r="V513" s="3189"/>
      <c r="W513" s="3189"/>
      <c r="X513" s="3189"/>
      <c r="Y513" s="3189"/>
      <c r="Z513" s="3189"/>
      <c r="AA513" s="3189"/>
      <c r="AB513" s="3189"/>
      <c r="AC513" s="3189"/>
      <c r="AD513" s="3189"/>
      <c r="AE513" s="3189"/>
      <c r="AF513" s="3189"/>
      <c r="AG513" s="3189"/>
      <c r="AH513" s="3189"/>
      <c r="AI513" s="3189"/>
      <c r="AJ513" s="3189"/>
      <c r="AK513" s="3189"/>
      <c r="AL513" s="3189"/>
      <c r="AM513" s="3189"/>
      <c r="AN513" s="3189"/>
      <c r="AO513" s="3189"/>
      <c r="AP513" s="3189"/>
      <c r="AQ513" s="3189"/>
      <c r="AR513" s="3189"/>
      <c r="AS513" s="3190"/>
      <c r="AT513" s="1888"/>
      <c r="AU513" s="1888"/>
      <c r="AV513" s="1888"/>
      <c r="AW513" s="1890"/>
      <c r="AX513" s="1884"/>
      <c r="BC513" s="1891"/>
    </row>
    <row r="514" spans="1:55" s="1883" customFormat="1" ht="12.95" customHeight="1" x14ac:dyDescent="0.15">
      <c r="A514" s="1884"/>
      <c r="C514" s="983"/>
      <c r="D514" s="964"/>
      <c r="E514" s="964"/>
      <c r="F514" s="964"/>
      <c r="G514" s="964"/>
      <c r="H514" s="964"/>
      <c r="I514" s="1889"/>
      <c r="J514" s="988"/>
      <c r="K514" s="1018"/>
      <c r="L514" s="1018"/>
      <c r="M514" s="1018"/>
      <c r="N514" s="1018"/>
      <c r="O514" s="1019"/>
      <c r="P514" s="3188"/>
      <c r="Q514" s="3189"/>
      <c r="R514" s="3189"/>
      <c r="S514" s="3189"/>
      <c r="T514" s="3189"/>
      <c r="U514" s="3189"/>
      <c r="V514" s="3189"/>
      <c r="W514" s="3189"/>
      <c r="X514" s="3189"/>
      <c r="Y514" s="3189"/>
      <c r="Z514" s="3189"/>
      <c r="AA514" s="3189"/>
      <c r="AB514" s="3189"/>
      <c r="AC514" s="3189"/>
      <c r="AD514" s="3189"/>
      <c r="AE514" s="3189"/>
      <c r="AF514" s="3189"/>
      <c r="AG514" s="3189"/>
      <c r="AH514" s="3189"/>
      <c r="AI514" s="3189"/>
      <c r="AJ514" s="3189"/>
      <c r="AK514" s="3189"/>
      <c r="AL514" s="3189"/>
      <c r="AM514" s="3189"/>
      <c r="AN514" s="3189"/>
      <c r="AO514" s="3189"/>
      <c r="AP514" s="3189"/>
      <c r="AQ514" s="3189"/>
      <c r="AR514" s="3189"/>
      <c r="AS514" s="3190"/>
      <c r="AT514" s="1888"/>
      <c r="AU514" s="1888"/>
      <c r="AV514" s="1888"/>
      <c r="AW514" s="1890"/>
      <c r="AX514" s="1884"/>
      <c r="BC514" s="1891"/>
    </row>
    <row r="515" spans="1:55" s="1883" customFormat="1" ht="12.95" customHeight="1" x14ac:dyDescent="0.15">
      <c r="A515" s="1884"/>
      <c r="C515" s="989"/>
      <c r="D515" s="990"/>
      <c r="E515" s="990"/>
      <c r="F515" s="990"/>
      <c r="G515" s="990"/>
      <c r="H515" s="990"/>
      <c r="I515" s="1896"/>
      <c r="J515" s="1020"/>
      <c r="K515" s="1021"/>
      <c r="L515" s="1021"/>
      <c r="M515" s="1021"/>
      <c r="N515" s="1021"/>
      <c r="O515" s="1022"/>
      <c r="P515" s="3191"/>
      <c r="Q515" s="3192"/>
      <c r="R515" s="3192"/>
      <c r="S515" s="3192"/>
      <c r="T515" s="3192"/>
      <c r="U515" s="3192"/>
      <c r="V515" s="3192"/>
      <c r="W515" s="3192"/>
      <c r="X515" s="3192"/>
      <c r="Y515" s="3192"/>
      <c r="Z515" s="3192"/>
      <c r="AA515" s="3192"/>
      <c r="AB515" s="3192"/>
      <c r="AC515" s="3192"/>
      <c r="AD515" s="3192"/>
      <c r="AE515" s="3192"/>
      <c r="AF515" s="3192"/>
      <c r="AG515" s="3192"/>
      <c r="AH515" s="3192"/>
      <c r="AI515" s="3192"/>
      <c r="AJ515" s="3192"/>
      <c r="AK515" s="3192"/>
      <c r="AL515" s="3192"/>
      <c r="AM515" s="3192"/>
      <c r="AN515" s="3192"/>
      <c r="AO515" s="3192"/>
      <c r="AP515" s="3192"/>
      <c r="AQ515" s="3192"/>
      <c r="AR515" s="3192"/>
      <c r="AS515" s="3193"/>
      <c r="AT515" s="1888"/>
      <c r="AU515" s="1888"/>
      <c r="AV515" s="1888"/>
      <c r="AW515" s="1890"/>
      <c r="AX515" s="1884"/>
      <c r="BC515" s="1891"/>
    </row>
    <row r="516" spans="1:55" s="1883" customFormat="1" ht="12.95" hidden="1" customHeight="1" thickBot="1" x14ac:dyDescent="0.2">
      <c r="A516" s="1884"/>
      <c r="C516" s="1023"/>
      <c r="D516" s="1024"/>
      <c r="E516" s="1024"/>
      <c r="F516" s="1024"/>
      <c r="G516" s="1024"/>
      <c r="H516" s="1024"/>
      <c r="I516" s="1024"/>
      <c r="J516" s="1025" t="s">
        <v>857</v>
      </c>
      <c r="K516" s="1026"/>
      <c r="L516" s="1026"/>
      <c r="M516" s="1026"/>
      <c r="N516" s="1026"/>
      <c r="O516" s="1027"/>
      <c r="P516" s="1024"/>
      <c r="Q516" s="1024"/>
      <c r="R516" s="1024"/>
      <c r="S516" s="1024"/>
      <c r="T516" s="1024"/>
      <c r="U516" s="1028" t="str">
        <f>IF(OR('1_入力シート【基本情報】'!EB334="レ",'1_入力シート【基本情報】'!EC334="レ",'1_入力シート【基本情報】'!EG334="レ",'1_入力シート【基本情報】'!EH334="レ"),"レ","")</f>
        <v/>
      </c>
      <c r="V516" s="1024" t="s">
        <v>865</v>
      </c>
      <c r="W516" s="1024"/>
      <c r="X516" s="1029"/>
      <c r="Y516" s="1029"/>
      <c r="Z516" s="1030" t="s">
        <v>866</v>
      </c>
      <c r="AA516" s="3194" t="str">
        <f>IF('1_入力シート【基本情報】'!ED334&lt;&gt;"",'1_入力シート【基本情報】'!ED334,IF('1_入力シート【基本情報】'!EI334&lt;&gt;"",'1_入力シート【基本情報】'!EI334,""))</f>
        <v/>
      </c>
      <c r="AB516" s="3201"/>
      <c r="AC516" s="1024" t="s">
        <v>850</v>
      </c>
      <c r="AD516" s="3194" t="str">
        <f>IF('1_入力シート【基本情報】'!EE334&lt;&gt;"",'1_入力シート【基本情報】'!EE334,IF('1_入力シート【基本情報】'!EJ334&lt;&gt;"",'1_入力シート【基本情報】'!EJ334,""))</f>
        <v/>
      </c>
      <c r="AE516" s="3194"/>
      <c r="AF516" s="1024" t="str">
        <f>IF(OR('1_入力シート【基本情報】'!EC334="レ",'1_入力シート【基本情報】'!EH334="レ"),"月に改善)","月に改善予定)")</f>
        <v>月に改善予定)</v>
      </c>
      <c r="AG516" s="1024"/>
      <c r="AH516" s="1024"/>
      <c r="AI516" s="1024"/>
      <c r="AJ516" s="1024"/>
      <c r="AK516" s="1024"/>
      <c r="AL516" s="1031" t="str">
        <f>IF(OR('1_入力シート【基本情報】'!EF334="レ",'1_入力シート【基本情報】'!EK334="レ"),"レ","")</f>
        <v/>
      </c>
      <c r="AM516" s="1024" t="s">
        <v>867</v>
      </c>
      <c r="AN516" s="1024"/>
      <c r="AO516" s="1024"/>
      <c r="AP516" s="1024"/>
      <c r="AQ516" s="1024"/>
      <c r="AR516" s="1024"/>
      <c r="AS516" s="1032"/>
      <c r="AT516" s="1888"/>
      <c r="AU516" s="1888"/>
      <c r="AV516" s="1888"/>
      <c r="AW516" s="1890"/>
      <c r="AX516" s="1884"/>
      <c r="BC516" s="1891"/>
    </row>
    <row r="517" spans="1:55" s="1883" customFormat="1" ht="12.95" hidden="1" customHeight="1" x14ac:dyDescent="0.15">
      <c r="A517" s="1884"/>
      <c r="C517" s="1033" t="s">
        <v>860</v>
      </c>
      <c r="D517" s="972"/>
      <c r="E517" s="972"/>
      <c r="F517" s="972"/>
      <c r="G517" s="972"/>
      <c r="H517" s="972"/>
      <c r="I517" s="1886"/>
      <c r="J517" s="1034" t="s">
        <v>852</v>
      </c>
      <c r="K517" s="1035"/>
      <c r="L517" s="1035"/>
      <c r="M517" s="1035"/>
      <c r="N517" s="1035"/>
      <c r="O517" s="1036"/>
      <c r="P517" s="975"/>
      <c r="Q517" s="975"/>
      <c r="R517" s="975"/>
      <c r="S517" s="975"/>
      <c r="T517" s="975"/>
      <c r="U517" s="1037" t="str">
        <f>IF('1_入力シート【基本情報】'!DP361="レ","レ",IF('1_入力シート【基本情報】'!DO361="レ","レ",""))</f>
        <v/>
      </c>
      <c r="V517" s="975" t="s">
        <v>853</v>
      </c>
      <c r="W517" s="975"/>
      <c r="X517" s="975"/>
      <c r="Y517" s="975"/>
      <c r="Z517" s="975"/>
      <c r="AA517" s="975"/>
      <c r="AB517" s="1887"/>
      <c r="AC517" s="975" t="s">
        <v>432</v>
      </c>
      <c r="AD517" s="977" t="str">
        <f>'1_入力シート【基本情報】'!DP361</f>
        <v/>
      </c>
      <c r="AE517" s="975" t="s">
        <v>854</v>
      </c>
      <c r="AF517" s="975"/>
      <c r="AG517" s="975"/>
      <c r="AH517" s="975"/>
      <c r="AI517" s="975"/>
      <c r="AJ517" s="1887"/>
      <c r="AK517" s="975"/>
      <c r="AL517" s="975"/>
      <c r="AM517" s="975"/>
      <c r="AN517" s="975"/>
      <c r="AO517" s="975"/>
      <c r="AP517" s="975"/>
      <c r="AQ517" s="975"/>
      <c r="AR517" s="975"/>
      <c r="AS517" s="1038"/>
      <c r="AT517" s="1888"/>
      <c r="AU517" s="1888"/>
      <c r="AV517" s="1888"/>
      <c r="AW517" s="1890"/>
      <c r="AX517" s="1884"/>
      <c r="BC517" s="1891"/>
    </row>
    <row r="518" spans="1:55" s="1883" customFormat="1" ht="12.95" hidden="1" customHeight="1" thickBot="1" x14ac:dyDescent="0.2">
      <c r="A518" s="1884"/>
      <c r="C518" s="1039" t="s">
        <v>861</v>
      </c>
      <c r="D518" s="981"/>
      <c r="E518" s="981"/>
      <c r="F518" s="981"/>
      <c r="G518" s="981"/>
      <c r="H518" s="981"/>
      <c r="I518" s="1889"/>
      <c r="J518" s="1020"/>
      <c r="K518" s="1021"/>
      <c r="L518" s="1021"/>
      <c r="M518" s="1021"/>
      <c r="N518" s="1021"/>
      <c r="O518" s="1022"/>
      <c r="P518" s="990"/>
      <c r="Q518" s="990"/>
      <c r="R518" s="990"/>
      <c r="S518" s="990"/>
      <c r="T518" s="990"/>
      <c r="U518" s="1040" t="str">
        <f>IF(OR('1_入力シート【基本情報】'!DN361="レ",'1_入力シート【基本情報】'!DM361="レ"),"レ","")</f>
        <v/>
      </c>
      <c r="V518" s="990" t="s">
        <v>864</v>
      </c>
      <c r="W518" s="990"/>
      <c r="X518" s="990"/>
      <c r="Y518" s="990"/>
      <c r="Z518" s="990"/>
      <c r="AA518" s="990"/>
      <c r="AB518" s="990"/>
      <c r="AC518" s="990"/>
      <c r="AD518" s="990"/>
      <c r="AE518" s="990"/>
      <c r="AF518" s="990"/>
      <c r="AG518" s="990"/>
      <c r="AH518" s="990"/>
      <c r="AI518" s="990"/>
      <c r="AJ518" s="990"/>
      <c r="AK518" s="990"/>
      <c r="AL518" s="990"/>
      <c r="AM518" s="990"/>
      <c r="AN518" s="990"/>
      <c r="AO518" s="990"/>
      <c r="AP518" s="990"/>
      <c r="AQ518" s="990"/>
      <c r="AR518" s="990"/>
      <c r="AS518" s="1041"/>
      <c r="AT518" s="1888"/>
      <c r="AU518" s="1888"/>
      <c r="AV518" s="1888"/>
      <c r="AW518" s="1890"/>
      <c r="AX518" s="1884"/>
      <c r="BC518" s="1891"/>
    </row>
    <row r="519" spans="1:55" s="1883" customFormat="1" ht="12.95" customHeight="1" x14ac:dyDescent="0.15">
      <c r="A519" s="1884"/>
      <c r="C519" s="3206" t="s">
        <v>861</v>
      </c>
      <c r="D519" s="3207"/>
      <c r="E519" s="3207"/>
      <c r="F519" s="3207"/>
      <c r="G519" s="3207"/>
      <c r="H519" s="3207"/>
      <c r="I519" s="3208"/>
      <c r="J519" s="3202" t="s">
        <v>856</v>
      </c>
      <c r="K519" s="3203"/>
      <c r="L519" s="3203"/>
      <c r="M519" s="3203"/>
      <c r="N519" s="3203"/>
      <c r="O519" s="3204"/>
      <c r="P519" s="3185" t="str">
        <f>'1_入力シート【基本情報】'!$DY$361</f>
        <v/>
      </c>
      <c r="Q519" s="3186"/>
      <c r="R519" s="3186"/>
      <c r="S519" s="3186"/>
      <c r="T519" s="3186"/>
      <c r="U519" s="3186"/>
      <c r="V519" s="3186"/>
      <c r="W519" s="3186"/>
      <c r="X519" s="3186"/>
      <c r="Y519" s="3186"/>
      <c r="Z519" s="3186"/>
      <c r="AA519" s="3186"/>
      <c r="AB519" s="3186"/>
      <c r="AC519" s="3186"/>
      <c r="AD519" s="3186"/>
      <c r="AE519" s="3186"/>
      <c r="AF519" s="3186"/>
      <c r="AG519" s="3186"/>
      <c r="AH519" s="3186"/>
      <c r="AI519" s="3186"/>
      <c r="AJ519" s="3186"/>
      <c r="AK519" s="3186"/>
      <c r="AL519" s="3186"/>
      <c r="AM519" s="3186"/>
      <c r="AN519" s="3186"/>
      <c r="AO519" s="3186"/>
      <c r="AP519" s="3186"/>
      <c r="AQ519" s="3186"/>
      <c r="AR519" s="3186"/>
      <c r="AS519" s="3187"/>
      <c r="AT519" s="1888"/>
      <c r="AU519" s="1888"/>
      <c r="AV519" s="1888"/>
      <c r="AW519" s="1890"/>
      <c r="AX519" s="1884"/>
      <c r="BC519" s="1891"/>
    </row>
    <row r="520" spans="1:55" s="1883" customFormat="1" ht="12.95" customHeight="1" x14ac:dyDescent="0.15">
      <c r="A520" s="1884"/>
      <c r="C520" s="1039"/>
      <c r="D520" s="964"/>
      <c r="E520" s="964"/>
      <c r="F520" s="964"/>
      <c r="G520" s="964"/>
      <c r="H520" s="964"/>
      <c r="I520" s="1889"/>
      <c r="J520" s="988"/>
      <c r="K520" s="1018"/>
      <c r="L520" s="1018"/>
      <c r="M520" s="1018"/>
      <c r="N520" s="1018"/>
      <c r="O520" s="1019"/>
      <c r="P520" s="3188"/>
      <c r="Q520" s="3189"/>
      <c r="R520" s="3189"/>
      <c r="S520" s="3189"/>
      <c r="T520" s="3189"/>
      <c r="U520" s="3189"/>
      <c r="V520" s="3189"/>
      <c r="W520" s="3189"/>
      <c r="X520" s="3189"/>
      <c r="Y520" s="3189"/>
      <c r="Z520" s="3189"/>
      <c r="AA520" s="3189"/>
      <c r="AB520" s="3189"/>
      <c r="AC520" s="3189"/>
      <c r="AD520" s="3189"/>
      <c r="AE520" s="3189"/>
      <c r="AF520" s="3189"/>
      <c r="AG520" s="3189"/>
      <c r="AH520" s="3189"/>
      <c r="AI520" s="3189"/>
      <c r="AJ520" s="3189"/>
      <c r="AK520" s="3189"/>
      <c r="AL520" s="3189"/>
      <c r="AM520" s="3189"/>
      <c r="AN520" s="3189"/>
      <c r="AO520" s="3189"/>
      <c r="AP520" s="3189"/>
      <c r="AQ520" s="3189"/>
      <c r="AR520" s="3189"/>
      <c r="AS520" s="3190"/>
      <c r="AT520" s="1888"/>
      <c r="AU520" s="1888"/>
      <c r="AV520" s="1888"/>
      <c r="AW520" s="1890"/>
      <c r="AX520" s="1884"/>
      <c r="BC520" s="1891"/>
    </row>
    <row r="521" spans="1:55" s="1883" customFormat="1" ht="16.5" customHeight="1" x14ac:dyDescent="0.15">
      <c r="A521" s="1884"/>
      <c r="C521" s="983"/>
      <c r="D521" s="964"/>
      <c r="E521" s="964"/>
      <c r="F521" s="964"/>
      <c r="G521" s="964"/>
      <c r="H521" s="964"/>
      <c r="I521" s="1889"/>
      <c r="J521" s="988"/>
      <c r="K521" s="1018"/>
      <c r="L521" s="1018"/>
      <c r="M521" s="1018"/>
      <c r="N521" s="1018"/>
      <c r="O521" s="1019"/>
      <c r="P521" s="3188"/>
      <c r="Q521" s="3189"/>
      <c r="R521" s="3189"/>
      <c r="S521" s="3189"/>
      <c r="T521" s="3189"/>
      <c r="U521" s="3189"/>
      <c r="V521" s="3189"/>
      <c r="W521" s="3189"/>
      <c r="X521" s="3189"/>
      <c r="Y521" s="3189"/>
      <c r="Z521" s="3189"/>
      <c r="AA521" s="3189"/>
      <c r="AB521" s="3189"/>
      <c r="AC521" s="3189"/>
      <c r="AD521" s="3189"/>
      <c r="AE521" s="3189"/>
      <c r="AF521" s="3189"/>
      <c r="AG521" s="3189"/>
      <c r="AH521" s="3189"/>
      <c r="AI521" s="3189"/>
      <c r="AJ521" s="3189"/>
      <c r="AK521" s="3189"/>
      <c r="AL521" s="3189"/>
      <c r="AM521" s="3189"/>
      <c r="AN521" s="3189"/>
      <c r="AO521" s="3189"/>
      <c r="AP521" s="3189"/>
      <c r="AQ521" s="3189"/>
      <c r="AR521" s="3189"/>
      <c r="AS521" s="3190"/>
      <c r="AT521" s="1888"/>
      <c r="AU521" s="1888"/>
      <c r="AV521" s="1888"/>
      <c r="AW521" s="1890"/>
      <c r="AX521" s="1884"/>
      <c r="BC521" s="1891"/>
    </row>
    <row r="522" spans="1:55" s="1883" customFormat="1" ht="12.95" customHeight="1" x14ac:dyDescent="0.15">
      <c r="A522" s="1884"/>
      <c r="C522" s="983"/>
      <c r="D522" s="964"/>
      <c r="E522" s="964"/>
      <c r="F522" s="964"/>
      <c r="G522" s="964"/>
      <c r="H522" s="964"/>
      <c r="I522" s="1889"/>
      <c r="J522" s="988"/>
      <c r="K522" s="1018"/>
      <c r="L522" s="1018"/>
      <c r="M522" s="1018"/>
      <c r="N522" s="1018"/>
      <c r="O522" s="1019"/>
      <c r="P522" s="3188"/>
      <c r="Q522" s="3189"/>
      <c r="R522" s="3189"/>
      <c r="S522" s="3189"/>
      <c r="T522" s="3189"/>
      <c r="U522" s="3189"/>
      <c r="V522" s="3189"/>
      <c r="W522" s="3189"/>
      <c r="X522" s="3189"/>
      <c r="Y522" s="3189"/>
      <c r="Z522" s="3189"/>
      <c r="AA522" s="3189"/>
      <c r="AB522" s="3189"/>
      <c r="AC522" s="3189"/>
      <c r="AD522" s="3189"/>
      <c r="AE522" s="3189"/>
      <c r="AF522" s="3189"/>
      <c r="AG522" s="3189"/>
      <c r="AH522" s="3189"/>
      <c r="AI522" s="3189"/>
      <c r="AJ522" s="3189"/>
      <c r="AK522" s="3189"/>
      <c r="AL522" s="3189"/>
      <c r="AM522" s="3189"/>
      <c r="AN522" s="3189"/>
      <c r="AO522" s="3189"/>
      <c r="AP522" s="3189"/>
      <c r="AQ522" s="3189"/>
      <c r="AR522" s="3189"/>
      <c r="AS522" s="3190"/>
      <c r="AT522" s="1888"/>
      <c r="AU522" s="1888"/>
      <c r="AV522" s="1888"/>
      <c r="AW522" s="1890"/>
      <c r="AX522" s="1884"/>
      <c r="BC522" s="1891"/>
    </row>
    <row r="523" spans="1:55" s="1883" customFormat="1" ht="12.95" customHeight="1" x14ac:dyDescent="0.15">
      <c r="A523" s="1884"/>
      <c r="C523" s="983"/>
      <c r="D523" s="964"/>
      <c r="E523" s="964"/>
      <c r="F523" s="964"/>
      <c r="G523" s="964"/>
      <c r="H523" s="964"/>
      <c r="I523" s="1889"/>
      <c r="J523" s="988"/>
      <c r="K523" s="1018"/>
      <c r="L523" s="1018"/>
      <c r="M523" s="1018"/>
      <c r="N523" s="1018"/>
      <c r="O523" s="1019"/>
      <c r="P523" s="3188"/>
      <c r="Q523" s="3189"/>
      <c r="R523" s="3189"/>
      <c r="S523" s="3189"/>
      <c r="T523" s="3189"/>
      <c r="U523" s="3189"/>
      <c r="V523" s="3189"/>
      <c r="W523" s="3189"/>
      <c r="X523" s="3189"/>
      <c r="Y523" s="3189"/>
      <c r="Z523" s="3189"/>
      <c r="AA523" s="3189"/>
      <c r="AB523" s="3189"/>
      <c r="AC523" s="3189"/>
      <c r="AD523" s="3189"/>
      <c r="AE523" s="3189"/>
      <c r="AF523" s="3189"/>
      <c r="AG523" s="3189"/>
      <c r="AH523" s="3189"/>
      <c r="AI523" s="3189"/>
      <c r="AJ523" s="3189"/>
      <c r="AK523" s="3189"/>
      <c r="AL523" s="3189"/>
      <c r="AM523" s="3189"/>
      <c r="AN523" s="3189"/>
      <c r="AO523" s="3189"/>
      <c r="AP523" s="3189"/>
      <c r="AQ523" s="3189"/>
      <c r="AR523" s="3189"/>
      <c r="AS523" s="3190"/>
      <c r="AT523" s="1888"/>
      <c r="AU523" s="1888"/>
      <c r="AV523" s="1888"/>
      <c r="AW523" s="1890"/>
      <c r="AX523" s="1884"/>
      <c r="BC523" s="1891"/>
    </row>
    <row r="524" spans="1:55" s="1883" customFormat="1" ht="12.95" customHeight="1" x14ac:dyDescent="0.15">
      <c r="A524" s="1884"/>
      <c r="C524" s="983"/>
      <c r="D524" s="964"/>
      <c r="E524" s="964"/>
      <c r="F524" s="964"/>
      <c r="G524" s="964"/>
      <c r="H524" s="964"/>
      <c r="I524" s="1889"/>
      <c r="J524" s="988"/>
      <c r="K524" s="1018"/>
      <c r="L524" s="1018"/>
      <c r="M524" s="1018"/>
      <c r="N524" s="1018"/>
      <c r="O524" s="1019"/>
      <c r="P524" s="3188"/>
      <c r="Q524" s="3189"/>
      <c r="R524" s="3189"/>
      <c r="S524" s="3189"/>
      <c r="T524" s="3189"/>
      <c r="U524" s="3189"/>
      <c r="V524" s="3189"/>
      <c r="W524" s="3189"/>
      <c r="X524" s="3189"/>
      <c r="Y524" s="3189"/>
      <c r="Z524" s="3189"/>
      <c r="AA524" s="3189"/>
      <c r="AB524" s="3189"/>
      <c r="AC524" s="3189"/>
      <c r="AD524" s="3189"/>
      <c r="AE524" s="3189"/>
      <c r="AF524" s="3189"/>
      <c r="AG524" s="3189"/>
      <c r="AH524" s="3189"/>
      <c r="AI524" s="3189"/>
      <c r="AJ524" s="3189"/>
      <c r="AK524" s="3189"/>
      <c r="AL524" s="3189"/>
      <c r="AM524" s="3189"/>
      <c r="AN524" s="3189"/>
      <c r="AO524" s="3189"/>
      <c r="AP524" s="3189"/>
      <c r="AQ524" s="3189"/>
      <c r="AR524" s="3189"/>
      <c r="AS524" s="3190"/>
      <c r="AT524" s="1888"/>
      <c r="AU524" s="1888"/>
      <c r="AV524" s="1888"/>
      <c r="AW524" s="1890"/>
      <c r="AX524" s="1884"/>
      <c r="BC524" s="1891"/>
    </row>
    <row r="525" spans="1:55" s="1883" customFormat="1" ht="12.95" customHeight="1" x14ac:dyDescent="0.15">
      <c r="A525" s="1884"/>
      <c r="C525" s="983"/>
      <c r="D525" s="964"/>
      <c r="E525" s="964"/>
      <c r="F525" s="964"/>
      <c r="G525" s="964"/>
      <c r="H525" s="964"/>
      <c r="I525" s="1889"/>
      <c r="J525" s="988"/>
      <c r="K525" s="1018"/>
      <c r="L525" s="1018"/>
      <c r="M525" s="1018"/>
      <c r="N525" s="1018"/>
      <c r="O525" s="1019"/>
      <c r="P525" s="3188"/>
      <c r="Q525" s="3189"/>
      <c r="R525" s="3189"/>
      <c r="S525" s="3189"/>
      <c r="T525" s="3189"/>
      <c r="U525" s="3189"/>
      <c r="V525" s="3189"/>
      <c r="W525" s="3189"/>
      <c r="X525" s="3189"/>
      <c r="Y525" s="3189"/>
      <c r="Z525" s="3189"/>
      <c r="AA525" s="3189"/>
      <c r="AB525" s="3189"/>
      <c r="AC525" s="3189"/>
      <c r="AD525" s="3189"/>
      <c r="AE525" s="3189"/>
      <c r="AF525" s="3189"/>
      <c r="AG525" s="3189"/>
      <c r="AH525" s="3189"/>
      <c r="AI525" s="3189"/>
      <c r="AJ525" s="3189"/>
      <c r="AK525" s="3189"/>
      <c r="AL525" s="3189"/>
      <c r="AM525" s="3189"/>
      <c r="AN525" s="3189"/>
      <c r="AO525" s="3189"/>
      <c r="AP525" s="3189"/>
      <c r="AQ525" s="3189"/>
      <c r="AR525" s="3189"/>
      <c r="AS525" s="3190"/>
      <c r="AT525" s="1888"/>
      <c r="AU525" s="1888"/>
      <c r="AV525" s="1888"/>
      <c r="AW525" s="1890"/>
      <c r="AX525" s="1884"/>
      <c r="BC525" s="1891"/>
    </row>
    <row r="526" spans="1:55" s="1883" customFormat="1" ht="12.95" customHeight="1" x14ac:dyDescent="0.15">
      <c r="A526" s="1884"/>
      <c r="C526" s="983"/>
      <c r="D526" s="964"/>
      <c r="E526" s="964"/>
      <c r="F526" s="964"/>
      <c r="G526" s="964"/>
      <c r="H526" s="964"/>
      <c r="I526" s="1889"/>
      <c r="J526" s="988"/>
      <c r="K526" s="1018"/>
      <c r="L526" s="1018"/>
      <c r="M526" s="1018"/>
      <c r="N526" s="1018"/>
      <c r="O526" s="1019"/>
      <c r="P526" s="3188"/>
      <c r="Q526" s="3189"/>
      <c r="R526" s="3189"/>
      <c r="S526" s="3189"/>
      <c r="T526" s="3189"/>
      <c r="U526" s="3189"/>
      <c r="V526" s="3189"/>
      <c r="W526" s="3189"/>
      <c r="X526" s="3189"/>
      <c r="Y526" s="3189"/>
      <c r="Z526" s="3189"/>
      <c r="AA526" s="3189"/>
      <c r="AB526" s="3189"/>
      <c r="AC526" s="3189"/>
      <c r="AD526" s="3189"/>
      <c r="AE526" s="3189"/>
      <c r="AF526" s="3189"/>
      <c r="AG526" s="3189"/>
      <c r="AH526" s="3189"/>
      <c r="AI526" s="3189"/>
      <c r="AJ526" s="3189"/>
      <c r="AK526" s="3189"/>
      <c r="AL526" s="3189"/>
      <c r="AM526" s="3189"/>
      <c r="AN526" s="3189"/>
      <c r="AO526" s="3189"/>
      <c r="AP526" s="3189"/>
      <c r="AQ526" s="3189"/>
      <c r="AR526" s="3189"/>
      <c r="AS526" s="3190"/>
      <c r="AT526" s="1888"/>
      <c r="AU526" s="1888"/>
      <c r="AV526" s="1888"/>
      <c r="AW526" s="1890"/>
      <c r="AX526" s="1884"/>
      <c r="BC526" s="1891"/>
    </row>
    <row r="527" spans="1:55" s="1883" customFormat="1" ht="12.95" customHeight="1" x14ac:dyDescent="0.15">
      <c r="A527" s="1884"/>
      <c r="C527" s="989"/>
      <c r="D527" s="990"/>
      <c r="E527" s="990"/>
      <c r="F527" s="990"/>
      <c r="G527" s="990"/>
      <c r="H527" s="990"/>
      <c r="I527" s="1896"/>
      <c r="J527" s="1020"/>
      <c r="K527" s="1021"/>
      <c r="L527" s="1021"/>
      <c r="M527" s="1021"/>
      <c r="N527" s="1021"/>
      <c r="O527" s="1022"/>
      <c r="P527" s="3191"/>
      <c r="Q527" s="3192"/>
      <c r="R527" s="3192"/>
      <c r="S527" s="3192"/>
      <c r="T527" s="3192"/>
      <c r="U527" s="3192"/>
      <c r="V527" s="3192"/>
      <c r="W527" s="3192"/>
      <c r="X527" s="3192"/>
      <c r="Y527" s="3192"/>
      <c r="Z527" s="3192"/>
      <c r="AA527" s="3192"/>
      <c r="AB527" s="3192"/>
      <c r="AC527" s="3192"/>
      <c r="AD527" s="3192"/>
      <c r="AE527" s="3192"/>
      <c r="AF527" s="3192"/>
      <c r="AG527" s="3192"/>
      <c r="AH527" s="3192"/>
      <c r="AI527" s="3192"/>
      <c r="AJ527" s="3192"/>
      <c r="AK527" s="3192"/>
      <c r="AL527" s="3192"/>
      <c r="AM527" s="3192"/>
      <c r="AN527" s="3192"/>
      <c r="AO527" s="3192"/>
      <c r="AP527" s="3192"/>
      <c r="AQ527" s="3192"/>
      <c r="AR527" s="3192"/>
      <c r="AS527" s="3193"/>
      <c r="AT527" s="1888"/>
      <c r="AU527" s="1888"/>
      <c r="AV527" s="1888"/>
      <c r="AW527" s="1890"/>
      <c r="AX527" s="1884"/>
      <c r="BC527" s="1891"/>
    </row>
    <row r="528" spans="1:55" s="1883" customFormat="1" ht="12.95" hidden="1" customHeight="1" thickBot="1" x14ac:dyDescent="0.2">
      <c r="A528" s="1884"/>
      <c r="C528" s="1023"/>
      <c r="D528" s="1024"/>
      <c r="E528" s="1024"/>
      <c r="F528" s="1024"/>
      <c r="G528" s="1024"/>
      <c r="H528" s="1024"/>
      <c r="I528" s="1024"/>
      <c r="J528" s="1025" t="s">
        <v>857</v>
      </c>
      <c r="K528" s="1026"/>
      <c r="L528" s="1026"/>
      <c r="M528" s="1026"/>
      <c r="N528" s="1026"/>
      <c r="O528" s="1027"/>
      <c r="P528" s="1024"/>
      <c r="Q528" s="1024"/>
      <c r="R528" s="1024"/>
      <c r="S528" s="1024"/>
      <c r="T528" s="1024"/>
      <c r="U528" s="1028" t="str">
        <f>IF(OR('1_入力シート【基本情報】'!EB361="レ",'1_入力シート【基本情報】'!EC361="レ",'1_入力シート【基本情報】'!EG361="レ",'1_入力シート【基本情報】'!EH361="レ"),"レ","")</f>
        <v/>
      </c>
      <c r="V528" s="1024" t="s">
        <v>865</v>
      </c>
      <c r="W528" s="1024"/>
      <c r="X528" s="1029"/>
      <c r="Y528" s="1029"/>
      <c r="Z528" s="1030" t="s">
        <v>866</v>
      </c>
      <c r="AA528" s="3194" t="str">
        <f>IF('1_入力シート【基本情報】'!ED361&lt;&gt;"",'1_入力シート【基本情報】'!ED361,IF('1_入力シート【基本情報】'!EI361&lt;&gt;"",'1_入力シート【基本情報】'!EI361,""))</f>
        <v/>
      </c>
      <c r="AB528" s="3201"/>
      <c r="AC528" s="1024" t="s">
        <v>850</v>
      </c>
      <c r="AD528" s="3194" t="str">
        <f>IF('1_入力シート【基本情報】'!EE361&lt;&gt;"",'1_入力シート【基本情報】'!EE361,IF('1_入力シート【基本情報】'!EJ361&lt;&gt;"",'1_入力シート【基本情報】'!EJ361,""))</f>
        <v/>
      </c>
      <c r="AE528" s="3194"/>
      <c r="AF528" s="1024" t="str">
        <f>IF(OR('1_入力シート【基本情報】'!EC361="レ",'1_入力シート【基本情報】'!EH361="レ"),"月に改善)","月に改善予定)")</f>
        <v>月に改善予定)</v>
      </c>
      <c r="AG528" s="1024"/>
      <c r="AH528" s="1024"/>
      <c r="AI528" s="1024"/>
      <c r="AJ528" s="1024"/>
      <c r="AK528" s="1024"/>
      <c r="AL528" s="1031" t="str">
        <f>IF(OR('1_入力シート【基本情報】'!EF361="レ",'1_入力シート【基本情報】'!EK361="レ"),"レ","")</f>
        <v/>
      </c>
      <c r="AM528" s="1024" t="s">
        <v>867</v>
      </c>
      <c r="AN528" s="1024"/>
      <c r="AO528" s="1024"/>
      <c r="AP528" s="1024"/>
      <c r="AQ528" s="1024"/>
      <c r="AR528" s="1024"/>
      <c r="AS528" s="1032"/>
      <c r="AT528" s="1888"/>
      <c r="AU528" s="1888"/>
      <c r="AV528" s="1888"/>
      <c r="AW528" s="1890"/>
      <c r="AX528" s="1884"/>
      <c r="BC528" s="1891"/>
    </row>
    <row r="529" spans="1:55" s="1883" customFormat="1" ht="12.95" hidden="1" customHeight="1" x14ac:dyDescent="0.15">
      <c r="A529" s="1884"/>
      <c r="C529" s="1033" t="s">
        <v>862</v>
      </c>
      <c r="D529" s="972"/>
      <c r="E529" s="972"/>
      <c r="F529" s="972"/>
      <c r="G529" s="972"/>
      <c r="H529" s="972"/>
      <c r="I529" s="1924"/>
      <c r="J529" s="1034" t="s">
        <v>852</v>
      </c>
      <c r="K529" s="1035"/>
      <c r="L529" s="1035"/>
      <c r="M529" s="1035"/>
      <c r="N529" s="1035"/>
      <c r="O529" s="1036"/>
      <c r="P529" s="975"/>
      <c r="Q529" s="975"/>
      <c r="R529" s="1887"/>
      <c r="S529" s="1887"/>
      <c r="T529" s="1887"/>
      <c r="U529" s="1037" t="str">
        <f>IF('1_入力シート【基本情報】'!DP379="レ","レ",IF('1_入力シート【基本情報】'!DO379="レ","レ",""))</f>
        <v/>
      </c>
      <c r="V529" s="975" t="s">
        <v>853</v>
      </c>
      <c r="W529" s="975"/>
      <c r="X529" s="975"/>
      <c r="Y529" s="975"/>
      <c r="Z529" s="975"/>
      <c r="AA529" s="975"/>
      <c r="AB529" s="1887"/>
      <c r="AC529" s="975" t="s">
        <v>432</v>
      </c>
      <c r="AD529" s="977" t="str">
        <f>'1_入力シート【基本情報】'!DP379</f>
        <v/>
      </c>
      <c r="AE529" s="975" t="s">
        <v>854</v>
      </c>
      <c r="AF529" s="975"/>
      <c r="AG529" s="975"/>
      <c r="AH529" s="975"/>
      <c r="AI529" s="975"/>
      <c r="AJ529" s="1887"/>
      <c r="AK529" s="975"/>
      <c r="AL529" s="975"/>
      <c r="AM529" s="975"/>
      <c r="AN529" s="975"/>
      <c r="AO529" s="975"/>
      <c r="AP529" s="975"/>
      <c r="AQ529" s="975"/>
      <c r="AR529" s="975"/>
      <c r="AS529" s="1038"/>
      <c r="AT529" s="1888"/>
      <c r="AU529" s="1888"/>
      <c r="AV529" s="1888"/>
      <c r="AW529" s="1890"/>
      <c r="AX529" s="1884"/>
      <c r="BC529" s="1891"/>
    </row>
    <row r="530" spans="1:55" s="1883" customFormat="1" ht="12.95" hidden="1" customHeight="1" thickBot="1" x14ac:dyDescent="0.2">
      <c r="A530" s="1884"/>
      <c r="C530" s="1039" t="s">
        <v>863</v>
      </c>
      <c r="D530" s="981"/>
      <c r="E530" s="981"/>
      <c r="F530" s="981"/>
      <c r="G530" s="981"/>
      <c r="H530" s="981"/>
      <c r="I530" s="1925"/>
      <c r="J530" s="1020"/>
      <c r="K530" s="1021"/>
      <c r="L530" s="1021"/>
      <c r="M530" s="1021"/>
      <c r="N530" s="1021"/>
      <c r="O530" s="1022"/>
      <c r="P530" s="990"/>
      <c r="Q530" s="990"/>
      <c r="R530" s="990"/>
      <c r="S530" s="990"/>
      <c r="T530" s="990"/>
      <c r="U530" s="1040" t="str">
        <f>IF(OR('1_入力シート【基本情報】'!DN379="レ",'1_入力シート【基本情報】'!DM379="レ"),"レ","")</f>
        <v/>
      </c>
      <c r="V530" s="990" t="s">
        <v>864</v>
      </c>
      <c r="W530" s="990"/>
      <c r="X530" s="990"/>
      <c r="Y530" s="990"/>
      <c r="Z530" s="990"/>
      <c r="AA530" s="990"/>
      <c r="AB530" s="990"/>
      <c r="AC530" s="990"/>
      <c r="AD530" s="990"/>
      <c r="AE530" s="990"/>
      <c r="AF530" s="990"/>
      <c r="AG530" s="990"/>
      <c r="AH530" s="990"/>
      <c r="AI530" s="990"/>
      <c r="AJ530" s="990"/>
      <c r="AK530" s="990"/>
      <c r="AL530" s="990"/>
      <c r="AM530" s="990"/>
      <c r="AN530" s="990"/>
      <c r="AO530" s="990"/>
      <c r="AP530" s="990"/>
      <c r="AQ530" s="990"/>
      <c r="AR530" s="990"/>
      <c r="AS530" s="1041"/>
      <c r="AT530" s="1888"/>
      <c r="AU530" s="1888"/>
      <c r="AV530" s="1888"/>
      <c r="AW530" s="1890"/>
      <c r="AX530" s="1884"/>
      <c r="BC530" s="1891"/>
    </row>
    <row r="531" spans="1:55" s="1883" customFormat="1" ht="12.95" customHeight="1" x14ac:dyDescent="0.15">
      <c r="A531" s="1884"/>
      <c r="C531" s="3206" t="s">
        <v>863</v>
      </c>
      <c r="D531" s="3207"/>
      <c r="E531" s="3207"/>
      <c r="F531" s="3207"/>
      <c r="G531" s="3207"/>
      <c r="H531" s="3207"/>
      <c r="I531" s="3208"/>
      <c r="J531" s="3202" t="s">
        <v>856</v>
      </c>
      <c r="K531" s="3203"/>
      <c r="L531" s="3203"/>
      <c r="M531" s="3203"/>
      <c r="N531" s="3203"/>
      <c r="O531" s="3204"/>
      <c r="P531" s="3185" t="str">
        <f>'1_入力シート【基本情報】'!$DY$379&amp;IF(AND('1_入力シート【基本情報】'!$DY$379&lt;&gt;"",'1_入力シート【基本情報】'!$DY$493&lt;&gt;""),", ","")&amp;'1_入力シート【基本情報】'!$DY$493</f>
        <v/>
      </c>
      <c r="Q531" s="3186"/>
      <c r="R531" s="3186"/>
      <c r="S531" s="3186"/>
      <c r="T531" s="3186"/>
      <c r="U531" s="3186"/>
      <c r="V531" s="3186"/>
      <c r="W531" s="3186"/>
      <c r="X531" s="3186"/>
      <c r="Y531" s="3186"/>
      <c r="Z531" s="3186"/>
      <c r="AA531" s="3186"/>
      <c r="AB531" s="3186"/>
      <c r="AC531" s="3186"/>
      <c r="AD531" s="3186"/>
      <c r="AE531" s="3186"/>
      <c r="AF531" s="3186"/>
      <c r="AG531" s="3186"/>
      <c r="AH531" s="3186"/>
      <c r="AI531" s="3186"/>
      <c r="AJ531" s="3186"/>
      <c r="AK531" s="3186"/>
      <c r="AL531" s="3186"/>
      <c r="AM531" s="3186"/>
      <c r="AN531" s="3186"/>
      <c r="AO531" s="3186"/>
      <c r="AP531" s="3186"/>
      <c r="AQ531" s="3186"/>
      <c r="AR531" s="3186"/>
      <c r="AS531" s="3187"/>
      <c r="AT531" s="1888"/>
      <c r="AU531" s="1888"/>
      <c r="AV531" s="1888"/>
      <c r="AW531" s="1890"/>
      <c r="AX531" s="1884"/>
      <c r="BC531" s="1891"/>
    </row>
    <row r="532" spans="1:55" s="1883" customFormat="1" ht="12.95" customHeight="1" x14ac:dyDescent="0.15">
      <c r="A532" s="1884"/>
      <c r="C532" s="1039"/>
      <c r="D532" s="964"/>
      <c r="E532" s="964"/>
      <c r="F532" s="964"/>
      <c r="G532" s="964"/>
      <c r="H532" s="964"/>
      <c r="I532" s="1889"/>
      <c r="J532" s="988"/>
      <c r="K532" s="1018"/>
      <c r="L532" s="1018"/>
      <c r="M532" s="1018"/>
      <c r="N532" s="1018"/>
      <c r="O532" s="1019"/>
      <c r="P532" s="3188"/>
      <c r="Q532" s="3189"/>
      <c r="R532" s="3189"/>
      <c r="S532" s="3189"/>
      <c r="T532" s="3189"/>
      <c r="U532" s="3189"/>
      <c r="V532" s="3189"/>
      <c r="W532" s="3189"/>
      <c r="X532" s="3189"/>
      <c r="Y532" s="3189"/>
      <c r="Z532" s="3189"/>
      <c r="AA532" s="3189"/>
      <c r="AB532" s="3189"/>
      <c r="AC532" s="3189"/>
      <c r="AD532" s="3189"/>
      <c r="AE532" s="3189"/>
      <c r="AF532" s="3189"/>
      <c r="AG532" s="3189"/>
      <c r="AH532" s="3189"/>
      <c r="AI532" s="3189"/>
      <c r="AJ532" s="3189"/>
      <c r="AK532" s="3189"/>
      <c r="AL532" s="3189"/>
      <c r="AM532" s="3189"/>
      <c r="AN532" s="3189"/>
      <c r="AO532" s="3189"/>
      <c r="AP532" s="3189"/>
      <c r="AQ532" s="3189"/>
      <c r="AR532" s="3189"/>
      <c r="AS532" s="3190"/>
      <c r="AT532" s="1888"/>
      <c r="AU532" s="1888"/>
      <c r="AV532" s="1888"/>
      <c r="AW532" s="1890"/>
      <c r="AX532" s="1884"/>
      <c r="BC532" s="1891"/>
    </row>
    <row r="533" spans="1:55" s="1883" customFormat="1" ht="12.95" customHeight="1" x14ac:dyDescent="0.15">
      <c r="A533" s="1884"/>
      <c r="C533" s="983"/>
      <c r="D533" s="964"/>
      <c r="E533" s="964"/>
      <c r="F533" s="964"/>
      <c r="G533" s="964"/>
      <c r="H533" s="964"/>
      <c r="I533" s="1889"/>
      <c r="J533" s="988"/>
      <c r="K533" s="1018"/>
      <c r="L533" s="1018"/>
      <c r="M533" s="1018"/>
      <c r="N533" s="1018"/>
      <c r="O533" s="1019"/>
      <c r="P533" s="3188"/>
      <c r="Q533" s="3189"/>
      <c r="R533" s="3189"/>
      <c r="S533" s="3189"/>
      <c r="T533" s="3189"/>
      <c r="U533" s="3189"/>
      <c r="V533" s="3189"/>
      <c r="W533" s="3189"/>
      <c r="X533" s="3189"/>
      <c r="Y533" s="3189"/>
      <c r="Z533" s="3189"/>
      <c r="AA533" s="3189"/>
      <c r="AB533" s="3189"/>
      <c r="AC533" s="3189"/>
      <c r="AD533" s="3189"/>
      <c r="AE533" s="3189"/>
      <c r="AF533" s="3189"/>
      <c r="AG533" s="3189"/>
      <c r="AH533" s="3189"/>
      <c r="AI533" s="3189"/>
      <c r="AJ533" s="3189"/>
      <c r="AK533" s="3189"/>
      <c r="AL533" s="3189"/>
      <c r="AM533" s="3189"/>
      <c r="AN533" s="3189"/>
      <c r="AO533" s="3189"/>
      <c r="AP533" s="3189"/>
      <c r="AQ533" s="3189"/>
      <c r="AR533" s="3189"/>
      <c r="AS533" s="3190"/>
      <c r="AT533" s="1888"/>
      <c r="AU533" s="1888"/>
      <c r="AV533" s="1888"/>
      <c r="AW533" s="1890"/>
      <c r="AX533" s="1884"/>
      <c r="BC533" s="1891"/>
    </row>
    <row r="534" spans="1:55" s="1883" customFormat="1" ht="12.95" customHeight="1" x14ac:dyDescent="0.15">
      <c r="A534" s="1884"/>
      <c r="C534" s="983"/>
      <c r="D534" s="964"/>
      <c r="E534" s="964"/>
      <c r="F534" s="964"/>
      <c r="G534" s="964"/>
      <c r="H534" s="964"/>
      <c r="I534" s="1889"/>
      <c r="J534" s="988"/>
      <c r="K534" s="1018"/>
      <c r="L534" s="1018"/>
      <c r="M534" s="1018"/>
      <c r="N534" s="1018"/>
      <c r="O534" s="1019"/>
      <c r="P534" s="3188"/>
      <c r="Q534" s="3189"/>
      <c r="R534" s="3189"/>
      <c r="S534" s="3189"/>
      <c r="T534" s="3189"/>
      <c r="U534" s="3189"/>
      <c r="V534" s="3189"/>
      <c r="W534" s="3189"/>
      <c r="X534" s="3189"/>
      <c r="Y534" s="3189"/>
      <c r="Z534" s="3189"/>
      <c r="AA534" s="3189"/>
      <c r="AB534" s="3189"/>
      <c r="AC534" s="3189"/>
      <c r="AD534" s="3189"/>
      <c r="AE534" s="3189"/>
      <c r="AF534" s="3189"/>
      <c r="AG534" s="3189"/>
      <c r="AH534" s="3189"/>
      <c r="AI534" s="3189"/>
      <c r="AJ534" s="3189"/>
      <c r="AK534" s="3189"/>
      <c r="AL534" s="3189"/>
      <c r="AM534" s="3189"/>
      <c r="AN534" s="3189"/>
      <c r="AO534" s="3189"/>
      <c r="AP534" s="3189"/>
      <c r="AQ534" s="3189"/>
      <c r="AR534" s="3189"/>
      <c r="AS534" s="3190"/>
      <c r="AT534" s="1888"/>
      <c r="AU534" s="1888"/>
      <c r="AV534" s="1888"/>
      <c r="AW534" s="1890"/>
      <c r="AX534" s="1884"/>
      <c r="BC534" s="1891"/>
    </row>
    <row r="535" spans="1:55" s="1883" customFormat="1" ht="12.95" customHeight="1" x14ac:dyDescent="0.15">
      <c r="A535" s="1884"/>
      <c r="C535" s="983"/>
      <c r="D535" s="964"/>
      <c r="E535" s="964"/>
      <c r="F535" s="964"/>
      <c r="G535" s="964"/>
      <c r="H535" s="964"/>
      <c r="I535" s="1889"/>
      <c r="J535" s="988"/>
      <c r="K535" s="1018"/>
      <c r="L535" s="1018"/>
      <c r="M535" s="1018"/>
      <c r="N535" s="1018"/>
      <c r="O535" s="1019"/>
      <c r="P535" s="3188"/>
      <c r="Q535" s="3189"/>
      <c r="R535" s="3189"/>
      <c r="S535" s="3189"/>
      <c r="T535" s="3189"/>
      <c r="U535" s="3189"/>
      <c r="V535" s="3189"/>
      <c r="W535" s="3189"/>
      <c r="X535" s="3189"/>
      <c r="Y535" s="3189"/>
      <c r="Z535" s="3189"/>
      <c r="AA535" s="3189"/>
      <c r="AB535" s="3189"/>
      <c r="AC535" s="3189"/>
      <c r="AD535" s="3189"/>
      <c r="AE535" s="3189"/>
      <c r="AF535" s="3189"/>
      <c r="AG535" s="3189"/>
      <c r="AH535" s="3189"/>
      <c r="AI535" s="3189"/>
      <c r="AJ535" s="3189"/>
      <c r="AK535" s="3189"/>
      <c r="AL535" s="3189"/>
      <c r="AM535" s="3189"/>
      <c r="AN535" s="3189"/>
      <c r="AO535" s="3189"/>
      <c r="AP535" s="3189"/>
      <c r="AQ535" s="3189"/>
      <c r="AR535" s="3189"/>
      <c r="AS535" s="3190"/>
      <c r="AT535" s="1888"/>
      <c r="AU535" s="1888"/>
      <c r="AV535" s="1888"/>
      <c r="AW535" s="1890"/>
      <c r="AX535" s="1884"/>
      <c r="BC535" s="1891"/>
    </row>
    <row r="536" spans="1:55" s="1883" customFormat="1" ht="12.95" customHeight="1" x14ac:dyDescent="0.15">
      <c r="A536" s="1884"/>
      <c r="C536" s="983"/>
      <c r="D536" s="964"/>
      <c r="E536" s="964"/>
      <c r="F536" s="964"/>
      <c r="G536" s="964"/>
      <c r="H536" s="964"/>
      <c r="I536" s="1889"/>
      <c r="J536" s="988"/>
      <c r="K536" s="1018"/>
      <c r="L536" s="1018"/>
      <c r="M536" s="1018"/>
      <c r="N536" s="1018"/>
      <c r="O536" s="1019"/>
      <c r="P536" s="3188"/>
      <c r="Q536" s="3189"/>
      <c r="R536" s="3189"/>
      <c r="S536" s="3189"/>
      <c r="T536" s="3189"/>
      <c r="U536" s="3189"/>
      <c r="V536" s="3189"/>
      <c r="W536" s="3189"/>
      <c r="X536" s="3189"/>
      <c r="Y536" s="3189"/>
      <c r="Z536" s="3189"/>
      <c r="AA536" s="3189"/>
      <c r="AB536" s="3189"/>
      <c r="AC536" s="3189"/>
      <c r="AD536" s="3189"/>
      <c r="AE536" s="3189"/>
      <c r="AF536" s="3189"/>
      <c r="AG536" s="3189"/>
      <c r="AH536" s="3189"/>
      <c r="AI536" s="3189"/>
      <c r="AJ536" s="3189"/>
      <c r="AK536" s="3189"/>
      <c r="AL536" s="3189"/>
      <c r="AM536" s="3189"/>
      <c r="AN536" s="3189"/>
      <c r="AO536" s="3189"/>
      <c r="AP536" s="3189"/>
      <c r="AQ536" s="3189"/>
      <c r="AR536" s="3189"/>
      <c r="AS536" s="3190"/>
      <c r="AT536" s="1888"/>
      <c r="AU536" s="1888"/>
      <c r="AV536" s="1888"/>
      <c r="AW536" s="1890"/>
      <c r="AX536" s="1884"/>
      <c r="BC536" s="1891"/>
    </row>
    <row r="537" spans="1:55" s="1883" customFormat="1" ht="12.95" customHeight="1" x14ac:dyDescent="0.15">
      <c r="A537" s="1884"/>
      <c r="C537" s="983"/>
      <c r="D537" s="964"/>
      <c r="E537" s="964"/>
      <c r="F537" s="964"/>
      <c r="G537" s="964"/>
      <c r="H537" s="964"/>
      <c r="I537" s="1889"/>
      <c r="J537" s="988"/>
      <c r="K537" s="1018"/>
      <c r="L537" s="1018"/>
      <c r="M537" s="1018"/>
      <c r="N537" s="1018"/>
      <c r="O537" s="1019"/>
      <c r="P537" s="3188"/>
      <c r="Q537" s="3189"/>
      <c r="R537" s="3189"/>
      <c r="S537" s="3189"/>
      <c r="T537" s="3189"/>
      <c r="U537" s="3189"/>
      <c r="V537" s="3189"/>
      <c r="W537" s="3189"/>
      <c r="X537" s="3189"/>
      <c r="Y537" s="3189"/>
      <c r="Z537" s="3189"/>
      <c r="AA537" s="3189"/>
      <c r="AB537" s="3189"/>
      <c r="AC537" s="3189"/>
      <c r="AD537" s="3189"/>
      <c r="AE537" s="3189"/>
      <c r="AF537" s="3189"/>
      <c r="AG537" s="3189"/>
      <c r="AH537" s="3189"/>
      <c r="AI537" s="3189"/>
      <c r="AJ537" s="3189"/>
      <c r="AK537" s="3189"/>
      <c r="AL537" s="3189"/>
      <c r="AM537" s="3189"/>
      <c r="AN537" s="3189"/>
      <c r="AO537" s="3189"/>
      <c r="AP537" s="3189"/>
      <c r="AQ537" s="3189"/>
      <c r="AR537" s="3189"/>
      <c r="AS537" s="3190"/>
      <c r="AT537" s="1888"/>
      <c r="AU537" s="1888"/>
      <c r="AV537" s="1888"/>
      <c r="AW537" s="1890"/>
      <c r="AX537" s="1884"/>
      <c r="BC537" s="1891"/>
    </row>
    <row r="538" spans="1:55" s="1883" customFormat="1" ht="12.95" customHeight="1" x14ac:dyDescent="0.15">
      <c r="A538" s="1884"/>
      <c r="C538" s="983"/>
      <c r="D538" s="964"/>
      <c r="E538" s="964"/>
      <c r="F538" s="964"/>
      <c r="G538" s="964"/>
      <c r="H538" s="964"/>
      <c r="I538" s="1889"/>
      <c r="J538" s="988"/>
      <c r="K538" s="1018"/>
      <c r="L538" s="1018"/>
      <c r="M538" s="1018"/>
      <c r="N538" s="1018"/>
      <c r="O538" s="1019"/>
      <c r="P538" s="3188"/>
      <c r="Q538" s="3189"/>
      <c r="R538" s="3189"/>
      <c r="S538" s="3189"/>
      <c r="T538" s="3189"/>
      <c r="U538" s="3189"/>
      <c r="V538" s="3189"/>
      <c r="W538" s="3189"/>
      <c r="X538" s="3189"/>
      <c r="Y538" s="3189"/>
      <c r="Z538" s="3189"/>
      <c r="AA538" s="3189"/>
      <c r="AB538" s="3189"/>
      <c r="AC538" s="3189"/>
      <c r="AD538" s="3189"/>
      <c r="AE538" s="3189"/>
      <c r="AF538" s="3189"/>
      <c r="AG538" s="3189"/>
      <c r="AH538" s="3189"/>
      <c r="AI538" s="3189"/>
      <c r="AJ538" s="3189"/>
      <c r="AK538" s="3189"/>
      <c r="AL538" s="3189"/>
      <c r="AM538" s="3189"/>
      <c r="AN538" s="3189"/>
      <c r="AO538" s="3189"/>
      <c r="AP538" s="3189"/>
      <c r="AQ538" s="3189"/>
      <c r="AR538" s="3189"/>
      <c r="AS538" s="3190"/>
      <c r="AT538" s="1888"/>
      <c r="AU538" s="1888"/>
      <c r="AV538" s="1888"/>
      <c r="AW538" s="1890"/>
      <c r="AX538" s="1884"/>
      <c r="BC538" s="1891"/>
    </row>
    <row r="539" spans="1:55" s="1883" customFormat="1" ht="12.95" customHeight="1" x14ac:dyDescent="0.15">
      <c r="A539" s="1884"/>
      <c r="C539" s="983"/>
      <c r="D539" s="964"/>
      <c r="E539" s="964"/>
      <c r="F539" s="964"/>
      <c r="G539" s="964"/>
      <c r="H539" s="964"/>
      <c r="I539" s="1889"/>
      <c r="J539" s="988"/>
      <c r="K539" s="1018"/>
      <c r="L539" s="1018"/>
      <c r="M539" s="1018"/>
      <c r="N539" s="1018"/>
      <c r="O539" s="1019"/>
      <c r="P539" s="3188"/>
      <c r="Q539" s="3189"/>
      <c r="R539" s="3189"/>
      <c r="S539" s="3189"/>
      <c r="T539" s="3189"/>
      <c r="U539" s="3189"/>
      <c r="V539" s="3189"/>
      <c r="W539" s="3189"/>
      <c r="X539" s="3189"/>
      <c r="Y539" s="3189"/>
      <c r="Z539" s="3189"/>
      <c r="AA539" s="3189"/>
      <c r="AB539" s="3189"/>
      <c r="AC539" s="3189"/>
      <c r="AD539" s="3189"/>
      <c r="AE539" s="3189"/>
      <c r="AF539" s="3189"/>
      <c r="AG539" s="3189"/>
      <c r="AH539" s="3189"/>
      <c r="AI539" s="3189"/>
      <c r="AJ539" s="3189"/>
      <c r="AK539" s="3189"/>
      <c r="AL539" s="3189"/>
      <c r="AM539" s="3189"/>
      <c r="AN539" s="3189"/>
      <c r="AO539" s="3189"/>
      <c r="AP539" s="3189"/>
      <c r="AQ539" s="3189"/>
      <c r="AR539" s="3189"/>
      <c r="AS539" s="3190"/>
      <c r="AT539" s="1888"/>
      <c r="AU539" s="1888"/>
      <c r="AV539" s="1888"/>
      <c r="AW539" s="1890"/>
      <c r="AX539" s="1884"/>
      <c r="BC539" s="1891"/>
    </row>
    <row r="540" spans="1:55" s="1883" customFormat="1" ht="12.95" customHeight="1" x14ac:dyDescent="0.15">
      <c r="A540" s="1884"/>
      <c r="C540" s="983"/>
      <c r="D540" s="964"/>
      <c r="E540" s="964"/>
      <c r="F540" s="964"/>
      <c r="G540" s="964"/>
      <c r="H540" s="964"/>
      <c r="I540" s="1889"/>
      <c r="J540" s="988"/>
      <c r="K540" s="1018"/>
      <c r="L540" s="1018"/>
      <c r="M540" s="1018"/>
      <c r="N540" s="1018"/>
      <c r="O540" s="1019"/>
      <c r="P540" s="3188"/>
      <c r="Q540" s="3189"/>
      <c r="R540" s="3189"/>
      <c r="S540" s="3189"/>
      <c r="T540" s="3189"/>
      <c r="U540" s="3189"/>
      <c r="V540" s="3189"/>
      <c r="W540" s="3189"/>
      <c r="X540" s="3189"/>
      <c r="Y540" s="3189"/>
      <c r="Z540" s="3189"/>
      <c r="AA540" s="3189"/>
      <c r="AB540" s="3189"/>
      <c r="AC540" s="3189"/>
      <c r="AD540" s="3189"/>
      <c r="AE540" s="3189"/>
      <c r="AF540" s="3189"/>
      <c r="AG540" s="3189"/>
      <c r="AH540" s="3189"/>
      <c r="AI540" s="3189"/>
      <c r="AJ540" s="3189"/>
      <c r="AK540" s="3189"/>
      <c r="AL540" s="3189"/>
      <c r="AM540" s="3189"/>
      <c r="AN540" s="3189"/>
      <c r="AO540" s="3189"/>
      <c r="AP540" s="3189"/>
      <c r="AQ540" s="3189"/>
      <c r="AR540" s="3189"/>
      <c r="AS540" s="3190"/>
      <c r="AT540" s="1888"/>
      <c r="AU540" s="1888"/>
      <c r="AV540" s="1888"/>
      <c r="AW540" s="1890"/>
      <c r="AX540" s="1884"/>
      <c r="BC540" s="1891"/>
    </row>
    <row r="541" spans="1:55" s="1883" customFormat="1" ht="12.95" customHeight="1" x14ac:dyDescent="0.15">
      <c r="A541" s="1884"/>
      <c r="C541" s="983"/>
      <c r="D541" s="964"/>
      <c r="E541" s="964"/>
      <c r="F541" s="964"/>
      <c r="G541" s="964"/>
      <c r="H541" s="964"/>
      <c r="I541" s="1889"/>
      <c r="J541" s="988"/>
      <c r="K541" s="1018"/>
      <c r="L541" s="1018"/>
      <c r="M541" s="1018"/>
      <c r="N541" s="1018"/>
      <c r="O541" s="1019"/>
      <c r="P541" s="3188"/>
      <c r="Q541" s="3189"/>
      <c r="R541" s="3189"/>
      <c r="S541" s="3189"/>
      <c r="T541" s="3189"/>
      <c r="U541" s="3189"/>
      <c r="V541" s="3189"/>
      <c r="W541" s="3189"/>
      <c r="X541" s="3189"/>
      <c r="Y541" s="3189"/>
      <c r="Z541" s="3189"/>
      <c r="AA541" s="3189"/>
      <c r="AB541" s="3189"/>
      <c r="AC541" s="3189"/>
      <c r="AD541" s="3189"/>
      <c r="AE541" s="3189"/>
      <c r="AF541" s="3189"/>
      <c r="AG541" s="3189"/>
      <c r="AH541" s="3189"/>
      <c r="AI541" s="3189"/>
      <c r="AJ541" s="3189"/>
      <c r="AK541" s="3189"/>
      <c r="AL541" s="3189"/>
      <c r="AM541" s="3189"/>
      <c r="AN541" s="3189"/>
      <c r="AO541" s="3189"/>
      <c r="AP541" s="3189"/>
      <c r="AQ541" s="3189"/>
      <c r="AR541" s="3189"/>
      <c r="AS541" s="3190"/>
      <c r="AT541" s="1888"/>
      <c r="AU541" s="1888"/>
      <c r="AV541" s="1888"/>
      <c r="AW541" s="1890"/>
      <c r="AX541" s="1884"/>
      <c r="BC541" s="1891"/>
    </row>
    <row r="542" spans="1:55" s="1883" customFormat="1" ht="12.95" customHeight="1" x14ac:dyDescent="0.15">
      <c r="A542" s="1884"/>
      <c r="C542" s="983"/>
      <c r="D542" s="964"/>
      <c r="E542" s="964"/>
      <c r="F542" s="964"/>
      <c r="G542" s="964"/>
      <c r="H542" s="964"/>
      <c r="I542" s="1889"/>
      <c r="J542" s="988"/>
      <c r="K542" s="1018"/>
      <c r="L542" s="1018"/>
      <c r="M542" s="1018"/>
      <c r="N542" s="1018"/>
      <c r="O542" s="1019"/>
      <c r="P542" s="3188"/>
      <c r="Q542" s="3189"/>
      <c r="R542" s="3189"/>
      <c r="S542" s="3189"/>
      <c r="T542" s="3189"/>
      <c r="U542" s="3189"/>
      <c r="V542" s="3189"/>
      <c r="W542" s="3189"/>
      <c r="X542" s="3189"/>
      <c r="Y542" s="3189"/>
      <c r="Z542" s="3189"/>
      <c r="AA542" s="3189"/>
      <c r="AB542" s="3189"/>
      <c r="AC542" s="3189"/>
      <c r="AD542" s="3189"/>
      <c r="AE542" s="3189"/>
      <c r="AF542" s="3189"/>
      <c r="AG542" s="3189"/>
      <c r="AH542" s="3189"/>
      <c r="AI542" s="3189"/>
      <c r="AJ542" s="3189"/>
      <c r="AK542" s="3189"/>
      <c r="AL542" s="3189"/>
      <c r="AM542" s="3189"/>
      <c r="AN542" s="3189"/>
      <c r="AO542" s="3189"/>
      <c r="AP542" s="3189"/>
      <c r="AQ542" s="3189"/>
      <c r="AR542" s="3189"/>
      <c r="AS542" s="3190"/>
      <c r="AT542" s="1888"/>
      <c r="AU542" s="1888"/>
      <c r="AV542" s="1888"/>
      <c r="AW542" s="1890"/>
      <c r="AX542" s="1884"/>
      <c r="BC542" s="1891"/>
    </row>
    <row r="543" spans="1:55" s="1883" customFormat="1" ht="12.95" customHeight="1" x14ac:dyDescent="0.15">
      <c r="A543" s="1884"/>
      <c r="C543" s="983"/>
      <c r="D543" s="964"/>
      <c r="E543" s="964"/>
      <c r="F543" s="964"/>
      <c r="G543" s="964"/>
      <c r="H543" s="964"/>
      <c r="I543" s="1889"/>
      <c r="J543" s="988"/>
      <c r="K543" s="1018"/>
      <c r="L543" s="1018"/>
      <c r="M543" s="1018"/>
      <c r="N543" s="1018"/>
      <c r="O543" s="1019"/>
      <c r="P543" s="3188"/>
      <c r="Q543" s="3189"/>
      <c r="R543" s="3189"/>
      <c r="S543" s="3189"/>
      <c r="T543" s="3189"/>
      <c r="U543" s="3189"/>
      <c r="V543" s="3189"/>
      <c r="W543" s="3189"/>
      <c r="X543" s="3189"/>
      <c r="Y543" s="3189"/>
      <c r="Z543" s="3189"/>
      <c r="AA543" s="3189"/>
      <c r="AB543" s="3189"/>
      <c r="AC543" s="3189"/>
      <c r="AD543" s="3189"/>
      <c r="AE543" s="3189"/>
      <c r="AF543" s="3189"/>
      <c r="AG543" s="3189"/>
      <c r="AH543" s="3189"/>
      <c r="AI543" s="3189"/>
      <c r="AJ543" s="3189"/>
      <c r="AK543" s="3189"/>
      <c r="AL543" s="3189"/>
      <c r="AM543" s="3189"/>
      <c r="AN543" s="3189"/>
      <c r="AO543" s="3189"/>
      <c r="AP543" s="3189"/>
      <c r="AQ543" s="3189"/>
      <c r="AR543" s="3189"/>
      <c r="AS543" s="3190"/>
      <c r="AT543" s="1888"/>
      <c r="AU543" s="1888"/>
      <c r="AV543" s="1888"/>
      <c r="AW543" s="1890"/>
      <c r="AX543" s="1884"/>
      <c r="BC543" s="1891"/>
    </row>
    <row r="544" spans="1:55" s="1883" customFormat="1" ht="12.95" customHeight="1" x14ac:dyDescent="0.15">
      <c r="A544" s="1884"/>
      <c r="C544" s="983"/>
      <c r="D544" s="964"/>
      <c r="E544" s="964"/>
      <c r="F544" s="964"/>
      <c r="G544" s="964"/>
      <c r="H544" s="964"/>
      <c r="I544" s="1889"/>
      <c r="J544" s="988"/>
      <c r="K544" s="1018"/>
      <c r="L544" s="1018"/>
      <c r="M544" s="1018"/>
      <c r="N544" s="1018"/>
      <c r="O544" s="1019"/>
      <c r="P544" s="3188"/>
      <c r="Q544" s="3189"/>
      <c r="R544" s="3189"/>
      <c r="S544" s="3189"/>
      <c r="T544" s="3189"/>
      <c r="U544" s="3189"/>
      <c r="V544" s="3189"/>
      <c r="W544" s="3189"/>
      <c r="X544" s="3189"/>
      <c r="Y544" s="3189"/>
      <c r="Z544" s="3189"/>
      <c r="AA544" s="3189"/>
      <c r="AB544" s="3189"/>
      <c r="AC544" s="3189"/>
      <c r="AD544" s="3189"/>
      <c r="AE544" s="3189"/>
      <c r="AF544" s="3189"/>
      <c r="AG544" s="3189"/>
      <c r="AH544" s="3189"/>
      <c r="AI544" s="3189"/>
      <c r="AJ544" s="3189"/>
      <c r="AK544" s="3189"/>
      <c r="AL544" s="3189"/>
      <c r="AM544" s="3189"/>
      <c r="AN544" s="3189"/>
      <c r="AO544" s="3189"/>
      <c r="AP544" s="3189"/>
      <c r="AQ544" s="3189"/>
      <c r="AR544" s="3189"/>
      <c r="AS544" s="3190"/>
      <c r="AT544" s="1888"/>
      <c r="AU544" s="1888"/>
      <c r="AV544" s="1888"/>
      <c r="AW544" s="1890"/>
      <c r="AX544" s="1884"/>
      <c r="BC544" s="1891"/>
    </row>
    <row r="545" spans="1:51" s="1883" customFormat="1" ht="12.95" customHeight="1" x14ac:dyDescent="0.15">
      <c r="A545" s="1884"/>
      <c r="C545" s="989"/>
      <c r="D545" s="990"/>
      <c r="E545" s="990"/>
      <c r="F545" s="990"/>
      <c r="G545" s="990"/>
      <c r="H545" s="990"/>
      <c r="I545" s="1896"/>
      <c r="J545" s="1020"/>
      <c r="K545" s="1021"/>
      <c r="L545" s="1021"/>
      <c r="M545" s="1021"/>
      <c r="N545" s="1021"/>
      <c r="O545" s="1022"/>
      <c r="P545" s="3191"/>
      <c r="Q545" s="3192"/>
      <c r="R545" s="3192"/>
      <c r="S545" s="3192"/>
      <c r="T545" s="3192"/>
      <c r="U545" s="3192"/>
      <c r="V545" s="3192"/>
      <c r="W545" s="3192"/>
      <c r="X545" s="3192"/>
      <c r="Y545" s="3192"/>
      <c r="Z545" s="3192"/>
      <c r="AA545" s="3192"/>
      <c r="AB545" s="3192"/>
      <c r="AC545" s="3192"/>
      <c r="AD545" s="3192"/>
      <c r="AE545" s="3192"/>
      <c r="AF545" s="3192"/>
      <c r="AG545" s="3192"/>
      <c r="AH545" s="3192"/>
      <c r="AI545" s="3192"/>
      <c r="AJ545" s="3192"/>
      <c r="AK545" s="3192"/>
      <c r="AL545" s="3192"/>
      <c r="AM545" s="3192"/>
      <c r="AN545" s="3192"/>
      <c r="AO545" s="3192"/>
      <c r="AP545" s="3192"/>
      <c r="AQ545" s="3192"/>
      <c r="AR545" s="3192"/>
      <c r="AS545" s="3193"/>
      <c r="AT545" s="1926"/>
      <c r="AU545" s="1926"/>
      <c r="AV545" s="1926"/>
      <c r="AW545" s="1927"/>
      <c r="AX545" s="1884"/>
      <c r="AY545" s="1884"/>
    </row>
    <row r="546" spans="1:51" s="1883" customFormat="1" ht="12.95" hidden="1" customHeight="1" thickBot="1" x14ac:dyDescent="0.2">
      <c r="A546" s="1884"/>
      <c r="C546" s="1042"/>
      <c r="D546" s="1024"/>
      <c r="E546" s="1024"/>
      <c r="F546" s="1024"/>
      <c r="G546" s="1024"/>
      <c r="H546" s="1024"/>
      <c r="I546" s="1024"/>
      <c r="J546" s="1025" t="s">
        <v>857</v>
      </c>
      <c r="K546" s="1026"/>
      <c r="L546" s="1026"/>
      <c r="M546" s="1026"/>
      <c r="N546" s="1026"/>
      <c r="O546" s="1026"/>
      <c r="P546" s="1024"/>
      <c r="Q546" s="1024"/>
      <c r="R546" s="1024"/>
      <c r="S546" s="1024"/>
      <c r="T546" s="1024"/>
      <c r="U546" s="1031" t="str">
        <f>IF(OR('1_入力シート【基本情報】'!EB379="レ",'1_入力シート【基本情報】'!EC379="レ",'1_入力シート【基本情報】'!EG379="レ",'1_入力シート【基本情報】'!EH379="レ"),"レ","")</f>
        <v/>
      </c>
      <c r="V546" s="1024" t="s">
        <v>865</v>
      </c>
      <c r="W546" s="1024"/>
      <c r="X546" s="1029"/>
      <c r="Y546" s="1029"/>
      <c r="Z546" s="1030" t="s">
        <v>866</v>
      </c>
      <c r="AA546" s="3194" t="str">
        <f>IF('1_入力シート【基本情報】'!ED379&lt;&gt;"",'1_入力シート【基本情報】'!ED379,IF('1_入力シート【基本情報】'!EI379&lt;&gt;"",'1_入力シート【基本情報】'!EI379,""))</f>
        <v/>
      </c>
      <c r="AB546" s="3201"/>
      <c r="AC546" s="1024" t="s">
        <v>850</v>
      </c>
      <c r="AD546" s="3194" t="str">
        <f>IF('1_入力シート【基本情報】'!EE379&lt;&gt;"",'1_入力シート【基本情報】'!EE379,IF('1_入力シート【基本情報】'!EJ379&lt;&gt;"",'1_入力シート【基本情報】'!EJ379,""))</f>
        <v/>
      </c>
      <c r="AE546" s="3194"/>
      <c r="AF546" s="1024" t="str">
        <f>IF(OR('1_入力シート【基本情報】'!EC379="レ",'1_入力シート【基本情報】'!EH379="レ"),"月に改善)","月に改善予定)")</f>
        <v>月に改善予定)</v>
      </c>
      <c r="AG546" s="1024"/>
      <c r="AH546" s="1024"/>
      <c r="AI546" s="1024"/>
      <c r="AJ546" s="1024"/>
      <c r="AK546" s="1024"/>
      <c r="AL546" s="1031" t="str">
        <f>IF(OR('1_入力シート【基本情報】'!EF379="レ",'1_入力シート【基本情報】'!EK379="レ"),"レ","")</f>
        <v/>
      </c>
      <c r="AM546" s="1024" t="s">
        <v>867</v>
      </c>
      <c r="AN546" s="1024"/>
      <c r="AO546" s="1024"/>
      <c r="AP546" s="1024"/>
      <c r="AQ546" s="1024"/>
      <c r="AR546" s="1024"/>
      <c r="AS546" s="1043"/>
      <c r="AT546" s="1926"/>
      <c r="AU546" s="1926"/>
      <c r="AV546" s="1926"/>
      <c r="AW546" s="1927"/>
      <c r="AX546" s="1884"/>
      <c r="AY546" s="1884"/>
    </row>
    <row r="547" spans="1:51" s="1883" customFormat="1" ht="12.95" hidden="1" customHeight="1" x14ac:dyDescent="0.15">
      <c r="A547" s="1884"/>
      <c r="C547" s="971" t="s">
        <v>868</v>
      </c>
      <c r="D547" s="972"/>
      <c r="E547" s="972"/>
      <c r="F547" s="972"/>
      <c r="G547" s="972"/>
      <c r="H547" s="972"/>
      <c r="I547" s="1924"/>
      <c r="J547" s="1034" t="s">
        <v>852</v>
      </c>
      <c r="K547" s="1035"/>
      <c r="L547" s="1035"/>
      <c r="M547" s="1035"/>
      <c r="N547" s="1035"/>
      <c r="O547" s="1035"/>
      <c r="P547" s="975"/>
      <c r="Q547" s="975"/>
      <c r="R547" s="975"/>
      <c r="S547" s="975"/>
      <c r="T547" s="975"/>
      <c r="U547" s="977" t="str">
        <f>IF('1_入力シート【基本情報】'!DP433="レ","レ",IF('1_入力シート【基本情報】'!DO433="レ","レ",""))</f>
        <v/>
      </c>
      <c r="V547" s="975" t="s">
        <v>853</v>
      </c>
      <c r="W547" s="975"/>
      <c r="X547" s="975"/>
      <c r="Y547" s="975"/>
      <c r="Z547" s="975"/>
      <c r="AA547" s="975"/>
      <c r="AB547" s="1887"/>
      <c r="AC547" s="975" t="s">
        <v>432</v>
      </c>
      <c r="AD547" s="977" t="str">
        <f>'1_入力シート【基本情報】'!DP433</f>
        <v/>
      </c>
      <c r="AE547" s="975" t="s">
        <v>854</v>
      </c>
      <c r="AF547" s="975"/>
      <c r="AG547" s="975"/>
      <c r="AH547" s="975"/>
      <c r="AI547" s="975"/>
      <c r="AJ547" s="1887"/>
      <c r="AK547" s="975"/>
      <c r="AL547" s="975"/>
      <c r="AM547" s="975"/>
      <c r="AN547" s="975"/>
      <c r="AO547" s="975"/>
      <c r="AP547" s="975"/>
      <c r="AQ547" s="975"/>
      <c r="AR547" s="975"/>
      <c r="AS547" s="978"/>
      <c r="AT547" s="1926"/>
      <c r="AU547" s="1926"/>
      <c r="AV547" s="1926"/>
      <c r="AW547" s="1927"/>
      <c r="AX547" s="1884"/>
      <c r="AY547" s="1884"/>
    </row>
    <row r="548" spans="1:51" s="1883" customFormat="1" ht="12.95" hidden="1" customHeight="1" thickBot="1" x14ac:dyDescent="0.2">
      <c r="A548" s="1884"/>
      <c r="C548" s="980" t="s">
        <v>869</v>
      </c>
      <c r="D548" s="981"/>
      <c r="E548" s="981"/>
      <c r="F548" s="981"/>
      <c r="G548" s="981"/>
      <c r="H548" s="981"/>
      <c r="I548" s="1925"/>
      <c r="J548" s="988"/>
      <c r="K548" s="1018"/>
      <c r="L548" s="1018"/>
      <c r="M548" s="1018"/>
      <c r="N548" s="1018"/>
      <c r="O548" s="1018"/>
      <c r="P548" s="964"/>
      <c r="Q548" s="964"/>
      <c r="R548" s="964"/>
      <c r="S548" s="964"/>
      <c r="T548" s="964"/>
      <c r="U548" s="984" t="str">
        <f>IF(OR('1_入力シート【基本情報】'!DN433="レ",'1_入力シート【基本情報】'!DM433="レ"),"レ","")</f>
        <v/>
      </c>
      <c r="V548" s="964" t="s">
        <v>864</v>
      </c>
      <c r="W548" s="964"/>
      <c r="X548" s="964"/>
      <c r="Y548" s="964"/>
      <c r="Z548" s="964"/>
      <c r="AA548" s="964"/>
      <c r="AB548" s="964"/>
      <c r="AC548" s="964"/>
      <c r="AD548" s="964"/>
      <c r="AE548" s="964"/>
      <c r="AF548" s="964"/>
      <c r="AG548" s="964"/>
      <c r="AH548" s="964"/>
      <c r="AI548" s="964"/>
      <c r="AJ548" s="964"/>
      <c r="AK548" s="964"/>
      <c r="AL548" s="964"/>
      <c r="AM548" s="964"/>
      <c r="AN548" s="964"/>
      <c r="AO548" s="964"/>
      <c r="AP548" s="964"/>
      <c r="AQ548" s="964"/>
      <c r="AR548" s="964"/>
      <c r="AS548" s="985"/>
      <c r="AT548" s="1926"/>
      <c r="AU548" s="1926"/>
      <c r="AV548" s="1926"/>
      <c r="AW548" s="1927"/>
      <c r="AX548" s="1884"/>
      <c r="AY548" s="1884"/>
    </row>
    <row r="549" spans="1:51" s="1883" customFormat="1" ht="12.95" customHeight="1" x14ac:dyDescent="0.15">
      <c r="A549" s="1884"/>
      <c r="C549" s="3205" t="s">
        <v>869</v>
      </c>
      <c r="D549" s="3203"/>
      <c r="E549" s="3203"/>
      <c r="F549" s="3203"/>
      <c r="G549" s="3203"/>
      <c r="H549" s="3203"/>
      <c r="I549" s="3204"/>
      <c r="J549" s="3202" t="s">
        <v>856</v>
      </c>
      <c r="K549" s="3203"/>
      <c r="L549" s="3203"/>
      <c r="M549" s="3203"/>
      <c r="N549" s="3203"/>
      <c r="O549" s="3204"/>
      <c r="P549" s="3185" t="str">
        <f>'1_入力シート【基本情報】'!$DY$433&amp;IF(AND('1_入力シート【基本情報】'!$DY$433&lt;&gt;"",'1_入力シート【基本情報】'!$DY$494&lt;&gt;""),", ","")&amp;'1_入力シート【基本情報】'!$DY$494</f>
        <v/>
      </c>
      <c r="Q549" s="3186"/>
      <c r="R549" s="3186"/>
      <c r="S549" s="3186"/>
      <c r="T549" s="3186"/>
      <c r="U549" s="3186"/>
      <c r="V549" s="3186"/>
      <c r="W549" s="3186"/>
      <c r="X549" s="3186"/>
      <c r="Y549" s="3186"/>
      <c r="Z549" s="3186"/>
      <c r="AA549" s="3186"/>
      <c r="AB549" s="3186"/>
      <c r="AC549" s="3186"/>
      <c r="AD549" s="3186"/>
      <c r="AE549" s="3186"/>
      <c r="AF549" s="3186"/>
      <c r="AG549" s="3186"/>
      <c r="AH549" s="3186"/>
      <c r="AI549" s="3186"/>
      <c r="AJ549" s="3186"/>
      <c r="AK549" s="3186"/>
      <c r="AL549" s="3186"/>
      <c r="AM549" s="3186"/>
      <c r="AN549" s="3186"/>
      <c r="AO549" s="3186"/>
      <c r="AP549" s="3186"/>
      <c r="AQ549" s="3186"/>
      <c r="AR549" s="3186"/>
      <c r="AS549" s="3187"/>
      <c r="AT549" s="1926"/>
      <c r="AU549" s="1926"/>
      <c r="AV549" s="1926"/>
      <c r="AW549" s="1927"/>
      <c r="AX549" s="1884"/>
      <c r="AY549" s="1884"/>
    </row>
    <row r="550" spans="1:51" s="1883" customFormat="1" ht="12.95" customHeight="1" x14ac:dyDescent="0.15">
      <c r="A550" s="1884"/>
      <c r="C550" s="1039"/>
      <c r="D550" s="964"/>
      <c r="E550" s="964"/>
      <c r="F550" s="964"/>
      <c r="G550" s="964"/>
      <c r="H550" s="964"/>
      <c r="I550" s="1889"/>
      <c r="J550" s="988"/>
      <c r="K550" s="1018"/>
      <c r="L550" s="1018"/>
      <c r="M550" s="1018"/>
      <c r="N550" s="1018"/>
      <c r="O550" s="1019"/>
      <c r="P550" s="3195"/>
      <c r="Q550" s="3196"/>
      <c r="R550" s="3196"/>
      <c r="S550" s="3196"/>
      <c r="T550" s="3196"/>
      <c r="U550" s="3196"/>
      <c r="V550" s="3196"/>
      <c r="W550" s="3196"/>
      <c r="X550" s="3196"/>
      <c r="Y550" s="3196"/>
      <c r="Z550" s="3196"/>
      <c r="AA550" s="3196"/>
      <c r="AB550" s="3196"/>
      <c r="AC550" s="3196"/>
      <c r="AD550" s="3196"/>
      <c r="AE550" s="3196"/>
      <c r="AF550" s="3196"/>
      <c r="AG550" s="3196"/>
      <c r="AH550" s="3196"/>
      <c r="AI550" s="3196"/>
      <c r="AJ550" s="3196"/>
      <c r="AK550" s="3196"/>
      <c r="AL550" s="3196"/>
      <c r="AM550" s="3196"/>
      <c r="AN550" s="3196"/>
      <c r="AO550" s="3196"/>
      <c r="AP550" s="3196"/>
      <c r="AQ550" s="3196"/>
      <c r="AR550" s="3196"/>
      <c r="AS550" s="3197"/>
      <c r="AT550" s="1926"/>
      <c r="AU550" s="1926"/>
      <c r="AV550" s="1926"/>
      <c r="AW550" s="1927"/>
      <c r="AX550" s="1884"/>
      <c r="AY550" s="1884"/>
    </row>
    <row r="551" spans="1:51" s="1883" customFormat="1" ht="12.95" customHeight="1" x14ac:dyDescent="0.15">
      <c r="A551" s="1884"/>
      <c r="C551" s="983"/>
      <c r="D551" s="964"/>
      <c r="E551" s="964"/>
      <c r="F551" s="964"/>
      <c r="G551" s="964"/>
      <c r="H551" s="964"/>
      <c r="I551" s="1889"/>
      <c r="J551" s="988"/>
      <c r="K551" s="1018"/>
      <c r="L551" s="1018"/>
      <c r="M551" s="1018"/>
      <c r="N551" s="1018"/>
      <c r="O551" s="1019"/>
      <c r="P551" s="3195"/>
      <c r="Q551" s="3196"/>
      <c r="R551" s="3196"/>
      <c r="S551" s="3196"/>
      <c r="T551" s="3196"/>
      <c r="U551" s="3196"/>
      <c r="V551" s="3196"/>
      <c r="W551" s="3196"/>
      <c r="X551" s="3196"/>
      <c r="Y551" s="3196"/>
      <c r="Z551" s="3196"/>
      <c r="AA551" s="3196"/>
      <c r="AB551" s="3196"/>
      <c r="AC551" s="3196"/>
      <c r="AD551" s="3196"/>
      <c r="AE551" s="3196"/>
      <c r="AF551" s="3196"/>
      <c r="AG551" s="3196"/>
      <c r="AH551" s="3196"/>
      <c r="AI551" s="3196"/>
      <c r="AJ551" s="3196"/>
      <c r="AK551" s="3196"/>
      <c r="AL551" s="3196"/>
      <c r="AM551" s="3196"/>
      <c r="AN551" s="3196"/>
      <c r="AO551" s="3196"/>
      <c r="AP551" s="3196"/>
      <c r="AQ551" s="3196"/>
      <c r="AR551" s="3196"/>
      <c r="AS551" s="3197"/>
      <c r="AT551" s="1926"/>
      <c r="AU551" s="1926"/>
      <c r="AV551" s="1926"/>
      <c r="AW551" s="1927"/>
      <c r="AX551" s="1884"/>
      <c r="AY551" s="1884"/>
    </row>
    <row r="552" spans="1:51" s="1883" customFormat="1" ht="12.95" customHeight="1" x14ac:dyDescent="0.15">
      <c r="A552" s="1884"/>
      <c r="C552" s="983"/>
      <c r="D552" s="964"/>
      <c r="E552" s="964"/>
      <c r="F552" s="964"/>
      <c r="G552" s="964"/>
      <c r="H552" s="964"/>
      <c r="I552" s="1889"/>
      <c r="J552" s="988"/>
      <c r="K552" s="1018"/>
      <c r="L552" s="1018"/>
      <c r="M552" s="1018"/>
      <c r="N552" s="1018"/>
      <c r="O552" s="1019"/>
      <c r="P552" s="3195"/>
      <c r="Q552" s="3196"/>
      <c r="R552" s="3196"/>
      <c r="S552" s="3196"/>
      <c r="T552" s="3196"/>
      <c r="U552" s="3196"/>
      <c r="V552" s="3196"/>
      <c r="W552" s="3196"/>
      <c r="X552" s="3196"/>
      <c r="Y552" s="3196"/>
      <c r="Z552" s="3196"/>
      <c r="AA552" s="3196"/>
      <c r="AB552" s="3196"/>
      <c r="AC552" s="3196"/>
      <c r="AD552" s="3196"/>
      <c r="AE552" s="3196"/>
      <c r="AF552" s="3196"/>
      <c r="AG552" s="3196"/>
      <c r="AH552" s="3196"/>
      <c r="AI552" s="3196"/>
      <c r="AJ552" s="3196"/>
      <c r="AK552" s="3196"/>
      <c r="AL552" s="3196"/>
      <c r="AM552" s="3196"/>
      <c r="AN552" s="3196"/>
      <c r="AO552" s="3196"/>
      <c r="AP552" s="3196"/>
      <c r="AQ552" s="3196"/>
      <c r="AR552" s="3196"/>
      <c r="AS552" s="3197"/>
      <c r="AT552" s="1926"/>
      <c r="AU552" s="1926"/>
      <c r="AV552" s="1926"/>
      <c r="AW552" s="1927"/>
      <c r="AX552" s="1884"/>
      <c r="AY552" s="1884"/>
    </row>
    <row r="553" spans="1:51" s="1883" customFormat="1" ht="12.95" customHeight="1" x14ac:dyDescent="0.15">
      <c r="A553" s="1884"/>
      <c r="C553" s="983"/>
      <c r="D553" s="964"/>
      <c r="E553" s="964"/>
      <c r="F553" s="964"/>
      <c r="G553" s="964"/>
      <c r="H553" s="964"/>
      <c r="I553" s="1889"/>
      <c r="J553" s="988"/>
      <c r="K553" s="1018"/>
      <c r="L553" s="1018"/>
      <c r="M553" s="1018"/>
      <c r="N553" s="1018"/>
      <c r="O553" s="1019"/>
      <c r="P553" s="3195"/>
      <c r="Q553" s="3196"/>
      <c r="R553" s="3196"/>
      <c r="S553" s="3196"/>
      <c r="T553" s="3196"/>
      <c r="U553" s="3196"/>
      <c r="V553" s="3196"/>
      <c r="W553" s="3196"/>
      <c r="X553" s="3196"/>
      <c r="Y553" s="3196"/>
      <c r="Z553" s="3196"/>
      <c r="AA553" s="3196"/>
      <c r="AB553" s="3196"/>
      <c r="AC553" s="3196"/>
      <c r="AD553" s="3196"/>
      <c r="AE553" s="3196"/>
      <c r="AF553" s="3196"/>
      <c r="AG553" s="3196"/>
      <c r="AH553" s="3196"/>
      <c r="AI553" s="3196"/>
      <c r="AJ553" s="3196"/>
      <c r="AK553" s="3196"/>
      <c r="AL553" s="3196"/>
      <c r="AM553" s="3196"/>
      <c r="AN553" s="3196"/>
      <c r="AO553" s="3196"/>
      <c r="AP553" s="3196"/>
      <c r="AQ553" s="3196"/>
      <c r="AR553" s="3196"/>
      <c r="AS553" s="3197"/>
      <c r="AT553" s="1926"/>
      <c r="AU553" s="1926"/>
      <c r="AV553" s="1926"/>
      <c r="AW553" s="1927"/>
      <c r="AX553" s="1884"/>
      <c r="AY553" s="1884"/>
    </row>
    <row r="554" spans="1:51" s="1883" customFormat="1" ht="12.95" customHeight="1" x14ac:dyDescent="0.15">
      <c r="A554" s="1884"/>
      <c r="C554" s="983"/>
      <c r="D554" s="964"/>
      <c r="E554" s="964"/>
      <c r="F554" s="964"/>
      <c r="G554" s="964"/>
      <c r="H554" s="964"/>
      <c r="I554" s="1889"/>
      <c r="J554" s="988"/>
      <c r="K554" s="1018"/>
      <c r="L554" s="1018"/>
      <c r="M554" s="1018"/>
      <c r="N554" s="1018"/>
      <c r="O554" s="1019"/>
      <c r="P554" s="3195"/>
      <c r="Q554" s="3196"/>
      <c r="R554" s="3196"/>
      <c r="S554" s="3196"/>
      <c r="T554" s="3196"/>
      <c r="U554" s="3196"/>
      <c r="V554" s="3196"/>
      <c r="W554" s="3196"/>
      <c r="X554" s="3196"/>
      <c r="Y554" s="3196"/>
      <c r="Z554" s="3196"/>
      <c r="AA554" s="3196"/>
      <c r="AB554" s="3196"/>
      <c r="AC554" s="3196"/>
      <c r="AD554" s="3196"/>
      <c r="AE554" s="3196"/>
      <c r="AF554" s="3196"/>
      <c r="AG554" s="3196"/>
      <c r="AH554" s="3196"/>
      <c r="AI554" s="3196"/>
      <c r="AJ554" s="3196"/>
      <c r="AK554" s="3196"/>
      <c r="AL554" s="3196"/>
      <c r="AM554" s="3196"/>
      <c r="AN554" s="3196"/>
      <c r="AO554" s="3196"/>
      <c r="AP554" s="3196"/>
      <c r="AQ554" s="3196"/>
      <c r="AR554" s="3196"/>
      <c r="AS554" s="3197"/>
      <c r="AT554" s="1926"/>
      <c r="AU554" s="1926"/>
      <c r="AV554" s="1926"/>
      <c r="AW554" s="1927"/>
      <c r="AX554" s="1884"/>
      <c r="AY554" s="1884"/>
    </row>
    <row r="555" spans="1:51" s="1883" customFormat="1" ht="12.95" customHeight="1" x14ac:dyDescent="0.15">
      <c r="A555" s="1884"/>
      <c r="C555" s="983"/>
      <c r="D555" s="964"/>
      <c r="E555" s="964"/>
      <c r="F555" s="964"/>
      <c r="G555" s="964"/>
      <c r="H555" s="964"/>
      <c r="I555" s="1889"/>
      <c r="J555" s="988"/>
      <c r="K555" s="1018"/>
      <c r="L555" s="1018"/>
      <c r="M555" s="1018"/>
      <c r="N555" s="1018"/>
      <c r="O555" s="1019"/>
      <c r="P555" s="3195"/>
      <c r="Q555" s="3196"/>
      <c r="R555" s="3196"/>
      <c r="S555" s="3196"/>
      <c r="T555" s="3196"/>
      <c r="U555" s="3196"/>
      <c r="V555" s="3196"/>
      <c r="W555" s="3196"/>
      <c r="X555" s="3196"/>
      <c r="Y555" s="3196"/>
      <c r="Z555" s="3196"/>
      <c r="AA555" s="3196"/>
      <c r="AB555" s="3196"/>
      <c r="AC555" s="3196"/>
      <c r="AD555" s="3196"/>
      <c r="AE555" s="3196"/>
      <c r="AF555" s="3196"/>
      <c r="AG555" s="3196"/>
      <c r="AH555" s="3196"/>
      <c r="AI555" s="3196"/>
      <c r="AJ555" s="3196"/>
      <c r="AK555" s="3196"/>
      <c r="AL555" s="3196"/>
      <c r="AM555" s="3196"/>
      <c r="AN555" s="3196"/>
      <c r="AO555" s="3196"/>
      <c r="AP555" s="3196"/>
      <c r="AQ555" s="3196"/>
      <c r="AR555" s="3196"/>
      <c r="AS555" s="3197"/>
      <c r="AT555" s="1926"/>
      <c r="AU555" s="1926"/>
      <c r="AV555" s="1926"/>
      <c r="AW555" s="1927"/>
      <c r="AX555" s="1884"/>
      <c r="AY555" s="1884"/>
    </row>
    <row r="556" spans="1:51" s="1883" customFormat="1" ht="12.95" customHeight="1" x14ac:dyDescent="0.15">
      <c r="A556" s="1884"/>
      <c r="C556" s="983"/>
      <c r="D556" s="964"/>
      <c r="E556" s="964"/>
      <c r="F556" s="964"/>
      <c r="G556" s="964"/>
      <c r="H556" s="964"/>
      <c r="I556" s="1889"/>
      <c r="J556" s="988"/>
      <c r="K556" s="1018"/>
      <c r="L556" s="1018"/>
      <c r="M556" s="1018"/>
      <c r="N556" s="1018"/>
      <c r="O556" s="1019"/>
      <c r="P556" s="3195"/>
      <c r="Q556" s="3196"/>
      <c r="R556" s="3196"/>
      <c r="S556" s="3196"/>
      <c r="T556" s="3196"/>
      <c r="U556" s="3196"/>
      <c r="V556" s="3196"/>
      <c r="W556" s="3196"/>
      <c r="X556" s="3196"/>
      <c r="Y556" s="3196"/>
      <c r="Z556" s="3196"/>
      <c r="AA556" s="3196"/>
      <c r="AB556" s="3196"/>
      <c r="AC556" s="3196"/>
      <c r="AD556" s="3196"/>
      <c r="AE556" s="3196"/>
      <c r="AF556" s="3196"/>
      <c r="AG556" s="3196"/>
      <c r="AH556" s="3196"/>
      <c r="AI556" s="3196"/>
      <c r="AJ556" s="3196"/>
      <c r="AK556" s="3196"/>
      <c r="AL556" s="3196"/>
      <c r="AM556" s="3196"/>
      <c r="AN556" s="3196"/>
      <c r="AO556" s="3196"/>
      <c r="AP556" s="3196"/>
      <c r="AQ556" s="3196"/>
      <c r="AR556" s="3196"/>
      <c r="AS556" s="3197"/>
      <c r="AT556" s="1926"/>
      <c r="AU556" s="1926"/>
      <c r="AV556" s="1926"/>
      <c r="AW556" s="1927"/>
      <c r="AX556" s="1884"/>
      <c r="AY556" s="1884"/>
    </row>
    <row r="557" spans="1:51" s="1883" customFormat="1" ht="12.95" customHeight="1" x14ac:dyDescent="0.15">
      <c r="A557" s="1884"/>
      <c r="C557" s="983"/>
      <c r="D557" s="964"/>
      <c r="E557" s="964"/>
      <c r="F557" s="964"/>
      <c r="G557" s="964"/>
      <c r="H557" s="964"/>
      <c r="I557" s="1889"/>
      <c r="J557" s="988"/>
      <c r="K557" s="1018"/>
      <c r="L557" s="1018"/>
      <c r="M557" s="1018"/>
      <c r="N557" s="1018"/>
      <c r="O557" s="1019"/>
      <c r="P557" s="3195"/>
      <c r="Q557" s="3196"/>
      <c r="R557" s="3196"/>
      <c r="S557" s="3196"/>
      <c r="T557" s="3196"/>
      <c r="U557" s="3196"/>
      <c r="V557" s="3196"/>
      <c r="W557" s="3196"/>
      <c r="X557" s="3196"/>
      <c r="Y557" s="3196"/>
      <c r="Z557" s="3196"/>
      <c r="AA557" s="3196"/>
      <c r="AB557" s="3196"/>
      <c r="AC557" s="3196"/>
      <c r="AD557" s="3196"/>
      <c r="AE557" s="3196"/>
      <c r="AF557" s="3196"/>
      <c r="AG557" s="3196"/>
      <c r="AH557" s="3196"/>
      <c r="AI557" s="3196"/>
      <c r="AJ557" s="3196"/>
      <c r="AK557" s="3196"/>
      <c r="AL557" s="3196"/>
      <c r="AM557" s="3196"/>
      <c r="AN557" s="3196"/>
      <c r="AO557" s="3196"/>
      <c r="AP557" s="3196"/>
      <c r="AQ557" s="3196"/>
      <c r="AR557" s="3196"/>
      <c r="AS557" s="3197"/>
      <c r="AT557" s="1926"/>
      <c r="AU557" s="1926"/>
      <c r="AV557" s="1926"/>
      <c r="AW557" s="1927"/>
      <c r="AX557" s="1884"/>
      <c r="AY557" s="1884"/>
    </row>
    <row r="558" spans="1:51" s="1883" customFormat="1" ht="12.95" customHeight="1" x14ac:dyDescent="0.15">
      <c r="A558" s="1884"/>
      <c r="C558" s="983"/>
      <c r="D558" s="964"/>
      <c r="E558" s="964"/>
      <c r="F558" s="964"/>
      <c r="G558" s="964"/>
      <c r="H558" s="964"/>
      <c r="I558" s="1889"/>
      <c r="J558" s="988"/>
      <c r="K558" s="1018"/>
      <c r="L558" s="1018"/>
      <c r="M558" s="1018"/>
      <c r="N558" s="1018"/>
      <c r="O558" s="1019"/>
      <c r="P558" s="3195"/>
      <c r="Q558" s="3196"/>
      <c r="R558" s="3196"/>
      <c r="S558" s="3196"/>
      <c r="T558" s="3196"/>
      <c r="U558" s="3196"/>
      <c r="V558" s="3196"/>
      <c r="W558" s="3196"/>
      <c r="X558" s="3196"/>
      <c r="Y558" s="3196"/>
      <c r="Z558" s="3196"/>
      <c r="AA558" s="3196"/>
      <c r="AB558" s="3196"/>
      <c r="AC558" s="3196"/>
      <c r="AD558" s="3196"/>
      <c r="AE558" s="3196"/>
      <c r="AF558" s="3196"/>
      <c r="AG558" s="3196"/>
      <c r="AH558" s="3196"/>
      <c r="AI558" s="3196"/>
      <c r="AJ558" s="3196"/>
      <c r="AK558" s="3196"/>
      <c r="AL558" s="3196"/>
      <c r="AM558" s="3196"/>
      <c r="AN558" s="3196"/>
      <c r="AO558" s="3196"/>
      <c r="AP558" s="3196"/>
      <c r="AQ558" s="3196"/>
      <c r="AR558" s="3196"/>
      <c r="AS558" s="3197"/>
      <c r="AT558" s="1926"/>
      <c r="AU558" s="1926"/>
      <c r="AV558" s="1926"/>
      <c r="AW558" s="1927"/>
      <c r="AX558" s="1884"/>
      <c r="AY558" s="1884"/>
    </row>
    <row r="559" spans="1:51" s="1883" customFormat="1" ht="12.95" customHeight="1" x14ac:dyDescent="0.15">
      <c r="A559" s="1884"/>
      <c r="C559" s="983"/>
      <c r="D559" s="964"/>
      <c r="E559" s="964"/>
      <c r="F559" s="964"/>
      <c r="G559" s="964"/>
      <c r="H559" s="964"/>
      <c r="I559" s="1889"/>
      <c r="J559" s="988"/>
      <c r="K559" s="1018"/>
      <c r="L559" s="1018"/>
      <c r="M559" s="1018"/>
      <c r="N559" s="1018"/>
      <c r="O559" s="1019"/>
      <c r="P559" s="3195"/>
      <c r="Q559" s="3196"/>
      <c r="R559" s="3196"/>
      <c r="S559" s="3196"/>
      <c r="T559" s="3196"/>
      <c r="U559" s="3196"/>
      <c r="V559" s="3196"/>
      <c r="W559" s="3196"/>
      <c r="X559" s="3196"/>
      <c r="Y559" s="3196"/>
      <c r="Z559" s="3196"/>
      <c r="AA559" s="3196"/>
      <c r="AB559" s="3196"/>
      <c r="AC559" s="3196"/>
      <c r="AD559" s="3196"/>
      <c r="AE559" s="3196"/>
      <c r="AF559" s="3196"/>
      <c r="AG559" s="3196"/>
      <c r="AH559" s="3196"/>
      <c r="AI559" s="3196"/>
      <c r="AJ559" s="3196"/>
      <c r="AK559" s="3196"/>
      <c r="AL559" s="3196"/>
      <c r="AM559" s="3196"/>
      <c r="AN559" s="3196"/>
      <c r="AO559" s="3196"/>
      <c r="AP559" s="3196"/>
      <c r="AQ559" s="3196"/>
      <c r="AR559" s="3196"/>
      <c r="AS559" s="3197"/>
      <c r="AT559" s="1926"/>
      <c r="AU559" s="1926"/>
      <c r="AV559" s="1926"/>
      <c r="AW559" s="1927"/>
      <c r="AX559" s="1884"/>
      <c r="AY559" s="1884"/>
    </row>
    <row r="560" spans="1:51" s="1883" customFormat="1" ht="12.95" customHeight="1" x14ac:dyDescent="0.15">
      <c r="A560" s="1884"/>
      <c r="C560" s="983"/>
      <c r="D560" s="964"/>
      <c r="E560" s="964"/>
      <c r="F560" s="964"/>
      <c r="G560" s="964"/>
      <c r="H560" s="964"/>
      <c r="I560" s="1889"/>
      <c r="J560" s="988"/>
      <c r="K560" s="1018"/>
      <c r="L560" s="1018"/>
      <c r="M560" s="1018"/>
      <c r="N560" s="1018"/>
      <c r="O560" s="1019"/>
      <c r="P560" s="3195"/>
      <c r="Q560" s="3196"/>
      <c r="R560" s="3196"/>
      <c r="S560" s="3196"/>
      <c r="T560" s="3196"/>
      <c r="U560" s="3196"/>
      <c r="V560" s="3196"/>
      <c r="W560" s="3196"/>
      <c r="X560" s="3196"/>
      <c r="Y560" s="3196"/>
      <c r="Z560" s="3196"/>
      <c r="AA560" s="3196"/>
      <c r="AB560" s="3196"/>
      <c r="AC560" s="3196"/>
      <c r="AD560" s="3196"/>
      <c r="AE560" s="3196"/>
      <c r="AF560" s="3196"/>
      <c r="AG560" s="3196"/>
      <c r="AH560" s="3196"/>
      <c r="AI560" s="3196"/>
      <c r="AJ560" s="3196"/>
      <c r="AK560" s="3196"/>
      <c r="AL560" s="3196"/>
      <c r="AM560" s="3196"/>
      <c r="AN560" s="3196"/>
      <c r="AO560" s="3196"/>
      <c r="AP560" s="3196"/>
      <c r="AQ560" s="3196"/>
      <c r="AR560" s="3196"/>
      <c r="AS560" s="3197"/>
      <c r="AT560" s="1926"/>
      <c r="AU560" s="1926"/>
      <c r="AV560" s="1926"/>
      <c r="AW560" s="1927"/>
      <c r="AX560" s="1884"/>
      <c r="AY560" s="1884"/>
    </row>
    <row r="561" spans="1:51" s="1883" customFormat="1" ht="12.95" customHeight="1" x14ac:dyDescent="0.15">
      <c r="A561" s="1884"/>
      <c r="C561" s="983"/>
      <c r="D561" s="964"/>
      <c r="E561" s="964"/>
      <c r="F561" s="964"/>
      <c r="G561" s="964"/>
      <c r="H561" s="964"/>
      <c r="I561" s="1889"/>
      <c r="J561" s="988"/>
      <c r="K561" s="1018"/>
      <c r="L561" s="1018"/>
      <c r="M561" s="1018"/>
      <c r="N561" s="1018"/>
      <c r="O561" s="1019"/>
      <c r="P561" s="3195"/>
      <c r="Q561" s="3196"/>
      <c r="R561" s="3196"/>
      <c r="S561" s="3196"/>
      <c r="T561" s="3196"/>
      <c r="U561" s="3196"/>
      <c r="V561" s="3196"/>
      <c r="W561" s="3196"/>
      <c r="X561" s="3196"/>
      <c r="Y561" s="3196"/>
      <c r="Z561" s="3196"/>
      <c r="AA561" s="3196"/>
      <c r="AB561" s="3196"/>
      <c r="AC561" s="3196"/>
      <c r="AD561" s="3196"/>
      <c r="AE561" s="3196"/>
      <c r="AF561" s="3196"/>
      <c r="AG561" s="3196"/>
      <c r="AH561" s="3196"/>
      <c r="AI561" s="3196"/>
      <c r="AJ561" s="3196"/>
      <c r="AK561" s="3196"/>
      <c r="AL561" s="3196"/>
      <c r="AM561" s="3196"/>
      <c r="AN561" s="3196"/>
      <c r="AO561" s="3196"/>
      <c r="AP561" s="3196"/>
      <c r="AQ561" s="3196"/>
      <c r="AR561" s="3196"/>
      <c r="AS561" s="3197"/>
      <c r="AT561" s="1926"/>
      <c r="AU561" s="1926"/>
      <c r="AV561" s="1926"/>
      <c r="AW561" s="1927"/>
      <c r="AX561" s="1884"/>
      <c r="AY561" s="1884"/>
    </row>
    <row r="562" spans="1:51" s="1928" customFormat="1" ht="12.95" customHeight="1" x14ac:dyDescent="0.15">
      <c r="A562" s="1859"/>
      <c r="C562" s="989"/>
      <c r="D562" s="990"/>
      <c r="E562" s="990"/>
      <c r="F562" s="990"/>
      <c r="G562" s="990"/>
      <c r="H562" s="990"/>
      <c r="I562" s="1929"/>
      <c r="J562" s="1020"/>
      <c r="K562" s="1021"/>
      <c r="L562" s="1021"/>
      <c r="M562" s="1021"/>
      <c r="N562" s="1021"/>
      <c r="O562" s="1022"/>
      <c r="P562" s="3198"/>
      <c r="Q562" s="3199"/>
      <c r="R562" s="3199"/>
      <c r="S562" s="3199"/>
      <c r="T562" s="3199"/>
      <c r="U562" s="3199"/>
      <c r="V562" s="3199"/>
      <c r="W562" s="3199"/>
      <c r="X562" s="3199"/>
      <c r="Y562" s="3199"/>
      <c r="Z562" s="3199"/>
      <c r="AA562" s="3199"/>
      <c r="AB562" s="3199"/>
      <c r="AC562" s="3199"/>
      <c r="AD562" s="3199"/>
      <c r="AE562" s="3199"/>
      <c r="AF562" s="3199"/>
      <c r="AG562" s="3199"/>
      <c r="AH562" s="3199"/>
      <c r="AI562" s="3199"/>
      <c r="AJ562" s="3199"/>
      <c r="AK562" s="3199"/>
      <c r="AL562" s="3199"/>
      <c r="AM562" s="3199"/>
      <c r="AN562" s="3199"/>
      <c r="AO562" s="3199"/>
      <c r="AP562" s="3199"/>
      <c r="AQ562" s="3199"/>
      <c r="AR562" s="3199"/>
      <c r="AS562" s="3200"/>
      <c r="AT562" s="1926"/>
      <c r="AU562" s="1926"/>
      <c r="AV562" s="1926"/>
      <c r="AW562" s="1927"/>
      <c r="AX562" s="1859"/>
      <c r="AY562" s="1859"/>
    </row>
    <row r="563" spans="1:51" s="1928" customFormat="1" ht="12.95" hidden="1" customHeight="1" thickBot="1" x14ac:dyDescent="0.2">
      <c r="A563" s="1859"/>
      <c r="C563" s="1023"/>
      <c r="D563" s="1024"/>
      <c r="E563" s="1024"/>
      <c r="F563" s="1024"/>
      <c r="G563" s="1024"/>
      <c r="H563" s="1024"/>
      <c r="I563" s="1024"/>
      <c r="J563" s="1025" t="s">
        <v>857</v>
      </c>
      <c r="K563" s="1026"/>
      <c r="L563" s="1026"/>
      <c r="M563" s="1026"/>
      <c r="N563" s="1026"/>
      <c r="O563" s="1027"/>
      <c r="P563" s="1024"/>
      <c r="Q563" s="1024"/>
      <c r="R563" s="1024"/>
      <c r="S563" s="1024"/>
      <c r="T563" s="1024"/>
      <c r="U563" s="1028" t="str">
        <f>IF(OR('1_入力シート【基本情報】'!EB433="レ",'1_入力シート【基本情報】'!EC433="レ",'1_入力シート【基本情報】'!EG433="レ",'1_入力シート【基本情報】'!EH433="レ"),"レ","")</f>
        <v/>
      </c>
      <c r="V563" s="1024" t="s">
        <v>865</v>
      </c>
      <c r="W563" s="1024"/>
      <c r="X563" s="1029"/>
      <c r="Y563" s="1029"/>
      <c r="Z563" s="1030" t="s">
        <v>866</v>
      </c>
      <c r="AA563" s="3194" t="str">
        <f>IF('1_入力シート【基本情報】'!ED433&lt;&gt;"",'1_入力シート【基本情報】'!ED433,IF('1_入力シート【基本情報】'!EI433&lt;&gt;"",'1_入力シート【基本情報】'!EI433,""))</f>
        <v/>
      </c>
      <c r="AB563" s="3201"/>
      <c r="AC563" s="1024" t="s">
        <v>850</v>
      </c>
      <c r="AD563" s="3194" t="str">
        <f>IF('1_入力シート【基本情報】'!EE433&lt;&gt;"",'1_入力シート【基本情報】'!EE433,IF('1_入力シート【基本情報】'!EJ433&lt;&gt;"",'1_入力シート【基本情報】'!EJ433,""))</f>
        <v/>
      </c>
      <c r="AE563" s="3194"/>
      <c r="AF563" s="1024" t="str">
        <f>IF(OR('1_入力シート【基本情報】'!EC433="レ",'1_入力シート【基本情報】'!EH433="レ"),"月に改善)","月に改善予定)")</f>
        <v>月に改善予定)</v>
      </c>
      <c r="AG563" s="1024"/>
      <c r="AH563" s="1024"/>
      <c r="AI563" s="1024"/>
      <c r="AJ563" s="1024"/>
      <c r="AK563" s="1024"/>
      <c r="AL563" s="1031" t="str">
        <f>IF(OR('1_入力シート【基本情報】'!EF433="レ",'1_入力シート【基本情報】'!EK433="レ"),"レ","")</f>
        <v/>
      </c>
      <c r="AM563" s="1024" t="s">
        <v>867</v>
      </c>
      <c r="AN563" s="1024"/>
      <c r="AO563" s="1024"/>
      <c r="AP563" s="1024"/>
      <c r="AQ563" s="1024"/>
      <c r="AR563" s="1024"/>
      <c r="AS563" s="1032"/>
      <c r="AT563" s="1926"/>
      <c r="AU563" s="1926"/>
      <c r="AV563" s="1926"/>
      <c r="AW563" s="1927"/>
      <c r="AX563" s="1859"/>
      <c r="AY563" s="1859"/>
    </row>
    <row r="564" spans="1:51" s="1928" customFormat="1" ht="12.95" hidden="1" customHeight="1" x14ac:dyDescent="0.15">
      <c r="A564" s="1859"/>
      <c r="C564" s="1039" t="s">
        <v>870</v>
      </c>
      <c r="D564" s="981"/>
      <c r="E564" s="981"/>
      <c r="F564" s="981"/>
      <c r="G564" s="981"/>
      <c r="H564" s="981"/>
      <c r="I564" s="1925"/>
      <c r="J564" s="988" t="s">
        <v>852</v>
      </c>
      <c r="K564" s="1018"/>
      <c r="L564" s="1018"/>
      <c r="M564" s="1018"/>
      <c r="N564" s="1018"/>
      <c r="O564" s="1019"/>
      <c r="P564" s="964"/>
      <c r="Q564" s="964"/>
      <c r="R564" s="1885"/>
      <c r="S564" s="1885"/>
      <c r="T564" s="1885"/>
      <c r="U564" s="1044" t="str">
        <f>IF('1_入力シート【基本情報】'!DP475="レ","レ",IF('1_入力シート【基本情報】'!DO475="レ","レ",""))</f>
        <v/>
      </c>
      <c r="V564" s="964" t="s">
        <v>853</v>
      </c>
      <c r="W564" s="964"/>
      <c r="X564" s="964"/>
      <c r="Y564" s="964"/>
      <c r="Z564" s="964"/>
      <c r="AA564" s="964"/>
      <c r="AB564" s="1899"/>
      <c r="AC564" s="964" t="s">
        <v>432</v>
      </c>
      <c r="AD564" s="1045" t="str">
        <f>'1_入力シート【基本情報】'!DP475</f>
        <v/>
      </c>
      <c r="AE564" s="964" t="s">
        <v>854</v>
      </c>
      <c r="AF564" s="964"/>
      <c r="AG564" s="964"/>
      <c r="AH564" s="964"/>
      <c r="AI564" s="964"/>
      <c r="AJ564" s="1899"/>
      <c r="AK564" s="964"/>
      <c r="AL564" s="964"/>
      <c r="AM564" s="964"/>
      <c r="AN564" s="964"/>
      <c r="AO564" s="964"/>
      <c r="AP564" s="964"/>
      <c r="AQ564" s="964"/>
      <c r="AR564" s="964"/>
      <c r="AS564" s="1046"/>
      <c r="AT564" s="1926"/>
      <c r="AU564" s="1926"/>
      <c r="AV564" s="1926"/>
      <c r="AW564" s="1927"/>
      <c r="AX564" s="1859"/>
      <c r="AY564" s="1859"/>
    </row>
    <row r="565" spans="1:51" s="1928" customFormat="1" ht="12.95" hidden="1" customHeight="1" x14ac:dyDescent="0.15">
      <c r="A565" s="1859"/>
      <c r="C565" s="1047" t="s">
        <v>871</v>
      </c>
      <c r="D565" s="996"/>
      <c r="E565" s="996"/>
      <c r="F565" s="996"/>
      <c r="G565" s="996"/>
      <c r="H565" s="996"/>
      <c r="I565" s="1925"/>
      <c r="J565" s="1020"/>
      <c r="K565" s="1021"/>
      <c r="L565" s="1021"/>
      <c r="M565" s="1021"/>
      <c r="N565" s="1021"/>
      <c r="O565" s="1022"/>
      <c r="P565" s="990"/>
      <c r="Q565" s="990"/>
      <c r="R565" s="990"/>
      <c r="S565" s="990"/>
      <c r="T565" s="990"/>
      <c r="U565" s="1040" t="str">
        <f>IF(OR('1_入力シート【基本情報】'!DN475="レ",'1_入力シート【基本情報】'!DM475="レ"),"レ","")</f>
        <v/>
      </c>
      <c r="V565" s="990" t="s">
        <v>864</v>
      </c>
      <c r="W565" s="990"/>
      <c r="X565" s="990"/>
      <c r="Y565" s="990"/>
      <c r="Z565" s="990"/>
      <c r="AA565" s="990"/>
      <c r="AB565" s="990"/>
      <c r="AC565" s="990"/>
      <c r="AD565" s="990"/>
      <c r="AE565" s="990"/>
      <c r="AF565" s="990"/>
      <c r="AG565" s="990"/>
      <c r="AH565" s="990"/>
      <c r="AI565" s="990"/>
      <c r="AJ565" s="990"/>
      <c r="AK565" s="990"/>
      <c r="AL565" s="990"/>
      <c r="AM565" s="990"/>
      <c r="AN565" s="990"/>
      <c r="AO565" s="990"/>
      <c r="AP565" s="990"/>
      <c r="AQ565" s="990"/>
      <c r="AR565" s="990"/>
      <c r="AS565" s="1041"/>
      <c r="AT565" s="1926"/>
      <c r="AU565" s="1926"/>
      <c r="AV565" s="1926"/>
      <c r="AW565" s="1927"/>
      <c r="AX565" s="1859"/>
      <c r="AY565" s="1859"/>
    </row>
    <row r="566" spans="1:51" s="1928" customFormat="1" ht="12.95" customHeight="1" x14ac:dyDescent="0.15">
      <c r="A566" s="1859"/>
      <c r="C566" s="3206" t="s">
        <v>871</v>
      </c>
      <c r="D566" s="3207"/>
      <c r="E566" s="3207"/>
      <c r="F566" s="3207"/>
      <c r="G566" s="3207"/>
      <c r="H566" s="3207"/>
      <c r="I566" s="3208"/>
      <c r="J566" s="3202" t="s">
        <v>856</v>
      </c>
      <c r="K566" s="3203"/>
      <c r="L566" s="3203"/>
      <c r="M566" s="3203"/>
      <c r="N566" s="3203"/>
      <c r="O566" s="3204"/>
      <c r="P566" s="3185" t="str">
        <f>'1_入力シート【基本情報】'!$DY$475</f>
        <v/>
      </c>
      <c r="Q566" s="3186"/>
      <c r="R566" s="3186"/>
      <c r="S566" s="3186"/>
      <c r="T566" s="3186"/>
      <c r="U566" s="3186"/>
      <c r="V566" s="3186"/>
      <c r="W566" s="3186"/>
      <c r="X566" s="3186"/>
      <c r="Y566" s="3186"/>
      <c r="Z566" s="3186"/>
      <c r="AA566" s="3186"/>
      <c r="AB566" s="3186"/>
      <c r="AC566" s="3186"/>
      <c r="AD566" s="3186"/>
      <c r="AE566" s="3186"/>
      <c r="AF566" s="3186"/>
      <c r="AG566" s="3186"/>
      <c r="AH566" s="3186"/>
      <c r="AI566" s="3186"/>
      <c r="AJ566" s="3186"/>
      <c r="AK566" s="3186"/>
      <c r="AL566" s="3186"/>
      <c r="AM566" s="3186"/>
      <c r="AN566" s="3186"/>
      <c r="AO566" s="3186"/>
      <c r="AP566" s="3186"/>
      <c r="AQ566" s="3186"/>
      <c r="AR566" s="3186"/>
      <c r="AS566" s="3187"/>
      <c r="AT566" s="1926"/>
      <c r="AU566" s="1926"/>
      <c r="AV566" s="1926"/>
      <c r="AW566" s="1927"/>
      <c r="AX566" s="1859"/>
      <c r="AY566" s="1859"/>
    </row>
    <row r="567" spans="1:51" s="1928" customFormat="1" ht="12.95" customHeight="1" x14ac:dyDescent="0.15">
      <c r="A567" s="1859"/>
      <c r="C567" s="1047"/>
      <c r="D567" s="964"/>
      <c r="E567" s="964"/>
      <c r="F567" s="964"/>
      <c r="G567" s="964"/>
      <c r="H567" s="964"/>
      <c r="I567" s="1925"/>
      <c r="J567" s="983"/>
      <c r="K567" s="964"/>
      <c r="L567" s="964"/>
      <c r="M567" s="964"/>
      <c r="N567" s="964"/>
      <c r="O567" s="1046"/>
      <c r="P567" s="3188"/>
      <c r="Q567" s="3189"/>
      <c r="R567" s="3189"/>
      <c r="S567" s="3189"/>
      <c r="T567" s="3189"/>
      <c r="U567" s="3189"/>
      <c r="V567" s="3189"/>
      <c r="W567" s="3189"/>
      <c r="X567" s="3189"/>
      <c r="Y567" s="3189"/>
      <c r="Z567" s="3189"/>
      <c r="AA567" s="3189"/>
      <c r="AB567" s="3189"/>
      <c r="AC567" s="3189"/>
      <c r="AD567" s="3189"/>
      <c r="AE567" s="3189"/>
      <c r="AF567" s="3189"/>
      <c r="AG567" s="3189"/>
      <c r="AH567" s="3189"/>
      <c r="AI567" s="3189"/>
      <c r="AJ567" s="3189"/>
      <c r="AK567" s="3189"/>
      <c r="AL567" s="3189"/>
      <c r="AM567" s="3189"/>
      <c r="AN567" s="3189"/>
      <c r="AO567" s="3189"/>
      <c r="AP567" s="3189"/>
      <c r="AQ567" s="3189"/>
      <c r="AR567" s="3189"/>
      <c r="AS567" s="3190"/>
      <c r="AT567" s="1926"/>
      <c r="AU567" s="1926"/>
      <c r="AV567" s="1926"/>
      <c r="AW567" s="1927"/>
      <c r="AX567" s="1859"/>
      <c r="AY567" s="1859"/>
    </row>
    <row r="568" spans="1:51" s="1928" customFormat="1" ht="12.95" customHeight="1" x14ac:dyDescent="0.15">
      <c r="A568" s="1859"/>
      <c r="C568" s="1047"/>
      <c r="D568" s="964"/>
      <c r="E568" s="964"/>
      <c r="F568" s="964"/>
      <c r="G568" s="964"/>
      <c r="H568" s="964"/>
      <c r="I568" s="1925"/>
      <c r="J568" s="983"/>
      <c r="K568" s="964"/>
      <c r="L568" s="964"/>
      <c r="M568" s="964"/>
      <c r="N568" s="964"/>
      <c r="O568" s="1046"/>
      <c r="P568" s="3188"/>
      <c r="Q568" s="3189"/>
      <c r="R568" s="3189"/>
      <c r="S568" s="3189"/>
      <c r="T568" s="3189"/>
      <c r="U568" s="3189"/>
      <c r="V568" s="3189"/>
      <c r="W568" s="3189"/>
      <c r="X568" s="3189"/>
      <c r="Y568" s="3189"/>
      <c r="Z568" s="3189"/>
      <c r="AA568" s="3189"/>
      <c r="AB568" s="3189"/>
      <c r="AC568" s="3189"/>
      <c r="AD568" s="3189"/>
      <c r="AE568" s="3189"/>
      <c r="AF568" s="3189"/>
      <c r="AG568" s="3189"/>
      <c r="AH568" s="3189"/>
      <c r="AI568" s="3189"/>
      <c r="AJ568" s="3189"/>
      <c r="AK568" s="3189"/>
      <c r="AL568" s="3189"/>
      <c r="AM568" s="3189"/>
      <c r="AN568" s="3189"/>
      <c r="AO568" s="3189"/>
      <c r="AP568" s="3189"/>
      <c r="AQ568" s="3189"/>
      <c r="AR568" s="3189"/>
      <c r="AS568" s="3190"/>
      <c r="AT568" s="1926"/>
      <c r="AU568" s="1926"/>
      <c r="AV568" s="1926"/>
      <c r="AW568" s="1927"/>
      <c r="AX568" s="1859"/>
      <c r="AY568" s="1859"/>
    </row>
    <row r="569" spans="1:51" s="1928" customFormat="1" ht="12.95" customHeight="1" x14ac:dyDescent="0.15">
      <c r="A569" s="1859"/>
      <c r="C569" s="1047"/>
      <c r="D569" s="964"/>
      <c r="E569" s="964"/>
      <c r="F569" s="964"/>
      <c r="G569" s="964"/>
      <c r="H569" s="964"/>
      <c r="I569" s="1925"/>
      <c r="J569" s="983"/>
      <c r="K569" s="964"/>
      <c r="L569" s="964"/>
      <c r="M569" s="964"/>
      <c r="N569" s="964"/>
      <c r="O569" s="1046"/>
      <c r="P569" s="3188"/>
      <c r="Q569" s="3189"/>
      <c r="R569" s="3189"/>
      <c r="S569" s="3189"/>
      <c r="T569" s="3189"/>
      <c r="U569" s="3189"/>
      <c r="V569" s="3189"/>
      <c r="W569" s="3189"/>
      <c r="X569" s="3189"/>
      <c r="Y569" s="3189"/>
      <c r="Z569" s="3189"/>
      <c r="AA569" s="3189"/>
      <c r="AB569" s="3189"/>
      <c r="AC569" s="3189"/>
      <c r="AD569" s="3189"/>
      <c r="AE569" s="3189"/>
      <c r="AF569" s="3189"/>
      <c r="AG569" s="3189"/>
      <c r="AH569" s="3189"/>
      <c r="AI569" s="3189"/>
      <c r="AJ569" s="3189"/>
      <c r="AK569" s="3189"/>
      <c r="AL569" s="3189"/>
      <c r="AM569" s="3189"/>
      <c r="AN569" s="3189"/>
      <c r="AO569" s="3189"/>
      <c r="AP569" s="3189"/>
      <c r="AQ569" s="3189"/>
      <c r="AR569" s="3189"/>
      <c r="AS569" s="3190"/>
      <c r="AT569" s="1926"/>
      <c r="AU569" s="1926"/>
      <c r="AV569" s="1926"/>
      <c r="AW569" s="1927"/>
      <c r="AX569" s="1859"/>
      <c r="AY569" s="1859"/>
    </row>
    <row r="570" spans="1:51" s="1928" customFormat="1" ht="12.95" customHeight="1" x14ac:dyDescent="0.15">
      <c r="A570" s="1859"/>
      <c r="C570" s="1047"/>
      <c r="D570" s="964"/>
      <c r="E570" s="964"/>
      <c r="F570" s="964"/>
      <c r="G570" s="964"/>
      <c r="H570" s="964"/>
      <c r="I570" s="1925"/>
      <c r="J570" s="983"/>
      <c r="K570" s="964"/>
      <c r="L570" s="964"/>
      <c r="M570" s="964"/>
      <c r="N570" s="964"/>
      <c r="O570" s="1046"/>
      <c r="P570" s="3188"/>
      <c r="Q570" s="3189"/>
      <c r="R570" s="3189"/>
      <c r="S570" s="3189"/>
      <c r="T570" s="3189"/>
      <c r="U570" s="3189"/>
      <c r="V570" s="3189"/>
      <c r="W570" s="3189"/>
      <c r="X570" s="3189"/>
      <c r="Y570" s="3189"/>
      <c r="Z570" s="3189"/>
      <c r="AA570" s="3189"/>
      <c r="AB570" s="3189"/>
      <c r="AC570" s="3189"/>
      <c r="AD570" s="3189"/>
      <c r="AE570" s="3189"/>
      <c r="AF570" s="3189"/>
      <c r="AG570" s="3189"/>
      <c r="AH570" s="3189"/>
      <c r="AI570" s="3189"/>
      <c r="AJ570" s="3189"/>
      <c r="AK570" s="3189"/>
      <c r="AL570" s="3189"/>
      <c r="AM570" s="3189"/>
      <c r="AN570" s="3189"/>
      <c r="AO570" s="3189"/>
      <c r="AP570" s="3189"/>
      <c r="AQ570" s="3189"/>
      <c r="AR570" s="3189"/>
      <c r="AS570" s="3190"/>
      <c r="AT570" s="1926"/>
      <c r="AU570" s="1926"/>
      <c r="AV570" s="1926"/>
      <c r="AW570" s="1927"/>
      <c r="AX570" s="1859"/>
      <c r="AY570" s="1859"/>
    </row>
    <row r="571" spans="1:51" s="1928" customFormat="1" ht="12.95" customHeight="1" x14ac:dyDescent="0.15">
      <c r="A571" s="1859"/>
      <c r="C571" s="983"/>
      <c r="D571" s="964"/>
      <c r="E571" s="964"/>
      <c r="F571" s="964"/>
      <c r="G571" s="964"/>
      <c r="H571" s="964"/>
      <c r="I571" s="1925"/>
      <c r="J571" s="983"/>
      <c r="K571" s="964"/>
      <c r="L571" s="964"/>
      <c r="M571" s="964"/>
      <c r="N571" s="964"/>
      <c r="O571" s="1046"/>
      <c r="P571" s="3188"/>
      <c r="Q571" s="3189"/>
      <c r="R571" s="3189"/>
      <c r="S571" s="3189"/>
      <c r="T571" s="3189"/>
      <c r="U571" s="3189"/>
      <c r="V571" s="3189"/>
      <c r="W571" s="3189"/>
      <c r="X571" s="3189"/>
      <c r="Y571" s="3189"/>
      <c r="Z571" s="3189"/>
      <c r="AA571" s="3189"/>
      <c r="AB571" s="3189"/>
      <c r="AC571" s="3189"/>
      <c r="AD571" s="3189"/>
      <c r="AE571" s="3189"/>
      <c r="AF571" s="3189"/>
      <c r="AG571" s="3189"/>
      <c r="AH571" s="3189"/>
      <c r="AI571" s="3189"/>
      <c r="AJ571" s="3189"/>
      <c r="AK571" s="3189"/>
      <c r="AL571" s="3189"/>
      <c r="AM571" s="3189"/>
      <c r="AN571" s="3189"/>
      <c r="AO571" s="3189"/>
      <c r="AP571" s="3189"/>
      <c r="AQ571" s="3189"/>
      <c r="AR571" s="3189"/>
      <c r="AS571" s="3190"/>
      <c r="AT571" s="1926"/>
      <c r="AU571" s="1926"/>
      <c r="AV571" s="1926"/>
      <c r="AW571" s="1927"/>
      <c r="AX571" s="1859"/>
      <c r="AY571" s="1859"/>
    </row>
    <row r="572" spans="1:51" s="1928" customFormat="1" ht="12.95" customHeight="1" x14ac:dyDescent="0.15">
      <c r="A572" s="1859"/>
      <c r="C572" s="989"/>
      <c r="D572" s="990"/>
      <c r="E572" s="990"/>
      <c r="F572" s="990"/>
      <c r="G572" s="990"/>
      <c r="H572" s="990"/>
      <c r="I572" s="1929"/>
      <c r="J572" s="989"/>
      <c r="K572" s="990"/>
      <c r="L572" s="990"/>
      <c r="M572" s="990"/>
      <c r="N572" s="990"/>
      <c r="O572" s="1041"/>
      <c r="P572" s="3191"/>
      <c r="Q572" s="3192"/>
      <c r="R572" s="3192"/>
      <c r="S572" s="3192"/>
      <c r="T572" s="3192"/>
      <c r="U572" s="3192"/>
      <c r="V572" s="3192"/>
      <c r="W572" s="3192"/>
      <c r="X572" s="3192"/>
      <c r="Y572" s="3192"/>
      <c r="Z572" s="3192"/>
      <c r="AA572" s="3192"/>
      <c r="AB572" s="3192"/>
      <c r="AC572" s="3192"/>
      <c r="AD572" s="3192"/>
      <c r="AE572" s="3192"/>
      <c r="AF572" s="3192"/>
      <c r="AG572" s="3192"/>
      <c r="AH572" s="3192"/>
      <c r="AI572" s="3192"/>
      <c r="AJ572" s="3192"/>
      <c r="AK572" s="3192"/>
      <c r="AL572" s="3192"/>
      <c r="AM572" s="3192"/>
      <c r="AN572" s="3192"/>
      <c r="AO572" s="3192"/>
      <c r="AP572" s="3192"/>
      <c r="AQ572" s="3192"/>
      <c r="AR572" s="3192"/>
      <c r="AS572" s="3193"/>
      <c r="AT572" s="1926"/>
      <c r="AU572" s="1926"/>
      <c r="AV572" s="1926"/>
      <c r="AW572" s="1927"/>
      <c r="AX572" s="1859"/>
      <c r="AY572" s="1859"/>
    </row>
    <row r="573" spans="1:51" s="1928" customFormat="1" ht="12.95" hidden="1" customHeight="1" thickBot="1" x14ac:dyDescent="0.2">
      <c r="A573" s="1859"/>
      <c r="C573" s="1042"/>
      <c r="D573" s="1024"/>
      <c r="E573" s="1024"/>
      <c r="F573" s="1024"/>
      <c r="G573" s="1024"/>
      <c r="H573" s="1024"/>
      <c r="I573" s="1930"/>
      <c r="J573" s="1023" t="s">
        <v>857</v>
      </c>
      <c r="K573" s="1024"/>
      <c r="L573" s="1024"/>
      <c r="M573" s="1024"/>
      <c r="N573" s="1024"/>
      <c r="O573" s="1024"/>
      <c r="P573" s="1024"/>
      <c r="Q573" s="1024"/>
      <c r="R573" s="1024"/>
      <c r="S573" s="1024"/>
      <c r="T573" s="1024"/>
      <c r="U573" s="1031" t="str">
        <f>IF(OR('1_入力シート【基本情報】'!EB475="レ",'1_入力シート【基本情報】'!EC475="レ",'1_入力シート【基本情報】'!EG475="レ",'1_入力シート【基本情報】'!EH475="レ"),"レ","")</f>
        <v/>
      </c>
      <c r="V573" s="1024" t="s">
        <v>865</v>
      </c>
      <c r="W573" s="1024"/>
      <c r="X573" s="1029"/>
      <c r="Y573" s="1029"/>
      <c r="Z573" s="1030" t="s">
        <v>866</v>
      </c>
      <c r="AA573" s="3194" t="str">
        <f>IF('1_入力シート【基本情報】'!ED475&lt;&gt;"",'1_入力シート【基本情報】'!ED475,IF('1_入力シート【基本情報】'!EI475&lt;&gt;"",'1_入力シート【基本情報】'!EI475,""))</f>
        <v/>
      </c>
      <c r="AB573" s="3201"/>
      <c r="AC573" s="1024" t="s">
        <v>850</v>
      </c>
      <c r="AD573" s="3194" t="str">
        <f>IF('1_入力シート【基本情報】'!EE475&lt;&gt;"",'1_入力シート【基本情報】'!EE475,IF('1_入力シート【基本情報】'!EJ475&lt;&gt;"",'1_入力シート【基本情報】'!EJ475,""))</f>
        <v/>
      </c>
      <c r="AE573" s="3194"/>
      <c r="AF573" s="1024" t="str">
        <f>IF(OR('1_入力シート【基本情報】'!EC475="レ",'1_入力シート【基本情報】'!EH475="レ"),"月に改善)","月に改善予定)")</f>
        <v>月に改善予定)</v>
      </c>
      <c r="AG573" s="1024"/>
      <c r="AH573" s="1024"/>
      <c r="AI573" s="1024"/>
      <c r="AJ573" s="1024"/>
      <c r="AK573" s="1024"/>
      <c r="AL573" s="1031" t="str">
        <f>IF(OR('1_入力シート【基本情報】'!EF475="レ",'1_入力シート【基本情報】'!EK475="レ"),"レ","")</f>
        <v/>
      </c>
      <c r="AM573" s="1024" t="s">
        <v>867</v>
      </c>
      <c r="AN573" s="1024"/>
      <c r="AO573" s="1024"/>
      <c r="AP573" s="1024"/>
      <c r="AQ573" s="1024"/>
      <c r="AR573" s="1024"/>
      <c r="AS573" s="1043"/>
      <c r="AT573" s="1926"/>
      <c r="AU573" s="1926"/>
      <c r="AV573" s="1926"/>
      <c r="AW573" s="1927"/>
      <c r="AX573" s="1859"/>
      <c r="AY573" s="1859"/>
    </row>
    <row r="574" spans="1:51" s="1856" customFormat="1" ht="12.95" customHeight="1" x14ac:dyDescent="0.15">
      <c r="A574" s="1865"/>
      <c r="B574" s="1931"/>
      <c r="C574" s="1931"/>
      <c r="D574" s="1931"/>
      <c r="E574" s="1931"/>
      <c r="F574" s="1931"/>
      <c r="G574" s="1931"/>
      <c r="H574" s="1888"/>
      <c r="I574" s="1888"/>
      <c r="J574" s="1888"/>
      <c r="K574" s="1888"/>
      <c r="L574" s="1888"/>
      <c r="M574" s="1888"/>
      <c r="N574" s="1888"/>
      <c r="O574" s="1888"/>
      <c r="P574" s="1888"/>
      <c r="Q574" s="1888"/>
      <c r="R574" s="1888"/>
      <c r="S574" s="1888"/>
      <c r="T574" s="1888"/>
      <c r="U574" s="1888"/>
      <c r="V574" s="1888"/>
      <c r="W574" s="1888"/>
      <c r="X574" s="1888"/>
      <c r="Y574" s="1888"/>
      <c r="Z574" s="1888"/>
      <c r="AA574" s="1888"/>
      <c r="AB574" s="1932"/>
      <c r="AC574" s="1932"/>
      <c r="AD574" s="1932"/>
      <c r="AE574" s="1932"/>
      <c r="AF574" s="1932"/>
      <c r="AG574" s="1932"/>
      <c r="AH574" s="1876"/>
      <c r="AI574" s="1876"/>
      <c r="AJ574" s="1876"/>
      <c r="AK574" s="1876"/>
      <c r="AL574" s="1876"/>
      <c r="AM574" s="1876"/>
      <c r="AN574" s="1876"/>
      <c r="AO574" s="1876"/>
      <c r="AP574" s="1876"/>
      <c r="AQ574" s="1876"/>
      <c r="AR574" s="1876"/>
      <c r="AS574" s="1876"/>
      <c r="AT574" s="1927"/>
      <c r="AU574" s="1865"/>
      <c r="AV574" s="1865"/>
    </row>
    <row r="575" spans="1:51" s="1856" customFormat="1" ht="36" customHeight="1" x14ac:dyDescent="0.15"/>
    <row r="576" spans="1:51" ht="12.95" customHeight="1" x14ac:dyDescent="0.15">
      <c r="B576" s="3172" t="s">
        <v>503</v>
      </c>
      <c r="C576" s="3172"/>
      <c r="D576" s="3172"/>
      <c r="E576" s="3172"/>
      <c r="F576" s="3172"/>
      <c r="G576" s="3172"/>
      <c r="H576" s="3172"/>
      <c r="I576" s="3172"/>
      <c r="J576" s="3172"/>
      <c r="K576" s="3172"/>
      <c r="L576" s="3172"/>
      <c r="M576" s="3172"/>
      <c r="N576" s="3172"/>
      <c r="O576" s="3172"/>
      <c r="P576" s="3172"/>
      <c r="Q576" s="3172"/>
      <c r="R576" s="3172"/>
      <c r="S576" s="3172"/>
      <c r="T576" s="3172"/>
      <c r="U576" s="3172"/>
      <c r="V576" s="3172"/>
      <c r="W576" s="3172"/>
      <c r="X576" s="3172"/>
      <c r="Y576" s="3172"/>
      <c r="Z576" s="3172"/>
      <c r="AA576" s="3172"/>
      <c r="AB576" s="3172"/>
      <c r="AC576" s="3172"/>
      <c r="AD576" s="3172"/>
      <c r="AE576" s="3172"/>
      <c r="AF576" s="3172"/>
      <c r="AG576" s="3172"/>
      <c r="AH576" s="3172"/>
      <c r="AI576" s="3172"/>
      <c r="AJ576" s="3172"/>
      <c r="AK576" s="3172"/>
      <c r="AL576" s="3172"/>
      <c r="AM576" s="3172"/>
      <c r="AN576" s="3172"/>
      <c r="AO576" s="3172"/>
      <c r="AP576" s="3172"/>
      <c r="AQ576" s="3172"/>
      <c r="AR576" s="3172"/>
      <c r="AS576" s="3172"/>
      <c r="AT576" s="3172"/>
      <c r="AU576" s="1882"/>
    </row>
    <row r="577" spans="1:52" ht="6" customHeight="1" x14ac:dyDescent="0.15"/>
    <row r="578" spans="1:52" ht="14.25" customHeight="1" x14ac:dyDescent="0.15">
      <c r="B578" s="1849" t="s">
        <v>504</v>
      </c>
      <c r="AG578" s="1884"/>
      <c r="AH578" s="1884"/>
    </row>
    <row r="579" spans="1:52" ht="6" customHeight="1" x14ac:dyDescent="0.15">
      <c r="AG579" s="1884"/>
      <c r="AH579" s="1884"/>
    </row>
    <row r="580" spans="1:52" ht="6" customHeight="1" x14ac:dyDescent="0.15">
      <c r="A580" s="1906"/>
      <c r="B580" s="1858"/>
      <c r="C580" s="1906"/>
      <c r="D580" s="1906"/>
      <c r="E580" s="1906"/>
      <c r="F580" s="1906"/>
      <c r="G580" s="1906"/>
      <c r="H580" s="1906"/>
      <c r="I580" s="1906"/>
      <c r="J580" s="1906"/>
      <c r="K580" s="1906"/>
      <c r="L580" s="1906"/>
      <c r="M580" s="1906"/>
      <c r="N580" s="1906"/>
      <c r="O580" s="1906"/>
      <c r="P580" s="1906"/>
      <c r="Q580" s="1906"/>
      <c r="R580" s="1906"/>
      <c r="S580" s="1906"/>
      <c r="T580" s="1906"/>
      <c r="U580" s="1906"/>
      <c r="V580" s="1906"/>
      <c r="W580" s="1906"/>
      <c r="X580" s="1906"/>
      <c r="Y580" s="1906"/>
      <c r="Z580" s="1906"/>
      <c r="AA580" s="1906"/>
      <c r="AB580" s="1906"/>
      <c r="AC580" s="1906"/>
      <c r="AD580" s="1906"/>
      <c r="AE580" s="1906"/>
      <c r="AF580" s="1906"/>
      <c r="AG580" s="1906"/>
      <c r="AH580" s="1906"/>
      <c r="AI580" s="1906"/>
      <c r="AJ580" s="1906"/>
      <c r="AK580" s="1906"/>
      <c r="AL580" s="1906"/>
      <c r="AM580" s="1906"/>
      <c r="AN580" s="1906"/>
      <c r="AO580" s="1906"/>
      <c r="AP580" s="1906"/>
      <c r="AQ580" s="1906"/>
      <c r="AR580" s="1906"/>
      <c r="AS580" s="1906"/>
      <c r="AT580" s="1906"/>
      <c r="AU580" s="1906"/>
      <c r="AV580" s="1906"/>
    </row>
    <row r="581" spans="1:52" ht="18" customHeight="1" x14ac:dyDescent="0.15">
      <c r="A581" s="1906"/>
      <c r="B581" s="3251" t="s">
        <v>2731</v>
      </c>
      <c r="C581" s="3252"/>
      <c r="D581" s="3252"/>
      <c r="E581" s="3252"/>
      <c r="F581" s="3252"/>
      <c r="G581" s="3253"/>
      <c r="H581" s="3254" t="s">
        <v>505</v>
      </c>
      <c r="I581" s="3255"/>
      <c r="J581" s="3255"/>
      <c r="K581" s="3255"/>
      <c r="L581" s="3255"/>
      <c r="M581" s="3255"/>
      <c r="N581" s="3255"/>
      <c r="O581" s="3255"/>
      <c r="P581" s="3255"/>
      <c r="Q581" s="3256"/>
      <c r="R581" s="3254" t="s">
        <v>506</v>
      </c>
      <c r="S581" s="3255"/>
      <c r="T581" s="3255"/>
      <c r="U581" s="3255"/>
      <c r="V581" s="3255"/>
      <c r="W581" s="3255"/>
      <c r="X581" s="3255"/>
      <c r="Y581" s="3255"/>
      <c r="Z581" s="3255"/>
      <c r="AA581" s="3256"/>
      <c r="AB581" s="3254" t="s">
        <v>876</v>
      </c>
      <c r="AC581" s="3255"/>
      <c r="AD581" s="3255"/>
      <c r="AE581" s="3255"/>
      <c r="AF581" s="3255"/>
      <c r="AG581" s="3256"/>
      <c r="AH581" s="3254" t="s">
        <v>296</v>
      </c>
      <c r="AI581" s="3255"/>
      <c r="AJ581" s="3255"/>
      <c r="AK581" s="3255"/>
      <c r="AL581" s="3255"/>
      <c r="AM581" s="3255"/>
      <c r="AN581" s="3255"/>
      <c r="AO581" s="3255"/>
      <c r="AP581" s="3255"/>
      <c r="AQ581" s="3255"/>
      <c r="AR581" s="3255"/>
      <c r="AS581" s="3256"/>
      <c r="AT581" s="1906"/>
      <c r="AU581" s="1906"/>
    </row>
    <row r="582" spans="1:52" ht="18" customHeight="1" x14ac:dyDescent="0.15">
      <c r="A582" s="1906"/>
      <c r="B582" s="3257" t="s">
        <v>2732</v>
      </c>
      <c r="C582" s="3258"/>
      <c r="D582" s="3258"/>
      <c r="E582" s="3258"/>
      <c r="F582" s="3258"/>
      <c r="G582" s="3259"/>
      <c r="H582" s="3260"/>
      <c r="I582" s="3261"/>
      <c r="J582" s="3261"/>
      <c r="K582" s="3261"/>
      <c r="L582" s="3261"/>
      <c r="M582" s="3261"/>
      <c r="N582" s="3261"/>
      <c r="O582" s="3261"/>
      <c r="P582" s="3261"/>
      <c r="Q582" s="3262"/>
      <c r="R582" s="3260"/>
      <c r="S582" s="3261"/>
      <c r="T582" s="3261"/>
      <c r="U582" s="3261"/>
      <c r="V582" s="3261"/>
      <c r="W582" s="3261"/>
      <c r="X582" s="3261"/>
      <c r="Y582" s="3261"/>
      <c r="Z582" s="3261"/>
      <c r="AA582" s="3262"/>
      <c r="AB582" s="3260" t="s">
        <v>507</v>
      </c>
      <c r="AC582" s="3261"/>
      <c r="AD582" s="3261"/>
      <c r="AE582" s="3261"/>
      <c r="AF582" s="3261"/>
      <c r="AG582" s="3262"/>
      <c r="AH582" s="3260"/>
      <c r="AI582" s="3261"/>
      <c r="AJ582" s="3261"/>
      <c r="AK582" s="3261"/>
      <c r="AL582" s="3261"/>
      <c r="AM582" s="3261"/>
      <c r="AN582" s="3261"/>
      <c r="AO582" s="3261"/>
      <c r="AP582" s="3261"/>
      <c r="AQ582" s="3261"/>
      <c r="AR582" s="3261"/>
      <c r="AS582" s="3262"/>
      <c r="AT582" s="1906"/>
      <c r="AU582" s="1906"/>
    </row>
    <row r="583" spans="1:52" ht="36" customHeight="1" x14ac:dyDescent="0.15">
      <c r="A583" s="1906"/>
      <c r="B583" s="3265" t="str">
        <f>IF('1_入力シート【基本情報】'!DM257&gt;0,'1_入力シート【基本情報】'!M257&amp;'1_入力シート【基本情報】'!P257&amp;"年"&amp;'1_入力シート【基本情報】'!S257&amp;"月","")</f>
        <v/>
      </c>
      <c r="C583" s="3266"/>
      <c r="D583" s="3266"/>
      <c r="E583" s="3266"/>
      <c r="F583" s="3266"/>
      <c r="G583" s="3267"/>
      <c r="H583" s="3268" t="str">
        <f>IF('1_入力シート【基本情報】'!V257="","",'1_入力シート【基本情報】'!V257)</f>
        <v/>
      </c>
      <c r="I583" s="3269"/>
      <c r="J583" s="3269"/>
      <c r="K583" s="3269"/>
      <c r="L583" s="3269"/>
      <c r="M583" s="3269"/>
      <c r="N583" s="3269"/>
      <c r="O583" s="3269"/>
      <c r="P583" s="3269"/>
      <c r="Q583" s="3270"/>
      <c r="R583" s="3268" t="str">
        <f>IF('1_入力シート【基本情報】'!AH257="","",'1_入力シート【基本情報】'!AH257)</f>
        <v/>
      </c>
      <c r="S583" s="3269"/>
      <c r="T583" s="3269"/>
      <c r="U583" s="3269"/>
      <c r="V583" s="3269"/>
      <c r="W583" s="3269"/>
      <c r="X583" s="3269"/>
      <c r="Y583" s="3269"/>
      <c r="Z583" s="3269"/>
      <c r="AA583" s="3270"/>
      <c r="AB583" s="3271" t="str">
        <f>IF(AND('1_入力シート【基本情報】'!DN257&gt;0,'1_入力シート【基本情報】'!DY257&lt;&gt;1),"令和"&amp;'1_入力シート【基本情報】'!AZ257&amp;"年"&amp;'1_入力シート【基本情報】'!BC257&amp;"月",IF('1_入力シート【基本情報】'!DY257=1,"予定なし",""))</f>
        <v/>
      </c>
      <c r="AC583" s="3272"/>
      <c r="AD583" s="3272"/>
      <c r="AE583" s="3272"/>
      <c r="AF583" s="3272"/>
      <c r="AG583" s="3273"/>
      <c r="AH583" s="3268" t="str">
        <f>IF('1_入力シート【基本情報】'!BF257="","",'1_入力シート【基本情報】'!BF257)</f>
        <v/>
      </c>
      <c r="AI583" s="3269"/>
      <c r="AJ583" s="3269"/>
      <c r="AK583" s="3269"/>
      <c r="AL583" s="3269"/>
      <c r="AM583" s="3269"/>
      <c r="AN583" s="3269"/>
      <c r="AO583" s="3269"/>
      <c r="AP583" s="3269"/>
      <c r="AQ583" s="3269"/>
      <c r="AR583" s="3269"/>
      <c r="AS583" s="3270"/>
      <c r="AT583" s="1906"/>
      <c r="AU583" s="1906"/>
    </row>
    <row r="584" spans="1:52" ht="36" customHeight="1" x14ac:dyDescent="0.15">
      <c r="A584" s="1906"/>
      <c r="B584" s="3265" t="str">
        <f>IF('1_入力シート【基本情報】'!DM258&gt;0,'1_入力シート【基本情報】'!M258&amp;'1_入力シート【基本情報】'!P258&amp;"年"&amp;'1_入力シート【基本情報】'!S258&amp;"月","")</f>
        <v/>
      </c>
      <c r="C584" s="3266"/>
      <c r="D584" s="3266"/>
      <c r="E584" s="3266"/>
      <c r="F584" s="3266"/>
      <c r="G584" s="3267"/>
      <c r="H584" s="3268" t="str">
        <f>IF('1_入力シート【基本情報】'!V258="","",'1_入力シート【基本情報】'!V258)</f>
        <v/>
      </c>
      <c r="I584" s="3269"/>
      <c r="J584" s="3269"/>
      <c r="K584" s="3269"/>
      <c r="L584" s="3269"/>
      <c r="M584" s="3269"/>
      <c r="N584" s="3269"/>
      <c r="O584" s="3269"/>
      <c r="P584" s="3269"/>
      <c r="Q584" s="3270"/>
      <c r="R584" s="3268" t="str">
        <f>IF('1_入力シート【基本情報】'!AH258="","",'1_入力シート【基本情報】'!AH258)</f>
        <v/>
      </c>
      <c r="S584" s="3269"/>
      <c r="T584" s="3269"/>
      <c r="U584" s="3269"/>
      <c r="V584" s="3269"/>
      <c r="W584" s="3269"/>
      <c r="X584" s="3269"/>
      <c r="Y584" s="3269"/>
      <c r="Z584" s="3269"/>
      <c r="AA584" s="3270"/>
      <c r="AB584" s="3271" t="str">
        <f>IF(AND('1_入力シート【基本情報】'!DN258&gt;0,'1_入力シート【基本情報】'!DY258&lt;&gt;1),"令和"&amp;'1_入力シート【基本情報】'!AZ258&amp;"年"&amp;'1_入力シート【基本情報】'!BC258&amp;"月",IF('1_入力シート【基本情報】'!DY258=1,"予定なし",""))</f>
        <v/>
      </c>
      <c r="AC584" s="3272"/>
      <c r="AD584" s="3272"/>
      <c r="AE584" s="3272"/>
      <c r="AF584" s="3272"/>
      <c r="AG584" s="3273"/>
      <c r="AH584" s="3268" t="str">
        <f>IF('1_入力シート【基本情報】'!BF258="","",'1_入力シート【基本情報】'!BF258)</f>
        <v/>
      </c>
      <c r="AI584" s="3269"/>
      <c r="AJ584" s="3269"/>
      <c r="AK584" s="3269"/>
      <c r="AL584" s="3269"/>
      <c r="AM584" s="3269"/>
      <c r="AN584" s="3269"/>
      <c r="AO584" s="3269"/>
      <c r="AP584" s="3269"/>
      <c r="AQ584" s="3269"/>
      <c r="AR584" s="3269"/>
      <c r="AS584" s="3270"/>
      <c r="AT584" s="1906"/>
      <c r="AU584" s="1906"/>
    </row>
    <row r="585" spans="1:52" ht="36" customHeight="1" x14ac:dyDescent="0.15">
      <c r="A585" s="1906"/>
      <c r="B585" s="3265" t="str">
        <f>IF('1_入力シート【基本情報】'!DM259&gt;0,'1_入力シート【基本情報】'!M259&amp;'1_入力シート【基本情報】'!P259&amp;"年"&amp;'1_入力シート【基本情報】'!S259&amp;"月","")</f>
        <v/>
      </c>
      <c r="C585" s="3266"/>
      <c r="D585" s="3266"/>
      <c r="E585" s="3266"/>
      <c r="F585" s="3266"/>
      <c r="G585" s="3267"/>
      <c r="H585" s="3268" t="str">
        <f>IF('1_入力シート【基本情報】'!V259="","",'1_入力シート【基本情報】'!V259)</f>
        <v/>
      </c>
      <c r="I585" s="3269"/>
      <c r="J585" s="3269"/>
      <c r="K585" s="3269"/>
      <c r="L585" s="3269"/>
      <c r="M585" s="3269"/>
      <c r="N585" s="3269"/>
      <c r="O585" s="3269"/>
      <c r="P585" s="3269"/>
      <c r="Q585" s="3270"/>
      <c r="R585" s="3268" t="str">
        <f>IF('1_入力シート【基本情報】'!AH259="","",'1_入力シート【基本情報】'!AH259)</f>
        <v/>
      </c>
      <c r="S585" s="3269"/>
      <c r="T585" s="3269"/>
      <c r="U585" s="3269"/>
      <c r="V585" s="3269"/>
      <c r="W585" s="3269"/>
      <c r="X585" s="3269"/>
      <c r="Y585" s="3269"/>
      <c r="Z585" s="3269"/>
      <c r="AA585" s="3270"/>
      <c r="AB585" s="3271" t="str">
        <f>IF(AND('1_入力シート【基本情報】'!DN259&gt;0,'1_入力シート【基本情報】'!DY259&lt;&gt;1),"令和"&amp;'1_入力シート【基本情報】'!AZ259&amp;"年"&amp;'1_入力シート【基本情報】'!BC259&amp;"月",IF('1_入力シート【基本情報】'!DY259=1,"予定なし",""))</f>
        <v/>
      </c>
      <c r="AC585" s="3272"/>
      <c r="AD585" s="3272"/>
      <c r="AE585" s="3272"/>
      <c r="AF585" s="3272"/>
      <c r="AG585" s="3273"/>
      <c r="AH585" s="3268" t="str">
        <f>IF('1_入力シート【基本情報】'!BF259="","",'1_入力シート【基本情報】'!BF259)</f>
        <v/>
      </c>
      <c r="AI585" s="3269"/>
      <c r="AJ585" s="3269"/>
      <c r="AK585" s="3269"/>
      <c r="AL585" s="3269"/>
      <c r="AM585" s="3269"/>
      <c r="AN585" s="3269"/>
      <c r="AO585" s="3269"/>
      <c r="AP585" s="3269"/>
      <c r="AQ585" s="3269"/>
      <c r="AR585" s="3269"/>
      <c r="AS585" s="3270"/>
      <c r="AT585" s="1906"/>
      <c r="AU585" s="1906"/>
    </row>
    <row r="586" spans="1:52" ht="36" customHeight="1" x14ac:dyDescent="0.15">
      <c r="A586" s="1906"/>
      <c r="B586" s="3265" t="str">
        <f>IF('1_入力シート【基本情報】'!DM260&gt;0,'1_入力シート【基本情報】'!M260&amp;'1_入力シート【基本情報】'!P260&amp;"年"&amp;'1_入力シート【基本情報】'!S260&amp;"月","")</f>
        <v/>
      </c>
      <c r="C586" s="3266"/>
      <c r="D586" s="3266"/>
      <c r="E586" s="3266"/>
      <c r="F586" s="3266"/>
      <c r="G586" s="3267"/>
      <c r="H586" s="3268" t="str">
        <f>IF('1_入力シート【基本情報】'!V260="","",'1_入力シート【基本情報】'!V260)</f>
        <v/>
      </c>
      <c r="I586" s="3269"/>
      <c r="J586" s="3269"/>
      <c r="K586" s="3269"/>
      <c r="L586" s="3269"/>
      <c r="M586" s="3269"/>
      <c r="N586" s="3269"/>
      <c r="O586" s="3269"/>
      <c r="P586" s="3269"/>
      <c r="Q586" s="3270"/>
      <c r="R586" s="3268" t="str">
        <f>IF('1_入力シート【基本情報】'!AH260="","",'1_入力シート【基本情報】'!AH260)</f>
        <v/>
      </c>
      <c r="S586" s="3269"/>
      <c r="T586" s="3269"/>
      <c r="U586" s="3269"/>
      <c r="V586" s="3269"/>
      <c r="W586" s="3269"/>
      <c r="X586" s="3269"/>
      <c r="Y586" s="3269"/>
      <c r="Z586" s="3269"/>
      <c r="AA586" s="3270"/>
      <c r="AB586" s="3271" t="str">
        <f>IF(AND('1_入力シート【基本情報】'!DN260&gt;0,'1_入力シート【基本情報】'!DY260&lt;&gt;1),"令和"&amp;'1_入力シート【基本情報】'!AZ260&amp;"年"&amp;'1_入力シート【基本情報】'!BC260&amp;"月",IF('1_入力シート【基本情報】'!DY260=1,"予定なし",""))</f>
        <v/>
      </c>
      <c r="AC586" s="3272"/>
      <c r="AD586" s="3272"/>
      <c r="AE586" s="3272"/>
      <c r="AF586" s="3272"/>
      <c r="AG586" s="3273"/>
      <c r="AH586" s="3268" t="str">
        <f>IF('1_入力シート【基本情報】'!BF260="","",'1_入力シート【基本情報】'!BF260)</f>
        <v/>
      </c>
      <c r="AI586" s="3269"/>
      <c r="AJ586" s="3269"/>
      <c r="AK586" s="3269"/>
      <c r="AL586" s="3269"/>
      <c r="AM586" s="3269"/>
      <c r="AN586" s="3269"/>
      <c r="AO586" s="3269"/>
      <c r="AP586" s="3269"/>
      <c r="AQ586" s="3269"/>
      <c r="AR586" s="3269"/>
      <c r="AS586" s="3270"/>
      <c r="AT586" s="1906"/>
      <c r="AU586" s="1906"/>
    </row>
    <row r="587" spans="1:52" ht="36" customHeight="1" x14ac:dyDescent="0.15">
      <c r="A587" s="1906"/>
      <c r="B587" s="3265" t="str">
        <f>IF('1_入力シート【基本情報】'!DM261&gt;0,'1_入力シート【基本情報】'!M261&amp;'1_入力シート【基本情報】'!P261&amp;"年"&amp;'1_入力シート【基本情報】'!S261&amp;"月","")</f>
        <v/>
      </c>
      <c r="C587" s="3266"/>
      <c r="D587" s="3266"/>
      <c r="E587" s="3266"/>
      <c r="F587" s="3266"/>
      <c r="G587" s="3267"/>
      <c r="H587" s="3268" t="str">
        <f>IF('1_入力シート【基本情報】'!V261="","",'1_入力シート【基本情報】'!V261)</f>
        <v/>
      </c>
      <c r="I587" s="3269"/>
      <c r="J587" s="3269"/>
      <c r="K587" s="3269"/>
      <c r="L587" s="3269"/>
      <c r="M587" s="3269"/>
      <c r="N587" s="3269"/>
      <c r="O587" s="3269"/>
      <c r="P587" s="3269"/>
      <c r="Q587" s="3270"/>
      <c r="R587" s="3268" t="str">
        <f>IF('1_入力シート【基本情報】'!AH261="","",'1_入力シート【基本情報】'!AH261)</f>
        <v/>
      </c>
      <c r="S587" s="3269"/>
      <c r="T587" s="3269"/>
      <c r="U587" s="3269"/>
      <c r="V587" s="3269"/>
      <c r="W587" s="3269"/>
      <c r="X587" s="3269"/>
      <c r="Y587" s="3269"/>
      <c r="Z587" s="3269"/>
      <c r="AA587" s="3270"/>
      <c r="AB587" s="3271" t="str">
        <f>IF(AND('1_入力シート【基本情報】'!DN261&gt;0,'1_入力シート【基本情報】'!DY261&lt;&gt;1),"令和"&amp;'1_入力シート【基本情報】'!AZ261&amp;"年"&amp;'1_入力シート【基本情報】'!BC261&amp;"月",IF('1_入力シート【基本情報】'!DY261=1,"予定なし",""))</f>
        <v/>
      </c>
      <c r="AC587" s="3272"/>
      <c r="AD587" s="3272"/>
      <c r="AE587" s="3272"/>
      <c r="AF587" s="3272"/>
      <c r="AG587" s="3273"/>
      <c r="AH587" s="3268" t="str">
        <f>IF('1_入力シート【基本情報】'!BF261="","",'1_入力シート【基本情報】'!BF261)</f>
        <v/>
      </c>
      <c r="AI587" s="3269"/>
      <c r="AJ587" s="3269"/>
      <c r="AK587" s="3269"/>
      <c r="AL587" s="3269"/>
      <c r="AM587" s="3269"/>
      <c r="AN587" s="3269"/>
      <c r="AO587" s="3269"/>
      <c r="AP587" s="3269"/>
      <c r="AQ587" s="3269"/>
      <c r="AR587" s="3269"/>
      <c r="AS587" s="3270"/>
      <c r="AT587" s="1933"/>
      <c r="AU587" s="1906"/>
      <c r="AZ587" s="1875"/>
    </row>
    <row r="588" spans="1:52" ht="36" customHeight="1" x14ac:dyDescent="0.15">
      <c r="A588" s="1906"/>
      <c r="B588" s="3274"/>
      <c r="C588" s="3274"/>
      <c r="D588" s="3274"/>
      <c r="E588" s="3274"/>
      <c r="F588" s="3274"/>
      <c r="G588" s="3274"/>
      <c r="H588" s="3275"/>
      <c r="I588" s="3275"/>
      <c r="J588" s="3275"/>
      <c r="K588" s="3275"/>
      <c r="L588" s="3275"/>
      <c r="M588" s="3275"/>
      <c r="N588" s="3275"/>
      <c r="O588" s="3275"/>
      <c r="P588" s="3275"/>
      <c r="Q588" s="3275"/>
      <c r="R588" s="3275"/>
      <c r="S588" s="3275"/>
      <c r="T588" s="3275"/>
      <c r="U588" s="3275"/>
      <c r="V588" s="3275"/>
      <c r="W588" s="3275"/>
      <c r="X588" s="3275"/>
      <c r="Y588" s="3275"/>
      <c r="Z588" s="3275"/>
      <c r="AA588" s="3275"/>
      <c r="AB588" s="3276"/>
      <c r="AC588" s="3276"/>
      <c r="AD588" s="3276"/>
      <c r="AE588" s="3276"/>
      <c r="AF588" s="3276"/>
      <c r="AG588" s="3276"/>
      <c r="AH588" s="3277"/>
      <c r="AI588" s="3277"/>
      <c r="AJ588" s="3277"/>
      <c r="AK588" s="3277"/>
      <c r="AL588" s="3277"/>
      <c r="AM588" s="3277"/>
      <c r="AN588" s="3277"/>
      <c r="AO588" s="3277"/>
      <c r="AP588" s="3277"/>
      <c r="AQ588" s="3277"/>
      <c r="AR588" s="3277"/>
      <c r="AS588" s="3277"/>
      <c r="AT588" s="1927"/>
      <c r="AU588" s="1906"/>
      <c r="AV588" s="1906"/>
    </row>
    <row r="589" spans="1:52" ht="36" customHeight="1" x14ac:dyDescent="0.15">
      <c r="A589" s="1906"/>
      <c r="B589" s="3278"/>
      <c r="C589" s="3278"/>
      <c r="D589" s="3278"/>
      <c r="E589" s="3278"/>
      <c r="F589" s="3278"/>
      <c r="G589" s="3278"/>
      <c r="H589" s="3279"/>
      <c r="I589" s="3279"/>
      <c r="J589" s="3279"/>
      <c r="K589" s="3279"/>
      <c r="L589" s="3279"/>
      <c r="M589" s="3279"/>
      <c r="N589" s="3279"/>
      <c r="O589" s="3279"/>
      <c r="P589" s="3279"/>
      <c r="Q589" s="3279"/>
      <c r="R589" s="3279"/>
      <c r="S589" s="3279"/>
      <c r="T589" s="3279"/>
      <c r="U589" s="3279"/>
      <c r="V589" s="3279"/>
      <c r="W589" s="3279"/>
      <c r="X589" s="3279"/>
      <c r="Y589" s="3279"/>
      <c r="Z589" s="3279"/>
      <c r="AA589" s="3279"/>
      <c r="AB589" s="3280"/>
      <c r="AC589" s="3280"/>
      <c r="AD589" s="3280"/>
      <c r="AE589" s="3280"/>
      <c r="AF589" s="3280"/>
      <c r="AG589" s="3280"/>
      <c r="AH589" s="3281"/>
      <c r="AI589" s="3281"/>
      <c r="AJ589" s="3281"/>
      <c r="AK589" s="3281"/>
      <c r="AL589" s="3281"/>
      <c r="AM589" s="3281"/>
      <c r="AN589" s="3281"/>
      <c r="AO589" s="3281"/>
      <c r="AP589" s="3281"/>
      <c r="AQ589" s="3281"/>
      <c r="AR589" s="3281"/>
      <c r="AS589" s="3281"/>
      <c r="AT589" s="1927"/>
      <c r="AU589" s="1906"/>
      <c r="AV589" s="1906"/>
    </row>
    <row r="590" spans="1:52" ht="36" customHeight="1" x14ac:dyDescent="0.15">
      <c r="A590" s="1906"/>
      <c r="B590" s="3278"/>
      <c r="C590" s="3278"/>
      <c r="D590" s="3278"/>
      <c r="E590" s="3278"/>
      <c r="F590" s="3278"/>
      <c r="G590" s="3278"/>
      <c r="H590" s="3279"/>
      <c r="I590" s="3279"/>
      <c r="J590" s="3279"/>
      <c r="K590" s="3279"/>
      <c r="L590" s="3279"/>
      <c r="M590" s="3279"/>
      <c r="N590" s="3279"/>
      <c r="O590" s="3279"/>
      <c r="P590" s="3279"/>
      <c r="Q590" s="3279"/>
      <c r="R590" s="3279"/>
      <c r="S590" s="3279"/>
      <c r="T590" s="3279"/>
      <c r="U590" s="3279"/>
      <c r="V590" s="3279"/>
      <c r="W590" s="3279"/>
      <c r="X590" s="3279"/>
      <c r="Y590" s="3279"/>
      <c r="Z590" s="3279"/>
      <c r="AA590" s="3279"/>
      <c r="AB590" s="3280"/>
      <c r="AC590" s="3280"/>
      <c r="AD590" s="3280"/>
      <c r="AE590" s="3280"/>
      <c r="AF590" s="3280"/>
      <c r="AG590" s="3280"/>
      <c r="AH590" s="3281"/>
      <c r="AI590" s="3281"/>
      <c r="AJ590" s="3281"/>
      <c r="AK590" s="3281"/>
      <c r="AL590" s="3281"/>
      <c r="AM590" s="3281"/>
      <c r="AN590" s="3281"/>
      <c r="AO590" s="3281"/>
      <c r="AP590" s="3281"/>
      <c r="AQ590" s="3281"/>
      <c r="AR590" s="3281"/>
      <c r="AS590" s="3281"/>
      <c r="AT590" s="1927"/>
      <c r="AU590" s="1906"/>
      <c r="AV590" s="1906"/>
    </row>
    <row r="591" spans="1:52" ht="36" customHeight="1" x14ac:dyDescent="0.15">
      <c r="A591" s="1906"/>
      <c r="B591" s="3278"/>
      <c r="C591" s="3278"/>
      <c r="D591" s="3278"/>
      <c r="E591" s="3278"/>
      <c r="F591" s="3278"/>
      <c r="G591" s="3278"/>
      <c r="H591" s="3279"/>
      <c r="I591" s="3279"/>
      <c r="J591" s="3279"/>
      <c r="K591" s="3279"/>
      <c r="L591" s="3279"/>
      <c r="M591" s="3279"/>
      <c r="N591" s="3279"/>
      <c r="O591" s="3279"/>
      <c r="P591" s="3279"/>
      <c r="Q591" s="3279"/>
      <c r="R591" s="3279"/>
      <c r="S591" s="3279"/>
      <c r="T591" s="3279"/>
      <c r="U591" s="3279"/>
      <c r="V591" s="3279"/>
      <c r="W591" s="3279"/>
      <c r="X591" s="3279"/>
      <c r="Y591" s="3279"/>
      <c r="Z591" s="3279"/>
      <c r="AA591" s="3279"/>
      <c r="AB591" s="3280"/>
      <c r="AC591" s="3280"/>
      <c r="AD591" s="3280"/>
      <c r="AE591" s="3280"/>
      <c r="AF591" s="3280"/>
      <c r="AG591" s="3280"/>
      <c r="AH591" s="3281"/>
      <c r="AI591" s="3281"/>
      <c r="AJ591" s="3281"/>
      <c r="AK591" s="3281"/>
      <c r="AL591" s="3281"/>
      <c r="AM591" s="3281"/>
      <c r="AN591" s="3281"/>
      <c r="AO591" s="3281"/>
      <c r="AP591" s="3281"/>
      <c r="AQ591" s="3281"/>
      <c r="AR591" s="3281"/>
      <c r="AS591" s="3281"/>
      <c r="AT591" s="1927"/>
      <c r="AU591" s="1906"/>
      <c r="AV591" s="1906"/>
    </row>
    <row r="592" spans="1:52" ht="36" customHeight="1" x14ac:dyDescent="0.15">
      <c r="A592" s="1906"/>
      <c r="B592" s="3278"/>
      <c r="C592" s="3278"/>
      <c r="D592" s="3278"/>
      <c r="E592" s="3278"/>
      <c r="F592" s="3278"/>
      <c r="G592" s="3278"/>
      <c r="H592" s="3279"/>
      <c r="I592" s="3279"/>
      <c r="J592" s="3279"/>
      <c r="K592" s="3279"/>
      <c r="L592" s="3279"/>
      <c r="M592" s="3279"/>
      <c r="N592" s="3279"/>
      <c r="O592" s="3279"/>
      <c r="P592" s="3279"/>
      <c r="Q592" s="3279"/>
      <c r="R592" s="3279"/>
      <c r="S592" s="3279"/>
      <c r="T592" s="3279"/>
      <c r="U592" s="3279"/>
      <c r="V592" s="3279"/>
      <c r="W592" s="3279"/>
      <c r="X592" s="3279"/>
      <c r="Y592" s="3279"/>
      <c r="Z592" s="3279"/>
      <c r="AA592" s="3279"/>
      <c r="AB592" s="3280"/>
      <c r="AC592" s="3280"/>
      <c r="AD592" s="3280"/>
      <c r="AE592" s="3280"/>
      <c r="AF592" s="3280"/>
      <c r="AG592" s="3280"/>
      <c r="AH592" s="3281"/>
      <c r="AI592" s="3281"/>
      <c r="AJ592" s="3281"/>
      <c r="AK592" s="3281"/>
      <c r="AL592" s="3281"/>
      <c r="AM592" s="3281"/>
      <c r="AN592" s="3281"/>
      <c r="AO592" s="3281"/>
      <c r="AP592" s="3281"/>
      <c r="AQ592" s="3281"/>
      <c r="AR592" s="3281"/>
      <c r="AS592" s="3281"/>
      <c r="AT592" s="1927"/>
      <c r="AU592" s="1906"/>
      <c r="AV592" s="1906"/>
    </row>
    <row r="593" spans="1:54" ht="36" customHeight="1" x14ac:dyDescent="0.15">
      <c r="A593" s="1906"/>
      <c r="B593" s="3278"/>
      <c r="C593" s="3278"/>
      <c r="D593" s="3278"/>
      <c r="E593" s="3278"/>
      <c r="F593" s="3278"/>
      <c r="G593" s="3278"/>
      <c r="H593" s="3279"/>
      <c r="I593" s="3279"/>
      <c r="J593" s="3279"/>
      <c r="K593" s="3279"/>
      <c r="L593" s="3279"/>
      <c r="M593" s="3279"/>
      <c r="N593" s="3279"/>
      <c r="O593" s="3279"/>
      <c r="P593" s="3279"/>
      <c r="Q593" s="3279"/>
      <c r="R593" s="3279"/>
      <c r="S593" s="3279"/>
      <c r="T593" s="3279"/>
      <c r="U593" s="3279"/>
      <c r="V593" s="3279"/>
      <c r="W593" s="3279"/>
      <c r="X593" s="3279"/>
      <c r="Y593" s="3279"/>
      <c r="Z593" s="3279"/>
      <c r="AA593" s="3279"/>
      <c r="AB593" s="3280"/>
      <c r="AC593" s="3280"/>
      <c r="AD593" s="3280"/>
      <c r="AE593" s="3280"/>
      <c r="AF593" s="3280"/>
      <c r="AG593" s="3280"/>
      <c r="AH593" s="3281"/>
      <c r="AI593" s="3281"/>
      <c r="AJ593" s="3281"/>
      <c r="AK593" s="3281"/>
      <c r="AL593" s="3281"/>
      <c r="AM593" s="3281"/>
      <c r="AN593" s="3281"/>
      <c r="AO593" s="3281"/>
      <c r="AP593" s="3281"/>
      <c r="AQ593" s="3281"/>
      <c r="AR593" s="3281"/>
      <c r="AS593" s="3281"/>
      <c r="AT593" s="1927"/>
      <c r="AU593" s="1906"/>
      <c r="AV593" s="1906"/>
    </row>
    <row r="594" spans="1:54" ht="36" customHeight="1" x14ac:dyDescent="0.15">
      <c r="A594" s="1906"/>
      <c r="B594" s="3278"/>
      <c r="C594" s="3278"/>
      <c r="D594" s="3278"/>
      <c r="E594" s="3278"/>
      <c r="F594" s="3278"/>
      <c r="G594" s="3278"/>
      <c r="H594" s="3279"/>
      <c r="I594" s="3279"/>
      <c r="J594" s="3279"/>
      <c r="K594" s="3279"/>
      <c r="L594" s="3279"/>
      <c r="M594" s="3279"/>
      <c r="N594" s="3279"/>
      <c r="O594" s="3279"/>
      <c r="P594" s="3279"/>
      <c r="Q594" s="3279"/>
      <c r="R594" s="3279"/>
      <c r="S594" s="3279"/>
      <c r="T594" s="3279"/>
      <c r="U594" s="3279"/>
      <c r="V594" s="3279"/>
      <c r="W594" s="3279"/>
      <c r="X594" s="3279"/>
      <c r="Y594" s="3279"/>
      <c r="Z594" s="3279"/>
      <c r="AA594" s="3279"/>
      <c r="AB594" s="3280"/>
      <c r="AC594" s="3280"/>
      <c r="AD594" s="3280"/>
      <c r="AE594" s="3280"/>
      <c r="AF594" s="3280"/>
      <c r="AG594" s="3280"/>
      <c r="AH594" s="3281"/>
      <c r="AI594" s="3281"/>
      <c r="AJ594" s="3281"/>
      <c r="AK594" s="3281"/>
      <c r="AL594" s="3281"/>
      <c r="AM594" s="3281"/>
      <c r="AN594" s="3281"/>
      <c r="AO594" s="3281"/>
      <c r="AP594" s="3281"/>
      <c r="AQ594" s="3281"/>
      <c r="AR594" s="3281"/>
      <c r="AS594" s="3281"/>
      <c r="AT594" s="1927"/>
      <c r="AU594" s="1906"/>
      <c r="AV594" s="1906"/>
      <c r="BA594" s="1874"/>
    </row>
    <row r="595" spans="1:54" ht="36" customHeight="1" x14ac:dyDescent="0.15">
      <c r="A595" s="1906"/>
      <c r="B595" s="3278"/>
      <c r="C595" s="3278"/>
      <c r="D595" s="3278"/>
      <c r="E595" s="3278"/>
      <c r="F595" s="3278"/>
      <c r="G595" s="3278"/>
      <c r="H595" s="3279"/>
      <c r="I595" s="3279"/>
      <c r="J595" s="3279"/>
      <c r="K595" s="3279"/>
      <c r="L595" s="3279"/>
      <c r="M595" s="3279"/>
      <c r="N595" s="3279"/>
      <c r="O595" s="3279"/>
      <c r="P595" s="3279"/>
      <c r="Q595" s="3279"/>
      <c r="R595" s="3279"/>
      <c r="S595" s="3279"/>
      <c r="T595" s="3279"/>
      <c r="U595" s="3279"/>
      <c r="V595" s="3279"/>
      <c r="W595" s="3279"/>
      <c r="X595" s="3279"/>
      <c r="Y595" s="3279"/>
      <c r="Z595" s="3279"/>
      <c r="AA595" s="3279"/>
      <c r="AB595" s="3280"/>
      <c r="AC595" s="3280"/>
      <c r="AD595" s="3280"/>
      <c r="AE595" s="3280"/>
      <c r="AF595" s="3280"/>
      <c r="AG595" s="3280"/>
      <c r="AH595" s="3281"/>
      <c r="AI595" s="3281"/>
      <c r="AJ595" s="3281"/>
      <c r="AK595" s="3281"/>
      <c r="AL595" s="3281"/>
      <c r="AM595" s="3281"/>
      <c r="AN595" s="3281"/>
      <c r="AO595" s="3281"/>
      <c r="AP595" s="3281"/>
      <c r="AQ595" s="3281"/>
      <c r="AR595" s="3281"/>
      <c r="AS595" s="3281"/>
      <c r="AT595" s="1927"/>
      <c r="AU595" s="1906"/>
      <c r="AV595" s="1906"/>
    </row>
    <row r="596" spans="1:54" ht="36" customHeight="1" x14ac:dyDescent="0.15">
      <c r="A596" s="1906"/>
      <c r="B596" s="3278"/>
      <c r="C596" s="3278"/>
      <c r="D596" s="3278"/>
      <c r="E596" s="3278"/>
      <c r="F596" s="3278"/>
      <c r="G596" s="3278"/>
      <c r="H596" s="3279"/>
      <c r="I596" s="3279"/>
      <c r="J596" s="3279"/>
      <c r="K596" s="3279"/>
      <c r="L596" s="3279"/>
      <c r="M596" s="3279"/>
      <c r="N596" s="3279"/>
      <c r="O596" s="3279"/>
      <c r="P596" s="3279"/>
      <c r="Q596" s="3279"/>
      <c r="R596" s="3279"/>
      <c r="S596" s="3279"/>
      <c r="T596" s="3279"/>
      <c r="U596" s="3279"/>
      <c r="V596" s="3279"/>
      <c r="W596" s="3279"/>
      <c r="X596" s="3279"/>
      <c r="Y596" s="3279"/>
      <c r="Z596" s="3279"/>
      <c r="AA596" s="3279"/>
      <c r="AB596" s="3280"/>
      <c r="AC596" s="3280"/>
      <c r="AD596" s="3280"/>
      <c r="AE596" s="3280"/>
      <c r="AF596" s="3280"/>
      <c r="AG596" s="3280"/>
      <c r="AH596" s="3281"/>
      <c r="AI596" s="3281"/>
      <c r="AJ596" s="3281"/>
      <c r="AK596" s="3281"/>
      <c r="AL596" s="3281"/>
      <c r="AM596" s="3281"/>
      <c r="AN596" s="3281"/>
      <c r="AO596" s="3281"/>
      <c r="AP596" s="3281"/>
      <c r="AQ596" s="3281"/>
      <c r="AR596" s="3281"/>
      <c r="AS596" s="3281"/>
      <c r="AT596" s="1927"/>
      <c r="AU596" s="1906"/>
      <c r="AV596" s="1906"/>
    </row>
    <row r="597" spans="1:54" ht="36" customHeight="1" x14ac:dyDescent="0.15">
      <c r="A597" s="1906"/>
      <c r="B597" s="3278"/>
      <c r="C597" s="3278"/>
      <c r="D597" s="3278"/>
      <c r="E597" s="3278"/>
      <c r="F597" s="3278"/>
      <c r="G597" s="3278"/>
      <c r="H597" s="3279"/>
      <c r="I597" s="3279"/>
      <c r="J597" s="3279"/>
      <c r="K597" s="3279"/>
      <c r="L597" s="3279"/>
      <c r="M597" s="3279"/>
      <c r="N597" s="3279"/>
      <c r="O597" s="3279"/>
      <c r="P597" s="3279"/>
      <c r="Q597" s="3279"/>
      <c r="R597" s="3279"/>
      <c r="S597" s="3279"/>
      <c r="T597" s="3279"/>
      <c r="U597" s="3279"/>
      <c r="V597" s="3279"/>
      <c r="W597" s="3279"/>
      <c r="X597" s="3279"/>
      <c r="Y597" s="3279"/>
      <c r="Z597" s="3279"/>
      <c r="AA597" s="3279"/>
      <c r="AB597" s="3280"/>
      <c r="AC597" s="3280"/>
      <c r="AD597" s="3280"/>
      <c r="AE597" s="3280"/>
      <c r="AF597" s="3280"/>
      <c r="AG597" s="3280"/>
      <c r="AH597" s="3281"/>
      <c r="AI597" s="3281"/>
      <c r="AJ597" s="3281"/>
      <c r="AK597" s="3281"/>
      <c r="AL597" s="3281"/>
      <c r="AM597" s="3281"/>
      <c r="AN597" s="3281"/>
      <c r="AO597" s="3281"/>
      <c r="AP597" s="3281"/>
      <c r="AQ597" s="3281"/>
      <c r="AR597" s="3281"/>
      <c r="AS597" s="3281"/>
      <c r="AT597" s="1927"/>
      <c r="AU597" s="1906"/>
      <c r="AV597" s="1906"/>
    </row>
    <row r="598" spans="1:54" ht="36" customHeight="1" x14ac:dyDescent="0.15">
      <c r="A598" s="1906"/>
      <c r="B598" s="3278"/>
      <c r="C598" s="3278"/>
      <c r="D598" s="3278"/>
      <c r="E598" s="3278"/>
      <c r="F598" s="3278"/>
      <c r="G598" s="3278"/>
      <c r="H598" s="3279"/>
      <c r="I598" s="3279"/>
      <c r="J598" s="3279"/>
      <c r="K598" s="3279"/>
      <c r="L598" s="3279"/>
      <c r="M598" s="3279"/>
      <c r="N598" s="3279"/>
      <c r="O598" s="3279"/>
      <c r="P598" s="3279"/>
      <c r="Q598" s="3279"/>
      <c r="R598" s="3279"/>
      <c r="S598" s="3279"/>
      <c r="T598" s="3279"/>
      <c r="U598" s="3279"/>
      <c r="V598" s="3279"/>
      <c r="W598" s="3279"/>
      <c r="X598" s="3279"/>
      <c r="Y598" s="3279"/>
      <c r="Z598" s="3279"/>
      <c r="AA598" s="3279"/>
      <c r="AB598" s="3280"/>
      <c r="AC598" s="3280"/>
      <c r="AD598" s="3280"/>
      <c r="AE598" s="3280"/>
      <c r="AF598" s="3280"/>
      <c r="AG598" s="3280"/>
      <c r="AH598" s="3281"/>
      <c r="AI598" s="3281"/>
      <c r="AJ598" s="3281"/>
      <c r="AK598" s="3281"/>
      <c r="AL598" s="3281"/>
      <c r="AM598" s="3281"/>
      <c r="AN598" s="3281"/>
      <c r="AO598" s="3281"/>
      <c r="AP598" s="3281"/>
      <c r="AQ598" s="3281"/>
      <c r="AR598" s="3281"/>
      <c r="AS598" s="3281"/>
      <c r="AT598" s="1927"/>
      <c r="AU598" s="1906"/>
      <c r="AV598" s="1906"/>
    </row>
    <row r="599" spans="1:54" ht="36" customHeight="1" x14ac:dyDescent="0.15">
      <c r="A599" s="1906"/>
      <c r="B599" s="3278"/>
      <c r="C599" s="3278"/>
      <c r="D599" s="3278"/>
      <c r="E599" s="3278"/>
      <c r="F599" s="3278"/>
      <c r="G599" s="3278"/>
      <c r="H599" s="3279"/>
      <c r="I599" s="3279"/>
      <c r="J599" s="3279"/>
      <c r="K599" s="3279"/>
      <c r="L599" s="3279"/>
      <c r="M599" s="3279"/>
      <c r="N599" s="3279"/>
      <c r="O599" s="3279"/>
      <c r="P599" s="3279"/>
      <c r="Q599" s="3279"/>
      <c r="R599" s="3279"/>
      <c r="S599" s="3279"/>
      <c r="T599" s="3279"/>
      <c r="U599" s="3279"/>
      <c r="V599" s="3279"/>
      <c r="W599" s="3279"/>
      <c r="X599" s="3279"/>
      <c r="Y599" s="3279"/>
      <c r="Z599" s="3279"/>
      <c r="AA599" s="3279"/>
      <c r="AB599" s="3280"/>
      <c r="AC599" s="3280"/>
      <c r="AD599" s="3280"/>
      <c r="AE599" s="3280"/>
      <c r="AF599" s="3280"/>
      <c r="AG599" s="3280"/>
      <c r="AH599" s="3281"/>
      <c r="AI599" s="3281"/>
      <c r="AJ599" s="3281"/>
      <c r="AK599" s="3281"/>
      <c r="AL599" s="3281"/>
      <c r="AM599" s="3281"/>
      <c r="AN599" s="3281"/>
      <c r="AO599" s="3281"/>
      <c r="AP599" s="3281"/>
      <c r="AQ599" s="3281"/>
      <c r="AR599" s="3281"/>
      <c r="AS599" s="3281"/>
      <c r="AT599" s="1927"/>
      <c r="AU599" s="1906"/>
      <c r="AV599" s="1906"/>
    </row>
    <row r="600" spans="1:54" ht="36" customHeight="1" x14ac:dyDescent="0.15">
      <c r="A600" s="1906"/>
      <c r="B600" s="3278"/>
      <c r="C600" s="3278"/>
      <c r="D600" s="3278"/>
      <c r="E600" s="3278"/>
      <c r="F600" s="3278"/>
      <c r="G600" s="3278"/>
      <c r="H600" s="3279"/>
      <c r="I600" s="3279"/>
      <c r="J600" s="3279"/>
      <c r="K600" s="3279"/>
      <c r="L600" s="3279"/>
      <c r="M600" s="3279"/>
      <c r="N600" s="3279"/>
      <c r="O600" s="3279"/>
      <c r="P600" s="3279"/>
      <c r="Q600" s="3279"/>
      <c r="R600" s="3279"/>
      <c r="S600" s="3279"/>
      <c r="T600" s="3279"/>
      <c r="U600" s="3279"/>
      <c r="V600" s="3279"/>
      <c r="W600" s="3279"/>
      <c r="X600" s="3279"/>
      <c r="Y600" s="3279"/>
      <c r="Z600" s="3279"/>
      <c r="AA600" s="3279"/>
      <c r="AB600" s="3280"/>
      <c r="AC600" s="3280"/>
      <c r="AD600" s="3280"/>
      <c r="AE600" s="3280"/>
      <c r="AF600" s="3280"/>
      <c r="AG600" s="3280"/>
      <c r="AH600" s="3281"/>
      <c r="AI600" s="3281"/>
      <c r="AJ600" s="3281"/>
      <c r="AK600" s="3281"/>
      <c r="AL600" s="3281"/>
      <c r="AM600" s="3281"/>
      <c r="AN600" s="3281"/>
      <c r="AO600" s="3281"/>
      <c r="AP600" s="3281"/>
      <c r="AQ600" s="3281"/>
      <c r="AR600" s="3281"/>
      <c r="AS600" s="3281"/>
      <c r="AT600" s="1927"/>
      <c r="AU600" s="1906"/>
      <c r="AV600" s="1906"/>
    </row>
    <row r="601" spans="1:54" ht="36" customHeight="1" x14ac:dyDescent="0.15">
      <c r="A601" s="1906"/>
      <c r="B601" s="3278"/>
      <c r="C601" s="3278"/>
      <c r="D601" s="3278"/>
      <c r="E601" s="3278"/>
      <c r="F601" s="3278"/>
      <c r="G601" s="3278"/>
      <c r="H601" s="3279"/>
      <c r="I601" s="3279"/>
      <c r="J601" s="3279"/>
      <c r="K601" s="3279"/>
      <c r="L601" s="3279"/>
      <c r="M601" s="3279"/>
      <c r="N601" s="3279"/>
      <c r="O601" s="3279"/>
      <c r="P601" s="3279"/>
      <c r="Q601" s="3279"/>
      <c r="R601" s="3279"/>
      <c r="S601" s="3279"/>
      <c r="T601" s="3279"/>
      <c r="U601" s="3279"/>
      <c r="V601" s="3279"/>
      <c r="W601" s="3279"/>
      <c r="X601" s="3279"/>
      <c r="Y601" s="3279"/>
      <c r="Z601" s="3279"/>
      <c r="AA601" s="3279"/>
      <c r="AB601" s="3280"/>
      <c r="AC601" s="3280"/>
      <c r="AD601" s="3280"/>
      <c r="AE601" s="3280"/>
      <c r="AF601" s="3280"/>
      <c r="AG601" s="3280"/>
      <c r="AH601" s="3281"/>
      <c r="AI601" s="3281"/>
      <c r="AJ601" s="3281"/>
      <c r="AK601" s="3281"/>
      <c r="AL601" s="3281"/>
      <c r="AM601" s="3281"/>
      <c r="AN601" s="3281"/>
      <c r="AO601" s="3281"/>
      <c r="AP601" s="3281"/>
      <c r="AQ601" s="3281"/>
      <c r="AR601" s="3281"/>
      <c r="AS601" s="3281"/>
      <c r="AT601" s="1927"/>
      <c r="AU601" s="1906"/>
      <c r="AV601" s="1906"/>
      <c r="BA601" s="1874"/>
    </row>
    <row r="602" spans="1:54" ht="36" customHeight="1" x14ac:dyDescent="0.15">
      <c r="A602" s="1856"/>
      <c r="B602" s="1856"/>
      <c r="C602" s="1856"/>
      <c r="D602" s="1856"/>
      <c r="E602" s="1856"/>
      <c r="F602" s="1856"/>
      <c r="G602" s="1856"/>
      <c r="H602" s="1856"/>
      <c r="I602" s="1856"/>
      <c r="J602" s="1856"/>
      <c r="K602" s="1856"/>
      <c r="L602" s="1856"/>
      <c r="M602" s="1856"/>
      <c r="N602" s="1856"/>
      <c r="O602" s="1856"/>
      <c r="P602" s="1856"/>
      <c r="Q602" s="1856"/>
      <c r="R602" s="1856"/>
      <c r="S602" s="1856"/>
      <c r="T602" s="1856"/>
      <c r="U602" s="1856"/>
      <c r="V602" s="1856"/>
      <c r="W602" s="1856"/>
      <c r="X602" s="1856"/>
      <c r="Y602" s="1856"/>
      <c r="Z602" s="1856"/>
      <c r="AA602" s="1856"/>
      <c r="AB602" s="1856"/>
      <c r="AC602" s="1856"/>
      <c r="AD602" s="1856"/>
      <c r="AE602" s="1856"/>
      <c r="AF602" s="1856"/>
      <c r="AG602" s="1856"/>
      <c r="AH602" s="1856"/>
      <c r="AI602" s="1856"/>
      <c r="AJ602" s="1856"/>
      <c r="AK602" s="1856"/>
      <c r="AL602" s="1856"/>
      <c r="AM602" s="1856"/>
      <c r="AN602" s="1856"/>
      <c r="AO602" s="1856"/>
      <c r="AP602" s="1856"/>
      <c r="AQ602" s="1856"/>
      <c r="AR602" s="1856"/>
      <c r="AS602" s="1856"/>
      <c r="AT602" s="1856"/>
      <c r="AU602" s="1856"/>
    </row>
    <row r="603" spans="1:54" x14ac:dyDescent="0.15">
      <c r="A603" s="1856"/>
      <c r="B603" s="1856"/>
      <c r="C603" s="1856"/>
      <c r="D603" s="1856"/>
      <c r="E603" s="1856"/>
      <c r="F603" s="1856"/>
      <c r="G603" s="1856"/>
      <c r="H603" s="1856"/>
      <c r="I603" s="1856"/>
      <c r="J603" s="1856"/>
      <c r="K603" s="1856"/>
      <c r="L603" s="1856"/>
      <c r="M603" s="1856"/>
      <c r="N603" s="1856"/>
      <c r="O603" s="1856"/>
      <c r="P603" s="1856"/>
      <c r="Q603" s="1856"/>
      <c r="R603" s="1856"/>
      <c r="S603" s="1856"/>
      <c r="T603" s="1856"/>
      <c r="U603" s="1856"/>
      <c r="V603" s="1856"/>
      <c r="W603" s="1856"/>
      <c r="X603" s="1856"/>
      <c r="Y603" s="1856"/>
      <c r="Z603" s="1856"/>
      <c r="AA603" s="1856"/>
      <c r="AB603" s="1856"/>
      <c r="AC603" s="1856"/>
      <c r="AD603" s="1856"/>
      <c r="AE603" s="1856"/>
      <c r="AF603" s="1856"/>
      <c r="AG603" s="1856"/>
      <c r="AH603" s="1856"/>
      <c r="AI603" s="1856"/>
      <c r="AJ603" s="1856"/>
      <c r="AK603" s="1856"/>
      <c r="AL603" s="1856"/>
      <c r="AM603" s="1856"/>
      <c r="AN603" s="1856"/>
      <c r="AO603" s="1856"/>
      <c r="AP603" s="1856"/>
      <c r="AQ603" s="1856"/>
      <c r="AR603" s="1856"/>
      <c r="AS603" s="1856"/>
      <c r="AT603" s="1856"/>
      <c r="AU603" s="1882"/>
    </row>
    <row r="604" spans="1:54" s="1934" customFormat="1" ht="12.95" customHeight="1" x14ac:dyDescent="0.15">
      <c r="B604" s="3282" t="s">
        <v>508</v>
      </c>
      <c r="C604" s="3282"/>
      <c r="D604" s="3282"/>
      <c r="E604" s="3282"/>
      <c r="F604" s="3282"/>
      <c r="G604" s="3282"/>
      <c r="H604" s="3282"/>
      <c r="I604" s="3282"/>
      <c r="J604" s="3282"/>
      <c r="K604" s="3282"/>
      <c r="L604" s="3282"/>
      <c r="M604" s="3282"/>
      <c r="N604" s="3282"/>
      <c r="O604" s="3282"/>
      <c r="P604" s="3282"/>
      <c r="Q604" s="3282"/>
      <c r="R604" s="3282"/>
      <c r="S604" s="3282"/>
      <c r="T604" s="3282"/>
      <c r="U604" s="3282"/>
      <c r="V604" s="3282"/>
      <c r="W604" s="3282"/>
      <c r="X604" s="3282"/>
      <c r="Y604" s="3282"/>
      <c r="Z604" s="3282"/>
      <c r="AA604" s="3282"/>
      <c r="AB604" s="3282"/>
      <c r="AC604" s="3282"/>
      <c r="AD604" s="3282"/>
      <c r="AE604" s="3282"/>
      <c r="AF604" s="3282"/>
      <c r="AG604" s="3282"/>
      <c r="AH604" s="3282"/>
      <c r="AI604" s="3282"/>
      <c r="AJ604" s="3282"/>
      <c r="AK604" s="3282"/>
      <c r="AL604" s="3282"/>
      <c r="AM604" s="3282"/>
      <c r="AN604" s="3282"/>
      <c r="AO604" s="3282"/>
      <c r="AP604" s="3282"/>
      <c r="AQ604" s="3282"/>
      <c r="AR604" s="3282"/>
      <c r="AS604" s="3282"/>
      <c r="AT604" s="3282"/>
      <c r="AU604" s="1935"/>
      <c r="AZ604" s="1849"/>
      <c r="BA604" s="1936"/>
      <c r="BB604" s="1936"/>
    </row>
    <row r="605" spans="1:54" s="1934" customFormat="1" ht="12.95" customHeight="1" x14ac:dyDescent="0.15">
      <c r="B605" s="3282" t="s">
        <v>509</v>
      </c>
      <c r="C605" s="3282"/>
      <c r="D605" s="3282"/>
      <c r="E605" s="3282"/>
      <c r="F605" s="3282"/>
      <c r="G605" s="3282"/>
      <c r="H605" s="3282"/>
      <c r="I605" s="3282"/>
      <c r="J605" s="3282"/>
      <c r="K605" s="3282"/>
      <c r="L605" s="3282"/>
      <c r="M605" s="3282"/>
      <c r="N605" s="3282"/>
      <c r="O605" s="3282"/>
      <c r="P605" s="3282"/>
      <c r="Q605" s="3282"/>
      <c r="R605" s="3282"/>
      <c r="S605" s="3282"/>
      <c r="T605" s="3282"/>
      <c r="U605" s="3282"/>
      <c r="V605" s="3282"/>
      <c r="W605" s="3282"/>
      <c r="X605" s="3282"/>
      <c r="Y605" s="3282"/>
      <c r="Z605" s="3282"/>
      <c r="AA605" s="3282"/>
      <c r="AB605" s="3282"/>
      <c r="AC605" s="3282"/>
      <c r="AD605" s="3282"/>
      <c r="AE605" s="3282"/>
      <c r="AF605" s="3282"/>
      <c r="AG605" s="3282"/>
      <c r="AH605" s="3282"/>
      <c r="AI605" s="3282"/>
      <c r="AJ605" s="3282"/>
      <c r="AK605" s="3282"/>
      <c r="AL605" s="3282"/>
      <c r="AM605" s="3282"/>
      <c r="AN605" s="3282"/>
      <c r="AO605" s="3282"/>
      <c r="AP605" s="3282"/>
      <c r="AQ605" s="3282"/>
      <c r="AR605" s="3282"/>
      <c r="AS605" s="3282"/>
      <c r="AT605" s="3282"/>
      <c r="AU605" s="1935"/>
      <c r="AZ605" s="1849"/>
      <c r="BA605" s="1937"/>
      <c r="BB605" s="1937"/>
    </row>
    <row r="606" spans="1:54" s="1934" customFormat="1" ht="12.95" customHeight="1" x14ac:dyDescent="0.15">
      <c r="B606" s="3282" t="s">
        <v>510</v>
      </c>
      <c r="C606" s="3282"/>
      <c r="D606" s="3282"/>
      <c r="E606" s="3282"/>
      <c r="F606" s="3282"/>
      <c r="G606" s="3282"/>
      <c r="H606" s="3282"/>
      <c r="I606" s="3282"/>
      <c r="J606" s="3282"/>
      <c r="K606" s="3282"/>
      <c r="L606" s="3282"/>
      <c r="M606" s="3282"/>
      <c r="N606" s="3282"/>
      <c r="O606" s="3282"/>
      <c r="P606" s="3282"/>
      <c r="Q606" s="3282"/>
      <c r="R606" s="3282"/>
      <c r="S606" s="3282"/>
      <c r="T606" s="3282"/>
      <c r="U606" s="3282"/>
      <c r="V606" s="3282"/>
      <c r="W606" s="3282"/>
      <c r="X606" s="3282"/>
      <c r="Y606" s="3282"/>
      <c r="Z606" s="3282"/>
      <c r="AA606" s="3282"/>
      <c r="AB606" s="3282"/>
      <c r="AC606" s="3282"/>
      <c r="AD606" s="3282"/>
      <c r="AE606" s="3282"/>
      <c r="AF606" s="3282"/>
      <c r="AG606" s="3282"/>
      <c r="AH606" s="3282"/>
      <c r="AI606" s="3282"/>
      <c r="AJ606" s="3282"/>
      <c r="AK606" s="3282"/>
      <c r="AL606" s="3282"/>
      <c r="AM606" s="3282"/>
      <c r="AN606" s="3282"/>
      <c r="AO606" s="3282"/>
      <c r="AP606" s="3282"/>
      <c r="AQ606" s="3282"/>
      <c r="AR606" s="3282"/>
      <c r="AS606" s="3282"/>
      <c r="AT606" s="3282"/>
      <c r="AU606" s="1935"/>
      <c r="AZ606" s="1849"/>
    </row>
    <row r="607" spans="1:54" s="1934" customFormat="1" ht="12.95" customHeight="1" x14ac:dyDescent="0.15">
      <c r="B607" s="3282" t="s">
        <v>511</v>
      </c>
      <c r="C607" s="3282"/>
      <c r="D607" s="3282"/>
      <c r="E607" s="3282"/>
      <c r="F607" s="3282"/>
      <c r="G607" s="3282"/>
      <c r="H607" s="3282"/>
      <c r="I607" s="3282"/>
      <c r="J607" s="3282"/>
      <c r="K607" s="3282"/>
      <c r="L607" s="3282"/>
      <c r="M607" s="3282"/>
      <c r="N607" s="3282"/>
      <c r="O607" s="3282"/>
      <c r="P607" s="3282"/>
      <c r="Q607" s="3282"/>
      <c r="R607" s="3282"/>
      <c r="S607" s="3282"/>
      <c r="T607" s="3282"/>
      <c r="U607" s="3282"/>
      <c r="V607" s="3282"/>
      <c r="W607" s="3282"/>
      <c r="X607" s="3282"/>
      <c r="Y607" s="3282"/>
      <c r="Z607" s="3282"/>
      <c r="AA607" s="3282"/>
      <c r="AB607" s="3282"/>
      <c r="AC607" s="3282"/>
      <c r="AD607" s="3282"/>
      <c r="AE607" s="3282"/>
      <c r="AF607" s="3282"/>
      <c r="AG607" s="3282"/>
      <c r="AH607" s="3282"/>
      <c r="AI607" s="3282"/>
      <c r="AJ607" s="3282"/>
      <c r="AK607" s="3282"/>
      <c r="AL607" s="3282"/>
      <c r="AM607" s="3282"/>
      <c r="AN607" s="3282"/>
      <c r="AO607" s="3282"/>
      <c r="AP607" s="3282"/>
      <c r="AQ607" s="3282"/>
      <c r="AR607" s="3282"/>
      <c r="AS607" s="3282"/>
      <c r="AT607" s="3282"/>
      <c r="AU607" s="1935"/>
      <c r="AV607" s="1938" t="s">
        <v>511</v>
      </c>
      <c r="AW607" s="1938" t="s">
        <v>511</v>
      </c>
      <c r="AX607" s="1938" t="s">
        <v>511</v>
      </c>
      <c r="AY607" s="1938"/>
    </row>
    <row r="608" spans="1:54" s="1934" customFormat="1" ht="12.95" customHeight="1" x14ac:dyDescent="0.15">
      <c r="B608" s="3284" t="s">
        <v>512</v>
      </c>
      <c r="C608" s="3284"/>
      <c r="D608" s="3284"/>
      <c r="E608" s="3284"/>
      <c r="F608" s="3284"/>
      <c r="G608" s="3284"/>
      <c r="H608" s="3284"/>
      <c r="I608" s="3284"/>
      <c r="J608" s="3284"/>
      <c r="K608" s="3284"/>
      <c r="L608" s="3284"/>
      <c r="M608" s="3284"/>
      <c r="N608" s="3284"/>
      <c r="O608" s="3284"/>
      <c r="P608" s="3284"/>
      <c r="Q608" s="3284"/>
      <c r="R608" s="3284"/>
      <c r="S608" s="3284"/>
      <c r="T608" s="3284"/>
      <c r="U608" s="3284"/>
      <c r="V608" s="3284"/>
      <c r="W608" s="3284"/>
      <c r="X608" s="3284"/>
      <c r="Y608" s="3284"/>
      <c r="Z608" s="3284"/>
      <c r="AA608" s="3284"/>
      <c r="AB608" s="3284"/>
      <c r="AC608" s="3284"/>
      <c r="AD608" s="3284"/>
      <c r="AE608" s="3284"/>
      <c r="AF608" s="3284"/>
      <c r="AG608" s="3284"/>
      <c r="AH608" s="3284"/>
      <c r="AI608" s="3284"/>
      <c r="AJ608" s="3284"/>
      <c r="AK608" s="3284"/>
      <c r="AL608" s="3284"/>
      <c r="AM608" s="3284"/>
      <c r="AN608" s="3284"/>
      <c r="AO608" s="3284"/>
      <c r="AP608" s="3284"/>
      <c r="AQ608" s="3284"/>
      <c r="AR608" s="3284"/>
      <c r="AS608" s="3284"/>
      <c r="AT608" s="3284"/>
      <c r="AU608" s="1877"/>
    </row>
    <row r="609" spans="2:47" s="1934" customFormat="1" ht="12.95" customHeight="1" x14ac:dyDescent="0.15">
      <c r="B609" s="3284" t="s">
        <v>513</v>
      </c>
      <c r="C609" s="3284"/>
      <c r="D609" s="3284"/>
      <c r="E609" s="3284"/>
      <c r="F609" s="3284"/>
      <c r="G609" s="3284"/>
      <c r="H609" s="3284"/>
      <c r="I609" s="3284"/>
      <c r="J609" s="3284"/>
      <c r="K609" s="3284"/>
      <c r="L609" s="3284"/>
      <c r="M609" s="3284"/>
      <c r="N609" s="3284"/>
      <c r="O609" s="3284"/>
      <c r="P609" s="3284"/>
      <c r="Q609" s="3284"/>
      <c r="R609" s="3284"/>
      <c r="S609" s="3284"/>
      <c r="T609" s="3284"/>
      <c r="U609" s="3284"/>
      <c r="V609" s="3284"/>
      <c r="W609" s="3284"/>
      <c r="X609" s="3284"/>
      <c r="Y609" s="3284"/>
      <c r="Z609" s="3284"/>
      <c r="AA609" s="3284"/>
      <c r="AB609" s="3284"/>
      <c r="AC609" s="3284"/>
      <c r="AD609" s="3284"/>
      <c r="AE609" s="3284"/>
      <c r="AF609" s="3284"/>
      <c r="AG609" s="3284"/>
      <c r="AH609" s="3284"/>
      <c r="AI609" s="3284"/>
      <c r="AJ609" s="3284"/>
      <c r="AK609" s="3284"/>
      <c r="AL609" s="3284"/>
      <c r="AM609" s="3284"/>
      <c r="AN609" s="3284"/>
      <c r="AO609" s="3284"/>
      <c r="AP609" s="3284"/>
      <c r="AQ609" s="3284"/>
      <c r="AR609" s="3284"/>
      <c r="AS609" s="3284"/>
      <c r="AT609" s="3284"/>
    </row>
    <row r="610" spans="2:47" s="1934" customFormat="1" ht="12.95" customHeight="1" x14ac:dyDescent="0.15">
      <c r="B610" s="3282" t="s">
        <v>514</v>
      </c>
      <c r="C610" s="3282"/>
      <c r="D610" s="3282"/>
      <c r="E610" s="3282"/>
      <c r="F610" s="3282"/>
      <c r="G610" s="3282"/>
      <c r="H610" s="3282"/>
      <c r="I610" s="3282"/>
      <c r="J610" s="3282"/>
      <c r="K610" s="3282"/>
      <c r="L610" s="3282"/>
      <c r="M610" s="3282"/>
      <c r="N610" s="3282"/>
      <c r="O610" s="3282"/>
      <c r="P610" s="3282"/>
      <c r="Q610" s="3282"/>
      <c r="R610" s="3282"/>
      <c r="S610" s="3282"/>
      <c r="T610" s="3282"/>
      <c r="U610" s="3282"/>
      <c r="V610" s="3282"/>
      <c r="W610" s="3282"/>
      <c r="X610" s="3282"/>
      <c r="Y610" s="3282"/>
      <c r="Z610" s="3282"/>
      <c r="AA610" s="3282"/>
      <c r="AB610" s="3282"/>
      <c r="AC610" s="3282"/>
      <c r="AD610" s="3282"/>
      <c r="AE610" s="3282"/>
      <c r="AF610" s="3282"/>
      <c r="AG610" s="3282"/>
      <c r="AH610" s="3282"/>
      <c r="AI610" s="3282"/>
      <c r="AJ610" s="3282"/>
      <c r="AK610" s="3282"/>
      <c r="AL610" s="3282"/>
      <c r="AM610" s="3282"/>
      <c r="AN610" s="3282"/>
      <c r="AO610" s="3282"/>
      <c r="AP610" s="3282"/>
      <c r="AQ610" s="3282"/>
      <c r="AR610" s="3282"/>
      <c r="AS610" s="3282"/>
      <c r="AT610" s="3282"/>
    </row>
    <row r="611" spans="2:47" s="1934" customFormat="1" ht="12.95" customHeight="1" x14ac:dyDescent="0.15">
      <c r="B611" s="3282" t="s">
        <v>515</v>
      </c>
      <c r="C611" s="3282"/>
      <c r="D611" s="3282"/>
      <c r="E611" s="3282"/>
      <c r="F611" s="3282"/>
      <c r="G611" s="3282"/>
      <c r="H611" s="3282"/>
      <c r="I611" s="3282"/>
      <c r="J611" s="3282"/>
      <c r="K611" s="3282"/>
      <c r="L611" s="3282"/>
      <c r="M611" s="3282"/>
      <c r="N611" s="3282"/>
      <c r="O611" s="3282"/>
      <c r="P611" s="3282"/>
      <c r="Q611" s="3282"/>
      <c r="R611" s="3282"/>
      <c r="S611" s="3282"/>
      <c r="T611" s="3282"/>
      <c r="U611" s="3282"/>
      <c r="V611" s="3282"/>
      <c r="W611" s="3282"/>
      <c r="X611" s="3282"/>
      <c r="Y611" s="3282"/>
      <c r="Z611" s="3282"/>
      <c r="AA611" s="3282"/>
      <c r="AB611" s="3282"/>
      <c r="AC611" s="3282"/>
      <c r="AD611" s="3282"/>
      <c r="AE611" s="3282"/>
      <c r="AF611" s="3282"/>
      <c r="AG611" s="3282"/>
      <c r="AH611" s="3282"/>
      <c r="AI611" s="3282"/>
      <c r="AJ611" s="3282"/>
      <c r="AK611" s="3282"/>
      <c r="AL611" s="3282"/>
      <c r="AM611" s="3282"/>
      <c r="AN611" s="3282"/>
      <c r="AO611" s="3282"/>
      <c r="AP611" s="3282"/>
      <c r="AQ611" s="3282"/>
      <c r="AR611" s="3282"/>
      <c r="AS611" s="3282"/>
      <c r="AT611" s="3282"/>
    </row>
    <row r="612" spans="2:47" s="1934" customFormat="1" ht="12.95" customHeight="1" x14ac:dyDescent="0.15">
      <c r="B612" s="3282" t="s">
        <v>516</v>
      </c>
      <c r="C612" s="3282"/>
      <c r="D612" s="3282"/>
      <c r="E612" s="3282"/>
      <c r="F612" s="3282"/>
      <c r="G612" s="3282"/>
      <c r="H612" s="3282"/>
      <c r="I612" s="3282"/>
      <c r="J612" s="3282"/>
      <c r="K612" s="3282"/>
      <c r="L612" s="3282"/>
      <c r="M612" s="3282"/>
      <c r="N612" s="3282"/>
      <c r="O612" s="3282"/>
      <c r="P612" s="3282"/>
      <c r="Q612" s="3282"/>
      <c r="R612" s="3282"/>
      <c r="S612" s="3282"/>
      <c r="T612" s="3282"/>
      <c r="U612" s="3282"/>
      <c r="V612" s="3282"/>
      <c r="W612" s="3282"/>
      <c r="X612" s="3282"/>
      <c r="Y612" s="3282"/>
      <c r="Z612" s="3282"/>
      <c r="AA612" s="3282"/>
      <c r="AB612" s="3282"/>
      <c r="AC612" s="3282"/>
      <c r="AD612" s="3282"/>
      <c r="AE612" s="3282"/>
      <c r="AF612" s="3282"/>
      <c r="AG612" s="3282"/>
      <c r="AH612" s="3282"/>
      <c r="AI612" s="3282"/>
      <c r="AJ612" s="3282"/>
      <c r="AK612" s="3282"/>
      <c r="AL612" s="3282"/>
      <c r="AM612" s="3282"/>
      <c r="AN612" s="3282"/>
      <c r="AO612" s="3282"/>
      <c r="AP612" s="3282"/>
      <c r="AQ612" s="3282"/>
      <c r="AR612" s="3282"/>
      <c r="AS612" s="3282"/>
      <c r="AT612" s="3282"/>
    </row>
    <row r="613" spans="2:47" s="1934" customFormat="1" ht="12.95" customHeight="1" x14ac:dyDescent="0.15">
      <c r="B613" s="3282" t="s">
        <v>517</v>
      </c>
      <c r="C613" s="3282"/>
      <c r="D613" s="3282"/>
      <c r="E613" s="3282"/>
      <c r="F613" s="3282"/>
      <c r="G613" s="3282"/>
      <c r="H613" s="3282"/>
      <c r="I613" s="3282"/>
      <c r="J613" s="3282"/>
      <c r="K613" s="3282"/>
      <c r="L613" s="3282"/>
      <c r="M613" s="3282"/>
      <c r="N613" s="3282"/>
      <c r="O613" s="3282"/>
      <c r="P613" s="3282"/>
      <c r="Q613" s="3282"/>
      <c r="R613" s="3282"/>
      <c r="S613" s="3282"/>
      <c r="T613" s="3282"/>
      <c r="U613" s="3282"/>
      <c r="V613" s="3282"/>
      <c r="W613" s="3282"/>
      <c r="X613" s="3282"/>
      <c r="Y613" s="3282"/>
      <c r="Z613" s="3282"/>
      <c r="AA613" s="3282"/>
      <c r="AB613" s="3282"/>
      <c r="AC613" s="3282"/>
      <c r="AD613" s="3282"/>
      <c r="AE613" s="3282"/>
      <c r="AF613" s="3282"/>
      <c r="AG613" s="3282"/>
      <c r="AH613" s="3282"/>
      <c r="AI613" s="3282"/>
      <c r="AJ613" s="3282"/>
      <c r="AK613" s="3282"/>
      <c r="AL613" s="3282"/>
      <c r="AM613" s="3282"/>
      <c r="AN613" s="3282"/>
      <c r="AO613" s="3282"/>
      <c r="AP613" s="3282"/>
      <c r="AQ613" s="3282"/>
      <c r="AR613" s="3282"/>
      <c r="AS613" s="3282"/>
      <c r="AT613" s="3282"/>
    </row>
    <row r="614" spans="2:47" s="1934" customFormat="1" ht="12.95" customHeight="1" x14ac:dyDescent="0.15">
      <c r="B614" s="3283" t="s">
        <v>518</v>
      </c>
      <c r="C614" s="3283"/>
      <c r="D614" s="3283"/>
      <c r="E614" s="3283"/>
      <c r="F614" s="3283"/>
      <c r="G614" s="3283"/>
      <c r="H614" s="3283"/>
      <c r="I614" s="3283"/>
      <c r="J614" s="3283"/>
      <c r="K614" s="3283"/>
      <c r="L614" s="3283"/>
      <c r="M614" s="3283"/>
      <c r="N614" s="3283"/>
      <c r="O614" s="3283"/>
      <c r="P614" s="3283"/>
      <c r="Q614" s="3283"/>
      <c r="R614" s="3283"/>
      <c r="S614" s="3283"/>
      <c r="T614" s="3283"/>
      <c r="U614" s="3283"/>
      <c r="V614" s="3283"/>
      <c r="W614" s="3283"/>
      <c r="X614" s="3283"/>
      <c r="Y614" s="3283"/>
      <c r="Z614" s="3283"/>
      <c r="AA614" s="3283"/>
      <c r="AB614" s="3283"/>
      <c r="AC614" s="3283"/>
      <c r="AD614" s="3283"/>
      <c r="AE614" s="3283"/>
      <c r="AF614" s="3283"/>
      <c r="AG614" s="3283"/>
      <c r="AH614" s="3283"/>
      <c r="AI614" s="3283"/>
      <c r="AJ614" s="3283"/>
      <c r="AK614" s="3283"/>
      <c r="AL614" s="3283"/>
      <c r="AM614" s="3283"/>
      <c r="AN614" s="3283"/>
      <c r="AO614" s="3283"/>
      <c r="AP614" s="3283"/>
      <c r="AQ614" s="3283"/>
      <c r="AR614" s="3283"/>
      <c r="AS614" s="3283"/>
      <c r="AT614" s="3283"/>
    </row>
    <row r="615" spans="2:47" s="1934" customFormat="1" ht="12.95" customHeight="1" x14ac:dyDescent="0.15">
      <c r="B615" s="3283" t="s">
        <v>519</v>
      </c>
      <c r="C615" s="3283"/>
      <c r="D615" s="3283"/>
      <c r="E615" s="3283"/>
      <c r="F615" s="3283"/>
      <c r="G615" s="3283"/>
      <c r="H615" s="3283"/>
      <c r="I615" s="3283"/>
      <c r="J615" s="3283"/>
      <c r="K615" s="3283"/>
      <c r="L615" s="3283"/>
      <c r="M615" s="3283"/>
      <c r="N615" s="3283"/>
      <c r="O615" s="3283"/>
      <c r="P615" s="3283"/>
      <c r="Q615" s="3283"/>
      <c r="R615" s="3283"/>
      <c r="S615" s="3283"/>
      <c r="T615" s="3283"/>
      <c r="U615" s="3283"/>
      <c r="V615" s="3283"/>
      <c r="W615" s="3283"/>
      <c r="X615" s="3283"/>
      <c r="Y615" s="3283"/>
      <c r="Z615" s="3283"/>
      <c r="AA615" s="3283"/>
      <c r="AB615" s="3283"/>
      <c r="AC615" s="3283"/>
      <c r="AD615" s="3283"/>
      <c r="AE615" s="3283"/>
      <c r="AF615" s="3283"/>
      <c r="AG615" s="3283"/>
      <c r="AH615" s="3283"/>
      <c r="AI615" s="3283"/>
      <c r="AJ615" s="3283"/>
      <c r="AK615" s="3283"/>
      <c r="AL615" s="3283"/>
      <c r="AM615" s="3283"/>
      <c r="AN615" s="3283"/>
      <c r="AO615" s="3283"/>
      <c r="AP615" s="3283"/>
      <c r="AQ615" s="3283"/>
      <c r="AR615" s="3283"/>
      <c r="AS615" s="3283"/>
      <c r="AT615" s="3283"/>
    </row>
    <row r="616" spans="2:47" s="1934" customFormat="1" ht="12.95" customHeight="1" x14ac:dyDescent="0.15">
      <c r="B616" s="3282" t="s">
        <v>520</v>
      </c>
      <c r="C616" s="3282"/>
      <c r="D616" s="3282"/>
      <c r="E616" s="3282"/>
      <c r="F616" s="3282"/>
      <c r="G616" s="3282"/>
      <c r="H616" s="3282"/>
      <c r="I616" s="3282"/>
      <c r="J616" s="3282"/>
      <c r="K616" s="3282"/>
      <c r="L616" s="3282"/>
      <c r="M616" s="3282"/>
      <c r="N616" s="3282"/>
      <c r="O616" s="3282"/>
      <c r="P616" s="3282"/>
      <c r="Q616" s="3282"/>
      <c r="R616" s="3282"/>
      <c r="S616" s="3282"/>
      <c r="T616" s="3282"/>
      <c r="U616" s="3282"/>
      <c r="V616" s="3282"/>
      <c r="W616" s="3282"/>
      <c r="X616" s="3282"/>
      <c r="Y616" s="3282"/>
      <c r="Z616" s="3282"/>
      <c r="AA616" s="3282"/>
      <c r="AB616" s="3282"/>
      <c r="AC616" s="3282"/>
      <c r="AD616" s="3282"/>
      <c r="AE616" s="3282"/>
      <c r="AF616" s="3282"/>
      <c r="AG616" s="3282"/>
      <c r="AH616" s="3282"/>
      <c r="AI616" s="3282"/>
      <c r="AJ616" s="3282"/>
      <c r="AK616" s="3282"/>
      <c r="AL616" s="3282"/>
      <c r="AM616" s="3282"/>
      <c r="AN616" s="3282"/>
      <c r="AO616" s="3282"/>
      <c r="AP616" s="3282"/>
      <c r="AQ616" s="3282"/>
      <c r="AR616" s="3282"/>
      <c r="AS616" s="3282"/>
      <c r="AT616" s="3282"/>
    </row>
    <row r="617" spans="2:47" s="1934" customFormat="1" ht="12.95" customHeight="1" x14ac:dyDescent="0.15">
      <c r="B617" s="3282" t="s">
        <v>521</v>
      </c>
      <c r="C617" s="3282"/>
      <c r="D617" s="3282"/>
      <c r="E617" s="3282"/>
      <c r="F617" s="3282"/>
      <c r="G617" s="3282"/>
      <c r="H617" s="3282"/>
      <c r="I617" s="3282"/>
      <c r="J617" s="3282"/>
      <c r="K617" s="3282"/>
      <c r="L617" s="3282"/>
      <c r="M617" s="3282"/>
      <c r="N617" s="3282"/>
      <c r="O617" s="3282"/>
      <c r="P617" s="3282"/>
      <c r="Q617" s="3282"/>
      <c r="R617" s="3282"/>
      <c r="S617" s="3282"/>
      <c r="T617" s="3282"/>
      <c r="U617" s="3282"/>
      <c r="V617" s="3282"/>
      <c r="W617" s="3282"/>
      <c r="X617" s="3282"/>
      <c r="Y617" s="3282"/>
      <c r="Z617" s="3282"/>
      <c r="AA617" s="3282"/>
      <c r="AB617" s="3282"/>
      <c r="AC617" s="3282"/>
      <c r="AD617" s="3282"/>
      <c r="AE617" s="3282"/>
      <c r="AF617" s="3282"/>
      <c r="AG617" s="3282"/>
      <c r="AH617" s="3282"/>
      <c r="AI617" s="3282"/>
      <c r="AJ617" s="3282"/>
      <c r="AK617" s="3282"/>
      <c r="AL617" s="3282"/>
      <c r="AM617" s="3282"/>
      <c r="AN617" s="3282"/>
      <c r="AO617" s="3282"/>
      <c r="AP617" s="3282"/>
      <c r="AQ617" s="3282"/>
      <c r="AR617" s="3282"/>
      <c r="AS617" s="3282"/>
      <c r="AT617" s="3282"/>
    </row>
    <row r="618" spans="2:47" s="1934" customFormat="1" ht="12.95" customHeight="1" x14ac:dyDescent="0.15">
      <c r="B618" s="3282" t="s">
        <v>522</v>
      </c>
      <c r="C618" s="3282"/>
      <c r="D618" s="3282"/>
      <c r="E618" s="3282"/>
      <c r="F618" s="3282"/>
      <c r="G618" s="3282"/>
      <c r="H618" s="3282"/>
      <c r="I618" s="3282"/>
      <c r="J618" s="3282"/>
      <c r="K618" s="3282"/>
      <c r="L618" s="3282"/>
      <c r="M618" s="3282"/>
      <c r="N618" s="3282"/>
      <c r="O618" s="3282"/>
      <c r="P618" s="3282"/>
      <c r="Q618" s="3282"/>
      <c r="R618" s="3282"/>
      <c r="S618" s="3282"/>
      <c r="T618" s="3282"/>
      <c r="U618" s="3282"/>
      <c r="V618" s="3282"/>
      <c r="W618" s="3282"/>
      <c r="X618" s="3282"/>
      <c r="Y618" s="3282"/>
      <c r="Z618" s="3282"/>
      <c r="AA618" s="3282"/>
      <c r="AB618" s="3282"/>
      <c r="AC618" s="3282"/>
      <c r="AD618" s="3282"/>
      <c r="AE618" s="3282"/>
      <c r="AF618" s="3282"/>
      <c r="AG618" s="3282"/>
      <c r="AH618" s="3282"/>
      <c r="AI618" s="3282"/>
      <c r="AJ618" s="3282"/>
      <c r="AK618" s="3282"/>
      <c r="AL618" s="3282"/>
      <c r="AM618" s="3282"/>
      <c r="AN618" s="3282"/>
      <c r="AO618" s="3282"/>
      <c r="AP618" s="3282"/>
      <c r="AQ618" s="3282"/>
      <c r="AR618" s="3282"/>
      <c r="AS618" s="3282"/>
      <c r="AT618" s="3282"/>
    </row>
    <row r="619" spans="2:47" s="1934" customFormat="1" ht="12.95" customHeight="1" x14ac:dyDescent="0.15">
      <c r="B619" s="3283" t="s">
        <v>523</v>
      </c>
      <c r="C619" s="3283"/>
      <c r="D619" s="3283"/>
      <c r="E619" s="3283"/>
      <c r="F619" s="3283"/>
      <c r="G619" s="3283"/>
      <c r="H619" s="3283"/>
      <c r="I619" s="3283"/>
      <c r="J619" s="3283"/>
      <c r="K619" s="3283"/>
      <c r="L619" s="3283"/>
      <c r="M619" s="3283"/>
      <c r="N619" s="3283"/>
      <c r="O619" s="3283"/>
      <c r="P619" s="3283"/>
      <c r="Q619" s="3283"/>
      <c r="R619" s="3283"/>
      <c r="S619" s="3283"/>
      <c r="T619" s="3283"/>
      <c r="U619" s="3283"/>
      <c r="V619" s="3283"/>
      <c r="W619" s="3283"/>
      <c r="X619" s="3283"/>
      <c r="Y619" s="3283"/>
      <c r="Z619" s="3283"/>
      <c r="AA619" s="3283"/>
      <c r="AB619" s="3283"/>
      <c r="AC619" s="3283"/>
      <c r="AD619" s="3283"/>
      <c r="AE619" s="3283"/>
      <c r="AF619" s="3283"/>
      <c r="AG619" s="3283"/>
      <c r="AH619" s="3283"/>
      <c r="AI619" s="3283"/>
      <c r="AJ619" s="3283"/>
      <c r="AK619" s="3283"/>
      <c r="AL619" s="3283"/>
      <c r="AM619" s="3283"/>
      <c r="AN619" s="3283"/>
      <c r="AO619" s="3283"/>
      <c r="AP619" s="3283"/>
      <c r="AQ619" s="3283"/>
      <c r="AR619" s="3283"/>
      <c r="AS619" s="3283"/>
      <c r="AT619" s="3283"/>
    </row>
    <row r="620" spans="2:47" s="1934" customFormat="1" ht="12.95" customHeight="1" x14ac:dyDescent="0.15">
      <c r="B620" s="3283" t="s">
        <v>524</v>
      </c>
      <c r="C620" s="3283"/>
      <c r="D620" s="3283"/>
      <c r="E620" s="3283"/>
      <c r="F620" s="3283"/>
      <c r="G620" s="3283"/>
      <c r="H620" s="3283"/>
      <c r="I620" s="3283"/>
      <c r="J620" s="3283"/>
      <c r="K620" s="3283"/>
      <c r="L620" s="3283"/>
      <c r="M620" s="3283"/>
      <c r="N620" s="3283"/>
      <c r="O620" s="3283"/>
      <c r="P620" s="3283"/>
      <c r="Q620" s="3283"/>
      <c r="R620" s="3283"/>
      <c r="S620" s="3283"/>
      <c r="T620" s="3283"/>
      <c r="U620" s="3283"/>
      <c r="V620" s="3283"/>
      <c r="W620" s="3283"/>
      <c r="X620" s="3283"/>
      <c r="Y620" s="3283"/>
      <c r="Z620" s="3283"/>
      <c r="AA620" s="3283"/>
      <c r="AB620" s="3283"/>
      <c r="AC620" s="3283"/>
      <c r="AD620" s="3283"/>
      <c r="AE620" s="3283"/>
      <c r="AF620" s="3283"/>
      <c r="AG620" s="3283"/>
      <c r="AH620" s="3283"/>
      <c r="AI620" s="3283"/>
      <c r="AJ620" s="3283"/>
      <c r="AK620" s="3283"/>
      <c r="AL620" s="3283"/>
      <c r="AM620" s="3283"/>
      <c r="AN620" s="3283"/>
      <c r="AO620" s="3283"/>
      <c r="AP620" s="3283"/>
      <c r="AQ620" s="3283"/>
      <c r="AR620" s="3283"/>
      <c r="AS620" s="3283"/>
      <c r="AT620" s="3283"/>
    </row>
    <row r="621" spans="2:47" s="1934" customFormat="1" ht="12.95" customHeight="1" x14ac:dyDescent="0.15">
      <c r="B621" s="3282" t="s">
        <v>525</v>
      </c>
      <c r="C621" s="3282"/>
      <c r="D621" s="3282"/>
      <c r="E621" s="3282"/>
      <c r="F621" s="3282"/>
      <c r="G621" s="3282"/>
      <c r="H621" s="3282"/>
      <c r="I621" s="3282"/>
      <c r="J621" s="3282"/>
      <c r="K621" s="3282"/>
      <c r="L621" s="3282"/>
      <c r="M621" s="3282"/>
      <c r="N621" s="3282"/>
      <c r="O621" s="3282"/>
      <c r="P621" s="3282"/>
      <c r="Q621" s="3282"/>
      <c r="R621" s="3282"/>
      <c r="S621" s="3282"/>
      <c r="T621" s="3282"/>
      <c r="U621" s="3282"/>
      <c r="V621" s="3282"/>
      <c r="W621" s="3282"/>
      <c r="X621" s="3282"/>
      <c r="Y621" s="3282"/>
      <c r="Z621" s="3282"/>
      <c r="AA621" s="3282"/>
      <c r="AB621" s="3282"/>
      <c r="AC621" s="3282"/>
      <c r="AD621" s="3282"/>
      <c r="AE621" s="3282"/>
      <c r="AF621" s="3282"/>
      <c r="AG621" s="3282"/>
      <c r="AH621" s="3282"/>
      <c r="AI621" s="3282"/>
      <c r="AJ621" s="3282"/>
      <c r="AK621" s="3282"/>
      <c r="AL621" s="3282"/>
      <c r="AM621" s="3282"/>
      <c r="AN621" s="3282"/>
      <c r="AO621" s="3282"/>
      <c r="AP621" s="3282"/>
      <c r="AQ621" s="3282"/>
      <c r="AR621" s="3282"/>
      <c r="AS621" s="3282"/>
      <c r="AT621" s="3282"/>
    </row>
    <row r="622" spans="2:47" s="1934" customFormat="1" ht="12.95" customHeight="1" x14ac:dyDescent="0.15">
      <c r="B622" s="3283" t="s">
        <v>526</v>
      </c>
      <c r="C622" s="3283"/>
      <c r="D622" s="3283"/>
      <c r="E622" s="3283"/>
      <c r="F622" s="3283"/>
      <c r="G622" s="3283"/>
      <c r="H622" s="3283"/>
      <c r="I622" s="3283"/>
      <c r="J622" s="3283"/>
      <c r="K622" s="3283"/>
      <c r="L622" s="3283"/>
      <c r="M622" s="3283"/>
      <c r="N622" s="3283"/>
      <c r="O622" s="3283"/>
      <c r="P622" s="3283"/>
      <c r="Q622" s="3283"/>
      <c r="R622" s="3283"/>
      <c r="S622" s="3283"/>
      <c r="T622" s="3283"/>
      <c r="U622" s="3283"/>
      <c r="V622" s="3283"/>
      <c r="W622" s="3283"/>
      <c r="X622" s="3283"/>
      <c r="Y622" s="3283"/>
      <c r="Z622" s="3283"/>
      <c r="AA622" s="3283"/>
      <c r="AB622" s="3283"/>
      <c r="AC622" s="3283"/>
      <c r="AD622" s="3283"/>
      <c r="AE622" s="3283"/>
      <c r="AF622" s="3283"/>
      <c r="AG622" s="3283"/>
      <c r="AH622" s="3283"/>
      <c r="AI622" s="3283"/>
      <c r="AJ622" s="3283"/>
      <c r="AK622" s="3283"/>
      <c r="AL622" s="3283"/>
      <c r="AM622" s="3283"/>
      <c r="AN622" s="3283"/>
      <c r="AO622" s="3283"/>
      <c r="AP622" s="3283"/>
      <c r="AQ622" s="3283"/>
      <c r="AR622" s="3283"/>
      <c r="AS622" s="3283"/>
      <c r="AT622" s="3283"/>
    </row>
    <row r="623" spans="2:47" s="1934" customFormat="1" ht="12.95" customHeight="1" x14ac:dyDescent="0.15">
      <c r="B623" s="3282" t="s">
        <v>527</v>
      </c>
      <c r="C623" s="3282"/>
      <c r="D623" s="3282"/>
      <c r="E623" s="3282"/>
      <c r="F623" s="3282"/>
      <c r="G623" s="3282"/>
      <c r="H623" s="3282"/>
      <c r="I623" s="3282"/>
      <c r="J623" s="3282"/>
      <c r="K623" s="3282"/>
      <c r="L623" s="3282"/>
      <c r="M623" s="3282"/>
      <c r="N623" s="3282"/>
      <c r="O623" s="3282"/>
      <c r="P623" s="3282"/>
      <c r="Q623" s="3282"/>
      <c r="R623" s="3282"/>
      <c r="S623" s="3282"/>
      <c r="T623" s="3282"/>
      <c r="U623" s="3282"/>
      <c r="V623" s="3282"/>
      <c r="W623" s="3282"/>
      <c r="X623" s="3282"/>
      <c r="Y623" s="3282"/>
      <c r="Z623" s="3282"/>
      <c r="AA623" s="3282"/>
      <c r="AB623" s="3282"/>
      <c r="AC623" s="3282"/>
      <c r="AD623" s="3282"/>
      <c r="AE623" s="3282"/>
      <c r="AF623" s="3282"/>
      <c r="AG623" s="3282"/>
      <c r="AH623" s="3282"/>
      <c r="AI623" s="3282"/>
      <c r="AJ623" s="3282"/>
      <c r="AK623" s="3282"/>
      <c r="AL623" s="3282"/>
      <c r="AM623" s="3282"/>
      <c r="AN623" s="3282"/>
      <c r="AO623" s="3282"/>
      <c r="AP623" s="3282"/>
      <c r="AQ623" s="3282"/>
      <c r="AR623" s="3282"/>
      <c r="AS623" s="3282"/>
      <c r="AT623" s="3282"/>
      <c r="AU623" s="1935"/>
    </row>
    <row r="624" spans="2:47" s="1934" customFormat="1" ht="12.95" customHeight="1" x14ac:dyDescent="0.15">
      <c r="B624" s="3282" t="s">
        <v>528</v>
      </c>
      <c r="C624" s="3282"/>
      <c r="D624" s="3282"/>
      <c r="E624" s="3282"/>
      <c r="F624" s="3282"/>
      <c r="G624" s="3282"/>
      <c r="H624" s="3282"/>
      <c r="I624" s="3282"/>
      <c r="J624" s="3282"/>
      <c r="K624" s="3282"/>
      <c r="L624" s="3282"/>
      <c r="M624" s="3282"/>
      <c r="N624" s="3282"/>
      <c r="O624" s="3282"/>
      <c r="P624" s="3282"/>
      <c r="Q624" s="3282"/>
      <c r="R624" s="3282"/>
      <c r="S624" s="3282"/>
      <c r="T624" s="3282"/>
      <c r="U624" s="3282"/>
      <c r="V624" s="3282"/>
      <c r="W624" s="3282"/>
      <c r="X624" s="3282"/>
      <c r="Y624" s="3282"/>
      <c r="Z624" s="3282"/>
      <c r="AA624" s="3282"/>
      <c r="AB624" s="3282"/>
      <c r="AC624" s="3282"/>
      <c r="AD624" s="3282"/>
      <c r="AE624" s="3282"/>
      <c r="AF624" s="3282"/>
      <c r="AG624" s="3282"/>
      <c r="AH624" s="3282"/>
      <c r="AI624" s="3282"/>
      <c r="AJ624" s="3282"/>
      <c r="AK624" s="3282"/>
      <c r="AL624" s="3282"/>
      <c r="AM624" s="3282"/>
      <c r="AN624" s="3282"/>
      <c r="AO624" s="3282"/>
      <c r="AP624" s="3282"/>
      <c r="AQ624" s="3282"/>
      <c r="AR624" s="3282"/>
      <c r="AS624" s="3282"/>
      <c r="AT624" s="3282"/>
      <c r="AU624" s="1935"/>
    </row>
    <row r="625" spans="2:47" s="1934" customFormat="1" ht="12.95" customHeight="1" x14ac:dyDescent="0.15">
      <c r="B625" s="3282" t="s">
        <v>529</v>
      </c>
      <c r="C625" s="3282"/>
      <c r="D625" s="3282"/>
      <c r="E625" s="3282"/>
      <c r="F625" s="3282"/>
      <c r="G625" s="3282"/>
      <c r="H625" s="3282"/>
      <c r="I625" s="3282"/>
      <c r="J625" s="3282"/>
      <c r="K625" s="3282"/>
      <c r="L625" s="3282"/>
      <c r="M625" s="3282"/>
      <c r="N625" s="3282"/>
      <c r="O625" s="3282"/>
      <c r="P625" s="3282"/>
      <c r="Q625" s="3282"/>
      <c r="R625" s="3282"/>
      <c r="S625" s="3282"/>
      <c r="T625" s="3282"/>
      <c r="U625" s="3282"/>
      <c r="V625" s="3282"/>
      <c r="W625" s="3282"/>
      <c r="X625" s="3282"/>
      <c r="Y625" s="3282"/>
      <c r="Z625" s="3282"/>
      <c r="AA625" s="3282"/>
      <c r="AB625" s="3282"/>
      <c r="AC625" s="3282"/>
      <c r="AD625" s="3282"/>
      <c r="AE625" s="3282"/>
      <c r="AF625" s="3282"/>
      <c r="AG625" s="3282"/>
      <c r="AH625" s="3282"/>
      <c r="AI625" s="3282"/>
      <c r="AJ625" s="3282"/>
      <c r="AK625" s="3282"/>
      <c r="AL625" s="3282"/>
      <c r="AM625" s="3282"/>
      <c r="AN625" s="3282"/>
      <c r="AO625" s="3282"/>
      <c r="AP625" s="3282"/>
      <c r="AQ625" s="3282"/>
      <c r="AR625" s="3282"/>
      <c r="AS625" s="3282"/>
      <c r="AT625" s="3282"/>
      <c r="AU625" s="1935"/>
    </row>
    <row r="626" spans="2:47" s="1934" customFormat="1" ht="12.95" customHeight="1" x14ac:dyDescent="0.15">
      <c r="B626" s="3282" t="s">
        <v>530</v>
      </c>
      <c r="C626" s="3282"/>
      <c r="D626" s="3282"/>
      <c r="E626" s="3282"/>
      <c r="F626" s="3282"/>
      <c r="G626" s="3282"/>
      <c r="H626" s="3282"/>
      <c r="I626" s="3282"/>
      <c r="J626" s="3282"/>
      <c r="K626" s="3282"/>
      <c r="L626" s="3282"/>
      <c r="M626" s="3282"/>
      <c r="N626" s="3282"/>
      <c r="O626" s="3282"/>
      <c r="P626" s="3282"/>
      <c r="Q626" s="3282"/>
      <c r="R626" s="3282"/>
      <c r="S626" s="3282"/>
      <c r="T626" s="3282"/>
      <c r="U626" s="3282"/>
      <c r="V626" s="3282"/>
      <c r="W626" s="3282"/>
      <c r="X626" s="3282"/>
      <c r="Y626" s="3282"/>
      <c r="Z626" s="3282"/>
      <c r="AA626" s="3282"/>
      <c r="AB626" s="3282"/>
      <c r="AC626" s="3282"/>
      <c r="AD626" s="3282"/>
      <c r="AE626" s="3282"/>
      <c r="AF626" s="3282"/>
      <c r="AG626" s="3282"/>
      <c r="AH626" s="3282"/>
      <c r="AI626" s="3282"/>
      <c r="AJ626" s="3282"/>
      <c r="AK626" s="3282"/>
      <c r="AL626" s="3282"/>
      <c r="AM626" s="3282"/>
      <c r="AN626" s="3282"/>
      <c r="AO626" s="3282"/>
      <c r="AP626" s="3282"/>
      <c r="AQ626" s="3282"/>
      <c r="AR626" s="3282"/>
      <c r="AS626" s="3282"/>
      <c r="AT626" s="3282"/>
      <c r="AU626" s="1935"/>
    </row>
    <row r="627" spans="2:47" s="1934" customFormat="1" ht="12.95" customHeight="1" x14ac:dyDescent="0.15">
      <c r="B627" s="3282" t="s">
        <v>531</v>
      </c>
      <c r="C627" s="3282"/>
      <c r="D627" s="3282"/>
      <c r="E627" s="3282"/>
      <c r="F627" s="3282"/>
      <c r="G627" s="3282"/>
      <c r="H627" s="3282"/>
      <c r="I627" s="3282"/>
      <c r="J627" s="3282"/>
      <c r="K627" s="3282"/>
      <c r="L627" s="3282"/>
      <c r="M627" s="3282"/>
      <c r="N627" s="3282"/>
      <c r="O627" s="3282"/>
      <c r="P627" s="3282"/>
      <c r="Q627" s="3282"/>
      <c r="R627" s="3282"/>
      <c r="S627" s="3282"/>
      <c r="T627" s="3282"/>
      <c r="U627" s="3282"/>
      <c r="V627" s="3282"/>
      <c r="W627" s="3282"/>
      <c r="X627" s="3282"/>
      <c r="Y627" s="3282"/>
      <c r="Z627" s="3282"/>
      <c r="AA627" s="3282"/>
      <c r="AB627" s="3282"/>
      <c r="AC627" s="3282"/>
      <c r="AD627" s="3282"/>
      <c r="AE627" s="3282"/>
      <c r="AF627" s="3282"/>
      <c r="AG627" s="3282"/>
      <c r="AH627" s="3282"/>
      <c r="AI627" s="3282"/>
      <c r="AJ627" s="3282"/>
      <c r="AK627" s="3282"/>
      <c r="AL627" s="3282"/>
      <c r="AM627" s="3282"/>
      <c r="AN627" s="3282"/>
      <c r="AO627" s="3282"/>
      <c r="AP627" s="3282"/>
      <c r="AQ627" s="3282"/>
      <c r="AR627" s="3282"/>
      <c r="AS627" s="3282"/>
      <c r="AT627" s="3282"/>
      <c r="AU627" s="1935"/>
    </row>
    <row r="628" spans="2:47" s="1934" customFormat="1" ht="12.95" customHeight="1" x14ac:dyDescent="0.15">
      <c r="B628" s="3282" t="s">
        <v>532</v>
      </c>
      <c r="C628" s="3282"/>
      <c r="D628" s="3282"/>
      <c r="E628" s="3282"/>
      <c r="F628" s="3282"/>
      <c r="G628" s="3282"/>
      <c r="H628" s="3282"/>
      <c r="I628" s="3282"/>
      <c r="J628" s="3282"/>
      <c r="K628" s="3282"/>
      <c r="L628" s="3282"/>
      <c r="M628" s="3282"/>
      <c r="N628" s="3282"/>
      <c r="O628" s="3282"/>
      <c r="P628" s="3282"/>
      <c r="Q628" s="3282"/>
      <c r="R628" s="3282"/>
      <c r="S628" s="3282"/>
      <c r="T628" s="3282"/>
      <c r="U628" s="3282"/>
      <c r="V628" s="3282"/>
      <c r="W628" s="3282"/>
      <c r="X628" s="3282"/>
      <c r="Y628" s="3282"/>
      <c r="Z628" s="3282"/>
      <c r="AA628" s="3282"/>
      <c r="AB628" s="3282"/>
      <c r="AC628" s="3282"/>
      <c r="AD628" s="3282"/>
      <c r="AE628" s="3282"/>
      <c r="AF628" s="3282"/>
      <c r="AG628" s="3282"/>
      <c r="AH628" s="3282"/>
      <c r="AI628" s="3282"/>
      <c r="AJ628" s="3282"/>
      <c r="AK628" s="3282"/>
      <c r="AL628" s="3282"/>
      <c r="AM628" s="3282"/>
      <c r="AN628" s="3282"/>
      <c r="AO628" s="3282"/>
      <c r="AP628" s="3282"/>
      <c r="AQ628" s="3282"/>
      <c r="AR628" s="3282"/>
      <c r="AS628" s="3282"/>
      <c r="AT628" s="3282"/>
      <c r="AU628" s="1935"/>
    </row>
    <row r="629" spans="2:47" s="1934" customFormat="1" ht="12.95" customHeight="1" x14ac:dyDescent="0.15">
      <c r="B629" s="3282" t="s">
        <v>533</v>
      </c>
      <c r="C629" s="3282"/>
      <c r="D629" s="3282"/>
      <c r="E629" s="3282"/>
      <c r="F629" s="3282"/>
      <c r="G629" s="3282"/>
      <c r="H629" s="3282"/>
      <c r="I629" s="3282"/>
      <c r="J629" s="3282"/>
      <c r="K629" s="3282"/>
      <c r="L629" s="3282"/>
      <c r="M629" s="3282"/>
      <c r="N629" s="3282"/>
      <c r="O629" s="3282"/>
      <c r="P629" s="3282"/>
      <c r="Q629" s="3282"/>
      <c r="R629" s="3282"/>
      <c r="S629" s="3282"/>
      <c r="T629" s="3282"/>
      <c r="U629" s="3282"/>
      <c r="V629" s="3282"/>
      <c r="W629" s="3282"/>
      <c r="X629" s="3282"/>
      <c r="Y629" s="3282"/>
      <c r="Z629" s="3282"/>
      <c r="AA629" s="3282"/>
      <c r="AB629" s="3282"/>
      <c r="AC629" s="3282"/>
      <c r="AD629" s="3282"/>
      <c r="AE629" s="3282"/>
      <c r="AF629" s="3282"/>
      <c r="AG629" s="3282"/>
      <c r="AH629" s="3282"/>
      <c r="AI629" s="3282"/>
      <c r="AJ629" s="3282"/>
      <c r="AK629" s="3282"/>
      <c r="AL629" s="3282"/>
      <c r="AM629" s="3282"/>
      <c r="AN629" s="3282"/>
      <c r="AO629" s="3282"/>
      <c r="AP629" s="3282"/>
      <c r="AQ629" s="3282"/>
      <c r="AR629" s="3282"/>
      <c r="AS629" s="3282"/>
      <c r="AT629" s="3282"/>
      <c r="AU629" s="1935"/>
    </row>
    <row r="630" spans="2:47" s="1934" customFormat="1" ht="12.95" customHeight="1" x14ac:dyDescent="0.15">
      <c r="B630" s="3282" t="s">
        <v>534</v>
      </c>
      <c r="C630" s="3282"/>
      <c r="D630" s="3282"/>
      <c r="E630" s="3282"/>
      <c r="F630" s="3282"/>
      <c r="G630" s="3282"/>
      <c r="H630" s="3282"/>
      <c r="I630" s="3282"/>
      <c r="J630" s="3282"/>
      <c r="K630" s="3282"/>
      <c r="L630" s="3282"/>
      <c r="M630" s="3282"/>
      <c r="N630" s="3282"/>
      <c r="O630" s="3282"/>
      <c r="P630" s="3282"/>
      <c r="Q630" s="3282"/>
      <c r="R630" s="3282"/>
      <c r="S630" s="3282"/>
      <c r="T630" s="3282"/>
      <c r="U630" s="3282"/>
      <c r="V630" s="3282"/>
      <c r="W630" s="3282"/>
      <c r="X630" s="3282"/>
      <c r="Y630" s="3282"/>
      <c r="Z630" s="3282"/>
      <c r="AA630" s="3282"/>
      <c r="AB630" s="3282"/>
      <c r="AC630" s="3282"/>
      <c r="AD630" s="3282"/>
      <c r="AE630" s="3282"/>
      <c r="AF630" s="3282"/>
      <c r="AG630" s="3282"/>
      <c r="AH630" s="3282"/>
      <c r="AI630" s="3282"/>
      <c r="AJ630" s="3282"/>
      <c r="AK630" s="3282"/>
      <c r="AL630" s="3282"/>
      <c r="AM630" s="3282"/>
      <c r="AN630" s="3282"/>
      <c r="AO630" s="3282"/>
      <c r="AP630" s="3282"/>
      <c r="AQ630" s="3282"/>
      <c r="AR630" s="3282"/>
      <c r="AS630" s="3282"/>
      <c r="AT630" s="3282"/>
      <c r="AU630" s="1935"/>
    </row>
    <row r="631" spans="2:47" s="1934" customFormat="1" ht="12.95" customHeight="1" x14ac:dyDescent="0.15">
      <c r="B631" s="3282" t="s">
        <v>535</v>
      </c>
      <c r="C631" s="3282"/>
      <c r="D631" s="3282"/>
      <c r="E631" s="3282"/>
      <c r="F631" s="3282"/>
      <c r="G631" s="3282"/>
      <c r="H631" s="3282"/>
      <c r="I631" s="3282"/>
      <c r="J631" s="3282"/>
      <c r="K631" s="3282"/>
      <c r="L631" s="3282"/>
      <c r="M631" s="3282"/>
      <c r="N631" s="3282"/>
      <c r="O631" s="3282"/>
      <c r="P631" s="3282"/>
      <c r="Q631" s="3282"/>
      <c r="R631" s="3282"/>
      <c r="S631" s="3282"/>
      <c r="T631" s="3282"/>
      <c r="U631" s="3282"/>
      <c r="V631" s="3282"/>
      <c r="W631" s="3282"/>
      <c r="X631" s="3282"/>
      <c r="Y631" s="3282"/>
      <c r="Z631" s="3282"/>
      <c r="AA631" s="3282"/>
      <c r="AB631" s="3282"/>
      <c r="AC631" s="3282"/>
      <c r="AD631" s="3282"/>
      <c r="AE631" s="3282"/>
      <c r="AF631" s="3282"/>
      <c r="AG631" s="3282"/>
      <c r="AH631" s="3282"/>
      <c r="AI631" s="3282"/>
      <c r="AJ631" s="3282"/>
      <c r="AK631" s="3282"/>
      <c r="AL631" s="3282"/>
      <c r="AM631" s="3282"/>
      <c r="AN631" s="3282"/>
      <c r="AO631" s="3282"/>
      <c r="AP631" s="3282"/>
      <c r="AQ631" s="3282"/>
      <c r="AR631" s="3282"/>
      <c r="AS631" s="3282"/>
      <c r="AT631" s="3282"/>
      <c r="AU631" s="1935"/>
    </row>
    <row r="632" spans="2:47" s="1934" customFormat="1" ht="12.95" customHeight="1" x14ac:dyDescent="0.15">
      <c r="B632" s="3282" t="s">
        <v>536</v>
      </c>
      <c r="C632" s="3282"/>
      <c r="D632" s="3282"/>
      <c r="E632" s="3282"/>
      <c r="F632" s="3282"/>
      <c r="G632" s="3282"/>
      <c r="H632" s="3282"/>
      <c r="I632" s="3282"/>
      <c r="J632" s="3282"/>
      <c r="K632" s="3282"/>
      <c r="L632" s="3282"/>
      <c r="M632" s="3282"/>
      <c r="N632" s="3282"/>
      <c r="O632" s="3282"/>
      <c r="P632" s="3282"/>
      <c r="Q632" s="3282"/>
      <c r="R632" s="3282"/>
      <c r="S632" s="3282"/>
      <c r="T632" s="3282"/>
      <c r="U632" s="3282"/>
      <c r="V632" s="3282"/>
      <c r="W632" s="3282"/>
      <c r="X632" s="3282"/>
      <c r="Y632" s="3282"/>
      <c r="Z632" s="3282"/>
      <c r="AA632" s="3282"/>
      <c r="AB632" s="3282"/>
      <c r="AC632" s="3282"/>
      <c r="AD632" s="3282"/>
      <c r="AE632" s="3282"/>
      <c r="AF632" s="3282"/>
      <c r="AG632" s="3282"/>
      <c r="AH632" s="3282"/>
      <c r="AI632" s="3282"/>
      <c r="AJ632" s="3282"/>
      <c r="AK632" s="3282"/>
      <c r="AL632" s="3282"/>
      <c r="AM632" s="3282"/>
      <c r="AN632" s="3282"/>
      <c r="AO632" s="3282"/>
      <c r="AP632" s="3282"/>
      <c r="AQ632" s="3282"/>
      <c r="AR632" s="3282"/>
      <c r="AS632" s="3282"/>
      <c r="AT632" s="3282"/>
      <c r="AU632" s="1935"/>
    </row>
    <row r="633" spans="2:47" s="1934" customFormat="1" ht="12.95" customHeight="1" x14ac:dyDescent="0.15">
      <c r="B633" s="3282" t="s">
        <v>537</v>
      </c>
      <c r="C633" s="3282"/>
      <c r="D633" s="3282"/>
      <c r="E633" s="3282"/>
      <c r="F633" s="3282"/>
      <c r="G633" s="3282"/>
      <c r="H633" s="3282"/>
      <c r="I633" s="3282"/>
      <c r="J633" s="3282"/>
      <c r="K633" s="3282"/>
      <c r="L633" s="3282"/>
      <c r="M633" s="3282"/>
      <c r="N633" s="3282"/>
      <c r="O633" s="3282"/>
      <c r="P633" s="3282"/>
      <c r="Q633" s="3282"/>
      <c r="R633" s="3282"/>
      <c r="S633" s="3282"/>
      <c r="T633" s="3282"/>
      <c r="U633" s="3282"/>
      <c r="V633" s="3282"/>
      <c r="W633" s="3282"/>
      <c r="X633" s="3282"/>
      <c r="Y633" s="3282"/>
      <c r="Z633" s="3282"/>
      <c r="AA633" s="3282"/>
      <c r="AB633" s="3282"/>
      <c r="AC633" s="3282"/>
      <c r="AD633" s="3282"/>
      <c r="AE633" s="3282"/>
      <c r="AF633" s="3282"/>
      <c r="AG633" s="3282"/>
      <c r="AH633" s="3282"/>
      <c r="AI633" s="3282"/>
      <c r="AJ633" s="3282"/>
      <c r="AK633" s="3282"/>
      <c r="AL633" s="3282"/>
      <c r="AM633" s="3282"/>
      <c r="AN633" s="3282"/>
      <c r="AO633" s="3282"/>
      <c r="AP633" s="3282"/>
      <c r="AQ633" s="3282"/>
      <c r="AR633" s="3282"/>
      <c r="AS633" s="3282"/>
      <c r="AT633" s="3282"/>
      <c r="AU633" s="1935"/>
    </row>
    <row r="634" spans="2:47" s="1934" customFormat="1" ht="12.95" customHeight="1" x14ac:dyDescent="0.15">
      <c r="B634" s="3282" t="s">
        <v>538</v>
      </c>
      <c r="C634" s="3282"/>
      <c r="D634" s="3282"/>
      <c r="E634" s="3282"/>
      <c r="F634" s="3282"/>
      <c r="G634" s="3282"/>
      <c r="H634" s="3282"/>
      <c r="I634" s="3282"/>
      <c r="J634" s="3282"/>
      <c r="K634" s="3282"/>
      <c r="L634" s="3282"/>
      <c r="M634" s="3282"/>
      <c r="N634" s="3282"/>
      <c r="O634" s="3282"/>
      <c r="P634" s="3282"/>
      <c r="Q634" s="3282"/>
      <c r="R634" s="3282"/>
      <c r="S634" s="3282"/>
      <c r="T634" s="3282"/>
      <c r="U634" s="3282"/>
      <c r="V634" s="3282"/>
      <c r="W634" s="3282"/>
      <c r="X634" s="3282"/>
      <c r="Y634" s="3282"/>
      <c r="Z634" s="3282"/>
      <c r="AA634" s="3282"/>
      <c r="AB634" s="3282"/>
      <c r="AC634" s="3282"/>
      <c r="AD634" s="3282"/>
      <c r="AE634" s="3282"/>
      <c r="AF634" s="3282"/>
      <c r="AG634" s="3282"/>
      <c r="AH634" s="3282"/>
      <c r="AI634" s="3282"/>
      <c r="AJ634" s="3282"/>
      <c r="AK634" s="3282"/>
      <c r="AL634" s="3282"/>
      <c r="AM634" s="3282"/>
      <c r="AN634" s="3282"/>
      <c r="AO634" s="3282"/>
      <c r="AP634" s="3282"/>
      <c r="AQ634" s="3282"/>
      <c r="AR634" s="3282"/>
      <c r="AS634" s="3282"/>
      <c r="AT634" s="3282"/>
    </row>
    <row r="635" spans="2:47" s="1934" customFormat="1" ht="12.95" customHeight="1" x14ac:dyDescent="0.15">
      <c r="B635" s="3282" t="s">
        <v>539</v>
      </c>
      <c r="C635" s="3282"/>
      <c r="D635" s="3282"/>
      <c r="E635" s="3282"/>
      <c r="F635" s="3282"/>
      <c r="G635" s="3282"/>
      <c r="H635" s="3282"/>
      <c r="I635" s="3282"/>
      <c r="J635" s="3282"/>
      <c r="K635" s="3282"/>
      <c r="L635" s="3282"/>
      <c r="M635" s="3282"/>
      <c r="N635" s="3282"/>
      <c r="O635" s="3282"/>
      <c r="P635" s="3282"/>
      <c r="Q635" s="3282"/>
      <c r="R635" s="3282"/>
      <c r="S635" s="3282"/>
      <c r="T635" s="3282"/>
      <c r="U635" s="3282"/>
      <c r="V635" s="3282"/>
      <c r="W635" s="3282"/>
      <c r="X635" s="3282"/>
      <c r="Y635" s="3282"/>
      <c r="Z635" s="3282"/>
      <c r="AA635" s="3282"/>
      <c r="AB635" s="3282"/>
      <c r="AC635" s="3282"/>
      <c r="AD635" s="3282"/>
      <c r="AE635" s="3282"/>
      <c r="AF635" s="3282"/>
      <c r="AG635" s="3282"/>
      <c r="AH635" s="3282"/>
      <c r="AI635" s="3282"/>
      <c r="AJ635" s="3282"/>
      <c r="AK635" s="3282"/>
      <c r="AL635" s="3282"/>
      <c r="AM635" s="3282"/>
      <c r="AN635" s="3282"/>
      <c r="AO635" s="3282"/>
      <c r="AP635" s="3282"/>
      <c r="AQ635" s="3282"/>
      <c r="AR635" s="3282"/>
      <c r="AS635" s="3282"/>
      <c r="AT635" s="3282"/>
      <c r="AU635" s="1935"/>
    </row>
    <row r="636" spans="2:47" s="1934" customFormat="1" ht="12.95" customHeight="1" x14ac:dyDescent="0.15">
      <c r="B636" s="3282" t="s">
        <v>540</v>
      </c>
      <c r="C636" s="3282"/>
      <c r="D636" s="3282"/>
      <c r="E636" s="3282"/>
      <c r="F636" s="3282"/>
      <c r="G636" s="3282"/>
      <c r="H636" s="3282"/>
      <c r="I636" s="3282"/>
      <c r="J636" s="3282"/>
      <c r="K636" s="3282"/>
      <c r="L636" s="3282"/>
      <c r="M636" s="3282"/>
      <c r="N636" s="3282"/>
      <c r="O636" s="3282"/>
      <c r="P636" s="3282"/>
      <c r="Q636" s="3282"/>
      <c r="R636" s="3282"/>
      <c r="S636" s="3282"/>
      <c r="T636" s="3282"/>
      <c r="U636" s="3282"/>
      <c r="V636" s="3282"/>
      <c r="W636" s="3282"/>
      <c r="X636" s="3282"/>
      <c r="Y636" s="3282"/>
      <c r="Z636" s="3282"/>
      <c r="AA636" s="3282"/>
      <c r="AB636" s="3282"/>
      <c r="AC636" s="3282"/>
      <c r="AD636" s="3282"/>
      <c r="AE636" s="3282"/>
      <c r="AF636" s="3282"/>
      <c r="AG636" s="3282"/>
      <c r="AH636" s="3282"/>
      <c r="AI636" s="3282"/>
      <c r="AJ636" s="3282"/>
      <c r="AK636" s="3282"/>
      <c r="AL636" s="3282"/>
      <c r="AM636" s="3282"/>
      <c r="AN636" s="3282"/>
      <c r="AO636" s="3282"/>
      <c r="AP636" s="3282"/>
      <c r="AQ636" s="3282"/>
      <c r="AR636" s="3282"/>
      <c r="AS636" s="3282"/>
      <c r="AT636" s="3282"/>
      <c r="AU636" s="1935"/>
    </row>
    <row r="637" spans="2:47" s="1934" customFormat="1" ht="12.95" customHeight="1" x14ac:dyDescent="0.15">
      <c r="B637" s="3282" t="s">
        <v>541</v>
      </c>
      <c r="C637" s="3282"/>
      <c r="D637" s="3282"/>
      <c r="E637" s="3282"/>
      <c r="F637" s="3282"/>
      <c r="G637" s="3282"/>
      <c r="H637" s="3282"/>
      <c r="I637" s="3282"/>
      <c r="J637" s="3282"/>
      <c r="K637" s="3282"/>
      <c r="L637" s="3282"/>
      <c r="M637" s="3282"/>
      <c r="N637" s="3282"/>
      <c r="O637" s="3282"/>
      <c r="P637" s="3282"/>
      <c r="Q637" s="3282"/>
      <c r="R637" s="3282"/>
      <c r="S637" s="3282"/>
      <c r="T637" s="3282"/>
      <c r="U637" s="3282"/>
      <c r="V637" s="3282"/>
      <c r="W637" s="3282"/>
      <c r="X637" s="3282"/>
      <c r="Y637" s="3282"/>
      <c r="Z637" s="3282"/>
      <c r="AA637" s="3282"/>
      <c r="AB637" s="3282"/>
      <c r="AC637" s="3282"/>
      <c r="AD637" s="3282"/>
      <c r="AE637" s="3282"/>
      <c r="AF637" s="3282"/>
      <c r="AG637" s="3282"/>
      <c r="AH637" s="3282"/>
      <c r="AI637" s="3282"/>
      <c r="AJ637" s="3282"/>
      <c r="AK637" s="3282"/>
      <c r="AL637" s="3282"/>
      <c r="AM637" s="3282"/>
      <c r="AN637" s="3282"/>
      <c r="AO637" s="3282"/>
      <c r="AP637" s="3282"/>
      <c r="AQ637" s="3282"/>
      <c r="AR637" s="3282"/>
      <c r="AS637" s="3282"/>
      <c r="AT637" s="3282"/>
      <c r="AU637" s="1935"/>
    </row>
    <row r="638" spans="2:47" s="1934" customFormat="1" ht="12.95" customHeight="1" x14ac:dyDescent="0.15">
      <c r="B638" s="3282" t="s">
        <v>542</v>
      </c>
      <c r="C638" s="3282"/>
      <c r="D638" s="3282"/>
      <c r="E638" s="3282"/>
      <c r="F638" s="3282"/>
      <c r="G638" s="3282"/>
      <c r="H638" s="3282"/>
      <c r="I638" s="3282"/>
      <c r="J638" s="3282"/>
      <c r="K638" s="3282"/>
      <c r="L638" s="3282"/>
      <c r="M638" s="3282"/>
      <c r="N638" s="3282"/>
      <c r="O638" s="3282"/>
      <c r="P638" s="3282"/>
      <c r="Q638" s="3282"/>
      <c r="R638" s="3282"/>
      <c r="S638" s="3282"/>
      <c r="T638" s="3282"/>
      <c r="U638" s="3282"/>
      <c r="V638" s="3282"/>
      <c r="W638" s="3282"/>
      <c r="X638" s="3282"/>
      <c r="Y638" s="3282"/>
      <c r="Z638" s="3282"/>
      <c r="AA638" s="3282"/>
      <c r="AB638" s="3282"/>
      <c r="AC638" s="3282"/>
      <c r="AD638" s="3282"/>
      <c r="AE638" s="3282"/>
      <c r="AF638" s="3282"/>
      <c r="AG638" s="3282"/>
      <c r="AH638" s="3282"/>
      <c r="AI638" s="3282"/>
      <c r="AJ638" s="3282"/>
      <c r="AK638" s="3282"/>
      <c r="AL638" s="3282"/>
      <c r="AM638" s="3282"/>
      <c r="AN638" s="3282"/>
      <c r="AO638" s="3282"/>
      <c r="AP638" s="3282"/>
      <c r="AQ638" s="3282"/>
      <c r="AR638" s="3282"/>
      <c r="AS638" s="3282"/>
      <c r="AT638" s="3282"/>
      <c r="AU638" s="1935"/>
    </row>
    <row r="639" spans="2:47" s="1934" customFormat="1" ht="12.95" customHeight="1" x14ac:dyDescent="0.15">
      <c r="B639" s="3282" t="s">
        <v>543</v>
      </c>
      <c r="C639" s="3282"/>
      <c r="D639" s="3282"/>
      <c r="E639" s="3282"/>
      <c r="F639" s="3282"/>
      <c r="G639" s="3282"/>
      <c r="H639" s="3282"/>
      <c r="I639" s="3282"/>
      <c r="J639" s="3282"/>
      <c r="K639" s="3282"/>
      <c r="L639" s="3282"/>
      <c r="M639" s="3282"/>
      <c r="N639" s="3282"/>
      <c r="O639" s="3282"/>
      <c r="P639" s="3282"/>
      <c r="Q639" s="3282"/>
      <c r="R639" s="3282"/>
      <c r="S639" s="3282"/>
      <c r="T639" s="3282"/>
      <c r="U639" s="3282"/>
      <c r="V639" s="3282"/>
      <c r="W639" s="3282"/>
      <c r="X639" s="3282"/>
      <c r="Y639" s="3282"/>
      <c r="Z639" s="3282"/>
      <c r="AA639" s="3282"/>
      <c r="AB639" s="3282"/>
      <c r="AC639" s="3282"/>
      <c r="AD639" s="3282"/>
      <c r="AE639" s="3282"/>
      <c r="AF639" s="3282"/>
      <c r="AG639" s="3282"/>
      <c r="AH639" s="3282"/>
      <c r="AI639" s="3282"/>
      <c r="AJ639" s="3282"/>
      <c r="AK639" s="3282"/>
      <c r="AL639" s="3282"/>
      <c r="AM639" s="3282"/>
      <c r="AN639" s="3282"/>
      <c r="AO639" s="3282"/>
      <c r="AP639" s="3282"/>
      <c r="AQ639" s="3282"/>
      <c r="AR639" s="3282"/>
      <c r="AS639" s="3282"/>
      <c r="AT639" s="3282"/>
      <c r="AU639" s="1935"/>
    </row>
    <row r="640" spans="2:47" s="1934" customFormat="1" ht="12.95" customHeight="1" x14ac:dyDescent="0.15">
      <c r="B640" s="3282" t="s">
        <v>544</v>
      </c>
      <c r="C640" s="3282"/>
      <c r="D640" s="3282"/>
      <c r="E640" s="3282"/>
      <c r="F640" s="3282"/>
      <c r="G640" s="3282"/>
      <c r="H640" s="3282"/>
      <c r="I640" s="3282"/>
      <c r="J640" s="3282"/>
      <c r="K640" s="3282"/>
      <c r="L640" s="3282"/>
      <c r="M640" s="3282"/>
      <c r="N640" s="3282"/>
      <c r="O640" s="3282"/>
      <c r="P640" s="3282"/>
      <c r="Q640" s="3282"/>
      <c r="R640" s="3282"/>
      <c r="S640" s="3282"/>
      <c r="T640" s="3282"/>
      <c r="U640" s="3282"/>
      <c r="V640" s="3282"/>
      <c r="W640" s="3282"/>
      <c r="X640" s="3282"/>
      <c r="Y640" s="3282"/>
      <c r="Z640" s="3282"/>
      <c r="AA640" s="3282"/>
      <c r="AB640" s="3282"/>
      <c r="AC640" s="3282"/>
      <c r="AD640" s="3282"/>
      <c r="AE640" s="3282"/>
      <c r="AF640" s="3282"/>
      <c r="AG640" s="3282"/>
      <c r="AH640" s="3282"/>
      <c r="AI640" s="3282"/>
      <c r="AJ640" s="3282"/>
      <c r="AK640" s="3282"/>
      <c r="AL640" s="3282"/>
      <c r="AM640" s="3282"/>
      <c r="AN640" s="3282"/>
      <c r="AO640" s="3282"/>
      <c r="AP640" s="3282"/>
      <c r="AQ640" s="3282"/>
      <c r="AR640" s="3282"/>
      <c r="AS640" s="3282"/>
      <c r="AT640" s="3282"/>
      <c r="AU640" s="1935"/>
    </row>
    <row r="641" spans="2:47" s="1934" customFormat="1" ht="12.95" customHeight="1" x14ac:dyDescent="0.15">
      <c r="B641" s="3282" t="s">
        <v>545</v>
      </c>
      <c r="C641" s="3282"/>
      <c r="D641" s="3282"/>
      <c r="E641" s="3282"/>
      <c r="F641" s="3282"/>
      <c r="G641" s="3282"/>
      <c r="H641" s="3282"/>
      <c r="I641" s="3282"/>
      <c r="J641" s="3282"/>
      <c r="K641" s="3282"/>
      <c r="L641" s="3282"/>
      <c r="M641" s="3282"/>
      <c r="N641" s="3282"/>
      <c r="O641" s="3282"/>
      <c r="P641" s="3282"/>
      <c r="Q641" s="3282"/>
      <c r="R641" s="3282"/>
      <c r="S641" s="3282"/>
      <c r="T641" s="3282"/>
      <c r="U641" s="3282"/>
      <c r="V641" s="3282"/>
      <c r="W641" s="3282"/>
      <c r="X641" s="3282"/>
      <c r="Y641" s="3282"/>
      <c r="Z641" s="3282"/>
      <c r="AA641" s="3282"/>
      <c r="AB641" s="3282"/>
      <c r="AC641" s="3282"/>
      <c r="AD641" s="3282"/>
      <c r="AE641" s="3282"/>
      <c r="AF641" s="3282"/>
      <c r="AG641" s="3282"/>
      <c r="AH641" s="3282"/>
      <c r="AI641" s="3282"/>
      <c r="AJ641" s="3282"/>
      <c r="AK641" s="3282"/>
      <c r="AL641" s="3282"/>
      <c r="AM641" s="3282"/>
      <c r="AN641" s="3282"/>
      <c r="AO641" s="3282"/>
      <c r="AP641" s="3282"/>
      <c r="AQ641" s="3282"/>
      <c r="AR641" s="3282"/>
      <c r="AS641" s="3282"/>
      <c r="AT641" s="3282"/>
      <c r="AU641" s="1935"/>
    </row>
    <row r="642" spans="2:47" s="1934" customFormat="1" ht="12.95" customHeight="1" x14ac:dyDescent="0.15">
      <c r="B642" s="3282" t="s">
        <v>546</v>
      </c>
      <c r="C642" s="3282"/>
      <c r="D642" s="3282"/>
      <c r="E642" s="3282"/>
      <c r="F642" s="3282"/>
      <c r="G642" s="3282"/>
      <c r="H642" s="3282"/>
      <c r="I642" s="3282"/>
      <c r="J642" s="3282"/>
      <c r="K642" s="3282"/>
      <c r="L642" s="3282"/>
      <c r="M642" s="3282"/>
      <c r="N642" s="3282"/>
      <c r="O642" s="3282"/>
      <c r="P642" s="3282"/>
      <c r="Q642" s="3282"/>
      <c r="R642" s="3282"/>
      <c r="S642" s="3282"/>
      <c r="T642" s="3282"/>
      <c r="U642" s="3282"/>
      <c r="V642" s="3282"/>
      <c r="W642" s="3282"/>
      <c r="X642" s="3282"/>
      <c r="Y642" s="3282"/>
      <c r="Z642" s="3282"/>
      <c r="AA642" s="3282"/>
      <c r="AB642" s="3282"/>
      <c r="AC642" s="3282"/>
      <c r="AD642" s="3282"/>
      <c r="AE642" s="3282"/>
      <c r="AF642" s="3282"/>
      <c r="AG642" s="3282"/>
      <c r="AH642" s="3282"/>
      <c r="AI642" s="3282"/>
      <c r="AJ642" s="3282"/>
      <c r="AK642" s="3282"/>
      <c r="AL642" s="3282"/>
      <c r="AM642" s="3282"/>
      <c r="AN642" s="3282"/>
      <c r="AO642" s="3282"/>
      <c r="AP642" s="3282"/>
      <c r="AQ642" s="3282"/>
      <c r="AR642" s="3282"/>
      <c r="AS642" s="3282"/>
      <c r="AT642" s="3282"/>
      <c r="AU642" s="1935"/>
    </row>
    <row r="643" spans="2:47" s="1934" customFormat="1" ht="12.95" customHeight="1" x14ac:dyDescent="0.15">
      <c r="B643" s="3282" t="s">
        <v>547</v>
      </c>
      <c r="C643" s="3282"/>
      <c r="D643" s="3282"/>
      <c r="E643" s="3282"/>
      <c r="F643" s="3282"/>
      <c r="G643" s="3282"/>
      <c r="H643" s="3282"/>
      <c r="I643" s="3282"/>
      <c r="J643" s="3282"/>
      <c r="K643" s="3282"/>
      <c r="L643" s="3282"/>
      <c r="M643" s="3282"/>
      <c r="N643" s="3282"/>
      <c r="O643" s="3282"/>
      <c r="P643" s="3282"/>
      <c r="Q643" s="3282"/>
      <c r="R643" s="3282"/>
      <c r="S643" s="3282"/>
      <c r="T643" s="3282"/>
      <c r="U643" s="3282"/>
      <c r="V643" s="3282"/>
      <c r="W643" s="3282"/>
      <c r="X643" s="3282"/>
      <c r="Y643" s="3282"/>
      <c r="Z643" s="3282"/>
      <c r="AA643" s="3282"/>
      <c r="AB643" s="3282"/>
      <c r="AC643" s="3282"/>
      <c r="AD643" s="3282"/>
      <c r="AE643" s="3282"/>
      <c r="AF643" s="3282"/>
      <c r="AG643" s="3282"/>
      <c r="AH643" s="3282"/>
      <c r="AI643" s="3282"/>
      <c r="AJ643" s="3282"/>
      <c r="AK643" s="3282"/>
      <c r="AL643" s="3282"/>
      <c r="AM643" s="3282"/>
      <c r="AN643" s="3282"/>
      <c r="AO643" s="3282"/>
      <c r="AP643" s="3282"/>
      <c r="AQ643" s="3282"/>
      <c r="AR643" s="3282"/>
      <c r="AS643" s="3282"/>
      <c r="AT643" s="3282"/>
      <c r="AU643" s="1935"/>
    </row>
    <row r="644" spans="2:47" s="1934" customFormat="1" ht="12.95" customHeight="1" x14ac:dyDescent="0.15">
      <c r="B644" s="3282" t="s">
        <v>548</v>
      </c>
      <c r="C644" s="3282"/>
      <c r="D644" s="3282"/>
      <c r="E644" s="3282"/>
      <c r="F644" s="3282"/>
      <c r="G644" s="3282"/>
      <c r="H644" s="3282"/>
      <c r="I644" s="3282"/>
      <c r="J644" s="3282"/>
      <c r="K644" s="3282"/>
      <c r="L644" s="3282"/>
      <c r="M644" s="3282"/>
      <c r="N644" s="3282"/>
      <c r="O644" s="3282"/>
      <c r="P644" s="3282"/>
      <c r="Q644" s="3282"/>
      <c r="R644" s="3282"/>
      <c r="S644" s="3282"/>
      <c r="T644" s="3282"/>
      <c r="U644" s="3282"/>
      <c r="V644" s="3282"/>
      <c r="W644" s="3282"/>
      <c r="X644" s="3282"/>
      <c r="Y644" s="3282"/>
      <c r="Z644" s="3282"/>
      <c r="AA644" s="3282"/>
      <c r="AB644" s="3282"/>
      <c r="AC644" s="3282"/>
      <c r="AD644" s="3282"/>
      <c r="AE644" s="3282"/>
      <c r="AF644" s="3282"/>
      <c r="AG644" s="3282"/>
      <c r="AH644" s="3282"/>
      <c r="AI644" s="3282"/>
      <c r="AJ644" s="3282"/>
      <c r="AK644" s="3282"/>
      <c r="AL644" s="3282"/>
      <c r="AM644" s="3282"/>
      <c r="AN644" s="3282"/>
      <c r="AO644" s="3282"/>
      <c r="AP644" s="3282"/>
      <c r="AQ644" s="3282"/>
      <c r="AR644" s="3282"/>
      <c r="AS644" s="3282"/>
      <c r="AT644" s="3282"/>
      <c r="AU644" s="1935"/>
    </row>
    <row r="645" spans="2:47" s="1934" customFormat="1" ht="12.95" customHeight="1" x14ac:dyDescent="0.15">
      <c r="B645" s="3282" t="s">
        <v>549</v>
      </c>
      <c r="C645" s="3282"/>
      <c r="D645" s="3282"/>
      <c r="E645" s="3282"/>
      <c r="F645" s="3282"/>
      <c r="G645" s="3282"/>
      <c r="H645" s="3282"/>
      <c r="I645" s="3282"/>
      <c r="J645" s="3282"/>
      <c r="K645" s="3282"/>
      <c r="L645" s="3282"/>
      <c r="M645" s="3282"/>
      <c r="N645" s="3282"/>
      <c r="O645" s="3282"/>
      <c r="P645" s="3282"/>
      <c r="Q645" s="3282"/>
      <c r="R645" s="3282"/>
      <c r="S645" s="3282"/>
      <c r="T645" s="3282"/>
      <c r="U645" s="3282"/>
      <c r="V645" s="3282"/>
      <c r="W645" s="3282"/>
      <c r="X645" s="3282"/>
      <c r="Y645" s="3282"/>
      <c r="Z645" s="3282"/>
      <c r="AA645" s="3282"/>
      <c r="AB645" s="3282"/>
      <c r="AC645" s="3282"/>
      <c r="AD645" s="3282"/>
      <c r="AE645" s="3282"/>
      <c r="AF645" s="3282"/>
      <c r="AG645" s="3282"/>
      <c r="AH645" s="3282"/>
      <c r="AI645" s="3282"/>
      <c r="AJ645" s="3282"/>
      <c r="AK645" s="3282"/>
      <c r="AL645" s="3282"/>
      <c r="AM645" s="3282"/>
      <c r="AN645" s="3282"/>
      <c r="AO645" s="3282"/>
      <c r="AP645" s="3282"/>
      <c r="AQ645" s="3282"/>
      <c r="AR645" s="3282"/>
      <c r="AS645" s="3282"/>
      <c r="AT645" s="3282"/>
      <c r="AU645" s="1935"/>
    </row>
    <row r="646" spans="2:47" s="1934" customFormat="1" ht="12.95" customHeight="1" x14ac:dyDescent="0.15">
      <c r="B646" s="3282" t="s">
        <v>550</v>
      </c>
      <c r="C646" s="3282"/>
      <c r="D646" s="3282"/>
      <c r="E646" s="3282"/>
      <c r="F646" s="3282"/>
      <c r="G646" s="3282"/>
      <c r="H646" s="3282"/>
      <c r="I646" s="3282"/>
      <c r="J646" s="3282"/>
      <c r="K646" s="3282"/>
      <c r="L646" s="3282"/>
      <c r="M646" s="3282"/>
      <c r="N646" s="3282"/>
      <c r="O646" s="3282"/>
      <c r="P646" s="3282"/>
      <c r="Q646" s="3282"/>
      <c r="R646" s="3282"/>
      <c r="S646" s="3282"/>
      <c r="T646" s="3282"/>
      <c r="U646" s="3282"/>
      <c r="V646" s="3282"/>
      <c r="W646" s="3282"/>
      <c r="X646" s="3282"/>
      <c r="Y646" s="3282"/>
      <c r="Z646" s="3282"/>
      <c r="AA646" s="3282"/>
      <c r="AB646" s="3282"/>
      <c r="AC646" s="3282"/>
      <c r="AD646" s="3282"/>
      <c r="AE646" s="3282"/>
      <c r="AF646" s="3282"/>
      <c r="AG646" s="3282"/>
      <c r="AH646" s="3282"/>
      <c r="AI646" s="3282"/>
      <c r="AJ646" s="3282"/>
      <c r="AK646" s="3282"/>
      <c r="AL646" s="3282"/>
      <c r="AM646" s="3282"/>
      <c r="AN646" s="3282"/>
      <c r="AO646" s="3282"/>
      <c r="AP646" s="3282"/>
      <c r="AQ646" s="3282"/>
      <c r="AR646" s="3282"/>
      <c r="AS646" s="3282"/>
      <c r="AT646" s="3282"/>
      <c r="AU646" s="1935"/>
    </row>
    <row r="647" spans="2:47" s="1934" customFormat="1" ht="12.95" customHeight="1" x14ac:dyDescent="0.15">
      <c r="B647" s="3282" t="s">
        <v>551</v>
      </c>
      <c r="C647" s="3282"/>
      <c r="D647" s="3282"/>
      <c r="E647" s="3282"/>
      <c r="F647" s="3282"/>
      <c r="G647" s="3282"/>
      <c r="H647" s="3282"/>
      <c r="I647" s="3282"/>
      <c r="J647" s="3282"/>
      <c r="K647" s="3282"/>
      <c r="L647" s="3282"/>
      <c r="M647" s="3282"/>
      <c r="N647" s="3282"/>
      <c r="O647" s="3282"/>
      <c r="P647" s="3282"/>
      <c r="Q647" s="3282"/>
      <c r="R647" s="3282"/>
      <c r="S647" s="3282"/>
      <c r="T647" s="3282"/>
      <c r="U647" s="3282"/>
      <c r="V647" s="3282"/>
      <c r="W647" s="3282"/>
      <c r="X647" s="3282"/>
      <c r="Y647" s="3282"/>
      <c r="Z647" s="3282"/>
      <c r="AA647" s="3282"/>
      <c r="AB647" s="3282"/>
      <c r="AC647" s="3282"/>
      <c r="AD647" s="3282"/>
      <c r="AE647" s="3282"/>
      <c r="AF647" s="3282"/>
      <c r="AG647" s="3282"/>
      <c r="AH647" s="3282"/>
      <c r="AI647" s="3282"/>
      <c r="AJ647" s="3282"/>
      <c r="AK647" s="3282"/>
      <c r="AL647" s="3282"/>
      <c r="AM647" s="3282"/>
      <c r="AN647" s="3282"/>
      <c r="AO647" s="3282"/>
      <c r="AP647" s="3282"/>
      <c r="AQ647" s="3282"/>
      <c r="AR647" s="3282"/>
      <c r="AS647" s="3282"/>
      <c r="AT647" s="3282"/>
      <c r="AU647" s="1935"/>
    </row>
    <row r="648" spans="2:47" s="1934" customFormat="1" ht="12.95" customHeight="1" x14ac:dyDescent="0.15">
      <c r="B648" s="3282" t="s">
        <v>552</v>
      </c>
      <c r="C648" s="3282"/>
      <c r="D648" s="3282"/>
      <c r="E648" s="3282"/>
      <c r="F648" s="3282"/>
      <c r="G648" s="3282"/>
      <c r="H648" s="3282"/>
      <c r="I648" s="3282"/>
      <c r="J648" s="3282"/>
      <c r="K648" s="3282"/>
      <c r="L648" s="3282"/>
      <c r="M648" s="3282"/>
      <c r="N648" s="3282"/>
      <c r="O648" s="3282"/>
      <c r="P648" s="3282"/>
      <c r="Q648" s="3282"/>
      <c r="R648" s="3282"/>
      <c r="S648" s="3282"/>
      <c r="T648" s="3282"/>
      <c r="U648" s="3282"/>
      <c r="V648" s="3282"/>
      <c r="W648" s="3282"/>
      <c r="X648" s="3282"/>
      <c r="Y648" s="3282"/>
      <c r="Z648" s="3282"/>
      <c r="AA648" s="3282"/>
      <c r="AB648" s="3282"/>
      <c r="AC648" s="3282"/>
      <c r="AD648" s="3282"/>
      <c r="AE648" s="3282"/>
      <c r="AF648" s="3282"/>
      <c r="AG648" s="3282"/>
      <c r="AH648" s="3282"/>
      <c r="AI648" s="3282"/>
      <c r="AJ648" s="3282"/>
      <c r="AK648" s="3282"/>
      <c r="AL648" s="3282"/>
      <c r="AM648" s="3282"/>
      <c r="AN648" s="3282"/>
      <c r="AO648" s="3282"/>
      <c r="AP648" s="3282"/>
      <c r="AQ648" s="3282"/>
      <c r="AR648" s="3282"/>
      <c r="AS648" s="3282"/>
      <c r="AT648" s="3282"/>
      <c r="AU648" s="1935"/>
    </row>
    <row r="649" spans="2:47" s="1934" customFormat="1" ht="12.95" customHeight="1" x14ac:dyDescent="0.15">
      <c r="B649" s="3282" t="s">
        <v>553</v>
      </c>
      <c r="C649" s="3282"/>
      <c r="D649" s="3282"/>
      <c r="E649" s="3282"/>
      <c r="F649" s="3282"/>
      <c r="G649" s="3282"/>
      <c r="H649" s="3282"/>
      <c r="I649" s="3282"/>
      <c r="J649" s="3282"/>
      <c r="K649" s="3282"/>
      <c r="L649" s="3282"/>
      <c r="M649" s="3282"/>
      <c r="N649" s="3282"/>
      <c r="O649" s="3282"/>
      <c r="P649" s="3282"/>
      <c r="Q649" s="3282"/>
      <c r="R649" s="3282"/>
      <c r="S649" s="3282"/>
      <c r="T649" s="3282"/>
      <c r="U649" s="3282"/>
      <c r="V649" s="3282"/>
      <c r="W649" s="3282"/>
      <c r="X649" s="3282"/>
      <c r="Y649" s="3282"/>
      <c r="Z649" s="3282"/>
      <c r="AA649" s="3282"/>
      <c r="AB649" s="3282"/>
      <c r="AC649" s="3282"/>
      <c r="AD649" s="3282"/>
      <c r="AE649" s="3282"/>
      <c r="AF649" s="3282"/>
      <c r="AG649" s="3282"/>
      <c r="AH649" s="3282"/>
      <c r="AI649" s="3282"/>
      <c r="AJ649" s="3282"/>
      <c r="AK649" s="3282"/>
      <c r="AL649" s="3282"/>
      <c r="AM649" s="3282"/>
      <c r="AN649" s="3282"/>
      <c r="AO649" s="3282"/>
      <c r="AP649" s="3282"/>
      <c r="AQ649" s="3282"/>
      <c r="AR649" s="3282"/>
      <c r="AS649" s="3282"/>
      <c r="AT649" s="3282"/>
      <c r="AU649" s="1935"/>
    </row>
    <row r="650" spans="2:47" s="1934" customFormat="1" ht="12.95" customHeight="1" x14ac:dyDescent="0.15">
      <c r="B650" s="3282" t="s">
        <v>554</v>
      </c>
      <c r="C650" s="3282"/>
      <c r="D650" s="3282"/>
      <c r="E650" s="3282"/>
      <c r="F650" s="3282"/>
      <c r="G650" s="3282"/>
      <c r="H650" s="3282"/>
      <c r="I650" s="3282"/>
      <c r="J650" s="3282"/>
      <c r="K650" s="3282"/>
      <c r="L650" s="3282"/>
      <c r="M650" s="3282"/>
      <c r="N650" s="3282"/>
      <c r="O650" s="3282"/>
      <c r="P650" s="3282"/>
      <c r="Q650" s="3282"/>
      <c r="R650" s="3282"/>
      <c r="S650" s="3282"/>
      <c r="T650" s="3282"/>
      <c r="U650" s="3282"/>
      <c r="V650" s="3282"/>
      <c r="W650" s="3282"/>
      <c r="X650" s="3282"/>
      <c r="Y650" s="3282"/>
      <c r="Z650" s="3282"/>
      <c r="AA650" s="3282"/>
      <c r="AB650" s="3282"/>
      <c r="AC650" s="3282"/>
      <c r="AD650" s="3282"/>
      <c r="AE650" s="3282"/>
      <c r="AF650" s="3282"/>
      <c r="AG650" s="3282"/>
      <c r="AH650" s="3282"/>
      <c r="AI650" s="3282"/>
      <c r="AJ650" s="3282"/>
      <c r="AK650" s="3282"/>
      <c r="AL650" s="3282"/>
      <c r="AM650" s="3282"/>
      <c r="AN650" s="3282"/>
      <c r="AO650" s="3282"/>
      <c r="AP650" s="3282"/>
      <c r="AQ650" s="3282"/>
      <c r="AR650" s="3282"/>
      <c r="AS650" s="3282"/>
      <c r="AT650" s="3282"/>
      <c r="AU650" s="1935"/>
    </row>
    <row r="651" spans="2:47" s="1934" customFormat="1" ht="12.95" customHeight="1" x14ac:dyDescent="0.15">
      <c r="B651" s="3282" t="s">
        <v>555</v>
      </c>
      <c r="C651" s="3282"/>
      <c r="D651" s="3282"/>
      <c r="E651" s="3282"/>
      <c r="F651" s="3282"/>
      <c r="G651" s="3282"/>
      <c r="H651" s="3282"/>
      <c r="I651" s="3282"/>
      <c r="J651" s="3282"/>
      <c r="K651" s="3282"/>
      <c r="L651" s="3282"/>
      <c r="M651" s="3282"/>
      <c r="N651" s="3282"/>
      <c r="O651" s="3282"/>
      <c r="P651" s="3282"/>
      <c r="Q651" s="3282"/>
      <c r="R651" s="3282"/>
      <c r="S651" s="3282"/>
      <c r="T651" s="3282"/>
      <c r="U651" s="3282"/>
      <c r="V651" s="3282"/>
      <c r="W651" s="3282"/>
      <c r="X651" s="3282"/>
      <c r="Y651" s="3282"/>
      <c r="Z651" s="3282"/>
      <c r="AA651" s="3282"/>
      <c r="AB651" s="3282"/>
      <c r="AC651" s="3282"/>
      <c r="AD651" s="3282"/>
      <c r="AE651" s="3282"/>
      <c r="AF651" s="3282"/>
      <c r="AG651" s="3282"/>
      <c r="AH651" s="3282"/>
      <c r="AI651" s="3282"/>
      <c r="AJ651" s="3282"/>
      <c r="AK651" s="3282"/>
      <c r="AL651" s="3282"/>
      <c r="AM651" s="3282"/>
      <c r="AN651" s="3282"/>
      <c r="AO651" s="3282"/>
      <c r="AP651" s="3282"/>
      <c r="AQ651" s="3282"/>
      <c r="AR651" s="3282"/>
      <c r="AS651" s="3282"/>
      <c r="AT651" s="3282"/>
      <c r="AU651" s="1935"/>
    </row>
    <row r="652" spans="2:47" s="1934" customFormat="1" ht="12.95" customHeight="1" x14ac:dyDescent="0.15">
      <c r="B652" s="3282" t="s">
        <v>556</v>
      </c>
      <c r="C652" s="3282"/>
      <c r="D652" s="3282"/>
      <c r="E652" s="3282"/>
      <c r="F652" s="3282"/>
      <c r="G652" s="3282"/>
      <c r="H652" s="3282"/>
      <c r="I652" s="3282"/>
      <c r="J652" s="3282"/>
      <c r="K652" s="3282"/>
      <c r="L652" s="3282"/>
      <c r="M652" s="3282"/>
      <c r="N652" s="3282"/>
      <c r="O652" s="3282"/>
      <c r="P652" s="3282"/>
      <c r="Q652" s="3282"/>
      <c r="R652" s="3282"/>
      <c r="S652" s="3282"/>
      <c r="T652" s="3282"/>
      <c r="U652" s="3282"/>
      <c r="V652" s="3282"/>
      <c r="W652" s="3282"/>
      <c r="X652" s="3282"/>
      <c r="Y652" s="3282"/>
      <c r="Z652" s="3282"/>
      <c r="AA652" s="3282"/>
      <c r="AB652" s="3282"/>
      <c r="AC652" s="3282"/>
      <c r="AD652" s="3282"/>
      <c r="AE652" s="3282"/>
      <c r="AF652" s="3282"/>
      <c r="AG652" s="3282"/>
      <c r="AH652" s="3282"/>
      <c r="AI652" s="3282"/>
      <c r="AJ652" s="3282"/>
      <c r="AK652" s="3282"/>
      <c r="AL652" s="3282"/>
      <c r="AM652" s="3282"/>
      <c r="AN652" s="3282"/>
      <c r="AO652" s="3282"/>
      <c r="AP652" s="3282"/>
      <c r="AQ652" s="3282"/>
      <c r="AR652" s="3282"/>
      <c r="AS652" s="3282"/>
      <c r="AT652" s="3282"/>
      <c r="AU652" s="1935"/>
    </row>
    <row r="653" spans="2:47" s="1934" customFormat="1" ht="12.95" customHeight="1" x14ac:dyDescent="0.15">
      <c r="B653" s="3282" t="s">
        <v>557</v>
      </c>
      <c r="C653" s="3282"/>
      <c r="D653" s="3282"/>
      <c r="E653" s="3282"/>
      <c r="F653" s="3282"/>
      <c r="G653" s="3282"/>
      <c r="H653" s="3282"/>
      <c r="I653" s="3282"/>
      <c r="J653" s="3282"/>
      <c r="K653" s="3282"/>
      <c r="L653" s="3282"/>
      <c r="M653" s="3282"/>
      <c r="N653" s="3282"/>
      <c r="O653" s="3282"/>
      <c r="P653" s="3282"/>
      <c r="Q653" s="3282"/>
      <c r="R653" s="3282"/>
      <c r="S653" s="3282"/>
      <c r="T653" s="3282"/>
      <c r="U653" s="3282"/>
      <c r="V653" s="3282"/>
      <c r="W653" s="3282"/>
      <c r="X653" s="3282"/>
      <c r="Y653" s="3282"/>
      <c r="Z653" s="3282"/>
      <c r="AA653" s="3282"/>
      <c r="AB653" s="3282"/>
      <c r="AC653" s="3282"/>
      <c r="AD653" s="3282"/>
      <c r="AE653" s="3282"/>
      <c r="AF653" s="3282"/>
      <c r="AG653" s="3282"/>
      <c r="AH653" s="3282"/>
      <c r="AI653" s="3282"/>
      <c r="AJ653" s="3282"/>
      <c r="AK653" s="3282"/>
      <c r="AL653" s="3282"/>
      <c r="AM653" s="3282"/>
      <c r="AN653" s="3282"/>
      <c r="AO653" s="3282"/>
      <c r="AP653" s="3282"/>
      <c r="AQ653" s="3282"/>
      <c r="AR653" s="3282"/>
      <c r="AS653" s="3282"/>
      <c r="AT653" s="3282"/>
      <c r="AU653" s="1935"/>
    </row>
    <row r="654" spans="2:47" s="1934" customFormat="1" ht="12.95" customHeight="1" x14ac:dyDescent="0.15">
      <c r="B654" s="3282" t="s">
        <v>558</v>
      </c>
      <c r="C654" s="3282"/>
      <c r="D654" s="3282"/>
      <c r="E654" s="3282"/>
      <c r="F654" s="3282"/>
      <c r="G654" s="3282"/>
      <c r="H654" s="3282"/>
      <c r="I654" s="3282"/>
      <c r="J654" s="3282"/>
      <c r="K654" s="3282"/>
      <c r="L654" s="3282"/>
      <c r="M654" s="3282"/>
      <c r="N654" s="3282"/>
      <c r="O654" s="3282"/>
      <c r="P654" s="3282"/>
      <c r="Q654" s="3282"/>
      <c r="R654" s="3282"/>
      <c r="S654" s="3282"/>
      <c r="T654" s="3282"/>
      <c r="U654" s="3282"/>
      <c r="V654" s="3282"/>
      <c r="W654" s="3282"/>
      <c r="X654" s="3282"/>
      <c r="Y654" s="3282"/>
      <c r="Z654" s="3282"/>
      <c r="AA654" s="3282"/>
      <c r="AB654" s="3282"/>
      <c r="AC654" s="3282"/>
      <c r="AD654" s="3282"/>
      <c r="AE654" s="3282"/>
      <c r="AF654" s="3282"/>
      <c r="AG654" s="3282"/>
      <c r="AH654" s="3282"/>
      <c r="AI654" s="3282"/>
      <c r="AJ654" s="3282"/>
      <c r="AK654" s="3282"/>
      <c r="AL654" s="3282"/>
      <c r="AM654" s="3282"/>
      <c r="AN654" s="3282"/>
      <c r="AO654" s="3282"/>
      <c r="AP654" s="3282"/>
      <c r="AQ654" s="3282"/>
      <c r="AR654" s="3282"/>
      <c r="AS654" s="3282"/>
      <c r="AT654" s="3282"/>
      <c r="AU654" s="1935"/>
    </row>
    <row r="655" spans="2:47" s="1934" customFormat="1" ht="12.95" customHeight="1" x14ac:dyDescent="0.15">
      <c r="B655" s="3282" t="s">
        <v>559</v>
      </c>
      <c r="C655" s="3282"/>
      <c r="D655" s="3282"/>
      <c r="E655" s="3282"/>
      <c r="F655" s="3282"/>
      <c r="G655" s="3282"/>
      <c r="H655" s="3282"/>
      <c r="I655" s="3282"/>
      <c r="J655" s="3282"/>
      <c r="K655" s="3282"/>
      <c r="L655" s="3282"/>
      <c r="M655" s="3282"/>
      <c r="N655" s="3282"/>
      <c r="O655" s="3282"/>
      <c r="P655" s="3282"/>
      <c r="Q655" s="3282"/>
      <c r="R655" s="3282"/>
      <c r="S655" s="3282"/>
      <c r="T655" s="3282"/>
      <c r="U655" s="3282"/>
      <c r="V655" s="3282"/>
      <c r="W655" s="3282"/>
      <c r="X655" s="3282"/>
      <c r="Y655" s="3282"/>
      <c r="Z655" s="3282"/>
      <c r="AA655" s="3282"/>
      <c r="AB655" s="3282"/>
      <c r="AC655" s="3282"/>
      <c r="AD655" s="3282"/>
      <c r="AE655" s="3282"/>
      <c r="AF655" s="3282"/>
      <c r="AG655" s="3282"/>
      <c r="AH655" s="3282"/>
      <c r="AI655" s="3282"/>
      <c r="AJ655" s="3282"/>
      <c r="AK655" s="3282"/>
      <c r="AL655" s="3282"/>
      <c r="AM655" s="3282"/>
      <c r="AN655" s="3282"/>
      <c r="AO655" s="3282"/>
      <c r="AP655" s="3282"/>
      <c r="AQ655" s="3282"/>
      <c r="AR655" s="3282"/>
      <c r="AS655" s="3282"/>
      <c r="AT655" s="3282"/>
      <c r="AU655" s="1935"/>
    </row>
    <row r="656" spans="2:47" s="1934" customFormat="1" ht="12.95" customHeight="1" x14ac:dyDescent="0.15">
      <c r="B656" s="3282" t="s">
        <v>560</v>
      </c>
      <c r="C656" s="3282"/>
      <c r="D656" s="3282"/>
      <c r="E656" s="3282"/>
      <c r="F656" s="3282"/>
      <c r="G656" s="3282"/>
      <c r="H656" s="3282"/>
      <c r="I656" s="3282"/>
      <c r="J656" s="3282"/>
      <c r="K656" s="3282"/>
      <c r="L656" s="3282"/>
      <c r="M656" s="3282"/>
      <c r="N656" s="3282"/>
      <c r="O656" s="3282"/>
      <c r="P656" s="3282"/>
      <c r="Q656" s="3282"/>
      <c r="R656" s="3282"/>
      <c r="S656" s="3282"/>
      <c r="T656" s="3282"/>
      <c r="U656" s="3282"/>
      <c r="V656" s="3282"/>
      <c r="W656" s="3282"/>
      <c r="X656" s="3282"/>
      <c r="Y656" s="3282"/>
      <c r="Z656" s="3282"/>
      <c r="AA656" s="3282"/>
      <c r="AB656" s="3282"/>
      <c r="AC656" s="3282"/>
      <c r="AD656" s="3282"/>
      <c r="AE656" s="3282"/>
      <c r="AF656" s="3282"/>
      <c r="AG656" s="3282"/>
      <c r="AH656" s="3282"/>
      <c r="AI656" s="3282"/>
      <c r="AJ656" s="3282"/>
      <c r="AK656" s="3282"/>
      <c r="AL656" s="3282"/>
      <c r="AM656" s="3282"/>
      <c r="AN656" s="3282"/>
      <c r="AO656" s="3282"/>
      <c r="AP656" s="3282"/>
      <c r="AQ656" s="3282"/>
      <c r="AR656" s="3282"/>
      <c r="AS656" s="3282"/>
      <c r="AT656" s="3282"/>
      <c r="AU656" s="1935"/>
    </row>
    <row r="657" spans="2:47" s="1934" customFormat="1" ht="12.95" customHeight="1" x14ac:dyDescent="0.15">
      <c r="B657" s="3282" t="s">
        <v>561</v>
      </c>
      <c r="C657" s="3282"/>
      <c r="D657" s="3282"/>
      <c r="E657" s="3282"/>
      <c r="F657" s="3282"/>
      <c r="G657" s="3282"/>
      <c r="H657" s="3282"/>
      <c r="I657" s="3282"/>
      <c r="J657" s="3282"/>
      <c r="K657" s="3282"/>
      <c r="L657" s="3282"/>
      <c r="M657" s="3282"/>
      <c r="N657" s="3282"/>
      <c r="O657" s="3282"/>
      <c r="P657" s="3282"/>
      <c r="Q657" s="3282"/>
      <c r="R657" s="3282"/>
      <c r="S657" s="3282"/>
      <c r="T657" s="3282"/>
      <c r="U657" s="3282"/>
      <c r="V657" s="3282"/>
      <c r="W657" s="3282"/>
      <c r="X657" s="3282"/>
      <c r="Y657" s="3282"/>
      <c r="Z657" s="3282"/>
      <c r="AA657" s="3282"/>
      <c r="AB657" s="3282"/>
      <c r="AC657" s="3282"/>
      <c r="AD657" s="3282"/>
      <c r="AE657" s="3282"/>
      <c r="AF657" s="3282"/>
      <c r="AG657" s="3282"/>
      <c r="AH657" s="3282"/>
      <c r="AI657" s="3282"/>
      <c r="AJ657" s="3282"/>
      <c r="AK657" s="3282"/>
      <c r="AL657" s="3282"/>
      <c r="AM657" s="3282"/>
      <c r="AN657" s="3282"/>
      <c r="AO657" s="3282"/>
      <c r="AP657" s="3282"/>
      <c r="AQ657" s="3282"/>
      <c r="AR657" s="3282"/>
      <c r="AS657" s="3282"/>
      <c r="AT657" s="3282"/>
      <c r="AU657" s="1935"/>
    </row>
    <row r="658" spans="2:47" s="1934" customFormat="1" ht="12.95" customHeight="1" x14ac:dyDescent="0.15">
      <c r="B658" s="3282" t="s">
        <v>562</v>
      </c>
      <c r="C658" s="3282"/>
      <c r="D658" s="3282"/>
      <c r="E658" s="3282"/>
      <c r="F658" s="3282"/>
      <c r="G658" s="3282"/>
      <c r="H658" s="3282"/>
      <c r="I658" s="3282"/>
      <c r="J658" s="3282"/>
      <c r="K658" s="3282"/>
      <c r="L658" s="3282"/>
      <c r="M658" s="3282"/>
      <c r="N658" s="3282"/>
      <c r="O658" s="3282"/>
      <c r="P658" s="3282"/>
      <c r="Q658" s="3282"/>
      <c r="R658" s="3282"/>
      <c r="S658" s="3282"/>
      <c r="T658" s="3282"/>
      <c r="U658" s="3282"/>
      <c r="V658" s="3282"/>
      <c r="W658" s="3282"/>
      <c r="X658" s="3282"/>
      <c r="Y658" s="3282"/>
      <c r="Z658" s="3282"/>
      <c r="AA658" s="3282"/>
      <c r="AB658" s="3282"/>
      <c r="AC658" s="3282"/>
      <c r="AD658" s="3282"/>
      <c r="AE658" s="3282"/>
      <c r="AF658" s="3282"/>
      <c r="AG658" s="3282"/>
      <c r="AH658" s="3282"/>
      <c r="AI658" s="3282"/>
      <c r="AJ658" s="3282"/>
      <c r="AK658" s="3282"/>
      <c r="AL658" s="3282"/>
      <c r="AM658" s="3282"/>
      <c r="AN658" s="3282"/>
      <c r="AO658" s="3282"/>
      <c r="AP658" s="3282"/>
      <c r="AQ658" s="3282"/>
      <c r="AR658" s="3282"/>
      <c r="AS658" s="3282"/>
      <c r="AT658" s="3282"/>
      <c r="AU658" s="1935"/>
    </row>
    <row r="659" spans="2:47" s="1934" customFormat="1" ht="12.95" customHeight="1" x14ac:dyDescent="0.15">
      <c r="B659" s="3282" t="s">
        <v>563</v>
      </c>
      <c r="C659" s="3282"/>
      <c r="D659" s="3282"/>
      <c r="E659" s="3282"/>
      <c r="F659" s="3282"/>
      <c r="G659" s="3282"/>
      <c r="H659" s="3282"/>
      <c r="I659" s="3282"/>
      <c r="J659" s="3282"/>
      <c r="K659" s="3282"/>
      <c r="L659" s="3282"/>
      <c r="M659" s="3282"/>
      <c r="N659" s="3282"/>
      <c r="O659" s="3282"/>
      <c r="P659" s="3282"/>
      <c r="Q659" s="3282"/>
      <c r="R659" s="3282"/>
      <c r="S659" s="3282"/>
      <c r="T659" s="3282"/>
      <c r="U659" s="3282"/>
      <c r="V659" s="3282"/>
      <c r="W659" s="3282"/>
      <c r="X659" s="3282"/>
      <c r="Y659" s="3282"/>
      <c r="Z659" s="3282"/>
      <c r="AA659" s="3282"/>
      <c r="AB659" s="3282"/>
      <c r="AC659" s="3282"/>
      <c r="AD659" s="3282"/>
      <c r="AE659" s="3282"/>
      <c r="AF659" s="3282"/>
      <c r="AG659" s="3282"/>
      <c r="AH659" s="3282"/>
      <c r="AI659" s="3282"/>
      <c r="AJ659" s="3282"/>
      <c r="AK659" s="3282"/>
      <c r="AL659" s="3282"/>
      <c r="AM659" s="3282"/>
      <c r="AN659" s="3282"/>
      <c r="AO659" s="3282"/>
      <c r="AP659" s="3282"/>
      <c r="AQ659" s="3282"/>
      <c r="AR659" s="3282"/>
      <c r="AS659" s="3282"/>
      <c r="AT659" s="3282"/>
      <c r="AU659" s="1935"/>
    </row>
    <row r="660" spans="2:47" s="1934" customFormat="1" ht="12.95" customHeight="1" x14ac:dyDescent="0.15">
      <c r="B660" s="3282" t="s">
        <v>564</v>
      </c>
      <c r="C660" s="3282"/>
      <c r="D660" s="3282"/>
      <c r="E660" s="3282"/>
      <c r="F660" s="3282"/>
      <c r="G660" s="3282"/>
      <c r="H660" s="3282"/>
      <c r="I660" s="3282"/>
      <c r="J660" s="3282"/>
      <c r="K660" s="3282"/>
      <c r="L660" s="3282"/>
      <c r="M660" s="3282"/>
      <c r="N660" s="3282"/>
      <c r="O660" s="3282"/>
      <c r="P660" s="3282"/>
      <c r="Q660" s="3282"/>
      <c r="R660" s="3282"/>
      <c r="S660" s="3282"/>
      <c r="T660" s="3282"/>
      <c r="U660" s="3282"/>
      <c r="V660" s="3282"/>
      <c r="W660" s="3282"/>
      <c r="X660" s="3282"/>
      <c r="Y660" s="3282"/>
      <c r="Z660" s="3282"/>
      <c r="AA660" s="3282"/>
      <c r="AB660" s="3282"/>
      <c r="AC660" s="3282"/>
      <c r="AD660" s="3282"/>
      <c r="AE660" s="3282"/>
      <c r="AF660" s="3282"/>
      <c r="AG660" s="3282"/>
      <c r="AH660" s="3282"/>
      <c r="AI660" s="3282"/>
      <c r="AJ660" s="3282"/>
      <c r="AK660" s="3282"/>
      <c r="AL660" s="3282"/>
      <c r="AM660" s="3282"/>
      <c r="AN660" s="3282"/>
      <c r="AO660" s="3282"/>
      <c r="AP660" s="3282"/>
      <c r="AQ660" s="3282"/>
      <c r="AR660" s="3282"/>
      <c r="AS660" s="3282"/>
      <c r="AT660" s="3282"/>
      <c r="AU660" s="1935"/>
    </row>
    <row r="661" spans="2:47" s="1934" customFormat="1" ht="12.95" customHeight="1" x14ac:dyDescent="0.15">
      <c r="B661" s="3282" t="s">
        <v>565</v>
      </c>
      <c r="C661" s="3282"/>
      <c r="D661" s="3282"/>
      <c r="E661" s="3282"/>
      <c r="F661" s="3282"/>
      <c r="G661" s="3282"/>
      <c r="H661" s="3282"/>
      <c r="I661" s="3282"/>
      <c r="J661" s="3282"/>
      <c r="K661" s="3282"/>
      <c r="L661" s="3282"/>
      <c r="M661" s="3282"/>
      <c r="N661" s="3282"/>
      <c r="O661" s="3282"/>
      <c r="P661" s="3282"/>
      <c r="Q661" s="3282"/>
      <c r="R661" s="3282"/>
      <c r="S661" s="3282"/>
      <c r="T661" s="3282"/>
      <c r="U661" s="3282"/>
      <c r="V661" s="3282"/>
      <c r="W661" s="3282"/>
      <c r="X661" s="3282"/>
      <c r="Y661" s="3282"/>
      <c r="Z661" s="3282"/>
      <c r="AA661" s="3282"/>
      <c r="AB661" s="3282"/>
      <c r="AC661" s="3282"/>
      <c r="AD661" s="3282"/>
      <c r="AE661" s="3282"/>
      <c r="AF661" s="3282"/>
      <c r="AG661" s="3282"/>
      <c r="AH661" s="3282"/>
      <c r="AI661" s="3282"/>
      <c r="AJ661" s="3282"/>
      <c r="AK661" s="3282"/>
      <c r="AL661" s="3282"/>
      <c r="AM661" s="3282"/>
      <c r="AN661" s="3282"/>
      <c r="AO661" s="3282"/>
      <c r="AP661" s="3282"/>
      <c r="AQ661" s="3282"/>
      <c r="AR661" s="3282"/>
      <c r="AS661" s="3282"/>
      <c r="AT661" s="3282"/>
      <c r="AU661" s="1935"/>
    </row>
    <row r="662" spans="2:47" s="1934" customFormat="1" ht="12.95" customHeight="1" x14ac:dyDescent="0.15">
      <c r="B662" s="3282" t="s">
        <v>566</v>
      </c>
      <c r="C662" s="3282"/>
      <c r="D662" s="3282"/>
      <c r="E662" s="3282"/>
      <c r="F662" s="3282"/>
      <c r="G662" s="3282"/>
      <c r="H662" s="3282"/>
      <c r="I662" s="3282"/>
      <c r="J662" s="3282"/>
      <c r="K662" s="3282"/>
      <c r="L662" s="3282"/>
      <c r="M662" s="3282"/>
      <c r="N662" s="3282"/>
      <c r="O662" s="3282"/>
      <c r="P662" s="3282"/>
      <c r="Q662" s="3282"/>
      <c r="R662" s="3282"/>
      <c r="S662" s="3282"/>
      <c r="T662" s="3282"/>
      <c r="U662" s="3282"/>
      <c r="V662" s="3282"/>
      <c r="W662" s="3282"/>
      <c r="X662" s="3282"/>
      <c r="Y662" s="3282"/>
      <c r="Z662" s="3282"/>
      <c r="AA662" s="3282"/>
      <c r="AB662" s="3282"/>
      <c r="AC662" s="3282"/>
      <c r="AD662" s="3282"/>
      <c r="AE662" s="3282"/>
      <c r="AF662" s="3282"/>
      <c r="AG662" s="3282"/>
      <c r="AH662" s="3282"/>
      <c r="AI662" s="3282"/>
      <c r="AJ662" s="3282"/>
      <c r="AK662" s="3282"/>
      <c r="AL662" s="3282"/>
      <c r="AM662" s="3282"/>
      <c r="AN662" s="3282"/>
      <c r="AO662" s="3282"/>
      <c r="AP662" s="3282"/>
      <c r="AQ662" s="3282"/>
      <c r="AR662" s="3282"/>
      <c r="AS662" s="3282"/>
      <c r="AT662" s="3282"/>
      <c r="AU662" s="1935"/>
    </row>
    <row r="663" spans="2:47" s="1934" customFormat="1" ht="12.95" customHeight="1" x14ac:dyDescent="0.15">
      <c r="B663" s="3282" t="s">
        <v>567</v>
      </c>
      <c r="C663" s="3282"/>
      <c r="D663" s="3282"/>
      <c r="E663" s="3282"/>
      <c r="F663" s="3282"/>
      <c r="G663" s="3282"/>
      <c r="H663" s="3282"/>
      <c r="I663" s="3282"/>
      <c r="J663" s="3282"/>
      <c r="K663" s="3282"/>
      <c r="L663" s="3282"/>
      <c r="M663" s="3282"/>
      <c r="N663" s="3282"/>
      <c r="O663" s="3282"/>
      <c r="P663" s="3282"/>
      <c r="Q663" s="3282"/>
      <c r="R663" s="3282"/>
      <c r="S663" s="3282"/>
      <c r="T663" s="3282"/>
      <c r="U663" s="3282"/>
      <c r="V663" s="3282"/>
      <c r="W663" s="3282"/>
      <c r="X663" s="3282"/>
      <c r="Y663" s="3282"/>
      <c r="Z663" s="3282"/>
      <c r="AA663" s="3282"/>
      <c r="AB663" s="3282"/>
      <c r="AC663" s="3282"/>
      <c r="AD663" s="3282"/>
      <c r="AE663" s="3282"/>
      <c r="AF663" s="3282"/>
      <c r="AG663" s="3282"/>
      <c r="AH663" s="3282"/>
      <c r="AI663" s="3282"/>
      <c r="AJ663" s="3282"/>
      <c r="AK663" s="3282"/>
      <c r="AL663" s="3282"/>
      <c r="AM663" s="3282"/>
      <c r="AN663" s="3282"/>
      <c r="AO663" s="3282"/>
      <c r="AP663" s="3282"/>
      <c r="AQ663" s="3282"/>
      <c r="AR663" s="3282"/>
      <c r="AS663" s="3282"/>
      <c r="AT663" s="3282"/>
      <c r="AU663" s="1935"/>
    </row>
    <row r="664" spans="2:47" s="1934" customFormat="1" ht="12.95" customHeight="1" x14ac:dyDescent="0.15">
      <c r="B664" s="3282" t="s">
        <v>568</v>
      </c>
      <c r="C664" s="3282"/>
      <c r="D664" s="3282"/>
      <c r="E664" s="3282"/>
      <c r="F664" s="3282"/>
      <c r="G664" s="3282"/>
      <c r="H664" s="3282"/>
      <c r="I664" s="3282"/>
      <c r="J664" s="3282"/>
      <c r="K664" s="3282"/>
      <c r="L664" s="3282"/>
      <c r="M664" s="3282"/>
      <c r="N664" s="3282"/>
      <c r="O664" s="3282"/>
      <c r="P664" s="3282"/>
      <c r="Q664" s="3282"/>
      <c r="R664" s="3282"/>
      <c r="S664" s="3282"/>
      <c r="T664" s="3282"/>
      <c r="U664" s="3282"/>
      <c r="V664" s="3282"/>
      <c r="W664" s="3282"/>
      <c r="X664" s="3282"/>
      <c r="Y664" s="3282"/>
      <c r="Z664" s="3282"/>
      <c r="AA664" s="3282"/>
      <c r="AB664" s="3282"/>
      <c r="AC664" s="3282"/>
      <c r="AD664" s="3282"/>
      <c r="AE664" s="3282"/>
      <c r="AF664" s="3282"/>
      <c r="AG664" s="3282"/>
      <c r="AH664" s="3282"/>
      <c r="AI664" s="3282"/>
      <c r="AJ664" s="3282"/>
      <c r="AK664" s="3282"/>
      <c r="AL664" s="3282"/>
      <c r="AM664" s="3282"/>
      <c r="AN664" s="3282"/>
      <c r="AO664" s="3282"/>
      <c r="AP664" s="3282"/>
      <c r="AQ664" s="3282"/>
      <c r="AR664" s="3282"/>
      <c r="AS664" s="3282"/>
      <c r="AT664" s="3282"/>
      <c r="AU664" s="1935"/>
    </row>
    <row r="665" spans="2:47" s="1934" customFormat="1" ht="12.95" customHeight="1" x14ac:dyDescent="0.15">
      <c r="B665" s="3282" t="s">
        <v>569</v>
      </c>
      <c r="C665" s="3282"/>
      <c r="D665" s="3282"/>
      <c r="E665" s="3282"/>
      <c r="F665" s="3282"/>
      <c r="G665" s="3282"/>
      <c r="H665" s="3282"/>
      <c r="I665" s="3282"/>
      <c r="J665" s="3282"/>
      <c r="K665" s="3282"/>
      <c r="L665" s="3282"/>
      <c r="M665" s="3282"/>
      <c r="N665" s="3282"/>
      <c r="O665" s="3282"/>
      <c r="P665" s="3282"/>
      <c r="Q665" s="3282"/>
      <c r="R665" s="3282"/>
      <c r="S665" s="3282"/>
      <c r="T665" s="3282"/>
      <c r="U665" s="3282"/>
      <c r="V665" s="3282"/>
      <c r="W665" s="3282"/>
      <c r="X665" s="3282"/>
      <c r="Y665" s="3282"/>
      <c r="Z665" s="3282"/>
      <c r="AA665" s="3282"/>
      <c r="AB665" s="3282"/>
      <c r="AC665" s="3282"/>
      <c r="AD665" s="3282"/>
      <c r="AE665" s="3282"/>
      <c r="AF665" s="3282"/>
      <c r="AG665" s="3282"/>
      <c r="AH665" s="3282"/>
      <c r="AI665" s="3282"/>
      <c r="AJ665" s="3282"/>
      <c r="AK665" s="3282"/>
      <c r="AL665" s="3282"/>
      <c r="AM665" s="3282"/>
      <c r="AN665" s="3282"/>
      <c r="AO665" s="3282"/>
      <c r="AP665" s="3282"/>
      <c r="AQ665" s="3282"/>
      <c r="AR665" s="3282"/>
      <c r="AS665" s="3282"/>
      <c r="AT665" s="3282"/>
      <c r="AU665" s="1935"/>
    </row>
    <row r="666" spans="2:47" s="1934" customFormat="1" ht="12.95" customHeight="1" x14ac:dyDescent="0.15">
      <c r="B666" s="3282" t="s">
        <v>570</v>
      </c>
      <c r="C666" s="3282"/>
      <c r="D666" s="3282"/>
      <c r="E666" s="3282"/>
      <c r="F666" s="3282"/>
      <c r="G666" s="3282"/>
      <c r="H666" s="3282"/>
      <c r="I666" s="3282"/>
      <c r="J666" s="3282"/>
      <c r="K666" s="3282"/>
      <c r="L666" s="3282"/>
      <c r="M666" s="3282"/>
      <c r="N666" s="3282"/>
      <c r="O666" s="3282"/>
      <c r="P666" s="3282"/>
      <c r="Q666" s="3282"/>
      <c r="R666" s="3282"/>
      <c r="S666" s="3282"/>
      <c r="T666" s="3282"/>
      <c r="U666" s="3282"/>
      <c r="V666" s="3282"/>
      <c r="W666" s="3282"/>
      <c r="X666" s="3282"/>
      <c r="Y666" s="3282"/>
      <c r="Z666" s="3282"/>
      <c r="AA666" s="3282"/>
      <c r="AB666" s="3282"/>
      <c r="AC666" s="3282"/>
      <c r="AD666" s="3282"/>
      <c r="AE666" s="3282"/>
      <c r="AF666" s="3282"/>
      <c r="AG666" s="3282"/>
      <c r="AH666" s="3282"/>
      <c r="AI666" s="3282"/>
      <c r="AJ666" s="3282"/>
      <c r="AK666" s="3282"/>
      <c r="AL666" s="3282"/>
      <c r="AM666" s="3282"/>
      <c r="AN666" s="3282"/>
      <c r="AO666" s="3282"/>
      <c r="AP666" s="3282"/>
      <c r="AQ666" s="3282"/>
      <c r="AR666" s="3282"/>
      <c r="AS666" s="3282"/>
      <c r="AT666" s="3282"/>
      <c r="AU666" s="1935"/>
    </row>
    <row r="667" spans="2:47" s="1934" customFormat="1" ht="12.95" customHeight="1" x14ac:dyDescent="0.15">
      <c r="B667" s="3282" t="s">
        <v>571</v>
      </c>
      <c r="C667" s="3282"/>
      <c r="D667" s="3282"/>
      <c r="E667" s="3282"/>
      <c r="F667" s="3282"/>
      <c r="G667" s="3282"/>
      <c r="H667" s="3282"/>
      <c r="I667" s="3282"/>
      <c r="J667" s="3282"/>
      <c r="K667" s="3282"/>
      <c r="L667" s="3282"/>
      <c r="M667" s="3282"/>
      <c r="N667" s="3282"/>
      <c r="O667" s="3282"/>
      <c r="P667" s="3282"/>
      <c r="Q667" s="3282"/>
      <c r="R667" s="3282"/>
      <c r="S667" s="3282"/>
      <c r="T667" s="3282"/>
      <c r="U667" s="3282"/>
      <c r="V667" s="3282"/>
      <c r="W667" s="3282"/>
      <c r="X667" s="3282"/>
      <c r="Y667" s="3282"/>
      <c r="Z667" s="3282"/>
      <c r="AA667" s="3282"/>
      <c r="AB667" s="3282"/>
      <c r="AC667" s="3282"/>
      <c r="AD667" s="3282"/>
      <c r="AE667" s="3282"/>
      <c r="AF667" s="3282"/>
      <c r="AG667" s="3282"/>
      <c r="AH667" s="3282"/>
      <c r="AI667" s="3282"/>
      <c r="AJ667" s="3282"/>
      <c r="AK667" s="3282"/>
      <c r="AL667" s="3282"/>
      <c r="AM667" s="3282"/>
      <c r="AN667" s="3282"/>
      <c r="AO667" s="3282"/>
      <c r="AP667" s="3282"/>
      <c r="AQ667" s="3282"/>
      <c r="AR667" s="3282"/>
      <c r="AS667" s="3282"/>
      <c r="AT667" s="3282"/>
      <c r="AU667" s="1935"/>
    </row>
    <row r="668" spans="2:47" s="1934" customFormat="1" ht="12.95" customHeight="1" x14ac:dyDescent="0.15">
      <c r="B668" s="3282" t="s">
        <v>572</v>
      </c>
      <c r="C668" s="3282"/>
      <c r="D668" s="3282"/>
      <c r="E668" s="3282"/>
      <c r="F668" s="3282"/>
      <c r="G668" s="3282"/>
      <c r="H668" s="3282"/>
      <c r="I668" s="3282"/>
      <c r="J668" s="3282"/>
      <c r="K668" s="3282"/>
      <c r="L668" s="3282"/>
      <c r="M668" s="3282"/>
      <c r="N668" s="3282"/>
      <c r="O668" s="3282"/>
      <c r="P668" s="3282"/>
      <c r="Q668" s="3282"/>
      <c r="R668" s="3282"/>
      <c r="S668" s="3282"/>
      <c r="T668" s="3282"/>
      <c r="U668" s="3282"/>
      <c r="V668" s="3282"/>
      <c r="W668" s="3282"/>
      <c r="X668" s="3282"/>
      <c r="Y668" s="3282"/>
      <c r="Z668" s="3282"/>
      <c r="AA668" s="3282"/>
      <c r="AB668" s="3282"/>
      <c r="AC668" s="3282"/>
      <c r="AD668" s="3282"/>
      <c r="AE668" s="3282"/>
      <c r="AF668" s="3282"/>
      <c r="AG668" s="3282"/>
      <c r="AH668" s="3282"/>
      <c r="AI668" s="3282"/>
      <c r="AJ668" s="3282"/>
      <c r="AK668" s="3282"/>
      <c r="AL668" s="3282"/>
      <c r="AM668" s="3282"/>
      <c r="AN668" s="3282"/>
      <c r="AO668" s="3282"/>
      <c r="AP668" s="3282"/>
      <c r="AQ668" s="3282"/>
      <c r="AR668" s="3282"/>
      <c r="AS668" s="3282"/>
      <c r="AT668" s="3282"/>
      <c r="AU668" s="1935"/>
    </row>
    <row r="669" spans="2:47" s="1934" customFormat="1" ht="12.95" customHeight="1" x14ac:dyDescent="0.15">
      <c r="B669" s="3282" t="s">
        <v>573</v>
      </c>
      <c r="C669" s="3282"/>
      <c r="D669" s="3282"/>
      <c r="E669" s="3282"/>
      <c r="F669" s="3282"/>
      <c r="G669" s="3282"/>
      <c r="H669" s="3282"/>
      <c r="I669" s="3282"/>
      <c r="J669" s="3282"/>
      <c r="K669" s="3282"/>
      <c r="L669" s="3282"/>
      <c r="M669" s="3282"/>
      <c r="N669" s="3282"/>
      <c r="O669" s="3282"/>
      <c r="P669" s="3282"/>
      <c r="Q669" s="3282"/>
      <c r="R669" s="3282"/>
      <c r="S669" s="3282"/>
      <c r="T669" s="3282"/>
      <c r="U669" s="3282"/>
      <c r="V669" s="3282"/>
      <c r="W669" s="3282"/>
      <c r="X669" s="3282"/>
      <c r="Y669" s="3282"/>
      <c r="Z669" s="3282"/>
      <c r="AA669" s="3282"/>
      <c r="AB669" s="3282"/>
      <c r="AC669" s="3282"/>
      <c r="AD669" s="3282"/>
      <c r="AE669" s="3282"/>
      <c r="AF669" s="3282"/>
      <c r="AG669" s="3282"/>
      <c r="AH669" s="3282"/>
      <c r="AI669" s="3282"/>
      <c r="AJ669" s="3282"/>
      <c r="AK669" s="3282"/>
      <c r="AL669" s="3282"/>
      <c r="AM669" s="3282"/>
      <c r="AN669" s="3282"/>
      <c r="AO669" s="3282"/>
      <c r="AP669" s="3282"/>
      <c r="AQ669" s="3282"/>
      <c r="AR669" s="3282"/>
      <c r="AS669" s="3282"/>
      <c r="AT669" s="3282"/>
      <c r="AU669" s="1935"/>
    </row>
    <row r="670" spans="2:47" s="1934" customFormat="1" ht="12.95" customHeight="1" x14ac:dyDescent="0.15">
      <c r="B670" s="3282" t="s">
        <v>574</v>
      </c>
      <c r="C670" s="3282"/>
      <c r="D670" s="3282"/>
      <c r="E670" s="3282"/>
      <c r="F670" s="3282"/>
      <c r="G670" s="3282"/>
      <c r="H670" s="3282"/>
      <c r="I670" s="3282"/>
      <c r="J670" s="3282"/>
      <c r="K670" s="3282"/>
      <c r="L670" s="3282"/>
      <c r="M670" s="3282"/>
      <c r="N670" s="3282"/>
      <c r="O670" s="3282"/>
      <c r="P670" s="3282"/>
      <c r="Q670" s="3282"/>
      <c r="R670" s="3282"/>
      <c r="S670" s="3282"/>
      <c r="T670" s="3282"/>
      <c r="U670" s="3282"/>
      <c r="V670" s="3282"/>
      <c r="W670" s="3282"/>
      <c r="X670" s="3282"/>
      <c r="Y670" s="3282"/>
      <c r="Z670" s="3282"/>
      <c r="AA670" s="3282"/>
      <c r="AB670" s="3282"/>
      <c r="AC670" s="3282"/>
      <c r="AD670" s="3282"/>
      <c r="AE670" s="3282"/>
      <c r="AF670" s="3282"/>
      <c r="AG670" s="3282"/>
      <c r="AH670" s="3282"/>
      <c r="AI670" s="3282"/>
      <c r="AJ670" s="3282"/>
      <c r="AK670" s="3282"/>
      <c r="AL670" s="3282"/>
      <c r="AM670" s="3282"/>
      <c r="AN670" s="3282"/>
      <c r="AO670" s="3282"/>
      <c r="AP670" s="3282"/>
      <c r="AQ670" s="3282"/>
      <c r="AR670" s="3282"/>
      <c r="AS670" s="3282"/>
      <c r="AT670" s="3282"/>
      <c r="AU670" s="1935"/>
    </row>
    <row r="671" spans="2:47" s="1934" customFormat="1" ht="12.95" customHeight="1" x14ac:dyDescent="0.15">
      <c r="B671" s="3282" t="s">
        <v>575</v>
      </c>
      <c r="C671" s="3282"/>
      <c r="D671" s="3282"/>
      <c r="E671" s="3282"/>
      <c r="F671" s="3282"/>
      <c r="G671" s="3282"/>
      <c r="H671" s="3282"/>
      <c r="I671" s="3282"/>
      <c r="J671" s="3282"/>
      <c r="K671" s="3282"/>
      <c r="L671" s="3282"/>
      <c r="M671" s="3282"/>
      <c r="N671" s="3282"/>
      <c r="O671" s="3282"/>
      <c r="P671" s="3282"/>
      <c r="Q671" s="3282"/>
      <c r="R671" s="3282"/>
      <c r="S671" s="3282"/>
      <c r="T671" s="3282"/>
      <c r="U671" s="3282"/>
      <c r="V671" s="3282"/>
      <c r="W671" s="3282"/>
      <c r="X671" s="3282"/>
      <c r="Y671" s="3282"/>
      <c r="Z671" s="3282"/>
      <c r="AA671" s="3282"/>
      <c r="AB671" s="3282"/>
      <c r="AC671" s="3282"/>
      <c r="AD671" s="3282"/>
      <c r="AE671" s="3282"/>
      <c r="AF671" s="3282"/>
      <c r="AG671" s="3282"/>
      <c r="AH671" s="3282"/>
      <c r="AI671" s="3282"/>
      <c r="AJ671" s="3282"/>
      <c r="AK671" s="3282"/>
      <c r="AL671" s="3282"/>
      <c r="AM671" s="3282"/>
      <c r="AN671" s="3282"/>
      <c r="AO671" s="3282"/>
      <c r="AP671" s="3282"/>
      <c r="AQ671" s="3282"/>
      <c r="AR671" s="3282"/>
      <c r="AS671" s="3282"/>
      <c r="AT671" s="3282"/>
      <c r="AU671" s="1935"/>
    </row>
    <row r="672" spans="2:47" s="1934" customFormat="1" ht="12.95" customHeight="1" x14ac:dyDescent="0.15">
      <c r="B672" s="3282" t="s">
        <v>576</v>
      </c>
      <c r="C672" s="3282"/>
      <c r="D672" s="3282"/>
      <c r="E672" s="3282"/>
      <c r="F672" s="3282"/>
      <c r="G672" s="3282"/>
      <c r="H672" s="3282"/>
      <c r="I672" s="3282"/>
      <c r="J672" s="3282"/>
      <c r="K672" s="3282"/>
      <c r="L672" s="3282"/>
      <c r="M672" s="3282"/>
      <c r="N672" s="3282"/>
      <c r="O672" s="3282"/>
      <c r="P672" s="3282"/>
      <c r="Q672" s="3282"/>
      <c r="R672" s="3282"/>
      <c r="S672" s="3282"/>
      <c r="T672" s="3282"/>
      <c r="U672" s="3282"/>
      <c r="V672" s="3282"/>
      <c r="W672" s="3282"/>
      <c r="X672" s="3282"/>
      <c r="Y672" s="3282"/>
      <c r="Z672" s="3282"/>
      <c r="AA672" s="3282"/>
      <c r="AB672" s="3282"/>
      <c r="AC672" s="3282"/>
      <c r="AD672" s="3282"/>
      <c r="AE672" s="3282"/>
      <c r="AF672" s="3282"/>
      <c r="AG672" s="3282"/>
      <c r="AH672" s="3282"/>
      <c r="AI672" s="3282"/>
      <c r="AJ672" s="3282"/>
      <c r="AK672" s="3282"/>
      <c r="AL672" s="3282"/>
      <c r="AM672" s="3282"/>
      <c r="AN672" s="3282"/>
      <c r="AO672" s="3282"/>
      <c r="AP672" s="3282"/>
      <c r="AQ672" s="3282"/>
      <c r="AR672" s="3282"/>
      <c r="AS672" s="3282"/>
      <c r="AT672" s="3282"/>
      <c r="AU672" s="1882"/>
    </row>
    <row r="673" spans="2:47" s="1934" customFormat="1" ht="12.95" customHeight="1" x14ac:dyDescent="0.15">
      <c r="B673" s="3282" t="s">
        <v>577</v>
      </c>
      <c r="C673" s="3282"/>
      <c r="D673" s="3282"/>
      <c r="E673" s="3282"/>
      <c r="F673" s="3282"/>
      <c r="G673" s="3282"/>
      <c r="H673" s="3282"/>
      <c r="I673" s="3282"/>
      <c r="J673" s="3282"/>
      <c r="K673" s="3282"/>
      <c r="L673" s="3282"/>
      <c r="M673" s="3282"/>
      <c r="N673" s="3282"/>
      <c r="O673" s="3282"/>
      <c r="P673" s="3282"/>
      <c r="Q673" s="3282"/>
      <c r="R673" s="3282"/>
      <c r="S673" s="3282"/>
      <c r="T673" s="3282"/>
      <c r="U673" s="3282"/>
      <c r="V673" s="3282"/>
      <c r="W673" s="3282"/>
      <c r="X673" s="3282"/>
      <c r="Y673" s="3282"/>
      <c r="Z673" s="3282"/>
      <c r="AA673" s="3282"/>
      <c r="AB673" s="3282"/>
      <c r="AC673" s="3282"/>
      <c r="AD673" s="3282"/>
      <c r="AE673" s="3282"/>
      <c r="AF673" s="3282"/>
      <c r="AG673" s="3282"/>
      <c r="AH673" s="3282"/>
      <c r="AI673" s="3282"/>
      <c r="AJ673" s="3282"/>
      <c r="AK673" s="3282"/>
      <c r="AL673" s="3282"/>
      <c r="AM673" s="3282"/>
      <c r="AN673" s="3282"/>
      <c r="AO673" s="3282"/>
      <c r="AP673" s="3282"/>
      <c r="AQ673" s="3282"/>
      <c r="AR673" s="3282"/>
      <c r="AS673" s="3282"/>
      <c r="AT673" s="3282"/>
      <c r="AU673" s="1935"/>
    </row>
    <row r="674" spans="2:47" s="1934" customFormat="1" ht="12.95" customHeight="1" x14ac:dyDescent="0.15">
      <c r="B674" s="3282" t="s">
        <v>578</v>
      </c>
      <c r="C674" s="3282"/>
      <c r="D674" s="3282"/>
      <c r="E674" s="3282"/>
      <c r="F674" s="3282"/>
      <c r="G674" s="3282"/>
      <c r="H674" s="3282"/>
      <c r="I674" s="3282"/>
      <c r="J674" s="3282"/>
      <c r="K674" s="3282"/>
      <c r="L674" s="3282"/>
      <c r="M674" s="3282"/>
      <c r="N674" s="3282"/>
      <c r="O674" s="3282"/>
      <c r="P674" s="3282"/>
      <c r="Q674" s="3282"/>
      <c r="R674" s="3282"/>
      <c r="S674" s="3282"/>
      <c r="T674" s="3282"/>
      <c r="U674" s="3282"/>
      <c r="V674" s="3282"/>
      <c r="W674" s="3282"/>
      <c r="X674" s="3282"/>
      <c r="Y674" s="3282"/>
      <c r="Z674" s="3282"/>
      <c r="AA674" s="3282"/>
      <c r="AB674" s="3282"/>
      <c r="AC674" s="3282"/>
      <c r="AD674" s="3282"/>
      <c r="AE674" s="3282"/>
      <c r="AF674" s="3282"/>
      <c r="AG674" s="3282"/>
      <c r="AH674" s="3282"/>
      <c r="AI674" s="3282"/>
      <c r="AJ674" s="3282"/>
      <c r="AK674" s="3282"/>
      <c r="AL674" s="3282"/>
      <c r="AM674" s="3282"/>
      <c r="AN674" s="3282"/>
      <c r="AO674" s="3282"/>
      <c r="AP674" s="3282"/>
      <c r="AQ674" s="3282"/>
      <c r="AR674" s="3282"/>
      <c r="AS674" s="3282"/>
      <c r="AT674" s="3282"/>
      <c r="AU674" s="1935"/>
    </row>
    <row r="675" spans="2:47" s="1934" customFormat="1" ht="12.95" customHeight="1" x14ac:dyDescent="0.15">
      <c r="B675" s="3282" t="s">
        <v>579</v>
      </c>
      <c r="C675" s="3282"/>
      <c r="D675" s="3282"/>
      <c r="E675" s="3282"/>
      <c r="F675" s="3282"/>
      <c r="G675" s="3282"/>
      <c r="H675" s="3282"/>
      <c r="I675" s="3282"/>
      <c r="J675" s="3282"/>
      <c r="K675" s="3282"/>
      <c r="L675" s="3282"/>
      <c r="M675" s="3282"/>
      <c r="N675" s="3282"/>
      <c r="O675" s="3282"/>
      <c r="P675" s="3282"/>
      <c r="Q675" s="3282"/>
      <c r="R675" s="3282"/>
      <c r="S675" s="3282"/>
      <c r="T675" s="3282"/>
      <c r="U675" s="3282"/>
      <c r="V675" s="3282"/>
      <c r="W675" s="3282"/>
      <c r="X675" s="3282"/>
      <c r="Y675" s="3282"/>
      <c r="Z675" s="3282"/>
      <c r="AA675" s="3282"/>
      <c r="AB675" s="3282"/>
      <c r="AC675" s="3282"/>
      <c r="AD675" s="3282"/>
      <c r="AE675" s="3282"/>
      <c r="AF675" s="3282"/>
      <c r="AG675" s="3282"/>
      <c r="AH675" s="3282"/>
      <c r="AI675" s="3282"/>
      <c r="AJ675" s="3282"/>
      <c r="AK675" s="3282"/>
      <c r="AL675" s="3282"/>
      <c r="AM675" s="3282"/>
      <c r="AN675" s="3282"/>
      <c r="AO675" s="3282"/>
      <c r="AP675" s="3282"/>
      <c r="AQ675" s="3282"/>
      <c r="AR675" s="3282"/>
      <c r="AS675" s="3282"/>
      <c r="AT675" s="3282"/>
      <c r="AU675" s="1935"/>
    </row>
    <row r="676" spans="2:47" s="1934" customFormat="1" ht="12.95" customHeight="1" x14ac:dyDescent="0.15">
      <c r="B676" s="3282" t="s">
        <v>580</v>
      </c>
      <c r="C676" s="3282"/>
      <c r="D676" s="3282"/>
      <c r="E676" s="3282"/>
      <c r="F676" s="3282"/>
      <c r="G676" s="3282"/>
      <c r="H676" s="3282"/>
      <c r="I676" s="3282"/>
      <c r="J676" s="3282"/>
      <c r="K676" s="3282"/>
      <c r="L676" s="3282"/>
      <c r="M676" s="3282"/>
      <c r="N676" s="3282"/>
      <c r="O676" s="3282"/>
      <c r="P676" s="3282"/>
      <c r="Q676" s="3282"/>
      <c r="R676" s="3282"/>
      <c r="S676" s="3282"/>
      <c r="T676" s="3282"/>
      <c r="U676" s="3282"/>
      <c r="V676" s="3282"/>
      <c r="W676" s="3282"/>
      <c r="X676" s="3282"/>
      <c r="Y676" s="3282"/>
      <c r="Z676" s="3282"/>
      <c r="AA676" s="3282"/>
      <c r="AB676" s="3282"/>
      <c r="AC676" s="3282"/>
      <c r="AD676" s="3282"/>
      <c r="AE676" s="3282"/>
      <c r="AF676" s="3282"/>
      <c r="AG676" s="3282"/>
      <c r="AH676" s="3282"/>
      <c r="AI676" s="3282"/>
      <c r="AJ676" s="3282"/>
      <c r="AK676" s="3282"/>
      <c r="AL676" s="3282"/>
      <c r="AM676" s="3282"/>
      <c r="AN676" s="3282"/>
      <c r="AO676" s="3282"/>
      <c r="AP676" s="3282"/>
      <c r="AQ676" s="3282"/>
      <c r="AR676" s="3282"/>
      <c r="AS676" s="3282"/>
      <c r="AT676" s="3282"/>
      <c r="AU676" s="1935"/>
    </row>
    <row r="677" spans="2:47" s="1934" customFormat="1" ht="12.95" customHeight="1" x14ac:dyDescent="0.15">
      <c r="B677" s="3282" t="s">
        <v>581</v>
      </c>
      <c r="C677" s="3282"/>
      <c r="D677" s="3282"/>
      <c r="E677" s="3282"/>
      <c r="F677" s="3282"/>
      <c r="G677" s="3282"/>
      <c r="H677" s="3282"/>
      <c r="I677" s="3282"/>
      <c r="J677" s="3282"/>
      <c r="K677" s="3282"/>
      <c r="L677" s="3282"/>
      <c r="M677" s="3282"/>
      <c r="N677" s="3282"/>
      <c r="O677" s="3282"/>
      <c r="P677" s="3282"/>
      <c r="Q677" s="3282"/>
      <c r="R677" s="3282"/>
      <c r="S677" s="3282"/>
      <c r="T677" s="3282"/>
      <c r="U677" s="3282"/>
      <c r="V677" s="3282"/>
      <c r="W677" s="3282"/>
      <c r="X677" s="3282"/>
      <c r="Y677" s="3282"/>
      <c r="Z677" s="3282"/>
      <c r="AA677" s="3282"/>
      <c r="AB677" s="3282"/>
      <c r="AC677" s="3282"/>
      <c r="AD677" s="3282"/>
      <c r="AE677" s="3282"/>
      <c r="AF677" s="3282"/>
      <c r="AG677" s="3282"/>
      <c r="AH677" s="3282"/>
      <c r="AI677" s="3282"/>
      <c r="AJ677" s="3282"/>
      <c r="AK677" s="3282"/>
      <c r="AL677" s="3282"/>
      <c r="AM677" s="3282"/>
      <c r="AN677" s="3282"/>
      <c r="AO677" s="3282"/>
      <c r="AP677" s="3282"/>
      <c r="AQ677" s="3282"/>
      <c r="AR677" s="3282"/>
      <c r="AS677" s="3282"/>
      <c r="AT677" s="3282"/>
      <c r="AU677" s="1935"/>
    </row>
    <row r="678" spans="2:47" s="1934" customFormat="1" ht="12.95" customHeight="1" x14ac:dyDescent="0.15">
      <c r="B678" s="3282" t="s">
        <v>582</v>
      </c>
      <c r="C678" s="3282"/>
      <c r="D678" s="3282"/>
      <c r="E678" s="3282"/>
      <c r="F678" s="3282"/>
      <c r="G678" s="3282"/>
      <c r="H678" s="3282"/>
      <c r="I678" s="3282"/>
      <c r="J678" s="3282"/>
      <c r="K678" s="3282"/>
      <c r="L678" s="3282"/>
      <c r="M678" s="3282"/>
      <c r="N678" s="3282"/>
      <c r="O678" s="3282"/>
      <c r="P678" s="3282"/>
      <c r="Q678" s="3282"/>
      <c r="R678" s="3282"/>
      <c r="S678" s="3282"/>
      <c r="T678" s="3282"/>
      <c r="U678" s="3282"/>
      <c r="V678" s="3282"/>
      <c r="W678" s="3282"/>
      <c r="X678" s="3282"/>
      <c r="Y678" s="3282"/>
      <c r="Z678" s="3282"/>
      <c r="AA678" s="3282"/>
      <c r="AB678" s="3282"/>
      <c r="AC678" s="3282"/>
      <c r="AD678" s="3282"/>
      <c r="AE678" s="3282"/>
      <c r="AF678" s="3282"/>
      <c r="AG678" s="3282"/>
      <c r="AH678" s="3282"/>
      <c r="AI678" s="3282"/>
      <c r="AJ678" s="3282"/>
      <c r="AK678" s="3282"/>
      <c r="AL678" s="3282"/>
      <c r="AM678" s="3282"/>
      <c r="AN678" s="3282"/>
      <c r="AO678" s="3282"/>
      <c r="AP678" s="3282"/>
      <c r="AQ678" s="3282"/>
      <c r="AR678" s="3282"/>
      <c r="AS678" s="3282"/>
      <c r="AT678" s="3282"/>
      <c r="AU678" s="1935"/>
    </row>
    <row r="679" spans="2:47" s="1934" customFormat="1" ht="12.95" customHeight="1" x14ac:dyDescent="0.15">
      <c r="B679" s="3282" t="s">
        <v>583</v>
      </c>
      <c r="C679" s="3282"/>
      <c r="D679" s="3282"/>
      <c r="E679" s="3282"/>
      <c r="F679" s="3282"/>
      <c r="G679" s="3282"/>
      <c r="H679" s="3282"/>
      <c r="I679" s="3282"/>
      <c r="J679" s="3282"/>
      <c r="K679" s="3282"/>
      <c r="L679" s="3282"/>
      <c r="M679" s="3282"/>
      <c r="N679" s="3282"/>
      <c r="O679" s="3282"/>
      <c r="P679" s="3282"/>
      <c r="Q679" s="3282"/>
      <c r="R679" s="3282"/>
      <c r="S679" s="3282"/>
      <c r="T679" s="3282"/>
      <c r="U679" s="3282"/>
      <c r="V679" s="3282"/>
      <c r="W679" s="3282"/>
      <c r="X679" s="3282"/>
      <c r="Y679" s="3282"/>
      <c r="Z679" s="3282"/>
      <c r="AA679" s="3282"/>
      <c r="AB679" s="3282"/>
      <c r="AC679" s="3282"/>
      <c r="AD679" s="3282"/>
      <c r="AE679" s="3282"/>
      <c r="AF679" s="3282"/>
      <c r="AG679" s="3282"/>
      <c r="AH679" s="3282"/>
      <c r="AI679" s="3282"/>
      <c r="AJ679" s="3282"/>
      <c r="AK679" s="3282"/>
      <c r="AL679" s="3282"/>
      <c r="AM679" s="3282"/>
      <c r="AN679" s="3282"/>
      <c r="AO679" s="3282"/>
      <c r="AP679" s="3282"/>
      <c r="AQ679" s="3282"/>
      <c r="AR679" s="3282"/>
      <c r="AS679" s="3282"/>
      <c r="AT679" s="3282"/>
      <c r="AU679" s="1935"/>
    </row>
    <row r="680" spans="2:47" ht="12.95" customHeight="1" x14ac:dyDescent="0.15">
      <c r="B680" s="3282" t="s">
        <v>584</v>
      </c>
      <c r="C680" s="3282"/>
      <c r="D680" s="3282"/>
      <c r="E680" s="3282"/>
      <c r="F680" s="3282"/>
      <c r="G680" s="3282"/>
      <c r="H680" s="3282"/>
      <c r="I680" s="3282"/>
      <c r="J680" s="3282"/>
      <c r="K680" s="3282"/>
      <c r="L680" s="3282"/>
      <c r="M680" s="3282"/>
      <c r="N680" s="3282"/>
      <c r="O680" s="3282"/>
      <c r="P680" s="3282"/>
      <c r="Q680" s="3282"/>
      <c r="R680" s="3282"/>
      <c r="S680" s="3282"/>
      <c r="T680" s="3282"/>
      <c r="U680" s="3282"/>
      <c r="V680" s="3282"/>
      <c r="W680" s="3282"/>
      <c r="X680" s="3282"/>
      <c r="Y680" s="3282"/>
      <c r="Z680" s="3282"/>
      <c r="AA680" s="3282"/>
      <c r="AB680" s="3282"/>
      <c r="AC680" s="3282"/>
      <c r="AD680" s="3282"/>
      <c r="AE680" s="3282"/>
      <c r="AF680" s="3282"/>
      <c r="AG680" s="3282"/>
      <c r="AH680" s="3282"/>
      <c r="AI680" s="3282"/>
      <c r="AJ680" s="3282"/>
      <c r="AK680" s="3282"/>
      <c r="AL680" s="3282"/>
      <c r="AM680" s="3282"/>
      <c r="AN680" s="3282"/>
      <c r="AO680" s="3282"/>
      <c r="AP680" s="3282"/>
      <c r="AQ680" s="3282"/>
      <c r="AR680" s="3282"/>
      <c r="AS680" s="3282"/>
      <c r="AT680" s="3282"/>
      <c r="AU680" s="1939"/>
    </row>
    <row r="681" spans="2:47" ht="12.95" customHeight="1" x14ac:dyDescent="0.15">
      <c r="B681" s="3282" t="s">
        <v>585</v>
      </c>
      <c r="C681" s="3282"/>
      <c r="D681" s="3282"/>
      <c r="E681" s="3282"/>
      <c r="F681" s="3282"/>
      <c r="G681" s="3282"/>
      <c r="H681" s="3282"/>
      <c r="I681" s="3282"/>
      <c r="J681" s="3282"/>
      <c r="K681" s="3282"/>
      <c r="L681" s="3282"/>
      <c r="M681" s="3282"/>
      <c r="N681" s="3282"/>
      <c r="O681" s="3282"/>
      <c r="P681" s="3282"/>
      <c r="Q681" s="3282"/>
      <c r="R681" s="3282"/>
      <c r="S681" s="3282"/>
      <c r="T681" s="3282"/>
      <c r="U681" s="3282"/>
      <c r="V681" s="3282"/>
      <c r="W681" s="3282"/>
      <c r="X681" s="3282"/>
      <c r="Y681" s="3282"/>
      <c r="Z681" s="3282"/>
      <c r="AA681" s="3282"/>
      <c r="AB681" s="3282"/>
      <c r="AC681" s="3282"/>
      <c r="AD681" s="3282"/>
      <c r="AE681" s="3282"/>
      <c r="AF681" s="3282"/>
      <c r="AG681" s="3282"/>
      <c r="AH681" s="3282"/>
      <c r="AI681" s="3282"/>
      <c r="AJ681" s="3282"/>
      <c r="AK681" s="3282"/>
      <c r="AL681" s="3282"/>
      <c r="AM681" s="3282"/>
      <c r="AN681" s="3282"/>
      <c r="AO681" s="3282"/>
      <c r="AP681" s="3282"/>
      <c r="AQ681" s="3282"/>
      <c r="AR681" s="3282"/>
      <c r="AS681" s="3282"/>
      <c r="AT681" s="3282"/>
      <c r="AU681" s="1864"/>
    </row>
    <row r="682" spans="2:47" ht="12.95" customHeight="1" x14ac:dyDescent="0.15">
      <c r="B682" s="3282" t="s">
        <v>586</v>
      </c>
      <c r="C682" s="3282"/>
      <c r="D682" s="3282"/>
      <c r="E682" s="3282"/>
      <c r="F682" s="3282"/>
      <c r="G682" s="3282"/>
      <c r="H682" s="3282"/>
      <c r="I682" s="3282"/>
      <c r="J682" s="3282"/>
      <c r="K682" s="3282"/>
      <c r="L682" s="3282"/>
      <c r="M682" s="3282"/>
      <c r="N682" s="3282"/>
      <c r="O682" s="3282"/>
      <c r="P682" s="3282"/>
      <c r="Q682" s="3282"/>
      <c r="R682" s="3282"/>
      <c r="S682" s="3282"/>
      <c r="T682" s="3282"/>
      <c r="U682" s="3282"/>
      <c r="V682" s="3282"/>
      <c r="W682" s="3282"/>
      <c r="X682" s="3282"/>
      <c r="Y682" s="3282"/>
      <c r="Z682" s="3282"/>
      <c r="AA682" s="3282"/>
      <c r="AB682" s="3282"/>
      <c r="AC682" s="3282"/>
      <c r="AD682" s="3282"/>
      <c r="AE682" s="3282"/>
      <c r="AF682" s="3282"/>
      <c r="AG682" s="3282"/>
      <c r="AH682" s="3282"/>
      <c r="AI682" s="3282"/>
      <c r="AJ682" s="3282"/>
      <c r="AK682" s="3282"/>
      <c r="AL682" s="3282"/>
      <c r="AM682" s="3282"/>
      <c r="AN682" s="3282"/>
      <c r="AO682" s="3282"/>
      <c r="AP682" s="3282"/>
      <c r="AQ682" s="3282"/>
      <c r="AR682" s="3282"/>
      <c r="AS682" s="3282"/>
      <c r="AT682" s="3282"/>
      <c r="AU682" s="1939"/>
    </row>
    <row r="683" spans="2:47" ht="12.95" customHeight="1" x14ac:dyDescent="0.15">
      <c r="B683" s="3282" t="s">
        <v>587</v>
      </c>
      <c r="C683" s="3282"/>
      <c r="D683" s="3282"/>
      <c r="E683" s="3282"/>
      <c r="F683" s="3282"/>
      <c r="G683" s="3282"/>
      <c r="H683" s="3282"/>
      <c r="I683" s="3282"/>
      <c r="J683" s="3282"/>
      <c r="K683" s="3282"/>
      <c r="L683" s="3282"/>
      <c r="M683" s="3282"/>
      <c r="N683" s="3282"/>
      <c r="O683" s="3282"/>
      <c r="P683" s="3282"/>
      <c r="Q683" s="3282"/>
      <c r="R683" s="3282"/>
      <c r="S683" s="3282"/>
      <c r="T683" s="3282"/>
      <c r="U683" s="3282"/>
      <c r="V683" s="3282"/>
      <c r="W683" s="3282"/>
      <c r="X683" s="3282"/>
      <c r="Y683" s="3282"/>
      <c r="Z683" s="3282"/>
      <c r="AA683" s="3282"/>
      <c r="AB683" s="3282"/>
      <c r="AC683" s="3282"/>
      <c r="AD683" s="3282"/>
      <c r="AE683" s="3282"/>
      <c r="AF683" s="3282"/>
      <c r="AG683" s="3282"/>
      <c r="AH683" s="3282"/>
      <c r="AI683" s="3282"/>
      <c r="AJ683" s="3282"/>
      <c r="AK683" s="3282"/>
      <c r="AL683" s="3282"/>
      <c r="AM683" s="3282"/>
      <c r="AN683" s="3282"/>
      <c r="AO683" s="3282"/>
      <c r="AP683" s="3282"/>
      <c r="AQ683" s="3282"/>
      <c r="AR683" s="3282"/>
      <c r="AS683" s="3282"/>
      <c r="AT683" s="3282"/>
      <c r="AU683" s="1939"/>
    </row>
    <row r="684" spans="2:47" ht="12.95" customHeight="1" x14ac:dyDescent="0.15">
      <c r="B684" s="3282" t="s">
        <v>588</v>
      </c>
      <c r="C684" s="3282"/>
      <c r="D684" s="3282"/>
      <c r="E684" s="3282"/>
      <c r="F684" s="3282"/>
      <c r="G684" s="3282"/>
      <c r="H684" s="3282"/>
      <c r="I684" s="3282"/>
      <c r="J684" s="3282"/>
      <c r="K684" s="3282"/>
      <c r="L684" s="3282"/>
      <c r="M684" s="3282"/>
      <c r="N684" s="3282"/>
      <c r="O684" s="3282"/>
      <c r="P684" s="3282"/>
      <c r="Q684" s="3282"/>
      <c r="R684" s="3282"/>
      <c r="S684" s="3282"/>
      <c r="T684" s="3282"/>
      <c r="U684" s="3282"/>
      <c r="V684" s="3282"/>
      <c r="W684" s="3282"/>
      <c r="X684" s="3282"/>
      <c r="Y684" s="3282"/>
      <c r="Z684" s="3282"/>
      <c r="AA684" s="3282"/>
      <c r="AB684" s="3282"/>
      <c r="AC684" s="3282"/>
      <c r="AD684" s="3282"/>
      <c r="AE684" s="3282"/>
      <c r="AF684" s="3282"/>
      <c r="AG684" s="3282"/>
      <c r="AH684" s="3282"/>
      <c r="AI684" s="3282"/>
      <c r="AJ684" s="3282"/>
      <c r="AK684" s="3282"/>
      <c r="AL684" s="3282"/>
      <c r="AM684" s="3282"/>
      <c r="AN684" s="3282"/>
      <c r="AO684" s="3282"/>
      <c r="AP684" s="3282"/>
      <c r="AQ684" s="3282"/>
      <c r="AR684" s="3282"/>
      <c r="AS684" s="3282"/>
      <c r="AT684" s="3282"/>
      <c r="AU684" s="1939"/>
    </row>
    <row r="685" spans="2:47" ht="12.95" customHeight="1" x14ac:dyDescent="0.15">
      <c r="B685" s="3283" t="s">
        <v>589</v>
      </c>
      <c r="C685" s="3283"/>
      <c r="D685" s="3283"/>
      <c r="E685" s="3283"/>
      <c r="F685" s="3283"/>
      <c r="G685" s="3283"/>
      <c r="H685" s="3283"/>
      <c r="I685" s="3283"/>
      <c r="J685" s="3283"/>
      <c r="K685" s="3283"/>
      <c r="L685" s="3283"/>
      <c r="M685" s="3283"/>
      <c r="N685" s="3283"/>
      <c r="O685" s="3283"/>
      <c r="P685" s="3283"/>
      <c r="Q685" s="3283"/>
      <c r="R685" s="3283"/>
      <c r="S685" s="3283"/>
      <c r="T685" s="3283"/>
      <c r="U685" s="3283"/>
      <c r="V685" s="3283"/>
      <c r="W685" s="3283"/>
      <c r="X685" s="3283"/>
      <c r="Y685" s="3283"/>
      <c r="Z685" s="3283"/>
      <c r="AA685" s="3283"/>
      <c r="AB685" s="3283"/>
      <c r="AC685" s="3283"/>
      <c r="AD685" s="3283"/>
      <c r="AE685" s="3283"/>
      <c r="AF685" s="3283"/>
      <c r="AG685" s="3283"/>
      <c r="AH685" s="3283"/>
      <c r="AI685" s="3283"/>
      <c r="AJ685" s="3283"/>
      <c r="AK685" s="3283"/>
      <c r="AL685" s="3283"/>
      <c r="AM685" s="3283"/>
      <c r="AN685" s="3283"/>
      <c r="AO685" s="3283"/>
      <c r="AP685" s="3283"/>
      <c r="AQ685" s="3283"/>
      <c r="AR685" s="3283"/>
      <c r="AS685" s="3283"/>
      <c r="AT685" s="3283"/>
      <c r="AU685" s="1939"/>
    </row>
    <row r="686" spans="2:47" ht="12.95" customHeight="1" x14ac:dyDescent="0.15">
      <c r="B686" s="3283" t="s">
        <v>590</v>
      </c>
      <c r="C686" s="3283"/>
      <c r="D686" s="3283"/>
      <c r="E686" s="3283"/>
      <c r="F686" s="3283"/>
      <c r="G686" s="3283"/>
      <c r="H686" s="3283"/>
      <c r="I686" s="3283"/>
      <c r="J686" s="3283"/>
      <c r="K686" s="3283"/>
      <c r="L686" s="3283"/>
      <c r="M686" s="3283"/>
      <c r="N686" s="3283"/>
      <c r="O686" s="3283"/>
      <c r="P686" s="3283"/>
      <c r="Q686" s="3283"/>
      <c r="R686" s="3283"/>
      <c r="S686" s="3283"/>
      <c r="T686" s="3283"/>
      <c r="U686" s="3283"/>
      <c r="V686" s="3283"/>
      <c r="W686" s="3283"/>
      <c r="X686" s="3283"/>
      <c r="Y686" s="3283"/>
      <c r="Z686" s="3283"/>
      <c r="AA686" s="3283"/>
      <c r="AB686" s="3283"/>
      <c r="AC686" s="3283"/>
      <c r="AD686" s="3283"/>
      <c r="AE686" s="3283"/>
      <c r="AF686" s="3283"/>
      <c r="AG686" s="3283"/>
      <c r="AH686" s="3283"/>
      <c r="AI686" s="3283"/>
      <c r="AJ686" s="3283"/>
      <c r="AK686" s="3283"/>
      <c r="AL686" s="3283"/>
      <c r="AM686" s="3283"/>
      <c r="AN686" s="3283"/>
      <c r="AO686" s="3283"/>
      <c r="AP686" s="3283"/>
      <c r="AQ686" s="3283"/>
      <c r="AR686" s="3283"/>
      <c r="AS686" s="3283"/>
      <c r="AT686" s="3283"/>
      <c r="AU686" s="1939"/>
    </row>
    <row r="687" spans="2:47" ht="12.95" customHeight="1" x14ac:dyDescent="0.15">
      <c r="B687" s="3283" t="s">
        <v>513</v>
      </c>
      <c r="C687" s="3283"/>
      <c r="D687" s="3283"/>
      <c r="E687" s="3283"/>
      <c r="F687" s="3283"/>
      <c r="G687" s="3283"/>
      <c r="H687" s="3283"/>
      <c r="I687" s="3283"/>
      <c r="J687" s="3283"/>
      <c r="K687" s="3283"/>
      <c r="L687" s="3283"/>
      <c r="M687" s="3283"/>
      <c r="N687" s="3283"/>
      <c r="O687" s="3283"/>
      <c r="P687" s="3283"/>
      <c r="Q687" s="3283"/>
      <c r="R687" s="3283"/>
      <c r="S687" s="3283"/>
      <c r="T687" s="3283"/>
      <c r="U687" s="3283"/>
      <c r="V687" s="3283"/>
      <c r="W687" s="3283"/>
      <c r="X687" s="3283"/>
      <c r="Y687" s="3283"/>
      <c r="Z687" s="3283"/>
      <c r="AA687" s="3283"/>
      <c r="AB687" s="3283"/>
      <c r="AC687" s="3283"/>
      <c r="AD687" s="3283"/>
      <c r="AE687" s="3283"/>
      <c r="AF687" s="3283"/>
      <c r="AG687" s="3283"/>
      <c r="AH687" s="3283"/>
      <c r="AI687" s="3283"/>
      <c r="AJ687" s="3283"/>
      <c r="AK687" s="3283"/>
      <c r="AL687" s="3283"/>
      <c r="AM687" s="3283"/>
      <c r="AN687" s="3283"/>
      <c r="AO687" s="3283"/>
      <c r="AP687" s="3283"/>
      <c r="AQ687" s="3283"/>
      <c r="AR687" s="3283"/>
      <c r="AS687" s="3283"/>
      <c r="AT687" s="3283"/>
      <c r="AU687" s="1939"/>
    </row>
    <row r="688" spans="2:47" ht="12.95" customHeight="1" x14ac:dyDescent="0.15">
      <c r="B688" s="3282" t="s">
        <v>591</v>
      </c>
      <c r="C688" s="3282"/>
      <c r="D688" s="3282"/>
      <c r="E688" s="3282"/>
      <c r="F688" s="3282"/>
      <c r="G688" s="3282"/>
      <c r="H688" s="3282"/>
      <c r="I688" s="3282"/>
      <c r="J688" s="3282"/>
      <c r="K688" s="3282"/>
      <c r="L688" s="3282"/>
      <c r="M688" s="3282"/>
      <c r="N688" s="3282"/>
      <c r="O688" s="3282"/>
      <c r="P688" s="3282"/>
      <c r="Q688" s="3282"/>
      <c r="R688" s="3282"/>
      <c r="S688" s="3282"/>
      <c r="T688" s="3282"/>
      <c r="U688" s="3282"/>
      <c r="V688" s="3282"/>
      <c r="W688" s="3282"/>
      <c r="X688" s="3282"/>
      <c r="Y688" s="3282"/>
      <c r="Z688" s="3282"/>
      <c r="AA688" s="3282"/>
      <c r="AB688" s="3282"/>
      <c r="AC688" s="3282"/>
      <c r="AD688" s="3282"/>
      <c r="AE688" s="3282"/>
      <c r="AF688" s="3282"/>
      <c r="AG688" s="3282"/>
      <c r="AH688" s="3282"/>
      <c r="AI688" s="3282"/>
      <c r="AJ688" s="3282"/>
      <c r="AK688" s="3282"/>
      <c r="AL688" s="3282"/>
      <c r="AM688" s="3282"/>
      <c r="AN688" s="3282"/>
      <c r="AO688" s="3282"/>
      <c r="AP688" s="3282"/>
      <c r="AQ688" s="3282"/>
      <c r="AR688" s="3282"/>
      <c r="AS688" s="3282"/>
      <c r="AT688" s="3282"/>
      <c r="AU688" s="1939"/>
    </row>
    <row r="689" spans="2:47" ht="12.95" customHeight="1" x14ac:dyDescent="0.15">
      <c r="B689" s="3282" t="s">
        <v>592</v>
      </c>
      <c r="C689" s="3282"/>
      <c r="D689" s="3282"/>
      <c r="E689" s="3282"/>
      <c r="F689" s="3282"/>
      <c r="G689" s="3282"/>
      <c r="H689" s="3282"/>
      <c r="I689" s="3282"/>
      <c r="J689" s="3282"/>
      <c r="K689" s="3282"/>
      <c r="L689" s="3282"/>
      <c r="M689" s="3282"/>
      <c r="N689" s="3282"/>
      <c r="O689" s="3282"/>
      <c r="P689" s="3282"/>
      <c r="Q689" s="3282"/>
      <c r="R689" s="3282"/>
      <c r="S689" s="3282"/>
      <c r="T689" s="3282"/>
      <c r="U689" s="3282"/>
      <c r="V689" s="3282"/>
      <c r="W689" s="3282"/>
      <c r="X689" s="3282"/>
      <c r="Y689" s="3282"/>
      <c r="Z689" s="3282"/>
      <c r="AA689" s="3282"/>
      <c r="AB689" s="3282"/>
      <c r="AC689" s="3282"/>
      <c r="AD689" s="3282"/>
      <c r="AE689" s="3282"/>
      <c r="AF689" s="3282"/>
      <c r="AG689" s="3282"/>
      <c r="AH689" s="3282"/>
      <c r="AI689" s="3282"/>
      <c r="AJ689" s="3282"/>
      <c r="AK689" s="3282"/>
      <c r="AL689" s="3282"/>
      <c r="AM689" s="3282"/>
      <c r="AN689" s="3282"/>
      <c r="AO689" s="3282"/>
      <c r="AP689" s="3282"/>
      <c r="AQ689" s="3282"/>
      <c r="AR689" s="3282"/>
      <c r="AS689" s="3282"/>
      <c r="AT689" s="3282"/>
      <c r="AU689" s="1939"/>
    </row>
    <row r="690" spans="2:47" ht="12.95" customHeight="1" x14ac:dyDescent="0.15">
      <c r="B690" s="3282" t="s">
        <v>593</v>
      </c>
      <c r="C690" s="3282"/>
      <c r="D690" s="3282"/>
      <c r="E690" s="3282"/>
      <c r="F690" s="3282"/>
      <c r="G690" s="3282"/>
      <c r="H690" s="3282"/>
      <c r="I690" s="3282"/>
      <c r="J690" s="3282"/>
      <c r="K690" s="3282"/>
      <c r="L690" s="3282"/>
      <c r="M690" s="3282"/>
      <c r="N690" s="3282"/>
      <c r="O690" s="3282"/>
      <c r="P690" s="3282"/>
      <c r="Q690" s="3282"/>
      <c r="R690" s="3282"/>
      <c r="S690" s="3282"/>
      <c r="T690" s="3282"/>
      <c r="U690" s="3282"/>
      <c r="V690" s="3282"/>
      <c r="W690" s="3282"/>
      <c r="X690" s="3282"/>
      <c r="Y690" s="3282"/>
      <c r="Z690" s="3282"/>
      <c r="AA690" s="3282"/>
      <c r="AB690" s="3282"/>
      <c r="AC690" s="3282"/>
      <c r="AD690" s="3282"/>
      <c r="AE690" s="3282"/>
      <c r="AF690" s="3282"/>
      <c r="AG690" s="3282"/>
      <c r="AH690" s="3282"/>
      <c r="AI690" s="3282"/>
      <c r="AJ690" s="3282"/>
      <c r="AK690" s="3282"/>
      <c r="AL690" s="3282"/>
      <c r="AM690" s="3282"/>
      <c r="AN690" s="3282"/>
      <c r="AO690" s="3282"/>
      <c r="AP690" s="3282"/>
      <c r="AQ690" s="3282"/>
      <c r="AR690" s="3282"/>
      <c r="AS690" s="3282"/>
      <c r="AT690" s="3282"/>
      <c r="AU690" s="1865"/>
    </row>
    <row r="691" spans="2:47" ht="12.95" customHeight="1" x14ac:dyDescent="0.15">
      <c r="B691" s="3282" t="s">
        <v>594</v>
      </c>
      <c r="C691" s="3282"/>
      <c r="D691" s="3282"/>
      <c r="E691" s="3282"/>
      <c r="F691" s="3282"/>
      <c r="G691" s="3282"/>
      <c r="H691" s="3282"/>
      <c r="I691" s="3282"/>
      <c r="J691" s="3282"/>
      <c r="K691" s="3282"/>
      <c r="L691" s="3282"/>
      <c r="M691" s="3282"/>
      <c r="N691" s="3282"/>
      <c r="O691" s="3282"/>
      <c r="P691" s="3282"/>
      <c r="Q691" s="3282"/>
      <c r="R691" s="3282"/>
      <c r="S691" s="3282"/>
      <c r="T691" s="3282"/>
      <c r="U691" s="3282"/>
      <c r="V691" s="3282"/>
      <c r="W691" s="3282"/>
      <c r="X691" s="3282"/>
      <c r="Y691" s="3282"/>
      <c r="Z691" s="3282"/>
      <c r="AA691" s="3282"/>
      <c r="AB691" s="3282"/>
      <c r="AC691" s="3282"/>
      <c r="AD691" s="3282"/>
      <c r="AE691" s="3282"/>
      <c r="AF691" s="3282"/>
      <c r="AG691" s="3282"/>
      <c r="AH691" s="3282"/>
      <c r="AI691" s="3282"/>
      <c r="AJ691" s="3282"/>
      <c r="AK691" s="3282"/>
      <c r="AL691" s="3282"/>
      <c r="AM691" s="3282"/>
      <c r="AN691" s="3282"/>
      <c r="AO691" s="3282"/>
      <c r="AP691" s="3282"/>
      <c r="AQ691" s="3282"/>
      <c r="AR691" s="3282"/>
      <c r="AS691" s="3282"/>
      <c r="AT691" s="3282"/>
    </row>
    <row r="692" spans="2:47" ht="12.95" customHeight="1" x14ac:dyDescent="0.15">
      <c r="B692" s="3282" t="s">
        <v>595</v>
      </c>
      <c r="C692" s="3282"/>
      <c r="D692" s="3282"/>
      <c r="E692" s="3282"/>
      <c r="F692" s="3282"/>
      <c r="G692" s="3282"/>
      <c r="H692" s="3282"/>
      <c r="I692" s="3282"/>
      <c r="J692" s="3282"/>
      <c r="K692" s="3282"/>
      <c r="L692" s="3282"/>
      <c r="M692" s="3282"/>
      <c r="N692" s="3282"/>
      <c r="O692" s="3282"/>
      <c r="P692" s="3282"/>
      <c r="Q692" s="3282"/>
      <c r="R692" s="3282"/>
      <c r="S692" s="3282"/>
      <c r="T692" s="3282"/>
      <c r="U692" s="3282"/>
      <c r="V692" s="3282"/>
      <c r="W692" s="3282"/>
      <c r="X692" s="3282"/>
      <c r="Y692" s="3282"/>
      <c r="Z692" s="3282"/>
      <c r="AA692" s="3282"/>
      <c r="AB692" s="3282"/>
      <c r="AC692" s="3282"/>
      <c r="AD692" s="3282"/>
      <c r="AE692" s="3282"/>
      <c r="AF692" s="3282"/>
      <c r="AG692" s="3282"/>
      <c r="AH692" s="3282"/>
      <c r="AI692" s="3282"/>
      <c r="AJ692" s="3282"/>
      <c r="AK692" s="3282"/>
      <c r="AL692" s="3282"/>
      <c r="AM692" s="3282"/>
      <c r="AN692" s="3282"/>
      <c r="AO692" s="3282"/>
      <c r="AP692" s="3282"/>
      <c r="AQ692" s="3282"/>
      <c r="AR692" s="3282"/>
      <c r="AS692" s="3282"/>
      <c r="AT692" s="3282"/>
    </row>
    <row r="693" spans="2:47" ht="12.95" customHeight="1" x14ac:dyDescent="0.15">
      <c r="B693" s="3282" t="s">
        <v>596</v>
      </c>
      <c r="C693" s="3282"/>
      <c r="D693" s="3282"/>
      <c r="E693" s="3282"/>
      <c r="F693" s="3282"/>
      <c r="G693" s="3282"/>
      <c r="H693" s="3282"/>
      <c r="I693" s="3282"/>
      <c r="J693" s="3282"/>
      <c r="K693" s="3282"/>
      <c r="L693" s="3282"/>
      <c r="M693" s="3282"/>
      <c r="N693" s="3282"/>
      <c r="O693" s="3282"/>
      <c r="P693" s="3282"/>
      <c r="Q693" s="3282"/>
      <c r="R693" s="3282"/>
      <c r="S693" s="3282"/>
      <c r="T693" s="3282"/>
      <c r="U693" s="3282"/>
      <c r="V693" s="3282"/>
      <c r="W693" s="3282"/>
      <c r="X693" s="3282"/>
      <c r="Y693" s="3282"/>
      <c r="Z693" s="3282"/>
      <c r="AA693" s="3282"/>
      <c r="AB693" s="3282"/>
      <c r="AC693" s="3282"/>
      <c r="AD693" s="3282"/>
      <c r="AE693" s="3282"/>
      <c r="AF693" s="3282"/>
      <c r="AG693" s="3282"/>
      <c r="AH693" s="3282"/>
      <c r="AI693" s="3282"/>
      <c r="AJ693" s="3282"/>
      <c r="AK693" s="3282"/>
      <c r="AL693" s="3282"/>
      <c r="AM693" s="3282"/>
      <c r="AN693" s="3282"/>
      <c r="AO693" s="3282"/>
      <c r="AP693" s="3282"/>
      <c r="AQ693" s="3282"/>
      <c r="AR693" s="3282"/>
      <c r="AS693" s="3282"/>
      <c r="AT693" s="3282"/>
    </row>
    <row r="694" spans="2:47" ht="12.95" customHeight="1" x14ac:dyDescent="0.15">
      <c r="B694" s="3282" t="s">
        <v>597</v>
      </c>
      <c r="C694" s="3282"/>
      <c r="D694" s="3282"/>
      <c r="E694" s="3282"/>
      <c r="F694" s="3282"/>
      <c r="G694" s="3282"/>
      <c r="H694" s="3282"/>
      <c r="I694" s="3282"/>
      <c r="J694" s="3282"/>
      <c r="K694" s="3282"/>
      <c r="L694" s="3282"/>
      <c r="M694" s="3282"/>
      <c r="N694" s="3282"/>
      <c r="O694" s="3282"/>
      <c r="P694" s="3282"/>
      <c r="Q694" s="3282"/>
      <c r="R694" s="3282"/>
      <c r="S694" s="3282"/>
      <c r="T694" s="3282"/>
      <c r="U694" s="3282"/>
      <c r="V694" s="3282"/>
      <c r="W694" s="3282"/>
      <c r="X694" s="3282"/>
      <c r="Y694" s="3282"/>
      <c r="Z694" s="3282"/>
      <c r="AA694" s="3282"/>
      <c r="AB694" s="3282"/>
      <c r="AC694" s="3282"/>
      <c r="AD694" s="3282"/>
      <c r="AE694" s="3282"/>
      <c r="AF694" s="3282"/>
      <c r="AG694" s="3282"/>
      <c r="AH694" s="3282"/>
      <c r="AI694" s="3282"/>
      <c r="AJ694" s="3282"/>
      <c r="AK694" s="3282"/>
      <c r="AL694" s="3282"/>
      <c r="AM694" s="3282"/>
      <c r="AN694" s="3282"/>
      <c r="AO694" s="3282"/>
      <c r="AP694" s="3282"/>
      <c r="AQ694" s="3282"/>
      <c r="AR694" s="3282"/>
      <c r="AS694" s="3282"/>
      <c r="AT694" s="3282"/>
      <c r="AU694" s="1865"/>
    </row>
    <row r="695" spans="2:47" ht="12.95" customHeight="1" x14ac:dyDescent="0.15">
      <c r="B695" s="3282" t="s">
        <v>598</v>
      </c>
      <c r="C695" s="3282"/>
      <c r="D695" s="3282"/>
      <c r="E695" s="3282"/>
      <c r="F695" s="3282"/>
      <c r="G695" s="3282"/>
      <c r="H695" s="3282"/>
      <c r="I695" s="3282"/>
      <c r="J695" s="3282"/>
      <c r="K695" s="3282"/>
      <c r="L695" s="3282"/>
      <c r="M695" s="3282"/>
      <c r="N695" s="3282"/>
      <c r="O695" s="3282"/>
      <c r="P695" s="3282"/>
      <c r="Q695" s="3282"/>
      <c r="R695" s="3282"/>
      <c r="S695" s="3282"/>
      <c r="T695" s="3282"/>
      <c r="U695" s="3282"/>
      <c r="V695" s="3282"/>
      <c r="W695" s="3282"/>
      <c r="X695" s="3282"/>
      <c r="Y695" s="3282"/>
      <c r="Z695" s="3282"/>
      <c r="AA695" s="3282"/>
      <c r="AB695" s="3282"/>
      <c r="AC695" s="3282"/>
      <c r="AD695" s="3282"/>
      <c r="AE695" s="3282"/>
      <c r="AF695" s="3282"/>
      <c r="AG695" s="3282"/>
      <c r="AH695" s="3282"/>
      <c r="AI695" s="3282"/>
      <c r="AJ695" s="3282"/>
      <c r="AK695" s="3282"/>
      <c r="AL695" s="3282"/>
      <c r="AM695" s="3282"/>
      <c r="AN695" s="3282"/>
      <c r="AO695" s="3282"/>
      <c r="AP695" s="3282"/>
      <c r="AQ695" s="3282"/>
      <c r="AR695" s="3282"/>
      <c r="AS695" s="3282"/>
      <c r="AT695" s="3282"/>
      <c r="AU695" s="1865"/>
    </row>
    <row r="696" spans="2:47" ht="12.95" customHeight="1" x14ac:dyDescent="0.15">
      <c r="B696" s="3282" t="s">
        <v>599</v>
      </c>
      <c r="C696" s="3282"/>
      <c r="D696" s="3282"/>
      <c r="E696" s="3282"/>
      <c r="F696" s="3282"/>
      <c r="G696" s="3282"/>
      <c r="H696" s="3282"/>
      <c r="I696" s="3282"/>
      <c r="J696" s="3282"/>
      <c r="K696" s="3282"/>
      <c r="L696" s="3282"/>
      <c r="M696" s="3282"/>
      <c r="N696" s="3282"/>
      <c r="O696" s="3282"/>
      <c r="P696" s="3282"/>
      <c r="Q696" s="3282"/>
      <c r="R696" s="3282"/>
      <c r="S696" s="3282"/>
      <c r="T696" s="3282"/>
      <c r="U696" s="3282"/>
      <c r="V696" s="3282"/>
      <c r="W696" s="3282"/>
      <c r="X696" s="3282"/>
      <c r="Y696" s="3282"/>
      <c r="Z696" s="3282"/>
      <c r="AA696" s="3282"/>
      <c r="AB696" s="3282"/>
      <c r="AC696" s="3282"/>
      <c r="AD696" s="3282"/>
      <c r="AE696" s="3282"/>
      <c r="AF696" s="3282"/>
      <c r="AG696" s="3282"/>
      <c r="AH696" s="3282"/>
      <c r="AI696" s="3282"/>
      <c r="AJ696" s="3282"/>
      <c r="AK696" s="3282"/>
      <c r="AL696" s="3282"/>
      <c r="AM696" s="3282"/>
      <c r="AN696" s="3282"/>
      <c r="AO696" s="3282"/>
      <c r="AP696" s="3282"/>
      <c r="AQ696" s="3282"/>
      <c r="AR696" s="3282"/>
      <c r="AS696" s="3282"/>
      <c r="AT696" s="3282"/>
    </row>
    <row r="697" spans="2:47" ht="12.95" customHeight="1" x14ac:dyDescent="0.15">
      <c r="B697" s="3285" t="s">
        <v>600</v>
      </c>
      <c r="C697" s="3285"/>
      <c r="D697" s="3285"/>
      <c r="E697" s="3285"/>
      <c r="F697" s="3285"/>
      <c r="G697" s="3285"/>
      <c r="H697" s="3285"/>
      <c r="I697" s="3285"/>
      <c r="J697" s="3285"/>
      <c r="K697" s="3285"/>
      <c r="L697" s="3285"/>
      <c r="M697" s="3285"/>
      <c r="N697" s="3285"/>
      <c r="O697" s="3285"/>
      <c r="P697" s="3285"/>
      <c r="Q697" s="3285"/>
      <c r="R697" s="3285"/>
      <c r="S697" s="3285"/>
      <c r="T697" s="3285"/>
      <c r="U697" s="3285"/>
      <c r="V697" s="3285"/>
      <c r="W697" s="3285"/>
      <c r="X697" s="3285"/>
      <c r="Y697" s="3285"/>
      <c r="Z697" s="3285"/>
      <c r="AA697" s="3285"/>
      <c r="AB697" s="3285"/>
      <c r="AC697" s="3285"/>
      <c r="AD697" s="3285"/>
      <c r="AE697" s="3285"/>
      <c r="AF697" s="3285"/>
      <c r="AG697" s="3285"/>
      <c r="AH697" s="3285"/>
      <c r="AI697" s="3285"/>
      <c r="AJ697" s="3285"/>
      <c r="AK697" s="3285"/>
      <c r="AL697" s="3285"/>
      <c r="AM697" s="3285"/>
      <c r="AN697" s="3285"/>
      <c r="AO697" s="3285"/>
      <c r="AP697" s="3285"/>
      <c r="AQ697" s="3285"/>
      <c r="AR697" s="3285"/>
      <c r="AS697" s="3285"/>
      <c r="AT697" s="3285"/>
    </row>
    <row r="698" spans="2:47" ht="12.95" customHeight="1" x14ac:dyDescent="0.15">
      <c r="B698" s="3285" t="s">
        <v>601</v>
      </c>
      <c r="C698" s="3285"/>
      <c r="D698" s="3285"/>
      <c r="E698" s="3285"/>
      <c r="F698" s="3285"/>
      <c r="G698" s="3285"/>
      <c r="H698" s="3285"/>
      <c r="I698" s="3285"/>
      <c r="J698" s="3285"/>
      <c r="K698" s="3285"/>
      <c r="L698" s="3285"/>
      <c r="M698" s="3285"/>
      <c r="N698" s="3285"/>
      <c r="O698" s="3285"/>
      <c r="P698" s="3285"/>
      <c r="Q698" s="3285"/>
      <c r="R698" s="3285"/>
      <c r="S698" s="3285"/>
      <c r="T698" s="3285"/>
      <c r="U698" s="3285"/>
      <c r="V698" s="3285"/>
      <c r="W698" s="3285"/>
      <c r="X698" s="3285"/>
      <c r="Y698" s="3285"/>
      <c r="Z698" s="3285"/>
      <c r="AA698" s="3285"/>
      <c r="AB698" s="3285"/>
      <c r="AC698" s="3285"/>
      <c r="AD698" s="3285"/>
      <c r="AE698" s="3285"/>
      <c r="AF698" s="3285"/>
      <c r="AG698" s="3285"/>
      <c r="AH698" s="3285"/>
      <c r="AI698" s="3285"/>
      <c r="AJ698" s="3285"/>
      <c r="AK698" s="3285"/>
      <c r="AL698" s="3285"/>
      <c r="AM698" s="3285"/>
      <c r="AN698" s="3285"/>
      <c r="AO698" s="3285"/>
      <c r="AP698" s="3285"/>
      <c r="AQ698" s="3285"/>
      <c r="AR698" s="3285"/>
      <c r="AS698" s="3285"/>
      <c r="AT698" s="3285"/>
    </row>
    <row r="699" spans="2:47" ht="12.95" customHeight="1" x14ac:dyDescent="0.15">
      <c r="B699" s="3282" t="s">
        <v>602</v>
      </c>
      <c r="C699" s="3282"/>
      <c r="D699" s="3282"/>
      <c r="E699" s="3282"/>
      <c r="F699" s="3282"/>
      <c r="G699" s="3282"/>
      <c r="H699" s="3282"/>
      <c r="I699" s="3282"/>
      <c r="J699" s="3282"/>
      <c r="K699" s="3282"/>
      <c r="L699" s="3282"/>
      <c r="M699" s="3282"/>
      <c r="N699" s="3282"/>
      <c r="O699" s="3282"/>
      <c r="P699" s="3282"/>
      <c r="Q699" s="3282"/>
      <c r="R699" s="3282"/>
      <c r="S699" s="3282"/>
      <c r="T699" s="3282"/>
      <c r="U699" s="3282"/>
      <c r="V699" s="3282"/>
      <c r="W699" s="3282"/>
      <c r="X699" s="3282"/>
      <c r="Y699" s="3282"/>
      <c r="Z699" s="3282"/>
      <c r="AA699" s="3282"/>
      <c r="AB699" s="3282"/>
      <c r="AC699" s="3282"/>
      <c r="AD699" s="3282"/>
      <c r="AE699" s="3282"/>
      <c r="AF699" s="3282"/>
      <c r="AG699" s="3282"/>
      <c r="AH699" s="3282"/>
      <c r="AI699" s="3282"/>
      <c r="AJ699" s="3282"/>
      <c r="AK699" s="3282"/>
      <c r="AL699" s="3282"/>
      <c r="AM699" s="3282"/>
      <c r="AN699" s="3282"/>
      <c r="AO699" s="3282"/>
      <c r="AP699" s="3282"/>
      <c r="AQ699" s="3282"/>
      <c r="AR699" s="3282"/>
      <c r="AS699" s="3282"/>
      <c r="AT699" s="3282"/>
      <c r="AU699" s="1939"/>
    </row>
    <row r="700" spans="2:47" ht="12.95" customHeight="1" x14ac:dyDescent="0.15">
      <c r="B700" s="3285" t="s">
        <v>603</v>
      </c>
      <c r="C700" s="3285"/>
      <c r="D700" s="3285"/>
      <c r="E700" s="3285"/>
      <c r="F700" s="3285"/>
      <c r="G700" s="3285"/>
      <c r="H700" s="3285"/>
      <c r="I700" s="3285"/>
      <c r="J700" s="3285"/>
      <c r="K700" s="3285"/>
      <c r="L700" s="3285"/>
      <c r="M700" s="3285"/>
      <c r="N700" s="3285"/>
      <c r="O700" s="3285"/>
      <c r="P700" s="3285"/>
      <c r="Q700" s="3285"/>
      <c r="R700" s="3285"/>
      <c r="S700" s="3285"/>
      <c r="T700" s="3285"/>
      <c r="U700" s="3285"/>
      <c r="V700" s="3285"/>
      <c r="W700" s="3285"/>
      <c r="X700" s="3285"/>
      <c r="Y700" s="3285"/>
      <c r="Z700" s="3285"/>
      <c r="AA700" s="3285"/>
      <c r="AB700" s="3285"/>
      <c r="AC700" s="3285"/>
      <c r="AD700" s="3285"/>
      <c r="AE700" s="3285"/>
      <c r="AF700" s="3285"/>
      <c r="AG700" s="3285"/>
      <c r="AH700" s="3285"/>
      <c r="AI700" s="3285"/>
      <c r="AJ700" s="3285"/>
      <c r="AK700" s="3285"/>
      <c r="AL700" s="3285"/>
      <c r="AM700" s="3285"/>
      <c r="AN700" s="3285"/>
      <c r="AO700" s="3285"/>
      <c r="AP700" s="3285"/>
      <c r="AQ700" s="3285"/>
      <c r="AR700" s="3285"/>
      <c r="AS700" s="3285"/>
      <c r="AT700" s="3285"/>
    </row>
    <row r="701" spans="2:47" ht="12.95" customHeight="1" x14ac:dyDescent="0.15">
      <c r="B701" s="3285" t="s">
        <v>604</v>
      </c>
      <c r="C701" s="3285"/>
      <c r="D701" s="3285"/>
      <c r="E701" s="3285"/>
      <c r="F701" s="3285"/>
      <c r="G701" s="3285"/>
      <c r="H701" s="3285"/>
      <c r="I701" s="3285"/>
      <c r="J701" s="3285"/>
      <c r="K701" s="3285"/>
      <c r="L701" s="3285"/>
      <c r="M701" s="3285"/>
      <c r="N701" s="3285"/>
      <c r="O701" s="3285"/>
      <c r="P701" s="3285"/>
      <c r="Q701" s="3285"/>
      <c r="R701" s="3285"/>
      <c r="S701" s="3285"/>
      <c r="T701" s="3285"/>
      <c r="U701" s="3285"/>
      <c r="V701" s="3285"/>
      <c r="W701" s="3285"/>
      <c r="X701" s="3285"/>
      <c r="Y701" s="3285"/>
      <c r="Z701" s="3285"/>
      <c r="AA701" s="3285"/>
      <c r="AB701" s="3285"/>
      <c r="AC701" s="3285"/>
      <c r="AD701" s="3285"/>
      <c r="AE701" s="3285"/>
      <c r="AF701" s="3285"/>
      <c r="AG701" s="3285"/>
      <c r="AH701" s="3285"/>
      <c r="AI701" s="3285"/>
      <c r="AJ701" s="3285"/>
      <c r="AK701" s="3285"/>
      <c r="AL701" s="3285"/>
      <c r="AM701" s="3285"/>
      <c r="AN701" s="3285"/>
      <c r="AO701" s="3285"/>
      <c r="AP701" s="3285"/>
      <c r="AQ701" s="3285"/>
      <c r="AR701" s="3285"/>
      <c r="AS701" s="3285"/>
      <c r="AT701" s="3285"/>
    </row>
    <row r="702" spans="2:47" ht="12.95" customHeight="1" x14ac:dyDescent="0.15">
      <c r="B702" s="3285" t="s">
        <v>605</v>
      </c>
      <c r="C702" s="3285"/>
      <c r="D702" s="3285"/>
      <c r="E702" s="3285"/>
      <c r="F702" s="3285"/>
      <c r="G702" s="3285"/>
      <c r="H702" s="3285"/>
      <c r="I702" s="3285"/>
      <c r="J702" s="3285"/>
      <c r="K702" s="3285"/>
      <c r="L702" s="3285"/>
      <c r="M702" s="3285"/>
      <c r="N702" s="3285"/>
      <c r="O702" s="3285"/>
      <c r="P702" s="3285"/>
      <c r="Q702" s="3285"/>
      <c r="R702" s="3285"/>
      <c r="S702" s="3285"/>
      <c r="T702" s="3285"/>
      <c r="U702" s="3285"/>
      <c r="V702" s="3285"/>
      <c r="W702" s="3285"/>
      <c r="X702" s="3285"/>
      <c r="Y702" s="3285"/>
      <c r="Z702" s="3285"/>
      <c r="AA702" s="3285"/>
      <c r="AB702" s="3285"/>
      <c r="AC702" s="3285"/>
      <c r="AD702" s="3285"/>
      <c r="AE702" s="3285"/>
      <c r="AF702" s="3285"/>
      <c r="AG702" s="3285"/>
      <c r="AH702" s="3285"/>
      <c r="AI702" s="3285"/>
      <c r="AJ702" s="3285"/>
      <c r="AK702" s="3285"/>
      <c r="AL702" s="3285"/>
      <c r="AM702" s="3285"/>
      <c r="AN702" s="3285"/>
      <c r="AO702" s="3285"/>
      <c r="AP702" s="3285"/>
      <c r="AQ702" s="3285"/>
      <c r="AR702" s="3285"/>
      <c r="AS702" s="3285"/>
      <c r="AT702" s="3285"/>
    </row>
    <row r="703" spans="2:47" ht="12.95" customHeight="1" x14ac:dyDescent="0.15">
      <c r="B703" s="3282" t="s">
        <v>606</v>
      </c>
      <c r="C703" s="3282"/>
      <c r="D703" s="3282"/>
      <c r="E703" s="3282"/>
      <c r="F703" s="3282"/>
      <c r="G703" s="3282"/>
      <c r="H703" s="3282"/>
      <c r="I703" s="3282"/>
      <c r="J703" s="3282"/>
      <c r="K703" s="3282"/>
      <c r="L703" s="3282"/>
      <c r="M703" s="3282"/>
      <c r="N703" s="3282"/>
      <c r="O703" s="3282"/>
      <c r="P703" s="3282"/>
      <c r="Q703" s="3282"/>
      <c r="R703" s="3282"/>
      <c r="S703" s="3282"/>
      <c r="T703" s="3282"/>
      <c r="U703" s="3282"/>
      <c r="V703" s="3282"/>
      <c r="W703" s="3282"/>
      <c r="X703" s="3282"/>
      <c r="Y703" s="3282"/>
      <c r="Z703" s="3282"/>
      <c r="AA703" s="3282"/>
      <c r="AB703" s="3282"/>
      <c r="AC703" s="3282"/>
      <c r="AD703" s="3282"/>
      <c r="AE703" s="3282"/>
      <c r="AF703" s="3282"/>
      <c r="AG703" s="3282"/>
      <c r="AH703" s="3282"/>
      <c r="AI703" s="3282"/>
      <c r="AJ703" s="3282"/>
      <c r="AK703" s="3282"/>
      <c r="AL703" s="3282"/>
      <c r="AM703" s="3282"/>
      <c r="AN703" s="3282"/>
      <c r="AO703" s="3282"/>
      <c r="AP703" s="3282"/>
      <c r="AQ703" s="3282"/>
      <c r="AR703" s="3282"/>
      <c r="AS703" s="3282"/>
      <c r="AT703" s="3282"/>
      <c r="AU703" s="1939"/>
    </row>
    <row r="704" spans="2:47" ht="12.95" customHeight="1" x14ac:dyDescent="0.15">
      <c r="B704" s="3285" t="s">
        <v>607</v>
      </c>
      <c r="C704" s="3285"/>
      <c r="D704" s="3285"/>
      <c r="E704" s="3285"/>
      <c r="F704" s="3285"/>
      <c r="G704" s="3285"/>
      <c r="H704" s="3285"/>
      <c r="I704" s="3285"/>
      <c r="J704" s="3285"/>
      <c r="K704" s="3285"/>
      <c r="L704" s="3285"/>
      <c r="M704" s="3285"/>
      <c r="N704" s="3285"/>
      <c r="O704" s="3285"/>
      <c r="P704" s="3285"/>
      <c r="Q704" s="3285"/>
      <c r="R704" s="3285"/>
      <c r="S704" s="3285"/>
      <c r="T704" s="3285"/>
      <c r="U704" s="3285"/>
      <c r="V704" s="3285"/>
      <c r="W704" s="3285"/>
      <c r="X704" s="3285"/>
      <c r="Y704" s="3285"/>
      <c r="Z704" s="3285"/>
      <c r="AA704" s="3285"/>
      <c r="AB704" s="3285"/>
      <c r="AC704" s="3285"/>
      <c r="AD704" s="3285"/>
      <c r="AE704" s="3285"/>
      <c r="AF704" s="3285"/>
      <c r="AG704" s="3285"/>
      <c r="AH704" s="3285"/>
      <c r="AI704" s="3285"/>
      <c r="AJ704" s="3285"/>
      <c r="AK704" s="3285"/>
      <c r="AL704" s="3285"/>
      <c r="AM704" s="3285"/>
      <c r="AN704" s="3285"/>
      <c r="AO704" s="3285"/>
      <c r="AP704" s="3285"/>
      <c r="AQ704" s="3285"/>
      <c r="AR704" s="3285"/>
      <c r="AS704" s="3285"/>
      <c r="AT704" s="3285"/>
    </row>
    <row r="705" spans="2:46" ht="12.95" customHeight="1" x14ac:dyDescent="0.15">
      <c r="B705" s="3285" t="s">
        <v>608</v>
      </c>
      <c r="C705" s="3285"/>
      <c r="D705" s="3285"/>
      <c r="E705" s="3285"/>
      <c r="F705" s="3285"/>
      <c r="G705" s="3285"/>
      <c r="H705" s="3285"/>
      <c r="I705" s="3285"/>
      <c r="J705" s="3285"/>
      <c r="K705" s="3285"/>
      <c r="L705" s="3285"/>
      <c r="M705" s="3285"/>
      <c r="N705" s="3285"/>
      <c r="O705" s="3285"/>
      <c r="P705" s="3285"/>
      <c r="Q705" s="3285"/>
      <c r="R705" s="3285"/>
      <c r="S705" s="3285"/>
      <c r="T705" s="3285"/>
      <c r="U705" s="3285"/>
      <c r="V705" s="3285"/>
      <c r="W705" s="3285"/>
      <c r="X705" s="3285"/>
      <c r="Y705" s="3285"/>
      <c r="Z705" s="3285"/>
      <c r="AA705" s="3285"/>
      <c r="AB705" s="3285"/>
      <c r="AC705" s="3285"/>
      <c r="AD705" s="3285"/>
      <c r="AE705" s="3285"/>
      <c r="AF705" s="3285"/>
      <c r="AG705" s="3285"/>
      <c r="AH705" s="3285"/>
      <c r="AI705" s="3285"/>
      <c r="AJ705" s="3285"/>
      <c r="AK705" s="3285"/>
      <c r="AL705" s="3285"/>
      <c r="AM705" s="3285"/>
      <c r="AN705" s="3285"/>
      <c r="AO705" s="3285"/>
      <c r="AP705" s="3285"/>
      <c r="AQ705" s="3285"/>
      <c r="AR705" s="3285"/>
      <c r="AS705" s="3285"/>
      <c r="AT705" s="3285"/>
    </row>
    <row r="706" spans="2:46" ht="12.95" customHeight="1" x14ac:dyDescent="0.15">
      <c r="B706" s="3285" t="s">
        <v>609</v>
      </c>
      <c r="C706" s="3285"/>
      <c r="D706" s="3285"/>
      <c r="E706" s="3285"/>
      <c r="F706" s="3285"/>
      <c r="G706" s="3285"/>
      <c r="H706" s="3285"/>
      <c r="I706" s="3285"/>
      <c r="J706" s="3285"/>
      <c r="K706" s="3285"/>
      <c r="L706" s="3285"/>
      <c r="M706" s="3285"/>
      <c r="N706" s="3285"/>
      <c r="O706" s="3285"/>
      <c r="P706" s="3285"/>
      <c r="Q706" s="3285"/>
      <c r="R706" s="3285"/>
      <c r="S706" s="3285"/>
      <c r="T706" s="3285"/>
      <c r="U706" s="3285"/>
      <c r="V706" s="3285"/>
      <c r="W706" s="3285"/>
      <c r="X706" s="3285"/>
      <c r="Y706" s="3285"/>
      <c r="Z706" s="3285"/>
      <c r="AA706" s="3285"/>
      <c r="AB706" s="3285"/>
      <c r="AC706" s="3285"/>
      <c r="AD706" s="3285"/>
      <c r="AE706" s="3285"/>
      <c r="AF706" s="3285"/>
      <c r="AG706" s="3285"/>
      <c r="AH706" s="3285"/>
      <c r="AI706" s="3285"/>
      <c r="AJ706" s="3285"/>
      <c r="AK706" s="3285"/>
      <c r="AL706" s="3285"/>
      <c r="AM706" s="3285"/>
      <c r="AN706" s="3285"/>
      <c r="AO706" s="3285"/>
      <c r="AP706" s="3285"/>
      <c r="AQ706" s="3285"/>
      <c r="AR706" s="3285"/>
      <c r="AS706" s="3285"/>
      <c r="AT706" s="3285"/>
    </row>
    <row r="707" spans="2:46" ht="12.95" customHeight="1" x14ac:dyDescent="0.15">
      <c r="B707" s="3285" t="s">
        <v>610</v>
      </c>
      <c r="C707" s="3285"/>
      <c r="D707" s="3285"/>
      <c r="E707" s="3285"/>
      <c r="F707" s="3285"/>
      <c r="G707" s="3285"/>
      <c r="H707" s="3285"/>
      <c r="I707" s="3285"/>
      <c r="J707" s="3285"/>
      <c r="K707" s="3285"/>
      <c r="L707" s="3285"/>
      <c r="M707" s="3285"/>
      <c r="N707" s="3285"/>
      <c r="O707" s="3285"/>
      <c r="P707" s="3285"/>
      <c r="Q707" s="3285"/>
      <c r="R707" s="3285"/>
      <c r="S707" s="3285"/>
      <c r="T707" s="3285"/>
      <c r="U707" s="3285"/>
      <c r="V707" s="3285"/>
      <c r="W707" s="3285"/>
      <c r="X707" s="3285"/>
      <c r="Y707" s="3285"/>
      <c r="Z707" s="3285"/>
      <c r="AA707" s="3285"/>
      <c r="AB707" s="3285"/>
      <c r="AC707" s="3285"/>
      <c r="AD707" s="3285"/>
      <c r="AE707" s="3285"/>
      <c r="AF707" s="3285"/>
      <c r="AG707" s="3285"/>
      <c r="AH707" s="3285"/>
      <c r="AI707" s="3285"/>
      <c r="AJ707" s="3285"/>
      <c r="AK707" s="3285"/>
      <c r="AL707" s="3285"/>
      <c r="AM707" s="3285"/>
      <c r="AN707" s="3285"/>
      <c r="AO707" s="3285"/>
      <c r="AP707" s="3285"/>
      <c r="AQ707" s="3285"/>
      <c r="AR707" s="3285"/>
      <c r="AS707" s="3285"/>
      <c r="AT707" s="3285"/>
    </row>
    <row r="708" spans="2:46" ht="12.95" customHeight="1" x14ac:dyDescent="0.15">
      <c r="B708" s="3285" t="s">
        <v>611</v>
      </c>
      <c r="C708" s="3285"/>
      <c r="D708" s="3285"/>
      <c r="E708" s="3285"/>
      <c r="F708" s="3285"/>
      <c r="G708" s="3285"/>
      <c r="H708" s="3285"/>
      <c r="I708" s="3285"/>
      <c r="J708" s="3285"/>
      <c r="K708" s="3285"/>
      <c r="L708" s="3285"/>
      <c r="M708" s="3285"/>
      <c r="N708" s="3285"/>
      <c r="O708" s="3285"/>
      <c r="P708" s="3285"/>
      <c r="Q708" s="3285"/>
      <c r="R708" s="3285"/>
      <c r="S708" s="3285"/>
      <c r="T708" s="3285"/>
      <c r="U708" s="3285"/>
      <c r="V708" s="3285"/>
      <c r="W708" s="3285"/>
      <c r="X708" s="3285"/>
      <c r="Y708" s="3285"/>
      <c r="Z708" s="3285"/>
      <c r="AA708" s="3285"/>
      <c r="AB708" s="3285"/>
      <c r="AC708" s="3285"/>
      <c r="AD708" s="3285"/>
      <c r="AE708" s="3285"/>
      <c r="AF708" s="3285"/>
      <c r="AG708" s="3285"/>
      <c r="AH708" s="3285"/>
      <c r="AI708" s="3285"/>
      <c r="AJ708" s="3285"/>
      <c r="AK708" s="3285"/>
      <c r="AL708" s="3285"/>
      <c r="AM708" s="3285"/>
      <c r="AN708" s="3285"/>
      <c r="AO708" s="3285"/>
      <c r="AP708" s="3285"/>
      <c r="AQ708" s="3285"/>
      <c r="AR708" s="3285"/>
      <c r="AS708" s="3285"/>
      <c r="AT708" s="3285"/>
    </row>
    <row r="709" spans="2:46" ht="12.95" customHeight="1" x14ac:dyDescent="0.15">
      <c r="B709" s="3282" t="s">
        <v>612</v>
      </c>
      <c r="C709" s="3282"/>
      <c r="D709" s="3282"/>
      <c r="E709" s="3282"/>
      <c r="F709" s="3282"/>
      <c r="G709" s="3282"/>
      <c r="H709" s="3282"/>
      <c r="I709" s="3282"/>
      <c r="J709" s="3282"/>
      <c r="K709" s="3282"/>
      <c r="L709" s="3282"/>
      <c r="M709" s="3282"/>
      <c r="N709" s="3282"/>
      <c r="O709" s="3282"/>
      <c r="P709" s="3282"/>
      <c r="Q709" s="3282"/>
      <c r="R709" s="3282"/>
      <c r="S709" s="3282"/>
      <c r="T709" s="3282"/>
      <c r="U709" s="3282"/>
      <c r="V709" s="3282"/>
      <c r="W709" s="3282"/>
      <c r="X709" s="3282"/>
      <c r="Y709" s="3282"/>
      <c r="Z709" s="3282"/>
      <c r="AA709" s="3282"/>
      <c r="AB709" s="3282"/>
      <c r="AC709" s="3282"/>
      <c r="AD709" s="3282"/>
      <c r="AE709" s="3282"/>
      <c r="AF709" s="3282"/>
      <c r="AG709" s="3282"/>
      <c r="AH709" s="3282"/>
      <c r="AI709" s="3282"/>
      <c r="AJ709" s="3282"/>
      <c r="AK709" s="3282"/>
      <c r="AL709" s="3282"/>
      <c r="AM709" s="3282"/>
      <c r="AN709" s="3282"/>
      <c r="AO709" s="3282"/>
      <c r="AP709" s="3282"/>
      <c r="AQ709" s="3282"/>
      <c r="AR709" s="3282"/>
      <c r="AS709" s="3282"/>
      <c r="AT709" s="3282"/>
    </row>
    <row r="710" spans="2:46" ht="12.95" customHeight="1" x14ac:dyDescent="0.15">
      <c r="B710" s="3285" t="s">
        <v>613</v>
      </c>
      <c r="C710" s="3285"/>
      <c r="D710" s="3285"/>
      <c r="E710" s="3285"/>
      <c r="F710" s="3285"/>
      <c r="G710" s="3285"/>
      <c r="H710" s="3285"/>
      <c r="I710" s="3285"/>
      <c r="J710" s="3285"/>
      <c r="K710" s="3285"/>
      <c r="L710" s="3285"/>
      <c r="M710" s="3285"/>
      <c r="N710" s="3285"/>
      <c r="O710" s="3285"/>
      <c r="P710" s="3285"/>
      <c r="Q710" s="3285"/>
      <c r="R710" s="3285"/>
      <c r="S710" s="3285"/>
      <c r="T710" s="3285"/>
      <c r="U710" s="3285"/>
      <c r="V710" s="3285"/>
      <c r="W710" s="3285"/>
      <c r="X710" s="3285"/>
      <c r="Y710" s="3285"/>
      <c r="Z710" s="3285"/>
      <c r="AA710" s="3285"/>
      <c r="AB710" s="3285"/>
      <c r="AC710" s="3285"/>
      <c r="AD710" s="3285"/>
      <c r="AE710" s="3285"/>
      <c r="AF710" s="3285"/>
      <c r="AG710" s="3285"/>
      <c r="AH710" s="3285"/>
      <c r="AI710" s="3285"/>
      <c r="AJ710" s="3285"/>
      <c r="AK710" s="3285"/>
      <c r="AL710" s="3285"/>
      <c r="AM710" s="3285"/>
      <c r="AN710" s="3285"/>
      <c r="AO710" s="3285"/>
      <c r="AP710" s="3285"/>
      <c r="AQ710" s="3285"/>
      <c r="AR710" s="3285"/>
      <c r="AS710" s="3285"/>
      <c r="AT710" s="3285"/>
    </row>
    <row r="711" spans="2:46" ht="12.95" customHeight="1" x14ac:dyDescent="0.15">
      <c r="B711" s="3285" t="s">
        <v>614</v>
      </c>
      <c r="C711" s="3285"/>
      <c r="D711" s="3285"/>
      <c r="E711" s="3285"/>
      <c r="F711" s="3285"/>
      <c r="G711" s="3285"/>
      <c r="H711" s="3285"/>
      <c r="I711" s="3285"/>
      <c r="J711" s="3285"/>
      <c r="K711" s="3285"/>
      <c r="L711" s="3285"/>
      <c r="M711" s="3285"/>
      <c r="N711" s="3285"/>
      <c r="O711" s="3285"/>
      <c r="P711" s="3285"/>
      <c r="Q711" s="3285"/>
      <c r="R711" s="3285"/>
      <c r="S711" s="3285"/>
      <c r="T711" s="3285"/>
      <c r="U711" s="3285"/>
      <c r="V711" s="3285"/>
      <c r="W711" s="3285"/>
      <c r="X711" s="3285"/>
      <c r="Y711" s="3285"/>
      <c r="Z711" s="3285"/>
      <c r="AA711" s="3285"/>
      <c r="AB711" s="3285"/>
      <c r="AC711" s="3285"/>
      <c r="AD711" s="3285"/>
      <c r="AE711" s="3285"/>
      <c r="AF711" s="3285"/>
      <c r="AG711" s="3285"/>
      <c r="AH711" s="3285"/>
      <c r="AI711" s="3285"/>
      <c r="AJ711" s="3285"/>
      <c r="AK711" s="3285"/>
      <c r="AL711" s="3285"/>
      <c r="AM711" s="3285"/>
      <c r="AN711" s="3285"/>
      <c r="AO711" s="3285"/>
      <c r="AP711" s="3285"/>
      <c r="AQ711" s="3285"/>
      <c r="AR711" s="3285"/>
      <c r="AS711" s="3285"/>
      <c r="AT711" s="3285"/>
    </row>
    <row r="712" spans="2:46" ht="12.95" customHeight="1" x14ac:dyDescent="0.15">
      <c r="B712" s="3285" t="s">
        <v>615</v>
      </c>
      <c r="C712" s="3285"/>
      <c r="D712" s="3285"/>
      <c r="E712" s="3285"/>
      <c r="F712" s="3285"/>
      <c r="G712" s="3285"/>
      <c r="H712" s="3285"/>
      <c r="I712" s="3285"/>
      <c r="J712" s="3285"/>
      <c r="K712" s="3285"/>
      <c r="L712" s="3285"/>
      <c r="M712" s="3285"/>
      <c r="N712" s="3285"/>
      <c r="O712" s="3285"/>
      <c r="P712" s="3285"/>
      <c r="Q712" s="3285"/>
      <c r="R712" s="3285"/>
      <c r="S712" s="3285"/>
      <c r="T712" s="3285"/>
      <c r="U712" s="3285"/>
      <c r="V712" s="3285"/>
      <c r="W712" s="3285"/>
      <c r="X712" s="3285"/>
      <c r="Y712" s="3285"/>
      <c r="Z712" s="3285"/>
      <c r="AA712" s="3285"/>
      <c r="AB712" s="3285"/>
      <c r="AC712" s="3285"/>
      <c r="AD712" s="3285"/>
      <c r="AE712" s="3285"/>
      <c r="AF712" s="3285"/>
      <c r="AG712" s="3285"/>
      <c r="AH712" s="3285"/>
      <c r="AI712" s="3285"/>
      <c r="AJ712" s="3285"/>
      <c r="AK712" s="3285"/>
      <c r="AL712" s="3285"/>
      <c r="AM712" s="3285"/>
      <c r="AN712" s="3285"/>
      <c r="AO712" s="3285"/>
      <c r="AP712" s="3285"/>
      <c r="AQ712" s="3285"/>
      <c r="AR712" s="3285"/>
      <c r="AS712" s="3285"/>
      <c r="AT712" s="3285"/>
    </row>
    <row r="713" spans="2:46" ht="12.95" customHeight="1" x14ac:dyDescent="0.15">
      <c r="B713" s="3282" t="s">
        <v>616</v>
      </c>
      <c r="C713" s="3282"/>
      <c r="D713" s="3282"/>
      <c r="E713" s="3282"/>
      <c r="F713" s="3282"/>
      <c r="G713" s="3282"/>
      <c r="H713" s="3282"/>
      <c r="I713" s="3282"/>
      <c r="J713" s="3282"/>
      <c r="K713" s="3282"/>
      <c r="L713" s="3282"/>
      <c r="M713" s="3282"/>
      <c r="N713" s="3282"/>
      <c r="O713" s="3282"/>
      <c r="P713" s="3282"/>
      <c r="Q713" s="3282"/>
      <c r="R713" s="3282"/>
      <c r="S713" s="3282"/>
      <c r="T713" s="3282"/>
      <c r="U713" s="3282"/>
      <c r="V713" s="3282"/>
      <c r="W713" s="3282"/>
      <c r="X713" s="3282"/>
      <c r="Y713" s="3282"/>
      <c r="Z713" s="3282"/>
      <c r="AA713" s="3282"/>
      <c r="AB713" s="3282"/>
      <c r="AC713" s="3282"/>
      <c r="AD713" s="3282"/>
      <c r="AE713" s="3282"/>
      <c r="AF713" s="3282"/>
      <c r="AG713" s="3282"/>
      <c r="AH713" s="3282"/>
      <c r="AI713" s="3282"/>
      <c r="AJ713" s="3282"/>
      <c r="AK713" s="3282"/>
      <c r="AL713" s="3282"/>
      <c r="AM713" s="3282"/>
      <c r="AN713" s="3282"/>
      <c r="AO713" s="3282"/>
      <c r="AP713" s="3282"/>
      <c r="AQ713" s="3282"/>
      <c r="AR713" s="3282"/>
      <c r="AS713" s="3282"/>
      <c r="AT713" s="3282"/>
    </row>
    <row r="714" spans="2:46" ht="12.95" customHeight="1" x14ac:dyDescent="0.15">
      <c r="B714" s="3285" t="s">
        <v>617</v>
      </c>
      <c r="C714" s="3285"/>
      <c r="D714" s="3285"/>
      <c r="E714" s="3285"/>
      <c r="F714" s="3285"/>
      <c r="G714" s="3285"/>
      <c r="H714" s="3285"/>
      <c r="I714" s="3285"/>
      <c r="J714" s="3285"/>
      <c r="K714" s="3285"/>
      <c r="L714" s="3285"/>
      <c r="M714" s="3285"/>
      <c r="N714" s="3285"/>
      <c r="O714" s="3285"/>
      <c r="P714" s="3285"/>
      <c r="Q714" s="3285"/>
      <c r="R714" s="3285"/>
      <c r="S714" s="3285"/>
      <c r="T714" s="3285"/>
      <c r="U714" s="3285"/>
      <c r="V714" s="3285"/>
      <c r="W714" s="3285"/>
      <c r="X714" s="3285"/>
      <c r="Y714" s="3285"/>
      <c r="Z714" s="3285"/>
      <c r="AA714" s="3285"/>
      <c r="AB714" s="3285"/>
      <c r="AC714" s="3285"/>
      <c r="AD714" s="3285"/>
      <c r="AE714" s="3285"/>
      <c r="AF714" s="3285"/>
      <c r="AG714" s="3285"/>
      <c r="AH714" s="3285"/>
      <c r="AI714" s="3285"/>
      <c r="AJ714" s="3285"/>
      <c r="AK714" s="3285"/>
      <c r="AL714" s="3285"/>
      <c r="AM714" s="3285"/>
      <c r="AN714" s="3285"/>
      <c r="AO714" s="3285"/>
      <c r="AP714" s="3285"/>
      <c r="AQ714" s="3285"/>
      <c r="AR714" s="3285"/>
      <c r="AS714" s="3285"/>
      <c r="AT714" s="3285"/>
    </row>
    <row r="715" spans="2:46" ht="12.95" customHeight="1" x14ac:dyDescent="0.15">
      <c r="B715" s="3285" t="s">
        <v>618</v>
      </c>
      <c r="C715" s="3285"/>
      <c r="D715" s="3285"/>
      <c r="E715" s="3285"/>
      <c r="F715" s="3285"/>
      <c r="G715" s="3285"/>
      <c r="H715" s="3285"/>
      <c r="I715" s="3285"/>
      <c r="J715" s="3285"/>
      <c r="K715" s="3285"/>
      <c r="L715" s="3285"/>
      <c r="M715" s="3285"/>
      <c r="N715" s="3285"/>
      <c r="O715" s="3285"/>
      <c r="P715" s="3285"/>
      <c r="Q715" s="3285"/>
      <c r="R715" s="3285"/>
      <c r="S715" s="3285"/>
      <c r="T715" s="3285"/>
      <c r="U715" s="3285"/>
      <c r="V715" s="3285"/>
      <c r="W715" s="3285"/>
      <c r="X715" s="3285"/>
      <c r="Y715" s="3285"/>
      <c r="Z715" s="3285"/>
      <c r="AA715" s="3285"/>
      <c r="AB715" s="3285"/>
      <c r="AC715" s="3285"/>
      <c r="AD715" s="3285"/>
      <c r="AE715" s="3285"/>
      <c r="AF715" s="3285"/>
      <c r="AG715" s="3285"/>
      <c r="AH715" s="3285"/>
      <c r="AI715" s="3285"/>
      <c r="AJ715" s="3285"/>
      <c r="AK715" s="3285"/>
      <c r="AL715" s="3285"/>
      <c r="AM715" s="3285"/>
      <c r="AN715" s="3285"/>
      <c r="AO715" s="3285"/>
      <c r="AP715" s="3285"/>
      <c r="AQ715" s="3285"/>
      <c r="AR715" s="3285"/>
      <c r="AS715" s="3285"/>
      <c r="AT715" s="3285"/>
    </row>
    <row r="716" spans="2:46" ht="12.95" customHeight="1" x14ac:dyDescent="0.15">
      <c r="B716" s="3285" t="s">
        <v>619</v>
      </c>
      <c r="C716" s="3285"/>
      <c r="D716" s="3285"/>
      <c r="E716" s="3285"/>
      <c r="F716" s="3285"/>
      <c r="G716" s="3285"/>
      <c r="H716" s="3285"/>
      <c r="I716" s="3285"/>
      <c r="J716" s="3285"/>
      <c r="K716" s="3285"/>
      <c r="L716" s="3285"/>
      <c r="M716" s="3285"/>
      <c r="N716" s="3285"/>
      <c r="O716" s="3285"/>
      <c r="P716" s="3285"/>
      <c r="Q716" s="3285"/>
      <c r="R716" s="3285"/>
      <c r="S716" s="3285"/>
      <c r="T716" s="3285"/>
      <c r="U716" s="3285"/>
      <c r="V716" s="3285"/>
      <c r="W716" s="3285"/>
      <c r="X716" s="3285"/>
      <c r="Y716" s="3285"/>
      <c r="Z716" s="3285"/>
      <c r="AA716" s="3285"/>
      <c r="AB716" s="3285"/>
      <c r="AC716" s="3285"/>
      <c r="AD716" s="3285"/>
      <c r="AE716" s="3285"/>
      <c r="AF716" s="3285"/>
      <c r="AG716" s="3285"/>
      <c r="AH716" s="3285"/>
      <c r="AI716" s="3285"/>
      <c r="AJ716" s="3285"/>
      <c r="AK716" s="3285"/>
      <c r="AL716" s="3285"/>
      <c r="AM716" s="3285"/>
      <c r="AN716" s="3285"/>
      <c r="AO716" s="3285"/>
      <c r="AP716" s="3285"/>
      <c r="AQ716" s="3285"/>
      <c r="AR716" s="3285"/>
      <c r="AS716" s="3285"/>
      <c r="AT716" s="3285"/>
    </row>
    <row r="717" spans="2:46" ht="12.95" customHeight="1" x14ac:dyDescent="0.15">
      <c r="B717" s="3285" t="s">
        <v>620</v>
      </c>
      <c r="C717" s="3285"/>
      <c r="D717" s="3285"/>
      <c r="E717" s="3285"/>
      <c r="F717" s="3285"/>
      <c r="G717" s="3285"/>
      <c r="H717" s="3285"/>
      <c r="I717" s="3285"/>
      <c r="J717" s="3285"/>
      <c r="K717" s="3285"/>
      <c r="L717" s="3285"/>
      <c r="M717" s="3285"/>
      <c r="N717" s="3285"/>
      <c r="O717" s="3285"/>
      <c r="P717" s="3285"/>
      <c r="Q717" s="3285"/>
      <c r="R717" s="3285"/>
      <c r="S717" s="3285"/>
      <c r="T717" s="3285"/>
      <c r="U717" s="3285"/>
      <c r="V717" s="3285"/>
      <c r="W717" s="3285"/>
      <c r="X717" s="3285"/>
      <c r="Y717" s="3285"/>
      <c r="Z717" s="3285"/>
      <c r="AA717" s="3285"/>
      <c r="AB717" s="3285"/>
      <c r="AC717" s="3285"/>
      <c r="AD717" s="3285"/>
      <c r="AE717" s="3285"/>
      <c r="AF717" s="3285"/>
      <c r="AG717" s="3285"/>
      <c r="AH717" s="3285"/>
      <c r="AI717" s="3285"/>
      <c r="AJ717" s="3285"/>
      <c r="AK717" s="3285"/>
      <c r="AL717" s="3285"/>
      <c r="AM717" s="3285"/>
      <c r="AN717" s="3285"/>
      <c r="AO717" s="3285"/>
      <c r="AP717" s="3285"/>
      <c r="AQ717" s="3285"/>
      <c r="AR717" s="3285"/>
      <c r="AS717" s="3285"/>
      <c r="AT717" s="3285"/>
    </row>
    <row r="718" spans="2:46" ht="12.95" customHeight="1" x14ac:dyDescent="0.15">
      <c r="B718" s="3285" t="s">
        <v>621</v>
      </c>
      <c r="C718" s="3285"/>
      <c r="D718" s="3285"/>
      <c r="E718" s="3285"/>
      <c r="F718" s="3285"/>
      <c r="G718" s="3285"/>
      <c r="H718" s="3285"/>
      <c r="I718" s="3285"/>
      <c r="J718" s="3285"/>
      <c r="K718" s="3285"/>
      <c r="L718" s="3285"/>
      <c r="M718" s="3285"/>
      <c r="N718" s="3285"/>
      <c r="O718" s="3285"/>
      <c r="P718" s="3285"/>
      <c r="Q718" s="3285"/>
      <c r="R718" s="3285"/>
      <c r="S718" s="3285"/>
      <c r="T718" s="3285"/>
      <c r="U718" s="3285"/>
      <c r="V718" s="3285"/>
      <c r="W718" s="3285"/>
      <c r="X718" s="3285"/>
      <c r="Y718" s="3285"/>
      <c r="Z718" s="3285"/>
      <c r="AA718" s="3285"/>
      <c r="AB718" s="3285"/>
      <c r="AC718" s="3285"/>
      <c r="AD718" s="3285"/>
      <c r="AE718" s="3285"/>
      <c r="AF718" s="3285"/>
      <c r="AG718" s="3285"/>
      <c r="AH718" s="3285"/>
      <c r="AI718" s="3285"/>
      <c r="AJ718" s="3285"/>
      <c r="AK718" s="3285"/>
      <c r="AL718" s="3285"/>
      <c r="AM718" s="3285"/>
      <c r="AN718" s="3285"/>
      <c r="AO718" s="3285"/>
      <c r="AP718" s="3285"/>
      <c r="AQ718" s="3285"/>
      <c r="AR718" s="3285"/>
      <c r="AS718" s="3285"/>
      <c r="AT718" s="3285"/>
    </row>
    <row r="719" spans="2:46" ht="12.95" customHeight="1" x14ac:dyDescent="0.15">
      <c r="B719" s="3285" t="s">
        <v>622</v>
      </c>
      <c r="C719" s="3285"/>
      <c r="D719" s="3285"/>
      <c r="E719" s="3285"/>
      <c r="F719" s="3285"/>
      <c r="G719" s="3285"/>
      <c r="H719" s="3285"/>
      <c r="I719" s="3285"/>
      <c r="J719" s="3285"/>
      <c r="K719" s="3285"/>
      <c r="L719" s="3285"/>
      <c r="M719" s="3285"/>
      <c r="N719" s="3285"/>
      <c r="O719" s="3285"/>
      <c r="P719" s="3285"/>
      <c r="Q719" s="3285"/>
      <c r="R719" s="3285"/>
      <c r="S719" s="3285"/>
      <c r="T719" s="3285"/>
      <c r="U719" s="3285"/>
      <c r="V719" s="3285"/>
      <c r="W719" s="3285"/>
      <c r="X719" s="3285"/>
      <c r="Y719" s="3285"/>
      <c r="Z719" s="3285"/>
      <c r="AA719" s="3285"/>
      <c r="AB719" s="3285"/>
      <c r="AC719" s="3285"/>
      <c r="AD719" s="3285"/>
      <c r="AE719" s="3285"/>
      <c r="AF719" s="3285"/>
      <c r="AG719" s="3285"/>
      <c r="AH719" s="3285"/>
      <c r="AI719" s="3285"/>
      <c r="AJ719" s="3285"/>
      <c r="AK719" s="3285"/>
      <c r="AL719" s="3285"/>
      <c r="AM719" s="3285"/>
      <c r="AN719" s="3285"/>
      <c r="AO719" s="3285"/>
      <c r="AP719" s="3285"/>
      <c r="AQ719" s="3285"/>
      <c r="AR719" s="3285"/>
      <c r="AS719" s="3285"/>
      <c r="AT719" s="3285"/>
    </row>
    <row r="720" spans="2:46" ht="12.95" customHeight="1" x14ac:dyDescent="0.15">
      <c r="B720" s="3285" t="s">
        <v>623</v>
      </c>
      <c r="C720" s="3285"/>
      <c r="D720" s="3285"/>
      <c r="E720" s="3285"/>
      <c r="F720" s="3285"/>
      <c r="G720" s="3285"/>
      <c r="H720" s="3285"/>
      <c r="I720" s="3285"/>
      <c r="J720" s="3285"/>
      <c r="K720" s="3285"/>
      <c r="L720" s="3285"/>
      <c r="M720" s="3285"/>
      <c r="N720" s="3285"/>
      <c r="O720" s="3285"/>
      <c r="P720" s="3285"/>
      <c r="Q720" s="3285"/>
      <c r="R720" s="3285"/>
      <c r="S720" s="3285"/>
      <c r="T720" s="3285"/>
      <c r="U720" s="3285"/>
      <c r="V720" s="3285"/>
      <c r="W720" s="3285"/>
      <c r="X720" s="3285"/>
      <c r="Y720" s="3285"/>
      <c r="Z720" s="3285"/>
      <c r="AA720" s="3285"/>
      <c r="AB720" s="3285"/>
      <c r="AC720" s="3285"/>
      <c r="AD720" s="3285"/>
      <c r="AE720" s="3285"/>
      <c r="AF720" s="3285"/>
      <c r="AG720" s="3285"/>
      <c r="AH720" s="3285"/>
      <c r="AI720" s="3285"/>
      <c r="AJ720" s="3285"/>
      <c r="AK720" s="3285"/>
      <c r="AL720" s="3285"/>
      <c r="AM720" s="3285"/>
      <c r="AN720" s="3285"/>
      <c r="AO720" s="3285"/>
      <c r="AP720" s="3285"/>
      <c r="AQ720" s="3285"/>
      <c r="AR720" s="3285"/>
      <c r="AS720" s="3285"/>
      <c r="AT720" s="3285"/>
    </row>
    <row r="721" spans="2:47" ht="12.95" customHeight="1" x14ac:dyDescent="0.15">
      <c r="B721" s="3282" t="s">
        <v>624</v>
      </c>
      <c r="C721" s="3282"/>
      <c r="D721" s="3282"/>
      <c r="E721" s="3282"/>
      <c r="F721" s="3282"/>
      <c r="G721" s="3282"/>
      <c r="H721" s="3282"/>
      <c r="I721" s="3282"/>
      <c r="J721" s="3282"/>
      <c r="K721" s="3282"/>
      <c r="L721" s="3282"/>
      <c r="M721" s="3282"/>
      <c r="N721" s="3282"/>
      <c r="O721" s="3282"/>
      <c r="P721" s="3282"/>
      <c r="Q721" s="3282"/>
      <c r="R721" s="3282"/>
      <c r="S721" s="3282"/>
      <c r="T721" s="3282"/>
      <c r="U721" s="3282"/>
      <c r="V721" s="3282"/>
      <c r="W721" s="3282"/>
      <c r="X721" s="3282"/>
      <c r="Y721" s="3282"/>
      <c r="Z721" s="3282"/>
      <c r="AA721" s="3282"/>
      <c r="AB721" s="3282"/>
      <c r="AC721" s="3282"/>
      <c r="AD721" s="3282"/>
      <c r="AE721" s="3282"/>
      <c r="AF721" s="3282"/>
      <c r="AG721" s="3282"/>
      <c r="AH721" s="3282"/>
      <c r="AI721" s="3282"/>
      <c r="AJ721" s="3282"/>
      <c r="AK721" s="3282"/>
      <c r="AL721" s="3282"/>
      <c r="AM721" s="3282"/>
      <c r="AN721" s="3282"/>
      <c r="AO721" s="3282"/>
      <c r="AP721" s="3282"/>
      <c r="AQ721" s="3282"/>
      <c r="AR721" s="3282"/>
      <c r="AS721" s="3282"/>
      <c r="AT721" s="3282"/>
      <c r="AU721" s="1865"/>
    </row>
    <row r="722" spans="2:47" ht="12.95" customHeight="1" x14ac:dyDescent="0.15">
      <c r="B722" s="3285" t="s">
        <v>625</v>
      </c>
      <c r="C722" s="3285"/>
      <c r="D722" s="3285"/>
      <c r="E722" s="3285"/>
      <c r="F722" s="3285"/>
      <c r="G722" s="3285"/>
      <c r="H722" s="3285"/>
      <c r="I722" s="3285"/>
      <c r="J722" s="3285"/>
      <c r="K722" s="3285"/>
      <c r="L722" s="3285"/>
      <c r="M722" s="3285"/>
      <c r="N722" s="3285"/>
      <c r="O722" s="3285"/>
      <c r="P722" s="3285"/>
      <c r="Q722" s="3285"/>
      <c r="R722" s="3285"/>
      <c r="S722" s="3285"/>
      <c r="T722" s="3285"/>
      <c r="U722" s="3285"/>
      <c r="V722" s="3285"/>
      <c r="W722" s="3285"/>
      <c r="X722" s="3285"/>
      <c r="Y722" s="3285"/>
      <c r="Z722" s="3285"/>
      <c r="AA722" s="3285"/>
      <c r="AB722" s="3285"/>
      <c r="AC722" s="3285"/>
      <c r="AD722" s="3285"/>
      <c r="AE722" s="3285"/>
      <c r="AF722" s="3285"/>
      <c r="AG722" s="3285"/>
      <c r="AH722" s="3285"/>
      <c r="AI722" s="3285"/>
      <c r="AJ722" s="3285"/>
      <c r="AK722" s="3285"/>
      <c r="AL722" s="3285"/>
      <c r="AM722" s="3285"/>
      <c r="AN722" s="3285"/>
      <c r="AO722" s="3285"/>
      <c r="AP722" s="3285"/>
      <c r="AQ722" s="3285"/>
      <c r="AR722" s="3285"/>
      <c r="AS722" s="3285"/>
      <c r="AT722" s="3285"/>
    </row>
    <row r="723" spans="2:47" ht="12.95" customHeight="1" x14ac:dyDescent="0.15">
      <c r="B723" s="3285" t="s">
        <v>626</v>
      </c>
      <c r="C723" s="3285"/>
      <c r="D723" s="3285"/>
      <c r="E723" s="3285"/>
      <c r="F723" s="3285"/>
      <c r="G723" s="3285"/>
      <c r="H723" s="3285"/>
      <c r="I723" s="3285"/>
      <c r="J723" s="3285"/>
      <c r="K723" s="3285"/>
      <c r="L723" s="3285"/>
      <c r="M723" s="3285"/>
      <c r="N723" s="3285"/>
      <c r="O723" s="3285"/>
      <c r="P723" s="3285"/>
      <c r="Q723" s="3285"/>
      <c r="R723" s="3285"/>
      <c r="S723" s="3285"/>
      <c r="T723" s="3285"/>
      <c r="U723" s="3285"/>
      <c r="V723" s="3285"/>
      <c r="W723" s="3285"/>
      <c r="X723" s="3285"/>
      <c r="Y723" s="3285"/>
      <c r="Z723" s="3285"/>
      <c r="AA723" s="3285"/>
      <c r="AB723" s="3285"/>
      <c r="AC723" s="3285"/>
      <c r="AD723" s="3285"/>
      <c r="AE723" s="3285"/>
      <c r="AF723" s="3285"/>
      <c r="AG723" s="3285"/>
      <c r="AH723" s="3285"/>
      <c r="AI723" s="3285"/>
      <c r="AJ723" s="3285"/>
      <c r="AK723" s="3285"/>
      <c r="AL723" s="3285"/>
      <c r="AM723" s="3285"/>
      <c r="AN723" s="3285"/>
      <c r="AO723" s="3285"/>
      <c r="AP723" s="3285"/>
      <c r="AQ723" s="3285"/>
      <c r="AR723" s="3285"/>
      <c r="AS723" s="3285"/>
      <c r="AT723" s="3285"/>
    </row>
    <row r="724" spans="2:47" ht="12.95" customHeight="1" x14ac:dyDescent="0.15">
      <c r="B724" s="3282" t="s">
        <v>627</v>
      </c>
      <c r="C724" s="3282"/>
      <c r="D724" s="3282"/>
      <c r="E724" s="3282"/>
      <c r="F724" s="3282"/>
      <c r="G724" s="3282"/>
      <c r="H724" s="3282"/>
      <c r="I724" s="3282"/>
      <c r="J724" s="3282"/>
      <c r="K724" s="3282"/>
      <c r="L724" s="3282"/>
      <c r="M724" s="3282"/>
      <c r="N724" s="3282"/>
      <c r="O724" s="3282"/>
      <c r="P724" s="3282"/>
      <c r="Q724" s="3282"/>
      <c r="R724" s="3282"/>
      <c r="S724" s="3282"/>
      <c r="T724" s="3282"/>
      <c r="U724" s="3282"/>
      <c r="V724" s="3282"/>
      <c r="W724" s="3282"/>
      <c r="X724" s="3282"/>
      <c r="Y724" s="3282"/>
      <c r="Z724" s="3282"/>
      <c r="AA724" s="3282"/>
      <c r="AB724" s="3282"/>
      <c r="AC724" s="3282"/>
      <c r="AD724" s="3282"/>
      <c r="AE724" s="3282"/>
      <c r="AF724" s="3282"/>
      <c r="AG724" s="3282"/>
      <c r="AH724" s="3282"/>
      <c r="AI724" s="3282"/>
      <c r="AJ724" s="3282"/>
      <c r="AK724" s="3282"/>
      <c r="AL724" s="3282"/>
      <c r="AM724" s="3282"/>
      <c r="AN724" s="3282"/>
      <c r="AO724" s="3282"/>
      <c r="AP724" s="3282"/>
      <c r="AQ724" s="3282"/>
      <c r="AR724" s="3282"/>
      <c r="AS724" s="3282"/>
      <c r="AT724" s="3282"/>
    </row>
    <row r="725" spans="2:47" ht="12.95" customHeight="1" x14ac:dyDescent="0.15">
      <c r="B725" s="3282" t="s">
        <v>628</v>
      </c>
      <c r="C725" s="3282"/>
      <c r="D725" s="3282"/>
      <c r="E725" s="3282"/>
      <c r="F725" s="3282"/>
      <c r="G725" s="3282"/>
      <c r="H725" s="3282"/>
      <c r="I725" s="3282"/>
      <c r="J725" s="3282"/>
      <c r="K725" s="3282"/>
      <c r="L725" s="3282"/>
      <c r="M725" s="3282"/>
      <c r="N725" s="3282"/>
      <c r="O725" s="3282"/>
      <c r="P725" s="3282"/>
      <c r="Q725" s="3282"/>
      <c r="R725" s="3282"/>
      <c r="S725" s="3282"/>
      <c r="T725" s="3282"/>
      <c r="U725" s="3282"/>
      <c r="V725" s="3282"/>
      <c r="W725" s="3282"/>
      <c r="X725" s="3282"/>
      <c r="Y725" s="3282"/>
      <c r="Z725" s="3282"/>
      <c r="AA725" s="3282"/>
      <c r="AB725" s="3282"/>
      <c r="AC725" s="3282"/>
      <c r="AD725" s="3282"/>
      <c r="AE725" s="3282"/>
      <c r="AF725" s="3282"/>
      <c r="AG725" s="3282"/>
      <c r="AH725" s="3282"/>
      <c r="AI725" s="3282"/>
      <c r="AJ725" s="3282"/>
      <c r="AK725" s="3282"/>
      <c r="AL725" s="3282"/>
      <c r="AM725" s="3282"/>
      <c r="AN725" s="3282"/>
      <c r="AO725" s="3282"/>
      <c r="AP725" s="3282"/>
      <c r="AQ725" s="3282"/>
      <c r="AR725" s="3282"/>
      <c r="AS725" s="3282"/>
      <c r="AT725" s="3282"/>
      <c r="AU725" s="1939"/>
    </row>
    <row r="726" spans="2:47" ht="12.95" customHeight="1" x14ac:dyDescent="0.15">
      <c r="B726" s="3283" t="s">
        <v>629</v>
      </c>
      <c r="C726" s="3283"/>
      <c r="D726" s="3283"/>
      <c r="E726" s="3283"/>
      <c r="F726" s="3283"/>
      <c r="G726" s="3283"/>
      <c r="H726" s="3283"/>
      <c r="I726" s="3283"/>
      <c r="J726" s="3283"/>
      <c r="K726" s="3283"/>
      <c r="L726" s="3283"/>
      <c r="M726" s="3283"/>
      <c r="N726" s="3283"/>
      <c r="O726" s="3283"/>
      <c r="P726" s="3283"/>
      <c r="Q726" s="3283"/>
      <c r="R726" s="3283"/>
      <c r="S726" s="3283"/>
      <c r="T726" s="3283"/>
      <c r="U726" s="3283"/>
      <c r="V726" s="3283"/>
      <c r="W726" s="3283"/>
      <c r="X726" s="3283"/>
      <c r="Y726" s="3283"/>
      <c r="Z726" s="3283"/>
      <c r="AA726" s="3283"/>
      <c r="AB726" s="3283"/>
      <c r="AC726" s="3283"/>
      <c r="AD726" s="3283"/>
      <c r="AE726" s="3283"/>
      <c r="AF726" s="3283"/>
      <c r="AG726" s="3283"/>
      <c r="AH726" s="3283"/>
      <c r="AI726" s="3283"/>
      <c r="AJ726" s="3283"/>
      <c r="AK726" s="3283"/>
      <c r="AL726" s="3283"/>
      <c r="AM726" s="3283"/>
      <c r="AN726" s="3283"/>
      <c r="AO726" s="3283"/>
      <c r="AP726" s="3283"/>
      <c r="AQ726" s="3283"/>
      <c r="AR726" s="3283"/>
      <c r="AS726" s="3283"/>
      <c r="AT726" s="3283"/>
      <c r="AU726" s="1939"/>
    </row>
    <row r="727" spans="2:47" ht="12.95" customHeight="1" x14ac:dyDescent="0.15">
      <c r="B727" s="3283" t="s">
        <v>630</v>
      </c>
      <c r="C727" s="3283"/>
      <c r="D727" s="3283"/>
      <c r="E727" s="3283"/>
      <c r="F727" s="3283"/>
      <c r="G727" s="3283"/>
      <c r="H727" s="3283"/>
      <c r="I727" s="3283"/>
      <c r="J727" s="3283"/>
      <c r="K727" s="3283"/>
      <c r="L727" s="3283"/>
      <c r="M727" s="3283"/>
      <c r="N727" s="3283"/>
      <c r="O727" s="3283"/>
      <c r="P727" s="3283"/>
      <c r="Q727" s="3283"/>
      <c r="R727" s="3283"/>
      <c r="S727" s="3283"/>
      <c r="T727" s="3283"/>
      <c r="U727" s="3283"/>
      <c r="V727" s="3283"/>
      <c r="W727" s="3283"/>
      <c r="X727" s="3283"/>
      <c r="Y727" s="3283"/>
      <c r="Z727" s="3283"/>
      <c r="AA727" s="3283"/>
      <c r="AB727" s="3283"/>
      <c r="AC727" s="3283"/>
      <c r="AD727" s="3283"/>
      <c r="AE727" s="3283"/>
      <c r="AF727" s="3283"/>
      <c r="AG727" s="3283"/>
      <c r="AH727" s="3283"/>
      <c r="AI727" s="3283"/>
      <c r="AJ727" s="3283"/>
      <c r="AK727" s="3283"/>
      <c r="AL727" s="3283"/>
      <c r="AM727" s="3283"/>
      <c r="AN727" s="3283"/>
      <c r="AO727" s="3283"/>
      <c r="AP727" s="3283"/>
      <c r="AQ727" s="3283"/>
      <c r="AR727" s="3283"/>
      <c r="AS727" s="3283"/>
      <c r="AT727" s="3283"/>
      <c r="AU727" s="1939"/>
    </row>
    <row r="728" spans="2:47" ht="12.95" customHeight="1" x14ac:dyDescent="0.15">
      <c r="B728" s="3283" t="s">
        <v>631</v>
      </c>
      <c r="C728" s="3283"/>
      <c r="D728" s="3283"/>
      <c r="E728" s="3283"/>
      <c r="F728" s="3283"/>
      <c r="G728" s="3283"/>
      <c r="H728" s="3283"/>
      <c r="I728" s="3283"/>
      <c r="J728" s="3283"/>
      <c r="K728" s="3283"/>
      <c r="L728" s="3283"/>
      <c r="M728" s="3283"/>
      <c r="N728" s="3283"/>
      <c r="O728" s="3283"/>
      <c r="P728" s="3283"/>
      <c r="Q728" s="3283"/>
      <c r="R728" s="3283"/>
      <c r="S728" s="3283"/>
      <c r="T728" s="3283"/>
      <c r="U728" s="3283"/>
      <c r="V728" s="3283"/>
      <c r="W728" s="3283"/>
      <c r="X728" s="3283"/>
      <c r="Y728" s="3283"/>
      <c r="Z728" s="3283"/>
      <c r="AA728" s="3283"/>
      <c r="AB728" s="3283"/>
      <c r="AC728" s="3283"/>
      <c r="AD728" s="3283"/>
      <c r="AE728" s="3283"/>
      <c r="AF728" s="3283"/>
      <c r="AG728" s="3283"/>
      <c r="AH728" s="3283"/>
      <c r="AI728" s="3283"/>
      <c r="AJ728" s="3283"/>
      <c r="AK728" s="3283"/>
      <c r="AL728" s="3283"/>
      <c r="AM728" s="3283"/>
      <c r="AN728" s="3283"/>
      <c r="AO728" s="3283"/>
      <c r="AP728" s="3283"/>
      <c r="AQ728" s="3283"/>
      <c r="AR728" s="3283"/>
      <c r="AS728" s="3283"/>
      <c r="AT728" s="3283"/>
      <c r="AU728" s="1939"/>
    </row>
    <row r="729" spans="2:47" ht="12.95" customHeight="1" x14ac:dyDescent="0.15">
      <c r="B729" s="3282" t="s">
        <v>632</v>
      </c>
      <c r="C729" s="3282"/>
      <c r="D729" s="3282"/>
      <c r="E729" s="3282"/>
      <c r="F729" s="3282"/>
      <c r="G729" s="3282"/>
      <c r="H729" s="3282"/>
      <c r="I729" s="3282"/>
      <c r="J729" s="3282"/>
      <c r="K729" s="3282"/>
      <c r="L729" s="3282"/>
      <c r="M729" s="3282"/>
      <c r="N729" s="3282"/>
      <c r="O729" s="3282"/>
      <c r="P729" s="3282"/>
      <c r="Q729" s="3282"/>
      <c r="R729" s="3282"/>
      <c r="S729" s="3282"/>
      <c r="T729" s="3282"/>
      <c r="U729" s="3282"/>
      <c r="V729" s="3282"/>
      <c r="W729" s="3282"/>
      <c r="X729" s="3282"/>
      <c r="Y729" s="3282"/>
      <c r="Z729" s="3282"/>
      <c r="AA729" s="3282"/>
      <c r="AB729" s="3282"/>
      <c r="AC729" s="3282"/>
      <c r="AD729" s="3282"/>
      <c r="AE729" s="3282"/>
      <c r="AF729" s="3282"/>
      <c r="AG729" s="3282"/>
      <c r="AH729" s="3282"/>
      <c r="AI729" s="3282"/>
      <c r="AJ729" s="3282"/>
      <c r="AK729" s="3282"/>
      <c r="AL729" s="3282"/>
      <c r="AM729" s="3282"/>
      <c r="AN729" s="3282"/>
      <c r="AO729" s="3282"/>
      <c r="AP729" s="3282"/>
      <c r="AQ729" s="3282"/>
      <c r="AR729" s="3282"/>
      <c r="AS729" s="3282"/>
      <c r="AT729" s="3282"/>
      <c r="AU729" s="1939"/>
    </row>
    <row r="730" spans="2:47" ht="12.95" customHeight="1" x14ac:dyDescent="0.15">
      <c r="B730" s="3282" t="s">
        <v>633</v>
      </c>
      <c r="C730" s="3282"/>
      <c r="D730" s="3282"/>
      <c r="E730" s="3282"/>
      <c r="F730" s="3282"/>
      <c r="G730" s="3282"/>
      <c r="H730" s="3282"/>
      <c r="I730" s="3282"/>
      <c r="J730" s="3282"/>
      <c r="K730" s="3282"/>
      <c r="L730" s="3282"/>
      <c r="M730" s="3282"/>
      <c r="N730" s="3282"/>
      <c r="O730" s="3282"/>
      <c r="P730" s="3282"/>
      <c r="Q730" s="3282"/>
      <c r="R730" s="3282"/>
      <c r="S730" s="3282"/>
      <c r="T730" s="3282"/>
      <c r="U730" s="3282"/>
      <c r="V730" s="3282"/>
      <c r="W730" s="3282"/>
      <c r="X730" s="3282"/>
      <c r="Y730" s="3282"/>
      <c r="Z730" s="3282"/>
      <c r="AA730" s="3282"/>
      <c r="AB730" s="3282"/>
      <c r="AC730" s="3282"/>
      <c r="AD730" s="3282"/>
      <c r="AE730" s="3282"/>
      <c r="AF730" s="3282"/>
      <c r="AG730" s="3282"/>
      <c r="AH730" s="3282"/>
      <c r="AI730" s="3282"/>
      <c r="AJ730" s="3282"/>
      <c r="AK730" s="3282"/>
      <c r="AL730" s="3282"/>
      <c r="AM730" s="3282"/>
      <c r="AN730" s="3282"/>
      <c r="AO730" s="3282"/>
      <c r="AP730" s="3282"/>
      <c r="AQ730" s="3282"/>
      <c r="AR730" s="3282"/>
      <c r="AS730" s="3282"/>
      <c r="AT730" s="3282"/>
      <c r="AU730" s="1939"/>
    </row>
    <row r="731" spans="2:47" ht="12.95" customHeight="1" x14ac:dyDescent="0.15">
      <c r="B731" s="3282" t="s">
        <v>634</v>
      </c>
      <c r="C731" s="3282"/>
      <c r="D731" s="3282"/>
      <c r="E731" s="3282"/>
      <c r="F731" s="3282"/>
      <c r="G731" s="3282"/>
      <c r="H731" s="3282"/>
      <c r="I731" s="3282"/>
      <c r="J731" s="3282"/>
      <c r="K731" s="3282"/>
      <c r="L731" s="3282"/>
      <c r="M731" s="3282"/>
      <c r="N731" s="3282"/>
      <c r="O731" s="3282"/>
      <c r="P731" s="3282"/>
      <c r="Q731" s="3282"/>
      <c r="R731" s="3282"/>
      <c r="S731" s="3282"/>
      <c r="T731" s="3282"/>
      <c r="U731" s="3282"/>
      <c r="V731" s="3282"/>
      <c r="W731" s="3282"/>
      <c r="X731" s="3282"/>
      <c r="Y731" s="3282"/>
      <c r="Z731" s="3282"/>
      <c r="AA731" s="3282"/>
      <c r="AB731" s="3282"/>
      <c r="AC731" s="3282"/>
      <c r="AD731" s="3282"/>
      <c r="AE731" s="3282"/>
      <c r="AF731" s="3282"/>
      <c r="AG731" s="3282"/>
      <c r="AH731" s="3282"/>
      <c r="AI731" s="3282"/>
      <c r="AJ731" s="3282"/>
      <c r="AK731" s="3282"/>
      <c r="AL731" s="3282"/>
      <c r="AM731" s="3282"/>
      <c r="AN731" s="3282"/>
      <c r="AO731" s="3282"/>
      <c r="AP731" s="3282"/>
      <c r="AQ731" s="3282"/>
      <c r="AR731" s="3282"/>
      <c r="AS731" s="3282"/>
      <c r="AT731" s="3282"/>
    </row>
    <row r="732" spans="2:47" ht="12.95" customHeight="1" x14ac:dyDescent="0.15">
      <c r="B732" s="3282" t="s">
        <v>635</v>
      </c>
      <c r="C732" s="3282"/>
      <c r="D732" s="3282"/>
      <c r="E732" s="3282"/>
      <c r="F732" s="3282"/>
      <c r="G732" s="3282"/>
      <c r="H732" s="3282"/>
      <c r="I732" s="3282"/>
      <c r="J732" s="3282"/>
      <c r="K732" s="3282"/>
      <c r="L732" s="3282"/>
      <c r="M732" s="3282"/>
      <c r="N732" s="3282"/>
      <c r="O732" s="3282"/>
      <c r="P732" s="3282"/>
      <c r="Q732" s="3282"/>
      <c r="R732" s="3282"/>
      <c r="S732" s="3282"/>
      <c r="T732" s="3282"/>
      <c r="U732" s="3282"/>
      <c r="V732" s="3282"/>
      <c r="W732" s="3282"/>
      <c r="X732" s="3282"/>
      <c r="Y732" s="3282"/>
      <c r="Z732" s="3282"/>
      <c r="AA732" s="3282"/>
      <c r="AB732" s="3282"/>
      <c r="AC732" s="3282"/>
      <c r="AD732" s="3282"/>
      <c r="AE732" s="3282"/>
      <c r="AF732" s="3282"/>
      <c r="AG732" s="3282"/>
      <c r="AH732" s="3282"/>
      <c r="AI732" s="3282"/>
      <c r="AJ732" s="3282"/>
      <c r="AK732" s="3282"/>
      <c r="AL732" s="3282"/>
      <c r="AM732" s="3282"/>
      <c r="AN732" s="3282"/>
      <c r="AO732" s="3282"/>
      <c r="AP732" s="3282"/>
      <c r="AQ732" s="3282"/>
      <c r="AR732" s="3282"/>
      <c r="AS732" s="3282"/>
      <c r="AT732" s="3282"/>
    </row>
    <row r="733" spans="2:47" ht="12.95" customHeight="1" x14ac:dyDescent="0.15">
      <c r="B733" s="3282" t="s">
        <v>636</v>
      </c>
      <c r="C733" s="3282"/>
      <c r="D733" s="3282"/>
      <c r="E733" s="3282"/>
      <c r="F733" s="3282"/>
      <c r="G733" s="3282"/>
      <c r="H733" s="3282"/>
      <c r="I733" s="3282"/>
      <c r="J733" s="3282"/>
      <c r="K733" s="3282"/>
      <c r="L733" s="3282"/>
      <c r="M733" s="3282"/>
      <c r="N733" s="3282"/>
      <c r="O733" s="3282"/>
      <c r="P733" s="3282"/>
      <c r="Q733" s="3282"/>
      <c r="R733" s="3282"/>
      <c r="S733" s="3282"/>
      <c r="T733" s="3282"/>
      <c r="U733" s="3282"/>
      <c r="V733" s="3282"/>
      <c r="W733" s="3282"/>
      <c r="X733" s="3282"/>
      <c r="Y733" s="3282"/>
      <c r="Z733" s="3282"/>
      <c r="AA733" s="3282"/>
      <c r="AB733" s="3282"/>
      <c r="AC733" s="3282"/>
      <c r="AD733" s="3282"/>
      <c r="AE733" s="3282"/>
      <c r="AF733" s="3282"/>
      <c r="AG733" s="3282"/>
      <c r="AH733" s="3282"/>
      <c r="AI733" s="3282"/>
      <c r="AJ733" s="3282"/>
      <c r="AK733" s="3282"/>
      <c r="AL733" s="3282"/>
      <c r="AM733" s="3282"/>
      <c r="AN733" s="3282"/>
      <c r="AO733" s="3282"/>
      <c r="AP733" s="3282"/>
      <c r="AQ733" s="3282"/>
      <c r="AR733" s="3282"/>
      <c r="AS733" s="3282"/>
      <c r="AT733" s="3282"/>
    </row>
    <row r="734" spans="2:47" ht="12.95" customHeight="1" x14ac:dyDescent="0.15">
      <c r="B734" s="3282" t="s">
        <v>637</v>
      </c>
      <c r="C734" s="3282"/>
      <c r="D734" s="3282"/>
      <c r="E734" s="3282"/>
      <c r="F734" s="3282"/>
      <c r="G734" s="3282"/>
      <c r="H734" s="3282"/>
      <c r="I734" s="3282"/>
      <c r="J734" s="3282"/>
      <c r="K734" s="3282"/>
      <c r="L734" s="3282"/>
      <c r="M734" s="3282"/>
      <c r="N734" s="3282"/>
      <c r="O734" s="3282"/>
      <c r="P734" s="3282"/>
      <c r="Q734" s="3282"/>
      <c r="R734" s="3282"/>
      <c r="S734" s="3282"/>
      <c r="T734" s="3282"/>
      <c r="U734" s="3282"/>
      <c r="V734" s="3282"/>
      <c r="W734" s="3282"/>
      <c r="X734" s="3282"/>
      <c r="Y734" s="3282"/>
      <c r="Z734" s="3282"/>
      <c r="AA734" s="3282"/>
      <c r="AB734" s="3282"/>
      <c r="AC734" s="3282"/>
      <c r="AD734" s="3282"/>
      <c r="AE734" s="3282"/>
      <c r="AF734" s="3282"/>
      <c r="AG734" s="3282"/>
      <c r="AH734" s="3282"/>
      <c r="AI734" s="3282"/>
      <c r="AJ734" s="3282"/>
      <c r="AK734" s="3282"/>
      <c r="AL734" s="3282"/>
      <c r="AM734" s="3282"/>
      <c r="AN734" s="3282"/>
      <c r="AO734" s="3282"/>
      <c r="AP734" s="3282"/>
      <c r="AQ734" s="3282"/>
      <c r="AR734" s="3282"/>
      <c r="AS734" s="3282"/>
      <c r="AT734" s="3282"/>
    </row>
    <row r="735" spans="2:47" ht="12.95" customHeight="1" x14ac:dyDescent="0.15">
      <c r="B735" s="3285" t="s">
        <v>638</v>
      </c>
      <c r="C735" s="3285"/>
      <c r="D735" s="3285"/>
      <c r="E735" s="3285"/>
      <c r="F735" s="3285"/>
      <c r="G735" s="3285"/>
      <c r="H735" s="3285"/>
      <c r="I735" s="3285"/>
      <c r="J735" s="3285"/>
      <c r="K735" s="3285"/>
      <c r="L735" s="3285"/>
      <c r="M735" s="3285"/>
      <c r="N735" s="3285"/>
      <c r="O735" s="3285"/>
      <c r="P735" s="3285"/>
      <c r="Q735" s="3285"/>
      <c r="R735" s="3285"/>
      <c r="S735" s="3285"/>
      <c r="T735" s="3285"/>
      <c r="U735" s="3285"/>
      <c r="V735" s="3285"/>
      <c r="W735" s="3285"/>
      <c r="X735" s="3285"/>
      <c r="Y735" s="3285"/>
      <c r="Z735" s="3285"/>
      <c r="AA735" s="3285"/>
      <c r="AB735" s="3285"/>
      <c r="AC735" s="3285"/>
      <c r="AD735" s="3285"/>
      <c r="AE735" s="3285"/>
      <c r="AF735" s="3285"/>
      <c r="AG735" s="3285"/>
      <c r="AH735" s="3285"/>
      <c r="AI735" s="3285"/>
      <c r="AJ735" s="3285"/>
      <c r="AK735" s="3285"/>
      <c r="AL735" s="3285"/>
      <c r="AM735" s="3285"/>
      <c r="AN735" s="3285"/>
      <c r="AO735" s="3285"/>
      <c r="AP735" s="3285"/>
      <c r="AQ735" s="3285"/>
      <c r="AR735" s="3285"/>
      <c r="AS735" s="3285"/>
      <c r="AT735" s="3285"/>
    </row>
    <row r="736" spans="2:47" ht="12.95" customHeight="1" x14ac:dyDescent="0.15">
      <c r="B736" s="1865"/>
      <c r="C736" s="1865"/>
      <c r="D736" s="1865"/>
      <c r="E736" s="1865"/>
      <c r="F736" s="1865"/>
      <c r="G736" s="1865"/>
      <c r="H736" s="1865"/>
      <c r="I736" s="1865"/>
      <c r="J736" s="1865"/>
      <c r="K736" s="1865"/>
      <c r="L736" s="1865"/>
      <c r="M736" s="1865"/>
      <c r="N736" s="1865"/>
      <c r="O736" s="1865"/>
      <c r="P736" s="1865"/>
      <c r="Q736" s="1865"/>
      <c r="R736" s="1865"/>
      <c r="S736" s="1865"/>
      <c r="T736" s="1865"/>
      <c r="U736" s="1865"/>
      <c r="V736" s="1865"/>
      <c r="W736" s="1865"/>
      <c r="X736" s="1865"/>
      <c r="Y736" s="1865"/>
      <c r="Z736" s="1865"/>
      <c r="AA736" s="1865"/>
      <c r="AB736" s="1865"/>
      <c r="AC736" s="1865"/>
      <c r="AD736" s="1865"/>
      <c r="AE736" s="1865"/>
      <c r="AF736" s="1865"/>
      <c r="AG736" s="1865"/>
      <c r="AH736" s="1865"/>
      <c r="AI736" s="1865"/>
      <c r="AJ736" s="1865"/>
      <c r="AK736" s="1865"/>
      <c r="AL736" s="1865"/>
      <c r="AM736" s="1865"/>
      <c r="AN736" s="1865"/>
      <c r="AO736" s="1865"/>
      <c r="AP736" s="1865"/>
      <c r="AQ736" s="1865"/>
      <c r="AR736" s="1865"/>
      <c r="AS736" s="1865"/>
      <c r="AT736" s="1865"/>
    </row>
    <row r="737" spans="2:51" ht="12.95" customHeight="1" x14ac:dyDescent="0.15">
      <c r="B737" s="3285" t="s">
        <v>639</v>
      </c>
      <c r="C737" s="3285"/>
      <c r="D737" s="3285"/>
      <c r="E737" s="3285"/>
      <c r="F737" s="3285"/>
      <c r="G737" s="3285"/>
      <c r="H737" s="3285"/>
      <c r="I737" s="3285"/>
      <c r="J737" s="3285"/>
      <c r="K737" s="3285"/>
      <c r="L737" s="3285"/>
      <c r="M737" s="3285"/>
      <c r="N737" s="3285"/>
      <c r="O737" s="3285"/>
      <c r="P737" s="3285"/>
      <c r="Q737" s="3285"/>
      <c r="R737" s="3285"/>
      <c r="S737" s="3285"/>
      <c r="T737" s="3285"/>
      <c r="U737" s="3285"/>
      <c r="V737" s="3285"/>
      <c r="W737" s="3285"/>
      <c r="X737" s="3285"/>
      <c r="Y737" s="3285"/>
      <c r="Z737" s="3285"/>
      <c r="AA737" s="3285"/>
      <c r="AB737" s="3285"/>
      <c r="AC737" s="3285"/>
      <c r="AD737" s="3285"/>
      <c r="AE737" s="3285"/>
      <c r="AF737" s="3285"/>
      <c r="AG737" s="3285"/>
      <c r="AH737" s="3285"/>
      <c r="AI737" s="3285"/>
      <c r="AJ737" s="3285"/>
      <c r="AK737" s="3285"/>
      <c r="AL737" s="3285"/>
      <c r="AM737" s="3285"/>
      <c r="AN737" s="3285"/>
      <c r="AO737" s="3285"/>
      <c r="AP737" s="3285"/>
      <c r="AQ737" s="3285"/>
      <c r="AR737" s="3285"/>
      <c r="AS737" s="3285"/>
      <c r="AT737" s="3285"/>
    </row>
    <row r="738" spans="2:51" ht="15" customHeight="1" x14ac:dyDescent="0.15">
      <c r="AU738" s="1882"/>
      <c r="AV738" s="1872"/>
      <c r="AW738" s="1872"/>
      <c r="AX738" s="1872"/>
      <c r="AY738" s="1872"/>
    </row>
    <row r="739" spans="2:51" ht="15" customHeight="1" x14ac:dyDescent="0.15"/>
    <row r="740" spans="2:51" ht="15" customHeight="1" x14ac:dyDescent="0.15"/>
    <row r="741" spans="2:51" ht="15" customHeight="1" x14ac:dyDescent="0.15"/>
    <row r="742" spans="2:51" ht="15" customHeight="1" x14ac:dyDescent="0.15"/>
    <row r="743" spans="2:51" ht="15" customHeight="1" x14ac:dyDescent="0.15"/>
    <row r="744" spans="2:51" ht="15" customHeight="1" x14ac:dyDescent="0.15"/>
    <row r="745" spans="2:51" ht="15" customHeight="1" x14ac:dyDescent="0.15"/>
    <row r="746" spans="2:51" ht="15" customHeight="1" x14ac:dyDescent="0.15"/>
    <row r="780" spans="1:2" x14ac:dyDescent="0.15">
      <c r="A780" s="1940"/>
      <c r="B780" s="1941"/>
    </row>
    <row r="781" spans="1:2" x14ac:dyDescent="0.15">
      <c r="A781" s="1941"/>
      <c r="B781" s="1941"/>
    </row>
    <row r="782" spans="1:2" x14ac:dyDescent="0.15">
      <c r="A782" s="1941"/>
      <c r="B782" s="1941"/>
    </row>
    <row r="783" spans="1:2" x14ac:dyDescent="0.15">
      <c r="A783" s="1941"/>
      <c r="B783" s="1941"/>
    </row>
    <row r="784" spans="1:2" x14ac:dyDescent="0.15">
      <c r="A784" s="1941"/>
      <c r="B784" s="1941"/>
    </row>
    <row r="785" spans="1:2" x14ac:dyDescent="0.15">
      <c r="A785" s="1941"/>
      <c r="B785" s="1941"/>
    </row>
    <row r="786" spans="1:2" x14ac:dyDescent="0.15">
      <c r="A786" s="1941"/>
      <c r="B786" s="1941"/>
    </row>
    <row r="787" spans="1:2" x14ac:dyDescent="0.15">
      <c r="A787" s="1941"/>
      <c r="B787" s="1941"/>
    </row>
    <row r="788" spans="1:2" x14ac:dyDescent="0.15">
      <c r="A788" s="1941"/>
      <c r="B788" s="1941"/>
    </row>
    <row r="789" spans="1:2" x14ac:dyDescent="0.15">
      <c r="A789" s="1941"/>
      <c r="B789" s="1941"/>
    </row>
    <row r="790" spans="1:2" x14ac:dyDescent="0.15">
      <c r="A790" s="1941"/>
      <c r="B790" s="1941"/>
    </row>
    <row r="791" spans="1:2" x14ac:dyDescent="0.15">
      <c r="A791" s="1941"/>
      <c r="B791" s="1941"/>
    </row>
    <row r="792" spans="1:2" x14ac:dyDescent="0.15">
      <c r="A792" s="1941"/>
      <c r="B792" s="1941"/>
    </row>
    <row r="793" spans="1:2" x14ac:dyDescent="0.15">
      <c r="A793" s="1941"/>
      <c r="B793" s="1941"/>
    </row>
    <row r="794" spans="1:2" x14ac:dyDescent="0.15">
      <c r="A794" s="1941"/>
      <c r="B794" s="1941"/>
    </row>
    <row r="795" spans="1:2" x14ac:dyDescent="0.15">
      <c r="A795" s="1941"/>
      <c r="B795" s="1941"/>
    </row>
    <row r="796" spans="1:2" x14ac:dyDescent="0.15">
      <c r="A796" s="1941"/>
      <c r="B796" s="1941"/>
    </row>
    <row r="797" spans="1:2" x14ac:dyDescent="0.15">
      <c r="A797" s="1941"/>
      <c r="B797" s="1941"/>
    </row>
    <row r="798" spans="1:2" x14ac:dyDescent="0.15">
      <c r="A798" s="1941"/>
      <c r="B798" s="1941"/>
    </row>
    <row r="799" spans="1:2" x14ac:dyDescent="0.15">
      <c r="A799" s="1941"/>
      <c r="B799" s="1941"/>
    </row>
    <row r="800" spans="1:2" x14ac:dyDescent="0.15">
      <c r="A800" s="1941"/>
      <c r="B800" s="1941"/>
    </row>
    <row r="801" spans="1:2" x14ac:dyDescent="0.15">
      <c r="A801" s="1941"/>
      <c r="B801" s="1941"/>
    </row>
    <row r="802" spans="1:2" x14ac:dyDescent="0.15">
      <c r="A802" s="1941"/>
      <c r="B802" s="1941"/>
    </row>
    <row r="803" spans="1:2" x14ac:dyDescent="0.15">
      <c r="A803" s="1941"/>
      <c r="B803" s="1941"/>
    </row>
    <row r="804" spans="1:2" x14ac:dyDescent="0.15">
      <c r="A804" s="1941"/>
      <c r="B804" s="1941"/>
    </row>
    <row r="805" spans="1:2" x14ac:dyDescent="0.15">
      <c r="A805" s="1941"/>
      <c r="B805" s="1941"/>
    </row>
    <row r="806" spans="1:2" x14ac:dyDescent="0.15">
      <c r="A806" s="1941"/>
      <c r="B806" s="1941"/>
    </row>
    <row r="807" spans="1:2" x14ac:dyDescent="0.15">
      <c r="A807" s="1941"/>
      <c r="B807" s="1941"/>
    </row>
    <row r="808" spans="1:2" x14ac:dyDescent="0.15">
      <c r="A808" s="1941"/>
      <c r="B808" s="1941"/>
    </row>
    <row r="809" spans="1:2" x14ac:dyDescent="0.15">
      <c r="A809" s="1941"/>
      <c r="B809" s="1941"/>
    </row>
    <row r="810" spans="1:2" x14ac:dyDescent="0.15">
      <c r="A810" s="1941"/>
      <c r="B810" s="1941"/>
    </row>
    <row r="811" spans="1:2" x14ac:dyDescent="0.15">
      <c r="A811" s="1941"/>
      <c r="B811" s="1941"/>
    </row>
    <row r="812" spans="1:2" x14ac:dyDescent="0.15">
      <c r="A812" s="1941"/>
      <c r="B812" s="1941"/>
    </row>
    <row r="813" spans="1:2" x14ac:dyDescent="0.15">
      <c r="A813" s="1941"/>
      <c r="B813" s="1941"/>
    </row>
    <row r="814" spans="1:2" x14ac:dyDescent="0.15">
      <c r="A814" s="1941"/>
      <c r="B814" s="1941"/>
    </row>
    <row r="815" spans="1:2" x14ac:dyDescent="0.15">
      <c r="A815" s="1941"/>
      <c r="B815" s="1941"/>
    </row>
    <row r="816" spans="1:2" x14ac:dyDescent="0.15">
      <c r="A816" s="1941"/>
      <c r="B816" s="1941"/>
    </row>
    <row r="817" spans="1:2" x14ac:dyDescent="0.15">
      <c r="A817" s="1941"/>
      <c r="B817" s="1941"/>
    </row>
    <row r="818" spans="1:2" x14ac:dyDescent="0.15">
      <c r="A818" s="1941"/>
      <c r="B818" s="1941"/>
    </row>
    <row r="819" spans="1:2" x14ac:dyDescent="0.15">
      <c r="A819" s="1941"/>
      <c r="B819" s="1941"/>
    </row>
    <row r="820" spans="1:2" x14ac:dyDescent="0.15">
      <c r="A820" s="1941"/>
      <c r="B820" s="1941"/>
    </row>
    <row r="821" spans="1:2" x14ac:dyDescent="0.15">
      <c r="A821" s="1941"/>
      <c r="B821" s="1941"/>
    </row>
    <row r="822" spans="1:2" x14ac:dyDescent="0.15">
      <c r="A822" s="1941"/>
      <c r="B822" s="1941"/>
    </row>
    <row r="823" spans="1:2" x14ac:dyDescent="0.15">
      <c r="A823" s="1941"/>
      <c r="B823" s="1941"/>
    </row>
    <row r="824" spans="1:2" x14ac:dyDescent="0.15">
      <c r="A824" s="1941"/>
      <c r="B824" s="1941"/>
    </row>
    <row r="825" spans="1:2" x14ac:dyDescent="0.15">
      <c r="A825" s="1941"/>
      <c r="B825" s="1941"/>
    </row>
    <row r="826" spans="1:2" x14ac:dyDescent="0.15">
      <c r="A826" s="1941"/>
      <c r="B826" s="1941"/>
    </row>
    <row r="827" spans="1:2" x14ac:dyDescent="0.15">
      <c r="A827" s="1941"/>
      <c r="B827" s="1941"/>
    </row>
    <row r="828" spans="1:2" x14ac:dyDescent="0.15">
      <c r="A828" s="1941"/>
      <c r="B828" s="1941"/>
    </row>
    <row r="829" spans="1:2" x14ac:dyDescent="0.15">
      <c r="A829" s="1941"/>
      <c r="B829" s="1941"/>
    </row>
    <row r="830" spans="1:2" x14ac:dyDescent="0.15">
      <c r="A830" s="1941"/>
      <c r="B830" s="1941"/>
    </row>
    <row r="831" spans="1:2" x14ac:dyDescent="0.15">
      <c r="A831" s="1941"/>
      <c r="B831" s="1941"/>
    </row>
    <row r="832" spans="1:2" x14ac:dyDescent="0.15">
      <c r="A832" s="1941"/>
      <c r="B832" s="1941"/>
    </row>
    <row r="833" spans="1:2" x14ac:dyDescent="0.15">
      <c r="A833" s="1941"/>
      <c r="B833" s="1941"/>
    </row>
    <row r="834" spans="1:2" x14ac:dyDescent="0.15">
      <c r="A834" s="1941"/>
      <c r="B834" s="1941"/>
    </row>
    <row r="835" spans="1:2" x14ac:dyDescent="0.15">
      <c r="A835" s="1941"/>
      <c r="B835" s="1941"/>
    </row>
    <row r="836" spans="1:2" x14ac:dyDescent="0.15">
      <c r="A836" s="1941"/>
      <c r="B836" s="1941"/>
    </row>
    <row r="837" spans="1:2" x14ac:dyDescent="0.15">
      <c r="A837" s="1941"/>
      <c r="B837" s="1941"/>
    </row>
    <row r="838" spans="1:2" x14ac:dyDescent="0.15">
      <c r="A838" s="1941"/>
      <c r="B838" s="1941"/>
    </row>
    <row r="839" spans="1:2" x14ac:dyDescent="0.15">
      <c r="A839" s="1941"/>
      <c r="B839" s="1941"/>
    </row>
    <row r="840" spans="1:2" x14ac:dyDescent="0.15">
      <c r="A840" s="1941"/>
      <c r="B840" s="1941"/>
    </row>
    <row r="841" spans="1:2" x14ac:dyDescent="0.15">
      <c r="A841" s="1941"/>
      <c r="B841" s="1941"/>
    </row>
    <row r="842" spans="1:2" x14ac:dyDescent="0.15">
      <c r="A842" s="1941"/>
      <c r="B842" s="1941"/>
    </row>
    <row r="843" spans="1:2" x14ac:dyDescent="0.15">
      <c r="A843" s="1941"/>
      <c r="B843" s="1941"/>
    </row>
    <row r="844" spans="1:2" x14ac:dyDescent="0.15">
      <c r="A844" s="1941"/>
      <c r="B844" s="1941"/>
    </row>
    <row r="845" spans="1:2" x14ac:dyDescent="0.15">
      <c r="A845" s="1941"/>
      <c r="B845" s="1941"/>
    </row>
    <row r="846" spans="1:2" x14ac:dyDescent="0.15">
      <c r="A846" s="1941"/>
      <c r="B846" s="1941"/>
    </row>
    <row r="847" spans="1:2" x14ac:dyDescent="0.15">
      <c r="A847" s="1941"/>
      <c r="B847" s="1941"/>
    </row>
    <row r="848" spans="1:2" x14ac:dyDescent="0.15">
      <c r="A848" s="1941"/>
      <c r="B848" s="1941"/>
    </row>
    <row r="849" spans="1:2" x14ac:dyDescent="0.15">
      <c r="A849" s="1941"/>
      <c r="B849" s="1941"/>
    </row>
    <row r="850" spans="1:2" x14ac:dyDescent="0.15">
      <c r="A850" s="1941"/>
      <c r="B850" s="1941"/>
    </row>
    <row r="851" spans="1:2" x14ac:dyDescent="0.15">
      <c r="A851" s="1941"/>
      <c r="B851" s="1941"/>
    </row>
    <row r="852" spans="1:2" x14ac:dyDescent="0.15">
      <c r="A852" s="1941"/>
      <c r="B852" s="1941"/>
    </row>
    <row r="853" spans="1:2" x14ac:dyDescent="0.15">
      <c r="A853" s="1941"/>
      <c r="B853" s="1941"/>
    </row>
    <row r="854" spans="1:2" x14ac:dyDescent="0.15">
      <c r="A854" s="1941"/>
      <c r="B854" s="1941"/>
    </row>
    <row r="855" spans="1:2" x14ac:dyDescent="0.15">
      <c r="A855" s="1941"/>
      <c r="B855" s="1941"/>
    </row>
    <row r="856" spans="1:2" x14ac:dyDescent="0.15">
      <c r="A856" s="1941"/>
      <c r="B856" s="1941"/>
    </row>
    <row r="857" spans="1:2" x14ac:dyDescent="0.15">
      <c r="A857" s="1941"/>
      <c r="B857" s="1941"/>
    </row>
    <row r="858" spans="1:2" x14ac:dyDescent="0.15">
      <c r="A858" s="1941"/>
      <c r="B858" s="1941"/>
    </row>
    <row r="859" spans="1:2" x14ac:dyDescent="0.15">
      <c r="A859" s="1941"/>
      <c r="B859" s="1941"/>
    </row>
    <row r="860" spans="1:2" x14ac:dyDescent="0.15">
      <c r="A860" s="1941"/>
      <c r="B860" s="1941"/>
    </row>
    <row r="861" spans="1:2" x14ac:dyDescent="0.15">
      <c r="A861" s="1941"/>
      <c r="B861" s="1941"/>
    </row>
    <row r="862" spans="1:2" x14ac:dyDescent="0.15">
      <c r="A862" s="1941"/>
      <c r="B862" s="1941"/>
    </row>
    <row r="863" spans="1:2" x14ac:dyDescent="0.15">
      <c r="A863" s="1941"/>
      <c r="B863" s="1941"/>
    </row>
    <row r="864" spans="1:2" x14ac:dyDescent="0.15">
      <c r="A864" s="1941"/>
      <c r="B864" s="1941"/>
    </row>
    <row r="865" spans="1:2" x14ac:dyDescent="0.15">
      <c r="A865" s="1941"/>
      <c r="B865" s="1941"/>
    </row>
    <row r="866" spans="1:2" x14ac:dyDescent="0.15">
      <c r="A866" s="1941"/>
      <c r="B866" s="1941"/>
    </row>
    <row r="867" spans="1:2" x14ac:dyDescent="0.15">
      <c r="A867" s="1941"/>
      <c r="B867" s="1941"/>
    </row>
    <row r="868" spans="1:2" x14ac:dyDescent="0.15">
      <c r="A868" s="1941"/>
      <c r="B868" s="1941"/>
    </row>
    <row r="869" spans="1:2" x14ac:dyDescent="0.15">
      <c r="A869" s="1941"/>
      <c r="B869" s="1941"/>
    </row>
    <row r="870" spans="1:2" x14ac:dyDescent="0.15">
      <c r="A870" s="1941"/>
      <c r="B870" s="1941"/>
    </row>
    <row r="871" spans="1:2" x14ac:dyDescent="0.15">
      <c r="A871" s="1941"/>
      <c r="B871" s="1941"/>
    </row>
    <row r="872" spans="1:2" x14ac:dyDescent="0.15">
      <c r="A872" s="1941"/>
      <c r="B872" s="1941"/>
    </row>
    <row r="873" spans="1:2" x14ac:dyDescent="0.15">
      <c r="A873" s="1941"/>
      <c r="B873" s="1941"/>
    </row>
    <row r="874" spans="1:2" x14ac:dyDescent="0.15">
      <c r="A874" s="1941"/>
      <c r="B874" s="1941"/>
    </row>
    <row r="875" spans="1:2" x14ac:dyDescent="0.15">
      <c r="A875" s="1941"/>
      <c r="B875" s="1941"/>
    </row>
    <row r="876" spans="1:2" x14ac:dyDescent="0.15">
      <c r="A876" s="1941"/>
      <c r="B876" s="1941"/>
    </row>
    <row r="877" spans="1:2" x14ac:dyDescent="0.15">
      <c r="A877" s="1941"/>
      <c r="B877" s="1941"/>
    </row>
    <row r="878" spans="1:2" x14ac:dyDescent="0.15">
      <c r="A878" s="1941"/>
      <c r="B878" s="1941"/>
    </row>
    <row r="879" spans="1:2" x14ac:dyDescent="0.15">
      <c r="A879" s="1941"/>
      <c r="B879" s="1941"/>
    </row>
    <row r="880" spans="1:2" x14ac:dyDescent="0.15">
      <c r="A880" s="1941"/>
      <c r="B880" s="1941"/>
    </row>
    <row r="881" spans="1:2" x14ac:dyDescent="0.15">
      <c r="A881" s="1941"/>
      <c r="B881" s="1941"/>
    </row>
    <row r="882" spans="1:2" x14ac:dyDescent="0.15">
      <c r="A882" s="1941"/>
      <c r="B882" s="1941"/>
    </row>
    <row r="883" spans="1:2" x14ac:dyDescent="0.15">
      <c r="A883" s="1941"/>
      <c r="B883" s="1941"/>
    </row>
    <row r="884" spans="1:2" x14ac:dyDescent="0.15">
      <c r="A884" s="1941"/>
      <c r="B884" s="1941"/>
    </row>
    <row r="885" spans="1:2" x14ac:dyDescent="0.15">
      <c r="A885" s="1941"/>
      <c r="B885" s="1941"/>
    </row>
    <row r="886" spans="1:2" x14ac:dyDescent="0.15">
      <c r="A886" s="1941"/>
      <c r="B886" s="1941"/>
    </row>
    <row r="887" spans="1:2" x14ac:dyDescent="0.15">
      <c r="A887" s="1941"/>
      <c r="B887" s="1941"/>
    </row>
    <row r="888" spans="1:2" x14ac:dyDescent="0.15">
      <c r="A888" s="1941"/>
      <c r="B888" s="1941"/>
    </row>
    <row r="889" spans="1:2" x14ac:dyDescent="0.15">
      <c r="A889" s="1941"/>
      <c r="B889" s="1941"/>
    </row>
    <row r="890" spans="1:2" x14ac:dyDescent="0.15">
      <c r="A890" s="1941"/>
      <c r="B890" s="1941"/>
    </row>
    <row r="891" spans="1:2" x14ac:dyDescent="0.15">
      <c r="A891" s="1941"/>
      <c r="B891" s="1941"/>
    </row>
    <row r="892" spans="1:2" x14ac:dyDescent="0.15">
      <c r="A892" s="1941"/>
      <c r="B892" s="1941"/>
    </row>
    <row r="893" spans="1:2" x14ac:dyDescent="0.15">
      <c r="A893" s="1941"/>
      <c r="B893" s="1941"/>
    </row>
    <row r="894" spans="1:2" x14ac:dyDescent="0.15">
      <c r="A894" s="1941"/>
      <c r="B894" s="1941"/>
    </row>
    <row r="895" spans="1:2" x14ac:dyDescent="0.15">
      <c r="A895" s="1941"/>
      <c r="B895" s="1941"/>
    </row>
    <row r="896" spans="1:2" x14ac:dyDescent="0.15">
      <c r="A896" s="1941"/>
      <c r="B896" s="1941"/>
    </row>
    <row r="897" spans="1:2" x14ac:dyDescent="0.15">
      <c r="A897" s="1941"/>
      <c r="B897" s="1941"/>
    </row>
    <row r="898" spans="1:2" x14ac:dyDescent="0.15">
      <c r="A898" s="1941"/>
      <c r="B898" s="1941"/>
    </row>
    <row r="899" spans="1:2" x14ac:dyDescent="0.15">
      <c r="A899" s="1941"/>
      <c r="B899" s="1941"/>
    </row>
    <row r="900" spans="1:2" x14ac:dyDescent="0.15">
      <c r="A900" s="1941"/>
      <c r="B900" s="1941"/>
    </row>
    <row r="901" spans="1:2" x14ac:dyDescent="0.15">
      <c r="A901" s="1941"/>
      <c r="B901" s="1941"/>
    </row>
    <row r="902" spans="1:2" x14ac:dyDescent="0.15">
      <c r="A902" s="1941"/>
      <c r="B902" s="1941"/>
    </row>
    <row r="903" spans="1:2" x14ac:dyDescent="0.15">
      <c r="A903" s="1941"/>
      <c r="B903" s="1941"/>
    </row>
    <row r="904" spans="1:2" x14ac:dyDescent="0.15">
      <c r="A904" s="1941"/>
      <c r="B904" s="1941"/>
    </row>
    <row r="905" spans="1:2" x14ac:dyDescent="0.15">
      <c r="A905" s="1941"/>
      <c r="B905" s="1941"/>
    </row>
    <row r="906" spans="1:2" x14ac:dyDescent="0.15">
      <c r="A906" s="1941"/>
      <c r="B906" s="1941"/>
    </row>
    <row r="907" spans="1:2" x14ac:dyDescent="0.15">
      <c r="A907" s="1941"/>
      <c r="B907" s="1941"/>
    </row>
    <row r="908" spans="1:2" x14ac:dyDescent="0.15">
      <c r="A908" s="1941"/>
      <c r="B908" s="1941"/>
    </row>
    <row r="909" spans="1:2" x14ac:dyDescent="0.15">
      <c r="A909" s="1941"/>
      <c r="B909" s="1941"/>
    </row>
    <row r="910" spans="1:2" x14ac:dyDescent="0.15">
      <c r="A910" s="1941"/>
      <c r="B910" s="1941"/>
    </row>
    <row r="911" spans="1:2" x14ac:dyDescent="0.15">
      <c r="A911" s="1941"/>
      <c r="B911" s="1941"/>
    </row>
    <row r="912" spans="1:2" x14ac:dyDescent="0.15">
      <c r="A912" s="1941"/>
      <c r="B912" s="1941"/>
    </row>
    <row r="913" spans="1:2" x14ac:dyDescent="0.15">
      <c r="A913" s="1941"/>
      <c r="B913" s="1941"/>
    </row>
    <row r="914" spans="1:2" x14ac:dyDescent="0.15">
      <c r="A914" s="1941"/>
      <c r="B914" s="1941"/>
    </row>
    <row r="915" spans="1:2" x14ac:dyDescent="0.15">
      <c r="A915" s="1941"/>
      <c r="B915" s="1941"/>
    </row>
    <row r="916" spans="1:2" x14ac:dyDescent="0.15">
      <c r="A916" s="1941"/>
      <c r="B916" s="1941"/>
    </row>
    <row r="917" spans="1:2" x14ac:dyDescent="0.15">
      <c r="A917" s="1941"/>
      <c r="B917" s="1941"/>
    </row>
    <row r="918" spans="1:2" x14ac:dyDescent="0.15">
      <c r="A918" s="1941"/>
      <c r="B918" s="1941"/>
    </row>
    <row r="919" spans="1:2" x14ac:dyDescent="0.15">
      <c r="A919" s="1941"/>
      <c r="B919" s="1941"/>
    </row>
    <row r="920" spans="1:2" x14ac:dyDescent="0.15">
      <c r="A920" s="1941"/>
      <c r="B920" s="1941"/>
    </row>
    <row r="921" spans="1:2" x14ac:dyDescent="0.15">
      <c r="A921" s="1941"/>
      <c r="B921" s="1941"/>
    </row>
    <row r="922" spans="1:2" x14ac:dyDescent="0.15">
      <c r="A922" s="1941"/>
      <c r="B922" s="1941"/>
    </row>
    <row r="923" spans="1:2" x14ac:dyDescent="0.15">
      <c r="A923" s="1941"/>
      <c r="B923" s="1941"/>
    </row>
    <row r="924" spans="1:2" x14ac:dyDescent="0.15">
      <c r="A924" s="1941"/>
      <c r="B924" s="1941"/>
    </row>
    <row r="925" spans="1:2" x14ac:dyDescent="0.15">
      <c r="A925" s="1941"/>
      <c r="B925" s="1941"/>
    </row>
    <row r="926" spans="1:2" x14ac:dyDescent="0.15">
      <c r="A926" s="1941"/>
      <c r="B926" s="1941"/>
    </row>
    <row r="927" spans="1:2" x14ac:dyDescent="0.15">
      <c r="A927" s="1941"/>
      <c r="B927" s="1941"/>
    </row>
    <row r="928" spans="1:2" x14ac:dyDescent="0.15">
      <c r="A928" s="1941"/>
      <c r="B928" s="1941"/>
    </row>
    <row r="929" spans="1:2" x14ac:dyDescent="0.15">
      <c r="A929" s="1941"/>
      <c r="B929" s="1941"/>
    </row>
    <row r="930" spans="1:2" x14ac:dyDescent="0.15">
      <c r="A930" s="1941"/>
      <c r="B930" s="1941"/>
    </row>
    <row r="931" spans="1:2" x14ac:dyDescent="0.15">
      <c r="A931" s="1941"/>
      <c r="B931" s="1941"/>
    </row>
    <row r="932" spans="1:2" x14ac:dyDescent="0.15">
      <c r="A932" s="1941"/>
      <c r="B932" s="1941"/>
    </row>
    <row r="933" spans="1:2" x14ac:dyDescent="0.15">
      <c r="A933" s="1941"/>
      <c r="B933" s="1941"/>
    </row>
    <row r="934" spans="1:2" x14ac:dyDescent="0.15">
      <c r="A934" s="1941"/>
      <c r="B934" s="1941"/>
    </row>
    <row r="935" spans="1:2" x14ac:dyDescent="0.15">
      <c r="A935" s="1941"/>
      <c r="B935" s="1941"/>
    </row>
    <row r="936" spans="1:2" x14ac:dyDescent="0.15">
      <c r="A936" s="1941"/>
      <c r="B936" s="1941"/>
    </row>
    <row r="937" spans="1:2" x14ac:dyDescent="0.15">
      <c r="A937" s="1941"/>
      <c r="B937" s="1941"/>
    </row>
    <row r="938" spans="1:2" x14ac:dyDescent="0.15">
      <c r="A938" s="1941"/>
      <c r="B938" s="1941"/>
    </row>
    <row r="939" spans="1:2" x14ac:dyDescent="0.15">
      <c r="A939" s="1941"/>
      <c r="B939" s="1941"/>
    </row>
    <row r="940" spans="1:2" x14ac:dyDescent="0.15">
      <c r="A940" s="1941"/>
      <c r="B940" s="1941"/>
    </row>
    <row r="941" spans="1:2" x14ac:dyDescent="0.15">
      <c r="A941" s="1941"/>
      <c r="B941" s="1941"/>
    </row>
    <row r="942" spans="1:2" x14ac:dyDescent="0.15">
      <c r="A942" s="1941"/>
      <c r="B942" s="1941"/>
    </row>
    <row r="943" spans="1:2" x14ac:dyDescent="0.15">
      <c r="A943" s="1941"/>
      <c r="B943" s="1941"/>
    </row>
    <row r="944" spans="1:2" x14ac:dyDescent="0.15">
      <c r="A944" s="1941"/>
      <c r="B944" s="1941"/>
    </row>
    <row r="945" spans="1:2" x14ac:dyDescent="0.15">
      <c r="A945" s="1941"/>
      <c r="B945" s="1941"/>
    </row>
    <row r="946" spans="1:2" x14ac:dyDescent="0.15">
      <c r="A946" s="1941"/>
      <c r="B946" s="1941"/>
    </row>
    <row r="947" spans="1:2" x14ac:dyDescent="0.15">
      <c r="A947" s="1941"/>
      <c r="B947" s="1941"/>
    </row>
    <row r="948" spans="1:2" x14ac:dyDescent="0.15">
      <c r="A948" s="1941"/>
      <c r="B948" s="1941"/>
    </row>
    <row r="949" spans="1:2" x14ac:dyDescent="0.15">
      <c r="A949" s="1941"/>
      <c r="B949" s="1941"/>
    </row>
    <row r="950" spans="1:2" x14ac:dyDescent="0.15">
      <c r="A950" s="1941"/>
      <c r="B950" s="1941"/>
    </row>
    <row r="951" spans="1:2" x14ac:dyDescent="0.15">
      <c r="A951" s="1941"/>
      <c r="B951" s="1941"/>
    </row>
    <row r="952" spans="1:2" x14ac:dyDescent="0.15">
      <c r="A952" s="1941"/>
      <c r="B952" s="1941"/>
    </row>
    <row r="953" spans="1:2" x14ac:dyDescent="0.15">
      <c r="A953" s="1941"/>
      <c r="B953" s="1941"/>
    </row>
    <row r="954" spans="1:2" x14ac:dyDescent="0.15">
      <c r="A954" s="1941"/>
      <c r="B954" s="1941"/>
    </row>
    <row r="955" spans="1:2" x14ac:dyDescent="0.15">
      <c r="A955" s="1941"/>
      <c r="B955" s="1941"/>
    </row>
    <row r="956" spans="1:2" x14ac:dyDescent="0.15">
      <c r="A956" s="1941"/>
      <c r="B956" s="1941"/>
    </row>
    <row r="957" spans="1:2" x14ac:dyDescent="0.15">
      <c r="A957" s="1941"/>
      <c r="B957" s="1941"/>
    </row>
    <row r="958" spans="1:2" x14ac:dyDescent="0.15">
      <c r="A958" s="1941"/>
      <c r="B958" s="1941"/>
    </row>
    <row r="959" spans="1:2" x14ac:dyDescent="0.15">
      <c r="A959" s="1941"/>
      <c r="B959" s="1941"/>
    </row>
    <row r="960" spans="1:2" x14ac:dyDescent="0.15">
      <c r="A960" s="1941"/>
      <c r="B960" s="1941"/>
    </row>
    <row r="961" spans="1:2" x14ac:dyDescent="0.15">
      <c r="A961" s="1941"/>
      <c r="B961" s="1941"/>
    </row>
    <row r="962" spans="1:2" x14ac:dyDescent="0.15">
      <c r="A962" s="1941"/>
      <c r="B962" s="1941"/>
    </row>
    <row r="963" spans="1:2" x14ac:dyDescent="0.15">
      <c r="A963" s="1941"/>
      <c r="B963" s="1941"/>
    </row>
    <row r="964" spans="1:2" x14ac:dyDescent="0.15">
      <c r="A964" s="1941"/>
      <c r="B964" s="1941"/>
    </row>
    <row r="965" spans="1:2" x14ac:dyDescent="0.15">
      <c r="A965" s="1941"/>
      <c r="B965" s="1941"/>
    </row>
    <row r="966" spans="1:2" x14ac:dyDescent="0.15">
      <c r="A966" s="1941"/>
      <c r="B966" s="1941"/>
    </row>
    <row r="967" spans="1:2" x14ac:dyDescent="0.15">
      <c r="A967" s="1941"/>
      <c r="B967" s="1941"/>
    </row>
    <row r="968" spans="1:2" x14ac:dyDescent="0.15">
      <c r="A968" s="1941"/>
      <c r="B968" s="1941"/>
    </row>
    <row r="969" spans="1:2" x14ac:dyDescent="0.15">
      <c r="A969" s="1941"/>
      <c r="B969" s="1941"/>
    </row>
    <row r="970" spans="1:2" x14ac:dyDescent="0.15">
      <c r="A970" s="1941"/>
      <c r="B970" s="1941"/>
    </row>
    <row r="971" spans="1:2" x14ac:dyDescent="0.15">
      <c r="A971" s="1941"/>
      <c r="B971" s="1941"/>
    </row>
    <row r="972" spans="1:2" x14ac:dyDescent="0.15">
      <c r="A972" s="1941"/>
      <c r="B972" s="1941"/>
    </row>
    <row r="973" spans="1:2" x14ac:dyDescent="0.15">
      <c r="A973" s="1941"/>
      <c r="B973" s="1941"/>
    </row>
    <row r="974" spans="1:2" x14ac:dyDescent="0.15">
      <c r="A974" s="1941"/>
      <c r="B974" s="1941"/>
    </row>
    <row r="975" spans="1:2" x14ac:dyDescent="0.15">
      <c r="A975" s="1941"/>
      <c r="B975" s="1941"/>
    </row>
    <row r="976" spans="1:2" x14ac:dyDescent="0.15">
      <c r="A976" s="1941"/>
      <c r="B976" s="1941"/>
    </row>
  </sheetData>
  <sheetProtection algorithmName="SHA-512" hashValue="7o931pq2kt1lMvZzjFKAkWrElfdoNIBHvAW7RzIPTVhN+1FQQrNd3cYJO1LmXD34qyiCsac24PnFVBckj32BCg==" saltValue="I9+U70EopD+8X6QeQ5XCjg==" spinCount="100000" sheet="1" objects="1" scenarios="1"/>
  <protectedRanges>
    <protectedRange sqref="N47:AL47" name="範囲2_1"/>
    <protectedRange sqref="AH273:AJ273 AH277:AJ277" name="範囲1_3_2"/>
    <protectedRange sqref="N235 V235:AP235 P235:T235 N433 V433:AP433 P433:T433 AT366" name="範囲1_3_4"/>
    <protectedRange sqref="N285 V285:AP285 P285:T285" name="範囲1_3_1_2"/>
    <protectedRange sqref="O31:O32 O161:O162" name="範囲1_3_1_1_3"/>
    <protectedRange sqref="O42" name="範囲1_3_1_1_4"/>
    <protectedRange sqref="O43" name="範囲2_1_1_4"/>
    <protectedRange sqref="O57 O68 O175:O176" name="範囲1_3_3_4"/>
    <protectedRange sqref="O69:O70" name="範囲1_3_3_5"/>
    <protectedRange sqref="O82" name="範囲1_3_2_1"/>
  </protectedRanges>
  <mergeCells count="1118">
    <mergeCell ref="AN1:AS1"/>
    <mergeCell ref="B318:E318"/>
    <mergeCell ref="C362:D362"/>
    <mergeCell ref="C363:D363"/>
    <mergeCell ref="C364:D364"/>
    <mergeCell ref="C365:D365"/>
    <mergeCell ref="C366:D366"/>
    <mergeCell ref="C367:D367"/>
    <mergeCell ref="C368:D368"/>
    <mergeCell ref="C369:D369"/>
    <mergeCell ref="C370:D370"/>
    <mergeCell ref="C371:D371"/>
    <mergeCell ref="C372:D372"/>
    <mergeCell ref="C373:D373"/>
    <mergeCell ref="C296:AS302"/>
    <mergeCell ref="C328:D328"/>
    <mergeCell ref="C329:D329"/>
    <mergeCell ref="C330:D330"/>
    <mergeCell ref="C331:D331"/>
    <mergeCell ref="C332:D332"/>
    <mergeCell ref="C333:D333"/>
    <mergeCell ref="C334:D334"/>
    <mergeCell ref="AE361:AH361"/>
    <mergeCell ref="AE362:AH362"/>
    <mergeCell ref="AE363:AH363"/>
    <mergeCell ref="AE364:AH364"/>
    <mergeCell ref="AE365:AH365"/>
    <mergeCell ref="AE366:AH366"/>
    <mergeCell ref="AE352:AH352"/>
    <mergeCell ref="Z370:AC370"/>
    <mergeCell ref="AE372:AH372"/>
    <mergeCell ref="AE373:AH373"/>
    <mergeCell ref="C374:D374"/>
    <mergeCell ref="C375:D375"/>
    <mergeCell ref="C376:D376"/>
    <mergeCell ref="AJ338:AM338"/>
    <mergeCell ref="AJ339:AM339"/>
    <mergeCell ref="AJ340:AM340"/>
    <mergeCell ref="AJ341:AM341"/>
    <mergeCell ref="AJ342:AM342"/>
    <mergeCell ref="AJ343:AM343"/>
    <mergeCell ref="AJ344:AM344"/>
    <mergeCell ref="Z335:AC335"/>
    <mergeCell ref="Z354:AC354"/>
    <mergeCell ref="Z355:AC355"/>
    <mergeCell ref="Z356:AC356"/>
    <mergeCell ref="Z357:AC357"/>
    <mergeCell ref="Z358:AC358"/>
    <mergeCell ref="Z359:AC359"/>
    <mergeCell ref="Z360:AC360"/>
    <mergeCell ref="C335:D335"/>
    <mergeCell ref="C336:D336"/>
    <mergeCell ref="C337:D337"/>
    <mergeCell ref="C338:D338"/>
    <mergeCell ref="C339:D339"/>
    <mergeCell ref="C340:D340"/>
    <mergeCell ref="C341:D341"/>
    <mergeCell ref="AJ369:AM369"/>
    <mergeCell ref="AJ370:AM370"/>
    <mergeCell ref="AE338:AH338"/>
    <mergeCell ref="AE339:AH339"/>
    <mergeCell ref="AE340:AH340"/>
    <mergeCell ref="AE341:AH341"/>
    <mergeCell ref="AE342:AH342"/>
    <mergeCell ref="C345:D345"/>
    <mergeCell ref="C346:D346"/>
    <mergeCell ref="C347:D347"/>
    <mergeCell ref="C344:D344"/>
    <mergeCell ref="AJ212:AR212"/>
    <mergeCell ref="AO342:AR342"/>
    <mergeCell ref="AO355:AR355"/>
    <mergeCell ref="AO356:AR356"/>
    <mergeCell ref="C343:D343"/>
    <mergeCell ref="AO338:AR338"/>
    <mergeCell ref="AO339:AR339"/>
    <mergeCell ref="AO340:AR340"/>
    <mergeCell ref="AO341:AR341"/>
    <mergeCell ref="AJ348:AM348"/>
    <mergeCell ref="AJ349:AM349"/>
    <mergeCell ref="AJ350:AM350"/>
    <mergeCell ref="AJ351:AM351"/>
    <mergeCell ref="AJ352:AM352"/>
    <mergeCell ref="AJ353:AM353"/>
    <mergeCell ref="AJ354:AM354"/>
    <mergeCell ref="C348:D348"/>
    <mergeCell ref="Z337:AC337"/>
    <mergeCell ref="B322:D322"/>
    <mergeCell ref="B323:D323"/>
    <mergeCell ref="B324:D324"/>
    <mergeCell ref="B325:D325"/>
    <mergeCell ref="B326:D326"/>
    <mergeCell ref="B327:D327"/>
    <mergeCell ref="AO319:AR319"/>
    <mergeCell ref="AO320:AR320"/>
    <mergeCell ref="AO321:AR321"/>
    <mergeCell ref="AO322:AR322"/>
    <mergeCell ref="AJ371:AM371"/>
    <mergeCell ref="AJ372:AM372"/>
    <mergeCell ref="AJ373:AM373"/>
    <mergeCell ref="AE371:AH371"/>
    <mergeCell ref="B319:D319"/>
    <mergeCell ref="B320:D320"/>
    <mergeCell ref="B321:D321"/>
    <mergeCell ref="AJ374:AM374"/>
    <mergeCell ref="AJ362:AM362"/>
    <mergeCell ref="AJ363:AM363"/>
    <mergeCell ref="AE374:AH374"/>
    <mergeCell ref="AE375:AH375"/>
    <mergeCell ref="AE376:AH376"/>
    <mergeCell ref="AE377:AH377"/>
    <mergeCell ref="Z376:AC376"/>
    <mergeCell ref="C349:D349"/>
    <mergeCell ref="C350:D350"/>
    <mergeCell ref="C351:D351"/>
    <mergeCell ref="C352:D352"/>
    <mergeCell ref="C353:D353"/>
    <mergeCell ref="C354:D354"/>
    <mergeCell ref="C355:D355"/>
    <mergeCell ref="C356:D356"/>
    <mergeCell ref="C357:D357"/>
    <mergeCell ref="C358:D358"/>
    <mergeCell ref="C359:D359"/>
    <mergeCell ref="C360:D360"/>
    <mergeCell ref="AJ375:AM375"/>
    <mergeCell ref="AE351:AH351"/>
    <mergeCell ref="C361:D361"/>
    <mergeCell ref="AJ364:AM364"/>
    <mergeCell ref="C377:D377"/>
    <mergeCell ref="AE367:AH367"/>
    <mergeCell ref="Z377:AC377"/>
    <mergeCell ref="Z363:AC363"/>
    <mergeCell ref="AE368:AH368"/>
    <mergeCell ref="AE359:AH359"/>
    <mergeCell ref="AE360:AH360"/>
    <mergeCell ref="AE370:AH370"/>
    <mergeCell ref="AO376:AR376"/>
    <mergeCell ref="AO377:AR377"/>
    <mergeCell ref="AO359:AR359"/>
    <mergeCell ref="AO360:AR360"/>
    <mergeCell ref="AO361:AR361"/>
    <mergeCell ref="AO362:AR362"/>
    <mergeCell ref="AO363:AR363"/>
    <mergeCell ref="AO364:AR364"/>
    <mergeCell ref="AO365:AR365"/>
    <mergeCell ref="AO366:AR366"/>
    <mergeCell ref="AO367:AR367"/>
    <mergeCell ref="AO368:AR368"/>
    <mergeCell ref="AO369:AR369"/>
    <mergeCell ref="AO370:AR370"/>
    <mergeCell ref="AO371:AR371"/>
    <mergeCell ref="AO372:AR372"/>
    <mergeCell ref="AO373:AR373"/>
    <mergeCell ref="AO374:AR374"/>
    <mergeCell ref="AO375:AR375"/>
    <mergeCell ref="AJ376:AM376"/>
    <mergeCell ref="AJ377:AM377"/>
    <mergeCell ref="AJ365:AM365"/>
    <mergeCell ref="AJ366:AM366"/>
    <mergeCell ref="AJ367:AM367"/>
    <mergeCell ref="AJ368:AM368"/>
    <mergeCell ref="AO323:AR323"/>
    <mergeCell ref="AO324:AR324"/>
    <mergeCell ref="AO325:AR325"/>
    <mergeCell ref="AO326:AR326"/>
    <mergeCell ref="AO327:AR327"/>
    <mergeCell ref="AO328:AR328"/>
    <mergeCell ref="AO329:AR329"/>
    <mergeCell ref="AO330:AR330"/>
    <mergeCell ref="AO331:AR331"/>
    <mergeCell ref="AO332:AR332"/>
    <mergeCell ref="AO333:AR333"/>
    <mergeCell ref="AO334:AR334"/>
    <mergeCell ref="AO335:AR335"/>
    <mergeCell ref="AO336:AR336"/>
    <mergeCell ref="AO337:AR337"/>
    <mergeCell ref="C342:D342"/>
    <mergeCell ref="AO352:AR352"/>
    <mergeCell ref="AJ345:AM345"/>
    <mergeCell ref="AJ346:AM346"/>
    <mergeCell ref="AJ347:AM347"/>
    <mergeCell ref="AJ323:AM323"/>
    <mergeCell ref="AJ324:AM324"/>
    <mergeCell ref="AJ325:AM325"/>
    <mergeCell ref="AJ326:AM326"/>
    <mergeCell ref="AJ327:AM327"/>
    <mergeCell ref="AJ328:AM328"/>
    <mergeCell ref="AJ329:AM329"/>
    <mergeCell ref="AJ330:AM330"/>
    <mergeCell ref="AJ331:AM331"/>
    <mergeCell ref="AJ332:AM332"/>
    <mergeCell ref="AJ333:AM333"/>
    <mergeCell ref="AJ334:AM334"/>
    <mergeCell ref="AO353:AR353"/>
    <mergeCell ref="AO354:AR354"/>
    <mergeCell ref="AE353:AH353"/>
    <mergeCell ref="AE354:AH354"/>
    <mergeCell ref="AE349:AH349"/>
    <mergeCell ref="AE350:AH350"/>
    <mergeCell ref="AO357:AR357"/>
    <mergeCell ref="AJ358:AM358"/>
    <mergeCell ref="AJ359:AM359"/>
    <mergeCell ref="AJ360:AM360"/>
    <mergeCell ref="AJ361:AM361"/>
    <mergeCell ref="AO343:AR343"/>
    <mergeCell ref="AO344:AR344"/>
    <mergeCell ref="AO345:AR345"/>
    <mergeCell ref="AO346:AR346"/>
    <mergeCell ref="AO347:AR347"/>
    <mergeCell ref="AO348:AR348"/>
    <mergeCell ref="AO349:AR349"/>
    <mergeCell ref="AO350:AR350"/>
    <mergeCell ref="AO351:AR351"/>
    <mergeCell ref="AO358:AR358"/>
    <mergeCell ref="AJ357:AM357"/>
    <mergeCell ref="AJ355:AM355"/>
    <mergeCell ref="AJ356:AM356"/>
    <mergeCell ref="AE343:AH343"/>
    <mergeCell ref="AE346:AH346"/>
    <mergeCell ref="AE347:AH347"/>
    <mergeCell ref="AE348:AH348"/>
    <mergeCell ref="AE355:AH355"/>
    <mergeCell ref="AE356:AH356"/>
    <mergeCell ref="AE357:AH357"/>
    <mergeCell ref="AE358:AH358"/>
    <mergeCell ref="AJ335:AM335"/>
    <mergeCell ref="AJ336:AM336"/>
    <mergeCell ref="AJ337:AM337"/>
    <mergeCell ref="AE344:AH344"/>
    <mergeCell ref="AE345:AH345"/>
    <mergeCell ref="AE323:AH323"/>
    <mergeCell ref="AE324:AH324"/>
    <mergeCell ref="AE325:AH325"/>
    <mergeCell ref="AE326:AH326"/>
    <mergeCell ref="AE327:AH327"/>
    <mergeCell ref="AE328:AH328"/>
    <mergeCell ref="AE329:AH329"/>
    <mergeCell ref="AE330:AH330"/>
    <mergeCell ref="AE331:AH331"/>
    <mergeCell ref="AE332:AH332"/>
    <mergeCell ref="AE333:AH333"/>
    <mergeCell ref="AE334:AH334"/>
    <mergeCell ref="AE335:AH335"/>
    <mergeCell ref="AE336:AH336"/>
    <mergeCell ref="AE337:AH337"/>
    <mergeCell ref="Z338:AC338"/>
    <mergeCell ref="Z339:AC339"/>
    <mergeCell ref="Z340:AC340"/>
    <mergeCell ref="Z341:AC341"/>
    <mergeCell ref="Z342:AC342"/>
    <mergeCell ref="Z343:AC343"/>
    <mergeCell ref="Z344:AC344"/>
    <mergeCell ref="Z345:AC345"/>
    <mergeCell ref="Z346:AC346"/>
    <mergeCell ref="Z347:AC347"/>
    <mergeCell ref="Z348:AC348"/>
    <mergeCell ref="Z349:AC349"/>
    <mergeCell ref="Z350:AC350"/>
    <mergeCell ref="Z351:AC351"/>
    <mergeCell ref="U367:X367"/>
    <mergeCell ref="U368:X368"/>
    <mergeCell ref="U369:X369"/>
    <mergeCell ref="Z361:AC361"/>
    <mergeCell ref="Z362:AC362"/>
    <mergeCell ref="Z364:AC364"/>
    <mergeCell ref="Z365:AC365"/>
    <mergeCell ref="Z366:AC366"/>
    <mergeCell ref="Z367:AC367"/>
    <mergeCell ref="Z368:AC368"/>
    <mergeCell ref="Z369:AC369"/>
    <mergeCell ref="U370:X370"/>
    <mergeCell ref="Z352:AC352"/>
    <mergeCell ref="Z353:AC353"/>
    <mergeCell ref="AE312:AI313"/>
    <mergeCell ref="AE314:AI317"/>
    <mergeCell ref="AJ312:AN313"/>
    <mergeCell ref="AJ314:AN317"/>
    <mergeCell ref="U338:X338"/>
    <mergeCell ref="U339:X339"/>
    <mergeCell ref="U340:X340"/>
    <mergeCell ref="U341:X341"/>
    <mergeCell ref="U342:X342"/>
    <mergeCell ref="U343:X343"/>
    <mergeCell ref="U344:X344"/>
    <mergeCell ref="U345:X345"/>
    <mergeCell ref="U346:X346"/>
    <mergeCell ref="U347:X347"/>
    <mergeCell ref="U348:X348"/>
    <mergeCell ref="U349:X349"/>
    <mergeCell ref="U350:X350"/>
    <mergeCell ref="U351:X351"/>
    <mergeCell ref="U335:X335"/>
    <mergeCell ref="Z328:AC328"/>
    <mergeCell ref="Z329:AC329"/>
    <mergeCell ref="Z330:AC330"/>
    <mergeCell ref="Z331:AC331"/>
    <mergeCell ref="Z332:AC332"/>
    <mergeCell ref="Z333:AC333"/>
    <mergeCell ref="Z334:AC334"/>
    <mergeCell ref="U336:X336"/>
    <mergeCell ref="U337:X337"/>
    <mergeCell ref="AE369:AH369"/>
    <mergeCell ref="AO312:AS313"/>
    <mergeCell ref="AO314:AS317"/>
    <mergeCell ref="U318:X318"/>
    <mergeCell ref="Z318:AC318"/>
    <mergeCell ref="AE318:AH318"/>
    <mergeCell ref="AJ318:AM318"/>
    <mergeCell ref="AO318:AR318"/>
    <mergeCell ref="U319:X319"/>
    <mergeCell ref="U320:X320"/>
    <mergeCell ref="U321:X321"/>
    <mergeCell ref="U322:X322"/>
    <mergeCell ref="AE319:AH319"/>
    <mergeCell ref="AE320:AH320"/>
    <mergeCell ref="AE321:AH321"/>
    <mergeCell ref="AE322:AH322"/>
    <mergeCell ref="AJ319:AM319"/>
    <mergeCell ref="AJ320:AM320"/>
    <mergeCell ref="AJ321:AM321"/>
    <mergeCell ref="AJ322:AM322"/>
    <mergeCell ref="Z319:AC319"/>
    <mergeCell ref="Z320:AC320"/>
    <mergeCell ref="Z321:AC321"/>
    <mergeCell ref="Z322:AC322"/>
    <mergeCell ref="U376:X376"/>
    <mergeCell ref="Z312:AD313"/>
    <mergeCell ref="Z314:AD317"/>
    <mergeCell ref="U371:X371"/>
    <mergeCell ref="U372:X372"/>
    <mergeCell ref="U373:X373"/>
    <mergeCell ref="U374:X374"/>
    <mergeCell ref="U375:X375"/>
    <mergeCell ref="Z371:AC371"/>
    <mergeCell ref="Z372:AC372"/>
    <mergeCell ref="Z373:AC373"/>
    <mergeCell ref="Z374:AC374"/>
    <mergeCell ref="Z375:AC375"/>
    <mergeCell ref="Z323:AC323"/>
    <mergeCell ref="Z324:AC324"/>
    <mergeCell ref="Z325:AC325"/>
    <mergeCell ref="Z326:AC326"/>
    <mergeCell ref="Z327:AC327"/>
    <mergeCell ref="U312:Y313"/>
    <mergeCell ref="U314:Y317"/>
    <mergeCell ref="U323:X323"/>
    <mergeCell ref="U324:X324"/>
    <mergeCell ref="U325:X325"/>
    <mergeCell ref="U326:X326"/>
    <mergeCell ref="U327:X327"/>
    <mergeCell ref="U328:X328"/>
    <mergeCell ref="U329:X329"/>
    <mergeCell ref="U330:X330"/>
    <mergeCell ref="U331:X331"/>
    <mergeCell ref="U332:X332"/>
    <mergeCell ref="U333:X333"/>
    <mergeCell ref="U334:X334"/>
    <mergeCell ref="P351:S351"/>
    <mergeCell ref="P352:S352"/>
    <mergeCell ref="P353:S353"/>
    <mergeCell ref="P354:S354"/>
    <mergeCell ref="P355:S355"/>
    <mergeCell ref="P356:S356"/>
    <mergeCell ref="P357:S357"/>
    <mergeCell ref="P358:S358"/>
    <mergeCell ref="P359:S359"/>
    <mergeCell ref="P360:S360"/>
    <mergeCell ref="P361:S361"/>
    <mergeCell ref="P363:S363"/>
    <mergeCell ref="P364:S364"/>
    <mergeCell ref="P366:S366"/>
    <mergeCell ref="U352:X352"/>
    <mergeCell ref="U353:X353"/>
    <mergeCell ref="U354:X354"/>
    <mergeCell ref="U363:X363"/>
    <mergeCell ref="U364:X364"/>
    <mergeCell ref="U365:X365"/>
    <mergeCell ref="U366:X366"/>
    <mergeCell ref="U362:X362"/>
    <mergeCell ref="P333:S333"/>
    <mergeCell ref="P334:S334"/>
    <mergeCell ref="P335:S335"/>
    <mergeCell ref="P336:S336"/>
    <mergeCell ref="P337:S337"/>
    <mergeCell ref="P338:S338"/>
    <mergeCell ref="P339:S339"/>
    <mergeCell ref="P340:S340"/>
    <mergeCell ref="P341:S341"/>
    <mergeCell ref="P342:S342"/>
    <mergeCell ref="P343:S343"/>
    <mergeCell ref="P344:S344"/>
    <mergeCell ref="P345:S345"/>
    <mergeCell ref="P346:S346"/>
    <mergeCell ref="P347:S347"/>
    <mergeCell ref="P348:S348"/>
    <mergeCell ref="P349:S349"/>
    <mergeCell ref="P318:S318"/>
    <mergeCell ref="P312:T313"/>
    <mergeCell ref="P314:T317"/>
    <mergeCell ref="P319:S319"/>
    <mergeCell ref="P320:S320"/>
    <mergeCell ref="P321:S321"/>
    <mergeCell ref="P322:S322"/>
    <mergeCell ref="P323:S323"/>
    <mergeCell ref="P324:S324"/>
    <mergeCell ref="P325:S325"/>
    <mergeCell ref="P326:S326"/>
    <mergeCell ref="P327:S327"/>
    <mergeCell ref="P328:S328"/>
    <mergeCell ref="P329:S329"/>
    <mergeCell ref="P330:S330"/>
    <mergeCell ref="P331:S331"/>
    <mergeCell ref="P332:S332"/>
    <mergeCell ref="K333:N333"/>
    <mergeCell ref="K334:N334"/>
    <mergeCell ref="K335:N335"/>
    <mergeCell ref="K336:N336"/>
    <mergeCell ref="K337:N337"/>
    <mergeCell ref="K338:N338"/>
    <mergeCell ref="K339:N339"/>
    <mergeCell ref="K340:N340"/>
    <mergeCell ref="F358:I358"/>
    <mergeCell ref="F359:I359"/>
    <mergeCell ref="F360:I360"/>
    <mergeCell ref="F361:I361"/>
    <mergeCell ref="K341:N341"/>
    <mergeCell ref="K342:N342"/>
    <mergeCell ref="K343:N343"/>
    <mergeCell ref="K344:N344"/>
    <mergeCell ref="K345:N345"/>
    <mergeCell ref="K346:N346"/>
    <mergeCell ref="K347:N347"/>
    <mergeCell ref="K348:N348"/>
    <mergeCell ref="K349:N349"/>
    <mergeCell ref="K350:N350"/>
    <mergeCell ref="K351:N351"/>
    <mergeCell ref="K352:N352"/>
    <mergeCell ref="K353:N353"/>
    <mergeCell ref="K354:N354"/>
    <mergeCell ref="K355:N355"/>
    <mergeCell ref="K356:N356"/>
    <mergeCell ref="K357:N357"/>
    <mergeCell ref="K358:N358"/>
    <mergeCell ref="K359:N359"/>
    <mergeCell ref="K360:N360"/>
    <mergeCell ref="K312:O313"/>
    <mergeCell ref="K314:O317"/>
    <mergeCell ref="K318:N318"/>
    <mergeCell ref="K319:N319"/>
    <mergeCell ref="K320:N320"/>
    <mergeCell ref="K321:N321"/>
    <mergeCell ref="K322:N322"/>
    <mergeCell ref="K323:N323"/>
    <mergeCell ref="K324:N324"/>
    <mergeCell ref="K325:N325"/>
    <mergeCell ref="K326:N326"/>
    <mergeCell ref="K327:N327"/>
    <mergeCell ref="K328:N328"/>
    <mergeCell ref="K329:N329"/>
    <mergeCell ref="K330:N330"/>
    <mergeCell ref="K331:N331"/>
    <mergeCell ref="K332:N332"/>
    <mergeCell ref="U377:X377"/>
    <mergeCell ref="K374:N374"/>
    <mergeCell ref="K375:N375"/>
    <mergeCell ref="K376:N376"/>
    <mergeCell ref="K377:N377"/>
    <mergeCell ref="Z455:AA455"/>
    <mergeCell ref="P365:S365"/>
    <mergeCell ref="F341:I341"/>
    <mergeCell ref="F342:I342"/>
    <mergeCell ref="F343:I343"/>
    <mergeCell ref="F344:I344"/>
    <mergeCell ref="F345:I345"/>
    <mergeCell ref="F346:I346"/>
    <mergeCell ref="F347:I347"/>
    <mergeCell ref="F348:I348"/>
    <mergeCell ref="F349:I349"/>
    <mergeCell ref="F350:I350"/>
    <mergeCell ref="F351:I351"/>
    <mergeCell ref="F352:I352"/>
    <mergeCell ref="F353:I353"/>
    <mergeCell ref="F354:I354"/>
    <mergeCell ref="F355:I355"/>
    <mergeCell ref="F356:I356"/>
    <mergeCell ref="F357:I357"/>
    <mergeCell ref="K361:N361"/>
    <mergeCell ref="K362:N362"/>
    <mergeCell ref="K363:N363"/>
    <mergeCell ref="K364:N364"/>
    <mergeCell ref="K365:N365"/>
    <mergeCell ref="K366:N366"/>
    <mergeCell ref="K367:N367"/>
    <mergeCell ref="P350:S350"/>
    <mergeCell ref="F363:I363"/>
    <mergeCell ref="F364:I364"/>
    <mergeCell ref="F365:I365"/>
    <mergeCell ref="F366:I366"/>
    <mergeCell ref="F367:I367"/>
    <mergeCell ref="F368:I368"/>
    <mergeCell ref="F369:I369"/>
    <mergeCell ref="F370:I370"/>
    <mergeCell ref="F371:I371"/>
    <mergeCell ref="F372:I372"/>
    <mergeCell ref="F373:I373"/>
    <mergeCell ref="F374:I374"/>
    <mergeCell ref="F375:I375"/>
    <mergeCell ref="F376:I376"/>
    <mergeCell ref="F377:I377"/>
    <mergeCell ref="P368:S368"/>
    <mergeCell ref="P369:S369"/>
    <mergeCell ref="P370:S370"/>
    <mergeCell ref="P371:S371"/>
    <mergeCell ref="P372:S372"/>
    <mergeCell ref="P373:S373"/>
    <mergeCell ref="P374:S374"/>
    <mergeCell ref="P375:S375"/>
    <mergeCell ref="P376:S376"/>
    <mergeCell ref="P377:S377"/>
    <mergeCell ref="K369:N369"/>
    <mergeCell ref="K370:N370"/>
    <mergeCell ref="K371:N371"/>
    <mergeCell ref="K372:N372"/>
    <mergeCell ref="K373:N373"/>
    <mergeCell ref="K368:N368"/>
    <mergeCell ref="P367:S367"/>
    <mergeCell ref="B737:AT737"/>
    <mergeCell ref="B730:AT730"/>
    <mergeCell ref="B731:AT731"/>
    <mergeCell ref="B732:AT732"/>
    <mergeCell ref="B733:AT733"/>
    <mergeCell ref="B734:AT734"/>
    <mergeCell ref="B735:AT735"/>
    <mergeCell ref="B724:AT724"/>
    <mergeCell ref="B725:AT725"/>
    <mergeCell ref="B726:AT726"/>
    <mergeCell ref="B727:AT727"/>
    <mergeCell ref="B728:AT728"/>
    <mergeCell ref="B729:AT729"/>
    <mergeCell ref="F312:J317"/>
    <mergeCell ref="B312:E317"/>
    <mergeCell ref="F318:I318"/>
    <mergeCell ref="F319:I319"/>
    <mergeCell ref="F320:I320"/>
    <mergeCell ref="F321:I321"/>
    <mergeCell ref="F322:I322"/>
    <mergeCell ref="F323:I323"/>
    <mergeCell ref="F324:I324"/>
    <mergeCell ref="F325:I325"/>
    <mergeCell ref="F326:I326"/>
    <mergeCell ref="F327:I327"/>
    <mergeCell ref="F328:I328"/>
    <mergeCell ref="F329:I329"/>
    <mergeCell ref="F330:I330"/>
    <mergeCell ref="K436:L436"/>
    <mergeCell ref="X436:AA436"/>
    <mergeCell ref="K430:L430"/>
    <mergeCell ref="F362:I362"/>
    <mergeCell ref="B711:AT711"/>
    <mergeCell ref="B700:AT700"/>
    <mergeCell ref="B701:AT701"/>
    <mergeCell ref="B702:AT702"/>
    <mergeCell ref="B703:AT703"/>
    <mergeCell ref="B704:AT704"/>
    <mergeCell ref="B705:AT705"/>
    <mergeCell ref="B718:AT718"/>
    <mergeCell ref="B719:AT719"/>
    <mergeCell ref="B720:AT720"/>
    <mergeCell ref="B721:AT721"/>
    <mergeCell ref="B722:AT722"/>
    <mergeCell ref="B723:AT723"/>
    <mergeCell ref="B712:AT712"/>
    <mergeCell ref="B713:AT713"/>
    <mergeCell ref="B714:AT714"/>
    <mergeCell ref="B715:AT715"/>
    <mergeCell ref="B716:AT716"/>
    <mergeCell ref="B717:AT717"/>
    <mergeCell ref="B694:AT694"/>
    <mergeCell ref="B695:AT695"/>
    <mergeCell ref="B696:AT696"/>
    <mergeCell ref="B697:AT697"/>
    <mergeCell ref="B698:AT698"/>
    <mergeCell ref="B699:AT699"/>
    <mergeCell ref="B688:AT688"/>
    <mergeCell ref="B689:AT689"/>
    <mergeCell ref="B690:AT690"/>
    <mergeCell ref="B691:AT691"/>
    <mergeCell ref="B692:AT692"/>
    <mergeCell ref="B693:AT693"/>
    <mergeCell ref="B706:AT706"/>
    <mergeCell ref="B707:AT707"/>
    <mergeCell ref="B708:AT708"/>
    <mergeCell ref="B709:AT709"/>
    <mergeCell ref="B710:AT710"/>
    <mergeCell ref="B675:AT675"/>
    <mergeCell ref="B664:AT664"/>
    <mergeCell ref="B665:AT665"/>
    <mergeCell ref="B666:AT666"/>
    <mergeCell ref="B667:AT667"/>
    <mergeCell ref="B668:AT668"/>
    <mergeCell ref="B669:AT669"/>
    <mergeCell ref="B682:AT682"/>
    <mergeCell ref="B683:AT683"/>
    <mergeCell ref="B684:AT684"/>
    <mergeCell ref="B685:AT685"/>
    <mergeCell ref="B686:AT686"/>
    <mergeCell ref="B687:AT687"/>
    <mergeCell ref="B676:AT676"/>
    <mergeCell ref="B677:AT677"/>
    <mergeCell ref="B678:AT678"/>
    <mergeCell ref="B679:AT679"/>
    <mergeCell ref="B680:AT680"/>
    <mergeCell ref="B681:AT681"/>
    <mergeCell ref="B658:AT658"/>
    <mergeCell ref="B659:AT659"/>
    <mergeCell ref="B660:AT660"/>
    <mergeCell ref="B661:AT661"/>
    <mergeCell ref="B662:AT662"/>
    <mergeCell ref="B663:AT663"/>
    <mergeCell ref="B652:AT652"/>
    <mergeCell ref="B653:AT653"/>
    <mergeCell ref="B654:AT654"/>
    <mergeCell ref="B655:AT655"/>
    <mergeCell ref="B656:AT656"/>
    <mergeCell ref="B657:AT657"/>
    <mergeCell ref="B670:AT670"/>
    <mergeCell ref="B671:AT671"/>
    <mergeCell ref="B672:AT672"/>
    <mergeCell ref="B673:AT673"/>
    <mergeCell ref="B674:AT674"/>
    <mergeCell ref="B639:AT639"/>
    <mergeCell ref="B628:AT628"/>
    <mergeCell ref="B629:AT629"/>
    <mergeCell ref="B630:AT630"/>
    <mergeCell ref="B631:AT631"/>
    <mergeCell ref="B632:AT632"/>
    <mergeCell ref="B633:AT633"/>
    <mergeCell ref="B646:AT646"/>
    <mergeCell ref="B647:AT647"/>
    <mergeCell ref="B648:AT648"/>
    <mergeCell ref="B649:AT649"/>
    <mergeCell ref="B650:AT650"/>
    <mergeCell ref="B651:AT651"/>
    <mergeCell ref="B640:AT640"/>
    <mergeCell ref="B641:AT641"/>
    <mergeCell ref="B642:AT642"/>
    <mergeCell ref="B643:AT643"/>
    <mergeCell ref="B644:AT644"/>
    <mergeCell ref="B645:AT645"/>
    <mergeCell ref="B622:AT622"/>
    <mergeCell ref="B623:AT623"/>
    <mergeCell ref="B624:AT624"/>
    <mergeCell ref="B625:AT625"/>
    <mergeCell ref="B626:AT626"/>
    <mergeCell ref="B627:AT627"/>
    <mergeCell ref="B616:AT616"/>
    <mergeCell ref="B617:AT617"/>
    <mergeCell ref="B618:AT618"/>
    <mergeCell ref="B619:AT619"/>
    <mergeCell ref="B620:AT620"/>
    <mergeCell ref="B621:AT621"/>
    <mergeCell ref="B634:AT634"/>
    <mergeCell ref="B635:AT635"/>
    <mergeCell ref="B636:AT636"/>
    <mergeCell ref="B637:AT637"/>
    <mergeCell ref="B638:AT638"/>
    <mergeCell ref="B600:G600"/>
    <mergeCell ref="H600:Q600"/>
    <mergeCell ref="R600:AA600"/>
    <mergeCell ref="AB600:AG600"/>
    <mergeCell ref="AH600:AS600"/>
    <mergeCell ref="B601:G601"/>
    <mergeCell ref="H601:Q601"/>
    <mergeCell ref="R601:AA601"/>
    <mergeCell ref="AB601:AG601"/>
    <mergeCell ref="AH601:AS601"/>
    <mergeCell ref="B610:AT610"/>
    <mergeCell ref="B611:AT611"/>
    <mergeCell ref="B612:AT612"/>
    <mergeCell ref="B613:AT613"/>
    <mergeCell ref="B614:AT614"/>
    <mergeCell ref="B615:AT615"/>
    <mergeCell ref="B604:AT604"/>
    <mergeCell ref="B605:AT605"/>
    <mergeCell ref="B606:AT606"/>
    <mergeCell ref="B607:AT607"/>
    <mergeCell ref="B608:AT608"/>
    <mergeCell ref="B609:AT609"/>
    <mergeCell ref="B596:G596"/>
    <mergeCell ref="H596:Q596"/>
    <mergeCell ref="R596:AA596"/>
    <mergeCell ref="AB596:AG596"/>
    <mergeCell ref="AH596:AS596"/>
    <mergeCell ref="B597:G597"/>
    <mergeCell ref="H597:Q597"/>
    <mergeCell ref="R597:AA597"/>
    <mergeCell ref="AB597:AG597"/>
    <mergeCell ref="AH597:AS597"/>
    <mergeCell ref="B598:G598"/>
    <mergeCell ref="H598:Q598"/>
    <mergeCell ref="R598:AA598"/>
    <mergeCell ref="AB598:AG598"/>
    <mergeCell ref="AH598:AS598"/>
    <mergeCell ref="B599:G599"/>
    <mergeCell ref="H599:Q599"/>
    <mergeCell ref="R599:AA599"/>
    <mergeCell ref="AB599:AG599"/>
    <mergeCell ref="AH599:AS599"/>
    <mergeCell ref="B592:G592"/>
    <mergeCell ref="H592:Q592"/>
    <mergeCell ref="R592:AA592"/>
    <mergeCell ref="AB592:AG592"/>
    <mergeCell ref="AH592:AS592"/>
    <mergeCell ref="B593:G593"/>
    <mergeCell ref="H593:Q593"/>
    <mergeCell ref="R593:AA593"/>
    <mergeCell ref="AB593:AG593"/>
    <mergeCell ref="AH593:AS593"/>
    <mergeCell ref="B594:G594"/>
    <mergeCell ref="H594:Q594"/>
    <mergeCell ref="R594:AA594"/>
    <mergeCell ref="AB594:AG594"/>
    <mergeCell ref="AH594:AS594"/>
    <mergeCell ref="B595:G595"/>
    <mergeCell ref="H595:Q595"/>
    <mergeCell ref="R595:AA595"/>
    <mergeCell ref="AB595:AG595"/>
    <mergeCell ref="AH595:AS595"/>
    <mergeCell ref="B588:G588"/>
    <mergeCell ref="H588:Q588"/>
    <mergeCell ref="R588:AA588"/>
    <mergeCell ref="AB588:AG588"/>
    <mergeCell ref="AH588:AS588"/>
    <mergeCell ref="B589:G589"/>
    <mergeCell ref="H589:Q589"/>
    <mergeCell ref="R589:AA589"/>
    <mergeCell ref="AB589:AG589"/>
    <mergeCell ref="AH589:AS589"/>
    <mergeCell ref="B590:G590"/>
    <mergeCell ref="H590:Q590"/>
    <mergeCell ref="R590:AA590"/>
    <mergeCell ref="AB590:AG590"/>
    <mergeCell ref="AH590:AS590"/>
    <mergeCell ref="B591:G591"/>
    <mergeCell ref="H591:Q591"/>
    <mergeCell ref="R591:AA591"/>
    <mergeCell ref="AB591:AG591"/>
    <mergeCell ref="AH591:AS591"/>
    <mergeCell ref="B584:G584"/>
    <mergeCell ref="H584:Q584"/>
    <mergeCell ref="R584:AA584"/>
    <mergeCell ref="AB584:AG584"/>
    <mergeCell ref="AH584:AS584"/>
    <mergeCell ref="B585:G585"/>
    <mergeCell ref="H585:Q585"/>
    <mergeCell ref="R585:AA585"/>
    <mergeCell ref="AB585:AG585"/>
    <mergeCell ref="AH585:AS585"/>
    <mergeCell ref="B586:G586"/>
    <mergeCell ref="H586:Q586"/>
    <mergeCell ref="R586:AA586"/>
    <mergeCell ref="AB586:AG586"/>
    <mergeCell ref="AH586:AS586"/>
    <mergeCell ref="B587:G587"/>
    <mergeCell ref="H587:Q587"/>
    <mergeCell ref="R587:AA587"/>
    <mergeCell ref="AB587:AG587"/>
    <mergeCell ref="AH587:AS587"/>
    <mergeCell ref="B582:G582"/>
    <mergeCell ref="H582:Q582"/>
    <mergeCell ref="R582:AA582"/>
    <mergeCell ref="AB582:AG582"/>
    <mergeCell ref="AH582:AS582"/>
    <mergeCell ref="AH436:AN436"/>
    <mergeCell ref="AA573:AB573"/>
    <mergeCell ref="AD573:AE573"/>
    <mergeCell ref="C467:AS474"/>
    <mergeCell ref="B488:AT488"/>
    <mergeCell ref="B583:G583"/>
    <mergeCell ref="H583:Q583"/>
    <mergeCell ref="R583:AA583"/>
    <mergeCell ref="AB583:AG583"/>
    <mergeCell ref="AH583:AS583"/>
    <mergeCell ref="AC455:AD455"/>
    <mergeCell ref="N437:V437"/>
    <mergeCell ref="N438:AT438"/>
    <mergeCell ref="N439:AD439"/>
    <mergeCell ref="X446:Y446"/>
    <mergeCell ref="Z446:AA446"/>
    <mergeCell ref="AC446:AD446"/>
    <mergeCell ref="X447:Y447"/>
    <mergeCell ref="Z447:AA447"/>
    <mergeCell ref="AC447:AD447"/>
    <mergeCell ref="X455:Y455"/>
    <mergeCell ref="AH431:AN431"/>
    <mergeCell ref="AH432:AN432"/>
    <mergeCell ref="N433:AT433"/>
    <mergeCell ref="N434:AT434"/>
    <mergeCell ref="N435:AT435"/>
    <mergeCell ref="T428:U428"/>
    <mergeCell ref="V428:W428"/>
    <mergeCell ref="Y428:Z428"/>
    <mergeCell ref="X430:AC430"/>
    <mergeCell ref="AH430:AN430"/>
    <mergeCell ref="AC425:AR425"/>
    <mergeCell ref="AC426:AR426"/>
    <mergeCell ref="B576:AT576"/>
    <mergeCell ref="B581:G581"/>
    <mergeCell ref="H581:Q581"/>
    <mergeCell ref="R581:AA581"/>
    <mergeCell ref="AB581:AG581"/>
    <mergeCell ref="AH581:AS581"/>
    <mergeCell ref="AA503:AB503"/>
    <mergeCell ref="AD503:AE503"/>
    <mergeCell ref="AA516:AB516"/>
    <mergeCell ref="AD516:AE516"/>
    <mergeCell ref="AA528:AB528"/>
    <mergeCell ref="AD528:AE528"/>
    <mergeCell ref="AA546:AB546"/>
    <mergeCell ref="P506:AS515"/>
    <mergeCell ref="W402:X402"/>
    <mergeCell ref="Y389:AB389"/>
    <mergeCell ref="AD389:AG389"/>
    <mergeCell ref="Y390:AB390"/>
    <mergeCell ref="AD390:AG390"/>
    <mergeCell ref="Y391:AB391"/>
    <mergeCell ref="AD391:AG391"/>
    <mergeCell ref="Y394:AG394"/>
    <mergeCell ref="R414:S414"/>
    <mergeCell ref="T414:U414"/>
    <mergeCell ref="W414:X414"/>
    <mergeCell ref="N397:V397"/>
    <mergeCell ref="N401:V401"/>
    <mergeCell ref="N405:V405"/>
    <mergeCell ref="N409:V409"/>
    <mergeCell ref="N413:V413"/>
    <mergeCell ref="R418:S418"/>
    <mergeCell ref="T418:U418"/>
    <mergeCell ref="W418:X418"/>
    <mergeCell ref="R406:S406"/>
    <mergeCell ref="T406:U406"/>
    <mergeCell ref="W406:X406"/>
    <mergeCell ref="R410:S410"/>
    <mergeCell ref="T410:U410"/>
    <mergeCell ref="W410:X410"/>
    <mergeCell ref="R402:S402"/>
    <mergeCell ref="T402:U402"/>
    <mergeCell ref="N285:AT285"/>
    <mergeCell ref="N286:AT286"/>
    <mergeCell ref="N287:AT287"/>
    <mergeCell ref="K288:L288"/>
    <mergeCell ref="X288:AA288"/>
    <mergeCell ref="AH288:AN288"/>
    <mergeCell ref="AK278:AR278"/>
    <mergeCell ref="K282:L282"/>
    <mergeCell ref="X282:AC282"/>
    <mergeCell ref="AH282:AN282"/>
    <mergeCell ref="AH283:AN283"/>
    <mergeCell ref="AH284:AN284"/>
    <mergeCell ref="B379:AT379"/>
    <mergeCell ref="S384:T384"/>
    <mergeCell ref="U384:V384"/>
    <mergeCell ref="X384:Y384"/>
    <mergeCell ref="AA384:AB384"/>
    <mergeCell ref="N289:V289"/>
    <mergeCell ref="N290:AT290"/>
    <mergeCell ref="N291:AD291"/>
    <mergeCell ref="B308:AT308"/>
    <mergeCell ref="P362:S362"/>
    <mergeCell ref="F331:I331"/>
    <mergeCell ref="F332:I332"/>
    <mergeCell ref="F333:I333"/>
    <mergeCell ref="F334:I334"/>
    <mergeCell ref="F335:I335"/>
    <mergeCell ref="F336:I336"/>
    <mergeCell ref="Z336:AC336"/>
    <mergeCell ref="F337:I337"/>
    <mergeCell ref="F338:I338"/>
    <mergeCell ref="F339:I339"/>
    <mergeCell ref="K257:L257"/>
    <mergeCell ref="M257:N257"/>
    <mergeCell ref="P257:Q257"/>
    <mergeCell ref="S257:T257"/>
    <mergeCell ref="AA257:AR257"/>
    <mergeCell ref="K258:L258"/>
    <mergeCell ref="M258:N258"/>
    <mergeCell ref="P258:Q258"/>
    <mergeCell ref="S258:T258"/>
    <mergeCell ref="AK274:AR274"/>
    <mergeCell ref="U277:V277"/>
    <mergeCell ref="W277:X277"/>
    <mergeCell ref="Z277:AA277"/>
    <mergeCell ref="AC277:AD277"/>
    <mergeCell ref="K259:L259"/>
    <mergeCell ref="M259:N259"/>
    <mergeCell ref="P259:Q259"/>
    <mergeCell ref="S259:T259"/>
    <mergeCell ref="U273:V273"/>
    <mergeCell ref="W273:X273"/>
    <mergeCell ref="Z273:AA273"/>
    <mergeCell ref="AC273:AD273"/>
    <mergeCell ref="AA258:AR258"/>
    <mergeCell ref="AA259:AR259"/>
    <mergeCell ref="AH273:AR273"/>
    <mergeCell ref="AH277:AR277"/>
    <mergeCell ref="AH232:AN232"/>
    <mergeCell ref="AH233:AN233"/>
    <mergeCell ref="AH234:AN234"/>
    <mergeCell ref="N235:AT235"/>
    <mergeCell ref="N236:AT236"/>
    <mergeCell ref="N237:AT237"/>
    <mergeCell ref="V229:Z229"/>
    <mergeCell ref="AD229:AG229"/>
    <mergeCell ref="V230:Z230"/>
    <mergeCell ref="AD230:AG230"/>
    <mergeCell ref="AD227:AG227"/>
    <mergeCell ref="Z248:AB248"/>
    <mergeCell ref="AP248:AR248"/>
    <mergeCell ref="T250:AO250"/>
    <mergeCell ref="K256:L256"/>
    <mergeCell ref="M256:N256"/>
    <mergeCell ref="P256:Q256"/>
    <mergeCell ref="S256:T256"/>
    <mergeCell ref="K238:L238"/>
    <mergeCell ref="X238:AA238"/>
    <mergeCell ref="AH238:AN238"/>
    <mergeCell ref="N239:V239"/>
    <mergeCell ref="N240:AT240"/>
    <mergeCell ref="N241:AD241"/>
    <mergeCell ref="AA256:AR256"/>
    <mergeCell ref="B187:AT187"/>
    <mergeCell ref="T193:AE193"/>
    <mergeCell ref="O194:AS194"/>
    <mergeCell ref="AF202:AQ202"/>
    <mergeCell ref="R203:T203"/>
    <mergeCell ref="Z203:AB203"/>
    <mergeCell ref="N103:AT103"/>
    <mergeCell ref="N104:AT104"/>
    <mergeCell ref="N105:AT105"/>
    <mergeCell ref="N106:AT106"/>
    <mergeCell ref="C113:D113"/>
    <mergeCell ref="L113:AK119"/>
    <mergeCell ref="AN113:AR119"/>
    <mergeCell ref="D116:I116"/>
    <mergeCell ref="G119:J119"/>
    <mergeCell ref="AS119:AS120"/>
    <mergeCell ref="B128:AT128"/>
    <mergeCell ref="C135:I135"/>
    <mergeCell ref="J135:AS154"/>
    <mergeCell ref="P173:Q173"/>
    <mergeCell ref="Z173:AG173"/>
    <mergeCell ref="AM173:AR173"/>
    <mergeCell ref="AM174:AR174"/>
    <mergeCell ref="O175:AS175"/>
    <mergeCell ref="O176:AS176"/>
    <mergeCell ref="O161:AS161"/>
    <mergeCell ref="O162:AS162"/>
    <mergeCell ref="O163:U163"/>
    <mergeCell ref="O164:AS164"/>
    <mergeCell ref="O165:AB165"/>
    <mergeCell ref="O74:AB74"/>
    <mergeCell ref="AM67:AR67"/>
    <mergeCell ref="O68:AS68"/>
    <mergeCell ref="O69:AS69"/>
    <mergeCell ref="O70:AS70"/>
    <mergeCell ref="P71:Q71"/>
    <mergeCell ref="Z71:AE71"/>
    <mergeCell ref="AM71:AR71"/>
    <mergeCell ref="N88:AT88"/>
    <mergeCell ref="O96:AS96"/>
    <mergeCell ref="R101:S101"/>
    <mergeCell ref="O102:AS102"/>
    <mergeCell ref="O82:AS82"/>
    <mergeCell ref="O83:AS83"/>
    <mergeCell ref="O84:AS84"/>
    <mergeCell ref="N85:AT85"/>
    <mergeCell ref="N86:AT86"/>
    <mergeCell ref="N87:AT87"/>
    <mergeCell ref="AK16:AL16"/>
    <mergeCell ref="AN16:AO16"/>
    <mergeCell ref="AQ16:AR16"/>
    <mergeCell ref="O46:AB46"/>
    <mergeCell ref="N47:AT47"/>
    <mergeCell ref="P55:Q55"/>
    <mergeCell ref="Z55:AG55"/>
    <mergeCell ref="AM55:AR55"/>
    <mergeCell ref="O34:AS34"/>
    <mergeCell ref="O35:AB35"/>
    <mergeCell ref="O42:AS42"/>
    <mergeCell ref="O43:AS43"/>
    <mergeCell ref="T101:U101"/>
    <mergeCell ref="W101:X101"/>
    <mergeCell ref="O81:AS81"/>
    <mergeCell ref="O44:U44"/>
    <mergeCell ref="O45:AS45"/>
    <mergeCell ref="O61:U61"/>
    <mergeCell ref="O62:AS62"/>
    <mergeCell ref="O63:AB63"/>
    <mergeCell ref="P66:Q66"/>
    <mergeCell ref="Z66:AG66"/>
    <mergeCell ref="AM66:AR66"/>
    <mergeCell ref="O57:AS57"/>
    <mergeCell ref="O58:AS58"/>
    <mergeCell ref="O59:AS59"/>
    <mergeCell ref="P60:Q60"/>
    <mergeCell ref="Z60:AE60"/>
    <mergeCell ref="AM60:AR60"/>
    <mergeCell ref="O72:U72"/>
    <mergeCell ref="O73:AS73"/>
    <mergeCell ref="AM56:AR56"/>
    <mergeCell ref="U387:V387"/>
    <mergeCell ref="X387:Y387"/>
    <mergeCell ref="AA387:AB387"/>
    <mergeCell ref="S388:T388"/>
    <mergeCell ref="U388:V388"/>
    <mergeCell ref="X388:Y388"/>
    <mergeCell ref="AA388:AB388"/>
    <mergeCell ref="S385:T385"/>
    <mergeCell ref="U385:V385"/>
    <mergeCell ref="X385:Y385"/>
    <mergeCell ref="AA385:AB385"/>
    <mergeCell ref="S386:T386"/>
    <mergeCell ref="U386:V386"/>
    <mergeCell ref="X386:Y386"/>
    <mergeCell ref="AA386:AB386"/>
    <mergeCell ref="R398:S398"/>
    <mergeCell ref="T398:U398"/>
    <mergeCell ref="W398:X398"/>
    <mergeCell ref="F340:I340"/>
    <mergeCell ref="U355:X355"/>
    <mergeCell ref="U356:X356"/>
    <mergeCell ref="U357:X357"/>
    <mergeCell ref="U358:X358"/>
    <mergeCell ref="U359:X359"/>
    <mergeCell ref="U360:X360"/>
    <mergeCell ref="U361:X361"/>
    <mergeCell ref="N417:V417"/>
    <mergeCell ref="S387:T387"/>
    <mergeCell ref="AD217:AG217"/>
    <mergeCell ref="P519:AS527"/>
    <mergeCell ref="P531:AS545"/>
    <mergeCell ref="AD563:AE563"/>
    <mergeCell ref="P549:AS562"/>
    <mergeCell ref="P566:AS572"/>
    <mergeCell ref="AA563:AB563"/>
    <mergeCell ref="J495:O495"/>
    <mergeCell ref="J506:O506"/>
    <mergeCell ref="J519:O519"/>
    <mergeCell ref="J531:O531"/>
    <mergeCell ref="J549:O549"/>
    <mergeCell ref="J566:O566"/>
    <mergeCell ref="C495:I495"/>
    <mergeCell ref="C549:I549"/>
    <mergeCell ref="C566:I566"/>
    <mergeCell ref="C531:I531"/>
    <mergeCell ref="C519:I519"/>
    <mergeCell ref="C506:I506"/>
    <mergeCell ref="P495:AS502"/>
    <mergeCell ref="AD546:AE546"/>
    <mergeCell ref="V218:Z218"/>
    <mergeCell ref="AP4:AS4"/>
    <mergeCell ref="O177:AS177"/>
    <mergeCell ref="P178:Q178"/>
    <mergeCell ref="Z178:AE178"/>
    <mergeCell ref="AM178:AR178"/>
    <mergeCell ref="O179:U179"/>
    <mergeCell ref="O180:AS180"/>
    <mergeCell ref="O181:AB181"/>
    <mergeCell ref="V214:Z214"/>
    <mergeCell ref="AD214:AG214"/>
    <mergeCell ref="V215:Z215"/>
    <mergeCell ref="AD215:AG215"/>
    <mergeCell ref="O216:Q216"/>
    <mergeCell ref="V216:Z216"/>
    <mergeCell ref="AD216:AG216"/>
    <mergeCell ref="O204:V204"/>
    <mergeCell ref="O205:V205"/>
    <mergeCell ref="O206:V206"/>
    <mergeCell ref="W212:Y212"/>
    <mergeCell ref="AE212:AG212"/>
    <mergeCell ref="O213:Q213"/>
    <mergeCell ref="V213:Z213"/>
    <mergeCell ref="AE18:AS18"/>
    <mergeCell ref="AE19:AS19"/>
    <mergeCell ref="AE22:AS22"/>
    <mergeCell ref="O31:AS31"/>
    <mergeCell ref="O32:AS32"/>
    <mergeCell ref="O33:U33"/>
    <mergeCell ref="B6:AT6"/>
    <mergeCell ref="B7:AT7"/>
    <mergeCell ref="C14:N14"/>
    <mergeCell ref="AI16:AJ16"/>
    <mergeCell ref="AD213:AG213"/>
    <mergeCell ref="V220:Z220"/>
    <mergeCell ref="AD220:AG220"/>
    <mergeCell ref="V221:Z221"/>
    <mergeCell ref="AD221:AG221"/>
    <mergeCell ref="O222:Q222"/>
    <mergeCell ref="V222:Z222"/>
    <mergeCell ref="AD222:AG222"/>
    <mergeCell ref="V217:Z217"/>
    <mergeCell ref="AD218:AG218"/>
    <mergeCell ref="O219:Q219"/>
    <mergeCell ref="V219:Z219"/>
    <mergeCell ref="AD219:AG219"/>
    <mergeCell ref="K232:L232"/>
    <mergeCell ref="X232:AC232"/>
    <mergeCell ref="V226:Z226"/>
    <mergeCell ref="AD226:AG226"/>
    <mergeCell ref="V227:Z227"/>
    <mergeCell ref="V228:Z228"/>
    <mergeCell ref="AD228:AG228"/>
    <mergeCell ref="V223:Z223"/>
    <mergeCell ref="AD223:AG223"/>
    <mergeCell ref="V224:Z224"/>
    <mergeCell ref="AD224:AG224"/>
    <mergeCell ref="O225:Q225"/>
    <mergeCell ref="V225:Z225"/>
    <mergeCell ref="AD225:AG225"/>
  </mergeCells>
  <phoneticPr fontId="3"/>
  <conditionalFormatting sqref="AI446:AI447">
    <cfRule type="expression" dxfId="457" priority="2">
      <formula>R446="レ"</formula>
    </cfRule>
  </conditionalFormatting>
  <dataValidations count="10">
    <dataValidation type="whole" imeMode="fullAlpha" allowBlank="1" showInputMessage="1" showErrorMessage="1" sqref="AK16:AL16" xr:uid="{00000000-0002-0000-0400-000000000000}">
      <formula1>3</formula1>
      <formula2>99</formula2>
    </dataValidation>
    <dataValidation type="whole" imeMode="fullAlpha" allowBlank="1" showInputMessage="1" showErrorMessage="1" sqref="AQ16:AR16" xr:uid="{00000000-0002-0000-0400-000001000000}">
      <formula1>1</formula1>
      <formula2>31</formula2>
    </dataValidation>
    <dataValidation type="whole" imeMode="fullAlpha" allowBlank="1" showInputMessage="1" showErrorMessage="1" sqref="AN16:AO16" xr:uid="{00000000-0002-0000-0400-000002000000}">
      <formula1>1</formula1>
      <formula2>12</formula2>
    </dataValidation>
    <dataValidation type="list" imeMode="hiragana" allowBlank="1" showInputMessage="1" showErrorMessage="1" sqref="C113:D113 AI16:AJ16" xr:uid="{00000000-0002-0000-0400-000003000000}">
      <formula1>"令和"</formula1>
    </dataValidation>
    <dataValidation type="list" imeMode="hiragana" allowBlank="1" showInputMessage="1" showErrorMessage="1" sqref="K288:L288 K232:L232 K282:L282 K238:L238 K430:L430 K436:L436" xr:uid="{00000000-0002-0000-0400-000004000000}">
      <formula1>"　,1級,2級"</formula1>
    </dataValidation>
    <dataValidation imeMode="hiragana" allowBlank="1" showInputMessage="1" showErrorMessage="1" promptTitle="直接入力してください。" prompt="直接入力しないと、イ．氏名のフリガナが正確に表示されません。" sqref="N47:AT47" xr:uid="{00000000-0002-0000-0400-000005000000}"/>
    <dataValidation imeMode="hiragana" allowBlank="1" showErrorMessage="1" sqref="AU65:AY65 N81:N84 O83 N236:AT236 N434:AT434 O43 N286:AT286 AU59 O58 N65:AS65 AU172:AY172 N172:AS172" xr:uid="{00000000-0002-0000-0400-000006000000}"/>
    <dataValidation imeMode="halfKatakana" allowBlank="1" showErrorMessage="1" sqref="O82 O68:O70 N235:AT235 O57 N433:AT433 N285:AT285 O42 O31:O32 O175:O176 O161:O162" xr:uid="{00000000-0002-0000-0400-000007000000}"/>
    <dataValidation imeMode="hiragana" allowBlank="1" showInputMessage="1" showErrorMessage="1" sqref="C47:C49 AE36:AL38 AE48:AL49 N75:N77 BB36:BB38 X288 N240 N237 B247 B255 X238 H588:H601 C260:C262 C249:C250 B266:B270 U212:U230 AH578:AH579 O45 N195:N197 B200 B212 B80 D201:D206 C53 N287 B295 N85:N91 B191 AH188 N207:N209 AE22 X232 C232:C241 W239:AP239 B231 AE241:AP241 C64 Z60 C36:C38 B94 O180 C75:C77 D192:D194 AE18:AE19 N290 AC212:AC230 C282:C291 W289:AP289 B281 AE291:AP291 D455 X282 D31:D35 B41 B30 D42:D46 O34 B52 C14:N14 D271:D280 N438 N435 B445 B452 X436 C456:C458 C447 D228 N389:N391 B424 AD389:AD391 C411:C412 AH380 N419:N421 X430 C430:C439 W437:AP437 B429 AE439:AP439 D416:D418 C415:C416 D446:D447 C103:C106 B383 Y389:Y391 C395:C396 C214:C227 O62 Z55 B394:B418 D400:D402 C229:C230 C399:C400 D404:D406 AH490:AH491 C403:C404 D408:D410 B492 C407:C408 D412:D414 C467 D425 AB424 C296 D384:D388 B462:B466 AY2:AY3 B580 AH583:AH587 Z173 D54 O59 O73 Z66 AH168:AH169 Z71 O84 R588:R601 N103:N106 D428 D396:D398 D213 N225 N222 N219 N213 N216 D81:D84 C85:C91 D95:D102 O194:AS194 AF202:AQ202 V213:Z230 AH309 O81 C171 Z178 B378 AH183:AH184 AH130:AH131 B132 O177 D161:D165 O164 C160" xr:uid="{00000000-0002-0000-0400-000008000000}"/>
    <dataValidation imeMode="fullAlpha" allowBlank="1" showInputMessage="1" showErrorMessage="1" sqref="AH288 N48:N49 O33 N289 O219 O72 AM71 N437 O216 AH436 AD213:AD230 AP248 AH282:AH284 O35 N241 N439 O225 N239 N36:N38 O213 O222 AM178:AR178 O46 R203 Z203 O204:O206 O44 AM60 AH232:AH234 AH238 N291 AH430:AH432 O61 O74 O63 AM55:AM56 AM66:AM67 O179 O181 AM173:AM174 O163 O165" xr:uid="{00000000-0002-0000-0400-000009000000}"/>
  </dataValidations>
  <hyperlinks>
    <hyperlink ref="AJ212" location="報告書!A250:A319" display="別紙参照" xr:uid="{00000000-0004-0000-0400-000000000000}"/>
    <hyperlink ref="AJ212:AR212" location="'＜入力不要＞報告書'!A309:A379" display="第二面　別紙参照" xr:uid="{00000000-0004-0000-0400-000001000000}"/>
    <hyperlink ref="O96:AS96" location="'＜入力不要＞報告書'!A130:A187" display="第一面別紙参照" xr:uid="{00000000-0004-0000-0400-000002000000}"/>
    <hyperlink ref="N397" location="報告書!A432:A486" display="別紙参照" xr:uid="{00000000-0004-0000-0400-000003000000}"/>
    <hyperlink ref="N397:V397" location="'＜入力不要＞報告書'!A489:A575" display="第三面　別紙参照" xr:uid="{00000000-0004-0000-0400-000004000000}"/>
    <hyperlink ref="N401" location="報告書!A432:A486" display="別紙参照" xr:uid="{00000000-0004-0000-0400-000005000000}"/>
    <hyperlink ref="N401:V401" location="'＜入力不要＞報告書'!A489:A575" display="第三面　別紙参照" xr:uid="{00000000-0004-0000-0400-000006000000}"/>
    <hyperlink ref="N405" location="報告書!A432:A486" display="別紙参照" xr:uid="{00000000-0004-0000-0400-000007000000}"/>
    <hyperlink ref="N405:V405" location="'＜入力不要＞報告書'!A489:A575" display="第三面　別紙参照" xr:uid="{00000000-0004-0000-0400-000008000000}"/>
    <hyperlink ref="N409" location="報告書!A432:A486" display="別紙参照" xr:uid="{00000000-0004-0000-0400-000009000000}"/>
    <hyperlink ref="N409:V409" location="'＜入力不要＞報告書'!A489:A575" display="第三面　別紙参照" xr:uid="{00000000-0004-0000-0400-00000A000000}"/>
    <hyperlink ref="N413" location="報告書!A432:A486" display="別紙参照" xr:uid="{00000000-0004-0000-0400-00000B000000}"/>
    <hyperlink ref="N413:V413" location="'＜入力不要＞報告書'!A489:A575" display="第三面　別紙参照" xr:uid="{00000000-0004-0000-0400-00000C000000}"/>
    <hyperlink ref="N417" location="報告書!A432:A486" display="別紙参照" xr:uid="{00000000-0004-0000-0400-00000D000000}"/>
    <hyperlink ref="N417:V417" location="'＜入力不要＞報告書'!A489:A575" display="第三面　別紙参照" xr:uid="{00000000-0004-0000-0400-00000E000000}"/>
    <hyperlink ref="AN1" location="使用方法!F26:F34" display="シート一覧へ" xr:uid="{83A796E6-B5AF-4468-975F-583D0687B649}"/>
    <hyperlink ref="AN1:AS1" location="使用方法!F29:F37" display="シート一覧へ" xr:uid="{90A5479F-2B3A-469B-98FD-F33DD846D5A5}"/>
  </hyperlinks>
  <printOptions horizontalCentered="1"/>
  <pageMargins left="0.19685039370078741" right="0.19685039370078741" top="0.78740157480314965" bottom="0.19685039370078741" header="0" footer="0"/>
  <pageSetup paperSize="9" scale="90" orientation="portrait" blackAndWhite="1" horizontalDpi="300" verticalDpi="300" r:id="rId1"/>
  <headerFooter alignWithMargins="0"/>
  <rowBreaks count="8" manualBreakCount="8">
    <brk id="121" max="45" man="1"/>
    <brk id="186" max="45" man="1"/>
    <brk id="307" max="45" man="1"/>
    <brk id="378" max="45" man="1"/>
    <brk id="487" max="45" man="1"/>
    <brk id="575" max="45" man="1"/>
    <brk id="602" max="45" man="1"/>
    <brk id="671" max="45" man="1"/>
  </rowBreaks>
  <colBreaks count="1" manualBreakCount="1">
    <brk id="51" max="646"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BO395"/>
  <sheetViews>
    <sheetView view="pageBreakPreview" topLeftCell="B1" zoomScaleNormal="100" zoomScaleSheetLayoutView="100" workbookViewId="0">
      <selection activeCell="U107" sqref="U107:V107"/>
    </sheetView>
  </sheetViews>
  <sheetFormatPr defaultColWidth="9" defaultRowHeight="13.5" x14ac:dyDescent="0.15"/>
  <cols>
    <col min="1" max="17" width="2.125" style="939" customWidth="1"/>
    <col min="18" max="18" width="2.375" style="939" customWidth="1"/>
    <col min="19" max="33" width="2.125" style="939" customWidth="1"/>
    <col min="34" max="34" width="2.25" style="939" customWidth="1"/>
    <col min="35" max="47" width="2.125" style="939" customWidth="1"/>
    <col min="48" max="50" width="2" style="939" customWidth="1"/>
    <col min="51" max="52" width="2.125" style="939" customWidth="1"/>
    <col min="53" max="53" width="9.125" style="939" customWidth="1"/>
    <col min="54" max="58" width="9" style="940" customWidth="1"/>
    <col min="59" max="16384" width="9" style="940"/>
  </cols>
  <sheetData>
    <row r="1" spans="1:47" ht="22.5" customHeight="1" x14ac:dyDescent="0.15">
      <c r="A1" s="1431" t="s">
        <v>1881</v>
      </c>
      <c r="AN1" s="3112" t="str">
        <f>HYPERLINK("#'使用方法'!F29:F37","シート一覧へ")</f>
        <v>シート一覧へ</v>
      </c>
      <c r="AO1" s="3112"/>
      <c r="AP1" s="3112"/>
      <c r="AQ1" s="3112"/>
      <c r="AR1" s="3112"/>
      <c r="AS1" s="3112"/>
    </row>
    <row r="2" spans="1:47" ht="14.1" hidden="1" customHeight="1" x14ac:dyDescent="0.15"/>
    <row r="3" spans="1:47" ht="14.1" hidden="1" customHeight="1" x14ac:dyDescent="0.15"/>
    <row r="4" spans="1:47" ht="12" customHeight="1" x14ac:dyDescent="0.15">
      <c r="B4" s="1048"/>
      <c r="AF4" s="1048"/>
      <c r="AH4" s="943" t="str">
        <f>チェックシート!H3</f>
        <v>Kyoto City（R7.7） ver.120</v>
      </c>
      <c r="AJ4" s="939" t="s">
        <v>1880</v>
      </c>
      <c r="AM4" s="941"/>
      <c r="AN4" s="1049" t="str">
        <f>IF('＜入力不要＞報告書'!AN4="","",'＜入力不要＞報告書'!AN4)</f>
        <v/>
      </c>
      <c r="AO4" s="942" t="str">
        <f>IF('＜入力不要＞報告書'!AO4="","",'＜入力不要＞報告書'!AO4)</f>
        <v/>
      </c>
      <c r="AP4" s="3311" t="str">
        <f>IF('＜入力不要＞報告書'!AP4="","",'＜入力不要＞報告書'!AP4)</f>
        <v>0000</v>
      </c>
      <c r="AQ4" s="3312" t="str">
        <f>IF('＜入力不要＞報告書'!AQ4="","",'＜入力不要＞報告書'!AQ4)</f>
        <v/>
      </c>
      <c r="AR4" s="3312" t="str">
        <f>IF('＜入力不要＞報告書'!AR4="","",'＜入力不要＞報告書'!AR4)</f>
        <v/>
      </c>
      <c r="AS4" s="3313" t="str">
        <f>IF('＜入力不要＞報告書'!AS4="","",'＜入力不要＞報告書'!AS4)</f>
        <v/>
      </c>
    </row>
    <row r="5" spans="1:47" ht="22.5" customHeight="1" x14ac:dyDescent="0.15">
      <c r="B5" s="1115" t="s">
        <v>641</v>
      </c>
      <c r="AS5" s="1114"/>
    </row>
    <row r="6" spans="1:47" ht="12" customHeight="1" x14ac:dyDescent="0.15">
      <c r="B6" s="3351" t="s">
        <v>642</v>
      </c>
      <c r="C6" s="3351"/>
      <c r="D6" s="3351"/>
      <c r="E6" s="3351"/>
      <c r="F6" s="3351"/>
      <c r="G6" s="3351"/>
      <c r="H6" s="3351"/>
      <c r="I6" s="3351"/>
      <c r="J6" s="3351"/>
      <c r="K6" s="3351"/>
      <c r="L6" s="3351"/>
      <c r="M6" s="3351"/>
      <c r="N6" s="3351"/>
      <c r="O6" s="3351"/>
      <c r="P6" s="3351"/>
      <c r="Q6" s="3351"/>
      <c r="R6" s="3351"/>
      <c r="S6" s="3351"/>
      <c r="T6" s="3351"/>
      <c r="U6" s="3351"/>
      <c r="V6" s="3351"/>
      <c r="W6" s="3351"/>
      <c r="X6" s="3351"/>
      <c r="Y6" s="3351"/>
      <c r="Z6" s="3351"/>
      <c r="AA6" s="3351"/>
      <c r="AB6" s="3351"/>
      <c r="AC6" s="3351"/>
      <c r="AD6" s="3351"/>
      <c r="AE6" s="3351"/>
      <c r="AF6" s="3351"/>
      <c r="AG6" s="3351"/>
      <c r="AH6" s="3351"/>
      <c r="AI6" s="3351"/>
      <c r="AJ6" s="3351"/>
      <c r="AK6" s="3351"/>
      <c r="AL6" s="3351"/>
      <c r="AM6" s="3351"/>
      <c r="AN6" s="3351"/>
      <c r="AO6" s="3351"/>
      <c r="AP6" s="3351"/>
      <c r="AQ6" s="3351"/>
      <c r="AR6" s="3351"/>
      <c r="AS6" s="3351"/>
      <c r="AT6" s="1050"/>
      <c r="AU6" s="1050"/>
    </row>
    <row r="7" spans="1:47" ht="12" customHeight="1" x14ac:dyDescent="0.15">
      <c r="B7" s="944"/>
      <c r="C7" s="944"/>
      <c r="D7" s="944"/>
      <c r="E7" s="944"/>
      <c r="F7" s="944"/>
      <c r="G7" s="944"/>
      <c r="H7" s="944"/>
      <c r="I7" s="944"/>
      <c r="J7" s="944"/>
      <c r="K7" s="944"/>
      <c r="L7" s="944"/>
      <c r="M7" s="944"/>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row>
    <row r="8" spans="1:47" ht="14.1" hidden="1" customHeight="1" x14ac:dyDescent="0.15">
      <c r="B8" s="944"/>
      <c r="C8" s="944"/>
      <c r="D8" s="944"/>
      <c r="E8" s="944"/>
      <c r="F8" s="944"/>
      <c r="G8" s="944"/>
      <c r="H8" s="944"/>
      <c r="I8" s="944"/>
      <c r="J8" s="944"/>
      <c r="K8" s="944"/>
      <c r="L8" s="944"/>
      <c r="M8" s="944"/>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row>
    <row r="9" spans="1:47" ht="14.1" customHeight="1" x14ac:dyDescent="0.15">
      <c r="B9" s="3316" t="s">
        <v>360</v>
      </c>
      <c r="C9" s="3316"/>
      <c r="D9" s="3316"/>
      <c r="E9" s="3316"/>
      <c r="F9" s="3316"/>
      <c r="G9" s="3316"/>
      <c r="H9" s="3316"/>
      <c r="I9" s="3316"/>
      <c r="J9" s="3316"/>
      <c r="K9" s="3316"/>
      <c r="L9" s="3316"/>
      <c r="M9" s="3316"/>
      <c r="N9" s="3316"/>
      <c r="O9" s="3316"/>
      <c r="P9" s="3316"/>
      <c r="Q9" s="3316"/>
      <c r="R9" s="3316"/>
      <c r="S9" s="3316"/>
      <c r="T9" s="3316"/>
      <c r="U9" s="3316"/>
      <c r="V9" s="3316"/>
      <c r="W9" s="3316"/>
      <c r="X9" s="3316"/>
      <c r="Y9" s="3316"/>
      <c r="Z9" s="3316"/>
      <c r="AA9" s="3316"/>
      <c r="AB9" s="3316"/>
      <c r="AC9" s="3316"/>
      <c r="AD9" s="3316"/>
      <c r="AE9" s="3316"/>
      <c r="AF9" s="3316"/>
      <c r="AG9" s="3316"/>
      <c r="AH9" s="3316"/>
      <c r="AI9" s="3316"/>
      <c r="AJ9" s="3316"/>
      <c r="AK9" s="3316"/>
      <c r="AL9" s="3316"/>
      <c r="AM9" s="3316"/>
      <c r="AN9" s="3316"/>
      <c r="AO9" s="3316"/>
      <c r="AP9" s="3316"/>
      <c r="AQ9" s="3316"/>
      <c r="AR9" s="3316"/>
      <c r="AS9" s="3316"/>
      <c r="AT9" s="944"/>
      <c r="AU9" s="944"/>
    </row>
    <row r="10" spans="1:47" ht="14.1" customHeight="1" x14ac:dyDescent="0.15">
      <c r="B10" s="945"/>
      <c r="C10" s="945"/>
      <c r="D10" s="945"/>
      <c r="E10" s="945"/>
      <c r="F10" s="945"/>
      <c r="G10" s="945"/>
      <c r="H10" s="945"/>
      <c r="I10" s="945"/>
      <c r="J10" s="945"/>
      <c r="K10" s="945"/>
      <c r="L10" s="945"/>
      <c r="M10" s="945"/>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row>
    <row r="11" spans="1:47" ht="12" hidden="1" customHeight="1" x14ac:dyDescent="0.15"/>
    <row r="12" spans="1:47" ht="12" hidden="1" customHeight="1" x14ac:dyDescent="0.15"/>
    <row r="13" spans="1:47" ht="6" hidden="1" customHeight="1" x14ac:dyDescent="0.15"/>
    <row r="14" spans="1:47" ht="12" hidden="1" customHeight="1" x14ac:dyDescent="0.15"/>
    <row r="15" spans="1:47" ht="6" hidden="1" customHeight="1" x14ac:dyDescent="0.15"/>
    <row r="16" spans="1:47" ht="12" hidden="1" customHeight="1" x14ac:dyDescent="0.15"/>
    <row r="17" spans="2:45" ht="12" hidden="1" customHeight="1" x14ac:dyDescent="0.15"/>
    <row r="18" spans="2:45" ht="12" hidden="1" customHeight="1" x14ac:dyDescent="0.15"/>
    <row r="19" spans="2:45" ht="12" hidden="1" customHeight="1" x14ac:dyDescent="0.15"/>
    <row r="20" spans="2:45" ht="6" hidden="1" customHeight="1" x14ac:dyDescent="0.15"/>
    <row r="21" spans="2:45" ht="6" hidden="1" customHeight="1" x14ac:dyDescent="0.15">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row>
    <row r="22" spans="2:45" ht="12" customHeight="1" x14ac:dyDescent="0.15">
      <c r="C22" s="939" t="s">
        <v>465</v>
      </c>
    </row>
    <row r="23" spans="2:45" ht="6" hidden="1" customHeight="1" x14ac:dyDescent="0.15"/>
    <row r="24" spans="2:45" ht="6" hidden="1" customHeight="1" x14ac:dyDescent="0.15"/>
    <row r="25" spans="2:45" ht="13.5" hidden="1" customHeight="1" x14ac:dyDescent="0.15"/>
    <row r="26" spans="2:45" ht="13.5" hidden="1" customHeight="1" x14ac:dyDescent="0.15"/>
    <row r="27" spans="2:45" hidden="1" x14ac:dyDescent="0.15"/>
    <row r="28" spans="2:45" ht="6" customHeight="1" x14ac:dyDescent="0.15"/>
    <row r="29" spans="2:45" ht="6" customHeight="1" x14ac:dyDescent="0.15"/>
    <row r="30" spans="2:45" ht="12" customHeight="1" x14ac:dyDescent="0.15">
      <c r="B30" s="946" t="s">
        <v>367</v>
      </c>
    </row>
    <row r="31" spans="2:45" ht="12" customHeight="1" x14ac:dyDescent="0.15">
      <c r="D31" s="946" t="s">
        <v>368</v>
      </c>
      <c r="E31" s="947"/>
      <c r="F31" s="947"/>
      <c r="G31" s="947"/>
      <c r="H31" s="947"/>
      <c r="I31" s="947"/>
      <c r="J31" s="947"/>
      <c r="K31" s="947"/>
      <c r="L31" s="947"/>
      <c r="M31" s="947"/>
      <c r="N31" s="947"/>
      <c r="O31" s="3345" t="str">
        <f>IF('＜入力不要＞報告書'!O31="","",'＜入力不要＞報告書'!O31)</f>
        <v xml:space="preserve">  </v>
      </c>
      <c r="P31" s="3345"/>
      <c r="Q31" s="3345"/>
      <c r="R31" s="3345"/>
      <c r="S31" s="3345"/>
      <c r="T31" s="3345"/>
      <c r="U31" s="3345"/>
      <c r="V31" s="3345"/>
      <c r="W31" s="3345"/>
      <c r="X31" s="3345"/>
      <c r="Y31" s="3345"/>
      <c r="Z31" s="3345"/>
      <c r="AA31" s="3345"/>
      <c r="AB31" s="3345"/>
      <c r="AC31" s="3345"/>
      <c r="AD31" s="3345"/>
      <c r="AE31" s="3345"/>
      <c r="AF31" s="3345"/>
      <c r="AG31" s="3345"/>
      <c r="AH31" s="3345"/>
      <c r="AI31" s="3345"/>
      <c r="AJ31" s="3345"/>
      <c r="AK31" s="3345"/>
      <c r="AL31" s="3345"/>
      <c r="AM31" s="3345"/>
      <c r="AN31" s="3345"/>
      <c r="AO31" s="3345"/>
      <c r="AP31" s="3345"/>
      <c r="AQ31" s="3345"/>
      <c r="AR31" s="3345"/>
      <c r="AS31" s="3345"/>
    </row>
    <row r="32" spans="2:45" ht="12" customHeight="1" x14ac:dyDescent="0.15">
      <c r="D32" s="946" t="s">
        <v>369</v>
      </c>
      <c r="E32" s="947"/>
      <c r="F32" s="947"/>
      <c r="G32" s="947"/>
      <c r="H32" s="947"/>
      <c r="I32" s="947"/>
      <c r="J32" s="947"/>
      <c r="K32" s="947"/>
      <c r="L32" s="947"/>
      <c r="M32" s="947"/>
      <c r="N32" s="947"/>
      <c r="O32" s="3345" t="str">
        <f>IF('＜入力不要＞報告書'!O32="","",'＜入力不要＞報告書'!O32)</f>
        <v xml:space="preserve">  </v>
      </c>
      <c r="P32" s="3345"/>
      <c r="Q32" s="3345"/>
      <c r="R32" s="3345"/>
      <c r="S32" s="3345"/>
      <c r="T32" s="3345"/>
      <c r="U32" s="3345"/>
      <c r="V32" s="3345"/>
      <c r="W32" s="3345"/>
      <c r="X32" s="3345"/>
      <c r="Y32" s="3345"/>
      <c r="Z32" s="3345"/>
      <c r="AA32" s="3345"/>
      <c r="AB32" s="3345"/>
      <c r="AC32" s="3345"/>
      <c r="AD32" s="3345"/>
      <c r="AE32" s="3345"/>
      <c r="AF32" s="3345"/>
      <c r="AG32" s="3345"/>
      <c r="AH32" s="3345"/>
      <c r="AI32" s="3345"/>
      <c r="AJ32" s="3345"/>
      <c r="AK32" s="3345"/>
      <c r="AL32" s="3345"/>
      <c r="AM32" s="3345"/>
      <c r="AN32" s="3345"/>
      <c r="AO32" s="3345"/>
      <c r="AP32" s="3345"/>
      <c r="AQ32" s="3345"/>
      <c r="AR32" s="3345"/>
      <c r="AS32" s="3345"/>
    </row>
    <row r="33" spans="2:54" ht="12" customHeight="1" x14ac:dyDescent="0.15">
      <c r="D33" s="946" t="s">
        <v>370</v>
      </c>
      <c r="E33" s="947"/>
      <c r="F33" s="947"/>
      <c r="G33" s="947"/>
      <c r="H33" s="947"/>
      <c r="I33" s="947"/>
      <c r="J33" s="947"/>
      <c r="K33" s="947"/>
      <c r="L33" s="947"/>
      <c r="M33" s="947"/>
      <c r="N33" s="947"/>
      <c r="O33" s="3347" t="str">
        <f>IF('＜入力不要＞報告書'!O33="","",'＜入力不要＞報告書'!O33)</f>
        <v/>
      </c>
      <c r="P33" s="3347"/>
      <c r="Q33" s="3347"/>
      <c r="R33" s="3347"/>
      <c r="S33" s="3347"/>
      <c r="T33" s="3347"/>
      <c r="U33" s="3347"/>
      <c r="V33" s="947"/>
      <c r="W33" s="947"/>
      <c r="X33" s="947"/>
      <c r="Y33" s="947"/>
      <c r="Z33" s="947"/>
      <c r="AA33" s="947"/>
      <c r="AB33" s="947"/>
      <c r="AC33" s="947"/>
      <c r="AD33" s="947"/>
      <c r="AE33" s="947"/>
      <c r="AF33" s="947"/>
      <c r="AG33" s="947"/>
      <c r="AH33" s="947"/>
      <c r="AI33" s="947"/>
      <c r="AJ33" s="947"/>
      <c r="AK33" s="947"/>
      <c r="AL33" s="947"/>
      <c r="AM33" s="947"/>
      <c r="AN33" s="947"/>
      <c r="AO33" s="947"/>
      <c r="AP33" s="947"/>
      <c r="AQ33" s="947"/>
      <c r="AR33" s="947"/>
      <c r="AS33" s="947"/>
    </row>
    <row r="34" spans="2:54" ht="12" customHeight="1" x14ac:dyDescent="0.15">
      <c r="D34" s="946" t="s">
        <v>371</v>
      </c>
      <c r="E34" s="947"/>
      <c r="F34" s="947"/>
      <c r="G34" s="947"/>
      <c r="H34" s="947"/>
      <c r="I34" s="947"/>
      <c r="J34" s="947"/>
      <c r="K34" s="947"/>
      <c r="L34" s="947"/>
      <c r="M34" s="947"/>
      <c r="N34" s="947"/>
      <c r="O34" s="3345" t="str">
        <f>IF('＜入力不要＞報告書'!O34="","",'＜入力不要＞報告書'!O34)</f>
        <v/>
      </c>
      <c r="P34" s="3345"/>
      <c r="Q34" s="3345"/>
      <c r="R34" s="3345"/>
      <c r="S34" s="3345"/>
      <c r="T34" s="3345"/>
      <c r="U34" s="3345"/>
      <c r="V34" s="3345"/>
      <c r="W34" s="3345"/>
      <c r="X34" s="3345"/>
      <c r="Y34" s="3345"/>
      <c r="Z34" s="3345"/>
      <c r="AA34" s="3345"/>
      <c r="AB34" s="3345"/>
      <c r="AC34" s="3345"/>
      <c r="AD34" s="3345"/>
      <c r="AE34" s="3345"/>
      <c r="AF34" s="3345"/>
      <c r="AG34" s="3345"/>
      <c r="AH34" s="3345"/>
      <c r="AI34" s="3345"/>
      <c r="AJ34" s="3345"/>
      <c r="AK34" s="3345"/>
      <c r="AL34" s="3345"/>
      <c r="AM34" s="3345"/>
      <c r="AN34" s="3345"/>
      <c r="AO34" s="3345"/>
      <c r="AP34" s="3345"/>
      <c r="AQ34" s="3345"/>
      <c r="AR34" s="3345"/>
      <c r="AS34" s="3345"/>
    </row>
    <row r="35" spans="2:54" ht="12" hidden="1" customHeight="1" x14ac:dyDescent="0.15">
      <c r="AD35" s="948"/>
      <c r="AE35" s="948"/>
      <c r="AF35" s="948"/>
      <c r="AG35" s="948"/>
      <c r="AH35" s="948"/>
      <c r="AI35" s="948"/>
      <c r="AJ35" s="948"/>
      <c r="AK35" s="948"/>
      <c r="AL35" s="948"/>
      <c r="AM35" s="948"/>
      <c r="AN35" s="948"/>
      <c r="AO35" s="948"/>
      <c r="AP35" s="948"/>
      <c r="AQ35" s="948"/>
      <c r="AR35" s="948"/>
      <c r="AS35" s="948"/>
    </row>
    <row r="36" spans="2:54" ht="13.5" hidden="1" customHeight="1" x14ac:dyDescent="0.15">
      <c r="C36" s="946"/>
      <c r="N36" s="949"/>
      <c r="O36" s="949"/>
      <c r="P36" s="949"/>
      <c r="Q36" s="949"/>
      <c r="R36" s="949"/>
      <c r="S36" s="949"/>
      <c r="T36" s="949"/>
      <c r="U36" s="949"/>
      <c r="V36" s="949"/>
      <c r="W36" s="949"/>
      <c r="X36" s="949"/>
      <c r="Y36" s="949"/>
      <c r="Z36" s="949"/>
      <c r="AA36" s="949"/>
      <c r="AB36" s="949"/>
      <c r="AC36" s="949"/>
      <c r="AD36" s="949"/>
      <c r="AE36" s="950"/>
      <c r="AF36" s="950"/>
      <c r="AG36" s="950"/>
      <c r="AH36" s="950"/>
      <c r="AI36" s="950"/>
      <c r="AJ36" s="950"/>
      <c r="AK36" s="950"/>
      <c r="AL36" s="951"/>
      <c r="BB36" s="1051"/>
    </row>
    <row r="37" spans="2:54" ht="13.5" hidden="1" customHeight="1" x14ac:dyDescent="0.15">
      <c r="C37" s="946"/>
      <c r="N37" s="949"/>
      <c r="O37" s="949"/>
      <c r="P37" s="949"/>
      <c r="Q37" s="949"/>
      <c r="R37" s="949"/>
      <c r="S37" s="949"/>
      <c r="T37" s="949"/>
      <c r="U37" s="949"/>
      <c r="V37" s="949"/>
      <c r="W37" s="949"/>
      <c r="X37" s="949"/>
      <c r="Y37" s="949"/>
      <c r="Z37" s="949"/>
      <c r="AA37" s="949"/>
      <c r="AB37" s="949"/>
      <c r="AC37" s="949"/>
      <c r="AD37" s="949"/>
      <c r="AE37" s="950"/>
      <c r="AF37" s="950"/>
      <c r="AG37" s="950"/>
      <c r="AH37" s="950"/>
      <c r="AI37" s="950"/>
      <c r="AJ37" s="950"/>
      <c r="AK37" s="950"/>
      <c r="AL37" s="951"/>
      <c r="BB37" s="1051"/>
    </row>
    <row r="38" spans="2:54" ht="13.5" hidden="1" customHeight="1" x14ac:dyDescent="0.15">
      <c r="C38" s="946"/>
      <c r="N38" s="949"/>
      <c r="O38" s="949"/>
      <c r="P38" s="949"/>
      <c r="Q38" s="949"/>
      <c r="R38" s="949"/>
      <c r="S38" s="949"/>
      <c r="T38" s="949"/>
      <c r="U38" s="949"/>
      <c r="V38" s="949"/>
      <c r="W38" s="949"/>
      <c r="X38" s="949"/>
      <c r="Y38" s="949"/>
      <c r="Z38" s="949"/>
      <c r="AA38" s="949"/>
      <c r="AB38" s="949"/>
      <c r="AC38" s="949"/>
      <c r="AD38" s="949"/>
      <c r="AE38" s="950"/>
      <c r="AF38" s="950"/>
      <c r="AG38" s="950"/>
      <c r="AH38" s="950"/>
      <c r="AI38" s="950"/>
      <c r="AJ38" s="950"/>
      <c r="AK38" s="950"/>
      <c r="AL38" s="951"/>
      <c r="BB38" s="1051"/>
    </row>
    <row r="39" spans="2:54" ht="6" customHeight="1" x14ac:dyDescent="0.15"/>
    <row r="40" spans="2:54" ht="6" customHeight="1" x14ac:dyDescent="0.15"/>
    <row r="41" spans="2:54" ht="12" customHeight="1" x14ac:dyDescent="0.15">
      <c r="B41" s="946" t="s">
        <v>373</v>
      </c>
      <c r="X41" s="949"/>
      <c r="Y41" s="949"/>
      <c r="Z41" s="949"/>
      <c r="AA41" s="949"/>
      <c r="AB41" s="949"/>
      <c r="AC41" s="949"/>
      <c r="AD41" s="949"/>
      <c r="AE41" s="949"/>
      <c r="AF41" s="949"/>
      <c r="AG41" s="949"/>
      <c r="AH41" s="949"/>
      <c r="AI41" s="949"/>
      <c r="AJ41" s="949"/>
      <c r="AK41" s="949"/>
      <c r="AL41" s="949"/>
    </row>
    <row r="42" spans="2:54" ht="12" customHeight="1" x14ac:dyDescent="0.15">
      <c r="D42" s="946" t="s">
        <v>368</v>
      </c>
      <c r="O42" s="3345" t="str">
        <f>IF('＜入力不要＞報告書'!O42="","",'＜入力不要＞報告書'!O42)</f>
        <v xml:space="preserve">  </v>
      </c>
      <c r="P42" s="3345"/>
      <c r="Q42" s="3345"/>
      <c r="R42" s="3345"/>
      <c r="S42" s="3345"/>
      <c r="T42" s="3345"/>
      <c r="U42" s="3345"/>
      <c r="V42" s="3345"/>
      <c r="W42" s="3345"/>
      <c r="X42" s="3345"/>
      <c r="Y42" s="3345"/>
      <c r="Z42" s="3345"/>
      <c r="AA42" s="3345"/>
      <c r="AB42" s="3345"/>
      <c r="AC42" s="3345"/>
      <c r="AD42" s="3345"/>
      <c r="AE42" s="3345"/>
      <c r="AF42" s="3345"/>
      <c r="AG42" s="3345"/>
      <c r="AH42" s="3345"/>
      <c r="AI42" s="3345"/>
      <c r="AJ42" s="3345"/>
      <c r="AK42" s="3345"/>
      <c r="AL42" s="3345"/>
      <c r="AM42" s="3345"/>
      <c r="AN42" s="3345"/>
      <c r="AO42" s="3345"/>
      <c r="AP42" s="3345"/>
      <c r="AQ42" s="3345"/>
      <c r="AR42" s="3345"/>
      <c r="AS42" s="3345"/>
    </row>
    <row r="43" spans="2:54" ht="12" customHeight="1" x14ac:dyDescent="0.15">
      <c r="D43" s="946" t="s">
        <v>369</v>
      </c>
      <c r="O43" s="3345" t="str">
        <f>IF('＜入力不要＞報告書'!O43="","",'＜入力不要＞報告書'!O43)</f>
        <v xml:space="preserve">  </v>
      </c>
      <c r="P43" s="3345"/>
      <c r="Q43" s="3345"/>
      <c r="R43" s="3345"/>
      <c r="S43" s="3345"/>
      <c r="T43" s="3345"/>
      <c r="U43" s="3345"/>
      <c r="V43" s="3345"/>
      <c r="W43" s="3345"/>
      <c r="X43" s="3345"/>
      <c r="Y43" s="3345"/>
      <c r="Z43" s="3345"/>
      <c r="AA43" s="3345"/>
      <c r="AB43" s="3345"/>
      <c r="AC43" s="3345"/>
      <c r="AD43" s="3345"/>
      <c r="AE43" s="3345"/>
      <c r="AF43" s="3345"/>
      <c r="AG43" s="3345"/>
      <c r="AH43" s="3345"/>
      <c r="AI43" s="3345"/>
      <c r="AJ43" s="3345"/>
      <c r="AK43" s="3345"/>
      <c r="AL43" s="3345"/>
      <c r="AM43" s="3345"/>
      <c r="AN43" s="3345"/>
      <c r="AO43" s="3345"/>
      <c r="AP43" s="3345"/>
      <c r="AQ43" s="3345"/>
      <c r="AR43" s="3345"/>
      <c r="AS43" s="3345"/>
    </row>
    <row r="44" spans="2:54" ht="12" customHeight="1" x14ac:dyDescent="0.15">
      <c r="D44" s="946" t="s">
        <v>370</v>
      </c>
      <c r="O44" s="3347" t="str">
        <f>IF('＜入力不要＞報告書'!O44="","",'＜入力不要＞報告書'!O44)</f>
        <v/>
      </c>
      <c r="P44" s="3347"/>
      <c r="Q44" s="3347"/>
      <c r="R44" s="3347"/>
      <c r="S44" s="3347"/>
      <c r="T44" s="3347"/>
      <c r="U44" s="3347"/>
      <c r="V44" s="947"/>
      <c r="W44" s="947"/>
      <c r="X44" s="947"/>
      <c r="Y44" s="947"/>
      <c r="Z44" s="947"/>
      <c r="AA44" s="947"/>
      <c r="AB44" s="947"/>
      <c r="AC44" s="947"/>
      <c r="AD44" s="947"/>
      <c r="AE44" s="947"/>
      <c r="AF44" s="947"/>
      <c r="AG44" s="947"/>
      <c r="AH44" s="947"/>
      <c r="AI44" s="947"/>
      <c r="AJ44" s="947"/>
      <c r="AK44" s="947"/>
      <c r="AL44" s="947"/>
      <c r="AM44" s="947"/>
      <c r="AN44" s="947"/>
      <c r="AO44" s="947"/>
      <c r="AP44" s="947"/>
      <c r="AQ44" s="947"/>
      <c r="AR44" s="947"/>
      <c r="AS44" s="947"/>
    </row>
    <row r="45" spans="2:54" ht="12" customHeight="1" x14ac:dyDescent="0.15">
      <c r="D45" s="946" t="s">
        <v>371</v>
      </c>
      <c r="O45" s="3345" t="str">
        <f>IF('＜入力不要＞報告書'!O45="","",'＜入力不要＞報告書'!O45)</f>
        <v/>
      </c>
      <c r="P45" s="3345"/>
      <c r="Q45" s="3345"/>
      <c r="R45" s="3345"/>
      <c r="S45" s="3345"/>
      <c r="T45" s="3345"/>
      <c r="U45" s="3345"/>
      <c r="V45" s="3345"/>
      <c r="W45" s="3345"/>
      <c r="X45" s="3345"/>
      <c r="Y45" s="3345"/>
      <c r="Z45" s="3345"/>
      <c r="AA45" s="3345"/>
      <c r="AB45" s="3345"/>
      <c r="AC45" s="3345"/>
      <c r="AD45" s="3345"/>
      <c r="AE45" s="3345"/>
      <c r="AF45" s="3345"/>
      <c r="AG45" s="3345"/>
      <c r="AH45" s="3345"/>
      <c r="AI45" s="3345"/>
      <c r="AJ45" s="3345"/>
      <c r="AK45" s="3345"/>
      <c r="AL45" s="3345"/>
      <c r="AM45" s="3345"/>
      <c r="AN45" s="3345"/>
      <c r="AO45" s="3345"/>
      <c r="AP45" s="3345"/>
      <c r="AQ45" s="3345"/>
      <c r="AR45" s="3345"/>
      <c r="AS45" s="3345"/>
    </row>
    <row r="46" spans="2:54" ht="12" hidden="1" customHeight="1" x14ac:dyDescent="0.15">
      <c r="AE46" s="948"/>
      <c r="AF46" s="948"/>
      <c r="AG46" s="948"/>
      <c r="AH46" s="948"/>
      <c r="AI46" s="948"/>
      <c r="AJ46" s="948"/>
      <c r="AK46" s="948"/>
      <c r="AL46" s="948"/>
      <c r="AM46" s="948"/>
      <c r="AN46" s="948"/>
      <c r="AO46" s="948"/>
      <c r="AP46" s="948"/>
      <c r="AQ46" s="948"/>
      <c r="AR46" s="948"/>
      <c r="AS46" s="948"/>
    </row>
    <row r="47" spans="2:54" hidden="1" x14ac:dyDescent="0.15">
      <c r="C47" s="946"/>
      <c r="N47" s="3350"/>
      <c r="O47" s="3350"/>
      <c r="P47" s="3350"/>
      <c r="Q47" s="3350"/>
      <c r="R47" s="3350"/>
      <c r="S47" s="3350"/>
      <c r="T47" s="3350"/>
      <c r="U47" s="3350"/>
      <c r="V47" s="3350"/>
      <c r="W47" s="3350"/>
      <c r="X47" s="3350"/>
      <c r="Y47" s="3350"/>
      <c r="Z47" s="3350"/>
      <c r="AA47" s="3350"/>
      <c r="AB47" s="3350"/>
      <c r="AC47" s="3350"/>
      <c r="AD47" s="3350"/>
      <c r="AE47" s="3350"/>
      <c r="AF47" s="3350"/>
      <c r="AG47" s="3350"/>
      <c r="AH47" s="3350"/>
      <c r="AI47" s="3350"/>
      <c r="AJ47" s="3350"/>
      <c r="AK47" s="3350"/>
      <c r="AL47" s="3350"/>
      <c r="AM47" s="3350"/>
      <c r="AN47" s="3350"/>
      <c r="AO47" s="3350"/>
      <c r="AP47" s="3350"/>
      <c r="AQ47" s="3350"/>
      <c r="AR47" s="3350"/>
      <c r="AS47" s="3350"/>
      <c r="AT47" s="3350"/>
    </row>
    <row r="48" spans="2:54" hidden="1" x14ac:dyDescent="0.15">
      <c r="C48" s="946"/>
      <c r="N48" s="949"/>
      <c r="O48" s="949"/>
      <c r="P48" s="949"/>
      <c r="Q48" s="949"/>
      <c r="R48" s="949"/>
      <c r="S48" s="949"/>
      <c r="T48" s="949"/>
      <c r="U48" s="949"/>
      <c r="V48" s="949"/>
      <c r="W48" s="949"/>
      <c r="X48" s="949"/>
      <c r="Y48" s="949"/>
      <c r="Z48" s="949"/>
      <c r="AA48" s="949"/>
      <c r="AB48" s="949"/>
      <c r="AC48" s="949"/>
      <c r="AD48" s="949"/>
      <c r="AE48" s="950"/>
      <c r="AF48" s="950"/>
      <c r="AG48" s="950"/>
      <c r="AH48" s="950"/>
      <c r="AI48" s="950"/>
      <c r="AJ48" s="950"/>
      <c r="AK48" s="950"/>
      <c r="AL48" s="951"/>
    </row>
    <row r="49" spans="2:47" hidden="1" x14ac:dyDescent="0.15">
      <c r="C49" s="946"/>
      <c r="N49" s="949"/>
      <c r="O49" s="949"/>
      <c r="P49" s="949"/>
      <c r="Q49" s="949"/>
      <c r="R49" s="949"/>
      <c r="S49" s="949"/>
      <c r="T49" s="949"/>
      <c r="U49" s="949"/>
      <c r="V49" s="949"/>
      <c r="W49" s="949"/>
      <c r="X49" s="949"/>
      <c r="Y49" s="949"/>
      <c r="Z49" s="949"/>
      <c r="AA49" s="949"/>
      <c r="AB49" s="949"/>
      <c r="AC49" s="949"/>
      <c r="AD49" s="949"/>
      <c r="AE49" s="950"/>
      <c r="AF49" s="950"/>
      <c r="AG49" s="950"/>
      <c r="AH49" s="950"/>
      <c r="AI49" s="950"/>
      <c r="AJ49" s="950"/>
      <c r="AK49" s="950"/>
      <c r="AL49" s="951"/>
    </row>
    <row r="50" spans="2:47" ht="6" customHeight="1" x14ac:dyDescent="0.15"/>
    <row r="51" spans="2:47" ht="6" customHeight="1" x14ac:dyDescent="0.15"/>
    <row r="52" spans="2:47" ht="12" customHeight="1" x14ac:dyDescent="0.15">
      <c r="B52" s="946" t="s">
        <v>374</v>
      </c>
    </row>
    <row r="53" spans="2:47" ht="12" customHeight="1" x14ac:dyDescent="0.15">
      <c r="C53" s="946" t="s">
        <v>375</v>
      </c>
    </row>
    <row r="54" spans="2:47" ht="12" customHeight="1" x14ac:dyDescent="0.15">
      <c r="D54" s="946" t="s">
        <v>376</v>
      </c>
    </row>
    <row r="55" spans="2:47" ht="12" customHeight="1" x14ac:dyDescent="0.15">
      <c r="D55" s="952"/>
      <c r="E55" s="952"/>
      <c r="F55" s="952"/>
      <c r="G55" s="952"/>
      <c r="H55" s="952"/>
      <c r="I55" s="952"/>
      <c r="J55" s="952"/>
      <c r="K55" s="952"/>
      <c r="L55" s="952"/>
      <c r="M55" s="953"/>
      <c r="N55" s="952"/>
      <c r="O55" s="953" t="s">
        <v>25</v>
      </c>
      <c r="P55" s="3341" t="str">
        <f>IF('＜入力不要＞報告書'!P55="","",'＜入力不要＞報告書'!P55)</f>
        <v/>
      </c>
      <c r="Q55" s="3341"/>
      <c r="R55" s="952" t="s">
        <v>377</v>
      </c>
      <c r="S55" s="952"/>
      <c r="T55" s="952"/>
      <c r="U55" s="952"/>
      <c r="V55" s="954"/>
      <c r="W55" s="952"/>
      <c r="X55" s="952"/>
      <c r="Y55" s="953" t="s">
        <v>25</v>
      </c>
      <c r="Z55" s="3341" t="str">
        <f>IF('＜入力不要＞報告書'!Z55="","",'＜入力不要＞報告書'!Z55)</f>
        <v/>
      </c>
      <c r="AA55" s="3341"/>
      <c r="AB55" s="3341"/>
      <c r="AC55" s="3341"/>
      <c r="AD55" s="3341"/>
      <c r="AE55" s="3341"/>
      <c r="AF55" s="3341"/>
      <c r="AG55" s="3341"/>
      <c r="AH55" s="955" t="s">
        <v>378</v>
      </c>
      <c r="AI55" s="952"/>
      <c r="AJ55" s="952"/>
      <c r="AK55" s="952"/>
      <c r="AL55" s="953" t="s">
        <v>379</v>
      </c>
      <c r="AM55" s="3344" t="str">
        <f>IF('＜入力不要＞報告書'!AM55="","",'＜入力不要＞報告書'!AM55)</f>
        <v/>
      </c>
      <c r="AN55" s="3344"/>
      <c r="AO55" s="3344"/>
      <c r="AP55" s="3344"/>
      <c r="AQ55" s="3344"/>
      <c r="AR55" s="3344"/>
      <c r="AS55" s="952" t="s">
        <v>380</v>
      </c>
    </row>
    <row r="56" spans="2:47" ht="12" customHeight="1" x14ac:dyDescent="0.15">
      <c r="D56" s="952"/>
      <c r="E56" s="952"/>
      <c r="F56" s="952"/>
      <c r="G56" s="952"/>
      <c r="H56" s="952"/>
      <c r="I56" s="952"/>
      <c r="J56" s="952"/>
      <c r="K56" s="952"/>
      <c r="L56" s="952"/>
      <c r="M56" s="952"/>
      <c r="N56" s="952"/>
      <c r="O56" s="952" t="s">
        <v>243</v>
      </c>
      <c r="P56" s="952"/>
      <c r="Q56" s="952"/>
      <c r="R56" s="952"/>
      <c r="S56" s="952"/>
      <c r="T56" s="952"/>
      <c r="U56" s="952"/>
      <c r="V56" s="952"/>
      <c r="W56" s="952"/>
      <c r="X56" s="952"/>
      <c r="Y56" s="952"/>
      <c r="Z56" s="952"/>
      <c r="AA56" s="952"/>
      <c r="AB56" s="952"/>
      <c r="AC56" s="952"/>
      <c r="AD56" s="952"/>
      <c r="AE56" s="952"/>
      <c r="AF56" s="952"/>
      <c r="AG56" s="954"/>
      <c r="AH56" s="952"/>
      <c r="AI56" s="952"/>
      <c r="AJ56" s="952"/>
      <c r="AK56" s="952"/>
      <c r="AL56" s="953" t="s">
        <v>379</v>
      </c>
      <c r="AM56" s="3344" t="str">
        <f>IF('＜入力不要＞報告書'!AM56="","",'＜入力不要＞報告書'!AM56)</f>
        <v/>
      </c>
      <c r="AN56" s="3344"/>
      <c r="AO56" s="3344"/>
      <c r="AP56" s="3344"/>
      <c r="AQ56" s="3344"/>
      <c r="AR56" s="3344"/>
      <c r="AS56" s="952" t="s">
        <v>380</v>
      </c>
    </row>
    <row r="57" spans="2:47" ht="12" customHeight="1" x14ac:dyDescent="0.15">
      <c r="D57" s="952" t="s">
        <v>381</v>
      </c>
      <c r="E57" s="952"/>
      <c r="F57" s="952"/>
      <c r="G57" s="952"/>
      <c r="H57" s="952"/>
      <c r="I57" s="952"/>
      <c r="J57" s="953"/>
      <c r="K57" s="952"/>
      <c r="L57" s="954"/>
      <c r="M57" s="953"/>
      <c r="N57" s="952"/>
      <c r="O57" s="3345" t="str">
        <f>IF('＜入力不要＞報告書'!O57="","",'＜入力不要＞報告書'!O57)</f>
        <v/>
      </c>
      <c r="P57" s="3345"/>
      <c r="Q57" s="3345"/>
      <c r="R57" s="3345"/>
      <c r="S57" s="3345"/>
      <c r="T57" s="3345"/>
      <c r="U57" s="3345"/>
      <c r="V57" s="3345"/>
      <c r="W57" s="3345"/>
      <c r="X57" s="3345"/>
      <c r="Y57" s="3345"/>
      <c r="Z57" s="3345"/>
      <c r="AA57" s="3345"/>
      <c r="AB57" s="3345"/>
      <c r="AC57" s="3345"/>
      <c r="AD57" s="3345"/>
      <c r="AE57" s="3345"/>
      <c r="AF57" s="3345"/>
      <c r="AG57" s="3345"/>
      <c r="AH57" s="3345"/>
      <c r="AI57" s="3345"/>
      <c r="AJ57" s="3345"/>
      <c r="AK57" s="3345"/>
      <c r="AL57" s="3345"/>
      <c r="AM57" s="3345"/>
      <c r="AN57" s="3345"/>
      <c r="AO57" s="3345"/>
      <c r="AP57" s="3345"/>
      <c r="AQ57" s="3345"/>
      <c r="AR57" s="3345"/>
      <c r="AS57" s="3345"/>
    </row>
    <row r="58" spans="2:47" ht="12" customHeight="1" x14ac:dyDescent="0.15">
      <c r="D58" s="952" t="s">
        <v>382</v>
      </c>
      <c r="E58" s="952"/>
      <c r="F58" s="952"/>
      <c r="G58" s="952"/>
      <c r="H58" s="952"/>
      <c r="I58" s="952"/>
      <c r="J58" s="953"/>
      <c r="K58" s="952"/>
      <c r="L58" s="954"/>
      <c r="M58" s="953"/>
      <c r="N58" s="952"/>
      <c r="O58" s="3346" t="str">
        <f>IF('＜入力不要＞報告書'!O58="","",'＜入力不要＞報告書'!O58)</f>
        <v/>
      </c>
      <c r="P58" s="3346"/>
      <c r="Q58" s="3346"/>
      <c r="R58" s="3346"/>
      <c r="S58" s="3346"/>
      <c r="T58" s="3346"/>
      <c r="U58" s="3346"/>
      <c r="V58" s="3346"/>
      <c r="W58" s="3346"/>
      <c r="X58" s="3346"/>
      <c r="Y58" s="3346"/>
      <c r="Z58" s="3346"/>
      <c r="AA58" s="3346"/>
      <c r="AB58" s="3346"/>
      <c r="AC58" s="3346"/>
      <c r="AD58" s="3346"/>
      <c r="AE58" s="3346"/>
      <c r="AF58" s="3346"/>
      <c r="AG58" s="3346"/>
      <c r="AH58" s="3346"/>
      <c r="AI58" s="3346"/>
      <c r="AJ58" s="3346"/>
      <c r="AK58" s="3346"/>
      <c r="AL58" s="3346"/>
      <c r="AM58" s="3346"/>
      <c r="AN58" s="3346"/>
      <c r="AO58" s="3346"/>
      <c r="AP58" s="3346"/>
      <c r="AQ58" s="3346"/>
      <c r="AR58" s="3346"/>
      <c r="AS58" s="3346"/>
    </row>
    <row r="59" spans="2:47" ht="12" customHeight="1" x14ac:dyDescent="0.15">
      <c r="D59" s="952" t="s">
        <v>383</v>
      </c>
      <c r="E59" s="952"/>
      <c r="F59" s="952"/>
      <c r="G59" s="952"/>
      <c r="H59" s="952"/>
      <c r="I59" s="952"/>
      <c r="J59" s="953"/>
      <c r="K59" s="952"/>
      <c r="L59" s="954"/>
      <c r="M59" s="952"/>
      <c r="N59" s="952"/>
      <c r="O59" s="3345" t="str">
        <f>IF('＜入力不要＞報告書'!O59="","",'＜入力不要＞報告書'!O59)</f>
        <v/>
      </c>
      <c r="P59" s="3345"/>
      <c r="Q59" s="3345"/>
      <c r="R59" s="3345"/>
      <c r="S59" s="3345"/>
      <c r="T59" s="3345"/>
      <c r="U59" s="3345"/>
      <c r="V59" s="3345"/>
      <c r="W59" s="3345"/>
      <c r="X59" s="3345"/>
      <c r="Y59" s="3345"/>
      <c r="Z59" s="3345"/>
      <c r="AA59" s="3345"/>
      <c r="AB59" s="3345"/>
      <c r="AC59" s="3345"/>
      <c r="AD59" s="3345"/>
      <c r="AE59" s="3345"/>
      <c r="AF59" s="3345"/>
      <c r="AG59" s="3345"/>
      <c r="AH59" s="3345"/>
      <c r="AI59" s="3345"/>
      <c r="AJ59" s="3345"/>
      <c r="AK59" s="3345"/>
      <c r="AL59" s="3345"/>
      <c r="AM59" s="3345"/>
      <c r="AN59" s="3345"/>
      <c r="AO59" s="3345"/>
      <c r="AP59" s="3345"/>
      <c r="AQ59" s="3345"/>
      <c r="AR59" s="3345"/>
      <c r="AS59" s="3345"/>
      <c r="AU59" s="949"/>
    </row>
    <row r="60" spans="2:47" ht="12" customHeight="1" x14ac:dyDescent="0.15">
      <c r="D60" s="952"/>
      <c r="E60" s="952"/>
      <c r="F60" s="952"/>
      <c r="G60" s="952"/>
      <c r="H60" s="952"/>
      <c r="I60" s="952"/>
      <c r="J60" s="953"/>
      <c r="K60" s="952"/>
      <c r="L60" s="953"/>
      <c r="M60" s="952"/>
      <c r="N60" s="952"/>
      <c r="O60" s="953" t="s">
        <v>25</v>
      </c>
      <c r="P60" s="3341" t="str">
        <f>IF('＜入力不要＞報告書'!P60="","",'＜入力不要＞報告書'!P60)</f>
        <v/>
      </c>
      <c r="Q60" s="3341"/>
      <c r="R60" s="952" t="s">
        <v>384</v>
      </c>
      <c r="S60" s="952"/>
      <c r="T60" s="952"/>
      <c r="U60" s="952"/>
      <c r="V60" s="952"/>
      <c r="W60" s="952"/>
      <c r="X60" s="953"/>
      <c r="Y60" s="953" t="s">
        <v>25</v>
      </c>
      <c r="Z60" s="3341" t="str">
        <f>IF('＜入力不要＞報告書'!Z60="","",'＜入力不要＞報告書'!Z60)</f>
        <v/>
      </c>
      <c r="AA60" s="3341"/>
      <c r="AB60" s="3341"/>
      <c r="AC60" s="3341"/>
      <c r="AD60" s="3341"/>
      <c r="AE60" s="3341"/>
      <c r="AF60" s="955" t="s">
        <v>385</v>
      </c>
      <c r="AG60" s="955"/>
      <c r="AH60" s="952"/>
      <c r="AI60" s="954"/>
      <c r="AJ60" s="952"/>
      <c r="AK60" s="952"/>
      <c r="AL60" s="953" t="s">
        <v>379</v>
      </c>
      <c r="AM60" s="3344" t="str">
        <f>IF('＜入力不要＞報告書'!AM60="","",'＜入力不要＞報告書'!AM60)</f>
        <v/>
      </c>
      <c r="AN60" s="3344"/>
      <c r="AO60" s="3344"/>
      <c r="AP60" s="3344"/>
      <c r="AQ60" s="3344"/>
      <c r="AR60" s="3344"/>
      <c r="AS60" s="952" t="s">
        <v>380</v>
      </c>
    </row>
    <row r="61" spans="2:47" ht="12" customHeight="1" x14ac:dyDescent="0.15">
      <c r="D61" s="952" t="s">
        <v>386</v>
      </c>
      <c r="E61" s="952"/>
      <c r="F61" s="952"/>
      <c r="G61" s="952"/>
      <c r="H61" s="952"/>
      <c r="I61" s="952"/>
      <c r="J61" s="952"/>
      <c r="K61" s="952"/>
      <c r="L61" s="952"/>
      <c r="M61" s="952"/>
      <c r="N61" s="952"/>
      <c r="O61" s="3352" t="str">
        <f>IF('＜入力不要＞報告書'!O61="","",'＜入力不要＞報告書'!O61)</f>
        <v/>
      </c>
      <c r="P61" s="3352"/>
      <c r="Q61" s="3352"/>
      <c r="R61" s="3352"/>
      <c r="S61" s="3352"/>
      <c r="T61" s="3352"/>
      <c r="U61" s="3352"/>
      <c r="V61" s="952"/>
      <c r="W61" s="952"/>
      <c r="X61" s="952"/>
      <c r="Y61" s="952"/>
      <c r="Z61" s="952"/>
      <c r="AA61" s="952"/>
      <c r="AB61" s="952"/>
      <c r="AC61" s="952"/>
      <c r="AD61" s="952"/>
      <c r="AE61" s="952"/>
      <c r="AF61" s="952"/>
      <c r="AG61" s="952"/>
      <c r="AH61" s="952"/>
      <c r="AI61" s="952"/>
      <c r="AJ61" s="952"/>
      <c r="AK61" s="953"/>
      <c r="AL61" s="953"/>
      <c r="AM61" s="952"/>
      <c r="AN61" s="952"/>
      <c r="AO61" s="952"/>
      <c r="AP61" s="952"/>
      <c r="AQ61" s="952"/>
      <c r="AR61" s="952"/>
      <c r="AS61" s="952"/>
    </row>
    <row r="62" spans="2:47" ht="12" customHeight="1" x14ac:dyDescent="0.15">
      <c r="D62" s="952" t="s">
        <v>387</v>
      </c>
      <c r="E62" s="952"/>
      <c r="F62" s="952"/>
      <c r="G62" s="952"/>
      <c r="H62" s="952"/>
      <c r="I62" s="952"/>
      <c r="J62" s="952"/>
      <c r="K62" s="952"/>
      <c r="L62" s="954"/>
      <c r="M62" s="952"/>
      <c r="N62" s="952"/>
      <c r="O62" s="3345" t="str">
        <f>IF('＜入力不要＞報告書'!O62="","",'＜入力不要＞報告書'!O62)</f>
        <v/>
      </c>
      <c r="P62" s="3345"/>
      <c r="Q62" s="3345"/>
      <c r="R62" s="3345"/>
      <c r="S62" s="3345"/>
      <c r="T62" s="3345"/>
      <c r="U62" s="3345"/>
      <c r="V62" s="3345"/>
      <c r="W62" s="3345"/>
      <c r="X62" s="3345"/>
      <c r="Y62" s="3345"/>
      <c r="Z62" s="3345"/>
      <c r="AA62" s="3345"/>
      <c r="AB62" s="3345"/>
      <c r="AC62" s="3345"/>
      <c r="AD62" s="3345"/>
      <c r="AE62" s="3345"/>
      <c r="AF62" s="3345"/>
      <c r="AG62" s="3345"/>
      <c r="AH62" s="3345"/>
      <c r="AI62" s="3345"/>
      <c r="AJ62" s="3345"/>
      <c r="AK62" s="3345"/>
      <c r="AL62" s="3345"/>
      <c r="AM62" s="3345"/>
      <c r="AN62" s="3345"/>
      <c r="AO62" s="3345"/>
      <c r="AP62" s="3345"/>
      <c r="AQ62" s="3345"/>
      <c r="AR62" s="3345"/>
      <c r="AS62" s="3345"/>
    </row>
    <row r="63" spans="2:47" ht="12" customHeight="1" x14ac:dyDescent="0.15">
      <c r="D63" s="952" t="s">
        <v>388</v>
      </c>
      <c r="E63" s="952"/>
      <c r="F63" s="952"/>
      <c r="G63" s="952"/>
      <c r="H63" s="952"/>
      <c r="I63" s="952"/>
      <c r="J63" s="952"/>
      <c r="K63" s="952"/>
      <c r="L63" s="956"/>
      <c r="M63" s="952"/>
      <c r="N63" s="952"/>
      <c r="O63" s="3346" t="str">
        <f>IF('＜入力不要＞報告書'!O63="","",'＜入力不要＞報告書'!O63)</f>
        <v/>
      </c>
      <c r="P63" s="3346"/>
      <c r="Q63" s="3346"/>
      <c r="R63" s="3346"/>
      <c r="S63" s="3346"/>
      <c r="T63" s="3346"/>
      <c r="U63" s="3346"/>
      <c r="V63" s="3346"/>
      <c r="W63" s="3346"/>
      <c r="X63" s="3346"/>
      <c r="Y63" s="3346"/>
      <c r="Z63" s="3346"/>
      <c r="AA63" s="3346"/>
      <c r="AB63" s="3346"/>
      <c r="AC63" s="956"/>
      <c r="AD63" s="956"/>
      <c r="AE63" s="956"/>
      <c r="AF63" s="956"/>
      <c r="AG63" s="956"/>
      <c r="AH63" s="956"/>
      <c r="AI63" s="956"/>
      <c r="AJ63" s="956"/>
      <c r="AK63" s="956"/>
      <c r="AL63" s="956"/>
      <c r="AM63" s="956"/>
      <c r="AN63" s="956"/>
      <c r="AO63" s="956"/>
      <c r="AP63" s="956"/>
      <c r="AQ63" s="956"/>
      <c r="AR63" s="956"/>
      <c r="AS63" s="956"/>
    </row>
    <row r="64" spans="2:47" ht="12" customHeight="1" x14ac:dyDescent="0.15">
      <c r="C64" s="946" t="s">
        <v>389</v>
      </c>
    </row>
    <row r="65" spans="2:51" ht="12" customHeight="1" x14ac:dyDescent="0.15">
      <c r="D65" s="952" t="s">
        <v>390</v>
      </c>
      <c r="N65" s="957"/>
      <c r="O65" s="957"/>
      <c r="P65" s="957"/>
      <c r="Q65" s="957"/>
      <c r="R65" s="957"/>
      <c r="S65" s="957"/>
      <c r="T65" s="957"/>
      <c r="U65" s="957"/>
      <c r="V65" s="957"/>
      <c r="W65" s="957"/>
      <c r="X65" s="957"/>
      <c r="Y65" s="957"/>
      <c r="Z65" s="957"/>
      <c r="AA65" s="957"/>
      <c r="AB65" s="957"/>
      <c r="AC65" s="957"/>
      <c r="AD65" s="957"/>
      <c r="AE65" s="957"/>
      <c r="AF65" s="957"/>
      <c r="AG65" s="957"/>
      <c r="AH65" s="957"/>
      <c r="AI65" s="957"/>
      <c r="AJ65" s="957"/>
      <c r="AK65" s="957"/>
      <c r="AL65" s="957"/>
      <c r="AM65" s="957"/>
      <c r="AN65" s="957"/>
      <c r="AO65" s="957"/>
      <c r="AP65" s="957"/>
      <c r="AQ65" s="957"/>
      <c r="AR65" s="957"/>
      <c r="AS65" s="957"/>
      <c r="AU65" s="949"/>
      <c r="AV65" s="949"/>
      <c r="AW65" s="949"/>
      <c r="AX65" s="949"/>
      <c r="AY65" s="949"/>
    </row>
    <row r="66" spans="2:51" ht="12" customHeight="1" x14ac:dyDescent="0.15">
      <c r="D66" s="952"/>
      <c r="E66" s="952"/>
      <c r="F66" s="952"/>
      <c r="G66" s="952"/>
      <c r="H66" s="952"/>
      <c r="I66" s="952"/>
      <c r="J66" s="952"/>
      <c r="K66" s="952"/>
      <c r="L66" s="952"/>
      <c r="M66" s="953"/>
      <c r="N66" s="952"/>
      <c r="O66" s="953" t="s">
        <v>25</v>
      </c>
      <c r="P66" s="3341" t="str">
        <f>IF('＜入力不要＞報告書'!P66="","",'＜入力不要＞報告書'!P66)</f>
        <v/>
      </c>
      <c r="Q66" s="3341"/>
      <c r="R66" s="952" t="s">
        <v>377</v>
      </c>
      <c r="S66" s="952"/>
      <c r="T66" s="952"/>
      <c r="U66" s="952"/>
      <c r="V66" s="954"/>
      <c r="W66" s="952"/>
      <c r="X66" s="952"/>
      <c r="Y66" s="953" t="s">
        <v>25</v>
      </c>
      <c r="Z66" s="3353" t="str">
        <f>IF('＜入力不要＞報告書'!Z66="","",'＜入力不要＞報告書'!Z66)</f>
        <v/>
      </c>
      <c r="AA66" s="3353"/>
      <c r="AB66" s="3353"/>
      <c r="AC66" s="3353"/>
      <c r="AD66" s="3353"/>
      <c r="AE66" s="3353"/>
      <c r="AF66" s="3353"/>
      <c r="AG66" s="3353"/>
      <c r="AH66" s="955" t="s">
        <v>378</v>
      </c>
      <c r="AI66" s="952"/>
      <c r="AJ66" s="952"/>
      <c r="AK66" s="952"/>
      <c r="AL66" s="953" t="s">
        <v>379</v>
      </c>
      <c r="AM66" s="3344" t="str">
        <f>IF('＜入力不要＞報告書'!AM66="","",'＜入力不要＞報告書'!AM66)</f>
        <v/>
      </c>
      <c r="AN66" s="3344"/>
      <c r="AO66" s="3344"/>
      <c r="AP66" s="3344"/>
      <c r="AQ66" s="3344"/>
      <c r="AR66" s="3344"/>
      <c r="AS66" s="952" t="s">
        <v>380</v>
      </c>
    </row>
    <row r="67" spans="2:51" ht="12" customHeight="1" x14ac:dyDescent="0.15">
      <c r="D67" s="952"/>
      <c r="E67" s="952"/>
      <c r="F67" s="952"/>
      <c r="G67" s="952"/>
      <c r="H67" s="952"/>
      <c r="I67" s="952"/>
      <c r="J67" s="952"/>
      <c r="K67" s="952"/>
      <c r="L67" s="952"/>
      <c r="M67" s="952"/>
      <c r="N67" s="952"/>
      <c r="O67" s="952" t="s">
        <v>243</v>
      </c>
      <c r="P67" s="952"/>
      <c r="Q67" s="952"/>
      <c r="R67" s="952"/>
      <c r="S67" s="952"/>
      <c r="T67" s="952"/>
      <c r="U67" s="952"/>
      <c r="V67" s="952"/>
      <c r="W67" s="952"/>
      <c r="X67" s="952"/>
      <c r="Y67" s="952"/>
      <c r="Z67" s="952"/>
      <c r="AA67" s="952"/>
      <c r="AB67" s="952"/>
      <c r="AC67" s="952"/>
      <c r="AD67" s="952"/>
      <c r="AE67" s="952"/>
      <c r="AF67" s="952"/>
      <c r="AG67" s="954"/>
      <c r="AH67" s="952"/>
      <c r="AI67" s="952"/>
      <c r="AJ67" s="952"/>
      <c r="AK67" s="952"/>
      <c r="AL67" s="953" t="s">
        <v>379</v>
      </c>
      <c r="AM67" s="3344" t="str">
        <f>IF('＜入力不要＞報告書'!AM67="","",'＜入力不要＞報告書'!AM67)</f>
        <v/>
      </c>
      <c r="AN67" s="3344"/>
      <c r="AO67" s="3344"/>
      <c r="AP67" s="3344"/>
      <c r="AQ67" s="3344"/>
      <c r="AR67" s="3344"/>
      <c r="AS67" s="952" t="s">
        <v>380</v>
      </c>
    </row>
    <row r="68" spans="2:51" ht="12" customHeight="1" x14ac:dyDescent="0.15">
      <c r="D68" s="952" t="s">
        <v>381</v>
      </c>
      <c r="E68" s="952"/>
      <c r="F68" s="952"/>
      <c r="G68" s="952"/>
      <c r="H68" s="952"/>
      <c r="I68" s="952"/>
      <c r="J68" s="953"/>
      <c r="K68" s="952"/>
      <c r="L68" s="954"/>
      <c r="M68" s="953"/>
      <c r="N68" s="952"/>
      <c r="O68" s="3345" t="str">
        <f>IF('＜入力不要＞報告書'!O68="","",'＜入力不要＞報告書'!O68)</f>
        <v/>
      </c>
      <c r="P68" s="3345"/>
      <c r="Q68" s="3345"/>
      <c r="R68" s="3345"/>
      <c r="S68" s="3345"/>
      <c r="T68" s="3345"/>
      <c r="U68" s="3345"/>
      <c r="V68" s="3345"/>
      <c r="W68" s="3345"/>
      <c r="X68" s="3345"/>
      <c r="Y68" s="3345"/>
      <c r="Z68" s="3345"/>
      <c r="AA68" s="3345"/>
      <c r="AB68" s="3345"/>
      <c r="AC68" s="3345"/>
      <c r="AD68" s="3345"/>
      <c r="AE68" s="3345"/>
      <c r="AF68" s="3345"/>
      <c r="AG68" s="3345"/>
      <c r="AH68" s="3345"/>
      <c r="AI68" s="3345"/>
      <c r="AJ68" s="3345"/>
      <c r="AK68" s="3345"/>
      <c r="AL68" s="3345"/>
      <c r="AM68" s="3345"/>
      <c r="AN68" s="3345"/>
      <c r="AO68" s="3345"/>
      <c r="AP68" s="3345"/>
      <c r="AQ68" s="3345"/>
      <c r="AR68" s="3345"/>
      <c r="AS68" s="3345"/>
    </row>
    <row r="69" spans="2:51" ht="12" customHeight="1" x14ac:dyDescent="0.15">
      <c r="D69" s="952" t="s">
        <v>382</v>
      </c>
      <c r="E69" s="952"/>
      <c r="F69" s="952"/>
      <c r="G69" s="952"/>
      <c r="H69" s="952"/>
      <c r="I69" s="952"/>
      <c r="J69" s="953"/>
      <c r="K69" s="952"/>
      <c r="L69" s="954"/>
      <c r="M69" s="953"/>
      <c r="N69" s="952"/>
      <c r="O69" s="3354">
        <f>IF('＜入力不要＞報告書'!O69="","",'＜入力不要＞報告書'!O69)</f>
        <v>0</v>
      </c>
      <c r="P69" s="3354"/>
      <c r="Q69" s="3354"/>
      <c r="R69" s="3354"/>
      <c r="S69" s="3354"/>
      <c r="T69" s="3354"/>
      <c r="U69" s="3354"/>
      <c r="V69" s="3354"/>
      <c r="W69" s="3354"/>
      <c r="X69" s="3354"/>
      <c r="Y69" s="3354"/>
      <c r="Z69" s="3354"/>
      <c r="AA69" s="3354"/>
      <c r="AB69" s="3354"/>
      <c r="AC69" s="3354"/>
      <c r="AD69" s="3354"/>
      <c r="AE69" s="3354"/>
      <c r="AF69" s="3354"/>
      <c r="AG69" s="3354"/>
      <c r="AH69" s="3354"/>
      <c r="AI69" s="3354"/>
      <c r="AJ69" s="3354"/>
      <c r="AK69" s="3354"/>
      <c r="AL69" s="3354"/>
      <c r="AM69" s="3354"/>
      <c r="AN69" s="3354"/>
      <c r="AO69" s="3354"/>
      <c r="AP69" s="3354"/>
      <c r="AQ69" s="3354"/>
      <c r="AR69" s="3354"/>
      <c r="AS69" s="3354"/>
    </row>
    <row r="70" spans="2:51" ht="12" customHeight="1" x14ac:dyDescent="0.15">
      <c r="D70" s="952" t="s">
        <v>383</v>
      </c>
      <c r="E70" s="952"/>
      <c r="F70" s="952"/>
      <c r="G70" s="952"/>
      <c r="H70" s="952"/>
      <c r="I70" s="952"/>
      <c r="J70" s="953"/>
      <c r="K70" s="952"/>
      <c r="L70" s="954"/>
      <c r="M70" s="952"/>
      <c r="N70" s="952"/>
      <c r="O70" s="3345" t="str">
        <f>IF('＜入力不要＞報告書'!O70="","",'＜入力不要＞報告書'!O70)</f>
        <v/>
      </c>
      <c r="P70" s="3345"/>
      <c r="Q70" s="3345"/>
      <c r="R70" s="3345"/>
      <c r="S70" s="3345"/>
      <c r="T70" s="3345"/>
      <c r="U70" s="3345"/>
      <c r="V70" s="3345"/>
      <c r="W70" s="3345"/>
      <c r="X70" s="3345"/>
      <c r="Y70" s="3345"/>
      <c r="Z70" s="3345"/>
      <c r="AA70" s="3345"/>
      <c r="AB70" s="3345"/>
      <c r="AC70" s="3345"/>
      <c r="AD70" s="3345"/>
      <c r="AE70" s="3345"/>
      <c r="AF70" s="3345"/>
      <c r="AG70" s="3345"/>
      <c r="AH70" s="3345"/>
      <c r="AI70" s="3345"/>
      <c r="AJ70" s="3345"/>
      <c r="AK70" s="3345"/>
      <c r="AL70" s="3345"/>
      <c r="AM70" s="3345"/>
      <c r="AN70" s="3345"/>
      <c r="AO70" s="3345"/>
      <c r="AP70" s="3345"/>
      <c r="AQ70" s="3345"/>
      <c r="AR70" s="3345"/>
      <c r="AS70" s="3345"/>
    </row>
    <row r="71" spans="2:51" ht="12" customHeight="1" x14ac:dyDescent="0.15">
      <c r="D71" s="952"/>
      <c r="E71" s="952"/>
      <c r="F71" s="952"/>
      <c r="G71" s="952"/>
      <c r="H71" s="952"/>
      <c r="I71" s="952"/>
      <c r="J71" s="953"/>
      <c r="K71" s="952"/>
      <c r="L71" s="953"/>
      <c r="M71" s="952"/>
      <c r="N71" s="952"/>
      <c r="O71" s="953" t="s">
        <v>25</v>
      </c>
      <c r="P71" s="3341" t="str">
        <f>IF('＜入力不要＞報告書'!P71="","",'＜入力不要＞報告書'!P71)</f>
        <v/>
      </c>
      <c r="Q71" s="3341"/>
      <c r="R71" s="952" t="s">
        <v>384</v>
      </c>
      <c r="S71" s="952"/>
      <c r="T71" s="952"/>
      <c r="U71" s="952"/>
      <c r="V71" s="952"/>
      <c r="W71" s="952"/>
      <c r="X71" s="953"/>
      <c r="Y71" s="953" t="s">
        <v>25</v>
      </c>
      <c r="Z71" s="3341" t="str">
        <f>IF('＜入力不要＞報告書'!Z71="","",'＜入力不要＞報告書'!Z71)</f>
        <v/>
      </c>
      <c r="AA71" s="3341"/>
      <c r="AB71" s="3341"/>
      <c r="AC71" s="3341"/>
      <c r="AD71" s="3341"/>
      <c r="AE71" s="3341"/>
      <c r="AF71" s="955" t="s">
        <v>385</v>
      </c>
      <c r="AG71" s="955"/>
      <c r="AH71" s="952"/>
      <c r="AI71" s="954"/>
      <c r="AJ71" s="952"/>
      <c r="AK71" s="952"/>
      <c r="AL71" s="953" t="s">
        <v>379</v>
      </c>
      <c r="AM71" s="3344" t="str">
        <f>IF('＜入力不要＞報告書'!AM71="","",'＜入力不要＞報告書'!AM71)</f>
        <v/>
      </c>
      <c r="AN71" s="3344"/>
      <c r="AO71" s="3344"/>
      <c r="AP71" s="3344"/>
      <c r="AQ71" s="3344"/>
      <c r="AR71" s="3344"/>
      <c r="AS71" s="952" t="s">
        <v>380</v>
      </c>
    </row>
    <row r="72" spans="2:51" ht="12" customHeight="1" x14ac:dyDescent="0.15">
      <c r="D72" s="952" t="s">
        <v>386</v>
      </c>
      <c r="E72" s="952"/>
      <c r="F72" s="952"/>
      <c r="G72" s="952"/>
      <c r="H72" s="952"/>
      <c r="I72" s="952"/>
      <c r="J72" s="952"/>
      <c r="K72" s="952"/>
      <c r="L72" s="952"/>
      <c r="M72" s="952"/>
      <c r="N72" s="952"/>
      <c r="O72" s="3347" t="str">
        <f>IF('＜入力不要＞報告書'!O72="","",'＜入力不要＞報告書'!O72)</f>
        <v/>
      </c>
      <c r="P72" s="3347"/>
      <c r="Q72" s="3347"/>
      <c r="R72" s="3347"/>
      <c r="S72" s="3347"/>
      <c r="T72" s="3347"/>
      <c r="U72" s="3347"/>
      <c r="V72" s="952"/>
      <c r="W72" s="952"/>
      <c r="X72" s="952"/>
      <c r="Y72" s="952"/>
      <c r="Z72" s="952"/>
      <c r="AA72" s="952"/>
      <c r="AB72" s="952"/>
      <c r="AC72" s="952"/>
      <c r="AD72" s="952"/>
      <c r="AE72" s="952"/>
      <c r="AF72" s="952"/>
      <c r="AG72" s="952"/>
      <c r="AH72" s="952"/>
      <c r="AI72" s="952"/>
      <c r="AJ72" s="952"/>
      <c r="AK72" s="953"/>
      <c r="AL72" s="953"/>
      <c r="AM72" s="952"/>
      <c r="AN72" s="952"/>
      <c r="AO72" s="952"/>
      <c r="AP72" s="952"/>
      <c r="AQ72" s="952"/>
      <c r="AR72" s="952"/>
      <c r="AS72" s="952"/>
    </row>
    <row r="73" spans="2:51" ht="12" customHeight="1" x14ac:dyDescent="0.15">
      <c r="D73" s="952" t="s">
        <v>387</v>
      </c>
      <c r="E73" s="952"/>
      <c r="F73" s="952"/>
      <c r="G73" s="952"/>
      <c r="H73" s="952"/>
      <c r="I73" s="952"/>
      <c r="J73" s="952"/>
      <c r="K73" s="952"/>
      <c r="L73" s="954"/>
      <c r="M73" s="952"/>
      <c r="N73" s="952"/>
      <c r="O73" s="3345" t="str">
        <f>IF('＜入力不要＞報告書'!O73="","",'＜入力不要＞報告書'!O73)</f>
        <v/>
      </c>
      <c r="P73" s="3345"/>
      <c r="Q73" s="3345"/>
      <c r="R73" s="3345"/>
      <c r="S73" s="3345"/>
      <c r="T73" s="3345"/>
      <c r="U73" s="3345"/>
      <c r="V73" s="3345"/>
      <c r="W73" s="3345"/>
      <c r="X73" s="3345"/>
      <c r="Y73" s="3345"/>
      <c r="Z73" s="3345"/>
      <c r="AA73" s="3345"/>
      <c r="AB73" s="3345"/>
      <c r="AC73" s="3345"/>
      <c r="AD73" s="3345"/>
      <c r="AE73" s="3345"/>
      <c r="AF73" s="3345"/>
      <c r="AG73" s="3345"/>
      <c r="AH73" s="3345"/>
      <c r="AI73" s="3345"/>
      <c r="AJ73" s="3345"/>
      <c r="AK73" s="3345"/>
      <c r="AL73" s="3345"/>
      <c r="AM73" s="3345"/>
      <c r="AN73" s="3345"/>
      <c r="AO73" s="3345"/>
      <c r="AP73" s="3345"/>
      <c r="AQ73" s="3345"/>
      <c r="AR73" s="3345"/>
      <c r="AS73" s="3345"/>
    </row>
    <row r="74" spans="2:51" ht="12" customHeight="1" x14ac:dyDescent="0.15">
      <c r="D74" s="952" t="s">
        <v>388</v>
      </c>
      <c r="E74" s="952"/>
      <c r="F74" s="952"/>
      <c r="G74" s="952"/>
      <c r="H74" s="952"/>
      <c r="I74" s="952"/>
      <c r="J74" s="952"/>
      <c r="K74" s="952"/>
      <c r="L74" s="956"/>
      <c r="M74" s="952"/>
      <c r="N74" s="952"/>
      <c r="O74" s="3346" t="str">
        <f>IF('＜入力不要＞報告書'!O74="","",'＜入力不要＞報告書'!O74)</f>
        <v/>
      </c>
      <c r="P74" s="3346"/>
      <c r="Q74" s="3346"/>
      <c r="R74" s="3346"/>
      <c r="S74" s="3346"/>
      <c r="T74" s="3346"/>
      <c r="U74" s="3346"/>
      <c r="V74" s="3346"/>
      <c r="W74" s="3346"/>
      <c r="X74" s="3346"/>
      <c r="Y74" s="3346"/>
      <c r="Z74" s="3346"/>
      <c r="AA74" s="3346"/>
      <c r="AB74" s="3346"/>
      <c r="AC74" s="956"/>
      <c r="AD74" s="956"/>
      <c r="AE74" s="956"/>
      <c r="AF74" s="956"/>
      <c r="AG74" s="956"/>
      <c r="AH74" s="956"/>
      <c r="AI74" s="956"/>
      <c r="AJ74" s="956"/>
      <c r="AK74" s="956"/>
      <c r="AL74" s="956"/>
      <c r="AM74" s="956"/>
      <c r="AN74" s="956"/>
      <c r="AO74" s="956"/>
      <c r="AP74" s="956"/>
      <c r="AQ74" s="956"/>
      <c r="AR74" s="956"/>
      <c r="AS74" s="956"/>
    </row>
    <row r="75" spans="2:51" ht="13.5" hidden="1" customHeight="1" x14ac:dyDescent="0.15">
      <c r="C75" s="946"/>
      <c r="N75" s="958"/>
      <c r="O75" s="958"/>
      <c r="P75" s="958"/>
      <c r="Q75" s="958"/>
      <c r="R75" s="958"/>
      <c r="S75" s="958"/>
      <c r="T75" s="958"/>
      <c r="U75" s="958"/>
      <c r="V75" s="958"/>
      <c r="W75" s="958"/>
      <c r="X75" s="958"/>
      <c r="Y75" s="958"/>
      <c r="Z75" s="958"/>
      <c r="AA75" s="958"/>
      <c r="AB75" s="958"/>
      <c r="AC75" s="958"/>
      <c r="AD75" s="958"/>
      <c r="AE75" s="958"/>
      <c r="AF75" s="958"/>
      <c r="AG75" s="958"/>
      <c r="AH75" s="958"/>
      <c r="AI75" s="958"/>
      <c r="AJ75" s="958"/>
      <c r="AK75" s="958"/>
      <c r="AL75" s="958"/>
      <c r="AM75" s="958"/>
      <c r="AN75" s="958"/>
      <c r="AO75" s="958"/>
      <c r="AP75" s="958"/>
      <c r="AQ75" s="958"/>
      <c r="AR75" s="958"/>
      <c r="AS75" s="958"/>
      <c r="AT75" s="958"/>
    </row>
    <row r="76" spans="2:51" hidden="1" x14ac:dyDescent="0.15">
      <c r="C76" s="946"/>
      <c r="N76" s="958"/>
      <c r="O76" s="958"/>
      <c r="P76" s="958"/>
      <c r="Q76" s="958"/>
      <c r="R76" s="958"/>
      <c r="S76" s="958"/>
      <c r="T76" s="958"/>
      <c r="U76" s="958"/>
      <c r="V76" s="958"/>
      <c r="W76" s="958"/>
      <c r="X76" s="958"/>
      <c r="Y76" s="958"/>
      <c r="Z76" s="958"/>
      <c r="AA76" s="958"/>
      <c r="AB76" s="958"/>
      <c r="AC76" s="958"/>
      <c r="AD76" s="958"/>
      <c r="AE76" s="958"/>
      <c r="AF76" s="958"/>
      <c r="AG76" s="958"/>
      <c r="AH76" s="958"/>
      <c r="AI76" s="958"/>
      <c r="AJ76" s="958"/>
      <c r="AK76" s="958"/>
      <c r="AL76" s="958"/>
      <c r="AM76" s="958"/>
      <c r="AN76" s="958"/>
      <c r="AO76" s="958"/>
      <c r="AP76" s="958"/>
      <c r="AQ76" s="958"/>
      <c r="AR76" s="958"/>
      <c r="AS76" s="958"/>
      <c r="AT76" s="958"/>
    </row>
    <row r="77" spans="2:51" hidden="1" x14ac:dyDescent="0.15">
      <c r="C77" s="946"/>
      <c r="N77" s="958"/>
      <c r="O77" s="958"/>
      <c r="P77" s="958"/>
      <c r="Q77" s="958"/>
      <c r="R77" s="958"/>
      <c r="S77" s="958"/>
      <c r="T77" s="958"/>
      <c r="U77" s="958"/>
      <c r="V77" s="958"/>
      <c r="W77" s="958"/>
      <c r="X77" s="958"/>
      <c r="Y77" s="958"/>
      <c r="Z77" s="958"/>
      <c r="AA77" s="958"/>
      <c r="AB77" s="958"/>
      <c r="AC77" s="958"/>
      <c r="AD77" s="958"/>
      <c r="AE77" s="958"/>
      <c r="AF77" s="958"/>
      <c r="AG77" s="958"/>
      <c r="AH77" s="958"/>
      <c r="AI77" s="958"/>
      <c r="AJ77" s="958"/>
      <c r="AK77" s="958"/>
      <c r="AL77" s="958"/>
      <c r="AM77" s="958"/>
      <c r="AN77" s="958"/>
      <c r="AO77" s="958"/>
      <c r="AP77" s="958"/>
      <c r="AQ77" s="958"/>
      <c r="AR77" s="958"/>
      <c r="AS77" s="958"/>
      <c r="AT77" s="958"/>
    </row>
    <row r="78" spans="2:51" ht="6" customHeight="1" x14ac:dyDescent="0.15"/>
    <row r="79" spans="2:51" ht="6" customHeight="1" x14ac:dyDescent="0.15"/>
    <row r="80" spans="2:51" ht="12" customHeight="1" x14ac:dyDescent="0.15">
      <c r="B80" s="946" t="s">
        <v>391</v>
      </c>
      <c r="X80" s="959"/>
    </row>
    <row r="81" spans="2:53" ht="12" customHeight="1" x14ac:dyDescent="0.15">
      <c r="D81" s="946" t="s">
        <v>392</v>
      </c>
      <c r="N81" s="949"/>
      <c r="O81" s="3345" t="str">
        <f>IF('＜入力不要＞報告書'!O81="","",'＜入力不要＞報告書'!O81)&amp;IF('＜入力不要＞報告書'!V81="","",'＜入力不要＞報告書'!V81)&amp;IF('＜入力不要＞報告書'!AC81="","",'＜入力不要＞報告書'!AC81)&amp;IF('＜入力不要＞報告書'!AJ81="","",'＜入力不要＞報告書'!AJ81)</f>
        <v>京都市</v>
      </c>
      <c r="P81" s="3345"/>
      <c r="Q81" s="3345"/>
      <c r="R81" s="3345"/>
      <c r="S81" s="3345"/>
      <c r="T81" s="3345"/>
      <c r="U81" s="3345"/>
      <c r="V81" s="3345"/>
      <c r="W81" s="3345"/>
      <c r="X81" s="3345"/>
      <c r="Y81" s="3345"/>
      <c r="Z81" s="3345"/>
      <c r="AA81" s="3345"/>
      <c r="AB81" s="3345"/>
      <c r="AC81" s="3345"/>
      <c r="AD81" s="3345"/>
      <c r="AE81" s="3345"/>
      <c r="AF81" s="3345"/>
      <c r="AG81" s="3345"/>
      <c r="AH81" s="3345"/>
      <c r="AI81" s="3345"/>
      <c r="AJ81" s="3345"/>
      <c r="AK81" s="3345"/>
      <c r="AL81" s="3345"/>
      <c r="AM81" s="3345"/>
      <c r="AN81" s="3345"/>
      <c r="AO81" s="3345"/>
      <c r="AP81" s="3345"/>
      <c r="AQ81" s="3345"/>
      <c r="AR81" s="3345"/>
      <c r="AS81" s="3345"/>
    </row>
    <row r="82" spans="2:53" ht="12" customHeight="1" x14ac:dyDescent="0.15">
      <c r="D82" s="946" t="s">
        <v>393</v>
      </c>
      <c r="N82" s="949"/>
      <c r="O82" s="3345" t="str">
        <f>IF('＜入力不要＞報告書'!O82="","",'＜入力不要＞報告書'!O82)&amp;IF('＜入力不要＞報告書'!V82="","",'＜入力不要＞報告書'!V82)&amp;IF('＜入力不要＞報告書'!AC82="","",'＜入力不要＞報告書'!AC82)&amp;IF('＜入力不要＞報告書'!AJ82="","",'＜入力不要＞報告書'!AJ82)</f>
        <v/>
      </c>
      <c r="P82" s="3345"/>
      <c r="Q82" s="3345"/>
      <c r="R82" s="3345"/>
      <c r="S82" s="3345"/>
      <c r="T82" s="3345"/>
      <c r="U82" s="3345"/>
      <c r="V82" s="3345"/>
      <c r="W82" s="3345"/>
      <c r="X82" s="3345"/>
      <c r="Y82" s="3345"/>
      <c r="Z82" s="3345"/>
      <c r="AA82" s="3345"/>
      <c r="AB82" s="3345"/>
      <c r="AC82" s="3345"/>
      <c r="AD82" s="3345"/>
      <c r="AE82" s="3345"/>
      <c r="AF82" s="3345"/>
      <c r="AG82" s="3345"/>
      <c r="AH82" s="3345"/>
      <c r="AI82" s="3345"/>
      <c r="AJ82" s="3345"/>
      <c r="AK82" s="3345"/>
      <c r="AL82" s="3345"/>
      <c r="AM82" s="3345"/>
      <c r="AN82" s="3345"/>
      <c r="AO82" s="3345"/>
      <c r="AP82" s="3345"/>
      <c r="AQ82" s="3345"/>
      <c r="AR82" s="3345"/>
      <c r="AS82" s="3345"/>
    </row>
    <row r="83" spans="2:53" ht="12" customHeight="1" x14ac:dyDescent="0.15">
      <c r="D83" s="946" t="s">
        <v>394</v>
      </c>
      <c r="N83" s="949"/>
      <c r="O83" s="3345" t="str">
        <f>IF('＜入力不要＞報告書'!O83="","",'＜入力不要＞報告書'!O83)</f>
        <v/>
      </c>
      <c r="P83" s="3345"/>
      <c r="Q83" s="3345"/>
      <c r="R83" s="3345"/>
      <c r="S83" s="3345"/>
      <c r="T83" s="3345"/>
      <c r="U83" s="3345"/>
      <c r="V83" s="3345"/>
      <c r="W83" s="3345"/>
      <c r="X83" s="3345"/>
      <c r="Y83" s="3345"/>
      <c r="Z83" s="3345"/>
      <c r="AA83" s="3345"/>
      <c r="AB83" s="3345"/>
      <c r="AC83" s="3345"/>
      <c r="AD83" s="3345"/>
      <c r="AE83" s="3345"/>
      <c r="AF83" s="3345"/>
      <c r="AG83" s="3345"/>
      <c r="AH83" s="3345"/>
      <c r="AI83" s="3345"/>
      <c r="AJ83" s="3345"/>
      <c r="AK83" s="3345"/>
      <c r="AL83" s="3345"/>
      <c r="AM83" s="3345"/>
      <c r="AN83" s="3345"/>
      <c r="AO83" s="3345"/>
      <c r="AP83" s="3345"/>
      <c r="AQ83" s="3345"/>
      <c r="AR83" s="3345"/>
      <c r="AS83" s="3345"/>
    </row>
    <row r="84" spans="2:53" ht="12" customHeight="1" x14ac:dyDescent="0.15">
      <c r="D84" s="946" t="s">
        <v>395</v>
      </c>
      <c r="N84" s="949"/>
      <c r="O84" s="3345" t="str">
        <f>IF('＜入力不要＞報告書'!O84="","",'＜入力不要＞報告書'!O84)</f>
        <v/>
      </c>
      <c r="P84" s="3345"/>
      <c r="Q84" s="3345"/>
      <c r="R84" s="3345"/>
      <c r="S84" s="3345"/>
      <c r="T84" s="3345"/>
      <c r="U84" s="3345"/>
      <c r="V84" s="3345"/>
      <c r="W84" s="3345"/>
      <c r="X84" s="3345"/>
      <c r="Y84" s="3345"/>
      <c r="Z84" s="3345"/>
      <c r="AA84" s="3345"/>
      <c r="AB84" s="3345"/>
      <c r="AC84" s="3345"/>
      <c r="AD84" s="3345"/>
      <c r="AE84" s="3345"/>
      <c r="AF84" s="3345"/>
      <c r="AG84" s="3345"/>
      <c r="AH84" s="3345"/>
      <c r="AI84" s="3345"/>
      <c r="AJ84" s="3345"/>
      <c r="AK84" s="3345"/>
      <c r="AL84" s="3345"/>
      <c r="AM84" s="3345"/>
      <c r="AN84" s="3345"/>
      <c r="AO84" s="3345"/>
      <c r="AP84" s="3345"/>
      <c r="AQ84" s="3345"/>
      <c r="AR84" s="3345"/>
      <c r="AS84" s="3345"/>
    </row>
    <row r="85" spans="2:53" ht="12.95" hidden="1" customHeight="1" x14ac:dyDescent="0.15">
      <c r="C85" s="946"/>
      <c r="N85" s="3350"/>
      <c r="O85" s="3350"/>
      <c r="P85" s="3350"/>
      <c r="Q85" s="3350"/>
      <c r="R85" s="3350"/>
      <c r="S85" s="3350"/>
      <c r="T85" s="3350"/>
      <c r="U85" s="3350"/>
      <c r="V85" s="3350"/>
      <c r="W85" s="3350"/>
      <c r="X85" s="3350"/>
      <c r="Y85" s="3350"/>
      <c r="Z85" s="3350"/>
      <c r="AA85" s="3350"/>
      <c r="AB85" s="3350"/>
      <c r="AC85" s="3350"/>
      <c r="AD85" s="3350"/>
      <c r="AE85" s="3350"/>
      <c r="AF85" s="3350"/>
      <c r="AG85" s="3350"/>
      <c r="AH85" s="3350"/>
      <c r="AI85" s="3350"/>
      <c r="AJ85" s="3350"/>
      <c r="AK85" s="3350"/>
      <c r="AL85" s="3350"/>
      <c r="AM85" s="3350"/>
      <c r="AN85" s="3350"/>
      <c r="AO85" s="3350"/>
      <c r="AP85" s="3350"/>
      <c r="AQ85" s="3350"/>
      <c r="AR85" s="3350"/>
      <c r="AS85" s="3350"/>
      <c r="AT85" s="3350"/>
    </row>
    <row r="86" spans="2:53" ht="12.95" hidden="1" customHeight="1" x14ac:dyDescent="0.15">
      <c r="C86" s="946"/>
      <c r="N86" s="3350"/>
      <c r="O86" s="3350"/>
      <c r="P86" s="3350"/>
      <c r="Q86" s="3350"/>
      <c r="R86" s="3350"/>
      <c r="S86" s="3350"/>
      <c r="T86" s="3350"/>
      <c r="U86" s="3350"/>
      <c r="V86" s="3350"/>
      <c r="W86" s="3350"/>
      <c r="X86" s="3350"/>
      <c r="Y86" s="3350"/>
      <c r="Z86" s="3350"/>
      <c r="AA86" s="3350"/>
      <c r="AB86" s="3350"/>
      <c r="AC86" s="3350"/>
      <c r="AD86" s="3350"/>
      <c r="AE86" s="3350"/>
      <c r="AF86" s="3350"/>
      <c r="AG86" s="3350"/>
      <c r="AH86" s="3350"/>
      <c r="AI86" s="3350"/>
      <c r="AJ86" s="3350"/>
      <c r="AK86" s="3350"/>
      <c r="AL86" s="3350"/>
      <c r="AM86" s="3350"/>
      <c r="AN86" s="3350"/>
      <c r="AO86" s="3350"/>
      <c r="AP86" s="3350"/>
      <c r="AQ86" s="3350"/>
      <c r="AR86" s="3350"/>
      <c r="AS86" s="3350"/>
      <c r="AT86" s="3350"/>
    </row>
    <row r="87" spans="2:53" ht="12.95" hidden="1" customHeight="1" x14ac:dyDescent="0.15">
      <c r="C87" s="946"/>
      <c r="N87" s="3350"/>
      <c r="O87" s="3350"/>
      <c r="P87" s="3350"/>
      <c r="Q87" s="3350"/>
      <c r="R87" s="3350"/>
      <c r="S87" s="3350"/>
      <c r="T87" s="3350"/>
      <c r="U87" s="3350"/>
      <c r="V87" s="3350"/>
      <c r="W87" s="3350"/>
      <c r="X87" s="3350"/>
      <c r="Y87" s="3350"/>
      <c r="Z87" s="3350"/>
      <c r="AA87" s="3350"/>
      <c r="AB87" s="3350"/>
      <c r="AC87" s="3350"/>
      <c r="AD87" s="3350"/>
      <c r="AE87" s="3350"/>
      <c r="AF87" s="3350"/>
      <c r="AG87" s="3350"/>
      <c r="AH87" s="3350"/>
      <c r="AI87" s="3350"/>
      <c r="AJ87" s="3350"/>
      <c r="AK87" s="3350"/>
      <c r="AL87" s="3350"/>
      <c r="AM87" s="3350"/>
      <c r="AN87" s="3350"/>
      <c r="AO87" s="3350"/>
      <c r="AP87" s="3350"/>
      <c r="AQ87" s="3350"/>
      <c r="AR87" s="3350"/>
      <c r="AS87" s="3350"/>
      <c r="AT87" s="3350"/>
    </row>
    <row r="88" spans="2:53" ht="12.95" hidden="1" customHeight="1" x14ac:dyDescent="0.15">
      <c r="C88" s="946"/>
      <c r="N88" s="3350"/>
      <c r="O88" s="3350"/>
      <c r="P88" s="3350"/>
      <c r="Q88" s="3350"/>
      <c r="R88" s="3350"/>
      <c r="S88" s="3350"/>
      <c r="T88" s="3350"/>
      <c r="U88" s="3350"/>
      <c r="V88" s="3350"/>
      <c r="W88" s="3350"/>
      <c r="X88" s="3350"/>
      <c r="Y88" s="3350"/>
      <c r="Z88" s="3350"/>
      <c r="AA88" s="3350"/>
      <c r="AB88" s="3350"/>
      <c r="AC88" s="3350"/>
      <c r="AD88" s="3350"/>
      <c r="AE88" s="3350"/>
      <c r="AF88" s="3350"/>
      <c r="AG88" s="3350"/>
      <c r="AH88" s="3350"/>
      <c r="AI88" s="3350"/>
      <c r="AJ88" s="3350"/>
      <c r="AK88" s="3350"/>
      <c r="AL88" s="3350"/>
      <c r="AM88" s="3350"/>
      <c r="AN88" s="3350"/>
      <c r="AO88" s="3350"/>
      <c r="AP88" s="3350"/>
      <c r="AQ88" s="3350"/>
      <c r="AR88" s="3350"/>
      <c r="AS88" s="3350"/>
      <c r="AT88" s="3350"/>
    </row>
    <row r="89" spans="2:53" hidden="1" x14ac:dyDescent="0.15">
      <c r="C89" s="946"/>
      <c r="N89" s="958"/>
      <c r="O89" s="958"/>
      <c r="P89" s="958"/>
      <c r="Q89" s="958"/>
      <c r="R89" s="958"/>
      <c r="S89" s="958"/>
      <c r="T89" s="958"/>
      <c r="U89" s="958"/>
      <c r="V89" s="958"/>
      <c r="W89" s="958"/>
      <c r="X89" s="958"/>
      <c r="Y89" s="958"/>
      <c r="Z89" s="958"/>
      <c r="AA89" s="958"/>
      <c r="AB89" s="958"/>
      <c r="AC89" s="958"/>
      <c r="AD89" s="958"/>
      <c r="AE89" s="958"/>
      <c r="AF89" s="958"/>
      <c r="AG89" s="958"/>
      <c r="AH89" s="958"/>
      <c r="AI89" s="958"/>
      <c r="AJ89" s="958"/>
      <c r="AK89" s="958"/>
      <c r="AL89" s="958"/>
      <c r="AM89" s="958"/>
      <c r="AN89" s="958"/>
      <c r="AO89" s="958"/>
      <c r="AP89" s="958"/>
      <c r="AQ89" s="958"/>
      <c r="AR89" s="958"/>
      <c r="AS89" s="958"/>
      <c r="AT89" s="958"/>
    </row>
    <row r="90" spans="2:53" hidden="1" x14ac:dyDescent="0.15">
      <c r="C90" s="946"/>
      <c r="N90" s="958"/>
      <c r="O90" s="958"/>
      <c r="P90" s="958"/>
      <c r="Q90" s="958"/>
      <c r="R90" s="958"/>
      <c r="S90" s="958"/>
      <c r="T90" s="958"/>
      <c r="U90" s="958"/>
      <c r="V90" s="958"/>
      <c r="W90" s="958"/>
      <c r="X90" s="958"/>
      <c r="Y90" s="958"/>
      <c r="Z90" s="958"/>
      <c r="AA90" s="958"/>
      <c r="AB90" s="958"/>
      <c r="AC90" s="958"/>
      <c r="AD90" s="958"/>
      <c r="AE90" s="958"/>
      <c r="AF90" s="958"/>
      <c r="AG90" s="958"/>
      <c r="AH90" s="958"/>
      <c r="AI90" s="958"/>
      <c r="AJ90" s="958"/>
      <c r="AK90" s="958"/>
      <c r="AL90" s="958"/>
      <c r="AM90" s="958"/>
      <c r="AN90" s="958"/>
      <c r="AO90" s="958"/>
      <c r="AP90" s="958"/>
      <c r="AQ90" s="958"/>
      <c r="AR90" s="958"/>
      <c r="AS90" s="958"/>
      <c r="AT90" s="958"/>
    </row>
    <row r="91" spans="2:53" hidden="1" x14ac:dyDescent="0.15">
      <c r="C91" s="946"/>
      <c r="N91" s="958"/>
      <c r="O91" s="958"/>
      <c r="P91" s="958"/>
      <c r="Q91" s="958"/>
      <c r="R91" s="958"/>
      <c r="S91" s="958"/>
      <c r="T91" s="958"/>
      <c r="U91" s="958"/>
      <c r="V91" s="958"/>
      <c r="W91" s="958"/>
      <c r="X91" s="958"/>
      <c r="Y91" s="958"/>
      <c r="Z91" s="958"/>
      <c r="AA91" s="958"/>
      <c r="AB91" s="958"/>
      <c r="AC91" s="958"/>
      <c r="AD91" s="958"/>
      <c r="AE91" s="958"/>
      <c r="AF91" s="958"/>
      <c r="AG91" s="958"/>
      <c r="AH91" s="958"/>
      <c r="AI91" s="958"/>
      <c r="AJ91" s="958"/>
      <c r="AK91" s="958"/>
      <c r="AL91" s="958"/>
      <c r="AM91" s="958"/>
      <c r="AN91" s="958"/>
      <c r="AO91" s="958"/>
      <c r="AP91" s="958"/>
      <c r="AQ91" s="958"/>
      <c r="AR91" s="958"/>
      <c r="AS91" s="958"/>
      <c r="AT91" s="958"/>
    </row>
    <row r="92" spans="2:53" ht="6" customHeight="1" x14ac:dyDescent="0.15"/>
    <row r="93" spans="2:53" ht="6" customHeight="1" x14ac:dyDescent="0.15"/>
    <row r="94" spans="2:53" ht="12" customHeight="1" x14ac:dyDescent="0.15">
      <c r="B94" s="946" t="s">
        <v>396</v>
      </c>
      <c r="X94" s="959"/>
      <c r="Y94" s="3359"/>
      <c r="Z94" s="3359"/>
      <c r="AA94" s="3359"/>
      <c r="AB94" s="3359"/>
      <c r="AC94" s="3359"/>
      <c r="AD94" s="3359"/>
      <c r="AE94" s="3359"/>
      <c r="AF94" s="3359"/>
      <c r="AG94" s="3359"/>
      <c r="AH94" s="3360"/>
      <c r="AI94" s="3360"/>
      <c r="AJ94" s="3360"/>
    </row>
    <row r="95" spans="2:53" ht="12" customHeight="1" x14ac:dyDescent="0.15">
      <c r="D95" s="946" t="s">
        <v>397</v>
      </c>
      <c r="O95" s="1052" t="str">
        <f>IF('＜入力不要＞報告書'!O95="","",'＜入力不要＞報告書'!O95)</f>
        <v/>
      </c>
      <c r="P95" s="939" t="s">
        <v>398</v>
      </c>
      <c r="X95" s="960" t="s">
        <v>26</v>
      </c>
      <c r="Y95" s="1052" t="str">
        <f>IF('＜入力不要＞報告書'!Y95="","",'＜入力不要＞報告書'!Y95)</f>
        <v/>
      </c>
      <c r="Z95" s="939" t="s">
        <v>399</v>
      </c>
      <c r="AH95" s="1052" t="str">
        <f>IF('＜入力不要＞報告書'!AH95="","",'＜入力不要＞報告書'!AH95)</f>
        <v/>
      </c>
      <c r="AI95" s="939" t="s">
        <v>400</v>
      </c>
    </row>
    <row r="96" spans="2:53" ht="12" customHeight="1" x14ac:dyDescent="0.15">
      <c r="D96" s="946" t="s">
        <v>401</v>
      </c>
      <c r="O96" s="3361" t="s">
        <v>1275</v>
      </c>
      <c r="P96" s="3361"/>
      <c r="Q96" s="3361"/>
      <c r="R96" s="3361"/>
      <c r="S96" s="3361"/>
      <c r="T96" s="3361"/>
      <c r="U96" s="3361"/>
      <c r="V96" s="3361"/>
      <c r="W96" s="3361"/>
      <c r="X96" s="3362"/>
      <c r="Y96" s="3362"/>
      <c r="Z96" s="3362"/>
      <c r="AA96" s="1053"/>
      <c r="AB96" s="1053"/>
      <c r="AC96" s="1053"/>
      <c r="AD96" s="1053"/>
      <c r="AE96" s="1053"/>
      <c r="AF96" s="1053"/>
      <c r="AG96" s="1053"/>
      <c r="AH96" s="1053"/>
      <c r="AI96" s="1053"/>
      <c r="AJ96" s="1053"/>
      <c r="AK96" s="1053"/>
      <c r="AL96" s="1053"/>
      <c r="AM96" s="1053"/>
      <c r="AN96" s="1053"/>
      <c r="AO96" s="1053"/>
      <c r="AP96" s="1053"/>
      <c r="AQ96" s="1053"/>
      <c r="AR96" s="1053"/>
      <c r="AS96" s="1053"/>
      <c r="BA96" s="961"/>
    </row>
    <row r="97" spans="1:53" ht="12.95" hidden="1" customHeight="1" x14ac:dyDescent="0.15">
      <c r="D97" s="946"/>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958"/>
      <c r="AM97" s="958"/>
      <c r="AN97" s="958"/>
      <c r="AO97" s="958"/>
      <c r="AP97" s="958"/>
      <c r="AQ97" s="958"/>
      <c r="AR97" s="958"/>
      <c r="AS97" s="958"/>
    </row>
    <row r="98" spans="1:53" ht="12.95" hidden="1" customHeight="1" x14ac:dyDescent="0.15">
      <c r="D98" s="946"/>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8"/>
      <c r="AN98" s="958"/>
      <c r="AO98" s="958"/>
      <c r="AP98" s="958"/>
      <c r="AQ98" s="958"/>
      <c r="AR98" s="958"/>
      <c r="AS98" s="958"/>
    </row>
    <row r="99" spans="1:53" ht="12.95" hidden="1" customHeight="1" x14ac:dyDescent="0.15">
      <c r="D99" s="946"/>
      <c r="O99" s="958"/>
      <c r="P99" s="958"/>
      <c r="Q99" s="958"/>
      <c r="R99" s="958"/>
      <c r="S99" s="958"/>
      <c r="T99" s="958"/>
      <c r="U99" s="958"/>
      <c r="V99" s="958"/>
      <c r="W99" s="958"/>
      <c r="X99" s="958"/>
      <c r="Y99" s="958"/>
      <c r="Z99" s="958"/>
      <c r="AA99" s="958"/>
      <c r="AB99" s="958"/>
      <c r="AC99" s="958"/>
      <c r="AD99" s="958"/>
      <c r="AE99" s="958"/>
      <c r="AF99" s="958"/>
      <c r="AG99" s="958"/>
      <c r="AH99" s="958"/>
      <c r="AI99" s="958"/>
      <c r="AJ99" s="958"/>
      <c r="AK99" s="958"/>
      <c r="AL99" s="958"/>
      <c r="AM99" s="958"/>
      <c r="AN99" s="958"/>
      <c r="AO99" s="958"/>
      <c r="AP99" s="958"/>
      <c r="AQ99" s="958"/>
      <c r="AR99" s="958"/>
      <c r="AS99" s="958"/>
    </row>
    <row r="100" spans="1:53" ht="12.95" hidden="1" customHeight="1" x14ac:dyDescent="0.15">
      <c r="D100" s="946"/>
      <c r="O100" s="958"/>
      <c r="P100" s="958"/>
      <c r="Q100" s="958"/>
      <c r="R100" s="958"/>
      <c r="S100" s="958"/>
      <c r="T100" s="958"/>
      <c r="U100" s="958"/>
      <c r="V100" s="958"/>
      <c r="W100" s="958"/>
      <c r="X100" s="958"/>
      <c r="Y100" s="958"/>
      <c r="Z100" s="958"/>
      <c r="AA100" s="958"/>
      <c r="AB100" s="958"/>
      <c r="AC100" s="958"/>
      <c r="AD100" s="958"/>
      <c r="AE100" s="958"/>
      <c r="AF100" s="958"/>
      <c r="AG100" s="958"/>
      <c r="AH100" s="958"/>
      <c r="AI100" s="958"/>
      <c r="AJ100" s="958"/>
      <c r="AK100" s="958"/>
      <c r="AL100" s="958"/>
      <c r="AM100" s="958"/>
      <c r="AN100" s="958"/>
      <c r="AO100" s="958"/>
      <c r="AP100" s="958"/>
      <c r="AQ100" s="958"/>
      <c r="AR100" s="958"/>
      <c r="AS100" s="958"/>
    </row>
    <row r="101" spans="1:53" ht="12" customHeight="1" x14ac:dyDescent="0.15">
      <c r="D101" s="946" t="s">
        <v>402</v>
      </c>
      <c r="O101" s="1052" t="str">
        <f>IF('＜入力不要＞報告書'!O101="","",'＜入力不要＞報告書'!O101)</f>
        <v/>
      </c>
      <c r="P101" s="939" t="s">
        <v>403</v>
      </c>
      <c r="R101" s="3163" t="str">
        <f>IF('＜入力不要＞報告書'!R101="","",'＜入力不要＞報告書'!R101)</f>
        <v>令和</v>
      </c>
      <c r="S101" s="3163"/>
      <c r="T101" s="3355" t="str">
        <f>IF('＜入力不要＞報告書'!T101="","",'＜入力不要＞報告書'!T101)</f>
        <v/>
      </c>
      <c r="U101" s="3355"/>
      <c r="V101" s="963" t="s">
        <v>12</v>
      </c>
      <c r="W101" s="3356" t="str">
        <f>IF('＜入力不要＞報告書'!W101="","",'＜入力不要＞報告書'!W101)</f>
        <v/>
      </c>
      <c r="X101" s="3356"/>
      <c r="Y101" s="939" t="s">
        <v>404</v>
      </c>
      <c r="AH101" s="1052" t="str">
        <f>IF('＜入力不要＞報告書'!AH101="","",'＜入力不要＞報告書'!AH101)</f>
        <v>レ</v>
      </c>
      <c r="AI101" s="939" t="s">
        <v>405</v>
      </c>
      <c r="AM101" s="939" t="str">
        <f>IF('＜入力不要＞報告書'!AM101="","",'＜入力不要＞報告書'!AM101)</f>
        <v/>
      </c>
    </row>
    <row r="102" spans="1:53" ht="12" customHeight="1" x14ac:dyDescent="0.15">
      <c r="D102" s="946" t="s">
        <v>406</v>
      </c>
      <c r="O102" s="3357">
        <f>IF('＜入力不要＞報告書'!O102="","",'＜入力不要＞報告書'!O102)</f>
        <v>0</v>
      </c>
      <c r="P102" s="3357"/>
      <c r="Q102" s="3357"/>
      <c r="R102" s="3357"/>
      <c r="S102" s="3357"/>
      <c r="T102" s="3357"/>
      <c r="U102" s="3357"/>
      <c r="V102" s="3357"/>
      <c r="W102" s="3357"/>
      <c r="X102" s="3357"/>
      <c r="Y102" s="3357"/>
      <c r="Z102" s="3357"/>
      <c r="AA102" s="3357"/>
      <c r="AB102" s="3357"/>
      <c r="AC102" s="3357"/>
      <c r="AD102" s="3357"/>
      <c r="AE102" s="3357"/>
      <c r="AF102" s="3357"/>
      <c r="AG102" s="3357"/>
      <c r="AH102" s="3357"/>
      <c r="AI102" s="3357"/>
      <c r="AJ102" s="3357"/>
      <c r="AK102" s="3357"/>
      <c r="AL102" s="3357"/>
      <c r="AM102" s="3357"/>
      <c r="AN102" s="3357"/>
      <c r="AO102" s="3357"/>
      <c r="AP102" s="3357"/>
      <c r="AQ102" s="3357"/>
      <c r="AR102" s="3357"/>
      <c r="AS102" s="3357"/>
      <c r="BA102" s="961"/>
    </row>
    <row r="103" spans="1:53" ht="12" hidden="1" customHeight="1" x14ac:dyDescent="0.15">
      <c r="BA103" s="961"/>
    </row>
    <row r="104" spans="1:53" ht="4.5" customHeight="1" x14ac:dyDescent="0.15"/>
    <row r="105" spans="1:53" ht="4.5" customHeight="1" x14ac:dyDescent="0.15"/>
    <row r="106" spans="1:53" ht="12.95" customHeight="1" x14ac:dyDescent="0.15">
      <c r="B106" s="946" t="s">
        <v>643</v>
      </c>
    </row>
    <row r="107" spans="1:53" ht="12.95" customHeight="1" x14ac:dyDescent="0.15">
      <c r="D107" s="946" t="s">
        <v>467</v>
      </c>
      <c r="S107" s="3163" t="str">
        <f>IF('＜入力不要＞報告書'!S384="","",'＜入力不要＞報告書'!S384)</f>
        <v>令和</v>
      </c>
      <c r="T107" s="3163"/>
      <c r="U107" s="3355" t="str">
        <f>IF('＜入力不要＞報告書'!U384="","",'＜入力不要＞報告書'!U384)</f>
        <v/>
      </c>
      <c r="V107" s="3355"/>
      <c r="W107" s="945" t="s">
        <v>12</v>
      </c>
      <c r="X107" s="3356" t="str">
        <f>IF('＜入力不要＞報告書'!X384="","",'＜入力不要＞報告書'!X384)</f>
        <v/>
      </c>
      <c r="Y107" s="3356"/>
      <c r="Z107" s="945" t="s">
        <v>348</v>
      </c>
      <c r="AA107" s="3358" t="str">
        <f>IF('＜入力不要＞報告書'!AA384="","",'＜入力不要＞報告書'!AA384)</f>
        <v/>
      </c>
      <c r="AB107" s="3358"/>
      <c r="AC107" s="961" t="s">
        <v>468</v>
      </c>
    </row>
    <row r="108" spans="1:53" ht="13.5" customHeight="1" collapsed="1" x14ac:dyDescent="0.15">
      <c r="D108" s="946" t="s">
        <v>469</v>
      </c>
      <c r="O108" s="1052" t="str">
        <f>IF('＜入力不要＞報告書'!O385="","",'＜入力不要＞報告書'!O385)</f>
        <v/>
      </c>
      <c r="P108" s="939" t="s">
        <v>470</v>
      </c>
      <c r="S108" s="3163" t="str">
        <f>IF('＜入力不要＞報告書'!S385="","",'＜入力不要＞報告書'!S385)</f>
        <v/>
      </c>
      <c r="T108" s="3163"/>
      <c r="U108" s="3355" t="str">
        <f>IF('＜入力不要＞報告書'!U385="","",'＜入力不要＞報告書'!U385)</f>
        <v/>
      </c>
      <c r="V108" s="3355"/>
      <c r="W108" s="945" t="s">
        <v>12</v>
      </c>
      <c r="X108" s="3356" t="str">
        <f>IF('＜入力不要＞報告書'!X385="","",'＜入力不要＞報告書'!X385)</f>
        <v/>
      </c>
      <c r="Y108" s="3356"/>
      <c r="Z108" s="945" t="s">
        <v>348</v>
      </c>
      <c r="AA108" s="3358" t="str">
        <f>IF('＜入力不要＞報告書'!AA385="","",'＜入力不要＞報告書'!AA385)</f>
        <v/>
      </c>
      <c r="AB108" s="3358"/>
      <c r="AC108" s="939" t="s">
        <v>471</v>
      </c>
      <c r="AH108" s="1052" t="str">
        <f>IF('＜入力不要＞報告書'!AH385="","",'＜入力不要＞報告書'!AH385)</f>
        <v/>
      </c>
      <c r="AI108" s="939" t="s">
        <v>275</v>
      </c>
      <c r="AL108" s="997"/>
    </row>
    <row r="109" spans="1:53" ht="13.5" customHeight="1" x14ac:dyDescent="0.15">
      <c r="D109" s="946" t="s">
        <v>472</v>
      </c>
      <c r="O109" s="1052" t="str">
        <f>IF('＜入力不要＞報告書'!O386="","",'＜入力不要＞報告書'!O386)</f>
        <v/>
      </c>
      <c r="P109" s="939" t="s">
        <v>470</v>
      </c>
      <c r="S109" s="3163" t="str">
        <f>IF('＜入力不要＞報告書'!S386="","",'＜入力不要＞報告書'!S386)</f>
        <v/>
      </c>
      <c r="T109" s="3163"/>
      <c r="U109" s="3355" t="str">
        <f>IF('＜入力不要＞報告書'!U386="","",'＜入力不要＞報告書'!U386)</f>
        <v/>
      </c>
      <c r="V109" s="3355"/>
      <c r="W109" s="945" t="s">
        <v>12</v>
      </c>
      <c r="X109" s="3356" t="str">
        <f>IF('＜入力不要＞報告書'!X386="","",'＜入力不要＞報告書'!X386)</f>
        <v/>
      </c>
      <c r="Y109" s="3356"/>
      <c r="Z109" s="945" t="s">
        <v>348</v>
      </c>
      <c r="AA109" s="3358" t="str">
        <f>IF('＜入力不要＞報告書'!AA386="","",'＜入力不要＞報告書'!AA386)</f>
        <v/>
      </c>
      <c r="AB109" s="3358"/>
      <c r="AC109" s="939" t="s">
        <v>471</v>
      </c>
      <c r="AH109" s="1052" t="str">
        <f>IF('＜入力不要＞報告書'!AH386="","",'＜入力不要＞報告書'!AH386)</f>
        <v/>
      </c>
      <c r="AI109" s="939" t="s">
        <v>275</v>
      </c>
    </row>
    <row r="110" spans="1:53" ht="13.5" customHeight="1" x14ac:dyDescent="0.15">
      <c r="D110" s="946" t="s">
        <v>473</v>
      </c>
      <c r="O110" s="1052" t="str">
        <f>IF('＜入力不要＞報告書'!O387="","",'＜入力不要＞報告書'!O387)</f>
        <v/>
      </c>
      <c r="P110" s="939" t="s">
        <v>470</v>
      </c>
      <c r="S110" s="3163" t="str">
        <f>IF('＜入力不要＞報告書'!S387="","",'＜入力不要＞報告書'!S387)</f>
        <v/>
      </c>
      <c r="T110" s="3163"/>
      <c r="U110" s="3355" t="str">
        <f>IF('＜入力不要＞報告書'!U387="","",'＜入力不要＞報告書'!U387)</f>
        <v/>
      </c>
      <c r="V110" s="3355"/>
      <c r="W110" s="945" t="s">
        <v>12</v>
      </c>
      <c r="X110" s="3356" t="str">
        <f>IF('＜入力不要＞報告書'!X387="","",'＜入力不要＞報告書'!X387)</f>
        <v/>
      </c>
      <c r="Y110" s="3356"/>
      <c r="Z110" s="945" t="s">
        <v>348</v>
      </c>
      <c r="AA110" s="3358" t="str">
        <f>IF('＜入力不要＞報告書'!AA387="","",'＜入力不要＞報告書'!AA387)</f>
        <v/>
      </c>
      <c r="AB110" s="3358"/>
      <c r="AC110" s="939" t="s">
        <v>471</v>
      </c>
      <c r="AH110" s="1052" t="str">
        <f>IF('＜入力不要＞報告書'!AH387="","",'＜入力不要＞報告書'!AH387)</f>
        <v/>
      </c>
      <c r="AI110" s="939" t="s">
        <v>275</v>
      </c>
    </row>
    <row r="111" spans="1:53" ht="14.1" customHeight="1" x14ac:dyDescent="0.15">
      <c r="D111" s="946" t="s">
        <v>474</v>
      </c>
      <c r="O111" s="1052" t="str">
        <f>IF('＜入力不要＞報告書'!O388="","",'＜入力不要＞報告書'!O388)</f>
        <v/>
      </c>
      <c r="P111" s="939" t="s">
        <v>470</v>
      </c>
      <c r="S111" s="3163" t="str">
        <f>IF('＜入力不要＞報告書'!S388="","",'＜入力不要＞報告書'!S388)</f>
        <v/>
      </c>
      <c r="T111" s="3163"/>
      <c r="U111" s="3355" t="str">
        <f>IF('＜入力不要＞報告書'!U388="","",'＜入力不要＞報告書'!U388)</f>
        <v/>
      </c>
      <c r="V111" s="3355"/>
      <c r="W111" s="945" t="s">
        <v>12</v>
      </c>
      <c r="X111" s="3356" t="str">
        <f>IF('＜入力不要＞報告書'!X388="","",'＜入力不要＞報告書'!X388)</f>
        <v/>
      </c>
      <c r="Y111" s="3356"/>
      <c r="Z111" s="945" t="s">
        <v>348</v>
      </c>
      <c r="AA111" s="3358" t="str">
        <f>IF('＜入力不要＞報告書'!AA388="","",'＜入力不要＞報告書'!AA388)</f>
        <v/>
      </c>
      <c r="AB111" s="3358"/>
      <c r="AC111" s="939" t="s">
        <v>471</v>
      </c>
      <c r="AH111" s="1052" t="str">
        <f>IF('＜入力不要＞報告書'!AH388="","",'＜入力不要＞報告書'!AH388)</f>
        <v/>
      </c>
      <c r="AI111" s="939" t="s">
        <v>275</v>
      </c>
    </row>
    <row r="112" spans="1:53" ht="4.5" customHeight="1" x14ac:dyDescent="0.15">
      <c r="A112" s="1048"/>
      <c r="B112" s="1048"/>
      <c r="C112" s="1048"/>
      <c r="D112" s="1048"/>
      <c r="E112" s="1048"/>
      <c r="F112" s="1048"/>
      <c r="G112" s="1048"/>
      <c r="H112" s="1048"/>
      <c r="I112" s="1048"/>
      <c r="J112" s="1048"/>
      <c r="K112" s="1048"/>
      <c r="L112" s="1048"/>
      <c r="M112" s="1048"/>
      <c r="N112" s="1048"/>
      <c r="O112" s="1048"/>
      <c r="P112" s="1048"/>
      <c r="Q112" s="1048"/>
      <c r="R112" s="1048"/>
      <c r="S112" s="1048"/>
      <c r="T112" s="1048"/>
      <c r="U112" s="1048"/>
      <c r="V112" s="1048"/>
      <c r="W112" s="1048"/>
      <c r="X112" s="1048"/>
      <c r="Y112" s="1048"/>
      <c r="Z112" s="1048"/>
      <c r="AA112" s="1048"/>
      <c r="AB112" s="1048"/>
      <c r="AC112" s="1048"/>
      <c r="AD112" s="1048"/>
      <c r="AE112" s="1048"/>
      <c r="AF112" s="1048"/>
      <c r="AG112" s="1048"/>
      <c r="AH112" s="1048"/>
      <c r="AI112" s="1048"/>
      <c r="AJ112" s="1048"/>
      <c r="AK112" s="1048"/>
      <c r="AL112" s="1048"/>
      <c r="AM112" s="1048"/>
      <c r="AN112" s="1048"/>
      <c r="AO112" s="1048"/>
      <c r="AP112" s="1048"/>
      <c r="AQ112" s="1048"/>
      <c r="AR112" s="1048"/>
      <c r="AS112" s="1048"/>
      <c r="AT112" s="1048"/>
    </row>
    <row r="113" spans="1:55" ht="4.5" customHeight="1" x14ac:dyDescent="0.15">
      <c r="A113" s="1048"/>
      <c r="B113" s="1048"/>
      <c r="C113" s="1048"/>
      <c r="D113" s="1048"/>
      <c r="E113" s="1048"/>
      <c r="F113" s="1048"/>
      <c r="G113" s="1048"/>
      <c r="H113" s="1048"/>
      <c r="I113" s="1048"/>
      <c r="J113" s="1048"/>
      <c r="K113" s="1048"/>
      <c r="L113" s="1048"/>
      <c r="M113" s="1048"/>
      <c r="N113" s="1048"/>
      <c r="O113" s="1048"/>
      <c r="P113" s="1048"/>
      <c r="Q113" s="1048"/>
      <c r="R113" s="1048"/>
      <c r="S113" s="1048"/>
      <c r="T113" s="1048"/>
      <c r="U113" s="1048"/>
      <c r="V113" s="1048"/>
      <c r="W113" s="1048"/>
      <c r="X113" s="1048"/>
      <c r="Y113" s="1048"/>
      <c r="Z113" s="1048"/>
      <c r="AA113" s="1048"/>
      <c r="AB113" s="1048"/>
      <c r="AC113" s="1048"/>
      <c r="AD113" s="1048"/>
      <c r="AE113" s="1048"/>
      <c r="AF113" s="1048"/>
      <c r="AG113" s="1048"/>
      <c r="AH113" s="1048"/>
      <c r="AI113" s="1048"/>
      <c r="AJ113" s="1048"/>
      <c r="AK113" s="1048"/>
      <c r="AL113" s="1048"/>
      <c r="AM113" s="1048"/>
      <c r="AN113" s="1048"/>
      <c r="AO113" s="1048"/>
      <c r="AP113" s="1048"/>
      <c r="AQ113" s="1048"/>
      <c r="AR113" s="1048"/>
      <c r="AS113" s="1048"/>
      <c r="AT113" s="1048"/>
    </row>
    <row r="114" spans="1:55" ht="12.95" customHeight="1" x14ac:dyDescent="0.15">
      <c r="A114" s="1048"/>
      <c r="B114" s="1017" t="s">
        <v>644</v>
      </c>
      <c r="C114" s="1048"/>
      <c r="D114" s="1048"/>
      <c r="E114" s="1048"/>
      <c r="F114" s="1048"/>
      <c r="G114" s="1048"/>
      <c r="H114" s="1048"/>
      <c r="I114" s="1048"/>
      <c r="J114" s="1048"/>
      <c r="K114" s="1048"/>
      <c r="L114" s="1048"/>
      <c r="M114" s="1048"/>
      <c r="N114" s="1048"/>
      <c r="O114" s="1048"/>
      <c r="P114" s="1048"/>
      <c r="Q114" s="1048"/>
      <c r="R114" s="1048"/>
      <c r="S114" s="1048"/>
      <c r="T114" s="1048"/>
      <c r="U114" s="1048"/>
      <c r="V114" s="1048"/>
      <c r="W114" s="1048"/>
      <c r="X114" s="1048"/>
      <c r="Y114" s="3314"/>
      <c r="Z114" s="3314"/>
      <c r="AA114" s="3314"/>
      <c r="AB114" s="3314"/>
      <c r="AC114" s="3314"/>
      <c r="AD114" s="3314"/>
      <c r="AE114" s="3314"/>
      <c r="AF114" s="3314"/>
      <c r="AG114" s="3314"/>
      <c r="AH114" s="3315"/>
      <c r="AI114" s="3315"/>
      <c r="AJ114" s="3315"/>
      <c r="AK114" s="1048"/>
      <c r="AL114" s="1048"/>
      <c r="AM114" s="1048"/>
      <c r="AN114" s="1048"/>
      <c r="AO114" s="1048"/>
      <c r="AP114" s="1048"/>
      <c r="AQ114" s="1048"/>
      <c r="AR114" s="1048"/>
      <c r="AS114" s="1048"/>
      <c r="AT114" s="1048"/>
    </row>
    <row r="115" spans="1:55" ht="12.95" customHeight="1" x14ac:dyDescent="0.15">
      <c r="A115" s="1048"/>
      <c r="B115" s="1048"/>
      <c r="D115" s="1017" t="s">
        <v>497</v>
      </c>
      <c r="E115" s="1048"/>
      <c r="F115" s="1048"/>
      <c r="G115" s="1048"/>
      <c r="H115" s="1048"/>
      <c r="I115" s="1048"/>
      <c r="J115" s="1048"/>
      <c r="K115" s="1048"/>
      <c r="O115" s="1052" t="str">
        <f>IF('＜入力不要＞報告書'!O453="","",'＜入力不要＞報告書'!O453)</f>
        <v/>
      </c>
      <c r="P115" s="1048" t="s">
        <v>20</v>
      </c>
      <c r="Q115" s="1048"/>
      <c r="R115" s="1052" t="str">
        <f>IF('＜入力不要＞報告書'!R453="","",'＜入力不要＞報告書'!R453)</f>
        <v/>
      </c>
      <c r="S115" s="1048" t="s">
        <v>405</v>
      </c>
      <c r="T115" s="1048"/>
      <c r="U115" s="1048"/>
      <c r="V115" s="1048"/>
      <c r="W115" s="1048"/>
      <c r="X115" s="1048"/>
      <c r="Y115" s="1048"/>
      <c r="Z115" s="1048"/>
      <c r="AA115" s="1048"/>
      <c r="AB115" s="1048"/>
      <c r="AC115" s="1048"/>
      <c r="AD115" s="1048"/>
      <c r="AE115" s="1048"/>
      <c r="AF115" s="1048"/>
      <c r="AG115" s="1048"/>
      <c r="AH115" s="1048"/>
      <c r="AI115" s="1048"/>
      <c r="AJ115" s="1048"/>
      <c r="AK115" s="1048"/>
      <c r="AL115" s="1048"/>
      <c r="AM115" s="1048"/>
      <c r="AN115" s="1048"/>
      <c r="AO115" s="1048"/>
      <c r="AP115" s="1048"/>
      <c r="AQ115" s="1048"/>
      <c r="AR115" s="1048"/>
      <c r="AS115" s="1048"/>
      <c r="AT115" s="1048"/>
    </row>
    <row r="116" spans="1:55" ht="13.5" customHeight="1" x14ac:dyDescent="0.15">
      <c r="A116" s="1048"/>
      <c r="B116" s="1048"/>
      <c r="D116" s="1017" t="s">
        <v>498</v>
      </c>
      <c r="E116" s="1048"/>
      <c r="F116" s="1048"/>
      <c r="G116" s="1048"/>
      <c r="H116" s="1048"/>
      <c r="I116" s="1048"/>
      <c r="J116" s="1048"/>
      <c r="K116" s="1048"/>
      <c r="O116" s="1052" t="str">
        <f>IF('＜入力不要＞報告書'!O454="","",'＜入力不要＞報告書'!O454)</f>
        <v/>
      </c>
      <c r="P116" s="1048" t="s">
        <v>20</v>
      </c>
      <c r="Q116" s="1048"/>
      <c r="R116" s="1052" t="str">
        <f>IF('＜入力不要＞報告書'!R454="","",'＜入力不要＞報告書'!R454)</f>
        <v/>
      </c>
      <c r="S116" s="1048" t="s">
        <v>405</v>
      </c>
      <c r="T116" s="1048"/>
      <c r="U116" s="1048"/>
      <c r="V116" s="1048"/>
      <c r="W116" s="1048"/>
      <c r="X116" s="1048"/>
      <c r="Y116" s="1048"/>
      <c r="Z116" s="1048"/>
      <c r="AA116" s="1048"/>
      <c r="AB116" s="1048"/>
      <c r="AC116" s="1048"/>
      <c r="AD116" s="1048"/>
      <c r="AE116" s="1048"/>
      <c r="AF116" s="1048"/>
      <c r="AG116" s="1048"/>
      <c r="AH116" s="1048"/>
      <c r="AI116" s="1048"/>
      <c r="AJ116" s="1048"/>
      <c r="AK116" s="1048"/>
      <c r="AL116" s="1048"/>
      <c r="AM116" s="1048"/>
      <c r="AN116" s="1048"/>
      <c r="AO116" s="1048"/>
      <c r="AP116" s="1048"/>
      <c r="AQ116" s="1048"/>
      <c r="AR116" s="1048"/>
      <c r="AS116" s="1048"/>
      <c r="AT116" s="1048"/>
      <c r="AZ116" s="965"/>
      <c r="BA116" s="965"/>
      <c r="BB116" s="1054"/>
      <c r="BC116" s="1054"/>
    </row>
    <row r="117" spans="1:55" ht="13.5" customHeight="1" x14ac:dyDescent="0.15">
      <c r="A117" s="1048"/>
      <c r="B117" s="1048"/>
      <c r="D117" s="1017" t="s">
        <v>645</v>
      </c>
      <c r="E117" s="1048"/>
      <c r="F117" s="1048"/>
      <c r="G117" s="1048"/>
      <c r="H117" s="1048"/>
      <c r="I117" s="1048"/>
      <c r="J117" s="1048"/>
      <c r="K117" s="1048"/>
      <c r="L117" s="1048"/>
      <c r="M117" s="1048"/>
      <c r="O117" s="3348" t="s">
        <v>1275</v>
      </c>
      <c r="P117" s="3348"/>
      <c r="Q117" s="3348"/>
      <c r="R117" s="3348"/>
      <c r="S117" s="3348"/>
      <c r="T117" s="3348"/>
      <c r="U117" s="3348"/>
      <c r="V117" s="3348"/>
      <c r="W117" s="3348"/>
      <c r="X117" s="3349"/>
      <c r="Y117" s="3349"/>
      <c r="Z117" s="3349"/>
      <c r="AA117" s="1055"/>
      <c r="AB117" s="1055"/>
      <c r="AC117" s="1055"/>
      <c r="AD117" s="1055"/>
      <c r="AE117" s="1055"/>
      <c r="AF117" s="1055"/>
      <c r="AG117" s="1055"/>
      <c r="AH117" s="1055"/>
      <c r="AI117" s="1055"/>
      <c r="AJ117" s="1055"/>
      <c r="AK117" s="1055"/>
      <c r="AL117" s="1055"/>
      <c r="AM117" s="1055"/>
      <c r="AN117" s="1055"/>
      <c r="AO117" s="1055"/>
      <c r="AP117" s="1055"/>
      <c r="AQ117" s="1055"/>
      <c r="AR117" s="1055"/>
      <c r="AS117" s="1055"/>
      <c r="AT117" s="1048"/>
      <c r="AZ117" s="965"/>
    </row>
    <row r="118" spans="1:55" ht="13.5" customHeight="1" x14ac:dyDescent="0.15">
      <c r="D118" s="1017" t="s">
        <v>646</v>
      </c>
      <c r="E118" s="1048"/>
      <c r="F118" s="1048"/>
      <c r="G118" s="1048"/>
      <c r="H118" s="1048"/>
      <c r="I118" s="1048"/>
      <c r="J118" s="1048"/>
      <c r="K118" s="1048"/>
      <c r="O118" s="1052" t="str">
        <f>IF('＜入力不要＞報告書'!M455="","",'＜入力不要＞報告書'!M455)</f>
        <v/>
      </c>
      <c r="P118" s="1048" t="s">
        <v>500</v>
      </c>
      <c r="Q118" s="1048"/>
      <c r="R118" s="1048"/>
      <c r="S118" s="1048"/>
      <c r="T118" s="1052" t="str">
        <f>IF('＜入力不要＞報告書'!R455="","",'＜入力不要＞報告書'!R455)</f>
        <v/>
      </c>
      <c r="U118" s="1048" t="s">
        <v>647</v>
      </c>
      <c r="V118" s="1048"/>
      <c r="W118" s="1048"/>
      <c r="X118" s="1048"/>
      <c r="Y118" s="1048"/>
      <c r="Z118" s="3355" t="str">
        <f>IF('＜入力不要＞報告書'!X455="","",'＜入力不要＞報告書'!X455)</f>
        <v>令和</v>
      </c>
      <c r="AA118" s="3355"/>
      <c r="AB118" s="3355" t="str">
        <f>IF('＜入力不要＞報告書'!Z455="","",'＜入力不要＞報告書'!Z455)</f>
        <v/>
      </c>
      <c r="AC118" s="3355"/>
      <c r="AD118" s="1056" t="s">
        <v>12</v>
      </c>
      <c r="AE118" s="3355" t="str">
        <f>IF('＜入力不要＞報告書'!AC455="","",'＜入力不要＞報告書'!AC455)</f>
        <v/>
      </c>
      <c r="AF118" s="3355"/>
      <c r="AG118" s="1048" t="s">
        <v>404</v>
      </c>
      <c r="AH118" s="1048"/>
      <c r="AI118" s="1048"/>
      <c r="AJ118" s="1048"/>
      <c r="AK118" s="1048"/>
      <c r="AL118" s="1048"/>
      <c r="AM118" s="1048"/>
      <c r="AN118" s="1048"/>
      <c r="AO118" s="1048"/>
      <c r="AP118" s="1048"/>
      <c r="AQ118" s="1048"/>
      <c r="AR118" s="1057"/>
      <c r="AS118" s="1057"/>
      <c r="AT118" s="1048"/>
      <c r="AZ118" s="965"/>
    </row>
    <row r="119" spans="1:55" ht="13.5" customHeight="1" x14ac:dyDescent="0.15">
      <c r="C119" s="1048"/>
      <c r="D119" s="1048"/>
      <c r="E119" s="1048"/>
      <c r="F119" s="1048"/>
      <c r="G119" s="1048"/>
      <c r="H119" s="1048"/>
      <c r="I119" s="1048"/>
      <c r="J119" s="1048"/>
      <c r="K119" s="1048"/>
      <c r="O119" s="1052" t="str">
        <f>IF('＜入力不要＞報告書'!AM455="","",'＜入力不要＞報告書'!AM455)</f>
        <v/>
      </c>
      <c r="P119" s="1048" t="s">
        <v>310</v>
      </c>
      <c r="Q119" s="1048"/>
      <c r="R119" s="1048"/>
      <c r="S119" s="1048"/>
      <c r="T119" s="1048"/>
      <c r="U119" s="1048"/>
      <c r="V119" s="1048"/>
      <c r="W119" s="1058" t="s">
        <v>297</v>
      </c>
      <c r="X119" s="3365" t="str">
        <f>IF(O119="レ",'1_入力シート【基本情報】'!$DZ$255,"")</f>
        <v/>
      </c>
      <c r="Y119" s="3365"/>
      <c r="Z119" s="3365"/>
      <c r="AA119" s="3365"/>
      <c r="AB119" s="3365"/>
      <c r="AC119" s="3365"/>
      <c r="AD119" s="3365"/>
      <c r="AE119" s="3365"/>
      <c r="AF119" s="3365"/>
      <c r="AG119" s="3365"/>
      <c r="AH119" s="3365"/>
      <c r="AI119" s="3365"/>
      <c r="AJ119" s="3365"/>
      <c r="AK119" s="3365"/>
      <c r="AL119" s="3365"/>
      <c r="AM119" s="3365"/>
      <c r="AN119" s="3365"/>
      <c r="AO119" s="3365"/>
      <c r="AP119" s="3365"/>
      <c r="AQ119" s="3365"/>
      <c r="AR119" s="3365"/>
      <c r="AS119" s="1059" t="s">
        <v>22</v>
      </c>
      <c r="AT119" s="1059"/>
      <c r="AZ119" s="965"/>
    </row>
    <row r="120" spans="1:55" ht="6" customHeight="1" x14ac:dyDescent="0.15">
      <c r="A120" s="1048"/>
      <c r="B120" s="1048"/>
      <c r="C120" s="1048"/>
      <c r="D120" s="1048"/>
      <c r="E120" s="1048"/>
      <c r="F120" s="1048"/>
      <c r="G120" s="1048"/>
      <c r="H120" s="1048"/>
      <c r="I120" s="1048"/>
      <c r="J120" s="1048"/>
      <c r="K120" s="1048"/>
      <c r="L120" s="1048"/>
      <c r="M120" s="1048"/>
      <c r="N120" s="1048"/>
      <c r="O120" s="1048"/>
      <c r="P120" s="1048"/>
      <c r="Q120" s="1048"/>
      <c r="R120" s="1048"/>
      <c r="S120" s="1048"/>
      <c r="T120" s="1048"/>
      <c r="U120" s="1048"/>
      <c r="V120" s="1048"/>
      <c r="W120" s="1048"/>
      <c r="X120" s="1048"/>
      <c r="Y120" s="1048"/>
      <c r="Z120" s="1048"/>
      <c r="AA120" s="1048"/>
      <c r="AB120" s="1048"/>
      <c r="AC120" s="1048"/>
      <c r="AD120" s="1048"/>
      <c r="AE120" s="1048"/>
      <c r="AF120" s="1048"/>
      <c r="AG120" s="1048"/>
      <c r="AH120" s="1048"/>
      <c r="AI120" s="1048"/>
      <c r="AJ120" s="1048"/>
      <c r="AK120" s="1048"/>
      <c r="AL120" s="1048"/>
      <c r="AM120" s="1048"/>
      <c r="AN120" s="1048"/>
      <c r="AO120" s="1048"/>
      <c r="AP120" s="1048"/>
      <c r="AQ120" s="1048"/>
      <c r="AR120" s="1048"/>
      <c r="AS120" s="1048"/>
      <c r="AT120" s="1048"/>
      <c r="AZ120" s="965"/>
    </row>
    <row r="121" spans="1:55" ht="5.25" customHeight="1" x14ac:dyDescent="0.15">
      <c r="A121" s="1048"/>
      <c r="B121" s="1048"/>
      <c r="C121" s="1048"/>
      <c r="D121" s="1048"/>
      <c r="E121" s="1048"/>
      <c r="F121" s="1048"/>
      <c r="G121" s="1048"/>
      <c r="H121" s="1048"/>
      <c r="I121" s="1048"/>
      <c r="J121" s="1048"/>
      <c r="K121" s="1048"/>
      <c r="L121" s="1048"/>
      <c r="M121" s="1048"/>
      <c r="N121" s="1048"/>
      <c r="O121" s="1048"/>
      <c r="P121" s="1048"/>
      <c r="Q121" s="1048"/>
      <c r="R121" s="1048"/>
      <c r="S121" s="1048"/>
      <c r="T121" s="1048"/>
      <c r="U121" s="1048"/>
      <c r="V121" s="1048"/>
      <c r="W121" s="1048"/>
      <c r="X121" s="1048"/>
      <c r="Y121" s="1048"/>
      <c r="Z121" s="1048"/>
      <c r="AA121" s="1048"/>
      <c r="AB121" s="1048"/>
      <c r="AC121" s="1048"/>
      <c r="AD121" s="1048"/>
      <c r="AE121" s="1048"/>
      <c r="AF121" s="1048"/>
      <c r="AG121" s="1048"/>
      <c r="AH121" s="1048"/>
      <c r="AI121" s="1048"/>
      <c r="AJ121" s="1048"/>
      <c r="AK121" s="1048"/>
      <c r="AL121" s="1048"/>
      <c r="AM121" s="1048"/>
      <c r="AN121" s="1048"/>
      <c r="AO121" s="1048"/>
      <c r="AP121" s="1048"/>
      <c r="AQ121" s="1048"/>
      <c r="AR121" s="1048"/>
      <c r="AS121" s="1048"/>
      <c r="AT121" s="1048"/>
      <c r="AZ121" s="965"/>
    </row>
    <row r="122" spans="1:55" ht="12" hidden="1" customHeight="1" x14ac:dyDescent="0.15">
      <c r="AZ122" s="965"/>
    </row>
    <row r="123" spans="1:55" ht="12" hidden="1" customHeight="1" x14ac:dyDescent="0.15">
      <c r="B123" s="966"/>
      <c r="C123" s="966"/>
      <c r="D123" s="966"/>
      <c r="E123" s="966"/>
      <c r="F123" s="966"/>
      <c r="G123" s="966"/>
      <c r="H123" s="966"/>
      <c r="I123" s="966"/>
      <c r="J123" s="966"/>
      <c r="K123" s="966"/>
      <c r="L123" s="966"/>
      <c r="M123" s="966"/>
      <c r="N123" s="966"/>
      <c r="O123" s="966"/>
      <c r="P123" s="966"/>
      <c r="Q123" s="966"/>
      <c r="R123" s="966"/>
      <c r="S123" s="966"/>
      <c r="T123" s="966"/>
      <c r="U123" s="966"/>
      <c r="V123" s="966"/>
      <c r="W123" s="966"/>
      <c r="X123" s="966"/>
      <c r="Y123" s="966"/>
      <c r="Z123" s="966"/>
      <c r="AA123" s="966"/>
      <c r="AB123" s="966"/>
      <c r="AC123" s="966"/>
      <c r="AD123" s="966"/>
      <c r="AE123" s="966"/>
      <c r="AF123" s="966"/>
      <c r="AG123" s="966"/>
      <c r="AH123" s="966"/>
      <c r="AI123" s="966"/>
      <c r="AJ123" s="966"/>
      <c r="AK123" s="966"/>
      <c r="AL123" s="966"/>
      <c r="AM123" s="966"/>
      <c r="AN123" s="966"/>
      <c r="AO123" s="966"/>
      <c r="AP123" s="966"/>
      <c r="AQ123" s="966"/>
      <c r="AR123" s="966"/>
      <c r="AS123" s="966"/>
      <c r="AT123" s="966"/>
      <c r="AZ123" s="965"/>
    </row>
    <row r="124" spans="1:55" ht="12" hidden="1" customHeight="1" x14ac:dyDescent="0.15">
      <c r="AZ124" s="965"/>
    </row>
    <row r="125" spans="1:55" ht="12" hidden="1" customHeight="1" x14ac:dyDescent="0.15">
      <c r="AZ125" s="965"/>
    </row>
    <row r="126" spans="1:55" ht="12" hidden="1" customHeight="1" x14ac:dyDescent="0.15">
      <c r="AZ126" s="965"/>
    </row>
    <row r="127" spans="1:55" ht="12.75" hidden="1" customHeight="1" x14ac:dyDescent="0.15">
      <c r="AZ127" s="965"/>
    </row>
    <row r="128" spans="1:55" s="1060" customFormat="1" ht="12.95" customHeight="1" x14ac:dyDescent="0.15">
      <c r="A128" s="939"/>
      <c r="B128" s="3316" t="s">
        <v>1241</v>
      </c>
      <c r="C128" s="3316"/>
      <c r="D128" s="3316"/>
      <c r="E128" s="3316"/>
      <c r="F128" s="3316"/>
      <c r="G128" s="3316"/>
      <c r="H128" s="3316"/>
      <c r="I128" s="3316"/>
      <c r="J128" s="3316"/>
      <c r="K128" s="3316"/>
      <c r="L128" s="3316"/>
      <c r="M128" s="3316"/>
      <c r="N128" s="3316"/>
      <c r="O128" s="3316"/>
      <c r="P128" s="3316"/>
      <c r="Q128" s="3316"/>
      <c r="R128" s="3316"/>
      <c r="S128" s="3316"/>
      <c r="T128" s="3316"/>
      <c r="U128" s="3316"/>
      <c r="V128" s="3316"/>
      <c r="W128" s="3316"/>
      <c r="X128" s="3316"/>
      <c r="Y128" s="3316"/>
      <c r="Z128" s="3316"/>
      <c r="AA128" s="3316"/>
      <c r="AB128" s="3316"/>
      <c r="AC128" s="3316"/>
      <c r="AD128" s="3316"/>
      <c r="AE128" s="3316"/>
      <c r="AF128" s="3316"/>
      <c r="AG128" s="3316"/>
      <c r="AH128" s="3316"/>
      <c r="AI128" s="3316"/>
      <c r="AJ128" s="3316"/>
      <c r="AK128" s="3316"/>
      <c r="AL128" s="3316"/>
      <c r="AM128" s="3316"/>
      <c r="AN128" s="3316"/>
      <c r="AO128" s="3316"/>
      <c r="AP128" s="3316"/>
      <c r="AQ128" s="3316"/>
      <c r="AR128" s="3316"/>
      <c r="AS128" s="3316"/>
      <c r="AT128" s="3316"/>
      <c r="AU128" s="967"/>
      <c r="AV128" s="939"/>
      <c r="AW128" s="939"/>
      <c r="AX128" s="939"/>
      <c r="AY128" s="939"/>
      <c r="AZ128" s="939"/>
      <c r="BA128" s="939"/>
      <c r="BB128" s="939"/>
    </row>
    <row r="129" spans="1:57" ht="6" customHeight="1" x14ac:dyDescent="0.15">
      <c r="BB129" s="939"/>
    </row>
    <row r="130" spans="1:57" s="1061" customFormat="1" ht="14.25" customHeight="1" x14ac:dyDescent="0.15">
      <c r="A130" s="968"/>
      <c r="B130" s="939" t="s">
        <v>1242</v>
      </c>
      <c r="C130" s="968"/>
      <c r="D130" s="968"/>
      <c r="E130" s="968"/>
      <c r="F130" s="968"/>
      <c r="G130" s="968"/>
      <c r="H130" s="968"/>
      <c r="I130" s="968"/>
      <c r="J130" s="968"/>
      <c r="K130" s="968"/>
      <c r="L130" s="968"/>
      <c r="M130" s="968"/>
      <c r="N130" s="968"/>
      <c r="O130" s="968"/>
      <c r="P130" s="968"/>
      <c r="Q130" s="968"/>
      <c r="R130" s="968"/>
      <c r="S130" s="968"/>
      <c r="T130" s="968"/>
      <c r="U130" s="968"/>
      <c r="V130" s="968"/>
      <c r="W130" s="968"/>
      <c r="X130" s="968"/>
      <c r="Y130" s="968"/>
      <c r="Z130" s="968"/>
      <c r="AA130" s="968"/>
      <c r="AB130" s="968"/>
      <c r="AC130" s="968"/>
      <c r="AD130" s="968"/>
      <c r="AE130" s="968"/>
      <c r="AF130" s="968"/>
      <c r="AG130" s="969"/>
      <c r="AH130" s="969"/>
      <c r="AI130" s="968"/>
      <c r="AJ130" s="968"/>
      <c r="AK130" s="968"/>
      <c r="AL130" s="968"/>
      <c r="AM130" s="968"/>
      <c r="AN130" s="968"/>
      <c r="AO130" s="968"/>
      <c r="AP130" s="968"/>
      <c r="AQ130" s="968"/>
      <c r="AR130" s="968"/>
      <c r="AS130" s="968"/>
      <c r="AT130" s="968"/>
      <c r="AU130" s="968"/>
      <c r="AV130" s="968"/>
      <c r="AW130" s="968"/>
      <c r="AX130" s="968"/>
      <c r="AY130" s="968"/>
      <c r="AZ130" s="968"/>
      <c r="BA130" s="968"/>
      <c r="BB130" s="968"/>
    </row>
    <row r="131" spans="1:57" s="1061" customFormat="1" ht="6" customHeight="1" x14ac:dyDescent="0.15">
      <c r="A131" s="968"/>
      <c r="B131" s="968"/>
      <c r="C131" s="968"/>
      <c r="D131" s="968"/>
      <c r="E131" s="968"/>
      <c r="F131" s="968"/>
      <c r="G131" s="968"/>
      <c r="H131" s="968"/>
      <c r="I131" s="968"/>
      <c r="J131" s="968"/>
      <c r="K131" s="968"/>
      <c r="L131" s="968"/>
      <c r="M131" s="968"/>
      <c r="N131" s="968"/>
      <c r="O131" s="968"/>
      <c r="P131" s="968"/>
      <c r="Q131" s="968"/>
      <c r="R131" s="968"/>
      <c r="S131" s="968"/>
      <c r="T131" s="968"/>
      <c r="U131" s="968"/>
      <c r="V131" s="968"/>
      <c r="W131" s="968"/>
      <c r="X131" s="968"/>
      <c r="Y131" s="968"/>
      <c r="Z131" s="968"/>
      <c r="AA131" s="968"/>
      <c r="AB131" s="968"/>
      <c r="AC131" s="968"/>
      <c r="AD131" s="968"/>
      <c r="AE131" s="968"/>
      <c r="AF131" s="968"/>
      <c r="AG131" s="969"/>
      <c r="AH131" s="969"/>
      <c r="AI131" s="968"/>
      <c r="AJ131" s="968"/>
      <c r="AK131" s="968"/>
      <c r="AL131" s="968"/>
      <c r="AM131" s="968"/>
      <c r="AN131" s="968"/>
      <c r="AO131" s="968"/>
      <c r="AP131" s="968"/>
      <c r="AQ131" s="968"/>
      <c r="AR131" s="968"/>
      <c r="AS131" s="968"/>
      <c r="AT131" s="968"/>
      <c r="AU131" s="968"/>
      <c r="AV131" s="968"/>
      <c r="AW131" s="968"/>
      <c r="AX131" s="968"/>
      <c r="AY131" s="968"/>
      <c r="AZ131" s="968"/>
      <c r="BA131" s="968"/>
      <c r="BB131" s="968"/>
    </row>
    <row r="132" spans="1:57" s="1061" customFormat="1" ht="6" customHeight="1" x14ac:dyDescent="0.15">
      <c r="A132" s="969"/>
      <c r="B132" s="970"/>
      <c r="C132" s="969"/>
      <c r="D132" s="969"/>
      <c r="E132" s="969"/>
      <c r="F132" s="969"/>
      <c r="G132" s="969"/>
      <c r="H132" s="969"/>
      <c r="I132" s="969"/>
      <c r="J132" s="969"/>
      <c r="K132" s="969"/>
      <c r="L132" s="969"/>
      <c r="M132" s="969"/>
      <c r="N132" s="969"/>
      <c r="O132" s="969"/>
      <c r="P132" s="969"/>
      <c r="Q132" s="969"/>
      <c r="R132" s="969"/>
      <c r="S132" s="969"/>
      <c r="T132" s="969"/>
      <c r="U132" s="969"/>
      <c r="V132" s="969"/>
      <c r="W132" s="969"/>
      <c r="X132" s="969"/>
      <c r="Y132" s="969"/>
      <c r="Z132" s="969"/>
      <c r="AA132" s="969"/>
      <c r="AB132" s="969"/>
      <c r="AC132" s="969"/>
      <c r="AD132" s="969"/>
      <c r="AE132" s="969"/>
      <c r="AF132" s="969"/>
      <c r="AG132" s="969"/>
      <c r="AH132" s="969"/>
      <c r="AI132" s="969"/>
      <c r="AJ132" s="969"/>
      <c r="AK132" s="969"/>
      <c r="AL132" s="969"/>
      <c r="AM132" s="969"/>
      <c r="AN132" s="969"/>
      <c r="AO132" s="969"/>
      <c r="AP132" s="969"/>
      <c r="AQ132" s="969"/>
      <c r="AR132" s="969"/>
      <c r="AS132" s="969"/>
      <c r="AT132" s="969"/>
      <c r="AU132" s="969"/>
      <c r="AV132" s="969"/>
      <c r="AW132" s="968"/>
      <c r="AX132" s="968"/>
      <c r="AY132" s="968"/>
      <c r="AZ132" s="968"/>
      <c r="BA132" s="968"/>
      <c r="BB132" s="968"/>
    </row>
    <row r="133" spans="1:57" s="1061" customFormat="1" ht="12.95" hidden="1" customHeight="1" x14ac:dyDescent="0.15">
      <c r="A133" s="969"/>
      <c r="B133" s="968"/>
      <c r="C133" s="971" t="s">
        <v>851</v>
      </c>
      <c r="D133" s="972"/>
      <c r="E133" s="972"/>
      <c r="F133" s="972"/>
      <c r="G133" s="972"/>
      <c r="H133" s="972"/>
      <c r="I133" s="973"/>
      <c r="J133" s="974" t="s">
        <v>852</v>
      </c>
      <c r="K133" s="975"/>
      <c r="L133" s="975"/>
      <c r="M133" s="975"/>
      <c r="N133" s="975"/>
      <c r="O133" s="975"/>
      <c r="P133" s="975"/>
      <c r="Q133" s="975"/>
      <c r="R133" s="976"/>
      <c r="S133" s="976"/>
      <c r="T133" s="976"/>
      <c r="U133" s="977" t="str">
        <f>IF('1_入力シート【基本情報】'!DP151="レ","レ",IF('1_入力シート【基本情報】'!DO151="レ","レ",""))</f>
        <v/>
      </c>
      <c r="V133" s="975" t="s">
        <v>853</v>
      </c>
      <c r="W133" s="975"/>
      <c r="X133" s="975"/>
      <c r="Y133" s="975"/>
      <c r="Z133" s="975"/>
      <c r="AA133" s="975"/>
      <c r="AB133" s="976"/>
      <c r="AC133" s="975" t="s">
        <v>432</v>
      </c>
      <c r="AD133" s="977">
        <f>'1_入力シート【基本情報】'!DP151</f>
        <v>0</v>
      </c>
      <c r="AE133" s="975" t="s">
        <v>854</v>
      </c>
      <c r="AF133" s="975"/>
      <c r="AG133" s="975"/>
      <c r="AH133" s="975"/>
      <c r="AI133" s="975"/>
      <c r="AJ133" s="976"/>
      <c r="AK133" s="975"/>
      <c r="AL133" s="975"/>
      <c r="AM133" s="975"/>
      <c r="AN133" s="975"/>
      <c r="AO133" s="975"/>
      <c r="AP133" s="975"/>
      <c r="AQ133" s="975"/>
      <c r="AR133" s="975"/>
      <c r="AS133" s="978"/>
      <c r="AT133" s="979"/>
      <c r="AU133" s="979"/>
      <c r="AV133" s="979"/>
      <c r="AW133" s="969"/>
      <c r="AX133" s="969"/>
      <c r="AY133" s="968"/>
      <c r="AZ133" s="968"/>
      <c r="BA133" s="968"/>
      <c r="BB133" s="968"/>
      <c r="BC133" s="968"/>
      <c r="BD133" s="968"/>
      <c r="BE133" s="968"/>
    </row>
    <row r="134" spans="1:57" s="1061" customFormat="1" ht="12.95" hidden="1" customHeight="1" x14ac:dyDescent="0.15">
      <c r="A134" s="969"/>
      <c r="B134" s="968"/>
      <c r="C134" s="980" t="s">
        <v>855</v>
      </c>
      <c r="D134" s="981"/>
      <c r="E134" s="981"/>
      <c r="F134" s="981"/>
      <c r="G134" s="981"/>
      <c r="H134" s="981"/>
      <c r="I134" s="982"/>
      <c r="J134" s="983"/>
      <c r="K134" s="964"/>
      <c r="L134" s="964"/>
      <c r="M134" s="964"/>
      <c r="N134" s="964"/>
      <c r="O134" s="964"/>
      <c r="P134" s="964"/>
      <c r="Q134" s="964"/>
      <c r="R134" s="964"/>
      <c r="S134" s="964"/>
      <c r="T134" s="964"/>
      <c r="U134" s="984" t="str">
        <f>IF(OR('1_入力シート【基本情報】'!DN151="レ",'1_入力シート【基本情報】'!DM151="レ"),"レ","")</f>
        <v/>
      </c>
      <c r="V134" s="964" t="s">
        <v>864</v>
      </c>
      <c r="W134" s="964"/>
      <c r="X134" s="964"/>
      <c r="Y134" s="964"/>
      <c r="Z134" s="964"/>
      <c r="AA134" s="964"/>
      <c r="AB134" s="964"/>
      <c r="AC134" s="964"/>
      <c r="AD134" s="964"/>
      <c r="AE134" s="964"/>
      <c r="AF134" s="964"/>
      <c r="AG134" s="964"/>
      <c r="AH134" s="964"/>
      <c r="AI134" s="964"/>
      <c r="AJ134" s="964"/>
      <c r="AK134" s="964"/>
      <c r="AL134" s="964"/>
      <c r="AM134" s="964"/>
      <c r="AN134" s="964"/>
      <c r="AO134" s="964"/>
      <c r="AP134" s="964"/>
      <c r="AQ134" s="964"/>
      <c r="AR134" s="964"/>
      <c r="AS134" s="985"/>
      <c r="AT134" s="979"/>
      <c r="AU134" s="979"/>
      <c r="AV134" s="979"/>
      <c r="AW134" s="986"/>
      <c r="AX134" s="969"/>
      <c r="AY134" s="968"/>
      <c r="AZ134" s="968"/>
      <c r="BA134" s="968"/>
      <c r="BB134" s="968"/>
      <c r="BC134" s="987"/>
      <c r="BD134" s="968"/>
      <c r="BE134" s="968"/>
    </row>
    <row r="135" spans="1:57" s="1061" customFormat="1" ht="12.95" customHeight="1" x14ac:dyDescent="0.15">
      <c r="A135" s="969"/>
      <c r="B135" s="968"/>
      <c r="C135" s="3202" t="s">
        <v>856</v>
      </c>
      <c r="D135" s="3317"/>
      <c r="E135" s="3317"/>
      <c r="F135" s="3317"/>
      <c r="G135" s="3317"/>
      <c r="H135" s="3317"/>
      <c r="I135" s="3318"/>
      <c r="J135" s="3319" t="str">
        <f>'＜入力不要＞報告書'!$J$135</f>
        <v/>
      </c>
      <c r="K135" s="3320"/>
      <c r="L135" s="3320"/>
      <c r="M135" s="3320"/>
      <c r="N135" s="3320"/>
      <c r="O135" s="3320"/>
      <c r="P135" s="3321"/>
      <c r="Q135" s="3321"/>
      <c r="R135" s="3321"/>
      <c r="S135" s="3321"/>
      <c r="T135" s="3321"/>
      <c r="U135" s="3321"/>
      <c r="V135" s="3321"/>
      <c r="W135" s="3321"/>
      <c r="X135" s="3321"/>
      <c r="Y135" s="3321"/>
      <c r="Z135" s="3321"/>
      <c r="AA135" s="3321"/>
      <c r="AB135" s="3321"/>
      <c r="AC135" s="3321"/>
      <c r="AD135" s="3321"/>
      <c r="AE135" s="3321"/>
      <c r="AF135" s="3321"/>
      <c r="AG135" s="3321"/>
      <c r="AH135" s="3321"/>
      <c r="AI135" s="3321"/>
      <c r="AJ135" s="3321"/>
      <c r="AK135" s="3321"/>
      <c r="AL135" s="3321"/>
      <c r="AM135" s="3321"/>
      <c r="AN135" s="3321"/>
      <c r="AO135" s="3321"/>
      <c r="AP135" s="3321"/>
      <c r="AQ135" s="3321"/>
      <c r="AR135" s="3321"/>
      <c r="AS135" s="3322"/>
      <c r="AT135" s="979"/>
      <c r="AU135" s="979"/>
      <c r="AV135" s="979"/>
      <c r="AW135" s="986"/>
      <c r="AX135" s="969"/>
      <c r="AY135" s="968"/>
      <c r="AZ135" s="968"/>
      <c r="BA135" s="968"/>
      <c r="BB135" s="968"/>
      <c r="BC135" s="987"/>
      <c r="BD135" s="968"/>
      <c r="BE135" s="968"/>
    </row>
    <row r="136" spans="1:57" s="1061" customFormat="1" ht="12.95" customHeight="1" x14ac:dyDescent="0.15">
      <c r="A136" s="969"/>
      <c r="B136" s="968"/>
      <c r="C136" s="988"/>
      <c r="D136" s="1062"/>
      <c r="E136" s="1062"/>
      <c r="F136" s="1062"/>
      <c r="G136" s="1062"/>
      <c r="H136" s="1062"/>
      <c r="I136" s="1063"/>
      <c r="J136" s="3323"/>
      <c r="K136" s="3324"/>
      <c r="L136" s="3324"/>
      <c r="M136" s="3324"/>
      <c r="N136" s="3324"/>
      <c r="O136" s="3324"/>
      <c r="P136" s="3325"/>
      <c r="Q136" s="3325"/>
      <c r="R136" s="3325"/>
      <c r="S136" s="3325"/>
      <c r="T136" s="3325"/>
      <c r="U136" s="3325"/>
      <c r="V136" s="3325"/>
      <c r="W136" s="3325"/>
      <c r="X136" s="3325"/>
      <c r="Y136" s="3325"/>
      <c r="Z136" s="3325"/>
      <c r="AA136" s="3325"/>
      <c r="AB136" s="3325"/>
      <c r="AC136" s="3325"/>
      <c r="AD136" s="3325"/>
      <c r="AE136" s="3325"/>
      <c r="AF136" s="3325"/>
      <c r="AG136" s="3325"/>
      <c r="AH136" s="3325"/>
      <c r="AI136" s="3325"/>
      <c r="AJ136" s="3325"/>
      <c r="AK136" s="3325"/>
      <c r="AL136" s="3325"/>
      <c r="AM136" s="3325"/>
      <c r="AN136" s="3325"/>
      <c r="AO136" s="3325"/>
      <c r="AP136" s="3325"/>
      <c r="AQ136" s="3325"/>
      <c r="AR136" s="3325"/>
      <c r="AS136" s="3326"/>
      <c r="AT136" s="979"/>
      <c r="AU136" s="979"/>
      <c r="AV136" s="979"/>
      <c r="AW136" s="986"/>
      <c r="AX136" s="969"/>
      <c r="AY136" s="968"/>
      <c r="AZ136" s="968"/>
      <c r="BA136" s="968"/>
      <c r="BB136" s="968"/>
      <c r="BC136" s="987"/>
      <c r="BD136" s="968"/>
      <c r="BE136" s="968"/>
    </row>
    <row r="137" spans="1:57" s="1061" customFormat="1" ht="12.95" customHeight="1" x14ac:dyDescent="0.15">
      <c r="A137" s="969"/>
      <c r="B137" s="968"/>
      <c r="C137" s="988"/>
      <c r="D137" s="1062"/>
      <c r="E137" s="1062"/>
      <c r="F137" s="1062"/>
      <c r="G137" s="1062"/>
      <c r="H137" s="1062"/>
      <c r="I137" s="1063"/>
      <c r="J137" s="3323"/>
      <c r="K137" s="3324"/>
      <c r="L137" s="3324"/>
      <c r="M137" s="3324"/>
      <c r="N137" s="3324"/>
      <c r="O137" s="3324"/>
      <c r="P137" s="3325"/>
      <c r="Q137" s="3325"/>
      <c r="R137" s="3325"/>
      <c r="S137" s="3325"/>
      <c r="T137" s="3325"/>
      <c r="U137" s="3325"/>
      <c r="V137" s="3325"/>
      <c r="W137" s="3325"/>
      <c r="X137" s="3325"/>
      <c r="Y137" s="3325"/>
      <c r="Z137" s="3325"/>
      <c r="AA137" s="3325"/>
      <c r="AB137" s="3325"/>
      <c r="AC137" s="3325"/>
      <c r="AD137" s="3325"/>
      <c r="AE137" s="3325"/>
      <c r="AF137" s="3325"/>
      <c r="AG137" s="3325"/>
      <c r="AH137" s="3325"/>
      <c r="AI137" s="3325"/>
      <c r="AJ137" s="3325"/>
      <c r="AK137" s="3325"/>
      <c r="AL137" s="3325"/>
      <c r="AM137" s="3325"/>
      <c r="AN137" s="3325"/>
      <c r="AO137" s="3325"/>
      <c r="AP137" s="3325"/>
      <c r="AQ137" s="3325"/>
      <c r="AR137" s="3325"/>
      <c r="AS137" s="3326"/>
      <c r="AT137" s="979"/>
      <c r="AU137" s="979"/>
      <c r="AV137" s="979"/>
      <c r="AW137" s="986"/>
      <c r="AX137" s="969"/>
      <c r="AY137" s="968"/>
      <c r="AZ137" s="968"/>
      <c r="BA137" s="968"/>
      <c r="BB137" s="968"/>
      <c r="BC137" s="987"/>
      <c r="BD137" s="968"/>
      <c r="BE137" s="968"/>
    </row>
    <row r="138" spans="1:57" s="1061" customFormat="1" ht="12.95" customHeight="1" x14ac:dyDescent="0.15">
      <c r="A138" s="969"/>
      <c r="B138" s="968"/>
      <c r="C138" s="988"/>
      <c r="D138" s="1062"/>
      <c r="E138" s="1062"/>
      <c r="F138" s="1062"/>
      <c r="G138" s="1062"/>
      <c r="H138" s="1062"/>
      <c r="I138" s="1063"/>
      <c r="J138" s="3323"/>
      <c r="K138" s="3324"/>
      <c r="L138" s="3324"/>
      <c r="M138" s="3324"/>
      <c r="N138" s="3324"/>
      <c r="O138" s="3324"/>
      <c r="P138" s="3325"/>
      <c r="Q138" s="3325"/>
      <c r="R138" s="3325"/>
      <c r="S138" s="3325"/>
      <c r="T138" s="3325"/>
      <c r="U138" s="3325"/>
      <c r="V138" s="3325"/>
      <c r="W138" s="3325"/>
      <c r="X138" s="3325"/>
      <c r="Y138" s="3325"/>
      <c r="Z138" s="3325"/>
      <c r="AA138" s="3325"/>
      <c r="AB138" s="3325"/>
      <c r="AC138" s="3325"/>
      <c r="AD138" s="3325"/>
      <c r="AE138" s="3325"/>
      <c r="AF138" s="3325"/>
      <c r="AG138" s="3325"/>
      <c r="AH138" s="3325"/>
      <c r="AI138" s="3325"/>
      <c r="AJ138" s="3325"/>
      <c r="AK138" s="3325"/>
      <c r="AL138" s="3325"/>
      <c r="AM138" s="3325"/>
      <c r="AN138" s="3325"/>
      <c r="AO138" s="3325"/>
      <c r="AP138" s="3325"/>
      <c r="AQ138" s="3325"/>
      <c r="AR138" s="3325"/>
      <c r="AS138" s="3326"/>
      <c r="AT138" s="979"/>
      <c r="AU138" s="979"/>
      <c r="AV138" s="979"/>
      <c r="AW138" s="986"/>
      <c r="AX138" s="969"/>
      <c r="AY138" s="968"/>
      <c r="AZ138" s="968"/>
      <c r="BA138" s="968"/>
      <c r="BB138" s="968"/>
      <c r="BC138" s="987"/>
      <c r="BD138" s="968"/>
      <c r="BE138" s="968"/>
    </row>
    <row r="139" spans="1:57" s="1061" customFormat="1" ht="12.95" customHeight="1" x14ac:dyDescent="0.15">
      <c r="A139" s="969"/>
      <c r="B139" s="968"/>
      <c r="C139" s="988"/>
      <c r="D139" s="1062"/>
      <c r="E139" s="1062"/>
      <c r="F139" s="1062"/>
      <c r="G139" s="1062"/>
      <c r="H139" s="1062"/>
      <c r="I139" s="1063"/>
      <c r="J139" s="3323"/>
      <c r="K139" s="3324"/>
      <c r="L139" s="3324"/>
      <c r="M139" s="3324"/>
      <c r="N139" s="3324"/>
      <c r="O139" s="3324"/>
      <c r="P139" s="3325"/>
      <c r="Q139" s="3325"/>
      <c r="R139" s="3325"/>
      <c r="S139" s="3325"/>
      <c r="T139" s="3325"/>
      <c r="U139" s="3325"/>
      <c r="V139" s="3325"/>
      <c r="W139" s="3325"/>
      <c r="X139" s="3325"/>
      <c r="Y139" s="3325"/>
      <c r="Z139" s="3325"/>
      <c r="AA139" s="3325"/>
      <c r="AB139" s="3325"/>
      <c r="AC139" s="3325"/>
      <c r="AD139" s="3325"/>
      <c r="AE139" s="3325"/>
      <c r="AF139" s="3325"/>
      <c r="AG139" s="3325"/>
      <c r="AH139" s="3325"/>
      <c r="AI139" s="3325"/>
      <c r="AJ139" s="3325"/>
      <c r="AK139" s="3325"/>
      <c r="AL139" s="3325"/>
      <c r="AM139" s="3325"/>
      <c r="AN139" s="3325"/>
      <c r="AO139" s="3325"/>
      <c r="AP139" s="3325"/>
      <c r="AQ139" s="3325"/>
      <c r="AR139" s="3325"/>
      <c r="AS139" s="3326"/>
      <c r="AT139" s="979"/>
      <c r="AU139" s="979"/>
      <c r="AV139" s="979"/>
      <c r="AW139" s="986"/>
      <c r="AX139" s="969"/>
      <c r="AY139" s="968"/>
      <c r="AZ139" s="968"/>
      <c r="BA139" s="968"/>
      <c r="BB139" s="968"/>
      <c r="BC139" s="987"/>
      <c r="BD139" s="968"/>
      <c r="BE139" s="968"/>
    </row>
    <row r="140" spans="1:57" s="1061" customFormat="1" ht="12.95" customHeight="1" x14ac:dyDescent="0.15">
      <c r="A140" s="969"/>
      <c r="B140" s="968"/>
      <c r="C140" s="988"/>
      <c r="D140" s="1062"/>
      <c r="E140" s="1062"/>
      <c r="F140" s="1062"/>
      <c r="G140" s="1062"/>
      <c r="H140" s="1062"/>
      <c r="I140" s="1063"/>
      <c r="J140" s="3323"/>
      <c r="K140" s="3324"/>
      <c r="L140" s="3324"/>
      <c r="M140" s="3324"/>
      <c r="N140" s="3324"/>
      <c r="O140" s="3324"/>
      <c r="P140" s="3325"/>
      <c r="Q140" s="3325"/>
      <c r="R140" s="3325"/>
      <c r="S140" s="3325"/>
      <c r="T140" s="3325"/>
      <c r="U140" s="3325"/>
      <c r="V140" s="3325"/>
      <c r="W140" s="3325"/>
      <c r="X140" s="3325"/>
      <c r="Y140" s="3325"/>
      <c r="Z140" s="3325"/>
      <c r="AA140" s="3325"/>
      <c r="AB140" s="3325"/>
      <c r="AC140" s="3325"/>
      <c r="AD140" s="3325"/>
      <c r="AE140" s="3325"/>
      <c r="AF140" s="3325"/>
      <c r="AG140" s="3325"/>
      <c r="AH140" s="3325"/>
      <c r="AI140" s="3325"/>
      <c r="AJ140" s="3325"/>
      <c r="AK140" s="3325"/>
      <c r="AL140" s="3325"/>
      <c r="AM140" s="3325"/>
      <c r="AN140" s="3325"/>
      <c r="AO140" s="3325"/>
      <c r="AP140" s="3325"/>
      <c r="AQ140" s="3325"/>
      <c r="AR140" s="3325"/>
      <c r="AS140" s="3326"/>
      <c r="AT140" s="979"/>
      <c r="AU140" s="979"/>
      <c r="AV140" s="979"/>
      <c r="AW140" s="986"/>
      <c r="AX140" s="969"/>
      <c r="AY140" s="968"/>
      <c r="AZ140" s="968"/>
      <c r="BA140" s="968"/>
      <c r="BB140" s="968"/>
      <c r="BC140" s="987"/>
      <c r="BD140" s="968"/>
      <c r="BE140" s="968"/>
    </row>
    <row r="141" spans="1:57" s="1061" customFormat="1" ht="12.95" customHeight="1" x14ac:dyDescent="0.15">
      <c r="A141" s="969"/>
      <c r="B141" s="968"/>
      <c r="C141" s="988"/>
      <c r="D141" s="1062"/>
      <c r="E141" s="1062"/>
      <c r="F141" s="1062"/>
      <c r="G141" s="1062"/>
      <c r="H141" s="1062"/>
      <c r="I141" s="1063"/>
      <c r="J141" s="3323"/>
      <c r="K141" s="3324"/>
      <c r="L141" s="3324"/>
      <c r="M141" s="3324"/>
      <c r="N141" s="3324"/>
      <c r="O141" s="3324"/>
      <c r="P141" s="3325"/>
      <c r="Q141" s="3325"/>
      <c r="R141" s="3325"/>
      <c r="S141" s="3325"/>
      <c r="T141" s="3325"/>
      <c r="U141" s="3325"/>
      <c r="V141" s="3325"/>
      <c r="W141" s="3325"/>
      <c r="X141" s="3325"/>
      <c r="Y141" s="3325"/>
      <c r="Z141" s="3325"/>
      <c r="AA141" s="3325"/>
      <c r="AB141" s="3325"/>
      <c r="AC141" s="3325"/>
      <c r="AD141" s="3325"/>
      <c r="AE141" s="3325"/>
      <c r="AF141" s="3325"/>
      <c r="AG141" s="3325"/>
      <c r="AH141" s="3325"/>
      <c r="AI141" s="3325"/>
      <c r="AJ141" s="3325"/>
      <c r="AK141" s="3325"/>
      <c r="AL141" s="3325"/>
      <c r="AM141" s="3325"/>
      <c r="AN141" s="3325"/>
      <c r="AO141" s="3325"/>
      <c r="AP141" s="3325"/>
      <c r="AQ141" s="3325"/>
      <c r="AR141" s="3325"/>
      <c r="AS141" s="3326"/>
      <c r="AT141" s="979"/>
      <c r="AU141" s="979"/>
      <c r="AV141" s="979"/>
      <c r="AW141" s="986"/>
      <c r="AX141" s="969"/>
      <c r="AY141" s="968"/>
      <c r="AZ141" s="968"/>
      <c r="BA141" s="968"/>
      <c r="BB141" s="968"/>
      <c r="BC141" s="987"/>
      <c r="BD141" s="968"/>
      <c r="BE141" s="968"/>
    </row>
    <row r="142" spans="1:57" s="1061" customFormat="1" ht="12.95" customHeight="1" x14ac:dyDescent="0.15">
      <c r="A142" s="969"/>
      <c r="B142" s="968"/>
      <c r="C142" s="988"/>
      <c r="D142" s="1062"/>
      <c r="E142" s="1062"/>
      <c r="F142" s="1062"/>
      <c r="G142" s="1062"/>
      <c r="H142" s="1062"/>
      <c r="I142" s="1063"/>
      <c r="J142" s="3323"/>
      <c r="K142" s="3324"/>
      <c r="L142" s="3324"/>
      <c r="M142" s="3324"/>
      <c r="N142" s="3324"/>
      <c r="O142" s="3324"/>
      <c r="P142" s="3325"/>
      <c r="Q142" s="3325"/>
      <c r="R142" s="3325"/>
      <c r="S142" s="3325"/>
      <c r="T142" s="3325"/>
      <c r="U142" s="3325"/>
      <c r="V142" s="3325"/>
      <c r="W142" s="3325"/>
      <c r="X142" s="3325"/>
      <c r="Y142" s="3325"/>
      <c r="Z142" s="3325"/>
      <c r="AA142" s="3325"/>
      <c r="AB142" s="3325"/>
      <c r="AC142" s="3325"/>
      <c r="AD142" s="3325"/>
      <c r="AE142" s="3325"/>
      <c r="AF142" s="3325"/>
      <c r="AG142" s="3325"/>
      <c r="AH142" s="3325"/>
      <c r="AI142" s="3325"/>
      <c r="AJ142" s="3325"/>
      <c r="AK142" s="3325"/>
      <c r="AL142" s="3325"/>
      <c r="AM142" s="3325"/>
      <c r="AN142" s="3325"/>
      <c r="AO142" s="3325"/>
      <c r="AP142" s="3325"/>
      <c r="AQ142" s="3325"/>
      <c r="AR142" s="3325"/>
      <c r="AS142" s="3326"/>
      <c r="AT142" s="979"/>
      <c r="AU142" s="979"/>
      <c r="AV142" s="979"/>
      <c r="AW142" s="986"/>
      <c r="AX142" s="969"/>
      <c r="AY142" s="968"/>
      <c r="AZ142" s="968"/>
      <c r="BA142" s="968"/>
      <c r="BB142" s="968"/>
      <c r="BC142" s="987"/>
      <c r="BD142" s="968"/>
      <c r="BE142" s="968"/>
    </row>
    <row r="143" spans="1:57" s="1061" customFormat="1" ht="12.95" customHeight="1" x14ac:dyDescent="0.15">
      <c r="A143" s="969"/>
      <c r="B143" s="968"/>
      <c r="C143" s="988"/>
      <c r="D143" s="1062"/>
      <c r="E143" s="1062"/>
      <c r="F143" s="1062"/>
      <c r="G143" s="1062"/>
      <c r="H143" s="1062"/>
      <c r="I143" s="1063"/>
      <c r="J143" s="3323"/>
      <c r="K143" s="3324"/>
      <c r="L143" s="3324"/>
      <c r="M143" s="3324"/>
      <c r="N143" s="3324"/>
      <c r="O143" s="3324"/>
      <c r="P143" s="3325"/>
      <c r="Q143" s="3325"/>
      <c r="R143" s="3325"/>
      <c r="S143" s="3325"/>
      <c r="T143" s="3325"/>
      <c r="U143" s="3325"/>
      <c r="V143" s="3325"/>
      <c r="W143" s="3325"/>
      <c r="X143" s="3325"/>
      <c r="Y143" s="3325"/>
      <c r="Z143" s="3325"/>
      <c r="AA143" s="3325"/>
      <c r="AB143" s="3325"/>
      <c r="AC143" s="3325"/>
      <c r="AD143" s="3325"/>
      <c r="AE143" s="3325"/>
      <c r="AF143" s="3325"/>
      <c r="AG143" s="3325"/>
      <c r="AH143" s="3325"/>
      <c r="AI143" s="3325"/>
      <c r="AJ143" s="3325"/>
      <c r="AK143" s="3325"/>
      <c r="AL143" s="3325"/>
      <c r="AM143" s="3325"/>
      <c r="AN143" s="3325"/>
      <c r="AO143" s="3325"/>
      <c r="AP143" s="3325"/>
      <c r="AQ143" s="3325"/>
      <c r="AR143" s="3325"/>
      <c r="AS143" s="3326"/>
      <c r="AT143" s="979"/>
      <c r="AU143" s="979"/>
      <c r="AV143" s="979"/>
      <c r="AW143" s="986"/>
      <c r="AX143" s="969"/>
      <c r="AY143" s="968"/>
      <c r="AZ143" s="968"/>
      <c r="BA143" s="968"/>
      <c r="BB143" s="968"/>
      <c r="BC143" s="987"/>
      <c r="BD143" s="968"/>
      <c r="BE143" s="968"/>
    </row>
    <row r="144" spans="1:57" s="1061" customFormat="1" ht="12.95" customHeight="1" x14ac:dyDescent="0.15">
      <c r="A144" s="969"/>
      <c r="B144" s="968"/>
      <c r="C144" s="988"/>
      <c r="D144" s="1062"/>
      <c r="E144" s="1062"/>
      <c r="F144" s="1062"/>
      <c r="G144" s="1062"/>
      <c r="H144" s="1062"/>
      <c r="I144" s="1063"/>
      <c r="J144" s="3323"/>
      <c r="K144" s="3324"/>
      <c r="L144" s="3324"/>
      <c r="M144" s="3324"/>
      <c r="N144" s="3324"/>
      <c r="O144" s="3324"/>
      <c r="P144" s="3325"/>
      <c r="Q144" s="3325"/>
      <c r="R144" s="3325"/>
      <c r="S144" s="3325"/>
      <c r="T144" s="3325"/>
      <c r="U144" s="3325"/>
      <c r="V144" s="3325"/>
      <c r="W144" s="3325"/>
      <c r="X144" s="3325"/>
      <c r="Y144" s="3325"/>
      <c r="Z144" s="3325"/>
      <c r="AA144" s="3325"/>
      <c r="AB144" s="3325"/>
      <c r="AC144" s="3325"/>
      <c r="AD144" s="3325"/>
      <c r="AE144" s="3325"/>
      <c r="AF144" s="3325"/>
      <c r="AG144" s="3325"/>
      <c r="AH144" s="3325"/>
      <c r="AI144" s="3325"/>
      <c r="AJ144" s="3325"/>
      <c r="AK144" s="3325"/>
      <c r="AL144" s="3325"/>
      <c r="AM144" s="3325"/>
      <c r="AN144" s="3325"/>
      <c r="AO144" s="3325"/>
      <c r="AP144" s="3325"/>
      <c r="AQ144" s="3325"/>
      <c r="AR144" s="3325"/>
      <c r="AS144" s="3326"/>
      <c r="AT144" s="979"/>
      <c r="AU144" s="979"/>
      <c r="AV144" s="979"/>
      <c r="AW144" s="986"/>
      <c r="AX144" s="969"/>
      <c r="AY144" s="968"/>
      <c r="AZ144" s="968"/>
      <c r="BA144" s="968"/>
      <c r="BB144" s="968"/>
      <c r="BC144" s="987"/>
      <c r="BD144" s="968"/>
      <c r="BE144" s="968"/>
    </row>
    <row r="145" spans="1:57" s="1061" customFormat="1" ht="12.95" customHeight="1" x14ac:dyDescent="0.15">
      <c r="A145" s="969"/>
      <c r="B145" s="968"/>
      <c r="C145" s="988"/>
      <c r="D145" s="1062"/>
      <c r="E145" s="1062"/>
      <c r="F145" s="1062"/>
      <c r="G145" s="1062"/>
      <c r="H145" s="1062"/>
      <c r="I145" s="1063"/>
      <c r="J145" s="3323"/>
      <c r="K145" s="3324"/>
      <c r="L145" s="3324"/>
      <c r="M145" s="3324"/>
      <c r="N145" s="3324"/>
      <c r="O145" s="3324"/>
      <c r="P145" s="3325"/>
      <c r="Q145" s="3325"/>
      <c r="R145" s="3325"/>
      <c r="S145" s="3325"/>
      <c r="T145" s="3325"/>
      <c r="U145" s="3325"/>
      <c r="V145" s="3325"/>
      <c r="W145" s="3325"/>
      <c r="X145" s="3325"/>
      <c r="Y145" s="3325"/>
      <c r="Z145" s="3325"/>
      <c r="AA145" s="3325"/>
      <c r="AB145" s="3325"/>
      <c r="AC145" s="3325"/>
      <c r="AD145" s="3325"/>
      <c r="AE145" s="3325"/>
      <c r="AF145" s="3325"/>
      <c r="AG145" s="3325"/>
      <c r="AH145" s="3325"/>
      <c r="AI145" s="3325"/>
      <c r="AJ145" s="3325"/>
      <c r="AK145" s="3325"/>
      <c r="AL145" s="3325"/>
      <c r="AM145" s="3325"/>
      <c r="AN145" s="3325"/>
      <c r="AO145" s="3325"/>
      <c r="AP145" s="3325"/>
      <c r="AQ145" s="3325"/>
      <c r="AR145" s="3325"/>
      <c r="AS145" s="3326"/>
      <c r="AT145" s="979"/>
      <c r="AU145" s="979"/>
      <c r="AV145" s="979"/>
      <c r="AW145" s="986"/>
      <c r="AX145" s="969"/>
      <c r="AY145" s="968"/>
      <c r="AZ145" s="968"/>
      <c r="BA145" s="968"/>
      <c r="BB145" s="968"/>
      <c r="BC145" s="987"/>
      <c r="BD145" s="968"/>
      <c r="BE145" s="968"/>
    </row>
    <row r="146" spans="1:57" s="1061" customFormat="1" ht="12.95" customHeight="1" x14ac:dyDescent="0.15">
      <c r="A146" s="969"/>
      <c r="B146" s="968"/>
      <c r="C146" s="988"/>
      <c r="D146" s="1062"/>
      <c r="E146" s="1062"/>
      <c r="F146" s="1062"/>
      <c r="G146" s="1062"/>
      <c r="H146" s="1062"/>
      <c r="I146" s="1063"/>
      <c r="J146" s="3323"/>
      <c r="K146" s="3324"/>
      <c r="L146" s="3324"/>
      <c r="M146" s="3324"/>
      <c r="N146" s="3324"/>
      <c r="O146" s="3324"/>
      <c r="P146" s="3325"/>
      <c r="Q146" s="3325"/>
      <c r="R146" s="3325"/>
      <c r="S146" s="3325"/>
      <c r="T146" s="3325"/>
      <c r="U146" s="3325"/>
      <c r="V146" s="3325"/>
      <c r="W146" s="3325"/>
      <c r="X146" s="3325"/>
      <c r="Y146" s="3325"/>
      <c r="Z146" s="3325"/>
      <c r="AA146" s="3325"/>
      <c r="AB146" s="3325"/>
      <c r="AC146" s="3325"/>
      <c r="AD146" s="3325"/>
      <c r="AE146" s="3325"/>
      <c r="AF146" s="3325"/>
      <c r="AG146" s="3325"/>
      <c r="AH146" s="3325"/>
      <c r="AI146" s="3325"/>
      <c r="AJ146" s="3325"/>
      <c r="AK146" s="3325"/>
      <c r="AL146" s="3325"/>
      <c r="AM146" s="3325"/>
      <c r="AN146" s="3325"/>
      <c r="AO146" s="3325"/>
      <c r="AP146" s="3325"/>
      <c r="AQ146" s="3325"/>
      <c r="AR146" s="3325"/>
      <c r="AS146" s="3326"/>
      <c r="AT146" s="979"/>
      <c r="AU146" s="979"/>
      <c r="AV146" s="979"/>
      <c r="AW146" s="986"/>
      <c r="AX146" s="969"/>
      <c r="AY146" s="968"/>
      <c r="AZ146" s="968"/>
      <c r="BA146" s="968"/>
      <c r="BB146" s="968"/>
      <c r="BC146" s="987"/>
      <c r="BD146" s="968"/>
      <c r="BE146" s="968"/>
    </row>
    <row r="147" spans="1:57" s="1061" customFormat="1" ht="12.95" customHeight="1" x14ac:dyDescent="0.15">
      <c r="A147" s="969"/>
      <c r="B147" s="968"/>
      <c r="C147" s="988"/>
      <c r="D147" s="1062"/>
      <c r="E147" s="1062"/>
      <c r="F147" s="1062"/>
      <c r="G147" s="1062"/>
      <c r="H147" s="1062"/>
      <c r="I147" s="1063"/>
      <c r="J147" s="3323"/>
      <c r="K147" s="3324"/>
      <c r="L147" s="3324"/>
      <c r="M147" s="3324"/>
      <c r="N147" s="3324"/>
      <c r="O147" s="3324"/>
      <c r="P147" s="3325"/>
      <c r="Q147" s="3325"/>
      <c r="R147" s="3325"/>
      <c r="S147" s="3325"/>
      <c r="T147" s="3325"/>
      <c r="U147" s="3325"/>
      <c r="V147" s="3325"/>
      <c r="W147" s="3325"/>
      <c r="X147" s="3325"/>
      <c r="Y147" s="3325"/>
      <c r="Z147" s="3325"/>
      <c r="AA147" s="3325"/>
      <c r="AB147" s="3325"/>
      <c r="AC147" s="3325"/>
      <c r="AD147" s="3325"/>
      <c r="AE147" s="3325"/>
      <c r="AF147" s="3325"/>
      <c r="AG147" s="3325"/>
      <c r="AH147" s="3325"/>
      <c r="AI147" s="3325"/>
      <c r="AJ147" s="3325"/>
      <c r="AK147" s="3325"/>
      <c r="AL147" s="3325"/>
      <c r="AM147" s="3325"/>
      <c r="AN147" s="3325"/>
      <c r="AO147" s="3325"/>
      <c r="AP147" s="3325"/>
      <c r="AQ147" s="3325"/>
      <c r="AR147" s="3325"/>
      <c r="AS147" s="3326"/>
      <c r="AT147" s="979"/>
      <c r="AU147" s="979"/>
      <c r="AV147" s="979"/>
      <c r="AW147" s="986"/>
      <c r="AX147" s="969"/>
      <c r="AY147" s="968"/>
      <c r="AZ147" s="968"/>
      <c r="BA147" s="968"/>
      <c r="BB147" s="968"/>
      <c r="BC147" s="987"/>
      <c r="BD147" s="968"/>
      <c r="BE147" s="968"/>
    </row>
    <row r="148" spans="1:57" s="1061" customFormat="1" ht="12.75" customHeight="1" x14ac:dyDescent="0.15">
      <c r="A148" s="969"/>
      <c r="B148" s="968"/>
      <c r="C148" s="983"/>
      <c r="D148" s="964"/>
      <c r="E148" s="964"/>
      <c r="F148" s="964"/>
      <c r="G148" s="964"/>
      <c r="H148" s="964"/>
      <c r="I148" s="982"/>
      <c r="J148" s="3327"/>
      <c r="K148" s="3328"/>
      <c r="L148" s="3328"/>
      <c r="M148" s="3328"/>
      <c r="N148" s="3328"/>
      <c r="O148" s="3328"/>
      <c r="P148" s="3328"/>
      <c r="Q148" s="3328"/>
      <c r="R148" s="3328"/>
      <c r="S148" s="3328"/>
      <c r="T148" s="3328"/>
      <c r="U148" s="3328"/>
      <c r="V148" s="3328"/>
      <c r="W148" s="3328"/>
      <c r="X148" s="3328"/>
      <c r="Y148" s="3328"/>
      <c r="Z148" s="3328"/>
      <c r="AA148" s="3328"/>
      <c r="AB148" s="3328"/>
      <c r="AC148" s="3328"/>
      <c r="AD148" s="3328"/>
      <c r="AE148" s="3328"/>
      <c r="AF148" s="3328"/>
      <c r="AG148" s="3328"/>
      <c r="AH148" s="3328"/>
      <c r="AI148" s="3328"/>
      <c r="AJ148" s="3328"/>
      <c r="AK148" s="3328"/>
      <c r="AL148" s="3328"/>
      <c r="AM148" s="3328"/>
      <c r="AN148" s="3328"/>
      <c r="AO148" s="3328"/>
      <c r="AP148" s="3328"/>
      <c r="AQ148" s="3328"/>
      <c r="AR148" s="3328"/>
      <c r="AS148" s="3326"/>
      <c r="AT148" s="979"/>
      <c r="AU148" s="979"/>
      <c r="AV148" s="979"/>
      <c r="AW148" s="986"/>
      <c r="AX148" s="969"/>
      <c r="AY148" s="968"/>
      <c r="AZ148" s="968"/>
      <c r="BA148" s="968"/>
      <c r="BB148" s="968"/>
      <c r="BC148" s="987"/>
      <c r="BD148" s="968"/>
      <c r="BE148" s="968"/>
    </row>
    <row r="149" spans="1:57" s="1061" customFormat="1" ht="12.95" customHeight="1" x14ac:dyDescent="0.15">
      <c r="A149" s="969"/>
      <c r="B149" s="968"/>
      <c r="C149" s="983"/>
      <c r="D149" s="964"/>
      <c r="E149" s="964"/>
      <c r="F149" s="964"/>
      <c r="G149" s="964"/>
      <c r="H149" s="964"/>
      <c r="I149" s="982"/>
      <c r="J149" s="3327"/>
      <c r="K149" s="3328"/>
      <c r="L149" s="3328"/>
      <c r="M149" s="3328"/>
      <c r="N149" s="3328"/>
      <c r="O149" s="3328"/>
      <c r="P149" s="3328"/>
      <c r="Q149" s="3328"/>
      <c r="R149" s="3328"/>
      <c r="S149" s="3328"/>
      <c r="T149" s="3328"/>
      <c r="U149" s="3328"/>
      <c r="V149" s="3328"/>
      <c r="W149" s="3328"/>
      <c r="X149" s="3328"/>
      <c r="Y149" s="3328"/>
      <c r="Z149" s="3328"/>
      <c r="AA149" s="3328"/>
      <c r="AB149" s="3328"/>
      <c r="AC149" s="3328"/>
      <c r="AD149" s="3328"/>
      <c r="AE149" s="3328"/>
      <c r="AF149" s="3328"/>
      <c r="AG149" s="3328"/>
      <c r="AH149" s="3328"/>
      <c r="AI149" s="3328"/>
      <c r="AJ149" s="3328"/>
      <c r="AK149" s="3328"/>
      <c r="AL149" s="3328"/>
      <c r="AM149" s="3328"/>
      <c r="AN149" s="3328"/>
      <c r="AO149" s="3328"/>
      <c r="AP149" s="3328"/>
      <c r="AQ149" s="3328"/>
      <c r="AR149" s="3328"/>
      <c r="AS149" s="3326"/>
      <c r="AT149" s="979"/>
      <c r="AU149" s="979"/>
      <c r="AV149" s="979"/>
      <c r="AW149" s="986"/>
      <c r="AX149" s="969"/>
      <c r="AY149" s="968"/>
      <c r="AZ149" s="968"/>
      <c r="BA149" s="968"/>
      <c r="BB149" s="968"/>
      <c r="BC149" s="987"/>
      <c r="BD149" s="968"/>
      <c r="BE149" s="968"/>
    </row>
    <row r="150" spans="1:57" s="1061" customFormat="1" ht="12.95" customHeight="1" x14ac:dyDescent="0.15">
      <c r="A150" s="969"/>
      <c r="B150" s="968"/>
      <c r="C150" s="983"/>
      <c r="D150" s="964"/>
      <c r="E150" s="964"/>
      <c r="F150" s="964"/>
      <c r="G150" s="964"/>
      <c r="H150" s="964"/>
      <c r="I150" s="982"/>
      <c r="J150" s="3327"/>
      <c r="K150" s="3328"/>
      <c r="L150" s="3328"/>
      <c r="M150" s="3328"/>
      <c r="N150" s="3328"/>
      <c r="O150" s="3328"/>
      <c r="P150" s="3328"/>
      <c r="Q150" s="3328"/>
      <c r="R150" s="3328"/>
      <c r="S150" s="3328"/>
      <c r="T150" s="3328"/>
      <c r="U150" s="3328"/>
      <c r="V150" s="3328"/>
      <c r="W150" s="3328"/>
      <c r="X150" s="3328"/>
      <c r="Y150" s="3328"/>
      <c r="Z150" s="3328"/>
      <c r="AA150" s="3328"/>
      <c r="AB150" s="3328"/>
      <c r="AC150" s="3328"/>
      <c r="AD150" s="3328"/>
      <c r="AE150" s="3328"/>
      <c r="AF150" s="3328"/>
      <c r="AG150" s="3328"/>
      <c r="AH150" s="3328"/>
      <c r="AI150" s="3328"/>
      <c r="AJ150" s="3328"/>
      <c r="AK150" s="3328"/>
      <c r="AL150" s="3328"/>
      <c r="AM150" s="3328"/>
      <c r="AN150" s="3328"/>
      <c r="AO150" s="3328"/>
      <c r="AP150" s="3328"/>
      <c r="AQ150" s="3328"/>
      <c r="AR150" s="3328"/>
      <c r="AS150" s="3326"/>
      <c r="AT150" s="979"/>
      <c r="AU150" s="979"/>
      <c r="AV150" s="979"/>
      <c r="AW150" s="986"/>
      <c r="AX150" s="969"/>
      <c r="AY150" s="968"/>
      <c r="AZ150" s="968"/>
      <c r="BA150" s="968"/>
      <c r="BB150" s="968"/>
      <c r="BC150" s="987"/>
      <c r="BD150" s="968"/>
      <c r="BE150" s="968"/>
    </row>
    <row r="151" spans="1:57" s="1061" customFormat="1" ht="12.95" customHeight="1" x14ac:dyDescent="0.15">
      <c r="A151" s="969"/>
      <c r="B151" s="968"/>
      <c r="C151" s="983"/>
      <c r="D151" s="964"/>
      <c r="E151" s="964"/>
      <c r="F151" s="964"/>
      <c r="G151" s="964"/>
      <c r="H151" s="964"/>
      <c r="I151" s="982"/>
      <c r="J151" s="3327"/>
      <c r="K151" s="3328"/>
      <c r="L151" s="3328"/>
      <c r="M151" s="3328"/>
      <c r="N151" s="3328"/>
      <c r="O151" s="3328"/>
      <c r="P151" s="3328"/>
      <c r="Q151" s="3328"/>
      <c r="R151" s="3328"/>
      <c r="S151" s="3328"/>
      <c r="T151" s="3328"/>
      <c r="U151" s="3328"/>
      <c r="V151" s="3328"/>
      <c r="W151" s="3328"/>
      <c r="X151" s="3328"/>
      <c r="Y151" s="3328"/>
      <c r="Z151" s="3328"/>
      <c r="AA151" s="3328"/>
      <c r="AB151" s="3328"/>
      <c r="AC151" s="3328"/>
      <c r="AD151" s="3328"/>
      <c r="AE151" s="3328"/>
      <c r="AF151" s="3328"/>
      <c r="AG151" s="3328"/>
      <c r="AH151" s="3328"/>
      <c r="AI151" s="3328"/>
      <c r="AJ151" s="3328"/>
      <c r="AK151" s="3328"/>
      <c r="AL151" s="3328"/>
      <c r="AM151" s="3328"/>
      <c r="AN151" s="3328"/>
      <c r="AO151" s="3328"/>
      <c r="AP151" s="3328"/>
      <c r="AQ151" s="3328"/>
      <c r="AR151" s="3328"/>
      <c r="AS151" s="3326"/>
      <c r="AT151" s="979"/>
      <c r="AU151" s="979"/>
      <c r="AV151" s="979"/>
      <c r="AW151" s="986"/>
      <c r="AX151" s="969"/>
      <c r="AY151" s="968"/>
      <c r="AZ151" s="968"/>
      <c r="BA151" s="968"/>
      <c r="BB151" s="968"/>
      <c r="BC151" s="987"/>
      <c r="BD151" s="968"/>
      <c r="BE151" s="968"/>
    </row>
    <row r="152" spans="1:57" s="1061" customFormat="1" ht="12.95" customHeight="1" x14ac:dyDescent="0.15">
      <c r="A152" s="969"/>
      <c r="B152" s="968"/>
      <c r="C152" s="983"/>
      <c r="D152" s="964"/>
      <c r="E152" s="964"/>
      <c r="F152" s="964"/>
      <c r="G152" s="964"/>
      <c r="H152" s="964"/>
      <c r="I152" s="982"/>
      <c r="J152" s="3327"/>
      <c r="K152" s="3328"/>
      <c r="L152" s="3328"/>
      <c r="M152" s="3328"/>
      <c r="N152" s="3328"/>
      <c r="O152" s="3328"/>
      <c r="P152" s="3328"/>
      <c r="Q152" s="3328"/>
      <c r="R152" s="3328"/>
      <c r="S152" s="3328"/>
      <c r="T152" s="3328"/>
      <c r="U152" s="3328"/>
      <c r="V152" s="3328"/>
      <c r="W152" s="3328"/>
      <c r="X152" s="3328"/>
      <c r="Y152" s="3328"/>
      <c r="Z152" s="3328"/>
      <c r="AA152" s="3328"/>
      <c r="AB152" s="3328"/>
      <c r="AC152" s="3328"/>
      <c r="AD152" s="3328"/>
      <c r="AE152" s="3328"/>
      <c r="AF152" s="3328"/>
      <c r="AG152" s="3328"/>
      <c r="AH152" s="3328"/>
      <c r="AI152" s="3328"/>
      <c r="AJ152" s="3328"/>
      <c r="AK152" s="3328"/>
      <c r="AL152" s="3328"/>
      <c r="AM152" s="3328"/>
      <c r="AN152" s="3328"/>
      <c r="AO152" s="3328"/>
      <c r="AP152" s="3328"/>
      <c r="AQ152" s="3328"/>
      <c r="AR152" s="3328"/>
      <c r="AS152" s="3326"/>
      <c r="AT152" s="979"/>
      <c r="AU152" s="979"/>
      <c r="AV152" s="979"/>
      <c r="AW152" s="986"/>
      <c r="AX152" s="969"/>
      <c r="AY152" s="968"/>
      <c r="AZ152" s="968"/>
      <c r="BA152" s="968"/>
      <c r="BB152" s="968"/>
      <c r="BC152" s="987"/>
      <c r="BD152" s="968"/>
      <c r="BE152" s="968"/>
    </row>
    <row r="153" spans="1:57" s="1061" customFormat="1" ht="12.95" customHeight="1" x14ac:dyDescent="0.15">
      <c r="A153" s="969"/>
      <c r="B153" s="968"/>
      <c r="C153" s="983"/>
      <c r="D153" s="964"/>
      <c r="E153" s="964"/>
      <c r="F153" s="964"/>
      <c r="G153" s="964"/>
      <c r="H153" s="964"/>
      <c r="I153" s="982"/>
      <c r="J153" s="3327"/>
      <c r="K153" s="3328"/>
      <c r="L153" s="3328"/>
      <c r="M153" s="3328"/>
      <c r="N153" s="3328"/>
      <c r="O153" s="3328"/>
      <c r="P153" s="3328"/>
      <c r="Q153" s="3328"/>
      <c r="R153" s="3328"/>
      <c r="S153" s="3328"/>
      <c r="T153" s="3328"/>
      <c r="U153" s="3328"/>
      <c r="V153" s="3328"/>
      <c r="W153" s="3328"/>
      <c r="X153" s="3328"/>
      <c r="Y153" s="3328"/>
      <c r="Z153" s="3328"/>
      <c r="AA153" s="3328"/>
      <c r="AB153" s="3328"/>
      <c r="AC153" s="3328"/>
      <c r="AD153" s="3328"/>
      <c r="AE153" s="3328"/>
      <c r="AF153" s="3328"/>
      <c r="AG153" s="3328"/>
      <c r="AH153" s="3328"/>
      <c r="AI153" s="3328"/>
      <c r="AJ153" s="3328"/>
      <c r="AK153" s="3328"/>
      <c r="AL153" s="3328"/>
      <c r="AM153" s="3328"/>
      <c r="AN153" s="3328"/>
      <c r="AO153" s="3328"/>
      <c r="AP153" s="3328"/>
      <c r="AQ153" s="3328"/>
      <c r="AR153" s="3328"/>
      <c r="AS153" s="3326"/>
      <c r="AT153" s="979"/>
      <c r="AU153" s="979"/>
      <c r="AV153" s="979"/>
      <c r="AW153" s="986"/>
      <c r="AX153" s="969"/>
      <c r="AY153" s="968"/>
      <c r="AZ153" s="968"/>
      <c r="BA153" s="968"/>
      <c r="BB153" s="968"/>
      <c r="BC153" s="987"/>
      <c r="BD153" s="968"/>
      <c r="BE153" s="968"/>
    </row>
    <row r="154" spans="1:57" s="1061" customFormat="1" ht="12.95" customHeight="1" x14ac:dyDescent="0.15">
      <c r="A154" s="969"/>
      <c r="B154" s="968"/>
      <c r="C154" s="989"/>
      <c r="D154" s="990"/>
      <c r="E154" s="990"/>
      <c r="F154" s="990"/>
      <c r="G154" s="990"/>
      <c r="H154" s="990"/>
      <c r="I154" s="991"/>
      <c r="J154" s="3329"/>
      <c r="K154" s="3330"/>
      <c r="L154" s="3330"/>
      <c r="M154" s="3330"/>
      <c r="N154" s="3330"/>
      <c r="O154" s="3330"/>
      <c r="P154" s="3330"/>
      <c r="Q154" s="3330"/>
      <c r="R154" s="3330"/>
      <c r="S154" s="3330"/>
      <c r="T154" s="3330"/>
      <c r="U154" s="3330"/>
      <c r="V154" s="3330"/>
      <c r="W154" s="3330"/>
      <c r="X154" s="3330"/>
      <c r="Y154" s="3330"/>
      <c r="Z154" s="3330"/>
      <c r="AA154" s="3330"/>
      <c r="AB154" s="3330"/>
      <c r="AC154" s="3330"/>
      <c r="AD154" s="3330"/>
      <c r="AE154" s="3330"/>
      <c r="AF154" s="3330"/>
      <c r="AG154" s="3330"/>
      <c r="AH154" s="3330"/>
      <c r="AI154" s="3330"/>
      <c r="AJ154" s="3330"/>
      <c r="AK154" s="3330"/>
      <c r="AL154" s="3330"/>
      <c r="AM154" s="3330"/>
      <c r="AN154" s="3330"/>
      <c r="AO154" s="3330"/>
      <c r="AP154" s="3330"/>
      <c r="AQ154" s="3330"/>
      <c r="AR154" s="3330"/>
      <c r="AS154" s="3331"/>
      <c r="AT154" s="979"/>
      <c r="AU154" s="979"/>
      <c r="AV154" s="979"/>
      <c r="AW154" s="986"/>
      <c r="AX154" s="969"/>
      <c r="AY154" s="968"/>
      <c r="AZ154" s="968"/>
      <c r="BA154" s="968"/>
      <c r="BB154" s="968"/>
      <c r="BC154" s="987"/>
      <c r="BD154" s="968"/>
      <c r="BE154" s="968"/>
    </row>
    <row r="155" spans="1:57" s="1061" customFormat="1" ht="12.95" customHeight="1" x14ac:dyDescent="0.15">
      <c r="A155" s="969"/>
      <c r="B155" s="968"/>
      <c r="C155" s="992"/>
      <c r="D155" s="992"/>
      <c r="E155" s="992"/>
      <c r="F155" s="992"/>
      <c r="G155" s="992"/>
      <c r="H155" s="992"/>
      <c r="I155" s="993"/>
      <c r="J155" s="1064"/>
      <c r="K155" s="1064"/>
      <c r="L155" s="1064"/>
      <c r="M155" s="1064"/>
      <c r="N155" s="1064"/>
      <c r="O155" s="1064"/>
      <c r="P155" s="1064"/>
      <c r="Q155" s="1064"/>
      <c r="R155" s="1064"/>
      <c r="S155" s="1064"/>
      <c r="T155" s="1064"/>
      <c r="U155" s="1064"/>
      <c r="V155" s="1064"/>
      <c r="W155" s="1064"/>
      <c r="X155" s="1064"/>
      <c r="Y155" s="1064"/>
      <c r="Z155" s="1064"/>
      <c r="AA155" s="1064"/>
      <c r="AB155" s="1064"/>
      <c r="AC155" s="1064"/>
      <c r="AD155" s="1064"/>
      <c r="AE155" s="1064"/>
      <c r="AF155" s="1064"/>
      <c r="AG155" s="1064"/>
      <c r="AH155" s="1064"/>
      <c r="AI155" s="1064"/>
      <c r="AJ155" s="1064"/>
      <c r="AK155" s="1064"/>
      <c r="AL155" s="1064"/>
      <c r="AM155" s="1064"/>
      <c r="AN155" s="1064"/>
      <c r="AO155" s="1064"/>
      <c r="AP155" s="1064"/>
      <c r="AQ155" s="1064"/>
      <c r="AR155" s="1064"/>
      <c r="AS155" s="1064"/>
      <c r="AT155" s="979"/>
      <c r="AU155" s="979"/>
      <c r="AV155" s="979"/>
      <c r="AW155" s="986"/>
      <c r="AX155" s="969"/>
      <c r="AY155" s="968"/>
      <c r="AZ155" s="968"/>
      <c r="BA155" s="968"/>
      <c r="BB155" s="968"/>
      <c r="BC155" s="987"/>
      <c r="BD155" s="968"/>
      <c r="BE155" s="968"/>
    </row>
    <row r="156" spans="1:57" s="968" customFormat="1" ht="12.95" customHeight="1" x14ac:dyDescent="0.15">
      <c r="A156" s="969"/>
      <c r="C156" s="964"/>
      <c r="D156" s="964"/>
      <c r="E156" s="964"/>
      <c r="F156" s="964"/>
      <c r="G156" s="964"/>
      <c r="H156" s="964"/>
      <c r="I156" s="994"/>
      <c r="J156" s="995"/>
      <c r="K156" s="995"/>
      <c r="L156" s="995"/>
      <c r="M156" s="995"/>
      <c r="N156" s="995"/>
      <c r="O156" s="995"/>
      <c r="P156" s="995"/>
      <c r="Q156" s="995"/>
      <c r="R156" s="995"/>
      <c r="S156" s="995"/>
      <c r="T156" s="995"/>
      <c r="U156" s="995"/>
      <c r="V156" s="995"/>
      <c r="W156" s="995"/>
      <c r="X156" s="995"/>
      <c r="Y156" s="995"/>
      <c r="Z156" s="995"/>
      <c r="AA156" s="995"/>
      <c r="AB156" s="995"/>
      <c r="AC156" s="995"/>
      <c r="AD156" s="995"/>
      <c r="AE156" s="995"/>
      <c r="AF156" s="995"/>
      <c r="AG156" s="995"/>
      <c r="AH156" s="995"/>
      <c r="AI156" s="995"/>
      <c r="AJ156" s="995"/>
      <c r="AK156" s="995"/>
      <c r="AL156" s="995"/>
      <c r="AM156" s="995"/>
      <c r="AN156" s="995"/>
      <c r="AO156" s="995"/>
      <c r="AP156" s="995"/>
      <c r="AQ156" s="995"/>
      <c r="AR156" s="995"/>
      <c r="AS156" s="995"/>
      <c r="AT156" s="1801"/>
      <c r="AU156" s="1801"/>
      <c r="AV156" s="1801"/>
      <c r="AW156" s="986"/>
      <c r="AX156" s="969"/>
      <c r="BC156" s="987"/>
    </row>
    <row r="157" spans="1:57" s="968" customFormat="1" ht="12.95" customHeight="1" x14ac:dyDescent="0.15">
      <c r="A157" s="969"/>
      <c r="B157" s="939" t="s">
        <v>2853</v>
      </c>
      <c r="C157" s="964"/>
      <c r="D157" s="964"/>
      <c r="E157" s="964"/>
      <c r="F157" s="964"/>
      <c r="G157" s="964"/>
      <c r="H157" s="964"/>
      <c r="I157" s="994"/>
      <c r="J157" s="995"/>
      <c r="K157" s="995"/>
      <c r="L157" s="995"/>
      <c r="M157" s="995"/>
      <c r="N157" s="995"/>
      <c r="O157" s="995"/>
      <c r="P157" s="995"/>
      <c r="Q157" s="995"/>
      <c r="R157" s="995"/>
      <c r="S157" s="995"/>
      <c r="T157" s="995"/>
      <c r="U157" s="995"/>
      <c r="V157" s="995"/>
      <c r="W157" s="995"/>
      <c r="X157" s="995"/>
      <c r="Y157" s="995"/>
      <c r="Z157" s="995"/>
      <c r="AA157" s="995"/>
      <c r="AB157" s="995"/>
      <c r="AC157" s="995"/>
      <c r="AD157" s="995"/>
      <c r="AE157" s="995"/>
      <c r="AF157" s="995"/>
      <c r="AG157" s="995"/>
      <c r="AH157" s="995"/>
      <c r="AI157" s="995"/>
      <c r="AJ157" s="995"/>
      <c r="AK157" s="995"/>
      <c r="AL157" s="995"/>
      <c r="AM157" s="995"/>
      <c r="AN157" s="995"/>
      <c r="AO157" s="995"/>
      <c r="AP157" s="995"/>
      <c r="AQ157" s="995"/>
      <c r="AR157" s="995"/>
      <c r="AS157" s="995"/>
      <c r="AT157" s="1801"/>
      <c r="AU157" s="1801"/>
      <c r="AV157" s="1801"/>
      <c r="AW157" s="986"/>
      <c r="AX157" s="969"/>
      <c r="BC157" s="987"/>
    </row>
    <row r="158" spans="1:57" s="968" customFormat="1" ht="6" customHeight="1" x14ac:dyDescent="0.15">
      <c r="A158" s="969"/>
      <c r="C158" s="964"/>
      <c r="D158" s="964"/>
      <c r="E158" s="964"/>
      <c r="F158" s="964"/>
      <c r="G158" s="964"/>
      <c r="H158" s="964"/>
      <c r="I158" s="994"/>
      <c r="J158" s="995"/>
      <c r="K158" s="995"/>
      <c r="L158" s="995"/>
      <c r="M158" s="995"/>
      <c r="N158" s="995"/>
      <c r="O158" s="995"/>
      <c r="P158" s="995"/>
      <c r="Q158" s="995"/>
      <c r="R158" s="995"/>
      <c r="S158" s="995"/>
      <c r="T158" s="995"/>
      <c r="U158" s="995"/>
      <c r="V158" s="995"/>
      <c r="W158" s="995"/>
      <c r="X158" s="995"/>
      <c r="Y158" s="995"/>
      <c r="Z158" s="995"/>
      <c r="AA158" s="995"/>
      <c r="AB158" s="995"/>
      <c r="AC158" s="995"/>
      <c r="AD158" s="995"/>
      <c r="AE158" s="995"/>
      <c r="AF158" s="995"/>
      <c r="AG158" s="995"/>
      <c r="AH158" s="995"/>
      <c r="AI158" s="995"/>
      <c r="AJ158" s="995"/>
      <c r="AK158" s="995"/>
      <c r="AL158" s="995"/>
      <c r="AM158" s="995"/>
      <c r="AN158" s="995"/>
      <c r="AO158" s="995"/>
      <c r="AP158" s="995"/>
      <c r="AQ158" s="995"/>
      <c r="AR158" s="995"/>
      <c r="AS158" s="995"/>
      <c r="AT158" s="1801"/>
      <c r="AU158" s="1801"/>
      <c r="AV158" s="1801"/>
      <c r="AW158" s="986"/>
      <c r="AX158" s="969"/>
      <c r="BC158" s="987"/>
    </row>
    <row r="159" spans="1:57" s="968" customFormat="1" ht="12.75" customHeight="1" x14ac:dyDescent="0.15">
      <c r="A159" s="969"/>
      <c r="C159" s="964"/>
      <c r="D159" s="964"/>
      <c r="E159" s="964"/>
      <c r="F159" s="964"/>
      <c r="G159" s="964"/>
      <c r="H159" s="964"/>
      <c r="I159" s="994"/>
      <c r="J159" s="995"/>
      <c r="K159" s="995"/>
      <c r="L159" s="995"/>
      <c r="M159" s="995"/>
      <c r="N159" s="995"/>
      <c r="O159" s="995"/>
      <c r="P159" s="995"/>
      <c r="Q159" s="995"/>
      <c r="R159" s="995"/>
      <c r="S159" s="995"/>
      <c r="T159" s="995"/>
      <c r="U159" s="995"/>
      <c r="V159" s="995"/>
      <c r="W159" s="995"/>
      <c r="X159" s="995"/>
      <c r="Y159" s="995"/>
      <c r="Z159" s="995"/>
      <c r="AA159" s="995"/>
      <c r="AB159" s="995"/>
      <c r="AC159" s="995"/>
      <c r="AD159" s="995"/>
      <c r="AE159" s="995"/>
      <c r="AF159" s="995"/>
      <c r="AG159" s="995"/>
      <c r="AH159" s="995"/>
      <c r="AI159" s="995"/>
      <c r="AJ159" s="995"/>
      <c r="AK159" s="995"/>
      <c r="AL159" s="995"/>
      <c r="AM159" s="995"/>
      <c r="AN159" s="995"/>
      <c r="AO159" s="995"/>
      <c r="AP159" s="995"/>
      <c r="AQ159" s="995"/>
      <c r="AR159" s="995"/>
      <c r="AS159" s="995"/>
      <c r="AT159" s="1801"/>
      <c r="AU159" s="1801"/>
      <c r="AV159" s="1801"/>
      <c r="AW159" s="986"/>
      <c r="AX159" s="969"/>
      <c r="BC159" s="987"/>
    </row>
    <row r="160" spans="1:57" s="968" customFormat="1" ht="12.95" customHeight="1" x14ac:dyDescent="0.15">
      <c r="A160" s="969"/>
      <c r="C160" s="946" t="s">
        <v>2854</v>
      </c>
      <c r="D160" s="964"/>
      <c r="E160" s="964"/>
      <c r="F160" s="964"/>
      <c r="G160" s="964"/>
      <c r="H160" s="964"/>
      <c r="I160" s="994"/>
      <c r="J160" s="995"/>
      <c r="K160" s="995"/>
      <c r="L160" s="995"/>
      <c r="M160" s="995"/>
      <c r="N160" s="995"/>
      <c r="O160" s="995"/>
      <c r="P160" s="995"/>
      <c r="Q160" s="995"/>
      <c r="R160" s="995"/>
      <c r="S160" s="995"/>
      <c r="T160" s="995"/>
      <c r="U160" s="995"/>
      <c r="V160" s="995"/>
      <c r="W160" s="995"/>
      <c r="X160" s="995"/>
      <c r="Y160" s="995"/>
      <c r="Z160" s="995"/>
      <c r="AA160" s="995"/>
      <c r="AB160" s="995"/>
      <c r="AC160" s="995"/>
      <c r="AD160" s="995"/>
      <c r="AE160" s="995"/>
      <c r="AF160" s="995"/>
      <c r="AG160" s="995"/>
      <c r="AH160" s="995"/>
      <c r="AI160" s="995"/>
      <c r="AJ160" s="995"/>
      <c r="AK160" s="995"/>
      <c r="AL160" s="995"/>
      <c r="AM160" s="995"/>
      <c r="AN160" s="995"/>
      <c r="AO160" s="995"/>
      <c r="AP160" s="995"/>
      <c r="AQ160" s="995"/>
      <c r="AR160" s="995"/>
      <c r="AS160" s="995"/>
      <c r="AT160" s="1801"/>
      <c r="AU160" s="1801"/>
      <c r="AV160" s="1801"/>
      <c r="AW160" s="986"/>
      <c r="AX160" s="969"/>
      <c r="BC160" s="987"/>
    </row>
    <row r="161" spans="1:57" s="968" customFormat="1" ht="12.95" customHeight="1" x14ac:dyDescent="0.15">
      <c r="A161" s="969"/>
      <c r="C161" s="964"/>
      <c r="D161" s="946" t="s">
        <v>368</v>
      </c>
      <c r="E161" s="947"/>
      <c r="F161" s="947"/>
      <c r="G161" s="947"/>
      <c r="H161" s="947"/>
      <c r="I161" s="947"/>
      <c r="J161" s="947"/>
      <c r="K161" s="947"/>
      <c r="L161" s="947"/>
      <c r="M161" s="947"/>
      <c r="N161" s="947"/>
      <c r="O161" s="3369" t="str">
        <f>IF('1_入力シート【基本情報】'!DZ45="","",'1_入力シート【基本情報】'!DZ45)</f>
        <v xml:space="preserve">  </v>
      </c>
      <c r="P161" s="3369"/>
      <c r="Q161" s="3369"/>
      <c r="R161" s="3369"/>
      <c r="S161" s="3369"/>
      <c r="T161" s="3369"/>
      <c r="U161" s="3369"/>
      <c r="V161" s="3369"/>
      <c r="W161" s="3369"/>
      <c r="X161" s="3369"/>
      <c r="Y161" s="3369"/>
      <c r="Z161" s="3369"/>
      <c r="AA161" s="3369"/>
      <c r="AB161" s="3369"/>
      <c r="AC161" s="3369"/>
      <c r="AD161" s="3369"/>
      <c r="AE161" s="3369"/>
      <c r="AF161" s="3369"/>
      <c r="AG161" s="3369"/>
      <c r="AH161" s="3369"/>
      <c r="AI161" s="3369"/>
      <c r="AJ161" s="3369"/>
      <c r="AK161" s="3369"/>
      <c r="AL161" s="3369"/>
      <c r="AM161" s="3369"/>
      <c r="AN161" s="3369"/>
      <c r="AO161" s="3369"/>
      <c r="AP161" s="3369"/>
      <c r="AQ161" s="3369"/>
      <c r="AR161" s="3369"/>
      <c r="AS161" s="3369"/>
      <c r="AT161" s="1801"/>
      <c r="AU161" s="1801"/>
      <c r="AV161" s="1801"/>
      <c r="AW161" s="986"/>
      <c r="AX161" s="969"/>
      <c r="BC161" s="987"/>
    </row>
    <row r="162" spans="1:57" s="968" customFormat="1" ht="12.95" customHeight="1" x14ac:dyDescent="0.15">
      <c r="A162" s="969"/>
      <c r="C162" s="964"/>
      <c r="D162" s="946" t="s">
        <v>369</v>
      </c>
      <c r="E162" s="947"/>
      <c r="F162" s="947"/>
      <c r="G162" s="947"/>
      <c r="H162" s="947"/>
      <c r="I162" s="947"/>
      <c r="J162" s="947"/>
      <c r="K162" s="947"/>
      <c r="L162" s="947"/>
      <c r="M162" s="947"/>
      <c r="N162" s="947"/>
      <c r="O162" s="3345" t="str">
        <f>IF('1_入力シート【基本情報】'!DZ46="","",'1_入力シート【基本情報】'!DZ46)</f>
        <v xml:space="preserve">  </v>
      </c>
      <c r="P162" s="3345"/>
      <c r="Q162" s="3345"/>
      <c r="R162" s="3345"/>
      <c r="S162" s="3345"/>
      <c r="T162" s="3345"/>
      <c r="U162" s="3345"/>
      <c r="V162" s="3345"/>
      <c r="W162" s="3345"/>
      <c r="X162" s="3345"/>
      <c r="Y162" s="3345"/>
      <c r="Z162" s="3345"/>
      <c r="AA162" s="3345"/>
      <c r="AB162" s="3345"/>
      <c r="AC162" s="3345"/>
      <c r="AD162" s="3345"/>
      <c r="AE162" s="3345"/>
      <c r="AF162" s="3345"/>
      <c r="AG162" s="3345"/>
      <c r="AH162" s="3345"/>
      <c r="AI162" s="3345"/>
      <c r="AJ162" s="3345"/>
      <c r="AK162" s="3345"/>
      <c r="AL162" s="3345"/>
      <c r="AM162" s="3345"/>
      <c r="AN162" s="3345"/>
      <c r="AO162" s="3345"/>
      <c r="AP162" s="3345"/>
      <c r="AQ162" s="3345"/>
      <c r="AR162" s="3345"/>
      <c r="AS162" s="3345"/>
      <c r="AT162" s="1801"/>
      <c r="AU162" s="1801"/>
      <c r="AV162" s="1801"/>
      <c r="AW162" s="986"/>
      <c r="AX162" s="969"/>
      <c r="BC162" s="987"/>
    </row>
    <row r="163" spans="1:57" s="968" customFormat="1" ht="12.95" customHeight="1" x14ac:dyDescent="0.15">
      <c r="A163" s="969"/>
      <c r="C163" s="964"/>
      <c r="D163" s="946" t="s">
        <v>370</v>
      </c>
      <c r="E163" s="947"/>
      <c r="F163" s="947"/>
      <c r="G163" s="947"/>
      <c r="H163" s="947"/>
      <c r="I163" s="947"/>
      <c r="J163" s="947"/>
      <c r="K163" s="947"/>
      <c r="L163" s="947"/>
      <c r="M163" s="947"/>
      <c r="N163" s="947"/>
      <c r="O163" s="3370" t="str">
        <f>IF('1_入力シート【基本情報】'!EC51="","",'1_入力シート【基本情報】'!EC51)</f>
        <v/>
      </c>
      <c r="P163" s="3347"/>
      <c r="Q163" s="3347"/>
      <c r="R163" s="3347"/>
      <c r="S163" s="3347"/>
      <c r="T163" s="3347"/>
      <c r="U163" s="3347"/>
      <c r="V163" s="947"/>
      <c r="W163" s="947"/>
      <c r="X163" s="947"/>
      <c r="Y163" s="947"/>
      <c r="Z163" s="947"/>
      <c r="AA163" s="947"/>
      <c r="AB163" s="947"/>
      <c r="AC163" s="947"/>
      <c r="AD163" s="947"/>
      <c r="AE163" s="947"/>
      <c r="AF163" s="947"/>
      <c r="AG163" s="947"/>
      <c r="AH163" s="947"/>
      <c r="AI163" s="947"/>
      <c r="AJ163" s="947"/>
      <c r="AK163" s="947"/>
      <c r="AL163" s="947"/>
      <c r="AM163" s="947"/>
      <c r="AN163" s="947"/>
      <c r="AO163" s="947"/>
      <c r="AP163" s="947"/>
      <c r="AQ163" s="947"/>
      <c r="AR163" s="947"/>
      <c r="AS163" s="947"/>
      <c r="AT163" s="1801"/>
      <c r="AU163" s="1801"/>
      <c r="AV163" s="1801"/>
      <c r="AW163" s="986"/>
      <c r="AX163" s="969"/>
      <c r="BC163" s="987"/>
    </row>
    <row r="164" spans="1:57" s="968" customFormat="1" ht="12.95" customHeight="1" x14ac:dyDescent="0.15">
      <c r="A164" s="969"/>
      <c r="C164" s="964"/>
      <c r="D164" s="946" t="s">
        <v>371</v>
      </c>
      <c r="E164" s="947"/>
      <c r="F164" s="947"/>
      <c r="G164" s="947"/>
      <c r="H164" s="947"/>
      <c r="I164" s="947"/>
      <c r="J164" s="947"/>
      <c r="K164" s="947"/>
      <c r="L164" s="947"/>
      <c r="M164" s="947"/>
      <c r="N164" s="947"/>
      <c r="O164" s="3345" t="str">
        <f>IF('1_入力シート【基本情報】'!EC52="","",'1_入力シート【基本情報】'!EC52)</f>
        <v/>
      </c>
      <c r="P164" s="3345"/>
      <c r="Q164" s="3345"/>
      <c r="R164" s="3345"/>
      <c r="S164" s="3345"/>
      <c r="T164" s="3345"/>
      <c r="U164" s="3345"/>
      <c r="V164" s="3345"/>
      <c r="W164" s="3345"/>
      <c r="X164" s="3345"/>
      <c r="Y164" s="3345"/>
      <c r="Z164" s="3345"/>
      <c r="AA164" s="3345"/>
      <c r="AB164" s="3345"/>
      <c r="AC164" s="3345"/>
      <c r="AD164" s="3345"/>
      <c r="AE164" s="3345"/>
      <c r="AF164" s="3345"/>
      <c r="AG164" s="3345"/>
      <c r="AH164" s="3345"/>
      <c r="AI164" s="3345"/>
      <c r="AJ164" s="3345"/>
      <c r="AK164" s="3345"/>
      <c r="AL164" s="3345"/>
      <c r="AM164" s="3345"/>
      <c r="AN164" s="3345"/>
      <c r="AO164" s="3345"/>
      <c r="AP164" s="3345"/>
      <c r="AQ164" s="3345"/>
      <c r="AR164" s="3345"/>
      <c r="AS164" s="3345"/>
      <c r="AT164" s="1801"/>
      <c r="AU164" s="1801"/>
      <c r="AV164" s="1801"/>
      <c r="AW164" s="986"/>
      <c r="AX164" s="969"/>
      <c r="BC164" s="987"/>
    </row>
    <row r="165" spans="1:57" s="1061" customFormat="1" ht="12.95" customHeight="1" x14ac:dyDescent="0.15">
      <c r="A165" s="969"/>
      <c r="B165" s="968"/>
      <c r="C165" s="964"/>
      <c r="D165" s="964"/>
      <c r="E165" s="964"/>
      <c r="F165" s="964"/>
      <c r="G165" s="964"/>
      <c r="H165" s="964"/>
      <c r="I165" s="994"/>
      <c r="J165" s="1065"/>
      <c r="K165" s="1065"/>
      <c r="L165" s="1065"/>
      <c r="M165" s="1065"/>
      <c r="N165" s="1065"/>
      <c r="O165" s="1065"/>
      <c r="P165" s="1065"/>
      <c r="Q165" s="1065"/>
      <c r="R165" s="1065"/>
      <c r="S165" s="1065"/>
      <c r="T165" s="1065"/>
      <c r="U165" s="1065"/>
      <c r="V165" s="1065"/>
      <c r="W165" s="1065"/>
      <c r="X165" s="1065"/>
      <c r="Y165" s="1065"/>
      <c r="Z165" s="1065"/>
      <c r="AA165" s="1065"/>
      <c r="AB165" s="1065"/>
      <c r="AC165" s="1065"/>
      <c r="AD165" s="1065"/>
      <c r="AE165" s="1065"/>
      <c r="AF165" s="1065"/>
      <c r="AG165" s="1065"/>
      <c r="AH165" s="1065"/>
      <c r="AI165" s="1065"/>
      <c r="AJ165" s="1065"/>
      <c r="AK165" s="1065"/>
      <c r="AL165" s="1065"/>
      <c r="AM165" s="1065"/>
      <c r="AN165" s="1065"/>
      <c r="AO165" s="1065"/>
      <c r="AP165" s="1065"/>
      <c r="AQ165" s="1065"/>
      <c r="AR165" s="1065"/>
      <c r="AS165" s="1065"/>
      <c r="AT165" s="979"/>
      <c r="AU165" s="979"/>
      <c r="AV165" s="979"/>
      <c r="AW165" s="986"/>
      <c r="AX165" s="969"/>
      <c r="AY165" s="968"/>
      <c r="AZ165" s="968"/>
      <c r="BA165" s="968"/>
      <c r="BB165" s="968"/>
      <c r="BC165" s="987"/>
      <c r="BD165" s="968"/>
      <c r="BE165" s="968"/>
    </row>
    <row r="166" spans="1:57" s="1061" customFormat="1" ht="12.95" customHeight="1" x14ac:dyDescent="0.15">
      <c r="A166" s="969"/>
      <c r="B166" s="968"/>
      <c r="C166" s="964"/>
      <c r="D166" s="964"/>
      <c r="E166" s="964"/>
      <c r="F166" s="964"/>
      <c r="G166" s="964"/>
      <c r="H166" s="964"/>
      <c r="I166" s="994"/>
      <c r="J166" s="1802"/>
      <c r="K166" s="1802"/>
      <c r="L166" s="1802"/>
      <c r="M166" s="1802"/>
      <c r="N166" s="1802"/>
      <c r="O166" s="1802"/>
      <c r="P166" s="1802"/>
      <c r="Q166" s="1802"/>
      <c r="R166" s="1802"/>
      <c r="S166" s="1802"/>
      <c r="T166" s="1802"/>
      <c r="U166" s="1802"/>
      <c r="V166" s="1802"/>
      <c r="W166" s="1802"/>
      <c r="X166" s="1802"/>
      <c r="Y166" s="1802"/>
      <c r="Z166" s="1802"/>
      <c r="AA166" s="1802"/>
      <c r="AB166" s="1802"/>
      <c r="AC166" s="1802"/>
      <c r="AD166" s="1802"/>
      <c r="AE166" s="1802"/>
      <c r="AF166" s="1802"/>
      <c r="AG166" s="1802"/>
      <c r="AH166" s="1802"/>
      <c r="AI166" s="1802"/>
      <c r="AJ166" s="1802"/>
      <c r="AK166" s="1802"/>
      <c r="AL166" s="1802"/>
      <c r="AM166" s="1802"/>
      <c r="AN166" s="1802"/>
      <c r="AO166" s="1802"/>
      <c r="AP166" s="1802"/>
      <c r="AQ166" s="1802"/>
      <c r="AR166" s="1802"/>
      <c r="AS166" s="1802"/>
      <c r="AT166" s="1801"/>
      <c r="AU166" s="1801"/>
      <c r="AV166" s="1801"/>
      <c r="AW166" s="986"/>
      <c r="AX166" s="969"/>
      <c r="AY166" s="968"/>
      <c r="AZ166" s="968"/>
      <c r="BA166" s="968"/>
      <c r="BB166" s="968"/>
      <c r="BC166" s="987"/>
      <c r="BD166" s="968"/>
      <c r="BE166" s="968"/>
    </row>
    <row r="167" spans="1:57" s="1061" customFormat="1" ht="14.25" customHeight="1" x14ac:dyDescent="0.15">
      <c r="A167" s="968"/>
      <c r="B167" s="939" t="s">
        <v>1245</v>
      </c>
      <c r="C167" s="968"/>
      <c r="D167" s="968"/>
      <c r="E167" s="968"/>
      <c r="F167" s="968"/>
      <c r="G167" s="968"/>
      <c r="H167" s="968"/>
      <c r="I167" s="968"/>
      <c r="J167" s="968"/>
      <c r="K167" s="968"/>
      <c r="L167" s="968"/>
      <c r="M167" s="968"/>
      <c r="N167" s="968"/>
      <c r="O167" s="968"/>
      <c r="P167" s="968"/>
      <c r="Q167" s="968"/>
      <c r="R167" s="968"/>
      <c r="S167" s="968"/>
      <c r="T167" s="968"/>
      <c r="U167" s="968"/>
      <c r="V167" s="968"/>
      <c r="W167" s="968"/>
      <c r="X167" s="968"/>
      <c r="Y167" s="968"/>
      <c r="Z167" s="968"/>
      <c r="AA167" s="968"/>
      <c r="AB167" s="968"/>
      <c r="AC167" s="968"/>
      <c r="AD167" s="968"/>
      <c r="AE167" s="968"/>
      <c r="AF167" s="968"/>
      <c r="AG167" s="969"/>
      <c r="AH167" s="969"/>
      <c r="AI167" s="968"/>
      <c r="AJ167" s="968"/>
      <c r="AK167" s="968"/>
      <c r="AL167" s="968"/>
      <c r="AM167" s="968"/>
      <c r="AN167" s="968"/>
      <c r="AO167" s="968"/>
      <c r="AP167" s="968"/>
      <c r="AQ167" s="968"/>
      <c r="AR167" s="968"/>
      <c r="AS167" s="968"/>
      <c r="AT167" s="968"/>
      <c r="AU167" s="968"/>
      <c r="AV167" s="968"/>
      <c r="AW167" s="968"/>
      <c r="AX167" s="968"/>
      <c r="AY167" s="968"/>
      <c r="AZ167" s="968"/>
      <c r="BA167" s="968"/>
      <c r="BB167" s="968"/>
    </row>
    <row r="168" spans="1:57" s="1061" customFormat="1" ht="6" customHeight="1" x14ac:dyDescent="0.15">
      <c r="A168" s="968"/>
      <c r="B168" s="968"/>
      <c r="C168" s="968"/>
      <c r="D168" s="968"/>
      <c r="E168" s="968"/>
      <c r="F168" s="968"/>
      <c r="G168" s="968"/>
      <c r="H168" s="968"/>
      <c r="I168" s="968"/>
      <c r="J168" s="968"/>
      <c r="K168" s="968"/>
      <c r="L168" s="968"/>
      <c r="M168" s="968"/>
      <c r="N168" s="968"/>
      <c r="O168" s="968"/>
      <c r="P168" s="968"/>
      <c r="Q168" s="968"/>
      <c r="R168" s="968"/>
      <c r="S168" s="968"/>
      <c r="T168" s="968"/>
      <c r="U168" s="968"/>
      <c r="V168" s="968"/>
      <c r="W168" s="968"/>
      <c r="X168" s="968"/>
      <c r="Y168" s="968"/>
      <c r="Z168" s="968"/>
      <c r="AA168" s="968"/>
      <c r="AB168" s="968"/>
      <c r="AC168" s="968"/>
      <c r="AD168" s="968"/>
      <c r="AE168" s="968"/>
      <c r="AF168" s="968"/>
      <c r="AG168" s="969"/>
      <c r="AH168" s="969"/>
      <c r="AI168" s="968"/>
      <c r="AJ168" s="968"/>
      <c r="AK168" s="968"/>
      <c r="AL168" s="968"/>
      <c r="AM168" s="968"/>
      <c r="AN168" s="968"/>
      <c r="AO168" s="968"/>
      <c r="AP168" s="968"/>
      <c r="AQ168" s="968"/>
      <c r="AR168" s="968"/>
      <c r="AS168" s="968"/>
      <c r="AT168" s="968"/>
      <c r="AU168" s="968"/>
      <c r="AV168" s="968"/>
      <c r="AW168" s="968"/>
      <c r="AX168" s="968"/>
      <c r="AY168" s="968"/>
      <c r="AZ168" s="968"/>
      <c r="BA168" s="968"/>
      <c r="BB168" s="968"/>
    </row>
    <row r="169" spans="1:57" s="1061" customFormat="1" ht="12.95" customHeight="1" x14ac:dyDescent="0.15">
      <c r="A169" s="969"/>
      <c r="B169" s="968"/>
      <c r="C169" s="964"/>
      <c r="D169" s="964"/>
      <c r="E169" s="964"/>
      <c r="F169" s="964"/>
      <c r="G169" s="964"/>
      <c r="H169" s="964"/>
      <c r="I169" s="994"/>
      <c r="J169" s="1065"/>
      <c r="K169" s="1065"/>
      <c r="L169" s="1065"/>
      <c r="M169" s="1065"/>
      <c r="N169" s="1065"/>
      <c r="O169" s="1065"/>
      <c r="P169" s="1065"/>
      <c r="Q169" s="1065"/>
      <c r="R169" s="1065"/>
      <c r="S169" s="1065"/>
      <c r="T169" s="1065"/>
      <c r="U169" s="1065"/>
      <c r="V169" s="1065"/>
      <c r="W169" s="1065"/>
      <c r="X169" s="1065"/>
      <c r="Y169" s="1065"/>
      <c r="Z169" s="1065"/>
      <c r="AA169" s="1065"/>
      <c r="AB169" s="1065"/>
      <c r="AC169" s="1065"/>
      <c r="AD169" s="1065"/>
      <c r="AE169" s="1065"/>
      <c r="AF169" s="1065"/>
      <c r="AG169" s="1065"/>
      <c r="AH169" s="1065"/>
      <c r="AI169" s="1065"/>
      <c r="AJ169" s="1065"/>
      <c r="AK169" s="1065"/>
      <c r="AL169" s="1065"/>
      <c r="AM169" s="1065"/>
      <c r="AN169" s="1065"/>
      <c r="AO169" s="1065"/>
      <c r="AP169" s="1065"/>
      <c r="AQ169" s="1065"/>
      <c r="AR169" s="1065"/>
      <c r="AS169" s="1065"/>
      <c r="AT169" s="979"/>
      <c r="AU169" s="979"/>
      <c r="AV169" s="979"/>
      <c r="AW169" s="986"/>
      <c r="AX169" s="969"/>
      <c r="AY169" s="968"/>
      <c r="AZ169" s="968"/>
      <c r="BA169" s="968"/>
      <c r="BB169" s="968"/>
      <c r="BC169" s="987"/>
      <c r="BD169" s="968"/>
      <c r="BE169" s="968"/>
    </row>
    <row r="170" spans="1:57" ht="12" customHeight="1" x14ac:dyDescent="0.15">
      <c r="C170" s="946" t="s">
        <v>1244</v>
      </c>
    </row>
    <row r="171" spans="1:57" ht="12" customHeight="1" x14ac:dyDescent="0.15">
      <c r="D171" s="952" t="s">
        <v>390</v>
      </c>
      <c r="N171" s="957"/>
      <c r="O171" s="957"/>
      <c r="P171" s="957"/>
      <c r="Q171" s="957"/>
      <c r="R171" s="957"/>
      <c r="S171" s="957"/>
      <c r="T171" s="957"/>
      <c r="U171" s="957"/>
      <c r="V171" s="957"/>
      <c r="W171" s="957"/>
      <c r="X171" s="957"/>
      <c r="Y171" s="957"/>
      <c r="Z171" s="957"/>
      <c r="AA171" s="957"/>
      <c r="AB171" s="957"/>
      <c r="AC171" s="957"/>
      <c r="AD171" s="957"/>
      <c r="AE171" s="957"/>
      <c r="AF171" s="957"/>
      <c r="AG171" s="957"/>
      <c r="AH171" s="957"/>
      <c r="AI171" s="957"/>
      <c r="AJ171" s="957"/>
      <c r="AK171" s="957"/>
      <c r="AL171" s="957"/>
      <c r="AM171" s="957"/>
      <c r="AN171" s="957"/>
      <c r="AO171" s="957"/>
      <c r="AP171" s="957"/>
      <c r="AQ171" s="957"/>
      <c r="AR171" s="957"/>
      <c r="AS171" s="957"/>
      <c r="AU171" s="949"/>
      <c r="AV171" s="949"/>
      <c r="AW171" s="949"/>
      <c r="AX171" s="949"/>
      <c r="AY171" s="949"/>
    </row>
    <row r="172" spans="1:57" ht="12" customHeight="1" x14ac:dyDescent="0.15">
      <c r="D172" s="952"/>
      <c r="E172" s="952"/>
      <c r="F172" s="952"/>
      <c r="G172" s="952"/>
      <c r="H172" s="952"/>
      <c r="I172" s="952"/>
      <c r="J172" s="952"/>
      <c r="K172" s="952"/>
      <c r="L172" s="952"/>
      <c r="M172" s="953"/>
      <c r="N172" s="952"/>
      <c r="O172" s="953" t="s">
        <v>25</v>
      </c>
      <c r="P172" s="3341" t="str">
        <f>'＜入力不要＞報告書'!P173</f>
        <v/>
      </c>
      <c r="Q172" s="3341"/>
      <c r="R172" s="952" t="s">
        <v>377</v>
      </c>
      <c r="S172" s="952"/>
      <c r="T172" s="952"/>
      <c r="U172" s="952"/>
      <c r="V172" s="954"/>
      <c r="W172" s="952"/>
      <c r="X172" s="952"/>
      <c r="Y172" s="953" t="s">
        <v>25</v>
      </c>
      <c r="Z172" s="3342" t="str">
        <f>'＜入力不要＞報告書'!$Z$173</f>
        <v/>
      </c>
      <c r="AA172" s="3342"/>
      <c r="AB172" s="3342"/>
      <c r="AC172" s="3342"/>
      <c r="AD172" s="3342"/>
      <c r="AE172" s="3342"/>
      <c r="AF172" s="3342"/>
      <c r="AG172" s="3342"/>
      <c r="AH172" s="955" t="s">
        <v>378</v>
      </c>
      <c r="AI172" s="952"/>
      <c r="AJ172" s="952"/>
      <c r="AK172" s="952"/>
      <c r="AL172" s="953" t="s">
        <v>379</v>
      </c>
      <c r="AM172" s="3343" t="str">
        <f>'＜入力不要＞報告書'!$AM$173</f>
        <v/>
      </c>
      <c r="AN172" s="3343"/>
      <c r="AO172" s="3343"/>
      <c r="AP172" s="3343"/>
      <c r="AQ172" s="3343"/>
      <c r="AR172" s="3343"/>
      <c r="AS172" s="952" t="s">
        <v>380</v>
      </c>
    </row>
    <row r="173" spans="1:57" ht="12" customHeight="1" x14ac:dyDescent="0.15">
      <c r="D173" s="952"/>
      <c r="E173" s="952"/>
      <c r="F173" s="952"/>
      <c r="G173" s="952"/>
      <c r="H173" s="952"/>
      <c r="I173" s="952"/>
      <c r="J173" s="952"/>
      <c r="K173" s="952"/>
      <c r="L173" s="952"/>
      <c r="M173" s="952"/>
      <c r="N173" s="952"/>
      <c r="O173" s="952" t="s">
        <v>243</v>
      </c>
      <c r="P173" s="952"/>
      <c r="Q173" s="952"/>
      <c r="R173" s="952"/>
      <c r="S173" s="952"/>
      <c r="T173" s="952"/>
      <c r="U173" s="952"/>
      <c r="V173" s="952"/>
      <c r="W173" s="952"/>
      <c r="X173" s="952"/>
      <c r="Y173" s="952"/>
      <c r="Z173" s="952"/>
      <c r="AA173" s="952"/>
      <c r="AB173" s="952"/>
      <c r="AC173" s="952"/>
      <c r="AD173" s="952"/>
      <c r="AE173" s="952"/>
      <c r="AF173" s="952"/>
      <c r="AG173" s="954"/>
      <c r="AH173" s="952"/>
      <c r="AI173" s="952"/>
      <c r="AJ173" s="952"/>
      <c r="AK173" s="952"/>
      <c r="AL173" s="953" t="s">
        <v>379</v>
      </c>
      <c r="AM173" s="3344" t="str">
        <f>'＜入力不要＞報告書'!$AM$174</f>
        <v/>
      </c>
      <c r="AN173" s="3344"/>
      <c r="AO173" s="3344"/>
      <c r="AP173" s="3344"/>
      <c r="AQ173" s="3344"/>
      <c r="AR173" s="3344"/>
      <c r="AS173" s="952" t="s">
        <v>380</v>
      </c>
    </row>
    <row r="174" spans="1:57" ht="12" customHeight="1" x14ac:dyDescent="0.15">
      <c r="D174" s="952" t="s">
        <v>381</v>
      </c>
      <c r="E174" s="952"/>
      <c r="F174" s="952"/>
      <c r="G174" s="952"/>
      <c r="H174" s="952"/>
      <c r="I174" s="952"/>
      <c r="J174" s="953"/>
      <c r="K174" s="952"/>
      <c r="L174" s="954"/>
      <c r="M174" s="953"/>
      <c r="N174" s="952"/>
      <c r="O174" s="3345" t="str">
        <f>'1_入力シート【基本情報】'!$DS$113</f>
        <v/>
      </c>
      <c r="P174" s="3345"/>
      <c r="Q174" s="3345"/>
      <c r="R174" s="3345"/>
      <c r="S174" s="3345"/>
      <c r="T174" s="3345"/>
      <c r="U174" s="3345"/>
      <c r="V174" s="3345"/>
      <c r="W174" s="3345"/>
      <c r="X174" s="3345"/>
      <c r="Y174" s="3345"/>
      <c r="Z174" s="3345"/>
      <c r="AA174" s="3345"/>
      <c r="AB174" s="3345"/>
      <c r="AC174" s="3345"/>
      <c r="AD174" s="3345"/>
      <c r="AE174" s="3345"/>
      <c r="AF174" s="3345"/>
      <c r="AG174" s="3345"/>
      <c r="AH174" s="3345"/>
      <c r="AI174" s="3345"/>
      <c r="AJ174" s="3345"/>
      <c r="AK174" s="3345"/>
      <c r="AL174" s="3345"/>
      <c r="AM174" s="3345"/>
      <c r="AN174" s="3345"/>
      <c r="AO174" s="3345"/>
      <c r="AP174" s="3345"/>
      <c r="AQ174" s="3345"/>
      <c r="AR174" s="3345"/>
      <c r="AS174" s="3345"/>
    </row>
    <row r="175" spans="1:57" ht="12" customHeight="1" x14ac:dyDescent="0.15">
      <c r="D175" s="952" t="s">
        <v>382</v>
      </c>
      <c r="E175" s="952"/>
      <c r="F175" s="952"/>
      <c r="G175" s="952"/>
      <c r="H175" s="952"/>
      <c r="I175" s="952"/>
      <c r="J175" s="953"/>
      <c r="K175" s="952"/>
      <c r="L175" s="954"/>
      <c r="M175" s="953"/>
      <c r="N175" s="952"/>
      <c r="O175" s="3346" t="str">
        <f>'1_入力シート【基本情報】'!$DS$114</f>
        <v/>
      </c>
      <c r="P175" s="3346"/>
      <c r="Q175" s="3346"/>
      <c r="R175" s="3346"/>
      <c r="S175" s="3346"/>
      <c r="T175" s="3346"/>
      <c r="U175" s="3346"/>
      <c r="V175" s="3346"/>
      <c r="W175" s="3346"/>
      <c r="X175" s="3346"/>
      <c r="Y175" s="3346"/>
      <c r="Z175" s="3346"/>
      <c r="AA175" s="3346"/>
      <c r="AB175" s="3346"/>
      <c r="AC175" s="3346"/>
      <c r="AD175" s="3346"/>
      <c r="AE175" s="3346"/>
      <c r="AF175" s="3346"/>
      <c r="AG175" s="3346"/>
      <c r="AH175" s="3346"/>
      <c r="AI175" s="3346"/>
      <c r="AJ175" s="3346"/>
      <c r="AK175" s="3346"/>
      <c r="AL175" s="3346"/>
      <c r="AM175" s="3346"/>
      <c r="AN175" s="3346"/>
      <c r="AO175" s="3346"/>
      <c r="AP175" s="3346"/>
      <c r="AQ175" s="3346"/>
      <c r="AR175" s="3346"/>
      <c r="AS175" s="3346"/>
    </row>
    <row r="176" spans="1:57" ht="12" customHeight="1" x14ac:dyDescent="0.15">
      <c r="D176" s="952" t="s">
        <v>383</v>
      </c>
      <c r="E176" s="952"/>
      <c r="F176" s="952"/>
      <c r="G176" s="952"/>
      <c r="H176" s="952"/>
      <c r="I176" s="952"/>
      <c r="J176" s="953"/>
      <c r="K176" s="952"/>
      <c r="L176" s="954"/>
      <c r="M176" s="952"/>
      <c r="N176" s="952"/>
      <c r="O176" s="3345" t="str">
        <f>IF('1_入力シート【基本情報】'!DS108=TRUE,'1_入力シート【基本情報】'!DS79,'1_入力シート【基本情報】'!DS115)</f>
        <v/>
      </c>
      <c r="P176" s="3345"/>
      <c r="Q176" s="3345"/>
      <c r="R176" s="3345"/>
      <c r="S176" s="3345"/>
      <c r="T176" s="3345"/>
      <c r="U176" s="3345"/>
      <c r="V176" s="3345"/>
      <c r="W176" s="3345"/>
      <c r="X176" s="3345"/>
      <c r="Y176" s="3345"/>
      <c r="Z176" s="3345"/>
      <c r="AA176" s="3345"/>
      <c r="AB176" s="3345"/>
      <c r="AC176" s="3345"/>
      <c r="AD176" s="3345"/>
      <c r="AE176" s="3345"/>
      <c r="AF176" s="3345"/>
      <c r="AG176" s="3345"/>
      <c r="AH176" s="3345"/>
      <c r="AI176" s="3345"/>
      <c r="AJ176" s="3345"/>
      <c r="AK176" s="3345"/>
      <c r="AL176" s="3345"/>
      <c r="AM176" s="3345"/>
      <c r="AN176" s="3345"/>
      <c r="AO176" s="3345"/>
      <c r="AP176" s="3345"/>
      <c r="AQ176" s="3345"/>
      <c r="AR176" s="3345"/>
      <c r="AS176" s="3345"/>
    </row>
    <row r="177" spans="1:57" ht="12" customHeight="1" x14ac:dyDescent="0.15">
      <c r="D177" s="952"/>
      <c r="E177" s="952"/>
      <c r="F177" s="952"/>
      <c r="G177" s="952"/>
      <c r="H177" s="952"/>
      <c r="I177" s="952"/>
      <c r="J177" s="953"/>
      <c r="K177" s="952"/>
      <c r="L177" s="953"/>
      <c r="M177" s="952"/>
      <c r="N177" s="952"/>
      <c r="O177" s="953" t="s">
        <v>25</v>
      </c>
      <c r="P177" s="3341" t="str">
        <f>IF('1_入力シート【基本情報】'!DS108=FALSE,IF('1_入力シート【基本情報】'!DS116="","",'1_入力シート【基本情報】'!DS116),IF('1_入力シート【基本情報】'!DS80="","",'1_入力シート【基本情報】'!DS80))</f>
        <v/>
      </c>
      <c r="Q177" s="3341"/>
      <c r="R177" s="952" t="s">
        <v>384</v>
      </c>
      <c r="S177" s="952"/>
      <c r="T177" s="952"/>
      <c r="U177" s="952"/>
      <c r="V177" s="952"/>
      <c r="W177" s="952"/>
      <c r="X177" s="953"/>
      <c r="Y177" s="953" t="s">
        <v>25</v>
      </c>
      <c r="Z177" s="3341" t="str">
        <f>IF('1_入力シート【基本情報】'!DS108=TRUE,'1_入力シート【基本情報】'!DS81,'1_入力シート【基本情報】'!DS117)</f>
        <v/>
      </c>
      <c r="AA177" s="3341"/>
      <c r="AB177" s="3341"/>
      <c r="AC177" s="3341"/>
      <c r="AD177" s="3341"/>
      <c r="AE177" s="3341"/>
      <c r="AF177" s="955" t="s">
        <v>385</v>
      </c>
      <c r="AG177" s="955"/>
      <c r="AH177" s="952"/>
      <c r="AI177" s="954"/>
      <c r="AJ177" s="952"/>
      <c r="AK177" s="952"/>
      <c r="AL177" s="953" t="s">
        <v>379</v>
      </c>
      <c r="AM177" s="3344" t="str">
        <f>IF('1_入力シート【基本情報】'!DS108=TRUE,'1_入力シート【基本情報】'!DS82,'1_入力シート【基本情報】'!DS118)</f>
        <v/>
      </c>
      <c r="AN177" s="3344"/>
      <c r="AO177" s="3344"/>
      <c r="AP177" s="3344"/>
      <c r="AQ177" s="3344"/>
      <c r="AR177" s="3344"/>
      <c r="AS177" s="952" t="s">
        <v>380</v>
      </c>
    </row>
    <row r="178" spans="1:57" ht="12" customHeight="1" x14ac:dyDescent="0.15">
      <c r="D178" s="952" t="s">
        <v>386</v>
      </c>
      <c r="E178" s="952"/>
      <c r="F178" s="952"/>
      <c r="G178" s="952"/>
      <c r="H178" s="952"/>
      <c r="I178" s="952"/>
      <c r="J178" s="952"/>
      <c r="K178" s="952"/>
      <c r="L178" s="952"/>
      <c r="M178" s="952"/>
      <c r="N178" s="952"/>
      <c r="O178" s="3347" t="str">
        <f>IF('1_入力シート【基本情報】'!DS108=TRUE,'1_入力シート【基本情報】'!DS83,'1_入力シート【基本情報】'!DS119)</f>
        <v/>
      </c>
      <c r="P178" s="3347"/>
      <c r="Q178" s="3347"/>
      <c r="R178" s="3347"/>
      <c r="S178" s="3347"/>
      <c r="T178" s="3347"/>
      <c r="U178" s="3347"/>
      <c r="V178" s="952"/>
      <c r="W178" s="952"/>
      <c r="X178" s="952"/>
      <c r="Y178" s="952"/>
      <c r="Z178" s="952"/>
      <c r="AA178" s="952"/>
      <c r="AB178" s="952"/>
      <c r="AC178" s="952"/>
      <c r="AD178" s="952"/>
      <c r="AE178" s="952"/>
      <c r="AF178" s="952"/>
      <c r="AG178" s="952"/>
      <c r="AH178" s="952"/>
      <c r="AI178" s="952"/>
      <c r="AJ178" s="952"/>
      <c r="AK178" s="953"/>
      <c r="AL178" s="953"/>
      <c r="AM178" s="952"/>
      <c r="AN178" s="952"/>
      <c r="AO178" s="952"/>
      <c r="AP178" s="952"/>
      <c r="AQ178" s="952"/>
      <c r="AR178" s="952"/>
      <c r="AS178" s="952"/>
    </row>
    <row r="179" spans="1:57" ht="12" customHeight="1" x14ac:dyDescent="0.15">
      <c r="D179" s="952" t="s">
        <v>387</v>
      </c>
      <c r="E179" s="952"/>
      <c r="F179" s="952"/>
      <c r="G179" s="952"/>
      <c r="H179" s="952"/>
      <c r="I179" s="952"/>
      <c r="J179" s="952"/>
      <c r="K179" s="952"/>
      <c r="L179" s="954"/>
      <c r="M179" s="952"/>
      <c r="N179" s="952"/>
      <c r="O179" s="3345" t="str">
        <f>IF('1_入力シート【基本情報】'!DS108=TRUE,'1_入力シート【基本情報】'!DS84,'1_入力シート【基本情報】'!DS120)</f>
        <v/>
      </c>
      <c r="P179" s="3345"/>
      <c r="Q179" s="3345"/>
      <c r="R179" s="3345"/>
      <c r="S179" s="3345"/>
      <c r="T179" s="3345"/>
      <c r="U179" s="3345"/>
      <c r="V179" s="3345"/>
      <c r="W179" s="3345"/>
      <c r="X179" s="3345"/>
      <c r="Y179" s="3345"/>
      <c r="Z179" s="3345"/>
      <c r="AA179" s="3345"/>
      <c r="AB179" s="3345"/>
      <c r="AC179" s="3345"/>
      <c r="AD179" s="3345"/>
      <c r="AE179" s="3345"/>
      <c r="AF179" s="3345"/>
      <c r="AG179" s="3345"/>
      <c r="AH179" s="3345"/>
      <c r="AI179" s="3345"/>
      <c r="AJ179" s="3345"/>
      <c r="AK179" s="3345"/>
      <c r="AL179" s="3345"/>
      <c r="AM179" s="3345"/>
      <c r="AN179" s="3345"/>
      <c r="AO179" s="3345"/>
      <c r="AP179" s="3345"/>
      <c r="AQ179" s="3345"/>
      <c r="AR179" s="3345"/>
      <c r="AS179" s="3345"/>
    </row>
    <row r="180" spans="1:57" ht="12" customHeight="1" x14ac:dyDescent="0.15">
      <c r="D180" s="952" t="s">
        <v>388</v>
      </c>
      <c r="E180" s="952"/>
      <c r="F180" s="952"/>
      <c r="G180" s="952"/>
      <c r="H180" s="952"/>
      <c r="I180" s="952"/>
      <c r="J180" s="952"/>
      <c r="K180" s="952"/>
      <c r="L180" s="956"/>
      <c r="M180" s="952"/>
      <c r="N180" s="952"/>
      <c r="O180" s="3346" t="str">
        <f>IF('1_入力シート【基本情報】'!DS108=TRUE,'1_入力シート【基本情報】'!DS85,'1_入力シート【基本情報】'!DS121)</f>
        <v/>
      </c>
      <c r="P180" s="3346"/>
      <c r="Q180" s="3346"/>
      <c r="R180" s="3346"/>
      <c r="S180" s="3346"/>
      <c r="T180" s="3346"/>
      <c r="U180" s="3346"/>
      <c r="V180" s="3346"/>
      <c r="W180" s="3346"/>
      <c r="X180" s="3346"/>
      <c r="Y180" s="3346"/>
      <c r="Z180" s="3346"/>
      <c r="AA180" s="3346"/>
      <c r="AB180" s="3346"/>
      <c r="AC180" s="956"/>
      <c r="AD180" s="956"/>
      <c r="AE180" s="956"/>
      <c r="AF180" s="956"/>
      <c r="AG180" s="956"/>
      <c r="AH180" s="956"/>
      <c r="AI180" s="956"/>
      <c r="AJ180" s="956"/>
      <c r="AK180" s="956"/>
      <c r="AL180" s="956"/>
      <c r="AM180" s="956"/>
      <c r="AN180" s="956"/>
      <c r="AO180" s="956"/>
      <c r="AP180" s="956"/>
      <c r="AQ180" s="956"/>
      <c r="AR180" s="956"/>
      <c r="AS180" s="956"/>
    </row>
    <row r="181" spans="1:57" s="1061" customFormat="1" ht="12.95" customHeight="1" x14ac:dyDescent="0.15">
      <c r="A181" s="969"/>
      <c r="B181" s="968"/>
      <c r="C181" s="964"/>
      <c r="D181" s="964"/>
      <c r="E181" s="964"/>
      <c r="F181" s="964"/>
      <c r="G181" s="964"/>
      <c r="H181" s="964"/>
      <c r="I181" s="994"/>
      <c r="J181" s="1065"/>
      <c r="K181" s="1065"/>
      <c r="L181" s="1065"/>
      <c r="M181" s="1065"/>
      <c r="N181" s="1065"/>
      <c r="O181" s="1065"/>
      <c r="P181" s="1065"/>
      <c r="Q181" s="1065"/>
      <c r="R181" s="1065"/>
      <c r="S181" s="1065"/>
      <c r="T181" s="1065"/>
      <c r="U181" s="1065"/>
      <c r="V181" s="1065"/>
      <c r="W181" s="1065"/>
      <c r="X181" s="1065"/>
      <c r="Y181" s="1065"/>
      <c r="Z181" s="1065"/>
      <c r="AA181" s="1065"/>
      <c r="AB181" s="1065"/>
      <c r="AC181" s="1065"/>
      <c r="AD181" s="1065"/>
      <c r="AE181" s="1065"/>
      <c r="AF181" s="1065"/>
      <c r="AG181" s="1065"/>
      <c r="AH181" s="1065"/>
      <c r="AI181" s="1065"/>
      <c r="AJ181" s="1065"/>
      <c r="AK181" s="1065"/>
      <c r="AL181" s="1065"/>
      <c r="AM181" s="1065"/>
      <c r="AN181" s="1065"/>
      <c r="AO181" s="1065"/>
      <c r="AP181" s="1065"/>
      <c r="AQ181" s="1065"/>
      <c r="AR181" s="1065"/>
      <c r="AS181" s="1065"/>
      <c r="AT181" s="979"/>
      <c r="AU181" s="979"/>
      <c r="AV181" s="979"/>
      <c r="AW181" s="986"/>
      <c r="AX181" s="969"/>
      <c r="AY181" s="968"/>
      <c r="AZ181" s="968"/>
      <c r="BA181" s="968"/>
      <c r="BB181" s="968"/>
      <c r="BC181" s="987"/>
      <c r="BD181" s="968"/>
      <c r="BE181" s="968"/>
    </row>
    <row r="182" spans="1:57" s="1061" customFormat="1" ht="12.95" customHeight="1" x14ac:dyDescent="0.15">
      <c r="A182" s="969"/>
      <c r="B182" s="968"/>
      <c r="C182" s="964"/>
      <c r="D182" s="964"/>
      <c r="E182" s="964"/>
      <c r="F182" s="964"/>
      <c r="G182" s="964"/>
      <c r="H182" s="964"/>
      <c r="I182" s="994"/>
      <c r="J182" s="1065"/>
      <c r="K182" s="1065"/>
      <c r="L182" s="1065"/>
      <c r="M182" s="1065"/>
      <c r="N182" s="1065"/>
      <c r="O182" s="1065"/>
      <c r="P182" s="1065"/>
      <c r="Q182" s="1065"/>
      <c r="R182" s="1065"/>
      <c r="S182" s="1065"/>
      <c r="T182" s="1065"/>
      <c r="U182" s="1065"/>
      <c r="V182" s="1065"/>
      <c r="W182" s="1065"/>
      <c r="X182" s="1065"/>
      <c r="Y182" s="1065"/>
      <c r="Z182" s="1065"/>
      <c r="AA182" s="1065"/>
      <c r="AB182" s="1065"/>
      <c r="AC182" s="1065"/>
      <c r="AD182" s="1065"/>
      <c r="AE182" s="1065"/>
      <c r="AF182" s="1065"/>
      <c r="AG182" s="1065"/>
      <c r="AH182" s="1065"/>
      <c r="AI182" s="1065"/>
      <c r="AJ182" s="1065"/>
      <c r="AK182" s="1065"/>
      <c r="AL182" s="1065"/>
      <c r="AM182" s="1065"/>
      <c r="AN182" s="1065"/>
      <c r="AO182" s="1065"/>
      <c r="AP182" s="1065"/>
      <c r="AQ182" s="1065"/>
      <c r="AR182" s="1065"/>
      <c r="AS182" s="1065"/>
      <c r="AT182" s="979"/>
      <c r="AU182" s="979"/>
      <c r="AV182" s="979"/>
      <c r="AW182" s="986"/>
      <c r="AX182" s="969"/>
      <c r="AY182" s="968"/>
      <c r="AZ182" s="968"/>
      <c r="BA182" s="968"/>
      <c r="BB182" s="968"/>
      <c r="BC182" s="987"/>
      <c r="BD182" s="968"/>
      <c r="BE182" s="968"/>
    </row>
    <row r="183" spans="1:57" s="1061" customFormat="1" ht="12.95" customHeight="1" x14ac:dyDescent="0.15">
      <c r="A183" s="969"/>
      <c r="B183" s="968"/>
      <c r="C183" s="964"/>
      <c r="D183" s="964"/>
      <c r="E183" s="964"/>
      <c r="F183" s="964"/>
      <c r="G183" s="964"/>
      <c r="H183" s="964"/>
      <c r="I183" s="994"/>
      <c r="J183" s="1065"/>
      <c r="K183" s="1065"/>
      <c r="L183" s="1065"/>
      <c r="M183" s="1065"/>
      <c r="N183" s="1065"/>
      <c r="O183" s="1065"/>
      <c r="P183" s="1065"/>
      <c r="Q183" s="1065"/>
      <c r="R183" s="1065"/>
      <c r="S183" s="1065"/>
      <c r="T183" s="1065"/>
      <c r="U183" s="1065"/>
      <c r="V183" s="1065"/>
      <c r="W183" s="1065"/>
      <c r="X183" s="1065"/>
      <c r="Y183" s="1065"/>
      <c r="Z183" s="1065"/>
      <c r="AA183" s="1065"/>
      <c r="AB183" s="1065"/>
      <c r="AC183" s="1065"/>
      <c r="AD183" s="1065"/>
      <c r="AE183" s="1065"/>
      <c r="AF183" s="1065"/>
      <c r="AG183" s="1065"/>
      <c r="AH183" s="1065"/>
      <c r="AI183" s="1065"/>
      <c r="AJ183" s="1065"/>
      <c r="AK183" s="1065"/>
      <c r="AL183" s="1065"/>
      <c r="AM183" s="1065"/>
      <c r="AN183" s="1065"/>
      <c r="AO183" s="1065"/>
      <c r="AP183" s="1065"/>
      <c r="AQ183" s="1065"/>
      <c r="AR183" s="1065"/>
      <c r="AS183" s="1065"/>
      <c r="AT183" s="979"/>
      <c r="AU183" s="979"/>
      <c r="AV183" s="979"/>
      <c r="AW183" s="986"/>
      <c r="AX183" s="969"/>
      <c r="AY183" s="968"/>
      <c r="AZ183" s="968"/>
      <c r="BA183" s="968"/>
      <c r="BB183" s="968"/>
      <c r="BC183" s="987"/>
      <c r="BD183" s="968"/>
      <c r="BE183" s="968"/>
    </row>
    <row r="184" spans="1:57" s="1061" customFormat="1" ht="14.25" customHeight="1" x14ac:dyDescent="0.15">
      <c r="A184" s="968"/>
      <c r="B184" s="939" t="s">
        <v>1246</v>
      </c>
      <c r="C184" s="968"/>
      <c r="D184" s="968"/>
      <c r="E184" s="968"/>
      <c r="F184" s="968"/>
      <c r="G184" s="968"/>
      <c r="H184" s="968"/>
      <c r="I184" s="968"/>
      <c r="J184" s="968"/>
      <c r="K184" s="968"/>
      <c r="L184" s="968"/>
      <c r="M184" s="968"/>
      <c r="N184" s="968"/>
      <c r="O184" s="968"/>
      <c r="P184" s="968"/>
      <c r="Q184" s="968"/>
      <c r="R184" s="968"/>
      <c r="S184" s="968"/>
      <c r="T184" s="968"/>
      <c r="U184" s="968"/>
      <c r="V184" s="968"/>
      <c r="W184" s="968"/>
      <c r="X184" s="968"/>
      <c r="Y184" s="968"/>
      <c r="Z184" s="968"/>
      <c r="AA184" s="968"/>
      <c r="AB184" s="968"/>
      <c r="AC184" s="968"/>
      <c r="AD184" s="968"/>
      <c r="AE184" s="968"/>
      <c r="AF184" s="968"/>
      <c r="AG184" s="969"/>
      <c r="AH184" s="969"/>
      <c r="AI184" s="968"/>
      <c r="AJ184" s="968"/>
      <c r="AK184" s="968"/>
      <c r="AL184" s="968"/>
      <c r="AM184" s="968"/>
      <c r="AN184" s="968"/>
      <c r="AO184" s="968"/>
      <c r="AP184" s="968"/>
      <c r="AQ184" s="968"/>
      <c r="AR184" s="968"/>
      <c r="AS184" s="968"/>
      <c r="AT184" s="968"/>
      <c r="AU184" s="968"/>
      <c r="AV184" s="968"/>
      <c r="AW184" s="968"/>
      <c r="AX184" s="968"/>
      <c r="AY184" s="968"/>
      <c r="AZ184" s="968"/>
      <c r="BA184" s="968"/>
      <c r="BB184" s="968"/>
    </row>
    <row r="185" spans="1:57" s="1061" customFormat="1" ht="6" customHeight="1" x14ac:dyDescent="0.15">
      <c r="A185" s="968"/>
      <c r="B185" s="968"/>
      <c r="C185" s="968"/>
      <c r="D185" s="968"/>
      <c r="E185" s="968"/>
      <c r="F185" s="968"/>
      <c r="G185" s="968"/>
      <c r="H185" s="968"/>
      <c r="I185" s="968"/>
      <c r="J185" s="968"/>
      <c r="K185" s="968"/>
      <c r="L185" s="968"/>
      <c r="M185" s="968"/>
      <c r="N185" s="968"/>
      <c r="O185" s="968"/>
      <c r="P185" s="968"/>
      <c r="Q185" s="968"/>
      <c r="R185" s="968"/>
      <c r="S185" s="968"/>
      <c r="T185" s="968"/>
      <c r="U185" s="968"/>
      <c r="V185" s="968"/>
      <c r="W185" s="968"/>
      <c r="X185" s="968"/>
      <c r="Y185" s="968"/>
      <c r="Z185" s="968"/>
      <c r="AA185" s="968"/>
      <c r="AB185" s="968"/>
      <c r="AC185" s="968"/>
      <c r="AD185" s="968"/>
      <c r="AE185" s="968"/>
      <c r="AF185" s="968"/>
      <c r="AG185" s="969"/>
      <c r="AH185" s="969"/>
      <c r="AI185" s="968"/>
      <c r="AJ185" s="968"/>
      <c r="AK185" s="968"/>
      <c r="AL185" s="968"/>
      <c r="AM185" s="968"/>
      <c r="AN185" s="968"/>
      <c r="AO185" s="968"/>
      <c r="AP185" s="968"/>
      <c r="AQ185" s="968"/>
      <c r="AR185" s="968"/>
      <c r="AS185" s="968"/>
      <c r="AT185" s="968"/>
      <c r="AU185" s="968"/>
      <c r="AV185" s="968"/>
      <c r="AW185" s="968"/>
      <c r="AX185" s="968"/>
      <c r="AY185" s="968"/>
      <c r="AZ185" s="968"/>
      <c r="BA185" s="968"/>
      <c r="BB185" s="968"/>
    </row>
    <row r="186" spans="1:57" s="1061" customFormat="1" ht="12.95" customHeight="1" x14ac:dyDescent="0.15">
      <c r="A186" s="969"/>
      <c r="B186" s="968"/>
      <c r="C186" s="964"/>
      <c r="D186" s="964"/>
      <c r="E186" s="964"/>
      <c r="F186" s="964"/>
      <c r="G186" s="964"/>
      <c r="H186" s="964"/>
      <c r="I186" s="994"/>
      <c r="J186" s="1065"/>
      <c r="K186" s="1065"/>
      <c r="L186" s="1065"/>
      <c r="M186" s="1065"/>
      <c r="N186" s="1065"/>
      <c r="O186" s="1065"/>
      <c r="P186" s="1065"/>
      <c r="Q186" s="1065"/>
      <c r="R186" s="1065"/>
      <c r="S186" s="1065"/>
      <c r="T186" s="1065"/>
      <c r="U186" s="1065"/>
      <c r="V186" s="1065"/>
      <c r="W186" s="1065"/>
      <c r="X186" s="1065"/>
      <c r="Y186" s="1065"/>
      <c r="Z186" s="1065"/>
      <c r="AA186" s="1065"/>
      <c r="AB186" s="1065"/>
      <c r="AC186" s="1065"/>
      <c r="AD186" s="1065"/>
      <c r="AE186" s="1065"/>
      <c r="AF186" s="1065"/>
      <c r="AG186" s="1065"/>
      <c r="AH186" s="1065"/>
      <c r="AI186" s="1065"/>
      <c r="AJ186" s="1065"/>
      <c r="AK186" s="1065"/>
      <c r="AL186" s="1065"/>
      <c r="AM186" s="1065"/>
      <c r="AN186" s="1065"/>
      <c r="AO186" s="1065"/>
      <c r="AP186" s="1065"/>
      <c r="AQ186" s="1065"/>
      <c r="AR186" s="1065"/>
      <c r="AS186" s="1065"/>
      <c r="AT186" s="979"/>
      <c r="AU186" s="979"/>
      <c r="AV186" s="979"/>
      <c r="AW186" s="986"/>
      <c r="AX186" s="969"/>
      <c r="AY186" s="968"/>
      <c r="AZ186" s="968"/>
      <c r="BA186" s="968"/>
      <c r="BB186" s="968"/>
      <c r="BC186" s="987"/>
      <c r="BD186" s="968"/>
      <c r="BE186" s="968"/>
    </row>
    <row r="187" spans="1:57" s="1061" customFormat="1" ht="12.95" customHeight="1" x14ac:dyDescent="0.15">
      <c r="A187" s="969"/>
      <c r="B187" s="968"/>
      <c r="C187" s="3202" t="s">
        <v>1243</v>
      </c>
      <c r="D187" s="3317"/>
      <c r="E187" s="3317"/>
      <c r="F187" s="3317"/>
      <c r="G187" s="3317"/>
      <c r="H187" s="3317"/>
      <c r="I187" s="3318"/>
      <c r="J187" s="3332" t="str">
        <f>'1_入力シート【基本情報】'!$DY$255</f>
        <v/>
      </c>
      <c r="K187" s="3333"/>
      <c r="L187" s="3333"/>
      <c r="M187" s="3333"/>
      <c r="N187" s="3333"/>
      <c r="O187" s="3333"/>
      <c r="P187" s="3333"/>
      <c r="Q187" s="3333"/>
      <c r="R187" s="3333"/>
      <c r="S187" s="3333"/>
      <c r="T187" s="3333"/>
      <c r="U187" s="3333"/>
      <c r="V187" s="3333"/>
      <c r="W187" s="3333"/>
      <c r="X187" s="3333"/>
      <c r="Y187" s="3333"/>
      <c r="Z187" s="3333"/>
      <c r="AA187" s="3333"/>
      <c r="AB187" s="3333"/>
      <c r="AC187" s="3333"/>
      <c r="AD187" s="3333"/>
      <c r="AE187" s="3333"/>
      <c r="AF187" s="3333"/>
      <c r="AG187" s="3333"/>
      <c r="AH187" s="3333"/>
      <c r="AI187" s="3333"/>
      <c r="AJ187" s="3333"/>
      <c r="AK187" s="3333"/>
      <c r="AL187" s="3333"/>
      <c r="AM187" s="3333"/>
      <c r="AN187" s="3333"/>
      <c r="AO187" s="3333"/>
      <c r="AP187" s="3333"/>
      <c r="AQ187" s="3333"/>
      <c r="AR187" s="3333"/>
      <c r="AS187" s="3334"/>
      <c r="AT187" s="979"/>
      <c r="AU187" s="979"/>
      <c r="AV187" s="979"/>
      <c r="AW187" s="986"/>
      <c r="AX187" s="969"/>
      <c r="AY187" s="968"/>
      <c r="AZ187" s="968"/>
      <c r="BA187" s="968"/>
      <c r="BB187" s="968"/>
      <c r="BC187" s="987"/>
      <c r="BD187" s="968"/>
      <c r="BE187" s="968"/>
    </row>
    <row r="188" spans="1:57" s="1061" customFormat="1" ht="12.95" customHeight="1" x14ac:dyDescent="0.15">
      <c r="A188" s="969"/>
      <c r="B188" s="968"/>
      <c r="C188" s="1039"/>
      <c r="D188" s="964"/>
      <c r="E188" s="964"/>
      <c r="F188" s="964"/>
      <c r="G188" s="964"/>
      <c r="H188" s="964"/>
      <c r="I188" s="982"/>
      <c r="J188" s="3335"/>
      <c r="K188" s="3336"/>
      <c r="L188" s="3336"/>
      <c r="M188" s="3336"/>
      <c r="N188" s="3336"/>
      <c r="O188" s="3336"/>
      <c r="P188" s="3336"/>
      <c r="Q188" s="3336"/>
      <c r="R188" s="3336"/>
      <c r="S188" s="3336"/>
      <c r="T188" s="3336"/>
      <c r="U188" s="3336"/>
      <c r="V188" s="3336"/>
      <c r="W188" s="3336"/>
      <c r="X188" s="3336"/>
      <c r="Y188" s="3336"/>
      <c r="Z188" s="3336"/>
      <c r="AA188" s="3336"/>
      <c r="AB188" s="3336"/>
      <c r="AC188" s="3336"/>
      <c r="AD188" s="3336"/>
      <c r="AE188" s="3336"/>
      <c r="AF188" s="3336"/>
      <c r="AG188" s="3336"/>
      <c r="AH188" s="3336"/>
      <c r="AI188" s="3336"/>
      <c r="AJ188" s="3336"/>
      <c r="AK188" s="3336"/>
      <c r="AL188" s="3336"/>
      <c r="AM188" s="3336"/>
      <c r="AN188" s="3336"/>
      <c r="AO188" s="3336"/>
      <c r="AP188" s="3336"/>
      <c r="AQ188" s="3336"/>
      <c r="AR188" s="3336"/>
      <c r="AS188" s="3337"/>
      <c r="AT188" s="979"/>
      <c r="AU188" s="979"/>
      <c r="AV188" s="979"/>
      <c r="AW188" s="986"/>
      <c r="AX188" s="969"/>
      <c r="AY188" s="968"/>
      <c r="AZ188" s="968"/>
      <c r="BA188" s="968"/>
      <c r="BB188" s="968"/>
      <c r="BC188" s="987"/>
      <c r="BD188" s="968"/>
      <c r="BE188" s="968"/>
    </row>
    <row r="189" spans="1:57" s="1061" customFormat="1" ht="12.95" customHeight="1" x14ac:dyDescent="0.15">
      <c r="A189" s="969"/>
      <c r="B189" s="968"/>
      <c r="C189" s="983"/>
      <c r="D189" s="964"/>
      <c r="E189" s="964"/>
      <c r="F189" s="964"/>
      <c r="G189" s="964"/>
      <c r="H189" s="964"/>
      <c r="I189" s="982"/>
      <c r="J189" s="3335"/>
      <c r="K189" s="3336"/>
      <c r="L189" s="3336"/>
      <c r="M189" s="3336"/>
      <c r="N189" s="3336"/>
      <c r="O189" s="3336"/>
      <c r="P189" s="3336"/>
      <c r="Q189" s="3336"/>
      <c r="R189" s="3336"/>
      <c r="S189" s="3336"/>
      <c r="T189" s="3336"/>
      <c r="U189" s="3336"/>
      <c r="V189" s="3336"/>
      <c r="W189" s="3336"/>
      <c r="X189" s="3336"/>
      <c r="Y189" s="3336"/>
      <c r="Z189" s="3336"/>
      <c r="AA189" s="3336"/>
      <c r="AB189" s="3336"/>
      <c r="AC189" s="3336"/>
      <c r="AD189" s="3336"/>
      <c r="AE189" s="3336"/>
      <c r="AF189" s="3336"/>
      <c r="AG189" s="3336"/>
      <c r="AH189" s="3336"/>
      <c r="AI189" s="3336"/>
      <c r="AJ189" s="3336"/>
      <c r="AK189" s="3336"/>
      <c r="AL189" s="3336"/>
      <c r="AM189" s="3336"/>
      <c r="AN189" s="3336"/>
      <c r="AO189" s="3336"/>
      <c r="AP189" s="3336"/>
      <c r="AQ189" s="3336"/>
      <c r="AR189" s="3336"/>
      <c r="AS189" s="3337"/>
      <c r="AT189" s="979"/>
      <c r="AU189" s="979"/>
      <c r="AV189" s="979"/>
      <c r="AW189" s="986"/>
      <c r="AX189" s="969"/>
      <c r="AY189" s="968"/>
      <c r="AZ189" s="968"/>
      <c r="BA189" s="968"/>
      <c r="BB189" s="968"/>
      <c r="BC189" s="987"/>
      <c r="BD189" s="968"/>
      <c r="BE189" s="968"/>
    </row>
    <row r="190" spans="1:57" s="1061" customFormat="1" ht="12.95" customHeight="1" x14ac:dyDescent="0.15">
      <c r="A190" s="969"/>
      <c r="B190" s="968"/>
      <c r="C190" s="983"/>
      <c r="D190" s="964"/>
      <c r="E190" s="964"/>
      <c r="F190" s="964"/>
      <c r="G190" s="964"/>
      <c r="H190" s="964"/>
      <c r="I190" s="982"/>
      <c r="J190" s="3335"/>
      <c r="K190" s="3336"/>
      <c r="L190" s="3336"/>
      <c r="M190" s="3336"/>
      <c r="N190" s="3336"/>
      <c r="O190" s="3336"/>
      <c r="P190" s="3336"/>
      <c r="Q190" s="3336"/>
      <c r="R190" s="3336"/>
      <c r="S190" s="3336"/>
      <c r="T190" s="3336"/>
      <c r="U190" s="3336"/>
      <c r="V190" s="3336"/>
      <c r="W190" s="3336"/>
      <c r="X190" s="3336"/>
      <c r="Y190" s="3336"/>
      <c r="Z190" s="3336"/>
      <c r="AA190" s="3336"/>
      <c r="AB190" s="3336"/>
      <c r="AC190" s="3336"/>
      <c r="AD190" s="3336"/>
      <c r="AE190" s="3336"/>
      <c r="AF190" s="3336"/>
      <c r="AG190" s="3336"/>
      <c r="AH190" s="3336"/>
      <c r="AI190" s="3336"/>
      <c r="AJ190" s="3336"/>
      <c r="AK190" s="3336"/>
      <c r="AL190" s="3336"/>
      <c r="AM190" s="3336"/>
      <c r="AN190" s="3336"/>
      <c r="AO190" s="3336"/>
      <c r="AP190" s="3336"/>
      <c r="AQ190" s="3336"/>
      <c r="AR190" s="3336"/>
      <c r="AS190" s="3337"/>
      <c r="AT190" s="979"/>
      <c r="AU190" s="979"/>
      <c r="AV190" s="979"/>
      <c r="AW190" s="986"/>
      <c r="AX190" s="969"/>
      <c r="AY190" s="968"/>
      <c r="AZ190" s="968"/>
      <c r="BA190" s="968"/>
      <c r="BB190" s="968"/>
      <c r="BC190" s="987"/>
      <c r="BD190" s="968"/>
      <c r="BE190" s="968"/>
    </row>
    <row r="191" spans="1:57" s="1061" customFormat="1" ht="12.95" customHeight="1" x14ac:dyDescent="0.15">
      <c r="A191" s="969"/>
      <c r="B191" s="968"/>
      <c r="C191" s="983"/>
      <c r="D191" s="964"/>
      <c r="E191" s="964"/>
      <c r="F191" s="964"/>
      <c r="G191" s="964"/>
      <c r="H191" s="964"/>
      <c r="I191" s="982"/>
      <c r="J191" s="3335"/>
      <c r="K191" s="3336"/>
      <c r="L191" s="3336"/>
      <c r="M191" s="3336"/>
      <c r="N191" s="3336"/>
      <c r="O191" s="3336"/>
      <c r="P191" s="3336"/>
      <c r="Q191" s="3336"/>
      <c r="R191" s="3336"/>
      <c r="S191" s="3336"/>
      <c r="T191" s="3336"/>
      <c r="U191" s="3336"/>
      <c r="V191" s="3336"/>
      <c r="W191" s="3336"/>
      <c r="X191" s="3336"/>
      <c r="Y191" s="3336"/>
      <c r="Z191" s="3336"/>
      <c r="AA191" s="3336"/>
      <c r="AB191" s="3336"/>
      <c r="AC191" s="3336"/>
      <c r="AD191" s="3336"/>
      <c r="AE191" s="3336"/>
      <c r="AF191" s="3336"/>
      <c r="AG191" s="3336"/>
      <c r="AH191" s="3336"/>
      <c r="AI191" s="3336"/>
      <c r="AJ191" s="3336"/>
      <c r="AK191" s="3336"/>
      <c r="AL191" s="3336"/>
      <c r="AM191" s="3336"/>
      <c r="AN191" s="3336"/>
      <c r="AO191" s="3336"/>
      <c r="AP191" s="3336"/>
      <c r="AQ191" s="3336"/>
      <c r="AR191" s="3336"/>
      <c r="AS191" s="3337"/>
      <c r="AT191" s="979"/>
      <c r="AU191" s="979"/>
      <c r="AV191" s="979"/>
      <c r="AW191" s="986"/>
      <c r="AX191" s="969"/>
      <c r="AY191" s="968"/>
      <c r="AZ191" s="968"/>
      <c r="BA191" s="968"/>
      <c r="BB191" s="968"/>
      <c r="BC191" s="987"/>
      <c r="BD191" s="968"/>
      <c r="BE191" s="968"/>
    </row>
    <row r="192" spans="1:57" s="1061" customFormat="1" ht="12.95" customHeight="1" x14ac:dyDescent="0.15">
      <c r="A192" s="969"/>
      <c r="B192" s="968"/>
      <c r="C192" s="983"/>
      <c r="D192" s="964"/>
      <c r="E192" s="964"/>
      <c r="F192" s="964"/>
      <c r="G192" s="964"/>
      <c r="H192" s="964"/>
      <c r="I192" s="982"/>
      <c r="J192" s="3335"/>
      <c r="K192" s="3336"/>
      <c r="L192" s="3336"/>
      <c r="M192" s="3336"/>
      <c r="N192" s="3336"/>
      <c r="O192" s="3336"/>
      <c r="P192" s="3336"/>
      <c r="Q192" s="3336"/>
      <c r="R192" s="3336"/>
      <c r="S192" s="3336"/>
      <c r="T192" s="3336"/>
      <c r="U192" s="3336"/>
      <c r="V192" s="3336"/>
      <c r="W192" s="3336"/>
      <c r="X192" s="3336"/>
      <c r="Y192" s="3336"/>
      <c r="Z192" s="3336"/>
      <c r="AA192" s="3336"/>
      <c r="AB192" s="3336"/>
      <c r="AC192" s="3336"/>
      <c r="AD192" s="3336"/>
      <c r="AE192" s="3336"/>
      <c r="AF192" s="3336"/>
      <c r="AG192" s="3336"/>
      <c r="AH192" s="3336"/>
      <c r="AI192" s="3336"/>
      <c r="AJ192" s="3336"/>
      <c r="AK192" s="3336"/>
      <c r="AL192" s="3336"/>
      <c r="AM192" s="3336"/>
      <c r="AN192" s="3336"/>
      <c r="AO192" s="3336"/>
      <c r="AP192" s="3336"/>
      <c r="AQ192" s="3336"/>
      <c r="AR192" s="3336"/>
      <c r="AS192" s="3337"/>
      <c r="AT192" s="979"/>
      <c r="AU192" s="979"/>
      <c r="AV192" s="979"/>
      <c r="AW192" s="986"/>
      <c r="AX192" s="969"/>
      <c r="AY192" s="968"/>
      <c r="AZ192" s="968"/>
      <c r="BA192" s="968"/>
      <c r="BB192" s="968"/>
      <c r="BC192" s="987"/>
      <c r="BD192" s="968"/>
      <c r="BE192" s="968"/>
    </row>
    <row r="193" spans="1:67" s="1061" customFormat="1" ht="12.95" customHeight="1" x14ac:dyDescent="0.15">
      <c r="A193" s="969"/>
      <c r="B193" s="968"/>
      <c r="C193" s="983"/>
      <c r="D193" s="964"/>
      <c r="E193" s="964"/>
      <c r="F193" s="964"/>
      <c r="G193" s="964"/>
      <c r="H193" s="964"/>
      <c r="I193" s="982"/>
      <c r="J193" s="3335"/>
      <c r="K193" s="3336"/>
      <c r="L193" s="3336"/>
      <c r="M193" s="3336"/>
      <c r="N193" s="3336"/>
      <c r="O193" s="3336"/>
      <c r="P193" s="3336"/>
      <c r="Q193" s="3336"/>
      <c r="R193" s="3336"/>
      <c r="S193" s="3336"/>
      <c r="T193" s="3336"/>
      <c r="U193" s="3336"/>
      <c r="V193" s="3336"/>
      <c r="W193" s="3336"/>
      <c r="X193" s="3336"/>
      <c r="Y193" s="3336"/>
      <c r="Z193" s="3336"/>
      <c r="AA193" s="3336"/>
      <c r="AB193" s="3336"/>
      <c r="AC193" s="3336"/>
      <c r="AD193" s="3336"/>
      <c r="AE193" s="3336"/>
      <c r="AF193" s="3336"/>
      <c r="AG193" s="3336"/>
      <c r="AH193" s="3336"/>
      <c r="AI193" s="3336"/>
      <c r="AJ193" s="3336"/>
      <c r="AK193" s="3336"/>
      <c r="AL193" s="3336"/>
      <c r="AM193" s="3336"/>
      <c r="AN193" s="3336"/>
      <c r="AO193" s="3336"/>
      <c r="AP193" s="3336"/>
      <c r="AQ193" s="3336"/>
      <c r="AR193" s="3336"/>
      <c r="AS193" s="3337"/>
      <c r="AT193" s="979"/>
      <c r="AU193" s="979"/>
      <c r="AV193" s="979"/>
      <c r="AW193" s="986"/>
      <c r="AX193" s="969"/>
      <c r="AY193" s="968"/>
      <c r="AZ193" s="968"/>
      <c r="BA193" s="968"/>
      <c r="BB193" s="968"/>
      <c r="BC193" s="987"/>
      <c r="BD193" s="968"/>
      <c r="BE193" s="968"/>
    </row>
    <row r="194" spans="1:67" s="1061" customFormat="1" ht="12.95" customHeight="1" x14ac:dyDescent="0.15">
      <c r="A194" s="969"/>
      <c r="B194" s="968"/>
      <c r="C194" s="983"/>
      <c r="D194" s="964"/>
      <c r="E194" s="964"/>
      <c r="F194" s="964"/>
      <c r="G194" s="964"/>
      <c r="H194" s="964"/>
      <c r="I194" s="982"/>
      <c r="J194" s="3335"/>
      <c r="K194" s="3336"/>
      <c r="L194" s="3336"/>
      <c r="M194" s="3336"/>
      <c r="N194" s="3336"/>
      <c r="O194" s="3336"/>
      <c r="P194" s="3336"/>
      <c r="Q194" s="3336"/>
      <c r="R194" s="3336"/>
      <c r="S194" s="3336"/>
      <c r="T194" s="3336"/>
      <c r="U194" s="3336"/>
      <c r="V194" s="3336"/>
      <c r="W194" s="3336"/>
      <c r="X194" s="3336"/>
      <c r="Y194" s="3336"/>
      <c r="Z194" s="3336"/>
      <c r="AA194" s="3336"/>
      <c r="AB194" s="3336"/>
      <c r="AC194" s="3336"/>
      <c r="AD194" s="3336"/>
      <c r="AE194" s="3336"/>
      <c r="AF194" s="3336"/>
      <c r="AG194" s="3336"/>
      <c r="AH194" s="3336"/>
      <c r="AI194" s="3336"/>
      <c r="AJ194" s="3336"/>
      <c r="AK194" s="3336"/>
      <c r="AL194" s="3336"/>
      <c r="AM194" s="3336"/>
      <c r="AN194" s="3336"/>
      <c r="AO194" s="3336"/>
      <c r="AP194" s="3336"/>
      <c r="AQ194" s="3336"/>
      <c r="AR194" s="3336"/>
      <c r="AS194" s="3337"/>
      <c r="AT194" s="979"/>
      <c r="AU194" s="979"/>
      <c r="AV194" s="979"/>
      <c r="AW194" s="986"/>
      <c r="AX194" s="969"/>
      <c r="AY194" s="968"/>
      <c r="AZ194" s="968"/>
      <c r="BA194" s="968"/>
      <c r="BB194" s="968"/>
      <c r="BC194" s="987"/>
      <c r="BD194" s="968"/>
      <c r="BE194" s="968"/>
    </row>
    <row r="195" spans="1:67" s="1061" customFormat="1" ht="12.95" customHeight="1" x14ac:dyDescent="0.15">
      <c r="A195" s="969"/>
      <c r="B195" s="968"/>
      <c r="C195" s="983"/>
      <c r="D195" s="964"/>
      <c r="E195" s="964"/>
      <c r="F195" s="964"/>
      <c r="G195" s="964"/>
      <c r="H195" s="964"/>
      <c r="I195" s="982"/>
      <c r="J195" s="3335"/>
      <c r="K195" s="3336"/>
      <c r="L195" s="3336"/>
      <c r="M195" s="3336"/>
      <c r="N195" s="3336"/>
      <c r="O195" s="3336"/>
      <c r="P195" s="3336"/>
      <c r="Q195" s="3336"/>
      <c r="R195" s="3336"/>
      <c r="S195" s="3336"/>
      <c r="T195" s="3336"/>
      <c r="U195" s="3336"/>
      <c r="V195" s="3336"/>
      <c r="W195" s="3336"/>
      <c r="X195" s="3336"/>
      <c r="Y195" s="3336"/>
      <c r="Z195" s="3336"/>
      <c r="AA195" s="3336"/>
      <c r="AB195" s="3336"/>
      <c r="AC195" s="3336"/>
      <c r="AD195" s="3336"/>
      <c r="AE195" s="3336"/>
      <c r="AF195" s="3336"/>
      <c r="AG195" s="3336"/>
      <c r="AH195" s="3336"/>
      <c r="AI195" s="3336"/>
      <c r="AJ195" s="3336"/>
      <c r="AK195" s="3336"/>
      <c r="AL195" s="3336"/>
      <c r="AM195" s="3336"/>
      <c r="AN195" s="3336"/>
      <c r="AO195" s="3336"/>
      <c r="AP195" s="3336"/>
      <c r="AQ195" s="3336"/>
      <c r="AR195" s="3336"/>
      <c r="AS195" s="3337"/>
      <c r="AT195" s="979"/>
      <c r="AU195" s="979"/>
      <c r="AV195" s="979"/>
      <c r="AW195" s="986"/>
      <c r="AX195" s="969"/>
      <c r="AY195" s="968"/>
      <c r="AZ195" s="968"/>
      <c r="BA195" s="968"/>
      <c r="BB195" s="968"/>
      <c r="BC195" s="987"/>
      <c r="BD195" s="968"/>
      <c r="BE195" s="968"/>
    </row>
    <row r="196" spans="1:67" s="1061" customFormat="1" ht="12.95" customHeight="1" x14ac:dyDescent="0.15">
      <c r="A196" s="969"/>
      <c r="B196" s="968"/>
      <c r="C196" s="989"/>
      <c r="D196" s="990"/>
      <c r="E196" s="990"/>
      <c r="F196" s="990"/>
      <c r="G196" s="990"/>
      <c r="H196" s="990"/>
      <c r="I196" s="991"/>
      <c r="J196" s="3338"/>
      <c r="K196" s="3339"/>
      <c r="L196" s="3339"/>
      <c r="M196" s="3339"/>
      <c r="N196" s="3339"/>
      <c r="O196" s="3339"/>
      <c r="P196" s="3339"/>
      <c r="Q196" s="3339"/>
      <c r="R196" s="3339"/>
      <c r="S196" s="3339"/>
      <c r="T196" s="3339"/>
      <c r="U196" s="3339"/>
      <c r="V196" s="3339"/>
      <c r="W196" s="3339"/>
      <c r="X196" s="3339"/>
      <c r="Y196" s="3339"/>
      <c r="Z196" s="3339"/>
      <c r="AA196" s="3339"/>
      <c r="AB196" s="3339"/>
      <c r="AC196" s="3339"/>
      <c r="AD196" s="3339"/>
      <c r="AE196" s="3339"/>
      <c r="AF196" s="3339"/>
      <c r="AG196" s="3339"/>
      <c r="AH196" s="3339"/>
      <c r="AI196" s="3339"/>
      <c r="AJ196" s="3339"/>
      <c r="AK196" s="3339"/>
      <c r="AL196" s="3339"/>
      <c r="AM196" s="3339"/>
      <c r="AN196" s="3339"/>
      <c r="AO196" s="3339"/>
      <c r="AP196" s="3339"/>
      <c r="AQ196" s="3339"/>
      <c r="AR196" s="3339"/>
      <c r="AS196" s="3340"/>
      <c r="AT196" s="979"/>
      <c r="AU196" s="979"/>
      <c r="AV196" s="979"/>
      <c r="AW196" s="986"/>
      <c r="AX196" s="969"/>
      <c r="AY196" s="968"/>
      <c r="AZ196" s="968"/>
      <c r="BA196" s="968"/>
      <c r="BB196" s="968"/>
      <c r="BC196" s="987"/>
      <c r="BD196" s="968"/>
      <c r="BE196" s="968"/>
    </row>
    <row r="197" spans="1:67" s="1061" customFormat="1" ht="12.95" customHeight="1" x14ac:dyDescent="0.15">
      <c r="A197" s="969"/>
      <c r="B197" s="968"/>
      <c r="C197" s="964"/>
      <c r="D197" s="964"/>
      <c r="E197" s="964"/>
      <c r="F197" s="964"/>
      <c r="G197" s="964"/>
      <c r="H197" s="964"/>
      <c r="I197" s="994"/>
      <c r="J197" s="1066"/>
      <c r="K197" s="1066"/>
      <c r="L197" s="1066"/>
      <c r="M197" s="1066"/>
      <c r="N197" s="1066"/>
      <c r="O197" s="1066"/>
      <c r="P197" s="1066"/>
      <c r="Q197" s="1066"/>
      <c r="R197" s="1066"/>
      <c r="S197" s="1066"/>
      <c r="T197" s="1066"/>
      <c r="U197" s="1066"/>
      <c r="V197" s="1066"/>
      <c r="W197" s="1066"/>
      <c r="X197" s="1066"/>
      <c r="Y197" s="1066"/>
      <c r="Z197" s="1066"/>
      <c r="AA197" s="1066"/>
      <c r="AB197" s="1066"/>
      <c r="AC197" s="1066"/>
      <c r="AD197" s="1066"/>
      <c r="AE197" s="1066"/>
      <c r="AF197" s="1066"/>
      <c r="AG197" s="1066"/>
      <c r="AH197" s="1066"/>
      <c r="AI197" s="1066"/>
      <c r="AJ197" s="1066"/>
      <c r="AK197" s="1066"/>
      <c r="AL197" s="1066"/>
      <c r="AM197" s="1066"/>
      <c r="AN197" s="1066"/>
      <c r="AO197" s="1066"/>
      <c r="AP197" s="1066"/>
      <c r="AQ197" s="1066"/>
      <c r="AR197" s="1066"/>
      <c r="AS197" s="1066"/>
      <c r="AT197" s="979"/>
      <c r="AU197" s="979"/>
      <c r="AV197" s="979"/>
      <c r="AW197" s="986"/>
      <c r="AX197" s="969"/>
      <c r="AY197" s="968"/>
      <c r="AZ197" s="968"/>
      <c r="BA197" s="968"/>
      <c r="BB197" s="968"/>
      <c r="BC197" s="987"/>
      <c r="BD197" s="968"/>
      <c r="BE197" s="968"/>
    </row>
    <row r="198" spans="1:67" ht="14.1" customHeight="1" x14ac:dyDescent="0.15">
      <c r="B198" s="3316" t="s">
        <v>410</v>
      </c>
      <c r="C198" s="3316"/>
      <c r="D198" s="3316"/>
      <c r="E198" s="3316"/>
      <c r="F198" s="3316"/>
      <c r="G198" s="3316"/>
      <c r="H198" s="3316"/>
      <c r="I198" s="3316"/>
      <c r="J198" s="3316"/>
      <c r="K198" s="3316"/>
      <c r="L198" s="3316"/>
      <c r="M198" s="3316"/>
      <c r="N198" s="3316"/>
      <c r="O198" s="3316"/>
      <c r="P198" s="3316"/>
      <c r="Q198" s="3316"/>
      <c r="R198" s="3316"/>
      <c r="S198" s="3316"/>
      <c r="T198" s="3316"/>
      <c r="U198" s="3316"/>
      <c r="V198" s="3316"/>
      <c r="W198" s="3316"/>
      <c r="X198" s="3316"/>
      <c r="Y198" s="3316"/>
      <c r="Z198" s="3316"/>
      <c r="AA198" s="3316"/>
      <c r="AB198" s="3316"/>
      <c r="AC198" s="3316"/>
      <c r="AD198" s="3316"/>
      <c r="AE198" s="3316"/>
      <c r="AF198" s="3316"/>
      <c r="AG198" s="3316"/>
      <c r="AH198" s="3316"/>
      <c r="AI198" s="3316"/>
      <c r="AJ198" s="3316"/>
      <c r="AK198" s="3316"/>
      <c r="AL198" s="3316"/>
      <c r="AM198" s="3316"/>
      <c r="AN198" s="3316"/>
      <c r="AO198" s="3316"/>
      <c r="AP198" s="3316"/>
      <c r="AQ198" s="3316"/>
      <c r="AR198" s="3316"/>
      <c r="AS198" s="3316"/>
      <c r="AT198" s="3316"/>
      <c r="AU198" s="1067"/>
      <c r="AZ198" s="965"/>
    </row>
    <row r="199" spans="1:67" s="939" customFormat="1" ht="14.1" customHeight="1" x14ac:dyDescent="0.15">
      <c r="B199" s="939" t="s">
        <v>411</v>
      </c>
      <c r="AG199" s="969"/>
      <c r="AH199" s="969"/>
      <c r="AZ199" s="965"/>
      <c r="BB199" s="940"/>
      <c r="BC199" s="940"/>
      <c r="BD199" s="940"/>
      <c r="BE199" s="940"/>
      <c r="BF199" s="940"/>
      <c r="BG199" s="940"/>
      <c r="BH199" s="940"/>
      <c r="BI199" s="940"/>
      <c r="BJ199" s="940"/>
      <c r="BK199" s="940"/>
      <c r="BL199" s="940"/>
      <c r="BM199" s="940"/>
      <c r="BN199" s="940"/>
      <c r="BO199" s="940"/>
    </row>
    <row r="200" spans="1:67" s="939" customFormat="1" ht="4.5" customHeight="1" x14ac:dyDescent="0.15">
      <c r="AZ200" s="965"/>
      <c r="BB200" s="940"/>
      <c r="BC200" s="940"/>
      <c r="BD200" s="940"/>
      <c r="BE200" s="940"/>
      <c r="BF200" s="940"/>
      <c r="BG200" s="940"/>
      <c r="BH200" s="940"/>
      <c r="BI200" s="940"/>
      <c r="BJ200" s="940"/>
      <c r="BK200" s="940"/>
      <c r="BL200" s="940"/>
      <c r="BM200" s="940"/>
      <c r="BN200" s="940"/>
      <c r="BO200" s="940"/>
    </row>
    <row r="201" spans="1:67" s="939" customFormat="1" ht="4.5" customHeight="1" x14ac:dyDescent="0.15">
      <c r="AZ201" s="965"/>
      <c r="BB201" s="940"/>
      <c r="BC201" s="940"/>
      <c r="BD201" s="940"/>
      <c r="BE201" s="940"/>
      <c r="BF201" s="940"/>
      <c r="BG201" s="940"/>
      <c r="BH201" s="940"/>
      <c r="BI201" s="940"/>
      <c r="BJ201" s="940"/>
      <c r="BK201" s="940"/>
      <c r="BL201" s="940"/>
      <c r="BM201" s="940"/>
      <c r="BN201" s="940"/>
      <c r="BO201" s="940"/>
    </row>
    <row r="202" spans="1:67" s="939" customFormat="1" ht="14.1" customHeight="1" x14ac:dyDescent="0.15">
      <c r="B202" s="946" t="s">
        <v>412</v>
      </c>
      <c r="AZ202" s="965"/>
      <c r="BB202" s="940"/>
      <c r="BC202" s="940"/>
      <c r="BD202" s="940"/>
      <c r="BE202" s="940"/>
      <c r="BF202" s="940"/>
      <c r="BG202" s="940"/>
      <c r="BH202" s="940"/>
      <c r="BI202" s="940"/>
      <c r="BJ202" s="940"/>
      <c r="BK202" s="940"/>
      <c r="BL202" s="940"/>
      <c r="BM202" s="940"/>
      <c r="BN202" s="940"/>
      <c r="BO202" s="940"/>
    </row>
    <row r="203" spans="1:67" s="939" customFormat="1" ht="12.95" customHeight="1" x14ac:dyDescent="0.15">
      <c r="D203" s="946" t="s">
        <v>1771</v>
      </c>
      <c r="O203" s="1052" t="str">
        <f>IF('＜入力不要＞報告書'!O192="","",'＜入力不要＞報告書'!O192)</f>
        <v/>
      </c>
      <c r="P203" s="997" t="s">
        <v>414</v>
      </c>
      <c r="V203" s="1052" t="str">
        <f>IF('＜入力不要＞報告書'!V192="","",'＜入力不要＞報告書'!V192)</f>
        <v/>
      </c>
      <c r="W203" s="998" t="s">
        <v>247</v>
      </c>
      <c r="BB203" s="940"/>
      <c r="BC203" s="940"/>
      <c r="BD203" s="940"/>
      <c r="BE203" s="940"/>
      <c r="BF203" s="940"/>
      <c r="BG203" s="940"/>
      <c r="BH203" s="940"/>
      <c r="BI203" s="940"/>
      <c r="BJ203" s="940"/>
      <c r="BK203" s="940"/>
      <c r="BL203" s="940"/>
      <c r="BM203" s="940"/>
      <c r="BN203" s="940"/>
      <c r="BO203" s="940"/>
    </row>
    <row r="204" spans="1:67" s="939" customFormat="1" ht="12.95" customHeight="1" x14ac:dyDescent="0.15">
      <c r="D204" s="946"/>
      <c r="O204" s="1052" t="str">
        <f>IF('＜入力不要＞報告書'!O193="","",'＜入力不要＞報告書'!O193)</f>
        <v/>
      </c>
      <c r="P204" s="997" t="s">
        <v>415</v>
      </c>
      <c r="T204" s="3366" t="str">
        <f>IF('＜入力不要＞報告書'!T193="","",'＜入力不要＞報告書'!T193)</f>
        <v/>
      </c>
      <c r="U204" s="3366"/>
      <c r="V204" s="3366"/>
      <c r="W204" s="3366"/>
      <c r="X204" s="3366"/>
      <c r="Y204" s="3366"/>
      <c r="Z204" s="3366"/>
      <c r="AA204" s="3366"/>
      <c r="AB204" s="3366"/>
      <c r="AC204" s="3366"/>
      <c r="AD204" s="3366"/>
      <c r="AE204" s="3366"/>
      <c r="AF204" s="939" t="s">
        <v>22</v>
      </c>
      <c r="AI204" s="1052" t="str">
        <f>IF('＜入力不要＞報告書'!AI193="","",'＜入力不要＞報告書'!AI193)</f>
        <v/>
      </c>
      <c r="AJ204" s="998" t="s">
        <v>249</v>
      </c>
      <c r="BB204" s="940"/>
      <c r="BC204" s="940"/>
      <c r="BD204" s="940"/>
      <c r="BE204" s="940"/>
      <c r="BF204" s="940"/>
      <c r="BG204" s="940"/>
      <c r="BH204" s="940"/>
      <c r="BI204" s="940"/>
      <c r="BJ204" s="940"/>
      <c r="BK204" s="940"/>
      <c r="BL204" s="940"/>
      <c r="BM204" s="940"/>
      <c r="BN204" s="940"/>
      <c r="BO204" s="940"/>
    </row>
    <row r="205" spans="1:67" s="939" customFormat="1" ht="12.95" customHeight="1" x14ac:dyDescent="0.15">
      <c r="D205" s="946" t="s">
        <v>416</v>
      </c>
      <c r="O205" s="3368" t="str">
        <f>IF('＜入力不要＞報告書'!O194="","",'＜入力不要＞報告書'!O194)</f>
        <v/>
      </c>
      <c r="P205" s="3368"/>
      <c r="Q205" s="3368"/>
      <c r="R205" s="3368"/>
      <c r="S205" s="3368"/>
      <c r="T205" s="3368"/>
      <c r="U205" s="3368"/>
      <c r="V205" s="3368"/>
      <c r="W205" s="3368"/>
      <c r="X205" s="3368"/>
      <c r="Y205" s="3368"/>
      <c r="Z205" s="3368"/>
      <c r="AA205" s="3368"/>
      <c r="AB205" s="3368"/>
      <c r="AC205" s="3368"/>
      <c r="AD205" s="3368"/>
      <c r="AE205" s="3368"/>
      <c r="AF205" s="3368"/>
      <c r="AG205" s="3368"/>
      <c r="AH205" s="3368"/>
      <c r="AI205" s="3368"/>
      <c r="AJ205" s="3368"/>
      <c r="AK205" s="3368"/>
      <c r="AL205" s="3368"/>
      <c r="AM205" s="3368"/>
      <c r="AN205" s="3368"/>
      <c r="AO205" s="3368"/>
      <c r="AP205" s="3368"/>
      <c r="AQ205" s="3368"/>
      <c r="AR205" s="3368"/>
      <c r="AS205" s="3368"/>
      <c r="BB205" s="940"/>
      <c r="BC205" s="940"/>
      <c r="BD205" s="940"/>
      <c r="BE205" s="940"/>
      <c r="BF205" s="940"/>
      <c r="BG205" s="940"/>
      <c r="BH205" s="940"/>
      <c r="BI205" s="940"/>
      <c r="BJ205" s="940"/>
      <c r="BK205" s="940"/>
      <c r="BL205" s="940"/>
      <c r="BM205" s="940"/>
      <c r="BN205" s="940"/>
      <c r="BO205" s="940"/>
    </row>
    <row r="206" spans="1:67" s="939" customFormat="1" ht="12" hidden="1" customHeight="1" x14ac:dyDescent="0.15">
      <c r="N206" s="999"/>
      <c r="BB206" s="940"/>
      <c r="BC206" s="940"/>
      <c r="BD206" s="940"/>
      <c r="BE206" s="940"/>
      <c r="BF206" s="940"/>
      <c r="BG206" s="940"/>
      <c r="BH206" s="940"/>
      <c r="BI206" s="940"/>
      <c r="BJ206" s="940"/>
      <c r="BK206" s="940"/>
      <c r="BL206" s="940"/>
      <c r="BM206" s="940"/>
      <c r="BN206" s="940"/>
      <c r="BO206" s="940"/>
    </row>
    <row r="207" spans="1:67" s="939" customFormat="1" ht="12" hidden="1" customHeight="1" x14ac:dyDescent="0.15">
      <c r="N207" s="999"/>
      <c r="BB207" s="940"/>
      <c r="BC207" s="940"/>
      <c r="BD207" s="940"/>
      <c r="BE207" s="940"/>
      <c r="BF207" s="940"/>
      <c r="BG207" s="940"/>
      <c r="BH207" s="940"/>
      <c r="BI207" s="940"/>
      <c r="BJ207" s="940"/>
      <c r="BK207" s="940"/>
      <c r="BL207" s="940"/>
      <c r="BM207" s="940"/>
      <c r="BN207" s="940"/>
      <c r="BO207" s="940"/>
    </row>
    <row r="208" spans="1:67" s="939" customFormat="1" ht="12" hidden="1" customHeight="1" x14ac:dyDescent="0.15">
      <c r="N208" s="999"/>
      <c r="BB208" s="940"/>
      <c r="BC208" s="940"/>
      <c r="BD208" s="940"/>
      <c r="BE208" s="940"/>
      <c r="BF208" s="940"/>
      <c r="BG208" s="940"/>
      <c r="BH208" s="940"/>
      <c r="BI208" s="940"/>
      <c r="BJ208" s="940"/>
      <c r="BK208" s="940"/>
      <c r="BL208" s="940"/>
      <c r="BM208" s="940"/>
      <c r="BN208" s="940"/>
      <c r="BO208" s="940"/>
    </row>
    <row r="209" spans="2:67" s="939" customFormat="1" ht="4.5" customHeight="1" x14ac:dyDescent="0.15">
      <c r="BB209" s="940"/>
      <c r="BC209" s="940"/>
      <c r="BD209" s="940"/>
      <c r="BE209" s="940"/>
      <c r="BF209" s="940"/>
      <c r="BG209" s="940"/>
      <c r="BH209" s="940"/>
      <c r="BI209" s="940"/>
      <c r="BJ209" s="940"/>
      <c r="BK209" s="940"/>
      <c r="BL209" s="940"/>
      <c r="BM209" s="940"/>
      <c r="BN209" s="940"/>
      <c r="BO209" s="940"/>
    </row>
    <row r="210" spans="2:67" s="939" customFormat="1" ht="4.5" customHeight="1" x14ac:dyDescent="0.15">
      <c r="BB210" s="940"/>
      <c r="BC210" s="940"/>
      <c r="BD210" s="940"/>
      <c r="BE210" s="940"/>
      <c r="BF210" s="940"/>
      <c r="BG210" s="940"/>
      <c r="BH210" s="940"/>
      <c r="BI210" s="940"/>
      <c r="BJ210" s="940"/>
      <c r="BK210" s="940"/>
      <c r="BL210" s="940"/>
      <c r="BM210" s="940"/>
      <c r="BN210" s="940"/>
      <c r="BO210" s="940"/>
    </row>
    <row r="211" spans="2:67" s="939" customFormat="1" ht="14.1" customHeight="1" x14ac:dyDescent="0.15">
      <c r="B211" s="946" t="s">
        <v>417</v>
      </c>
      <c r="BB211" s="940"/>
      <c r="BC211" s="940"/>
      <c r="BD211" s="940"/>
      <c r="BE211" s="940"/>
      <c r="BF211" s="940"/>
      <c r="BG211" s="940"/>
      <c r="BH211" s="940"/>
      <c r="BI211" s="940"/>
      <c r="BJ211" s="940"/>
      <c r="BK211" s="940"/>
      <c r="BL211" s="940"/>
      <c r="BM211" s="940"/>
      <c r="BN211" s="940"/>
      <c r="BO211" s="940"/>
    </row>
    <row r="212" spans="2:67" s="939" customFormat="1" ht="12.95" customHeight="1" x14ac:dyDescent="0.15">
      <c r="D212" s="946" t="s">
        <v>418</v>
      </c>
      <c r="O212" s="1052" t="str">
        <f>IF('＜入力不要＞報告書'!O201="","",'＜入力不要＞報告書'!O201)</f>
        <v/>
      </c>
      <c r="P212" s="1000" t="s">
        <v>419</v>
      </c>
      <c r="AA212" s="1052" t="str">
        <f>IF('＜入力不要＞報告書'!AA201="","",'＜入力不要＞報告書'!AA201)</f>
        <v/>
      </c>
      <c r="AB212" s="939" t="s">
        <v>420</v>
      </c>
      <c r="AI212" s="960"/>
      <c r="AJ212" s="960"/>
      <c r="AK212" s="960"/>
      <c r="AL212" s="960"/>
      <c r="AM212" s="960"/>
      <c r="AN212" s="960"/>
      <c r="BB212" s="940"/>
      <c r="BC212" s="940"/>
      <c r="BD212" s="940"/>
      <c r="BE212" s="940"/>
      <c r="BF212" s="940"/>
      <c r="BG212" s="940"/>
      <c r="BH212" s="940"/>
      <c r="BI212" s="940"/>
      <c r="BJ212" s="940"/>
      <c r="BK212" s="940"/>
      <c r="BL212" s="940"/>
      <c r="BM212" s="940"/>
      <c r="BN212" s="940"/>
      <c r="BO212" s="940"/>
    </row>
    <row r="213" spans="2:67" s="939" customFormat="1" ht="12.95" customHeight="1" x14ac:dyDescent="0.15">
      <c r="D213" s="946"/>
      <c r="O213" s="1052" t="str">
        <f>IF('＜入力不要＞報告書'!O202="","",'＜入力不要＞報告書'!O202)</f>
        <v/>
      </c>
      <c r="P213" s="1000" t="s">
        <v>421</v>
      </c>
      <c r="Q213" s="998"/>
      <c r="AA213" s="1052" t="str">
        <f>IF('＜入力不要＞報告書'!AA202="","",'＜入力不要＞報告書'!AA202)</f>
        <v/>
      </c>
      <c r="AB213" s="939" t="s">
        <v>415</v>
      </c>
      <c r="AC213" s="998"/>
      <c r="AD213" s="998"/>
      <c r="AE213" s="998"/>
      <c r="AF213" s="3366" t="str">
        <f>IF('＜入力不要＞報告書'!AF202="","",'＜入力不要＞報告書'!AF202)</f>
        <v/>
      </c>
      <c r="AG213" s="3366"/>
      <c r="AH213" s="3366"/>
      <c r="AI213" s="3366"/>
      <c r="AJ213" s="3366"/>
      <c r="AK213" s="3366"/>
      <c r="AL213" s="3366"/>
      <c r="AM213" s="3366"/>
      <c r="AN213" s="3366"/>
      <c r="AO213" s="3366"/>
      <c r="AP213" s="3366"/>
      <c r="AQ213" s="3366"/>
      <c r="AR213" s="998" t="s">
        <v>22</v>
      </c>
      <c r="BB213" s="940"/>
      <c r="BC213" s="940"/>
      <c r="BD213" s="940"/>
      <c r="BE213" s="940"/>
      <c r="BF213" s="940"/>
      <c r="BG213" s="940"/>
      <c r="BH213" s="940"/>
      <c r="BI213" s="940"/>
      <c r="BJ213" s="940"/>
      <c r="BK213" s="940"/>
      <c r="BL213" s="940"/>
      <c r="BM213" s="940"/>
      <c r="BN213" s="940"/>
      <c r="BO213" s="940"/>
    </row>
    <row r="214" spans="2:67" s="939" customFormat="1" ht="12.95" customHeight="1" x14ac:dyDescent="0.15">
      <c r="D214" s="946" t="s">
        <v>422</v>
      </c>
      <c r="P214" s="1000" t="s">
        <v>262</v>
      </c>
      <c r="R214" s="3363" t="str">
        <f>IF('＜入力不要＞報告書'!R203="","",'＜入力不要＞報告書'!R203)</f>
        <v/>
      </c>
      <c r="S214" s="3363"/>
      <c r="T214" s="3363"/>
      <c r="U214" s="997" t="s">
        <v>17</v>
      </c>
      <c r="X214" s="997" t="s">
        <v>263</v>
      </c>
      <c r="Z214" s="3363" t="str">
        <f>IF('＜入力不要＞報告書'!Z203="","",'＜入力不要＞報告書'!Z203)</f>
        <v/>
      </c>
      <c r="AA214" s="3363"/>
      <c r="AB214" s="3363"/>
      <c r="AC214" s="1000" t="s">
        <v>17</v>
      </c>
      <c r="BB214" s="940"/>
      <c r="BC214" s="940"/>
      <c r="BD214" s="940"/>
      <c r="BE214" s="940"/>
      <c r="BF214" s="940"/>
      <c r="BG214" s="940"/>
      <c r="BH214" s="940"/>
      <c r="BI214" s="940"/>
      <c r="BJ214" s="940"/>
      <c r="BK214" s="940"/>
      <c r="BL214" s="940"/>
      <c r="BM214" s="940"/>
      <c r="BN214" s="940"/>
      <c r="BO214" s="940"/>
    </row>
    <row r="215" spans="2:67" ht="12.95" customHeight="1" x14ac:dyDescent="0.15">
      <c r="D215" s="946" t="s">
        <v>423</v>
      </c>
      <c r="O215" s="3364" t="str">
        <f>IF('＜入力不要＞報告書'!O204="","",'＜入力不要＞報告書'!O204)</f>
        <v/>
      </c>
      <c r="P215" s="3364"/>
      <c r="Q215" s="3364"/>
      <c r="R215" s="3364"/>
      <c r="S215" s="3364"/>
      <c r="T215" s="3364"/>
      <c r="U215" s="3364"/>
      <c r="V215" s="3364"/>
      <c r="W215" s="1000" t="s">
        <v>28</v>
      </c>
    </row>
    <row r="216" spans="2:67" ht="12.95" customHeight="1" x14ac:dyDescent="0.15">
      <c r="D216" s="946" t="s">
        <v>424</v>
      </c>
      <c r="O216" s="3364" t="str">
        <f>IF('＜入力不要＞報告書'!O205="","",'＜入力不要＞報告書'!O205)</f>
        <v/>
      </c>
      <c r="P216" s="3364"/>
      <c r="Q216" s="3364"/>
      <c r="R216" s="3364"/>
      <c r="S216" s="3364"/>
      <c r="T216" s="3364"/>
      <c r="U216" s="3364"/>
      <c r="V216" s="3364"/>
      <c r="W216" s="1000" t="s">
        <v>28</v>
      </c>
    </row>
    <row r="217" spans="2:67" ht="12.95" customHeight="1" x14ac:dyDescent="0.15">
      <c r="D217" s="946" t="s">
        <v>425</v>
      </c>
      <c r="O217" s="3364" t="str">
        <f>IF('＜入力不要＞報告書'!O206="","",'＜入力不要＞報告書'!O206)</f>
        <v/>
      </c>
      <c r="P217" s="3364"/>
      <c r="Q217" s="3364"/>
      <c r="R217" s="3364"/>
      <c r="S217" s="3364"/>
      <c r="T217" s="3364"/>
      <c r="U217" s="3364"/>
      <c r="V217" s="3364"/>
      <c r="W217" s="1000" t="s">
        <v>28</v>
      </c>
    </row>
    <row r="218" spans="2:67" ht="12" hidden="1" customHeight="1" x14ac:dyDescent="0.15">
      <c r="N218" s="999"/>
    </row>
    <row r="219" spans="2:67" ht="12" hidden="1" customHeight="1" x14ac:dyDescent="0.15">
      <c r="N219" s="999"/>
    </row>
    <row r="220" spans="2:67" ht="12" hidden="1" customHeight="1" x14ac:dyDescent="0.15">
      <c r="N220" s="999"/>
    </row>
    <row r="221" spans="2:67" ht="4.5" customHeight="1" x14ac:dyDescent="0.15"/>
    <row r="222" spans="2:67" ht="4.5" customHeight="1" x14ac:dyDescent="0.15"/>
    <row r="223" spans="2:67" ht="14.1" customHeight="1" x14ac:dyDescent="0.15">
      <c r="B223" s="946" t="s">
        <v>426</v>
      </c>
      <c r="U223" s="946" t="s">
        <v>25</v>
      </c>
      <c r="W223" s="3316" t="s">
        <v>427</v>
      </c>
      <c r="X223" s="3316"/>
      <c r="Y223" s="3316"/>
      <c r="AA223" s="939" t="s">
        <v>22</v>
      </c>
      <c r="AC223" s="946" t="s">
        <v>25</v>
      </c>
      <c r="AE223" s="3316" t="s">
        <v>428</v>
      </c>
      <c r="AF223" s="3316"/>
      <c r="AG223" s="3316"/>
      <c r="AI223" s="939" t="s">
        <v>22</v>
      </c>
      <c r="AK223" s="3367" t="s">
        <v>1278</v>
      </c>
      <c r="AL223" s="3367"/>
      <c r="AM223" s="3367"/>
      <c r="AN223" s="3367"/>
      <c r="AO223" s="3367"/>
      <c r="AP223" s="3360"/>
      <c r="AQ223" s="3360"/>
      <c r="AR223" s="3360"/>
    </row>
    <row r="224" spans="2:67" ht="12.95" customHeight="1" x14ac:dyDescent="0.15">
      <c r="D224" s="946" t="s">
        <v>429</v>
      </c>
      <c r="N224" s="946" t="s">
        <v>25</v>
      </c>
      <c r="O224" s="3363" t="str">
        <f>IF('＜入力不要＞報告書'!O213="","",'＜入力不要＞報告書'!O213)</f>
        <v/>
      </c>
      <c r="P224" s="3363"/>
      <c r="Q224" s="3363"/>
      <c r="R224" s="939" t="s">
        <v>308</v>
      </c>
      <c r="U224" s="946" t="s">
        <v>25</v>
      </c>
      <c r="V224" s="3366" t="str">
        <f>IF('＜入力不要＞報告書'!V213="","",'＜入力不要＞報告書'!V213)</f>
        <v/>
      </c>
      <c r="W224" s="3366"/>
      <c r="X224" s="3366"/>
      <c r="Y224" s="3366"/>
      <c r="Z224" s="3366"/>
      <c r="AA224" s="939" t="s">
        <v>22</v>
      </c>
      <c r="AC224" s="946" t="s">
        <v>25</v>
      </c>
      <c r="AD224" s="3364" t="str">
        <f>IF('＜入力不要＞報告書'!AD213="","",'＜入力不要＞報告書'!AD213)</f>
        <v/>
      </c>
      <c r="AE224" s="3364"/>
      <c r="AF224" s="3364"/>
      <c r="AG224" s="3364"/>
      <c r="AH224" s="1000" t="s">
        <v>28</v>
      </c>
      <c r="AI224" s="939" t="s">
        <v>22</v>
      </c>
    </row>
    <row r="225" spans="3:35" ht="12.95" customHeight="1" x14ac:dyDescent="0.15">
      <c r="C225" s="946"/>
      <c r="U225" s="946" t="s">
        <v>25</v>
      </c>
      <c r="V225" s="3366" t="str">
        <f>IF('＜入力不要＞報告書'!V214="","",'＜入力不要＞報告書'!V214)</f>
        <v/>
      </c>
      <c r="W225" s="3366"/>
      <c r="X225" s="3366"/>
      <c r="Y225" s="3366"/>
      <c r="Z225" s="3366"/>
      <c r="AA225" s="939" t="s">
        <v>22</v>
      </c>
      <c r="AC225" s="946" t="s">
        <v>25</v>
      </c>
      <c r="AD225" s="3364" t="str">
        <f>IF('＜入力不要＞報告書'!AD214="","",'＜入力不要＞報告書'!AD214)</f>
        <v/>
      </c>
      <c r="AE225" s="3364"/>
      <c r="AF225" s="3364"/>
      <c r="AG225" s="3364"/>
      <c r="AH225" s="1000" t="s">
        <v>28</v>
      </c>
      <c r="AI225" s="939" t="s">
        <v>22</v>
      </c>
    </row>
    <row r="226" spans="3:35" ht="12.95" customHeight="1" x14ac:dyDescent="0.15">
      <c r="C226" s="946"/>
      <c r="U226" s="946" t="s">
        <v>25</v>
      </c>
      <c r="V226" s="3366" t="str">
        <f>IF('＜入力不要＞報告書'!V215="","",'＜入力不要＞報告書'!V215)</f>
        <v/>
      </c>
      <c r="W226" s="3366"/>
      <c r="X226" s="3366"/>
      <c r="Y226" s="3366"/>
      <c r="Z226" s="3366"/>
      <c r="AA226" s="939" t="s">
        <v>22</v>
      </c>
      <c r="AC226" s="946" t="s">
        <v>25</v>
      </c>
      <c r="AD226" s="3364" t="str">
        <f>IF('＜入力不要＞報告書'!AD215="","",'＜入力不要＞報告書'!AD215)</f>
        <v/>
      </c>
      <c r="AE226" s="3364"/>
      <c r="AF226" s="3364"/>
      <c r="AG226" s="3364"/>
      <c r="AH226" s="1000" t="s">
        <v>28</v>
      </c>
      <c r="AI226" s="939" t="s">
        <v>22</v>
      </c>
    </row>
    <row r="227" spans="3:35" ht="12.95" customHeight="1" x14ac:dyDescent="0.15">
      <c r="C227" s="946"/>
      <c r="N227" s="946" t="s">
        <v>25</v>
      </c>
      <c r="O227" s="3363" t="str">
        <f>IF('＜入力不要＞報告書'!O216="","",'＜入力不要＞報告書'!O216)</f>
        <v/>
      </c>
      <c r="P227" s="3363"/>
      <c r="Q227" s="3363"/>
      <c r="R227" s="939" t="s">
        <v>308</v>
      </c>
      <c r="U227" s="946" t="s">
        <v>25</v>
      </c>
      <c r="V227" s="3366" t="str">
        <f>IF('＜入力不要＞報告書'!V216="","",'＜入力不要＞報告書'!V216)</f>
        <v/>
      </c>
      <c r="W227" s="3366"/>
      <c r="X227" s="3366"/>
      <c r="Y227" s="3366"/>
      <c r="Z227" s="3366"/>
      <c r="AA227" s="939" t="s">
        <v>22</v>
      </c>
      <c r="AC227" s="946" t="s">
        <v>25</v>
      </c>
      <c r="AD227" s="3364" t="str">
        <f>IF('＜入力不要＞報告書'!AD216="","",'＜入力不要＞報告書'!AD216)</f>
        <v/>
      </c>
      <c r="AE227" s="3364"/>
      <c r="AF227" s="3364"/>
      <c r="AG227" s="3364"/>
      <c r="AH227" s="1000" t="s">
        <v>28</v>
      </c>
      <c r="AI227" s="939" t="s">
        <v>22</v>
      </c>
    </row>
    <row r="228" spans="3:35" ht="12.95" customHeight="1" x14ac:dyDescent="0.15">
      <c r="C228" s="946"/>
      <c r="U228" s="946" t="s">
        <v>25</v>
      </c>
      <c r="V228" s="3366" t="str">
        <f>IF('＜入力不要＞報告書'!V217="","",'＜入力不要＞報告書'!V217)</f>
        <v/>
      </c>
      <c r="W228" s="3366"/>
      <c r="X228" s="3366"/>
      <c r="Y228" s="3366"/>
      <c r="Z228" s="3366"/>
      <c r="AA228" s="939" t="s">
        <v>22</v>
      </c>
      <c r="AC228" s="946" t="s">
        <v>25</v>
      </c>
      <c r="AD228" s="3364" t="str">
        <f>IF('＜入力不要＞報告書'!AD217="","",'＜入力不要＞報告書'!AD217)</f>
        <v/>
      </c>
      <c r="AE228" s="3364"/>
      <c r="AF228" s="3364"/>
      <c r="AG228" s="3364"/>
      <c r="AH228" s="1000" t="s">
        <v>28</v>
      </c>
      <c r="AI228" s="939" t="s">
        <v>22</v>
      </c>
    </row>
    <row r="229" spans="3:35" ht="12.95" customHeight="1" x14ac:dyDescent="0.15">
      <c r="C229" s="946"/>
      <c r="U229" s="946" t="s">
        <v>25</v>
      </c>
      <c r="V229" s="3366" t="str">
        <f>IF('＜入力不要＞報告書'!V218="","",'＜入力不要＞報告書'!V218)</f>
        <v/>
      </c>
      <c r="W229" s="3366"/>
      <c r="X229" s="3366"/>
      <c r="Y229" s="3366"/>
      <c r="Z229" s="3366"/>
      <c r="AA229" s="939" t="s">
        <v>22</v>
      </c>
      <c r="AC229" s="946" t="s">
        <v>25</v>
      </c>
      <c r="AD229" s="3364" t="str">
        <f>IF('＜入力不要＞報告書'!AD218="","",'＜入力不要＞報告書'!AD218)</f>
        <v/>
      </c>
      <c r="AE229" s="3364"/>
      <c r="AF229" s="3364"/>
      <c r="AG229" s="3364"/>
      <c r="AH229" s="1000" t="s">
        <v>28</v>
      </c>
      <c r="AI229" s="939" t="s">
        <v>22</v>
      </c>
    </row>
    <row r="230" spans="3:35" ht="12.95" customHeight="1" x14ac:dyDescent="0.15">
      <c r="C230" s="946"/>
      <c r="N230" s="946" t="s">
        <v>25</v>
      </c>
      <c r="O230" s="3363" t="str">
        <f>IF('＜入力不要＞報告書'!O219="","",'＜入力不要＞報告書'!O219)</f>
        <v/>
      </c>
      <c r="P230" s="3363"/>
      <c r="Q230" s="3363"/>
      <c r="R230" s="939" t="s">
        <v>308</v>
      </c>
      <c r="U230" s="946" t="s">
        <v>25</v>
      </c>
      <c r="V230" s="3366" t="str">
        <f>IF('＜入力不要＞報告書'!V219="","",'＜入力不要＞報告書'!V219)</f>
        <v/>
      </c>
      <c r="W230" s="3366"/>
      <c r="X230" s="3366"/>
      <c r="Y230" s="3366"/>
      <c r="Z230" s="3366"/>
      <c r="AA230" s="939" t="s">
        <v>22</v>
      </c>
      <c r="AC230" s="946" t="s">
        <v>25</v>
      </c>
      <c r="AD230" s="3364" t="str">
        <f>IF('＜入力不要＞報告書'!AD219="","",'＜入力不要＞報告書'!AD219)</f>
        <v/>
      </c>
      <c r="AE230" s="3364"/>
      <c r="AF230" s="3364"/>
      <c r="AG230" s="3364"/>
      <c r="AH230" s="1000" t="s">
        <v>28</v>
      </c>
      <c r="AI230" s="939" t="s">
        <v>22</v>
      </c>
    </row>
    <row r="231" spans="3:35" ht="12.95" customHeight="1" x14ac:dyDescent="0.15">
      <c r="C231" s="946"/>
      <c r="U231" s="946" t="s">
        <v>25</v>
      </c>
      <c r="V231" s="3366" t="str">
        <f>IF('＜入力不要＞報告書'!V220="","",'＜入力不要＞報告書'!V220)</f>
        <v/>
      </c>
      <c r="W231" s="3366"/>
      <c r="X231" s="3366"/>
      <c r="Y231" s="3366"/>
      <c r="Z231" s="3366"/>
      <c r="AA231" s="939" t="s">
        <v>22</v>
      </c>
      <c r="AC231" s="946" t="s">
        <v>25</v>
      </c>
      <c r="AD231" s="3364" t="str">
        <f>IF('＜入力不要＞報告書'!AD220="","",'＜入力不要＞報告書'!AD220)</f>
        <v/>
      </c>
      <c r="AE231" s="3364"/>
      <c r="AF231" s="3364"/>
      <c r="AG231" s="3364"/>
      <c r="AH231" s="1000" t="s">
        <v>28</v>
      </c>
      <c r="AI231" s="939" t="s">
        <v>22</v>
      </c>
    </row>
    <row r="232" spans="3:35" ht="12.95" customHeight="1" x14ac:dyDescent="0.15">
      <c r="C232" s="946"/>
      <c r="U232" s="946" t="s">
        <v>25</v>
      </c>
      <c r="V232" s="3366" t="str">
        <f>IF('＜入力不要＞報告書'!V221="","",'＜入力不要＞報告書'!V221)</f>
        <v/>
      </c>
      <c r="W232" s="3366"/>
      <c r="X232" s="3366"/>
      <c r="Y232" s="3366"/>
      <c r="Z232" s="3366"/>
      <c r="AA232" s="939" t="s">
        <v>22</v>
      </c>
      <c r="AC232" s="946" t="s">
        <v>25</v>
      </c>
      <c r="AD232" s="3364" t="str">
        <f>IF('＜入力不要＞報告書'!AD221="","",'＜入力不要＞報告書'!AD221)</f>
        <v/>
      </c>
      <c r="AE232" s="3364"/>
      <c r="AF232" s="3364"/>
      <c r="AG232" s="3364"/>
      <c r="AH232" s="1000" t="s">
        <v>28</v>
      </c>
      <c r="AI232" s="939" t="s">
        <v>22</v>
      </c>
    </row>
    <row r="233" spans="3:35" ht="12.95" customHeight="1" x14ac:dyDescent="0.15">
      <c r="C233" s="946"/>
      <c r="N233" s="946" t="s">
        <v>25</v>
      </c>
      <c r="O233" s="3363" t="str">
        <f>IF('＜入力不要＞報告書'!O222="","",'＜入力不要＞報告書'!O222)</f>
        <v/>
      </c>
      <c r="P233" s="3363"/>
      <c r="Q233" s="3363"/>
      <c r="R233" s="939" t="s">
        <v>308</v>
      </c>
      <c r="U233" s="946" t="s">
        <v>25</v>
      </c>
      <c r="V233" s="3366" t="str">
        <f>IF('＜入力不要＞報告書'!V222="","",'＜入力不要＞報告書'!V222)</f>
        <v/>
      </c>
      <c r="W233" s="3366"/>
      <c r="X233" s="3366"/>
      <c r="Y233" s="3366"/>
      <c r="Z233" s="3366"/>
      <c r="AA233" s="939" t="s">
        <v>22</v>
      </c>
      <c r="AC233" s="946" t="s">
        <v>25</v>
      </c>
      <c r="AD233" s="3364" t="str">
        <f>IF('＜入力不要＞報告書'!AD222="","",'＜入力不要＞報告書'!AD222)</f>
        <v/>
      </c>
      <c r="AE233" s="3364"/>
      <c r="AF233" s="3364"/>
      <c r="AG233" s="3364"/>
      <c r="AH233" s="1000" t="s">
        <v>28</v>
      </c>
      <c r="AI233" s="939" t="s">
        <v>22</v>
      </c>
    </row>
    <row r="234" spans="3:35" ht="12.95" customHeight="1" x14ac:dyDescent="0.15">
      <c r="C234" s="946"/>
      <c r="U234" s="946" t="s">
        <v>25</v>
      </c>
      <c r="V234" s="3366" t="str">
        <f>IF('＜入力不要＞報告書'!V223="","",'＜入力不要＞報告書'!V223)</f>
        <v/>
      </c>
      <c r="W234" s="3366"/>
      <c r="X234" s="3366"/>
      <c r="Y234" s="3366"/>
      <c r="Z234" s="3366"/>
      <c r="AA234" s="939" t="s">
        <v>22</v>
      </c>
      <c r="AC234" s="946" t="s">
        <v>25</v>
      </c>
      <c r="AD234" s="3364" t="str">
        <f>IF('＜入力不要＞報告書'!AD223="","",'＜入力不要＞報告書'!AD223)</f>
        <v/>
      </c>
      <c r="AE234" s="3364"/>
      <c r="AF234" s="3364"/>
      <c r="AG234" s="3364"/>
      <c r="AH234" s="1000" t="s">
        <v>28</v>
      </c>
      <c r="AI234" s="939" t="s">
        <v>22</v>
      </c>
    </row>
    <row r="235" spans="3:35" ht="12.95" customHeight="1" x14ac:dyDescent="0.15">
      <c r="C235" s="946"/>
      <c r="U235" s="946" t="s">
        <v>25</v>
      </c>
      <c r="V235" s="3366" t="str">
        <f>IF('＜入力不要＞報告書'!V224="","",'＜入力不要＞報告書'!V224)</f>
        <v/>
      </c>
      <c r="W235" s="3366"/>
      <c r="X235" s="3366"/>
      <c r="Y235" s="3366"/>
      <c r="Z235" s="3366"/>
      <c r="AA235" s="939" t="s">
        <v>22</v>
      </c>
      <c r="AC235" s="946" t="s">
        <v>25</v>
      </c>
      <c r="AD235" s="3364" t="str">
        <f>IF('＜入力不要＞報告書'!AD224="","",'＜入力不要＞報告書'!AD224)</f>
        <v/>
      </c>
      <c r="AE235" s="3364"/>
      <c r="AF235" s="3364"/>
      <c r="AG235" s="3364"/>
      <c r="AH235" s="1000" t="s">
        <v>28</v>
      </c>
      <c r="AI235" s="939" t="s">
        <v>22</v>
      </c>
    </row>
    <row r="236" spans="3:35" ht="12.95" customHeight="1" x14ac:dyDescent="0.15">
      <c r="C236" s="946"/>
      <c r="N236" s="946" t="s">
        <v>25</v>
      </c>
      <c r="O236" s="3363" t="str">
        <f>IF('＜入力不要＞報告書'!O225="","",'＜入力不要＞報告書'!O225)</f>
        <v/>
      </c>
      <c r="P236" s="3363"/>
      <c r="Q236" s="3363"/>
      <c r="R236" s="939" t="s">
        <v>308</v>
      </c>
      <c r="U236" s="946" t="s">
        <v>25</v>
      </c>
      <c r="V236" s="3366" t="str">
        <f>IF('＜入力不要＞報告書'!V225="","",'＜入力不要＞報告書'!V225)</f>
        <v/>
      </c>
      <c r="W236" s="3366"/>
      <c r="X236" s="3366"/>
      <c r="Y236" s="3366"/>
      <c r="Z236" s="3366"/>
      <c r="AA236" s="939" t="s">
        <v>22</v>
      </c>
      <c r="AC236" s="946" t="s">
        <v>25</v>
      </c>
      <c r="AD236" s="3364" t="str">
        <f>IF('＜入力不要＞報告書'!AD225="","",'＜入力不要＞報告書'!AD225)</f>
        <v/>
      </c>
      <c r="AE236" s="3364"/>
      <c r="AF236" s="3364"/>
      <c r="AG236" s="3364"/>
      <c r="AH236" s="1000" t="s">
        <v>28</v>
      </c>
      <c r="AI236" s="939" t="s">
        <v>22</v>
      </c>
    </row>
    <row r="237" spans="3:35" ht="12.95" customHeight="1" x14ac:dyDescent="0.15">
      <c r="C237" s="946"/>
      <c r="U237" s="946" t="s">
        <v>25</v>
      </c>
      <c r="V237" s="3366" t="str">
        <f>IF('＜入力不要＞報告書'!V226="","",'＜入力不要＞報告書'!V226)</f>
        <v/>
      </c>
      <c r="W237" s="3366"/>
      <c r="X237" s="3366"/>
      <c r="Y237" s="3366"/>
      <c r="Z237" s="3366"/>
      <c r="AA237" s="939" t="s">
        <v>22</v>
      </c>
      <c r="AC237" s="946" t="s">
        <v>25</v>
      </c>
      <c r="AD237" s="3364" t="str">
        <f>IF('＜入力不要＞報告書'!AD226="","",'＜入力不要＞報告書'!AD226)</f>
        <v/>
      </c>
      <c r="AE237" s="3364"/>
      <c r="AF237" s="3364"/>
      <c r="AG237" s="3364"/>
      <c r="AH237" s="1000" t="s">
        <v>28</v>
      </c>
      <c r="AI237" s="939" t="s">
        <v>22</v>
      </c>
    </row>
    <row r="238" spans="3:35" ht="12.95" customHeight="1" x14ac:dyDescent="0.15">
      <c r="C238" s="946"/>
      <c r="U238" s="946" t="s">
        <v>25</v>
      </c>
      <c r="V238" s="3366" t="str">
        <f>IF('＜入力不要＞報告書'!V227="","",'＜入力不要＞報告書'!V227)</f>
        <v/>
      </c>
      <c r="W238" s="3366"/>
      <c r="X238" s="3366"/>
      <c r="Y238" s="3366"/>
      <c r="Z238" s="3366"/>
      <c r="AA238" s="939" t="s">
        <v>22</v>
      </c>
      <c r="AC238" s="946" t="s">
        <v>25</v>
      </c>
      <c r="AD238" s="3364" t="str">
        <f>IF('＜入力不要＞報告書'!AD227="","",'＜入力不要＞報告書'!AD227)</f>
        <v/>
      </c>
      <c r="AE238" s="3364"/>
      <c r="AF238" s="3364"/>
      <c r="AG238" s="3364"/>
      <c r="AH238" s="1000" t="s">
        <v>28</v>
      </c>
      <c r="AI238" s="939" t="s">
        <v>22</v>
      </c>
    </row>
    <row r="239" spans="3:35" ht="12.95" customHeight="1" x14ac:dyDescent="0.15">
      <c r="D239" s="946" t="s">
        <v>430</v>
      </c>
      <c r="U239" s="946" t="s">
        <v>25</v>
      </c>
      <c r="V239" s="3366" t="str">
        <f>IF('＜入力不要＞報告書'!V228="","",'＜入力不要＞報告書'!V228)</f>
        <v/>
      </c>
      <c r="W239" s="3366"/>
      <c r="X239" s="3366"/>
      <c r="Y239" s="3366"/>
      <c r="Z239" s="3366"/>
      <c r="AA239" s="939" t="s">
        <v>22</v>
      </c>
      <c r="AC239" s="946" t="s">
        <v>25</v>
      </c>
      <c r="AD239" s="3364" t="str">
        <f>IF('＜入力不要＞報告書'!AD228="","",'＜入力不要＞報告書'!AD228)</f>
        <v/>
      </c>
      <c r="AE239" s="3364"/>
      <c r="AF239" s="3364"/>
      <c r="AG239" s="3364"/>
      <c r="AH239" s="1000" t="s">
        <v>28</v>
      </c>
      <c r="AI239" s="939" t="s">
        <v>22</v>
      </c>
    </row>
    <row r="240" spans="3:35" ht="12.95" customHeight="1" x14ac:dyDescent="0.15">
      <c r="C240" s="946"/>
      <c r="U240" s="946" t="s">
        <v>25</v>
      </c>
      <c r="V240" s="3366" t="str">
        <f>IF('＜入力不要＞報告書'!V229="","",'＜入力不要＞報告書'!V229)</f>
        <v/>
      </c>
      <c r="W240" s="3366"/>
      <c r="X240" s="3366"/>
      <c r="Y240" s="3366"/>
      <c r="Z240" s="3366"/>
      <c r="AA240" s="939" t="s">
        <v>22</v>
      </c>
      <c r="AC240" s="946" t="s">
        <v>25</v>
      </c>
      <c r="AD240" s="3364" t="str">
        <f>IF('＜入力不要＞報告書'!AD229="","",'＜入力不要＞報告書'!AD229)</f>
        <v/>
      </c>
      <c r="AE240" s="3364"/>
      <c r="AF240" s="3364"/>
      <c r="AG240" s="3364"/>
      <c r="AH240" s="1000" t="s">
        <v>28</v>
      </c>
      <c r="AI240" s="939" t="s">
        <v>22</v>
      </c>
    </row>
    <row r="241" spans="2:46" ht="12.95" customHeight="1" x14ac:dyDescent="0.15">
      <c r="C241" s="946"/>
      <c r="U241" s="946" t="s">
        <v>25</v>
      </c>
      <c r="V241" s="3366" t="str">
        <f>IF('＜入力不要＞報告書'!V230="","",'＜入力不要＞報告書'!V230)</f>
        <v/>
      </c>
      <c r="W241" s="3366"/>
      <c r="X241" s="3366"/>
      <c r="Y241" s="3366"/>
      <c r="Z241" s="3366"/>
      <c r="AA241" s="939" t="s">
        <v>22</v>
      </c>
      <c r="AC241" s="946" t="s">
        <v>25</v>
      </c>
      <c r="AD241" s="3364" t="str">
        <f>IF('＜入力不要＞報告書'!AD230="","",'＜入力不要＞報告書'!AD230)</f>
        <v/>
      </c>
      <c r="AE241" s="3364"/>
      <c r="AF241" s="3364"/>
      <c r="AG241" s="3364"/>
      <c r="AH241" s="1000" t="s">
        <v>28</v>
      </c>
      <c r="AI241" s="939" t="s">
        <v>22</v>
      </c>
    </row>
    <row r="242" spans="2:46" ht="12.95" hidden="1" customHeight="1" x14ac:dyDescent="0.15">
      <c r="B242" s="946" t="s">
        <v>431</v>
      </c>
    </row>
    <row r="243" spans="2:46" ht="12.95" hidden="1" customHeight="1" x14ac:dyDescent="0.15">
      <c r="C243" s="946" t="s">
        <v>390</v>
      </c>
      <c r="J243" s="960" t="s">
        <v>432</v>
      </c>
      <c r="K243" s="3358"/>
      <c r="L243" s="3358"/>
      <c r="M243" s="939" t="s">
        <v>433</v>
      </c>
      <c r="V243" s="960"/>
      <c r="W243" s="944" t="s">
        <v>25</v>
      </c>
      <c r="X243" s="3358"/>
      <c r="Y243" s="3358"/>
      <c r="Z243" s="3358"/>
      <c r="AA243" s="3358"/>
      <c r="AB243" s="3358"/>
      <c r="AC243" s="3358"/>
      <c r="AG243" s="960" t="s">
        <v>434</v>
      </c>
      <c r="AH243" s="3371"/>
      <c r="AI243" s="3371"/>
      <c r="AJ243" s="3371"/>
      <c r="AK243" s="3371"/>
      <c r="AL243" s="3371"/>
      <c r="AM243" s="3371"/>
      <c r="AN243" s="3371"/>
      <c r="AO243" s="939" t="s">
        <v>4</v>
      </c>
    </row>
    <row r="244" spans="2:46" ht="12.95" hidden="1" customHeight="1" x14ac:dyDescent="0.15">
      <c r="C244" s="946"/>
      <c r="J244" s="939" t="s">
        <v>435</v>
      </c>
      <c r="AG244" s="960" t="s">
        <v>3</v>
      </c>
      <c r="AH244" s="3371"/>
      <c r="AI244" s="3371"/>
      <c r="AJ244" s="3371"/>
      <c r="AK244" s="3371"/>
      <c r="AL244" s="3371"/>
      <c r="AM244" s="3371"/>
      <c r="AN244" s="3371"/>
      <c r="AO244" s="939" t="s">
        <v>4</v>
      </c>
    </row>
    <row r="245" spans="2:46" ht="12" hidden="1" customHeight="1" x14ac:dyDescent="0.15">
      <c r="C245" s="946"/>
      <c r="J245" s="939" t="s">
        <v>436</v>
      </c>
      <c r="AG245" s="960" t="s">
        <v>3</v>
      </c>
      <c r="AH245" s="3371"/>
      <c r="AI245" s="3371"/>
      <c r="AJ245" s="3371"/>
      <c r="AK245" s="3371"/>
      <c r="AL245" s="3371"/>
      <c r="AM245" s="3371"/>
      <c r="AN245" s="3371"/>
      <c r="AO245" s="939" t="s">
        <v>4</v>
      </c>
    </row>
    <row r="246" spans="2:46" ht="12.95" hidden="1" customHeight="1" x14ac:dyDescent="0.15">
      <c r="C246" s="946" t="s">
        <v>381</v>
      </c>
      <c r="N246" s="3350"/>
      <c r="O246" s="3350"/>
      <c r="P246" s="3350"/>
      <c r="Q246" s="3350"/>
      <c r="R246" s="3350"/>
      <c r="S246" s="3350"/>
      <c r="T246" s="3350"/>
      <c r="U246" s="3350"/>
      <c r="V246" s="3350"/>
      <c r="W246" s="3350"/>
      <c r="X246" s="3350"/>
      <c r="Y246" s="3350"/>
      <c r="Z246" s="3350"/>
      <c r="AA246" s="3350"/>
      <c r="AB246" s="3350"/>
      <c r="AC246" s="3350"/>
      <c r="AD246" s="3350"/>
      <c r="AE246" s="3350"/>
      <c r="AF246" s="3350"/>
      <c r="AG246" s="3350"/>
      <c r="AH246" s="3350"/>
      <c r="AI246" s="3350"/>
      <c r="AJ246" s="3350"/>
      <c r="AK246" s="3350"/>
      <c r="AL246" s="3350"/>
      <c r="AM246" s="3350"/>
      <c r="AN246" s="3350"/>
      <c r="AO246" s="3350"/>
      <c r="AP246" s="3350"/>
      <c r="AQ246" s="3350"/>
      <c r="AR246" s="3350"/>
      <c r="AS246" s="3350"/>
      <c r="AT246" s="3350"/>
    </row>
    <row r="247" spans="2:46" ht="12.95" hidden="1" customHeight="1" x14ac:dyDescent="0.15">
      <c r="C247" s="946" t="s">
        <v>437</v>
      </c>
      <c r="N247" s="3372"/>
      <c r="O247" s="3372"/>
      <c r="P247" s="3372"/>
      <c r="Q247" s="3372"/>
      <c r="R247" s="3372"/>
      <c r="S247" s="3372"/>
      <c r="T247" s="3372"/>
      <c r="U247" s="3372"/>
      <c r="V247" s="3372"/>
      <c r="W247" s="3372"/>
      <c r="X247" s="3372"/>
      <c r="Y247" s="3372"/>
      <c r="Z247" s="3372"/>
      <c r="AA247" s="3372"/>
      <c r="AB247" s="3372"/>
      <c r="AC247" s="3372"/>
      <c r="AD247" s="3372"/>
      <c r="AE247" s="3372"/>
      <c r="AF247" s="3372"/>
      <c r="AG247" s="3372"/>
      <c r="AH247" s="3372"/>
      <c r="AI247" s="3372"/>
      <c r="AJ247" s="3372"/>
      <c r="AK247" s="3372"/>
      <c r="AL247" s="3372"/>
      <c r="AM247" s="3372"/>
      <c r="AN247" s="3372"/>
      <c r="AO247" s="3372"/>
      <c r="AP247" s="3372"/>
      <c r="AQ247" s="3372"/>
      <c r="AR247" s="3372"/>
      <c r="AS247" s="3372"/>
      <c r="AT247" s="3372"/>
    </row>
    <row r="248" spans="2:46" ht="12.95" hidden="1" customHeight="1" x14ac:dyDescent="0.15">
      <c r="C248" s="946" t="s">
        <v>438</v>
      </c>
      <c r="N248" s="3350"/>
      <c r="O248" s="3350"/>
      <c r="P248" s="3350"/>
      <c r="Q248" s="3350"/>
      <c r="R248" s="3350"/>
      <c r="S248" s="3350"/>
      <c r="T248" s="3350"/>
      <c r="U248" s="3350"/>
      <c r="V248" s="3350"/>
      <c r="W248" s="3350"/>
      <c r="X248" s="3350"/>
      <c r="Y248" s="3350"/>
      <c r="Z248" s="3350"/>
      <c r="AA248" s="3350"/>
      <c r="AB248" s="3350"/>
      <c r="AC248" s="3350"/>
      <c r="AD248" s="3350"/>
      <c r="AE248" s="3350"/>
      <c r="AF248" s="3350"/>
      <c r="AG248" s="3350"/>
      <c r="AH248" s="3350"/>
      <c r="AI248" s="3350"/>
      <c r="AJ248" s="3350"/>
      <c r="AK248" s="3350"/>
      <c r="AL248" s="3350"/>
      <c r="AM248" s="3350"/>
      <c r="AN248" s="3350"/>
      <c r="AO248" s="3350"/>
      <c r="AP248" s="3350"/>
      <c r="AQ248" s="3350"/>
      <c r="AR248" s="3350"/>
      <c r="AS248" s="3350"/>
      <c r="AT248" s="3350"/>
    </row>
    <row r="249" spans="2:46" ht="12.95" hidden="1" customHeight="1" x14ac:dyDescent="0.15">
      <c r="C249" s="946"/>
      <c r="J249" s="960" t="s">
        <v>432</v>
      </c>
      <c r="K249" s="3358"/>
      <c r="L249" s="3358"/>
      <c r="M249" s="939" t="s">
        <v>439</v>
      </c>
      <c r="V249" s="960"/>
      <c r="W249" s="944" t="s">
        <v>25</v>
      </c>
      <c r="X249" s="3358"/>
      <c r="Y249" s="3358"/>
      <c r="Z249" s="3358"/>
      <c r="AA249" s="3358"/>
      <c r="AG249" s="960" t="s">
        <v>440</v>
      </c>
      <c r="AH249" s="3371"/>
      <c r="AI249" s="3371"/>
      <c r="AJ249" s="3371"/>
      <c r="AK249" s="3371"/>
      <c r="AL249" s="3371"/>
      <c r="AM249" s="3371"/>
      <c r="AN249" s="3371"/>
      <c r="AO249" s="939" t="s">
        <v>4</v>
      </c>
    </row>
    <row r="250" spans="2:46" ht="12.95" hidden="1" customHeight="1" x14ac:dyDescent="0.15">
      <c r="C250" s="946" t="s">
        <v>441</v>
      </c>
      <c r="N250" s="3377"/>
      <c r="O250" s="3377"/>
      <c r="P250" s="3377"/>
      <c r="Q250" s="3377"/>
      <c r="R250" s="3377"/>
      <c r="S250" s="3377"/>
      <c r="T250" s="3377"/>
      <c r="U250" s="3377"/>
      <c r="V250" s="3377"/>
      <c r="W250" s="950"/>
      <c r="X250" s="950"/>
      <c r="Y250" s="950"/>
      <c r="Z250" s="950"/>
      <c r="AA250" s="950"/>
      <c r="AB250" s="950"/>
      <c r="AC250" s="950"/>
      <c r="AD250" s="950"/>
      <c r="AE250" s="950"/>
      <c r="AF250" s="950"/>
      <c r="AG250" s="950"/>
      <c r="AH250" s="950"/>
      <c r="AI250" s="950"/>
      <c r="AJ250" s="950"/>
      <c r="AK250" s="950"/>
      <c r="AL250" s="950"/>
      <c r="AM250" s="950"/>
      <c r="AN250" s="950"/>
      <c r="AO250" s="950"/>
      <c r="AP250" s="951"/>
    </row>
    <row r="251" spans="2:46" ht="12.95" hidden="1" customHeight="1" x14ac:dyDescent="0.15">
      <c r="C251" s="946" t="s">
        <v>442</v>
      </c>
      <c r="N251" s="3350"/>
      <c r="O251" s="3350"/>
      <c r="P251" s="3350"/>
      <c r="Q251" s="3350"/>
      <c r="R251" s="3350"/>
      <c r="S251" s="3350"/>
      <c r="T251" s="3350"/>
      <c r="U251" s="3350"/>
      <c r="V251" s="3350"/>
      <c r="W251" s="3350"/>
      <c r="X251" s="3350"/>
      <c r="Y251" s="3350"/>
      <c r="Z251" s="3350"/>
      <c r="AA251" s="3350"/>
      <c r="AB251" s="3350"/>
      <c r="AC251" s="3350"/>
      <c r="AD251" s="3350"/>
      <c r="AE251" s="3350"/>
      <c r="AF251" s="3350"/>
      <c r="AG251" s="3350"/>
      <c r="AH251" s="3350"/>
      <c r="AI251" s="3350"/>
      <c r="AJ251" s="3350"/>
      <c r="AK251" s="3350"/>
      <c r="AL251" s="3350"/>
      <c r="AM251" s="3350"/>
      <c r="AN251" s="3350"/>
      <c r="AO251" s="3350"/>
      <c r="AP251" s="3350"/>
      <c r="AQ251" s="3350"/>
      <c r="AR251" s="3350"/>
      <c r="AS251" s="3350"/>
      <c r="AT251" s="3350"/>
    </row>
    <row r="252" spans="2:46" ht="12.95" hidden="1" customHeight="1" x14ac:dyDescent="0.15">
      <c r="C252" s="946" t="s">
        <v>388</v>
      </c>
      <c r="N252" s="3372"/>
      <c r="O252" s="3372"/>
      <c r="P252" s="3372"/>
      <c r="Q252" s="3372"/>
      <c r="R252" s="3372"/>
      <c r="S252" s="3372"/>
      <c r="T252" s="3372"/>
      <c r="U252" s="3372"/>
      <c r="V252" s="3372"/>
      <c r="W252" s="3372"/>
      <c r="X252" s="3372"/>
      <c r="Y252" s="3372"/>
      <c r="Z252" s="3372"/>
      <c r="AA252" s="3372"/>
      <c r="AB252" s="3372"/>
      <c r="AC252" s="3372"/>
      <c r="AD252" s="3372"/>
      <c r="AE252" s="1001"/>
      <c r="AF252" s="1001"/>
      <c r="AG252" s="1001"/>
      <c r="AH252" s="1001"/>
      <c r="AI252" s="1001"/>
      <c r="AJ252" s="1001"/>
      <c r="AK252" s="1001"/>
      <c r="AL252" s="1001"/>
      <c r="AM252" s="1001"/>
      <c r="AN252" s="1001"/>
      <c r="AO252" s="1001"/>
      <c r="AP252" s="1002"/>
    </row>
    <row r="253" spans="2:46" ht="4.5" customHeight="1" x14ac:dyDescent="0.15"/>
    <row r="254" spans="2:46" ht="4.5" customHeight="1" x14ac:dyDescent="0.15"/>
    <row r="255" spans="2:46" ht="12" hidden="1" customHeight="1" x14ac:dyDescent="0.15"/>
    <row r="256" spans="2:46" ht="12" hidden="1" customHeight="1" x14ac:dyDescent="0.15"/>
    <row r="257" spans="2:46" ht="12" hidden="1" customHeight="1" x14ac:dyDescent="0.15"/>
    <row r="258" spans="2:46" ht="14.1" customHeight="1" x14ac:dyDescent="0.15">
      <c r="B258" s="946" t="s">
        <v>443</v>
      </c>
      <c r="O258" s="1052" t="str">
        <f>IF('＜入力不要＞報告書'!O247="","",'＜入力不要＞報告書'!O247)</f>
        <v/>
      </c>
      <c r="P258" s="939" t="s">
        <v>264</v>
      </c>
      <c r="V258" s="961"/>
      <c r="AF258" s="1052" t="str">
        <f>IF('＜入力不要＞報告書'!AF247="","",'＜入力不要＞報告書'!AF247)</f>
        <v/>
      </c>
      <c r="AG258" s="939" t="s">
        <v>444</v>
      </c>
    </row>
    <row r="259" spans="2:46" ht="12.95" customHeight="1" x14ac:dyDescent="0.15">
      <c r="O259" s="1052" t="str">
        <f>IF('＜入力不要＞報告書'!O248="","",'＜入力不要＞報告書'!O248)</f>
        <v/>
      </c>
      <c r="P259" s="939" t="s">
        <v>445</v>
      </c>
      <c r="Z259" s="3373" t="str">
        <f>IF('＜入力不要＞報告書'!Z248="","",'＜入力不要＞報告書'!Z248)</f>
        <v/>
      </c>
      <c r="AA259" s="3373"/>
      <c r="AB259" s="3373"/>
      <c r="AC259" s="998" t="s">
        <v>308</v>
      </c>
      <c r="AF259" s="1052" t="str">
        <f>IF('＜入力不要＞報告書'!AF248="","",'＜入力不要＞報告書'!AF248)</f>
        <v/>
      </c>
      <c r="AG259" s="939" t="s">
        <v>446</v>
      </c>
      <c r="AP259" s="3373" t="str">
        <f>IF('＜入力不要＞報告書'!AP248="","",'＜入力不要＞報告書'!AP248)</f>
        <v/>
      </c>
      <c r="AQ259" s="3373"/>
      <c r="AR259" s="3373"/>
      <c r="AS259" s="998" t="s">
        <v>308</v>
      </c>
    </row>
    <row r="260" spans="2:46" ht="12.95" customHeight="1" x14ac:dyDescent="0.15">
      <c r="C260" s="946"/>
      <c r="O260" s="1052" t="str">
        <f>IF('＜入力不要＞報告書'!O249="","",'＜入力不要＞報告書'!O249)</f>
        <v/>
      </c>
      <c r="P260" s="939" t="s">
        <v>447</v>
      </c>
      <c r="S260" s="961"/>
      <c r="T260" s="961"/>
      <c r="U260" s="961"/>
      <c r="V260" s="961"/>
      <c r="W260" s="961"/>
      <c r="X260" s="961"/>
      <c r="Y260" s="961"/>
      <c r="Z260" s="961"/>
      <c r="AA260" s="961"/>
      <c r="AB260" s="961"/>
    </row>
    <row r="261" spans="2:46" ht="12.95" customHeight="1" x14ac:dyDescent="0.15">
      <c r="C261" s="946"/>
      <c r="O261" s="1052" t="str">
        <f>IF('＜入力不要＞報告書'!O250="","",'＜入力不要＞報告書'!O250)</f>
        <v/>
      </c>
      <c r="P261" s="939" t="s">
        <v>415</v>
      </c>
      <c r="S261" s="961"/>
      <c r="T261" s="3374" t="str">
        <f>IF('＜入力不要＞報告書'!T250="","",'＜入力不要＞報告書'!T250)</f>
        <v/>
      </c>
      <c r="U261" s="3374"/>
      <c r="V261" s="3374"/>
      <c r="W261" s="3374"/>
      <c r="X261" s="3374"/>
      <c r="Y261" s="3374"/>
      <c r="Z261" s="3374"/>
      <c r="AA261" s="3374"/>
      <c r="AB261" s="3374"/>
      <c r="AC261" s="3374"/>
      <c r="AD261" s="3374"/>
      <c r="AE261" s="3374"/>
      <c r="AF261" s="3374"/>
      <c r="AG261" s="3374"/>
      <c r="AH261" s="3374"/>
      <c r="AI261" s="3374"/>
      <c r="AJ261" s="3374"/>
      <c r="AK261" s="3374"/>
      <c r="AL261" s="3374"/>
      <c r="AM261" s="3374"/>
      <c r="AN261" s="3374"/>
      <c r="AO261" s="3374"/>
      <c r="AP261" s="998" t="s">
        <v>22</v>
      </c>
    </row>
    <row r="262" spans="2:46" ht="12" hidden="1" customHeight="1" x14ac:dyDescent="0.15"/>
    <row r="263" spans="2:46" ht="12" hidden="1" customHeight="1" x14ac:dyDescent="0.15"/>
    <row r="264" spans="2:46" ht="4.5" customHeight="1" x14ac:dyDescent="0.15"/>
    <row r="265" spans="2:46" ht="4.5" customHeight="1" x14ac:dyDescent="0.15"/>
    <row r="266" spans="2:46" ht="14.1" customHeight="1" x14ac:dyDescent="0.15">
      <c r="B266" s="946" t="s">
        <v>448</v>
      </c>
    </row>
    <row r="267" spans="2:46" ht="12.95" customHeight="1" x14ac:dyDescent="0.15">
      <c r="K267" s="3375" t="str">
        <f>IF('＜入力不要＞報告書'!K256="","",'＜入力不要＞報告書'!K256)</f>
        <v/>
      </c>
      <c r="L267" s="3375"/>
      <c r="M267" s="3376" t="str">
        <f>IF('＜入力不要＞報告書'!M256="","",'＜入力不要＞報告書'!M256)</f>
        <v/>
      </c>
      <c r="N267" s="3376"/>
      <c r="O267" s="945" t="s">
        <v>12</v>
      </c>
      <c r="P267" s="3376" t="str">
        <f>IF('＜入力不要＞報告書'!P256="","",'＜入力不要＞報告書'!P256)</f>
        <v/>
      </c>
      <c r="Q267" s="3376"/>
      <c r="R267" s="945" t="s">
        <v>348</v>
      </c>
      <c r="S267" s="3376" t="str">
        <f>IF('＜入力不要＞報告書'!S256="","",'＜入力不要＞報告書'!S256)</f>
        <v/>
      </c>
      <c r="T267" s="3376"/>
      <c r="U267" s="945" t="s">
        <v>364</v>
      </c>
      <c r="X267" s="939" t="s">
        <v>349</v>
      </c>
      <c r="AA267" s="3357">
        <f>IF('＜入力不要＞報告書'!AA256="","",'＜入力不要＞報告書'!AA256)</f>
        <v>0</v>
      </c>
      <c r="AB267" s="3357"/>
      <c r="AC267" s="3357"/>
      <c r="AD267" s="3357"/>
      <c r="AE267" s="3357"/>
      <c r="AF267" s="3357"/>
      <c r="AG267" s="3357"/>
      <c r="AH267" s="3357"/>
      <c r="AI267" s="3357"/>
      <c r="AJ267" s="3357"/>
      <c r="AK267" s="3357"/>
      <c r="AL267" s="3357"/>
      <c r="AM267" s="3357"/>
      <c r="AN267" s="3357"/>
      <c r="AO267" s="3378"/>
      <c r="AP267" s="3378"/>
      <c r="AQ267" s="3378"/>
      <c r="AR267" s="3378"/>
      <c r="AS267" s="3378"/>
      <c r="AT267" s="939" t="s">
        <v>22</v>
      </c>
    </row>
    <row r="268" spans="2:46" ht="12.95" customHeight="1" x14ac:dyDescent="0.15">
      <c r="K268" s="3375" t="str">
        <f>IF('＜入力不要＞報告書'!K257="","",'＜入力不要＞報告書'!K257)</f>
        <v/>
      </c>
      <c r="L268" s="3375"/>
      <c r="M268" s="3376" t="str">
        <f>IF('＜入力不要＞報告書'!M257="","",'＜入力不要＞報告書'!M257)</f>
        <v/>
      </c>
      <c r="N268" s="3376"/>
      <c r="O268" s="945" t="s">
        <v>12</v>
      </c>
      <c r="P268" s="3376" t="str">
        <f>IF('＜入力不要＞報告書'!P257="","",'＜入力不要＞報告書'!P257)</f>
        <v/>
      </c>
      <c r="Q268" s="3376"/>
      <c r="R268" s="945" t="s">
        <v>348</v>
      </c>
      <c r="S268" s="3376" t="str">
        <f>IF('＜入力不要＞報告書'!S257="","",'＜入力不要＞報告書'!S257)</f>
        <v/>
      </c>
      <c r="T268" s="3376"/>
      <c r="U268" s="945" t="s">
        <v>364</v>
      </c>
      <c r="X268" s="939" t="s">
        <v>349</v>
      </c>
      <c r="AA268" s="3357">
        <f>IF('＜入力不要＞報告書'!AA257="","",'＜入力不要＞報告書'!AA257)</f>
        <v>0</v>
      </c>
      <c r="AB268" s="3357"/>
      <c r="AC268" s="3357"/>
      <c r="AD268" s="3357"/>
      <c r="AE268" s="3357"/>
      <c r="AF268" s="3357"/>
      <c r="AG268" s="3357"/>
      <c r="AH268" s="3357"/>
      <c r="AI268" s="3357"/>
      <c r="AJ268" s="3357"/>
      <c r="AK268" s="3357"/>
      <c r="AL268" s="3357"/>
      <c r="AM268" s="3357"/>
      <c r="AN268" s="3357"/>
      <c r="AO268" s="3378"/>
      <c r="AP268" s="3378"/>
      <c r="AQ268" s="3378"/>
      <c r="AR268" s="3378"/>
      <c r="AS268" s="3378"/>
      <c r="AT268" s="939" t="s">
        <v>22</v>
      </c>
    </row>
    <row r="269" spans="2:46" ht="12.95" customHeight="1" x14ac:dyDescent="0.15">
      <c r="K269" s="3375" t="str">
        <f>IF('＜入力不要＞報告書'!K258="","",'＜入力不要＞報告書'!K258)</f>
        <v/>
      </c>
      <c r="L269" s="3375"/>
      <c r="M269" s="3376" t="str">
        <f>IF('＜入力不要＞報告書'!M258="","",'＜入力不要＞報告書'!M258)</f>
        <v/>
      </c>
      <c r="N269" s="3376"/>
      <c r="O269" s="945" t="s">
        <v>12</v>
      </c>
      <c r="P269" s="3376" t="str">
        <f>IF('＜入力不要＞報告書'!P258="","",'＜入力不要＞報告書'!P258)</f>
        <v/>
      </c>
      <c r="Q269" s="3376"/>
      <c r="R269" s="945" t="s">
        <v>348</v>
      </c>
      <c r="S269" s="3376" t="str">
        <f>IF('＜入力不要＞報告書'!S258="","",'＜入力不要＞報告書'!S258)</f>
        <v/>
      </c>
      <c r="T269" s="3376"/>
      <c r="U269" s="945" t="s">
        <v>364</v>
      </c>
      <c r="X269" s="939" t="s">
        <v>349</v>
      </c>
      <c r="AA269" s="3357">
        <f>IF('＜入力不要＞報告書'!AA258="","",'＜入力不要＞報告書'!AA258)</f>
        <v>0</v>
      </c>
      <c r="AB269" s="3357"/>
      <c r="AC269" s="3357"/>
      <c r="AD269" s="3357"/>
      <c r="AE269" s="3357"/>
      <c r="AF269" s="3357"/>
      <c r="AG269" s="3357"/>
      <c r="AH269" s="3357"/>
      <c r="AI269" s="3357"/>
      <c r="AJ269" s="3357"/>
      <c r="AK269" s="3357"/>
      <c r="AL269" s="3357"/>
      <c r="AM269" s="3357"/>
      <c r="AN269" s="3357"/>
      <c r="AO269" s="3378"/>
      <c r="AP269" s="3378"/>
      <c r="AQ269" s="3378"/>
      <c r="AR269" s="3378"/>
      <c r="AS269" s="3378"/>
      <c r="AT269" s="939" t="s">
        <v>22</v>
      </c>
    </row>
    <row r="270" spans="2:46" ht="12.95" customHeight="1" x14ac:dyDescent="0.15">
      <c r="J270" s="1003"/>
      <c r="K270" s="3375" t="str">
        <f>IF('＜入力不要＞報告書'!K259="","",'＜入力不要＞報告書'!K259)</f>
        <v/>
      </c>
      <c r="L270" s="3375"/>
      <c r="M270" s="3376" t="str">
        <f>IF('＜入力不要＞報告書'!M259="","",'＜入力不要＞報告書'!M259)</f>
        <v/>
      </c>
      <c r="N270" s="3376"/>
      <c r="O270" s="945" t="s">
        <v>12</v>
      </c>
      <c r="P270" s="3376" t="str">
        <f>IF('＜入力不要＞報告書'!P259="","",'＜入力不要＞報告書'!P259)</f>
        <v/>
      </c>
      <c r="Q270" s="3376"/>
      <c r="R270" s="945" t="s">
        <v>348</v>
      </c>
      <c r="S270" s="3376" t="str">
        <f>IF('＜入力不要＞報告書'!S259="","",'＜入力不要＞報告書'!S259)</f>
        <v/>
      </c>
      <c r="T270" s="3376"/>
      <c r="U270" s="945" t="s">
        <v>364</v>
      </c>
      <c r="X270" s="939" t="s">
        <v>349</v>
      </c>
      <c r="AA270" s="3357">
        <f>IF('＜入力不要＞報告書'!AA259="","",'＜入力不要＞報告書'!AA259)</f>
        <v>0</v>
      </c>
      <c r="AB270" s="3357"/>
      <c r="AC270" s="3357"/>
      <c r="AD270" s="3357"/>
      <c r="AE270" s="3357"/>
      <c r="AF270" s="3357"/>
      <c r="AG270" s="3357"/>
      <c r="AH270" s="3357"/>
      <c r="AI270" s="3357"/>
      <c r="AJ270" s="3357"/>
      <c r="AK270" s="3357"/>
      <c r="AL270" s="3357"/>
      <c r="AM270" s="3357"/>
      <c r="AN270" s="3357"/>
      <c r="AO270" s="3378"/>
      <c r="AP270" s="3378"/>
      <c r="AQ270" s="3378"/>
      <c r="AR270" s="3378"/>
      <c r="AS270" s="3378"/>
      <c r="AT270" s="939" t="s">
        <v>22</v>
      </c>
    </row>
    <row r="271" spans="2:46" ht="12" hidden="1" customHeight="1" x14ac:dyDescent="0.15">
      <c r="C271" s="946"/>
    </row>
    <row r="272" spans="2:46" ht="12" hidden="1" customHeight="1" x14ac:dyDescent="0.15">
      <c r="C272" s="946"/>
    </row>
    <row r="273" spans="2:46" ht="12" hidden="1" customHeight="1" x14ac:dyDescent="0.15">
      <c r="C273" s="946"/>
    </row>
    <row r="274" spans="2:46" ht="4.5" customHeight="1" x14ac:dyDescent="0.15"/>
    <row r="275" spans="2:46" ht="4.5" customHeight="1" x14ac:dyDescent="0.15"/>
    <row r="276" spans="2:46" ht="12" hidden="1" customHeight="1" x14ac:dyDescent="0.15"/>
    <row r="277" spans="2:46" ht="12" hidden="1" customHeight="1" x14ac:dyDescent="0.15">
      <c r="B277" s="946"/>
    </row>
    <row r="278" spans="2:46" ht="12" hidden="1" customHeight="1" x14ac:dyDescent="0.15">
      <c r="B278" s="946"/>
    </row>
    <row r="279" spans="2:46" ht="12" hidden="1" customHeight="1" x14ac:dyDescent="0.15">
      <c r="B279" s="946"/>
    </row>
    <row r="280" spans="2:46" ht="12" hidden="1" customHeight="1" x14ac:dyDescent="0.15">
      <c r="B280" s="946"/>
    </row>
    <row r="281" spans="2:46" ht="14.1" customHeight="1" x14ac:dyDescent="0.15">
      <c r="B281" s="946" t="s">
        <v>449</v>
      </c>
    </row>
    <row r="282" spans="2:46" ht="12.95" customHeight="1" x14ac:dyDescent="0.15">
      <c r="D282" s="946" t="s">
        <v>450</v>
      </c>
      <c r="P282" s="1052" t="str">
        <f>IF('＜入力不要＞報告書'!P271="","",'＜入力不要＞報告書'!P271)</f>
        <v/>
      </c>
      <c r="Q282" s="939" t="s">
        <v>451</v>
      </c>
      <c r="R282" s="961"/>
      <c r="S282" s="1052" t="str">
        <f>IF('＜入力不要＞報告書'!S271="","",'＜入力不要＞報告書'!S271)</f>
        <v/>
      </c>
      <c r="T282" s="939" t="s">
        <v>452</v>
      </c>
      <c r="AB282" s="1052" t="str">
        <f>IF('＜入力不要＞報告書'!AB271="","",'＜入力不要＞報告書'!AB271)</f>
        <v/>
      </c>
      <c r="AC282" s="939" t="s">
        <v>211</v>
      </c>
    </row>
    <row r="283" spans="2:46" ht="12.95" customHeight="1" x14ac:dyDescent="0.15">
      <c r="D283" s="946" t="s">
        <v>453</v>
      </c>
      <c r="P283" s="1052" t="str">
        <f>IF('＜入力不要＞報告書'!P272="","",'＜入力不要＞報告書'!P272)</f>
        <v/>
      </c>
      <c r="Q283" s="939" t="s">
        <v>454</v>
      </c>
      <c r="S283" s="1052" t="str">
        <f>IF('＜入力不要＞報告書'!S272="","",'＜入力不要＞報告書'!S272)</f>
        <v/>
      </c>
      <c r="T283" s="939" t="s">
        <v>211</v>
      </c>
    </row>
    <row r="284" spans="2:46" ht="12" customHeight="1" x14ac:dyDescent="0.15">
      <c r="D284" s="946"/>
      <c r="P284" s="939" t="s">
        <v>229</v>
      </c>
      <c r="U284" s="3163" t="str">
        <f>IF('＜入力不要＞報告書'!U273="","",'＜入力不要＞報告書'!U273)</f>
        <v/>
      </c>
      <c r="V284" s="3163"/>
      <c r="W284" s="3358" t="str">
        <f>IF('＜入力不要＞報告書'!W273="","",'＜入力不要＞報告書'!W273)</f>
        <v/>
      </c>
      <c r="X284" s="3358"/>
      <c r="Y284" s="939" t="s">
        <v>12</v>
      </c>
      <c r="Z284" s="3358" t="str">
        <f>IF('＜入力不要＞報告書'!Z273="","",'＜入力不要＞報告書'!Z273)</f>
        <v/>
      </c>
      <c r="AA284" s="3358"/>
      <c r="AB284" s="939" t="s">
        <v>348</v>
      </c>
      <c r="AC284" s="3358" t="str">
        <f>IF('＜入力不要＞報告書'!AC273="","",'＜入力不要＞報告書'!AC273)</f>
        <v/>
      </c>
      <c r="AD284" s="3358"/>
      <c r="AE284" s="939" t="s">
        <v>364</v>
      </c>
      <c r="AG284" s="939" t="s">
        <v>3</v>
      </c>
      <c r="AH284" s="3379" t="str">
        <f>IF('＜入力不要＞報告書'!AH273="","",'＜入力不要＞報告書'!AH273)</f>
        <v/>
      </c>
      <c r="AI284" s="3379"/>
      <c r="AJ284" s="3379"/>
      <c r="AK284" s="3379"/>
      <c r="AL284" s="3379"/>
      <c r="AM284" s="3379"/>
      <c r="AN284" s="3380"/>
      <c r="AO284" s="3380"/>
      <c r="AP284" s="3380"/>
      <c r="AQ284" s="3380"/>
      <c r="AR284" s="3380"/>
      <c r="AS284" s="1004" t="s">
        <v>380</v>
      </c>
    </row>
    <row r="285" spans="2:46" ht="12.95" customHeight="1" x14ac:dyDescent="0.15">
      <c r="D285" s="946"/>
      <c r="P285" s="939" t="s">
        <v>455</v>
      </c>
      <c r="U285" s="1052" t="str">
        <f>IF('＜入力不要＞報告書'!U274="","",'＜入力不要＞報告書'!U274)</f>
        <v/>
      </c>
      <c r="V285" s="939" t="s">
        <v>3001</v>
      </c>
      <c r="AA285" s="1052" t="str">
        <f>IF('＜入力不要＞報告書'!AA274="","",'＜入力不要＞報告書'!AA274)</f>
        <v/>
      </c>
      <c r="AB285" s="939" t="s">
        <v>456</v>
      </c>
      <c r="AK285" s="3379" t="str">
        <f>IF('＜入力不要＞報告書'!AK274="","",'＜入力不要＞報告書'!AK274)</f>
        <v/>
      </c>
      <c r="AL285" s="3379"/>
      <c r="AM285" s="3379"/>
      <c r="AN285" s="3379"/>
      <c r="AO285" s="3379"/>
      <c r="AP285" s="3379"/>
      <c r="AQ285" s="3379"/>
      <c r="AR285" s="3379"/>
      <c r="AS285" s="3381"/>
      <c r="AT285" s="945" t="s">
        <v>22</v>
      </c>
    </row>
    <row r="286" spans="2:46" ht="12.95" customHeight="1" x14ac:dyDescent="0.15">
      <c r="D286" s="946" t="s">
        <v>457</v>
      </c>
      <c r="R286" s="1052" t="str">
        <f>IF('＜入力不要＞報告書'!R275="","",'＜入力不要＞報告書'!R275)</f>
        <v/>
      </c>
      <c r="S286" s="939" t="s">
        <v>454</v>
      </c>
      <c r="U286" s="1052" t="str">
        <f>IF('＜入力不要＞報告書'!U275="","",'＜入力不要＞報告書'!U275)</f>
        <v/>
      </c>
      <c r="V286" s="939" t="s">
        <v>211</v>
      </c>
    </row>
    <row r="287" spans="2:46" ht="12.95" customHeight="1" x14ac:dyDescent="0.15">
      <c r="D287" s="946" t="s">
        <v>458</v>
      </c>
      <c r="P287" s="1052" t="str">
        <f>IF('＜入力不要＞報告書'!P276="","",'＜入力不要＞報告書'!P276)</f>
        <v/>
      </c>
      <c r="Q287" s="939" t="s">
        <v>454</v>
      </c>
      <c r="S287" s="1052" t="str">
        <f>IF('＜入力不要＞報告書'!S276="","",'＜入力不要＞報告書'!S276)</f>
        <v/>
      </c>
      <c r="T287" s="939" t="s">
        <v>211</v>
      </c>
    </row>
    <row r="288" spans="2:46" ht="12.95" customHeight="1" x14ac:dyDescent="0.15">
      <c r="D288" s="946"/>
      <c r="P288" s="939" t="s">
        <v>229</v>
      </c>
      <c r="U288" s="3163" t="str">
        <f>IF('＜入力不要＞報告書'!U277="","",'＜入力不要＞報告書'!U277)</f>
        <v/>
      </c>
      <c r="V288" s="3163"/>
      <c r="W288" s="3358" t="str">
        <f>IF('＜入力不要＞報告書'!W277="","",'＜入力不要＞報告書'!W277)</f>
        <v/>
      </c>
      <c r="X288" s="3358"/>
      <c r="Y288" s="939" t="s">
        <v>12</v>
      </c>
      <c r="Z288" s="3358" t="str">
        <f>IF('＜入力不要＞報告書'!Z277="","",'＜入力不要＞報告書'!Z277)</f>
        <v/>
      </c>
      <c r="AA288" s="3358"/>
      <c r="AB288" s="939" t="s">
        <v>348</v>
      </c>
      <c r="AC288" s="3358" t="str">
        <f>IF('＜入力不要＞報告書'!AC277="","",'＜入力不要＞報告書'!AC277)</f>
        <v/>
      </c>
      <c r="AD288" s="3358"/>
      <c r="AE288" s="939" t="s">
        <v>364</v>
      </c>
      <c r="AG288" s="939" t="s">
        <v>3</v>
      </c>
      <c r="AH288" s="3355" t="str">
        <f>IF('＜入力不要＞報告書'!AH277="","",'＜入力不要＞報告書'!AH277)</f>
        <v/>
      </c>
      <c r="AI288" s="3355"/>
      <c r="AJ288" s="3355"/>
      <c r="AK288" s="3355"/>
      <c r="AL288" s="3355"/>
      <c r="AM288" s="3355"/>
      <c r="AN288" s="3360"/>
      <c r="AO288" s="3360"/>
      <c r="AP288" s="3360"/>
      <c r="AQ288" s="3360"/>
      <c r="AR288" s="3360"/>
      <c r="AS288" s="1004" t="s">
        <v>380</v>
      </c>
    </row>
    <row r="289" spans="2:67" ht="12.95" customHeight="1" x14ac:dyDescent="0.15">
      <c r="D289" s="946"/>
      <c r="P289" s="939" t="s">
        <v>459</v>
      </c>
      <c r="U289" s="1052" t="str">
        <f>IF('＜入力不要＞報告書'!U278="","",'＜入力不要＞報告書'!U278)</f>
        <v/>
      </c>
      <c r="V289" s="939" t="s">
        <v>3001</v>
      </c>
      <c r="AA289" s="1052" t="str">
        <f>IF('＜入力不要＞報告書'!AA278="","",'＜入力不要＞報告書'!AA278)</f>
        <v/>
      </c>
      <c r="AB289" s="939" t="s">
        <v>456</v>
      </c>
      <c r="AK289" s="3356" t="str">
        <f>IF('＜入力不要＞報告書'!AK278="","",'＜入力不要＞報告書'!AK278)</f>
        <v/>
      </c>
      <c r="AL289" s="3356"/>
      <c r="AM289" s="3356"/>
      <c r="AN289" s="3356"/>
      <c r="AO289" s="3356"/>
      <c r="AP289" s="3356"/>
      <c r="AQ289" s="3356"/>
      <c r="AR289" s="3356"/>
      <c r="AS289" s="3382"/>
      <c r="AT289" s="945" t="s">
        <v>22</v>
      </c>
    </row>
    <row r="290" spans="2:67" ht="12.95" customHeight="1" x14ac:dyDescent="0.15">
      <c r="D290" s="946" t="s">
        <v>460</v>
      </c>
      <c r="V290" s="1052" t="str">
        <f>IF('＜入力不要＞報告書'!V279="","",'＜入力不要＞報告書'!V279)</f>
        <v/>
      </c>
      <c r="W290" s="939" t="s">
        <v>454</v>
      </c>
      <c r="Y290" s="1052" t="str">
        <f>IF('＜入力不要＞報告書'!Y279="","",'＜入力不要＞報告書'!Y279)</f>
        <v/>
      </c>
      <c r="Z290" s="939" t="s">
        <v>211</v>
      </c>
    </row>
    <row r="291" spans="2:67" ht="12.95" customHeight="1" x14ac:dyDescent="0.15">
      <c r="D291" s="946" t="s">
        <v>461</v>
      </c>
      <c r="V291" s="1052" t="str">
        <f>IF('＜入力不要＞報告書'!V280="","",'＜入力不要＞報告書'!V280)</f>
        <v/>
      </c>
      <c r="W291" s="939" t="s">
        <v>454</v>
      </c>
      <c r="Y291" s="1052" t="str">
        <f>IF('＜入力不要＞報告書'!Y280="","",'＜入力不要＞報告書'!Y280)</f>
        <v/>
      </c>
      <c r="Z291" s="939" t="s">
        <v>211</v>
      </c>
      <c r="AB291" s="1052" t="str">
        <f>IF('＜入力不要＞報告書'!AB280="","",'＜入力不要＞報告書'!AB280)</f>
        <v/>
      </c>
      <c r="AC291" s="939" t="s">
        <v>271</v>
      </c>
    </row>
    <row r="292" spans="2:67" ht="12.95" hidden="1" customHeight="1" x14ac:dyDescent="0.15">
      <c r="B292" s="946" t="s">
        <v>431</v>
      </c>
    </row>
    <row r="293" spans="2:67" ht="12.95" hidden="1" customHeight="1" x14ac:dyDescent="0.15">
      <c r="C293" s="946" t="s">
        <v>390</v>
      </c>
      <c r="J293" s="960" t="s">
        <v>432</v>
      </c>
      <c r="K293" s="3358"/>
      <c r="L293" s="3358"/>
      <c r="M293" s="939" t="s">
        <v>433</v>
      </c>
      <c r="V293" s="960"/>
      <c r="W293" s="944" t="s">
        <v>25</v>
      </c>
      <c r="X293" s="3358"/>
      <c r="Y293" s="3358"/>
      <c r="Z293" s="3358"/>
      <c r="AA293" s="3358"/>
      <c r="AB293" s="3358"/>
      <c r="AC293" s="3358"/>
      <c r="AG293" s="960" t="s">
        <v>434</v>
      </c>
      <c r="AH293" s="3371"/>
      <c r="AI293" s="3371"/>
      <c r="AJ293" s="3371"/>
      <c r="AK293" s="3371"/>
      <c r="AL293" s="3371"/>
      <c r="AM293" s="3371"/>
      <c r="AN293" s="3371"/>
      <c r="AO293" s="939" t="s">
        <v>4</v>
      </c>
    </row>
    <row r="294" spans="2:67" ht="12.95" hidden="1" customHeight="1" x14ac:dyDescent="0.15">
      <c r="C294" s="946"/>
      <c r="J294" s="939" t="s">
        <v>462</v>
      </c>
      <c r="AG294" s="960" t="s">
        <v>3</v>
      </c>
      <c r="AH294" s="3371"/>
      <c r="AI294" s="3371"/>
      <c r="AJ294" s="3371"/>
      <c r="AK294" s="3371"/>
      <c r="AL294" s="3371"/>
      <c r="AM294" s="3371"/>
      <c r="AN294" s="3371"/>
      <c r="AO294" s="939" t="s">
        <v>4</v>
      </c>
    </row>
    <row r="295" spans="2:67" s="939" customFormat="1" ht="12" hidden="1" customHeight="1" x14ac:dyDescent="0.15">
      <c r="C295" s="946"/>
      <c r="J295" s="939" t="s">
        <v>436</v>
      </c>
      <c r="AG295" s="960" t="s">
        <v>3</v>
      </c>
      <c r="AH295" s="3371"/>
      <c r="AI295" s="3371"/>
      <c r="AJ295" s="3371"/>
      <c r="AK295" s="3371"/>
      <c r="AL295" s="3371"/>
      <c r="AM295" s="3371"/>
      <c r="AN295" s="3371"/>
      <c r="AO295" s="939" t="s">
        <v>4</v>
      </c>
      <c r="BB295" s="940"/>
      <c r="BC295" s="940"/>
      <c r="BD295" s="940"/>
      <c r="BE295" s="940"/>
      <c r="BF295" s="940"/>
      <c r="BG295" s="940"/>
      <c r="BH295" s="940"/>
      <c r="BI295" s="940"/>
      <c r="BJ295" s="940"/>
      <c r="BK295" s="940"/>
      <c r="BL295" s="940"/>
      <c r="BM295" s="940"/>
      <c r="BN295" s="940"/>
      <c r="BO295" s="940"/>
    </row>
    <row r="296" spans="2:67" s="939" customFormat="1" ht="12.95" hidden="1" customHeight="1" x14ac:dyDescent="0.15">
      <c r="C296" s="946" t="s">
        <v>381</v>
      </c>
      <c r="N296" s="3350"/>
      <c r="O296" s="3350"/>
      <c r="P296" s="3350"/>
      <c r="Q296" s="3350"/>
      <c r="R296" s="3350"/>
      <c r="S296" s="3350"/>
      <c r="T296" s="3350"/>
      <c r="U296" s="3350"/>
      <c r="V296" s="3350"/>
      <c r="W296" s="3350"/>
      <c r="X296" s="3350"/>
      <c r="Y296" s="3350"/>
      <c r="Z296" s="3350"/>
      <c r="AA296" s="3350"/>
      <c r="AB296" s="3350"/>
      <c r="AC296" s="3350"/>
      <c r="AD296" s="3350"/>
      <c r="AE296" s="3350"/>
      <c r="AF296" s="3350"/>
      <c r="AG296" s="3350"/>
      <c r="AH296" s="3350"/>
      <c r="AI296" s="3350"/>
      <c r="AJ296" s="3350"/>
      <c r="AK296" s="3350"/>
      <c r="AL296" s="3350"/>
      <c r="AM296" s="3350"/>
      <c r="AN296" s="3350"/>
      <c r="AO296" s="3350"/>
      <c r="AP296" s="3350"/>
      <c r="AQ296" s="3350"/>
      <c r="AR296" s="3350"/>
      <c r="AS296" s="3350"/>
      <c r="AT296" s="3350"/>
      <c r="BB296" s="940"/>
      <c r="BC296" s="940"/>
      <c r="BD296" s="940"/>
      <c r="BE296" s="940"/>
      <c r="BF296" s="940"/>
      <c r="BG296" s="940"/>
      <c r="BH296" s="940"/>
      <c r="BI296" s="940"/>
      <c r="BJ296" s="940"/>
      <c r="BK296" s="940"/>
      <c r="BL296" s="940"/>
      <c r="BM296" s="940"/>
      <c r="BN296" s="940"/>
      <c r="BO296" s="940"/>
    </row>
    <row r="297" spans="2:67" s="939" customFormat="1" ht="12.95" hidden="1" customHeight="1" x14ac:dyDescent="0.15">
      <c r="C297" s="946" t="s">
        <v>437</v>
      </c>
      <c r="N297" s="3372"/>
      <c r="O297" s="3372"/>
      <c r="P297" s="3372"/>
      <c r="Q297" s="3372"/>
      <c r="R297" s="3372"/>
      <c r="S297" s="3372"/>
      <c r="T297" s="3372"/>
      <c r="U297" s="3372"/>
      <c r="V297" s="3372"/>
      <c r="W297" s="3372"/>
      <c r="X297" s="3372"/>
      <c r="Y297" s="3372"/>
      <c r="Z297" s="3372"/>
      <c r="AA297" s="3372"/>
      <c r="AB297" s="3372"/>
      <c r="AC297" s="3372"/>
      <c r="AD297" s="3372"/>
      <c r="AE297" s="3372"/>
      <c r="AF297" s="3372"/>
      <c r="AG297" s="3372"/>
      <c r="AH297" s="3372"/>
      <c r="AI297" s="3372"/>
      <c r="AJ297" s="3372"/>
      <c r="AK297" s="3372"/>
      <c r="AL297" s="3372"/>
      <c r="AM297" s="3372"/>
      <c r="AN297" s="3372"/>
      <c r="AO297" s="3372"/>
      <c r="AP297" s="3372"/>
      <c r="AQ297" s="3372"/>
      <c r="AR297" s="3372"/>
      <c r="AS297" s="3372"/>
      <c r="AT297" s="3372"/>
      <c r="BB297" s="940"/>
      <c r="BC297" s="940"/>
      <c r="BD297" s="940"/>
      <c r="BE297" s="940"/>
      <c r="BF297" s="940"/>
      <c r="BG297" s="940"/>
      <c r="BH297" s="940"/>
      <c r="BI297" s="940"/>
      <c r="BJ297" s="940"/>
      <c r="BK297" s="940"/>
      <c r="BL297" s="940"/>
      <c r="BM297" s="940"/>
      <c r="BN297" s="940"/>
      <c r="BO297" s="940"/>
    </row>
    <row r="298" spans="2:67" s="939" customFormat="1" ht="12.95" hidden="1" customHeight="1" x14ac:dyDescent="0.15">
      <c r="C298" s="946" t="s">
        <v>438</v>
      </c>
      <c r="N298" s="3350"/>
      <c r="O298" s="3350"/>
      <c r="P298" s="3350"/>
      <c r="Q298" s="3350"/>
      <c r="R298" s="3350"/>
      <c r="S298" s="3350"/>
      <c r="T298" s="3350"/>
      <c r="U298" s="3350"/>
      <c r="V298" s="3350"/>
      <c r="W298" s="3350"/>
      <c r="X298" s="3350"/>
      <c r="Y298" s="3350"/>
      <c r="Z298" s="3350"/>
      <c r="AA298" s="3350"/>
      <c r="AB298" s="3350"/>
      <c r="AC298" s="3350"/>
      <c r="AD298" s="3350"/>
      <c r="AE298" s="3350"/>
      <c r="AF298" s="3350"/>
      <c r="AG298" s="3350"/>
      <c r="AH298" s="3350"/>
      <c r="AI298" s="3350"/>
      <c r="AJ298" s="3350"/>
      <c r="AK298" s="3350"/>
      <c r="AL298" s="3350"/>
      <c r="AM298" s="3350"/>
      <c r="AN298" s="3350"/>
      <c r="AO298" s="3350"/>
      <c r="AP298" s="3350"/>
      <c r="AQ298" s="3350"/>
      <c r="AR298" s="3350"/>
      <c r="AS298" s="3350"/>
      <c r="AT298" s="3350"/>
      <c r="BB298" s="940"/>
      <c r="BC298" s="940"/>
      <c r="BD298" s="940"/>
      <c r="BE298" s="940"/>
      <c r="BF298" s="940"/>
      <c r="BG298" s="940"/>
      <c r="BH298" s="940"/>
      <c r="BI298" s="940"/>
      <c r="BJ298" s="940"/>
      <c r="BK298" s="940"/>
      <c r="BL298" s="940"/>
      <c r="BM298" s="940"/>
      <c r="BN298" s="940"/>
      <c r="BO298" s="940"/>
    </row>
    <row r="299" spans="2:67" s="939" customFormat="1" ht="12.95" hidden="1" customHeight="1" x14ac:dyDescent="0.15">
      <c r="C299" s="946"/>
      <c r="J299" s="960" t="s">
        <v>432</v>
      </c>
      <c r="K299" s="3358"/>
      <c r="L299" s="3358"/>
      <c r="M299" s="939" t="s">
        <v>439</v>
      </c>
      <c r="V299" s="960"/>
      <c r="W299" s="944" t="s">
        <v>25</v>
      </c>
      <c r="X299" s="3358"/>
      <c r="Y299" s="3358"/>
      <c r="Z299" s="3358"/>
      <c r="AA299" s="3358"/>
      <c r="AG299" s="960" t="s">
        <v>440</v>
      </c>
      <c r="AH299" s="3371"/>
      <c r="AI299" s="3371"/>
      <c r="AJ299" s="3371"/>
      <c r="AK299" s="3371"/>
      <c r="AL299" s="3371"/>
      <c r="AM299" s="3371"/>
      <c r="AN299" s="3371"/>
      <c r="AO299" s="939" t="s">
        <v>4</v>
      </c>
      <c r="BB299" s="940"/>
      <c r="BC299" s="940"/>
      <c r="BD299" s="940"/>
      <c r="BE299" s="940"/>
      <c r="BF299" s="940"/>
      <c r="BG299" s="940"/>
      <c r="BH299" s="940"/>
      <c r="BI299" s="940"/>
      <c r="BJ299" s="940"/>
      <c r="BK299" s="940"/>
      <c r="BL299" s="940"/>
      <c r="BM299" s="940"/>
      <c r="BN299" s="940"/>
      <c r="BO299" s="940"/>
    </row>
    <row r="300" spans="2:67" s="939" customFormat="1" ht="12.95" hidden="1" customHeight="1" x14ac:dyDescent="0.15">
      <c r="C300" s="946" t="s">
        <v>441</v>
      </c>
      <c r="N300" s="3377"/>
      <c r="O300" s="3377"/>
      <c r="P300" s="3377"/>
      <c r="Q300" s="3377"/>
      <c r="R300" s="3377"/>
      <c r="S300" s="3377"/>
      <c r="T300" s="3377"/>
      <c r="U300" s="3377"/>
      <c r="V300" s="3377"/>
      <c r="W300" s="950"/>
      <c r="X300" s="950"/>
      <c r="Y300" s="950"/>
      <c r="Z300" s="950"/>
      <c r="AA300" s="950"/>
      <c r="AB300" s="950"/>
      <c r="AC300" s="950"/>
      <c r="AD300" s="950"/>
      <c r="AE300" s="950"/>
      <c r="AF300" s="950"/>
      <c r="AG300" s="950"/>
      <c r="AH300" s="950"/>
      <c r="AI300" s="950"/>
      <c r="AJ300" s="950"/>
      <c r="AK300" s="950"/>
      <c r="AL300" s="950"/>
      <c r="AM300" s="950"/>
      <c r="AN300" s="950"/>
      <c r="AO300" s="950"/>
      <c r="AP300" s="951"/>
      <c r="BB300" s="940"/>
      <c r="BC300" s="940"/>
      <c r="BD300" s="940"/>
      <c r="BE300" s="940"/>
      <c r="BF300" s="940"/>
      <c r="BG300" s="940"/>
      <c r="BH300" s="940"/>
      <c r="BI300" s="940"/>
      <c r="BJ300" s="940"/>
      <c r="BK300" s="940"/>
      <c r="BL300" s="940"/>
      <c r="BM300" s="940"/>
      <c r="BN300" s="940"/>
      <c r="BO300" s="940"/>
    </row>
    <row r="301" spans="2:67" s="939" customFormat="1" ht="12.95" hidden="1" customHeight="1" x14ac:dyDescent="0.15">
      <c r="C301" s="946" t="s">
        <v>442</v>
      </c>
      <c r="N301" s="3350"/>
      <c r="O301" s="3350"/>
      <c r="P301" s="3350"/>
      <c r="Q301" s="3350"/>
      <c r="R301" s="3350"/>
      <c r="S301" s="3350"/>
      <c r="T301" s="3350"/>
      <c r="U301" s="3350"/>
      <c r="V301" s="3350"/>
      <c r="W301" s="3350"/>
      <c r="X301" s="3350"/>
      <c r="Y301" s="3350"/>
      <c r="Z301" s="3350"/>
      <c r="AA301" s="3350"/>
      <c r="AB301" s="3350"/>
      <c r="AC301" s="3350"/>
      <c r="AD301" s="3350"/>
      <c r="AE301" s="3350"/>
      <c r="AF301" s="3350"/>
      <c r="AG301" s="3350"/>
      <c r="AH301" s="3350"/>
      <c r="AI301" s="3350"/>
      <c r="AJ301" s="3350"/>
      <c r="AK301" s="3350"/>
      <c r="AL301" s="3350"/>
      <c r="AM301" s="3350"/>
      <c r="AN301" s="3350"/>
      <c r="AO301" s="3350"/>
      <c r="AP301" s="3350"/>
      <c r="AQ301" s="3350"/>
      <c r="AR301" s="3350"/>
      <c r="AS301" s="3350"/>
      <c r="AT301" s="3350"/>
      <c r="BB301" s="940"/>
      <c r="BC301" s="940"/>
      <c r="BD301" s="940"/>
      <c r="BE301" s="940"/>
      <c r="BF301" s="940"/>
      <c r="BG301" s="940"/>
      <c r="BH301" s="940"/>
      <c r="BI301" s="940"/>
      <c r="BJ301" s="940"/>
      <c r="BK301" s="940"/>
      <c r="BL301" s="940"/>
      <c r="BM301" s="940"/>
      <c r="BN301" s="940"/>
      <c r="BO301" s="940"/>
    </row>
    <row r="302" spans="2:67" s="939" customFormat="1" ht="12.95" hidden="1" customHeight="1" x14ac:dyDescent="0.15">
      <c r="C302" s="946" t="s">
        <v>388</v>
      </c>
      <c r="N302" s="3372"/>
      <c r="O302" s="3372"/>
      <c r="P302" s="3372"/>
      <c r="Q302" s="3372"/>
      <c r="R302" s="3372"/>
      <c r="S302" s="3372"/>
      <c r="T302" s="3372"/>
      <c r="U302" s="3372"/>
      <c r="V302" s="3372"/>
      <c r="W302" s="3372"/>
      <c r="X302" s="3372"/>
      <c r="Y302" s="3372"/>
      <c r="Z302" s="3372"/>
      <c r="AA302" s="3372"/>
      <c r="AB302" s="3372"/>
      <c r="AC302" s="3372"/>
      <c r="AD302" s="3372"/>
      <c r="AE302" s="1001"/>
      <c r="AF302" s="1001"/>
      <c r="AG302" s="1001"/>
      <c r="AH302" s="1001"/>
      <c r="AI302" s="1001"/>
      <c r="AJ302" s="1001"/>
      <c r="AK302" s="1001"/>
      <c r="AL302" s="1001"/>
      <c r="AM302" s="1001"/>
      <c r="AN302" s="1001"/>
      <c r="AO302" s="1001"/>
      <c r="AP302" s="1002"/>
      <c r="BB302" s="940"/>
      <c r="BC302" s="940"/>
      <c r="BD302" s="940"/>
      <c r="BE302" s="940"/>
      <c r="BF302" s="940"/>
      <c r="BG302" s="940"/>
      <c r="BH302" s="940"/>
      <c r="BI302" s="940"/>
      <c r="BJ302" s="940"/>
      <c r="BK302" s="940"/>
      <c r="BL302" s="940"/>
      <c r="BM302" s="940"/>
      <c r="BN302" s="940"/>
      <c r="BO302" s="940"/>
    </row>
    <row r="303" spans="2:67" s="939" customFormat="1" ht="4.5" customHeight="1" x14ac:dyDescent="0.15">
      <c r="BB303" s="940"/>
      <c r="BC303" s="940"/>
      <c r="BD303" s="940"/>
      <c r="BE303" s="940"/>
      <c r="BF303" s="940"/>
      <c r="BG303" s="940"/>
      <c r="BH303" s="940"/>
      <c r="BI303" s="940"/>
      <c r="BJ303" s="940"/>
      <c r="BK303" s="940"/>
      <c r="BL303" s="940"/>
      <c r="BM303" s="940"/>
      <c r="BN303" s="940"/>
      <c r="BO303" s="940"/>
    </row>
    <row r="304" spans="2:67" s="939" customFormat="1" ht="4.5" customHeight="1" x14ac:dyDescent="0.15">
      <c r="BB304" s="940"/>
      <c r="BC304" s="940"/>
      <c r="BD304" s="940"/>
      <c r="BE304" s="940"/>
      <c r="BF304" s="940"/>
      <c r="BG304" s="940"/>
      <c r="BH304" s="940"/>
      <c r="BI304" s="940"/>
      <c r="BJ304" s="940"/>
      <c r="BK304" s="940"/>
      <c r="BL304" s="940"/>
      <c r="BM304" s="940"/>
      <c r="BN304" s="940"/>
      <c r="BO304" s="940"/>
    </row>
    <row r="305" spans="1:67" s="939" customFormat="1" ht="12" hidden="1" customHeight="1" x14ac:dyDescent="0.15">
      <c r="BB305" s="940"/>
      <c r="BC305" s="940"/>
      <c r="BD305" s="940"/>
      <c r="BE305" s="940"/>
      <c r="BF305" s="940"/>
      <c r="BG305" s="940"/>
      <c r="BH305" s="940"/>
      <c r="BI305" s="940"/>
      <c r="BJ305" s="940"/>
      <c r="BK305" s="940"/>
      <c r="BL305" s="940"/>
      <c r="BM305" s="940"/>
      <c r="BN305" s="940"/>
      <c r="BO305" s="940"/>
    </row>
    <row r="306" spans="1:67" s="939" customFormat="1" ht="14.1" customHeight="1" x14ac:dyDescent="0.15">
      <c r="B306" s="946" t="s">
        <v>463</v>
      </c>
      <c r="BB306" s="940"/>
      <c r="BC306" s="940"/>
      <c r="BD306" s="940"/>
      <c r="BE306" s="940"/>
      <c r="BF306" s="940"/>
      <c r="BG306" s="940"/>
      <c r="BH306" s="940"/>
      <c r="BI306" s="940"/>
      <c r="BJ306" s="940"/>
      <c r="BK306" s="940"/>
      <c r="BL306" s="940"/>
      <c r="BM306" s="940"/>
      <c r="BN306" s="940"/>
      <c r="BO306" s="940"/>
    </row>
    <row r="307" spans="1:67" s="939" customFormat="1" ht="12.95" customHeight="1" x14ac:dyDescent="0.15">
      <c r="C307" s="3383" t="str">
        <f>IF('＜入力不要＞報告書'!C296="","",'＜入力不要＞報告書'!C296)</f>
        <v/>
      </c>
      <c r="D307" s="3383"/>
      <c r="E307" s="3383"/>
      <c r="F307" s="3383"/>
      <c r="G307" s="3383"/>
      <c r="H307" s="3383"/>
      <c r="I307" s="3383"/>
      <c r="J307" s="3383"/>
      <c r="K307" s="3383"/>
      <c r="L307" s="3383"/>
      <c r="M307" s="3383"/>
      <c r="N307" s="3383"/>
      <c r="O307" s="3383"/>
      <c r="P307" s="3383"/>
      <c r="Q307" s="3383"/>
      <c r="R307" s="3383"/>
      <c r="S307" s="3383"/>
      <c r="T307" s="3383"/>
      <c r="U307" s="3383"/>
      <c r="V307" s="3383"/>
      <c r="W307" s="3383"/>
      <c r="X307" s="3383"/>
      <c r="Y307" s="3383"/>
      <c r="Z307" s="3383"/>
      <c r="AA307" s="3383"/>
      <c r="AB307" s="3383"/>
      <c r="AC307" s="3383"/>
      <c r="AD307" s="3383"/>
      <c r="AE307" s="3383"/>
      <c r="AF307" s="3383"/>
      <c r="AG307" s="3383"/>
      <c r="AH307" s="3383"/>
      <c r="AI307" s="3383"/>
      <c r="AJ307" s="3383"/>
      <c r="AK307" s="3383"/>
      <c r="AL307" s="3383"/>
      <c r="AM307" s="3383"/>
      <c r="AN307" s="3383"/>
      <c r="AO307" s="3383"/>
      <c r="AP307" s="3383"/>
      <c r="AQ307" s="3383"/>
      <c r="AR307" s="3383"/>
      <c r="AS307" s="3383"/>
      <c r="BB307" s="940"/>
      <c r="BC307" s="940"/>
      <c r="BD307" s="940"/>
      <c r="BE307" s="940"/>
      <c r="BF307" s="940"/>
      <c r="BG307" s="940"/>
      <c r="BH307" s="940"/>
      <c r="BI307" s="940"/>
      <c r="BJ307" s="940"/>
      <c r="BK307" s="940"/>
      <c r="BL307" s="940"/>
      <c r="BM307" s="940"/>
      <c r="BN307" s="940"/>
      <c r="BO307" s="940"/>
    </row>
    <row r="308" spans="1:67" s="939" customFormat="1" ht="12.95" customHeight="1" x14ac:dyDescent="0.15">
      <c r="C308" s="3383"/>
      <c r="D308" s="3383"/>
      <c r="E308" s="3383"/>
      <c r="F308" s="3383"/>
      <c r="G308" s="3383"/>
      <c r="H308" s="3383"/>
      <c r="I308" s="3383"/>
      <c r="J308" s="3383"/>
      <c r="K308" s="3383"/>
      <c r="L308" s="3383"/>
      <c r="M308" s="3383"/>
      <c r="N308" s="3383"/>
      <c r="O308" s="3383"/>
      <c r="P308" s="3383"/>
      <c r="Q308" s="3383"/>
      <c r="R308" s="3383"/>
      <c r="S308" s="3383"/>
      <c r="T308" s="3383"/>
      <c r="U308" s="3383"/>
      <c r="V308" s="3383"/>
      <c r="W308" s="3383"/>
      <c r="X308" s="3383"/>
      <c r="Y308" s="3383"/>
      <c r="Z308" s="3383"/>
      <c r="AA308" s="3383"/>
      <c r="AB308" s="3383"/>
      <c r="AC308" s="3383"/>
      <c r="AD308" s="3383"/>
      <c r="AE308" s="3383"/>
      <c r="AF308" s="3383"/>
      <c r="AG308" s="3383"/>
      <c r="AH308" s="3383"/>
      <c r="AI308" s="3383"/>
      <c r="AJ308" s="3383"/>
      <c r="AK308" s="3383"/>
      <c r="AL308" s="3383"/>
      <c r="AM308" s="3383"/>
      <c r="AN308" s="3383"/>
      <c r="AO308" s="3383"/>
      <c r="AP308" s="3383"/>
      <c r="AQ308" s="3383"/>
      <c r="AR308" s="3383"/>
      <c r="AS308" s="3383"/>
      <c r="BB308" s="940"/>
      <c r="BC308" s="940"/>
      <c r="BD308" s="940"/>
      <c r="BE308" s="940"/>
      <c r="BF308" s="940"/>
      <c r="BG308" s="940"/>
      <c r="BH308" s="940"/>
      <c r="BI308" s="940"/>
      <c r="BJ308" s="940"/>
      <c r="BK308" s="940"/>
      <c r="BL308" s="940"/>
      <c r="BM308" s="940"/>
      <c r="BN308" s="940"/>
      <c r="BO308" s="940"/>
    </row>
    <row r="309" spans="1:67" s="939" customFormat="1" ht="12.95" customHeight="1" x14ac:dyDescent="0.15">
      <c r="C309" s="3383"/>
      <c r="D309" s="3383"/>
      <c r="E309" s="3383"/>
      <c r="F309" s="3383"/>
      <c r="G309" s="3383"/>
      <c r="H309" s="3383"/>
      <c r="I309" s="3383"/>
      <c r="J309" s="3383"/>
      <c r="K309" s="3383"/>
      <c r="L309" s="3383"/>
      <c r="M309" s="3383"/>
      <c r="N309" s="3383"/>
      <c r="O309" s="3383"/>
      <c r="P309" s="3383"/>
      <c r="Q309" s="3383"/>
      <c r="R309" s="3383"/>
      <c r="S309" s="3383"/>
      <c r="T309" s="3383"/>
      <c r="U309" s="3383"/>
      <c r="V309" s="3383"/>
      <c r="W309" s="3383"/>
      <c r="X309" s="3383"/>
      <c r="Y309" s="3383"/>
      <c r="Z309" s="3383"/>
      <c r="AA309" s="3383"/>
      <c r="AB309" s="3383"/>
      <c r="AC309" s="3383"/>
      <c r="AD309" s="3383"/>
      <c r="AE309" s="3383"/>
      <c r="AF309" s="3383"/>
      <c r="AG309" s="3383"/>
      <c r="AH309" s="3383"/>
      <c r="AI309" s="3383"/>
      <c r="AJ309" s="3383"/>
      <c r="AK309" s="3383"/>
      <c r="AL309" s="3383"/>
      <c r="AM309" s="3383"/>
      <c r="AN309" s="3383"/>
      <c r="AO309" s="3383"/>
      <c r="AP309" s="3383"/>
      <c r="AQ309" s="3383"/>
      <c r="AR309" s="3383"/>
      <c r="AS309" s="3383"/>
      <c r="BB309" s="940"/>
      <c r="BC309" s="940"/>
      <c r="BD309" s="940"/>
      <c r="BE309" s="940"/>
      <c r="BF309" s="940"/>
      <c r="BG309" s="940"/>
      <c r="BH309" s="940"/>
      <c r="BI309" s="940"/>
      <c r="BJ309" s="940"/>
      <c r="BK309" s="940"/>
      <c r="BL309" s="940"/>
      <c r="BM309" s="940"/>
      <c r="BN309" s="940"/>
      <c r="BO309" s="940"/>
    </row>
    <row r="310" spans="1:67" s="1060" customFormat="1" ht="12.95" customHeight="1" x14ac:dyDescent="0.15">
      <c r="A310" s="939"/>
      <c r="B310" s="939"/>
      <c r="C310" s="3383"/>
      <c r="D310" s="3383"/>
      <c r="E310" s="3383"/>
      <c r="F310" s="3383"/>
      <c r="G310" s="3383"/>
      <c r="H310" s="3383"/>
      <c r="I310" s="3383"/>
      <c r="J310" s="3383"/>
      <c r="K310" s="3383"/>
      <c r="L310" s="3383"/>
      <c r="M310" s="3383"/>
      <c r="N310" s="3383"/>
      <c r="O310" s="3383"/>
      <c r="P310" s="3383"/>
      <c r="Q310" s="3383"/>
      <c r="R310" s="3383"/>
      <c r="S310" s="3383"/>
      <c r="T310" s="3383"/>
      <c r="U310" s="3383"/>
      <c r="V310" s="3383"/>
      <c r="W310" s="3383"/>
      <c r="X310" s="3383"/>
      <c r="Y310" s="3383"/>
      <c r="Z310" s="3383"/>
      <c r="AA310" s="3383"/>
      <c r="AB310" s="3383"/>
      <c r="AC310" s="3383"/>
      <c r="AD310" s="3383"/>
      <c r="AE310" s="3383"/>
      <c r="AF310" s="3383"/>
      <c r="AG310" s="3383"/>
      <c r="AH310" s="3383"/>
      <c r="AI310" s="3383"/>
      <c r="AJ310" s="3383"/>
      <c r="AK310" s="3383"/>
      <c r="AL310" s="3383"/>
      <c r="AM310" s="3383"/>
      <c r="AN310" s="3383"/>
      <c r="AO310" s="3383"/>
      <c r="AP310" s="3383"/>
      <c r="AQ310" s="3383"/>
      <c r="AR310" s="3383"/>
      <c r="AS310" s="3383"/>
      <c r="AT310" s="939"/>
      <c r="AU310" s="939"/>
      <c r="AV310" s="939"/>
      <c r="AW310" s="939"/>
      <c r="AX310" s="939"/>
      <c r="AY310" s="939"/>
      <c r="AZ310" s="939"/>
      <c r="BA310" s="939"/>
    </row>
    <row r="311" spans="1:67" s="1060" customFormat="1" ht="12.75" customHeight="1" x14ac:dyDescent="0.15">
      <c r="A311" s="939"/>
      <c r="B311" s="939"/>
      <c r="C311" s="3383"/>
      <c r="D311" s="3383"/>
      <c r="E311" s="3383"/>
      <c r="F311" s="3383"/>
      <c r="G311" s="3383"/>
      <c r="H311" s="3383"/>
      <c r="I311" s="3383"/>
      <c r="J311" s="3383"/>
      <c r="K311" s="3383"/>
      <c r="L311" s="3383"/>
      <c r="M311" s="3383"/>
      <c r="N311" s="3383"/>
      <c r="O311" s="3383"/>
      <c r="P311" s="3383"/>
      <c r="Q311" s="3383"/>
      <c r="R311" s="3383"/>
      <c r="S311" s="3383"/>
      <c r="T311" s="3383"/>
      <c r="U311" s="3383"/>
      <c r="V311" s="3383"/>
      <c r="W311" s="3383"/>
      <c r="X311" s="3383"/>
      <c r="Y311" s="3383"/>
      <c r="Z311" s="3383"/>
      <c r="AA311" s="3383"/>
      <c r="AB311" s="3383"/>
      <c r="AC311" s="3383"/>
      <c r="AD311" s="3383"/>
      <c r="AE311" s="3383"/>
      <c r="AF311" s="3383"/>
      <c r="AG311" s="3383"/>
      <c r="AH311" s="3383"/>
      <c r="AI311" s="3383"/>
      <c r="AJ311" s="3383"/>
      <c r="AK311" s="3383"/>
      <c r="AL311" s="3383"/>
      <c r="AM311" s="3383"/>
      <c r="AN311" s="3383"/>
      <c r="AO311" s="3383"/>
      <c r="AP311" s="3383"/>
      <c r="AQ311" s="3383"/>
      <c r="AR311" s="3383"/>
      <c r="AS311" s="3383"/>
      <c r="AT311" s="939"/>
      <c r="AU311" s="939"/>
      <c r="AV311" s="939"/>
      <c r="AW311" s="939"/>
      <c r="AX311" s="939"/>
      <c r="AY311" s="939"/>
      <c r="AZ311" s="939"/>
      <c r="BA311" s="939"/>
    </row>
    <row r="312" spans="1:67" s="1060" customFormat="1" ht="12.75" customHeight="1" x14ac:dyDescent="0.15">
      <c r="A312" s="939"/>
      <c r="B312" s="939"/>
      <c r="C312" s="3383"/>
      <c r="D312" s="3383"/>
      <c r="E312" s="3383"/>
      <c r="F312" s="3383"/>
      <c r="G312" s="3383"/>
      <c r="H312" s="3383"/>
      <c r="I312" s="3383"/>
      <c r="J312" s="3383"/>
      <c r="K312" s="3383"/>
      <c r="L312" s="3383"/>
      <c r="M312" s="3383"/>
      <c r="N312" s="3383"/>
      <c r="O312" s="3383"/>
      <c r="P312" s="3383"/>
      <c r="Q312" s="3383"/>
      <c r="R312" s="3383"/>
      <c r="S312" s="3383"/>
      <c r="T312" s="3383"/>
      <c r="U312" s="3383"/>
      <c r="V312" s="3383"/>
      <c r="W312" s="3383"/>
      <c r="X312" s="3383"/>
      <c r="Y312" s="3383"/>
      <c r="Z312" s="3383"/>
      <c r="AA312" s="3383"/>
      <c r="AB312" s="3383"/>
      <c r="AC312" s="3383"/>
      <c r="AD312" s="3383"/>
      <c r="AE312" s="3383"/>
      <c r="AF312" s="3383"/>
      <c r="AG312" s="3383"/>
      <c r="AH312" s="3383"/>
      <c r="AI312" s="3383"/>
      <c r="AJ312" s="3383"/>
      <c r="AK312" s="3383"/>
      <c r="AL312" s="3383"/>
      <c r="AM312" s="3383"/>
      <c r="AN312" s="3383"/>
      <c r="AO312" s="3383"/>
      <c r="AP312" s="3383"/>
      <c r="AQ312" s="3383"/>
      <c r="AR312" s="3383"/>
      <c r="AS312" s="3383"/>
      <c r="AT312" s="939"/>
      <c r="AU312" s="939"/>
      <c r="AV312" s="939"/>
      <c r="AW312" s="939"/>
      <c r="AX312" s="939"/>
      <c r="AY312" s="939"/>
      <c r="AZ312" s="939"/>
      <c r="BA312" s="939"/>
    </row>
    <row r="313" spans="1:67" s="1060" customFormat="1" x14ac:dyDescent="0.15">
      <c r="A313" s="939"/>
      <c r="B313" s="939"/>
      <c r="C313" s="3383"/>
      <c r="D313" s="3383"/>
      <c r="E313" s="3383"/>
      <c r="F313" s="3383"/>
      <c r="G313" s="3383"/>
      <c r="H313" s="3383"/>
      <c r="I313" s="3383"/>
      <c r="J313" s="3383"/>
      <c r="K313" s="3383"/>
      <c r="L313" s="3383"/>
      <c r="M313" s="3383"/>
      <c r="N313" s="3383"/>
      <c r="O313" s="3383"/>
      <c r="P313" s="3383"/>
      <c r="Q313" s="3383"/>
      <c r="R313" s="3383"/>
      <c r="S313" s="3383"/>
      <c r="T313" s="3383"/>
      <c r="U313" s="3383"/>
      <c r="V313" s="3383"/>
      <c r="W313" s="3383"/>
      <c r="X313" s="3383"/>
      <c r="Y313" s="3383"/>
      <c r="Z313" s="3383"/>
      <c r="AA313" s="3383"/>
      <c r="AB313" s="3383"/>
      <c r="AC313" s="3383"/>
      <c r="AD313" s="3383"/>
      <c r="AE313" s="3383"/>
      <c r="AF313" s="3383"/>
      <c r="AG313" s="3383"/>
      <c r="AH313" s="3383"/>
      <c r="AI313" s="3383"/>
      <c r="AJ313" s="3383"/>
      <c r="AK313" s="3383"/>
      <c r="AL313" s="3383"/>
      <c r="AM313" s="3383"/>
      <c r="AN313" s="3383"/>
      <c r="AO313" s="3383"/>
      <c r="AP313" s="3383"/>
      <c r="AQ313" s="3383"/>
      <c r="AR313" s="3383"/>
      <c r="AS313" s="3383"/>
      <c r="AT313" s="939"/>
      <c r="AU313" s="939"/>
      <c r="AV313" s="939"/>
      <c r="AW313" s="939"/>
      <c r="AX313" s="939"/>
      <c r="AY313" s="939"/>
      <c r="AZ313" s="939"/>
      <c r="BA313" s="939"/>
      <c r="BB313" s="939"/>
    </row>
    <row r="314" spans="1:67" s="1060" customFormat="1" ht="4.5" customHeight="1" x14ac:dyDescent="0.15">
      <c r="A314" s="939"/>
      <c r="B314" s="939"/>
      <c r="C314" s="939"/>
      <c r="D314" s="939"/>
      <c r="E314" s="939"/>
      <c r="F314" s="939"/>
      <c r="G314" s="939"/>
      <c r="H314" s="939"/>
      <c r="I314" s="939"/>
      <c r="J314" s="939"/>
      <c r="K314" s="939"/>
      <c r="L314" s="939"/>
      <c r="M314" s="939"/>
      <c r="N314" s="939"/>
      <c r="O314" s="939"/>
      <c r="P314" s="939"/>
      <c r="Q314" s="939"/>
      <c r="R314" s="939"/>
      <c r="S314" s="939"/>
      <c r="T314" s="939"/>
      <c r="U314" s="939"/>
      <c r="V314" s="939"/>
      <c r="W314" s="939"/>
      <c r="X314" s="939"/>
      <c r="Y314" s="939"/>
      <c r="Z314" s="939"/>
      <c r="AA314" s="939"/>
      <c r="AB314" s="939"/>
      <c r="AC314" s="939"/>
      <c r="AD314" s="939"/>
      <c r="AE314" s="939"/>
      <c r="AF314" s="939"/>
      <c r="AG314" s="939"/>
      <c r="AH314" s="939"/>
      <c r="AI314" s="939"/>
      <c r="AJ314" s="939"/>
      <c r="AK314" s="939"/>
      <c r="AL314" s="939"/>
      <c r="AM314" s="939"/>
      <c r="AN314" s="939"/>
      <c r="AO314" s="939"/>
      <c r="AP314" s="939"/>
      <c r="AQ314" s="939"/>
      <c r="AR314" s="939"/>
      <c r="AS314" s="939"/>
      <c r="AT314" s="939"/>
      <c r="AU314" s="939"/>
      <c r="AV314" s="939"/>
      <c r="AW314" s="939"/>
      <c r="AX314" s="939"/>
      <c r="AY314" s="939"/>
      <c r="AZ314" s="939"/>
      <c r="BA314" s="939"/>
      <c r="BB314" s="939"/>
    </row>
    <row r="315" spans="1:67" s="1060" customFormat="1" ht="4.5" customHeight="1" x14ac:dyDescent="0.15">
      <c r="A315" s="939"/>
      <c r="B315" s="1068"/>
      <c r="C315" s="1068"/>
      <c r="D315" s="1068"/>
      <c r="E315" s="1068"/>
      <c r="F315" s="1068"/>
      <c r="G315" s="1068"/>
      <c r="H315" s="1068"/>
      <c r="I315" s="1068"/>
      <c r="J315" s="1068"/>
      <c r="K315" s="1068"/>
      <c r="L315" s="1068"/>
      <c r="M315" s="1068"/>
      <c r="N315" s="1068"/>
      <c r="O315" s="1068"/>
      <c r="P315" s="1068"/>
      <c r="Q315" s="1068"/>
      <c r="R315" s="1068"/>
      <c r="S315" s="1068"/>
      <c r="T315" s="1068"/>
      <c r="U315" s="1068"/>
      <c r="V315" s="1068"/>
      <c r="W315" s="1068"/>
      <c r="X315" s="1068"/>
      <c r="Y315" s="1068"/>
      <c r="Z315" s="1068"/>
      <c r="AA315" s="1068"/>
      <c r="AB315" s="1068"/>
      <c r="AC315" s="1068"/>
      <c r="AD315" s="1068"/>
      <c r="AE315" s="1068"/>
      <c r="AF315" s="1068"/>
      <c r="AG315" s="1068"/>
      <c r="AH315" s="1068"/>
      <c r="AI315" s="1068"/>
      <c r="AJ315" s="1068"/>
      <c r="AK315" s="1068"/>
      <c r="AL315" s="1068"/>
      <c r="AM315" s="1068"/>
      <c r="AN315" s="1068"/>
      <c r="AO315" s="1068"/>
      <c r="AP315" s="1068"/>
      <c r="AQ315" s="1068"/>
      <c r="AR315" s="1068"/>
      <c r="AS315" s="939"/>
      <c r="AT315" s="939"/>
      <c r="AU315" s="939"/>
      <c r="AV315" s="939"/>
      <c r="AW315" s="939"/>
      <c r="AX315" s="939"/>
      <c r="AY315" s="939"/>
      <c r="AZ315" s="939"/>
      <c r="BA315" s="939"/>
      <c r="BB315" s="939"/>
    </row>
    <row r="316" spans="1:67" s="1060" customFormat="1" x14ac:dyDescent="0.15">
      <c r="A316" s="939"/>
      <c r="B316" s="1068" t="s">
        <v>150</v>
      </c>
      <c r="C316" s="1050"/>
      <c r="D316" s="1050"/>
      <c r="E316" s="1050"/>
      <c r="F316" s="1050"/>
      <c r="G316" s="1050"/>
      <c r="H316" s="1050"/>
      <c r="I316" s="1050"/>
      <c r="J316" s="1050"/>
      <c r="K316" s="1050"/>
      <c r="L316" s="1050"/>
      <c r="M316" s="1050"/>
      <c r="N316" s="1050"/>
      <c r="O316" s="1050"/>
      <c r="P316" s="1050"/>
      <c r="Q316" s="1050"/>
      <c r="R316" s="1050"/>
      <c r="S316" s="1050"/>
      <c r="T316" s="1050"/>
      <c r="U316" s="1050"/>
      <c r="V316" s="1050"/>
      <c r="W316" s="1050"/>
      <c r="X316" s="1050"/>
      <c r="Y316" s="1050"/>
      <c r="Z316" s="1050"/>
      <c r="AA316" s="1050"/>
      <c r="AB316" s="1050"/>
      <c r="AC316" s="1050"/>
      <c r="AD316" s="1050"/>
      <c r="AE316" s="1050"/>
      <c r="AF316" s="1050"/>
      <c r="AG316" s="1050"/>
      <c r="AH316" s="1050"/>
      <c r="AI316" s="1050"/>
      <c r="AJ316" s="1050"/>
      <c r="AK316" s="1050"/>
      <c r="AL316" s="1050"/>
      <c r="AM316" s="1050"/>
      <c r="AN316" s="1050"/>
      <c r="AO316" s="1050"/>
      <c r="AP316" s="1050"/>
      <c r="AQ316" s="1050"/>
      <c r="AR316" s="1050"/>
      <c r="AS316" s="939"/>
      <c r="AT316" s="939"/>
      <c r="AU316" s="939"/>
      <c r="AV316" s="939"/>
      <c r="AW316" s="939"/>
      <c r="AX316" s="939"/>
      <c r="AY316" s="939"/>
      <c r="AZ316" s="939"/>
      <c r="BA316" s="939"/>
      <c r="BB316" s="939"/>
    </row>
    <row r="317" spans="1:67" s="1060" customFormat="1" x14ac:dyDescent="0.15">
      <c r="A317" s="939"/>
      <c r="B317" s="1068" t="s">
        <v>648</v>
      </c>
      <c r="C317" s="1050"/>
      <c r="D317" s="1050"/>
      <c r="E317" s="1050"/>
      <c r="F317" s="1050"/>
      <c r="G317" s="1050"/>
      <c r="H317" s="1050"/>
      <c r="I317" s="1050"/>
      <c r="J317" s="1050"/>
      <c r="K317" s="1050"/>
      <c r="L317" s="1050"/>
      <c r="M317" s="1050"/>
      <c r="N317" s="1050"/>
      <c r="O317" s="1050"/>
      <c r="P317" s="1050"/>
      <c r="Q317" s="1050"/>
      <c r="R317" s="1050"/>
      <c r="S317" s="1050"/>
      <c r="T317" s="1050"/>
      <c r="U317" s="1050"/>
      <c r="V317" s="1050"/>
      <c r="W317" s="1050"/>
      <c r="X317" s="1050"/>
      <c r="Y317" s="1050"/>
      <c r="Z317" s="1050"/>
      <c r="AA317" s="1050"/>
      <c r="AB317" s="1050"/>
      <c r="AC317" s="1050"/>
      <c r="AD317" s="1050"/>
      <c r="AE317" s="1050"/>
      <c r="AF317" s="1050"/>
      <c r="AG317" s="1050"/>
      <c r="AH317" s="1050"/>
      <c r="AI317" s="1050"/>
      <c r="AJ317" s="1050"/>
      <c r="AK317" s="1050"/>
      <c r="AL317" s="1050"/>
      <c r="AM317" s="1050"/>
      <c r="AN317" s="1050"/>
      <c r="AO317" s="1050"/>
      <c r="AP317" s="1050"/>
      <c r="AQ317" s="1050"/>
      <c r="AR317" s="1050"/>
      <c r="AS317" s="939"/>
      <c r="AT317" s="939"/>
      <c r="AU317" s="939"/>
      <c r="AV317" s="939"/>
      <c r="AW317" s="939"/>
      <c r="AX317" s="939"/>
      <c r="AY317" s="939"/>
      <c r="AZ317" s="939"/>
      <c r="BA317" s="939"/>
      <c r="BB317" s="939"/>
    </row>
    <row r="318" spans="1:67" s="1060" customFormat="1" x14ac:dyDescent="0.15">
      <c r="A318" s="939"/>
      <c r="B318" s="1068" t="s">
        <v>649</v>
      </c>
      <c r="C318" s="939"/>
      <c r="D318" s="939"/>
      <c r="E318" s="939"/>
      <c r="F318" s="939"/>
      <c r="G318" s="939"/>
      <c r="H318" s="939"/>
      <c r="I318" s="939"/>
      <c r="J318" s="939"/>
      <c r="K318" s="939"/>
      <c r="L318" s="939"/>
      <c r="M318" s="939"/>
      <c r="N318" s="939"/>
      <c r="O318" s="939"/>
      <c r="P318" s="939"/>
      <c r="Q318" s="939"/>
      <c r="R318" s="939"/>
      <c r="S318" s="939"/>
      <c r="T318" s="939"/>
      <c r="U318" s="939"/>
      <c r="V318" s="939"/>
      <c r="W318" s="939"/>
      <c r="X318" s="939"/>
      <c r="Y318" s="939"/>
      <c r="Z318" s="939"/>
      <c r="AA318" s="939"/>
      <c r="AB318" s="939"/>
      <c r="AC318" s="939"/>
      <c r="AD318" s="939"/>
      <c r="AE318" s="939"/>
      <c r="AF318" s="939"/>
      <c r="AG318" s="939"/>
      <c r="AH318" s="939"/>
      <c r="AI318" s="939"/>
      <c r="AJ318" s="939"/>
      <c r="AK318" s="939"/>
      <c r="AL318" s="939"/>
      <c r="AM318" s="939"/>
      <c r="AN318" s="939"/>
      <c r="AO318" s="939"/>
      <c r="AP318" s="939"/>
      <c r="AQ318" s="939"/>
      <c r="AR318" s="939"/>
      <c r="AS318" s="939"/>
      <c r="AT318" s="939"/>
      <c r="AU318" s="939"/>
      <c r="AV318" s="939"/>
      <c r="AW318" s="939"/>
      <c r="AX318" s="939"/>
      <c r="AY318" s="939"/>
      <c r="AZ318" s="939"/>
      <c r="BA318" s="939"/>
      <c r="BB318" s="939"/>
    </row>
    <row r="319" spans="1:67" s="1060" customFormat="1" ht="13.5" customHeight="1" x14ac:dyDescent="0.15">
      <c r="A319" s="939"/>
      <c r="B319" s="1068" t="s">
        <v>650</v>
      </c>
      <c r="C319" s="939"/>
      <c r="D319" s="939"/>
      <c r="E319" s="939"/>
      <c r="F319" s="939"/>
      <c r="G319" s="939"/>
      <c r="H319" s="939"/>
      <c r="I319" s="939"/>
      <c r="J319" s="939"/>
      <c r="K319" s="939"/>
      <c r="L319" s="939"/>
      <c r="M319" s="939"/>
      <c r="N319" s="939"/>
      <c r="O319" s="939"/>
      <c r="P319" s="939"/>
      <c r="Q319" s="939"/>
      <c r="R319" s="939"/>
      <c r="S319" s="939"/>
      <c r="T319" s="939"/>
      <c r="U319" s="939"/>
      <c r="V319" s="939"/>
      <c r="W319" s="939"/>
      <c r="X319" s="939"/>
      <c r="Y319" s="939"/>
      <c r="Z319" s="939"/>
      <c r="AA319" s="939"/>
      <c r="AB319" s="939"/>
      <c r="AC319" s="939"/>
      <c r="AD319" s="939"/>
      <c r="AE319" s="939"/>
      <c r="AF319" s="939"/>
      <c r="AG319" s="939"/>
      <c r="AH319" s="939"/>
      <c r="AI319" s="939"/>
      <c r="AJ319" s="939"/>
      <c r="AK319" s="939"/>
      <c r="AL319" s="939"/>
      <c r="AM319" s="939"/>
      <c r="AN319" s="939"/>
      <c r="AO319" s="939"/>
      <c r="AP319" s="939"/>
      <c r="AQ319" s="939"/>
      <c r="AR319" s="939"/>
      <c r="AS319" s="939"/>
      <c r="AT319" s="939"/>
      <c r="AU319" s="967"/>
      <c r="AV319" s="939"/>
      <c r="AW319" s="939"/>
      <c r="AX319" s="939"/>
      <c r="AY319" s="939"/>
      <c r="AZ319" s="939"/>
      <c r="BA319" s="939"/>
    </row>
    <row r="320" spans="1:67" ht="14.1" customHeight="1" x14ac:dyDescent="0.15">
      <c r="B320" s="3316" t="s">
        <v>889</v>
      </c>
      <c r="C320" s="3316"/>
      <c r="D320" s="3316"/>
      <c r="E320" s="3316"/>
      <c r="F320" s="3316"/>
      <c r="G320" s="3316"/>
      <c r="H320" s="3316"/>
      <c r="I320" s="3316"/>
      <c r="J320" s="3316"/>
      <c r="K320" s="3316"/>
      <c r="L320" s="3316"/>
      <c r="M320" s="3316"/>
      <c r="N320" s="3316"/>
      <c r="O320" s="3316"/>
      <c r="P320" s="3316"/>
      <c r="Q320" s="3316"/>
      <c r="R320" s="3316"/>
      <c r="S320" s="3316"/>
      <c r="T320" s="3316"/>
      <c r="U320" s="3316"/>
      <c r="V320" s="3316"/>
      <c r="W320" s="3316"/>
      <c r="X320" s="3316"/>
      <c r="Y320" s="3316"/>
      <c r="Z320" s="3316"/>
      <c r="AA320" s="3316"/>
      <c r="AB320" s="3316"/>
      <c r="AC320" s="3316"/>
      <c r="AD320" s="3316"/>
      <c r="AE320" s="3316"/>
      <c r="AF320" s="3316"/>
      <c r="AG320" s="3316"/>
      <c r="AH320" s="3316"/>
      <c r="AI320" s="3316"/>
      <c r="AJ320" s="3316"/>
      <c r="AK320" s="3316"/>
      <c r="AL320" s="3316"/>
      <c r="AM320" s="3316"/>
      <c r="AN320" s="3316"/>
      <c r="AO320" s="3316"/>
      <c r="AP320" s="3316"/>
      <c r="AQ320" s="3316"/>
      <c r="AR320" s="3316"/>
      <c r="AS320" s="3316"/>
      <c r="AT320" s="3316"/>
      <c r="AU320" s="959"/>
      <c r="AV320" s="959"/>
      <c r="BB320" s="939"/>
    </row>
    <row r="321" spans="2:55" ht="14.1" customHeight="1" x14ac:dyDescent="0.15">
      <c r="B321" s="939" t="s">
        <v>826</v>
      </c>
      <c r="AG321" s="969"/>
      <c r="AH321" s="969"/>
      <c r="AU321" s="959"/>
      <c r="AV321" s="959"/>
      <c r="BB321" s="939"/>
    </row>
    <row r="322" spans="2:55" ht="4.5" customHeight="1" x14ac:dyDescent="0.15">
      <c r="AU322" s="959"/>
      <c r="AV322" s="959"/>
      <c r="BB322" s="939"/>
    </row>
    <row r="323" spans="2:55" ht="4.5" customHeight="1" x14ac:dyDescent="0.15">
      <c r="AU323" s="959"/>
      <c r="AV323" s="959"/>
      <c r="BB323" s="939"/>
    </row>
    <row r="324" spans="2:55" ht="12.95" customHeight="1" x14ac:dyDescent="0.15">
      <c r="B324" s="3407" t="str">
        <f>'＜入力不要＞報告書'!B312</f>
        <v>階＼用途</v>
      </c>
      <c r="C324" s="3407"/>
      <c r="D324" s="3407"/>
      <c r="E324" s="3407"/>
      <c r="F324" s="3408" t="str">
        <f>'＜入力不要＞報告書'!F312</f>
        <v>各階合計</v>
      </c>
      <c r="G324" s="3408"/>
      <c r="H324" s="3408"/>
      <c r="I324" s="3408"/>
      <c r="J324" s="3408"/>
      <c r="K324" s="3409" t="str">
        <f>'＜入力不要＞報告書'!K312</f>
        <v/>
      </c>
      <c r="L324" s="3409"/>
      <c r="M324" s="3409"/>
      <c r="N324" s="3409"/>
      <c r="O324" s="3409"/>
      <c r="P324" s="3409" t="str">
        <f>'＜入力不要＞報告書'!P312</f>
        <v/>
      </c>
      <c r="Q324" s="3409"/>
      <c r="R324" s="3409"/>
      <c r="S324" s="3409"/>
      <c r="T324" s="3409"/>
      <c r="U324" s="3409" t="str">
        <f>'＜入力不要＞報告書'!U312</f>
        <v/>
      </c>
      <c r="V324" s="3409"/>
      <c r="W324" s="3409"/>
      <c r="X324" s="3409"/>
      <c r="Y324" s="3409"/>
      <c r="Z324" s="3409" t="str">
        <f>'＜入力不要＞報告書'!Z312</f>
        <v/>
      </c>
      <c r="AA324" s="3409"/>
      <c r="AB324" s="3409"/>
      <c r="AC324" s="3409"/>
      <c r="AD324" s="3409"/>
      <c r="AE324" s="3409" t="str">
        <f>'＜入力不要＞報告書'!AE312</f>
        <v/>
      </c>
      <c r="AF324" s="3409"/>
      <c r="AG324" s="3409"/>
      <c r="AH324" s="3409"/>
      <c r="AI324" s="3409"/>
      <c r="AJ324" s="3409" t="str">
        <f>'＜入力不要＞報告書'!AJ312</f>
        <v/>
      </c>
      <c r="AK324" s="3409"/>
      <c r="AL324" s="3409"/>
      <c r="AM324" s="3409"/>
      <c r="AN324" s="3409"/>
      <c r="AO324" s="3409" t="str">
        <f>'＜入力不要＞報告書'!AO312</f>
        <v/>
      </c>
      <c r="AP324" s="3409"/>
      <c r="AQ324" s="3409"/>
      <c r="AR324" s="3409"/>
      <c r="AS324" s="3409"/>
      <c r="AT324" s="946"/>
      <c r="AU324" s="959"/>
      <c r="AV324" s="959"/>
      <c r="BB324" s="939"/>
      <c r="BC324" s="939"/>
    </row>
    <row r="325" spans="2:55" ht="12.95" customHeight="1" x14ac:dyDescent="0.15">
      <c r="B325" s="3407"/>
      <c r="C325" s="3407"/>
      <c r="D325" s="3407"/>
      <c r="E325" s="3407"/>
      <c r="F325" s="3408"/>
      <c r="G325" s="3408"/>
      <c r="H325" s="3408"/>
      <c r="I325" s="3408"/>
      <c r="J325" s="3408"/>
      <c r="K325" s="3409"/>
      <c r="L325" s="3409"/>
      <c r="M325" s="3409"/>
      <c r="N325" s="3409"/>
      <c r="O325" s="3409"/>
      <c r="P325" s="3409"/>
      <c r="Q325" s="3409"/>
      <c r="R325" s="3409"/>
      <c r="S325" s="3409"/>
      <c r="T325" s="3409"/>
      <c r="U325" s="3409"/>
      <c r="V325" s="3409"/>
      <c r="W325" s="3409"/>
      <c r="X325" s="3409"/>
      <c r="Y325" s="3409"/>
      <c r="Z325" s="3409"/>
      <c r="AA325" s="3409"/>
      <c r="AB325" s="3409"/>
      <c r="AC325" s="3409"/>
      <c r="AD325" s="3409"/>
      <c r="AE325" s="3409"/>
      <c r="AF325" s="3409"/>
      <c r="AG325" s="3409"/>
      <c r="AH325" s="3409"/>
      <c r="AI325" s="3409"/>
      <c r="AJ325" s="3409"/>
      <c r="AK325" s="3409"/>
      <c r="AL325" s="3409"/>
      <c r="AM325" s="3409"/>
      <c r="AN325" s="3409"/>
      <c r="AO325" s="3409"/>
      <c r="AP325" s="3409"/>
      <c r="AQ325" s="3409"/>
      <c r="AR325" s="3409"/>
      <c r="AS325" s="3409"/>
      <c r="AT325" s="946"/>
      <c r="AU325" s="959"/>
      <c r="AV325" s="959"/>
      <c r="BB325" s="939"/>
      <c r="BC325" s="939"/>
    </row>
    <row r="326" spans="2:55" ht="12.95" customHeight="1" x14ac:dyDescent="0.15">
      <c r="B326" s="3407"/>
      <c r="C326" s="3407"/>
      <c r="D326" s="3407"/>
      <c r="E326" s="3407"/>
      <c r="F326" s="3408"/>
      <c r="G326" s="3408"/>
      <c r="H326" s="3408"/>
      <c r="I326" s="3408"/>
      <c r="J326" s="3408"/>
      <c r="K326" s="3409" t="str">
        <f>'＜入力不要＞報告書'!K314</f>
        <v/>
      </c>
      <c r="L326" s="3409"/>
      <c r="M326" s="3409"/>
      <c r="N326" s="3409"/>
      <c r="O326" s="3409"/>
      <c r="P326" s="3409" t="str">
        <f>'＜入力不要＞報告書'!P314</f>
        <v/>
      </c>
      <c r="Q326" s="3409"/>
      <c r="R326" s="3409"/>
      <c r="S326" s="3409"/>
      <c r="T326" s="3409"/>
      <c r="U326" s="3409" t="str">
        <f>'＜入力不要＞報告書'!U314</f>
        <v/>
      </c>
      <c r="V326" s="3409"/>
      <c r="W326" s="3409"/>
      <c r="X326" s="3409"/>
      <c r="Y326" s="3409"/>
      <c r="Z326" s="3409" t="str">
        <f>'＜入力不要＞報告書'!Z314</f>
        <v/>
      </c>
      <c r="AA326" s="3409"/>
      <c r="AB326" s="3409"/>
      <c r="AC326" s="3409"/>
      <c r="AD326" s="3409"/>
      <c r="AE326" s="3409" t="str">
        <f>'＜入力不要＞報告書'!AE314</f>
        <v/>
      </c>
      <c r="AF326" s="3409"/>
      <c r="AG326" s="3409"/>
      <c r="AH326" s="3409"/>
      <c r="AI326" s="3409"/>
      <c r="AJ326" s="3409" t="str">
        <f>'＜入力不要＞報告書'!AJ314</f>
        <v/>
      </c>
      <c r="AK326" s="3409"/>
      <c r="AL326" s="3409"/>
      <c r="AM326" s="3409"/>
      <c r="AN326" s="3409"/>
      <c r="AO326" s="3410" t="str">
        <f>'＜入力不要＞報告書'!AO314</f>
        <v/>
      </c>
      <c r="AP326" s="3410"/>
      <c r="AQ326" s="3410"/>
      <c r="AR326" s="3410"/>
      <c r="AS326" s="3410"/>
      <c r="AT326" s="946"/>
      <c r="AU326" s="959"/>
      <c r="AV326" s="959"/>
      <c r="BB326" s="939"/>
      <c r="BC326" s="939"/>
    </row>
    <row r="327" spans="2:55" ht="12.95" customHeight="1" x14ac:dyDescent="0.15">
      <c r="B327" s="3407"/>
      <c r="C327" s="3407"/>
      <c r="D327" s="3407"/>
      <c r="E327" s="3407"/>
      <c r="F327" s="3408"/>
      <c r="G327" s="3408"/>
      <c r="H327" s="3408"/>
      <c r="I327" s="3408"/>
      <c r="J327" s="3408"/>
      <c r="K327" s="3409"/>
      <c r="L327" s="3409"/>
      <c r="M327" s="3409"/>
      <c r="N327" s="3409"/>
      <c r="O327" s="3409"/>
      <c r="P327" s="3409"/>
      <c r="Q327" s="3409"/>
      <c r="R327" s="3409"/>
      <c r="S327" s="3409"/>
      <c r="T327" s="3409"/>
      <c r="U327" s="3409"/>
      <c r="V327" s="3409"/>
      <c r="W327" s="3409"/>
      <c r="X327" s="3409"/>
      <c r="Y327" s="3409"/>
      <c r="Z327" s="3409"/>
      <c r="AA327" s="3409"/>
      <c r="AB327" s="3409"/>
      <c r="AC327" s="3409"/>
      <c r="AD327" s="3409"/>
      <c r="AE327" s="3409"/>
      <c r="AF327" s="3409"/>
      <c r="AG327" s="3409"/>
      <c r="AH327" s="3409"/>
      <c r="AI327" s="3409"/>
      <c r="AJ327" s="3409"/>
      <c r="AK327" s="3409"/>
      <c r="AL327" s="3409"/>
      <c r="AM327" s="3409"/>
      <c r="AN327" s="3409"/>
      <c r="AO327" s="3410"/>
      <c r="AP327" s="3410"/>
      <c r="AQ327" s="3410"/>
      <c r="AR327" s="3410"/>
      <c r="AS327" s="3410"/>
      <c r="AT327" s="946"/>
      <c r="AU327" s="959"/>
      <c r="AV327" s="959"/>
      <c r="BB327" s="939"/>
      <c r="BC327" s="939"/>
    </row>
    <row r="328" spans="2:55" ht="12.95" customHeight="1" x14ac:dyDescent="0.15">
      <c r="B328" s="3407"/>
      <c r="C328" s="3407"/>
      <c r="D328" s="3407"/>
      <c r="E328" s="3407"/>
      <c r="F328" s="3408"/>
      <c r="G328" s="3408"/>
      <c r="H328" s="3408"/>
      <c r="I328" s="3408"/>
      <c r="J328" s="3408"/>
      <c r="K328" s="3409"/>
      <c r="L328" s="3409"/>
      <c r="M328" s="3409"/>
      <c r="N328" s="3409"/>
      <c r="O328" s="3409"/>
      <c r="P328" s="3409"/>
      <c r="Q328" s="3409"/>
      <c r="R328" s="3409"/>
      <c r="S328" s="3409"/>
      <c r="T328" s="3409"/>
      <c r="U328" s="3409"/>
      <c r="V328" s="3409"/>
      <c r="W328" s="3409"/>
      <c r="X328" s="3409"/>
      <c r="Y328" s="3409"/>
      <c r="Z328" s="3409"/>
      <c r="AA328" s="3409"/>
      <c r="AB328" s="3409"/>
      <c r="AC328" s="3409"/>
      <c r="AD328" s="3409"/>
      <c r="AE328" s="3409"/>
      <c r="AF328" s="3409"/>
      <c r="AG328" s="3409"/>
      <c r="AH328" s="3409"/>
      <c r="AI328" s="3409"/>
      <c r="AJ328" s="3409"/>
      <c r="AK328" s="3409"/>
      <c r="AL328" s="3409"/>
      <c r="AM328" s="3409"/>
      <c r="AN328" s="3409"/>
      <c r="AO328" s="3410"/>
      <c r="AP328" s="3410"/>
      <c r="AQ328" s="3410"/>
      <c r="AR328" s="3410"/>
      <c r="AS328" s="3410"/>
      <c r="AT328" s="946"/>
      <c r="AU328" s="959"/>
      <c r="AV328" s="959"/>
      <c r="BB328" s="939"/>
      <c r="BC328" s="939"/>
    </row>
    <row r="329" spans="2:55" ht="12.95" customHeight="1" x14ac:dyDescent="0.15">
      <c r="B329" s="3407"/>
      <c r="C329" s="3407"/>
      <c r="D329" s="3407"/>
      <c r="E329" s="3407"/>
      <c r="F329" s="3408"/>
      <c r="G329" s="3408"/>
      <c r="H329" s="3408"/>
      <c r="I329" s="3408"/>
      <c r="J329" s="3408"/>
      <c r="K329" s="3409"/>
      <c r="L329" s="3409"/>
      <c r="M329" s="3409"/>
      <c r="N329" s="3409"/>
      <c r="O329" s="3409"/>
      <c r="P329" s="3409"/>
      <c r="Q329" s="3409"/>
      <c r="R329" s="3409"/>
      <c r="S329" s="3409"/>
      <c r="T329" s="3409"/>
      <c r="U329" s="3409"/>
      <c r="V329" s="3409"/>
      <c r="W329" s="3409"/>
      <c r="X329" s="3409"/>
      <c r="Y329" s="3409"/>
      <c r="Z329" s="3409"/>
      <c r="AA329" s="3409"/>
      <c r="AB329" s="3409"/>
      <c r="AC329" s="3409"/>
      <c r="AD329" s="3409"/>
      <c r="AE329" s="3409"/>
      <c r="AF329" s="3409"/>
      <c r="AG329" s="3409"/>
      <c r="AH329" s="3409"/>
      <c r="AI329" s="3409"/>
      <c r="AJ329" s="3409"/>
      <c r="AK329" s="3409"/>
      <c r="AL329" s="3409"/>
      <c r="AM329" s="3409"/>
      <c r="AN329" s="3409"/>
      <c r="AO329" s="3410"/>
      <c r="AP329" s="3410"/>
      <c r="AQ329" s="3410"/>
      <c r="AR329" s="3410"/>
      <c r="AS329" s="3410"/>
      <c r="AT329" s="946"/>
      <c r="AU329" s="959"/>
      <c r="AV329" s="959"/>
      <c r="BB329" s="939"/>
      <c r="BC329" s="939"/>
    </row>
    <row r="330" spans="2:55" ht="12.95" customHeight="1" thickBot="1" x14ac:dyDescent="0.2">
      <c r="B330" s="3390" t="str">
        <f>'＜入力不要＞報告書'!B318</f>
        <v>延べ面積</v>
      </c>
      <c r="C330" s="3391"/>
      <c r="D330" s="3391"/>
      <c r="E330" s="3392"/>
      <c r="F330" s="3388">
        <f>'＜入力不要＞報告書'!F318</f>
        <v>0</v>
      </c>
      <c r="G330" s="3389"/>
      <c r="H330" s="3389"/>
      <c r="I330" s="3389"/>
      <c r="J330" s="1005" t="str">
        <f>'＜入力不要＞報告書'!J318</f>
        <v>㎡</v>
      </c>
      <c r="K330" s="3388">
        <f>'＜入力不要＞報告書'!K318</f>
        <v>0</v>
      </c>
      <c r="L330" s="3389"/>
      <c r="M330" s="3389"/>
      <c r="N330" s="3389"/>
      <c r="O330" s="1005" t="str">
        <f>'＜入力不要＞報告書'!O318</f>
        <v>㎡</v>
      </c>
      <c r="P330" s="3388">
        <f>'＜入力不要＞報告書'!P318</f>
        <v>0</v>
      </c>
      <c r="Q330" s="3389"/>
      <c r="R330" s="3389"/>
      <c r="S330" s="3389"/>
      <c r="T330" s="1005" t="str">
        <f>'＜入力不要＞報告書'!T318</f>
        <v>㎡</v>
      </c>
      <c r="U330" s="3388">
        <f>'＜入力不要＞報告書'!U318</f>
        <v>0</v>
      </c>
      <c r="V330" s="3389"/>
      <c r="W330" s="3389"/>
      <c r="X330" s="3389"/>
      <c r="Y330" s="1005" t="str">
        <f>'＜入力不要＞報告書'!Y318</f>
        <v>㎡</v>
      </c>
      <c r="Z330" s="3388">
        <f>'＜入力不要＞報告書'!Z318</f>
        <v>0</v>
      </c>
      <c r="AA330" s="3389"/>
      <c r="AB330" s="3389"/>
      <c r="AC330" s="3389"/>
      <c r="AD330" s="1005" t="str">
        <f>'＜入力不要＞報告書'!AD318</f>
        <v>㎡</v>
      </c>
      <c r="AE330" s="3388">
        <f>'＜入力不要＞報告書'!AE318</f>
        <v>0</v>
      </c>
      <c r="AF330" s="3389"/>
      <c r="AG330" s="3389"/>
      <c r="AH330" s="3389"/>
      <c r="AI330" s="1005" t="str">
        <f>'＜入力不要＞報告書'!AI318</f>
        <v>㎡</v>
      </c>
      <c r="AJ330" s="3388">
        <f>'＜入力不要＞報告書'!AJ318</f>
        <v>0</v>
      </c>
      <c r="AK330" s="3389"/>
      <c r="AL330" s="3389"/>
      <c r="AM330" s="3389"/>
      <c r="AN330" s="1005" t="str">
        <f>'＜入力不要＞報告書'!AN318</f>
        <v>㎡</v>
      </c>
      <c r="AO330" s="3388">
        <f>'＜入力不要＞報告書'!AO318</f>
        <v>0</v>
      </c>
      <c r="AP330" s="3389"/>
      <c r="AQ330" s="3389"/>
      <c r="AR330" s="3389"/>
      <c r="AS330" s="1005" t="str">
        <f>'＜入力不要＞報告書'!AS318</f>
        <v>㎡</v>
      </c>
      <c r="AT330" s="946"/>
      <c r="AU330" s="959"/>
      <c r="AV330" s="959"/>
      <c r="BB330" s="939"/>
      <c r="BC330" s="939"/>
    </row>
    <row r="331" spans="2:55" ht="12.95" customHeight="1" thickTop="1" x14ac:dyDescent="0.15">
      <c r="B331" s="3384" t="str">
        <f>'＜入力不要＞報告書'!B319</f>
        <v>地下1</v>
      </c>
      <c r="C331" s="3385"/>
      <c r="D331" s="3385"/>
      <c r="E331" s="1006" t="str">
        <f>'＜入力不要＞報告書'!E319</f>
        <v>階</v>
      </c>
      <c r="F331" s="3386">
        <f>'＜入力不要＞報告書'!F319</f>
        <v>0</v>
      </c>
      <c r="G331" s="3387"/>
      <c r="H331" s="3387"/>
      <c r="I331" s="3387"/>
      <c r="J331" s="1007" t="str">
        <f>'＜入力不要＞報告書'!J319</f>
        <v>㎡</v>
      </c>
      <c r="K331" s="3386" t="str">
        <f>'＜入力不要＞報告書'!K319</f>
        <v/>
      </c>
      <c r="L331" s="3387"/>
      <c r="M331" s="3387"/>
      <c r="N331" s="3387"/>
      <c r="O331" s="1007" t="str">
        <f>'＜入力不要＞報告書'!O319</f>
        <v>㎡</v>
      </c>
      <c r="P331" s="3386" t="str">
        <f>'＜入力不要＞報告書'!P319</f>
        <v/>
      </c>
      <c r="Q331" s="3387"/>
      <c r="R331" s="3387"/>
      <c r="S331" s="3387"/>
      <c r="T331" s="1007" t="str">
        <f>'＜入力不要＞報告書'!T319</f>
        <v>㎡</v>
      </c>
      <c r="U331" s="3386" t="str">
        <f>'＜入力不要＞報告書'!U319</f>
        <v/>
      </c>
      <c r="V331" s="3387"/>
      <c r="W331" s="3387"/>
      <c r="X331" s="3387"/>
      <c r="Y331" s="1007" t="str">
        <f>'＜入力不要＞報告書'!Y319</f>
        <v>㎡</v>
      </c>
      <c r="Z331" s="3386" t="str">
        <f>'＜入力不要＞報告書'!Z319</f>
        <v/>
      </c>
      <c r="AA331" s="3387"/>
      <c r="AB331" s="3387"/>
      <c r="AC331" s="3387"/>
      <c r="AD331" s="1007" t="str">
        <f>'＜入力不要＞報告書'!AD319</f>
        <v>㎡</v>
      </c>
      <c r="AE331" s="3386" t="str">
        <f>'＜入力不要＞報告書'!AE319</f>
        <v/>
      </c>
      <c r="AF331" s="3387"/>
      <c r="AG331" s="3387"/>
      <c r="AH331" s="3387"/>
      <c r="AI331" s="1007" t="str">
        <f>'＜入力不要＞報告書'!AI319</f>
        <v>㎡</v>
      </c>
      <c r="AJ331" s="3386" t="str">
        <f>'＜入力不要＞報告書'!AJ319</f>
        <v/>
      </c>
      <c r="AK331" s="3387"/>
      <c r="AL331" s="3387"/>
      <c r="AM331" s="3387"/>
      <c r="AN331" s="1007" t="str">
        <f>'＜入力不要＞報告書'!AN319</f>
        <v>㎡</v>
      </c>
      <c r="AO331" s="3386" t="str">
        <f>'＜入力不要＞報告書'!AO319</f>
        <v/>
      </c>
      <c r="AP331" s="3387"/>
      <c r="AQ331" s="3387"/>
      <c r="AR331" s="3387"/>
      <c r="AS331" s="1007" t="str">
        <f>'＜入力不要＞報告書'!AS319</f>
        <v>㎡</v>
      </c>
      <c r="AT331" s="946"/>
      <c r="AU331" s="959"/>
      <c r="AV331" s="959"/>
      <c r="BB331" s="939"/>
      <c r="BC331" s="939"/>
    </row>
    <row r="332" spans="2:55" ht="12.95" customHeight="1" x14ac:dyDescent="0.15">
      <c r="B332" s="3393" t="str">
        <f>'＜入力不要＞報告書'!B320</f>
        <v>地下2</v>
      </c>
      <c r="C332" s="3394"/>
      <c r="D332" s="3394"/>
      <c r="E332" s="1006" t="str">
        <f>'＜入力不要＞報告書'!E320</f>
        <v>階</v>
      </c>
      <c r="F332" s="3386">
        <f>'＜入力不要＞報告書'!F320</f>
        <v>0</v>
      </c>
      <c r="G332" s="3387"/>
      <c r="H332" s="3387"/>
      <c r="I332" s="3387"/>
      <c r="J332" s="1007" t="str">
        <f>'＜入力不要＞報告書'!J320</f>
        <v>㎡</v>
      </c>
      <c r="K332" s="3386" t="str">
        <f>'＜入力不要＞報告書'!K320</f>
        <v/>
      </c>
      <c r="L332" s="3387"/>
      <c r="M332" s="3387"/>
      <c r="N332" s="3387"/>
      <c r="O332" s="1007" t="str">
        <f>'＜入力不要＞報告書'!O320</f>
        <v>㎡</v>
      </c>
      <c r="P332" s="3386" t="str">
        <f>'＜入力不要＞報告書'!P320</f>
        <v/>
      </c>
      <c r="Q332" s="3387"/>
      <c r="R332" s="3387"/>
      <c r="S332" s="3387"/>
      <c r="T332" s="1007" t="str">
        <f>'＜入力不要＞報告書'!T320</f>
        <v>㎡</v>
      </c>
      <c r="U332" s="3386" t="str">
        <f>'＜入力不要＞報告書'!U320</f>
        <v/>
      </c>
      <c r="V332" s="3387"/>
      <c r="W332" s="3387"/>
      <c r="X332" s="3387"/>
      <c r="Y332" s="1007" t="str">
        <f>'＜入力不要＞報告書'!Y320</f>
        <v>㎡</v>
      </c>
      <c r="Z332" s="3386" t="str">
        <f>'＜入力不要＞報告書'!Z320</f>
        <v/>
      </c>
      <c r="AA332" s="3387"/>
      <c r="AB332" s="3387"/>
      <c r="AC332" s="3387"/>
      <c r="AD332" s="1007" t="str">
        <f>'＜入力不要＞報告書'!AD320</f>
        <v>㎡</v>
      </c>
      <c r="AE332" s="3386" t="str">
        <f>'＜入力不要＞報告書'!AE320</f>
        <v/>
      </c>
      <c r="AF332" s="3387"/>
      <c r="AG332" s="3387"/>
      <c r="AH332" s="3387"/>
      <c r="AI332" s="1007" t="str">
        <f>'＜入力不要＞報告書'!AI320</f>
        <v>㎡</v>
      </c>
      <c r="AJ332" s="3386" t="str">
        <f>'＜入力不要＞報告書'!AJ320</f>
        <v/>
      </c>
      <c r="AK332" s="3387"/>
      <c r="AL332" s="3387"/>
      <c r="AM332" s="3387"/>
      <c r="AN332" s="1007" t="str">
        <f>'＜入力不要＞報告書'!AN320</f>
        <v>㎡</v>
      </c>
      <c r="AO332" s="3386" t="str">
        <f>'＜入力不要＞報告書'!AO320</f>
        <v/>
      </c>
      <c r="AP332" s="3387"/>
      <c r="AQ332" s="3387"/>
      <c r="AR332" s="3387"/>
      <c r="AS332" s="1007" t="str">
        <f>'＜入力不要＞報告書'!AS320</f>
        <v>㎡</v>
      </c>
      <c r="AT332" s="946"/>
      <c r="AU332" s="959"/>
      <c r="AV332" s="959"/>
      <c r="BB332" s="939"/>
      <c r="BC332" s="939"/>
    </row>
    <row r="333" spans="2:55" ht="12.95" customHeight="1" x14ac:dyDescent="0.15">
      <c r="B333" s="3393" t="str">
        <f>'＜入力不要＞報告書'!B321</f>
        <v>地下3</v>
      </c>
      <c r="C333" s="3394"/>
      <c r="D333" s="3394"/>
      <c r="E333" s="1006" t="str">
        <f>'＜入力不要＞報告書'!E321</f>
        <v>階</v>
      </c>
      <c r="F333" s="3386">
        <f>'＜入力不要＞報告書'!F321</f>
        <v>0</v>
      </c>
      <c r="G333" s="3387"/>
      <c r="H333" s="3387"/>
      <c r="I333" s="3387"/>
      <c r="J333" s="1007" t="str">
        <f>'＜入力不要＞報告書'!J321</f>
        <v>㎡</v>
      </c>
      <c r="K333" s="3386" t="str">
        <f>'＜入力不要＞報告書'!K321</f>
        <v/>
      </c>
      <c r="L333" s="3387"/>
      <c r="M333" s="3387"/>
      <c r="N333" s="3387"/>
      <c r="O333" s="1007" t="str">
        <f>'＜入力不要＞報告書'!O321</f>
        <v>㎡</v>
      </c>
      <c r="P333" s="3386" t="str">
        <f>'＜入力不要＞報告書'!P321</f>
        <v/>
      </c>
      <c r="Q333" s="3387"/>
      <c r="R333" s="3387"/>
      <c r="S333" s="3387"/>
      <c r="T333" s="1007" t="str">
        <f>'＜入力不要＞報告書'!T321</f>
        <v>㎡</v>
      </c>
      <c r="U333" s="3386" t="str">
        <f>'＜入力不要＞報告書'!U321</f>
        <v/>
      </c>
      <c r="V333" s="3387"/>
      <c r="W333" s="3387"/>
      <c r="X333" s="3387"/>
      <c r="Y333" s="1007" t="str">
        <f>'＜入力不要＞報告書'!Y321</f>
        <v>㎡</v>
      </c>
      <c r="Z333" s="3386" t="str">
        <f>'＜入力不要＞報告書'!Z321</f>
        <v/>
      </c>
      <c r="AA333" s="3387"/>
      <c r="AB333" s="3387"/>
      <c r="AC333" s="3387"/>
      <c r="AD333" s="1007" t="str">
        <f>'＜入力不要＞報告書'!AD321</f>
        <v>㎡</v>
      </c>
      <c r="AE333" s="3386" t="str">
        <f>'＜入力不要＞報告書'!AE321</f>
        <v/>
      </c>
      <c r="AF333" s="3387"/>
      <c r="AG333" s="3387"/>
      <c r="AH333" s="3387"/>
      <c r="AI333" s="1007" t="str">
        <f>'＜入力不要＞報告書'!AI321</f>
        <v>㎡</v>
      </c>
      <c r="AJ333" s="3386" t="str">
        <f>'＜入力不要＞報告書'!AJ321</f>
        <v/>
      </c>
      <c r="AK333" s="3387"/>
      <c r="AL333" s="3387"/>
      <c r="AM333" s="3387"/>
      <c r="AN333" s="1007" t="str">
        <f>'＜入力不要＞報告書'!AN321</f>
        <v>㎡</v>
      </c>
      <c r="AO333" s="3386" t="str">
        <f>'＜入力不要＞報告書'!AO321</f>
        <v/>
      </c>
      <c r="AP333" s="3387"/>
      <c r="AQ333" s="3387"/>
      <c r="AR333" s="3387"/>
      <c r="AS333" s="1007" t="str">
        <f>'＜入力不要＞報告書'!AS321</f>
        <v>㎡</v>
      </c>
      <c r="AT333" s="946"/>
      <c r="AU333" s="959"/>
      <c r="AV333" s="959"/>
      <c r="BB333" s="939"/>
      <c r="BC333" s="939"/>
    </row>
    <row r="334" spans="2:55" ht="12.95" customHeight="1" x14ac:dyDescent="0.15">
      <c r="B334" s="3395" t="str">
        <f>'＜入力不要＞報告書'!B322</f>
        <v>地下4</v>
      </c>
      <c r="C334" s="3396"/>
      <c r="D334" s="3396"/>
      <c r="E334" s="1006" t="str">
        <f>'＜入力不要＞報告書'!E322</f>
        <v>階</v>
      </c>
      <c r="F334" s="3397">
        <f>'＜入力不要＞報告書'!F322</f>
        <v>0</v>
      </c>
      <c r="G334" s="3398"/>
      <c r="H334" s="3398"/>
      <c r="I334" s="3398"/>
      <c r="J334" s="1008" t="str">
        <f>'＜入力不要＞報告書'!J322</f>
        <v>㎡</v>
      </c>
      <c r="K334" s="3397" t="str">
        <f>'＜入力不要＞報告書'!K322</f>
        <v/>
      </c>
      <c r="L334" s="3398"/>
      <c r="M334" s="3398"/>
      <c r="N334" s="3398"/>
      <c r="O334" s="1008" t="str">
        <f>'＜入力不要＞報告書'!O322</f>
        <v>㎡</v>
      </c>
      <c r="P334" s="3397" t="str">
        <f>'＜入力不要＞報告書'!P322</f>
        <v/>
      </c>
      <c r="Q334" s="3398"/>
      <c r="R334" s="3398"/>
      <c r="S334" s="3398"/>
      <c r="T334" s="1008" t="str">
        <f>'＜入力不要＞報告書'!T322</f>
        <v>㎡</v>
      </c>
      <c r="U334" s="3397" t="str">
        <f>'＜入力不要＞報告書'!U322</f>
        <v/>
      </c>
      <c r="V334" s="3398"/>
      <c r="W334" s="3398"/>
      <c r="X334" s="3398"/>
      <c r="Y334" s="1008" t="str">
        <f>'＜入力不要＞報告書'!Y322</f>
        <v>㎡</v>
      </c>
      <c r="Z334" s="3397" t="str">
        <f>'＜入力不要＞報告書'!Z322</f>
        <v/>
      </c>
      <c r="AA334" s="3398"/>
      <c r="AB334" s="3398"/>
      <c r="AC334" s="3398"/>
      <c r="AD334" s="1008" t="str">
        <f>'＜入力不要＞報告書'!AD322</f>
        <v>㎡</v>
      </c>
      <c r="AE334" s="3397" t="str">
        <f>'＜入力不要＞報告書'!AE322</f>
        <v/>
      </c>
      <c r="AF334" s="3398"/>
      <c r="AG334" s="3398"/>
      <c r="AH334" s="3398"/>
      <c r="AI334" s="1008" t="str">
        <f>'＜入力不要＞報告書'!AI322</f>
        <v>㎡</v>
      </c>
      <c r="AJ334" s="3397" t="str">
        <f>'＜入力不要＞報告書'!AJ322</f>
        <v/>
      </c>
      <c r="AK334" s="3398"/>
      <c r="AL334" s="3398"/>
      <c r="AM334" s="3398"/>
      <c r="AN334" s="1008" t="str">
        <f>'＜入力不要＞報告書'!AN322</f>
        <v>㎡</v>
      </c>
      <c r="AO334" s="3397" t="str">
        <f>'＜入力不要＞報告書'!AO322</f>
        <v/>
      </c>
      <c r="AP334" s="3398"/>
      <c r="AQ334" s="3398"/>
      <c r="AR334" s="3398"/>
      <c r="AS334" s="1008" t="str">
        <f>'＜入力不要＞報告書'!AS322</f>
        <v>㎡</v>
      </c>
      <c r="AT334" s="946"/>
      <c r="AU334" s="959"/>
      <c r="AV334" s="959"/>
      <c r="BB334" s="939"/>
      <c r="BC334" s="939"/>
    </row>
    <row r="335" spans="2:55" ht="12.95" customHeight="1" x14ac:dyDescent="0.15">
      <c r="B335" s="3411" t="str">
        <f>'＜入力不要＞報告書'!B323</f>
        <v>塔屋 1</v>
      </c>
      <c r="C335" s="3412"/>
      <c r="D335" s="3412"/>
      <c r="E335" s="1009" t="str">
        <f>'＜入力不要＞報告書'!E323</f>
        <v>階</v>
      </c>
      <c r="F335" s="3399">
        <f>'＜入力不要＞報告書'!F323</f>
        <v>0</v>
      </c>
      <c r="G335" s="3400"/>
      <c r="H335" s="3400"/>
      <c r="I335" s="3400"/>
      <c r="J335" s="1010" t="str">
        <f>'＜入力不要＞報告書'!J323</f>
        <v>㎡</v>
      </c>
      <c r="K335" s="3399" t="str">
        <f>'＜入力不要＞報告書'!K323</f>
        <v/>
      </c>
      <c r="L335" s="3400"/>
      <c r="M335" s="3400"/>
      <c r="N335" s="3400"/>
      <c r="O335" s="1010" t="str">
        <f>'＜入力不要＞報告書'!O323</f>
        <v>㎡</v>
      </c>
      <c r="P335" s="3399" t="str">
        <f>'＜入力不要＞報告書'!P323</f>
        <v/>
      </c>
      <c r="Q335" s="3400"/>
      <c r="R335" s="3400"/>
      <c r="S335" s="3400"/>
      <c r="T335" s="1010" t="str">
        <f>'＜入力不要＞報告書'!T323</f>
        <v>㎡</v>
      </c>
      <c r="U335" s="3399" t="str">
        <f>'＜入力不要＞報告書'!U323</f>
        <v/>
      </c>
      <c r="V335" s="3400"/>
      <c r="W335" s="3400"/>
      <c r="X335" s="3400"/>
      <c r="Y335" s="1010" t="str">
        <f>'＜入力不要＞報告書'!Y323</f>
        <v>㎡</v>
      </c>
      <c r="Z335" s="3399" t="str">
        <f>'＜入力不要＞報告書'!Z323</f>
        <v/>
      </c>
      <c r="AA335" s="3400"/>
      <c r="AB335" s="3400"/>
      <c r="AC335" s="3400"/>
      <c r="AD335" s="1010" t="str">
        <f>'＜入力不要＞報告書'!AD323</f>
        <v>㎡</v>
      </c>
      <c r="AE335" s="3399" t="str">
        <f>'＜入力不要＞報告書'!AE323</f>
        <v/>
      </c>
      <c r="AF335" s="3400"/>
      <c r="AG335" s="3400"/>
      <c r="AH335" s="3400"/>
      <c r="AI335" s="1010" t="str">
        <f>'＜入力不要＞報告書'!AI323</f>
        <v>㎡</v>
      </c>
      <c r="AJ335" s="3399" t="str">
        <f>'＜入力不要＞報告書'!AJ323</f>
        <v/>
      </c>
      <c r="AK335" s="3400"/>
      <c r="AL335" s="3400"/>
      <c r="AM335" s="3400"/>
      <c r="AN335" s="1010" t="str">
        <f>'＜入力不要＞報告書'!AN323</f>
        <v>㎡</v>
      </c>
      <c r="AO335" s="3399" t="str">
        <f>'＜入力不要＞報告書'!AO323</f>
        <v/>
      </c>
      <c r="AP335" s="3400"/>
      <c r="AQ335" s="3400"/>
      <c r="AR335" s="3400"/>
      <c r="AS335" s="1010" t="str">
        <f>'＜入力不要＞報告書'!AS323</f>
        <v>㎡</v>
      </c>
      <c r="AT335" s="946"/>
      <c r="AU335" s="959"/>
      <c r="AV335" s="959"/>
      <c r="BB335" s="939"/>
      <c r="BC335" s="939"/>
    </row>
    <row r="336" spans="2:55" ht="12.95" customHeight="1" x14ac:dyDescent="0.15">
      <c r="B336" s="3393" t="str">
        <f>'＜入力不要＞報告書'!B324</f>
        <v>塔屋 2</v>
      </c>
      <c r="C336" s="3394"/>
      <c r="D336" s="3394"/>
      <c r="E336" s="1006" t="str">
        <f>'＜入力不要＞報告書'!E324</f>
        <v>階</v>
      </c>
      <c r="F336" s="3386">
        <f>'＜入力不要＞報告書'!F324</f>
        <v>0</v>
      </c>
      <c r="G336" s="3387"/>
      <c r="H336" s="3387"/>
      <c r="I336" s="3387"/>
      <c r="J336" s="1007" t="str">
        <f>'＜入力不要＞報告書'!J324</f>
        <v>㎡</v>
      </c>
      <c r="K336" s="3386" t="str">
        <f>'＜入力不要＞報告書'!K324</f>
        <v/>
      </c>
      <c r="L336" s="3387"/>
      <c r="M336" s="3387"/>
      <c r="N336" s="3387"/>
      <c r="O336" s="1007" t="str">
        <f>'＜入力不要＞報告書'!O324</f>
        <v>㎡</v>
      </c>
      <c r="P336" s="3386" t="str">
        <f>'＜入力不要＞報告書'!P324</f>
        <v/>
      </c>
      <c r="Q336" s="3387"/>
      <c r="R336" s="3387"/>
      <c r="S336" s="3387"/>
      <c r="T336" s="1007" t="str">
        <f>'＜入力不要＞報告書'!T324</f>
        <v>㎡</v>
      </c>
      <c r="U336" s="3386" t="str">
        <f>'＜入力不要＞報告書'!U324</f>
        <v/>
      </c>
      <c r="V336" s="3387"/>
      <c r="W336" s="3387"/>
      <c r="X336" s="3387"/>
      <c r="Y336" s="1007" t="str">
        <f>'＜入力不要＞報告書'!Y324</f>
        <v>㎡</v>
      </c>
      <c r="Z336" s="3386" t="str">
        <f>'＜入力不要＞報告書'!Z324</f>
        <v/>
      </c>
      <c r="AA336" s="3387"/>
      <c r="AB336" s="3387"/>
      <c r="AC336" s="3387"/>
      <c r="AD336" s="1007" t="str">
        <f>'＜入力不要＞報告書'!AD324</f>
        <v>㎡</v>
      </c>
      <c r="AE336" s="3386" t="str">
        <f>'＜入力不要＞報告書'!AE324</f>
        <v/>
      </c>
      <c r="AF336" s="3387"/>
      <c r="AG336" s="3387"/>
      <c r="AH336" s="3387"/>
      <c r="AI336" s="1007" t="str">
        <f>'＜入力不要＞報告書'!AI324</f>
        <v>㎡</v>
      </c>
      <c r="AJ336" s="3386" t="str">
        <f>'＜入力不要＞報告書'!AJ324</f>
        <v/>
      </c>
      <c r="AK336" s="3387"/>
      <c r="AL336" s="3387"/>
      <c r="AM336" s="3387"/>
      <c r="AN336" s="1007" t="str">
        <f>'＜入力不要＞報告書'!AN324</f>
        <v>㎡</v>
      </c>
      <c r="AO336" s="3386" t="str">
        <f>'＜入力不要＞報告書'!AO324</f>
        <v/>
      </c>
      <c r="AP336" s="3387"/>
      <c r="AQ336" s="3387"/>
      <c r="AR336" s="3387"/>
      <c r="AS336" s="1007" t="str">
        <f>'＜入力不要＞報告書'!AS324</f>
        <v>㎡</v>
      </c>
      <c r="AT336" s="946"/>
      <c r="AU336" s="959"/>
      <c r="AV336" s="959"/>
      <c r="BB336" s="939"/>
      <c r="BC336" s="939"/>
    </row>
    <row r="337" spans="1:55" ht="12.95" customHeight="1" x14ac:dyDescent="0.15">
      <c r="B337" s="3393" t="str">
        <f>'＜入力不要＞報告書'!B325</f>
        <v>塔屋 3</v>
      </c>
      <c r="C337" s="3394"/>
      <c r="D337" s="3394"/>
      <c r="E337" s="1006" t="str">
        <f>'＜入力不要＞報告書'!E325</f>
        <v>階</v>
      </c>
      <c r="F337" s="3386">
        <f>'＜入力不要＞報告書'!F325</f>
        <v>0</v>
      </c>
      <c r="G337" s="3387"/>
      <c r="H337" s="3387"/>
      <c r="I337" s="3387"/>
      <c r="J337" s="1007" t="str">
        <f>'＜入力不要＞報告書'!J325</f>
        <v>㎡</v>
      </c>
      <c r="K337" s="3386" t="str">
        <f>'＜入力不要＞報告書'!K325</f>
        <v/>
      </c>
      <c r="L337" s="3387"/>
      <c r="M337" s="3387"/>
      <c r="N337" s="3387"/>
      <c r="O337" s="1007" t="str">
        <f>'＜入力不要＞報告書'!O325</f>
        <v>㎡</v>
      </c>
      <c r="P337" s="3386" t="str">
        <f>'＜入力不要＞報告書'!P325</f>
        <v/>
      </c>
      <c r="Q337" s="3387"/>
      <c r="R337" s="3387"/>
      <c r="S337" s="3387"/>
      <c r="T337" s="1007" t="str">
        <f>'＜入力不要＞報告書'!T325</f>
        <v>㎡</v>
      </c>
      <c r="U337" s="3386" t="str">
        <f>'＜入力不要＞報告書'!U325</f>
        <v/>
      </c>
      <c r="V337" s="3387"/>
      <c r="W337" s="3387"/>
      <c r="X337" s="3387"/>
      <c r="Y337" s="1007" t="str">
        <f>'＜入力不要＞報告書'!Y325</f>
        <v>㎡</v>
      </c>
      <c r="Z337" s="3386" t="str">
        <f>'＜入力不要＞報告書'!Z325</f>
        <v/>
      </c>
      <c r="AA337" s="3387"/>
      <c r="AB337" s="3387"/>
      <c r="AC337" s="3387"/>
      <c r="AD337" s="1007" t="str">
        <f>'＜入力不要＞報告書'!AD325</f>
        <v>㎡</v>
      </c>
      <c r="AE337" s="3386" t="str">
        <f>'＜入力不要＞報告書'!AE325</f>
        <v/>
      </c>
      <c r="AF337" s="3387"/>
      <c r="AG337" s="3387"/>
      <c r="AH337" s="3387"/>
      <c r="AI337" s="1007" t="str">
        <f>'＜入力不要＞報告書'!AI325</f>
        <v>㎡</v>
      </c>
      <c r="AJ337" s="3386" t="str">
        <f>'＜入力不要＞報告書'!AJ325</f>
        <v/>
      </c>
      <c r="AK337" s="3387"/>
      <c r="AL337" s="3387"/>
      <c r="AM337" s="3387"/>
      <c r="AN337" s="1007" t="str">
        <f>'＜入力不要＞報告書'!AN325</f>
        <v>㎡</v>
      </c>
      <c r="AO337" s="3386" t="str">
        <f>'＜入力不要＞報告書'!AO325</f>
        <v/>
      </c>
      <c r="AP337" s="3387"/>
      <c r="AQ337" s="3387"/>
      <c r="AR337" s="3387"/>
      <c r="AS337" s="1007" t="str">
        <f>'＜入力不要＞報告書'!AS325</f>
        <v>㎡</v>
      </c>
      <c r="AT337" s="946"/>
      <c r="AU337" s="959"/>
      <c r="AV337" s="959"/>
      <c r="BB337" s="939"/>
      <c r="BC337" s="939"/>
    </row>
    <row r="338" spans="1:55" ht="12.95" customHeight="1" x14ac:dyDescent="0.15">
      <c r="B338" s="3393" t="str">
        <f>'＜入力不要＞報告書'!B326</f>
        <v>塔屋 4</v>
      </c>
      <c r="C338" s="3394"/>
      <c r="D338" s="3394"/>
      <c r="E338" s="1006" t="str">
        <f>'＜入力不要＞報告書'!E326</f>
        <v>階</v>
      </c>
      <c r="F338" s="3386">
        <f>'＜入力不要＞報告書'!F326</f>
        <v>0</v>
      </c>
      <c r="G338" s="3387"/>
      <c r="H338" s="3387"/>
      <c r="I338" s="3387"/>
      <c r="J338" s="1007" t="str">
        <f>'＜入力不要＞報告書'!J326</f>
        <v>㎡</v>
      </c>
      <c r="K338" s="3386" t="str">
        <f>'＜入力不要＞報告書'!K326</f>
        <v/>
      </c>
      <c r="L338" s="3387"/>
      <c r="M338" s="3387"/>
      <c r="N338" s="3387"/>
      <c r="O338" s="1007" t="str">
        <f>'＜入力不要＞報告書'!O326</f>
        <v>㎡</v>
      </c>
      <c r="P338" s="3386" t="str">
        <f>'＜入力不要＞報告書'!P326</f>
        <v/>
      </c>
      <c r="Q338" s="3387"/>
      <c r="R338" s="3387"/>
      <c r="S338" s="3387"/>
      <c r="T338" s="1007" t="str">
        <f>'＜入力不要＞報告書'!T326</f>
        <v>㎡</v>
      </c>
      <c r="U338" s="3386" t="str">
        <f>'＜入力不要＞報告書'!U326</f>
        <v/>
      </c>
      <c r="V338" s="3387"/>
      <c r="W338" s="3387"/>
      <c r="X338" s="3387"/>
      <c r="Y338" s="1007" t="str">
        <f>'＜入力不要＞報告書'!Y326</f>
        <v>㎡</v>
      </c>
      <c r="Z338" s="3386" t="str">
        <f>'＜入力不要＞報告書'!Z326</f>
        <v/>
      </c>
      <c r="AA338" s="3387"/>
      <c r="AB338" s="3387"/>
      <c r="AC338" s="3387"/>
      <c r="AD338" s="1007" t="str">
        <f>'＜入力不要＞報告書'!AD326</f>
        <v>㎡</v>
      </c>
      <c r="AE338" s="3386" t="str">
        <f>'＜入力不要＞報告書'!AE326</f>
        <v/>
      </c>
      <c r="AF338" s="3387"/>
      <c r="AG338" s="3387"/>
      <c r="AH338" s="3387"/>
      <c r="AI338" s="1007" t="str">
        <f>'＜入力不要＞報告書'!AI326</f>
        <v>㎡</v>
      </c>
      <c r="AJ338" s="3386" t="str">
        <f>'＜入力不要＞報告書'!AJ326</f>
        <v/>
      </c>
      <c r="AK338" s="3387"/>
      <c r="AL338" s="3387"/>
      <c r="AM338" s="3387"/>
      <c r="AN338" s="1007" t="str">
        <f>'＜入力不要＞報告書'!AN326</f>
        <v>㎡</v>
      </c>
      <c r="AO338" s="3386" t="str">
        <f>'＜入力不要＞報告書'!AO326</f>
        <v/>
      </c>
      <c r="AP338" s="3387"/>
      <c r="AQ338" s="3387"/>
      <c r="AR338" s="3387"/>
      <c r="AS338" s="1007" t="str">
        <f>'＜入力不要＞報告書'!AS326</f>
        <v>㎡</v>
      </c>
      <c r="AT338" s="946"/>
      <c r="AU338" s="959"/>
      <c r="AV338" s="959"/>
      <c r="BB338" s="939"/>
      <c r="BC338" s="939"/>
    </row>
    <row r="339" spans="1:55" s="1060" customFormat="1" ht="12.95" customHeight="1" x14ac:dyDescent="0.15">
      <c r="A339" s="939"/>
      <c r="B339" s="3395" t="str">
        <f>'＜入力不要＞報告書'!B327</f>
        <v>塔屋 5</v>
      </c>
      <c r="C339" s="3396"/>
      <c r="D339" s="3396"/>
      <c r="E339" s="1011" t="str">
        <f>'＜入力不要＞報告書'!E327</f>
        <v>階</v>
      </c>
      <c r="F339" s="3397">
        <f>'＜入力不要＞報告書'!F327</f>
        <v>0</v>
      </c>
      <c r="G339" s="3398"/>
      <c r="H339" s="3398"/>
      <c r="I339" s="3398"/>
      <c r="J339" s="1008" t="str">
        <f>'＜入力不要＞報告書'!J327</f>
        <v>㎡</v>
      </c>
      <c r="K339" s="3397" t="str">
        <f>'＜入力不要＞報告書'!K327</f>
        <v/>
      </c>
      <c r="L339" s="3398"/>
      <c r="M339" s="3398"/>
      <c r="N339" s="3398"/>
      <c r="O339" s="1008" t="str">
        <f>'＜入力不要＞報告書'!O327</f>
        <v>㎡</v>
      </c>
      <c r="P339" s="3397" t="str">
        <f>'＜入力不要＞報告書'!P327</f>
        <v/>
      </c>
      <c r="Q339" s="3398"/>
      <c r="R339" s="3398"/>
      <c r="S339" s="3398"/>
      <c r="T339" s="1008" t="str">
        <f>'＜入力不要＞報告書'!T327</f>
        <v>㎡</v>
      </c>
      <c r="U339" s="3397" t="str">
        <f>'＜入力不要＞報告書'!U327</f>
        <v/>
      </c>
      <c r="V339" s="3398"/>
      <c r="W339" s="3398"/>
      <c r="X339" s="3398"/>
      <c r="Y339" s="1008" t="str">
        <f>'＜入力不要＞報告書'!Y327</f>
        <v>㎡</v>
      </c>
      <c r="Z339" s="3397" t="str">
        <f>'＜入力不要＞報告書'!Z327</f>
        <v/>
      </c>
      <c r="AA339" s="3398"/>
      <c r="AB339" s="3398"/>
      <c r="AC339" s="3398"/>
      <c r="AD339" s="1008" t="str">
        <f>'＜入力不要＞報告書'!AD327</f>
        <v>㎡</v>
      </c>
      <c r="AE339" s="3397" t="str">
        <f>'＜入力不要＞報告書'!AE327</f>
        <v/>
      </c>
      <c r="AF339" s="3398"/>
      <c r="AG339" s="3398"/>
      <c r="AH339" s="3398"/>
      <c r="AI339" s="1008" t="str">
        <f>'＜入力不要＞報告書'!AI327</f>
        <v>㎡</v>
      </c>
      <c r="AJ339" s="3397" t="str">
        <f>'＜入力不要＞報告書'!AJ327</f>
        <v/>
      </c>
      <c r="AK339" s="3398"/>
      <c r="AL339" s="3398"/>
      <c r="AM339" s="3398"/>
      <c r="AN339" s="1008" t="str">
        <f>'＜入力不要＞報告書'!AN327</f>
        <v>㎡</v>
      </c>
      <c r="AO339" s="3397" t="str">
        <f>'＜入力不要＞報告書'!AO327</f>
        <v/>
      </c>
      <c r="AP339" s="3398"/>
      <c r="AQ339" s="3398"/>
      <c r="AR339" s="3398"/>
      <c r="AS339" s="1008" t="str">
        <f>'＜入力不要＞報告書'!AS327</f>
        <v>㎡</v>
      </c>
      <c r="AT339" s="946"/>
      <c r="AU339" s="959"/>
      <c r="AV339" s="959"/>
      <c r="AW339" s="939"/>
      <c r="AX339" s="939"/>
      <c r="AY339" s="939"/>
      <c r="AZ339" s="939"/>
      <c r="BA339" s="939"/>
    </row>
    <row r="340" spans="1:55" s="1060" customFormat="1" ht="12.95" customHeight="1" x14ac:dyDescent="0.15">
      <c r="A340" s="939"/>
      <c r="B340" s="1012"/>
      <c r="C340" s="3401">
        <f>'＜入力不要＞報告書'!C328</f>
        <v>1</v>
      </c>
      <c r="D340" s="3402"/>
      <c r="E340" s="1009" t="str">
        <f>'＜入力不要＞報告書'!E328</f>
        <v>階</v>
      </c>
      <c r="F340" s="3399">
        <f>'＜入力不要＞報告書'!F328</f>
        <v>0</v>
      </c>
      <c r="G340" s="3400"/>
      <c r="H340" s="3400"/>
      <c r="I340" s="3400"/>
      <c r="J340" s="1010" t="str">
        <f>'＜入力不要＞報告書'!J328</f>
        <v>㎡</v>
      </c>
      <c r="K340" s="3399" t="str">
        <f>'＜入力不要＞報告書'!K328</f>
        <v/>
      </c>
      <c r="L340" s="3400"/>
      <c r="M340" s="3400"/>
      <c r="N340" s="3400"/>
      <c r="O340" s="1010" t="str">
        <f>'＜入力不要＞報告書'!O328</f>
        <v>㎡</v>
      </c>
      <c r="P340" s="3399" t="str">
        <f>'＜入力不要＞報告書'!P328</f>
        <v/>
      </c>
      <c r="Q340" s="3400"/>
      <c r="R340" s="3400"/>
      <c r="S340" s="3400"/>
      <c r="T340" s="1010" t="str">
        <f>'＜入力不要＞報告書'!T328</f>
        <v>㎡</v>
      </c>
      <c r="U340" s="3399" t="str">
        <f>'＜入力不要＞報告書'!U328</f>
        <v/>
      </c>
      <c r="V340" s="3400"/>
      <c r="W340" s="3400"/>
      <c r="X340" s="3400"/>
      <c r="Y340" s="1010" t="str">
        <f>'＜入力不要＞報告書'!Y328</f>
        <v>㎡</v>
      </c>
      <c r="Z340" s="3399" t="str">
        <f>'＜入力不要＞報告書'!Z328</f>
        <v/>
      </c>
      <c r="AA340" s="3400"/>
      <c r="AB340" s="3400"/>
      <c r="AC340" s="3400"/>
      <c r="AD340" s="1010" t="str">
        <f>'＜入力不要＞報告書'!AD328</f>
        <v>㎡</v>
      </c>
      <c r="AE340" s="3399" t="str">
        <f>'＜入力不要＞報告書'!AE328</f>
        <v/>
      </c>
      <c r="AF340" s="3400"/>
      <c r="AG340" s="3400"/>
      <c r="AH340" s="3400"/>
      <c r="AI340" s="1010" t="str">
        <f>'＜入力不要＞報告書'!AI328</f>
        <v>㎡</v>
      </c>
      <c r="AJ340" s="3399" t="str">
        <f>'＜入力不要＞報告書'!AJ328</f>
        <v/>
      </c>
      <c r="AK340" s="3400"/>
      <c r="AL340" s="3400"/>
      <c r="AM340" s="3400"/>
      <c r="AN340" s="1010" t="str">
        <f>'＜入力不要＞報告書'!AN328</f>
        <v>㎡</v>
      </c>
      <c r="AO340" s="3399" t="str">
        <f>'＜入力不要＞報告書'!AO328</f>
        <v/>
      </c>
      <c r="AP340" s="3400"/>
      <c r="AQ340" s="3400"/>
      <c r="AR340" s="3400"/>
      <c r="AS340" s="1010" t="str">
        <f>'＜入力不要＞報告書'!AS328</f>
        <v>㎡</v>
      </c>
      <c r="AT340" s="946"/>
      <c r="AU340" s="959"/>
      <c r="AV340" s="959"/>
      <c r="AW340" s="939"/>
      <c r="AX340" s="939"/>
      <c r="AY340" s="939"/>
      <c r="AZ340" s="939"/>
      <c r="BA340" s="939"/>
    </row>
    <row r="341" spans="1:55" s="1060" customFormat="1" ht="12.95" customHeight="1" x14ac:dyDescent="0.15">
      <c r="A341" s="939"/>
      <c r="B341" s="1013"/>
      <c r="C341" s="3403">
        <f>'＜入力不要＞報告書'!C329</f>
        <v>2</v>
      </c>
      <c r="D341" s="3404"/>
      <c r="E341" s="1006" t="str">
        <f>'＜入力不要＞報告書'!E329</f>
        <v>階</v>
      </c>
      <c r="F341" s="3386">
        <f>'＜入力不要＞報告書'!F329</f>
        <v>0</v>
      </c>
      <c r="G341" s="3387"/>
      <c r="H341" s="3387"/>
      <c r="I341" s="3387"/>
      <c r="J341" s="1007" t="str">
        <f>'＜入力不要＞報告書'!J329</f>
        <v>㎡</v>
      </c>
      <c r="K341" s="3386" t="str">
        <f>'＜入力不要＞報告書'!K329</f>
        <v/>
      </c>
      <c r="L341" s="3387"/>
      <c r="M341" s="3387"/>
      <c r="N341" s="3387"/>
      <c r="O341" s="1007" t="str">
        <f>'＜入力不要＞報告書'!O329</f>
        <v>㎡</v>
      </c>
      <c r="P341" s="3386" t="str">
        <f>'＜入力不要＞報告書'!P329</f>
        <v/>
      </c>
      <c r="Q341" s="3387"/>
      <c r="R341" s="3387"/>
      <c r="S341" s="3387"/>
      <c r="T341" s="1007" t="str">
        <f>'＜入力不要＞報告書'!T329</f>
        <v>㎡</v>
      </c>
      <c r="U341" s="3386" t="str">
        <f>'＜入力不要＞報告書'!U329</f>
        <v/>
      </c>
      <c r="V341" s="3387"/>
      <c r="W341" s="3387"/>
      <c r="X341" s="3387"/>
      <c r="Y341" s="1007" t="str">
        <f>'＜入力不要＞報告書'!Y329</f>
        <v>㎡</v>
      </c>
      <c r="Z341" s="3386" t="str">
        <f>'＜入力不要＞報告書'!Z329</f>
        <v/>
      </c>
      <c r="AA341" s="3387"/>
      <c r="AB341" s="3387"/>
      <c r="AC341" s="3387"/>
      <c r="AD341" s="1007" t="str">
        <f>'＜入力不要＞報告書'!AD329</f>
        <v>㎡</v>
      </c>
      <c r="AE341" s="3386" t="str">
        <f>'＜入力不要＞報告書'!AE329</f>
        <v/>
      </c>
      <c r="AF341" s="3387"/>
      <c r="AG341" s="3387"/>
      <c r="AH341" s="3387"/>
      <c r="AI341" s="1007" t="str">
        <f>'＜入力不要＞報告書'!AI329</f>
        <v>㎡</v>
      </c>
      <c r="AJ341" s="3386" t="str">
        <f>'＜入力不要＞報告書'!AJ329</f>
        <v/>
      </c>
      <c r="AK341" s="3387"/>
      <c r="AL341" s="3387"/>
      <c r="AM341" s="3387"/>
      <c r="AN341" s="1007" t="str">
        <f>'＜入力不要＞報告書'!AN329</f>
        <v>㎡</v>
      </c>
      <c r="AO341" s="3386" t="str">
        <f>'＜入力不要＞報告書'!AO329</f>
        <v/>
      </c>
      <c r="AP341" s="3387"/>
      <c r="AQ341" s="3387"/>
      <c r="AR341" s="3387"/>
      <c r="AS341" s="1007" t="str">
        <f>'＜入力不要＞報告書'!AS329</f>
        <v>㎡</v>
      </c>
      <c r="AT341" s="946"/>
      <c r="AU341" s="959"/>
      <c r="AV341" s="959"/>
      <c r="AW341" s="939"/>
      <c r="AX341" s="939"/>
      <c r="AY341" s="939"/>
      <c r="AZ341" s="939"/>
      <c r="BA341" s="939"/>
    </row>
    <row r="342" spans="1:55" s="1060" customFormat="1" ht="12.95" customHeight="1" x14ac:dyDescent="0.15">
      <c r="A342" s="939"/>
      <c r="B342" s="1013"/>
      <c r="C342" s="3403">
        <f>'＜入力不要＞報告書'!C330</f>
        <v>3</v>
      </c>
      <c r="D342" s="3404"/>
      <c r="E342" s="1006" t="str">
        <f>'＜入力不要＞報告書'!E330</f>
        <v>階</v>
      </c>
      <c r="F342" s="3386">
        <f>'＜入力不要＞報告書'!F330</f>
        <v>0</v>
      </c>
      <c r="G342" s="3387"/>
      <c r="H342" s="3387"/>
      <c r="I342" s="3387"/>
      <c r="J342" s="1007" t="str">
        <f>'＜入力不要＞報告書'!J330</f>
        <v>㎡</v>
      </c>
      <c r="K342" s="3386" t="str">
        <f>'＜入力不要＞報告書'!K330</f>
        <v/>
      </c>
      <c r="L342" s="3387"/>
      <c r="M342" s="3387"/>
      <c r="N342" s="3387"/>
      <c r="O342" s="1007" t="str">
        <f>'＜入力不要＞報告書'!O330</f>
        <v>㎡</v>
      </c>
      <c r="P342" s="3386" t="str">
        <f>'＜入力不要＞報告書'!P330</f>
        <v/>
      </c>
      <c r="Q342" s="3387"/>
      <c r="R342" s="3387"/>
      <c r="S342" s="3387"/>
      <c r="T342" s="1007" t="str">
        <f>'＜入力不要＞報告書'!T330</f>
        <v>㎡</v>
      </c>
      <c r="U342" s="3386" t="str">
        <f>'＜入力不要＞報告書'!U330</f>
        <v/>
      </c>
      <c r="V342" s="3387"/>
      <c r="W342" s="3387"/>
      <c r="X342" s="3387"/>
      <c r="Y342" s="1007" t="str">
        <f>'＜入力不要＞報告書'!Y330</f>
        <v>㎡</v>
      </c>
      <c r="Z342" s="3386" t="str">
        <f>'＜入力不要＞報告書'!Z330</f>
        <v/>
      </c>
      <c r="AA342" s="3387"/>
      <c r="AB342" s="3387"/>
      <c r="AC342" s="3387"/>
      <c r="AD342" s="1007" t="str">
        <f>'＜入力不要＞報告書'!AD330</f>
        <v>㎡</v>
      </c>
      <c r="AE342" s="3386" t="str">
        <f>'＜入力不要＞報告書'!AE330</f>
        <v/>
      </c>
      <c r="AF342" s="3387"/>
      <c r="AG342" s="3387"/>
      <c r="AH342" s="3387"/>
      <c r="AI342" s="1007" t="str">
        <f>'＜入力不要＞報告書'!AI330</f>
        <v>㎡</v>
      </c>
      <c r="AJ342" s="3386" t="str">
        <f>'＜入力不要＞報告書'!AJ330</f>
        <v/>
      </c>
      <c r="AK342" s="3387"/>
      <c r="AL342" s="3387"/>
      <c r="AM342" s="3387"/>
      <c r="AN342" s="1007" t="str">
        <f>'＜入力不要＞報告書'!AN330</f>
        <v>㎡</v>
      </c>
      <c r="AO342" s="3386" t="str">
        <f>'＜入力不要＞報告書'!AO330</f>
        <v/>
      </c>
      <c r="AP342" s="3387"/>
      <c r="AQ342" s="3387"/>
      <c r="AR342" s="3387"/>
      <c r="AS342" s="1007" t="str">
        <f>'＜入力不要＞報告書'!AS330</f>
        <v>㎡</v>
      </c>
      <c r="AT342" s="1015"/>
      <c r="AU342" s="959"/>
      <c r="AV342" s="959"/>
      <c r="AW342" s="939"/>
      <c r="AX342" s="939"/>
      <c r="AY342" s="939"/>
      <c r="AZ342" s="939"/>
      <c r="BA342" s="939"/>
    </row>
    <row r="343" spans="1:55" s="1060" customFormat="1" ht="12.95" customHeight="1" x14ac:dyDescent="0.15">
      <c r="A343" s="939"/>
      <c r="B343" s="1013"/>
      <c r="C343" s="3403">
        <f>'＜入力不要＞報告書'!C331</f>
        <v>4</v>
      </c>
      <c r="D343" s="3404"/>
      <c r="E343" s="1006" t="str">
        <f>'＜入力不要＞報告書'!E331</f>
        <v>階</v>
      </c>
      <c r="F343" s="3386">
        <f>'＜入力不要＞報告書'!F331</f>
        <v>0</v>
      </c>
      <c r="G343" s="3387"/>
      <c r="H343" s="3387"/>
      <c r="I343" s="3387"/>
      <c r="J343" s="1007" t="str">
        <f>'＜入力不要＞報告書'!J331</f>
        <v>㎡</v>
      </c>
      <c r="K343" s="3386" t="str">
        <f>'＜入力不要＞報告書'!K331</f>
        <v/>
      </c>
      <c r="L343" s="3387"/>
      <c r="M343" s="3387"/>
      <c r="N343" s="3387"/>
      <c r="O343" s="1007" t="str">
        <f>'＜入力不要＞報告書'!O331</f>
        <v>㎡</v>
      </c>
      <c r="P343" s="3386" t="str">
        <f>'＜入力不要＞報告書'!P331</f>
        <v/>
      </c>
      <c r="Q343" s="3387"/>
      <c r="R343" s="3387"/>
      <c r="S343" s="3387"/>
      <c r="T343" s="1007" t="str">
        <f>'＜入力不要＞報告書'!T331</f>
        <v>㎡</v>
      </c>
      <c r="U343" s="3386" t="str">
        <f>'＜入力不要＞報告書'!U331</f>
        <v/>
      </c>
      <c r="V343" s="3387"/>
      <c r="W343" s="3387"/>
      <c r="X343" s="3387"/>
      <c r="Y343" s="1007" t="str">
        <f>'＜入力不要＞報告書'!Y331</f>
        <v>㎡</v>
      </c>
      <c r="Z343" s="3386" t="str">
        <f>'＜入力不要＞報告書'!Z331</f>
        <v/>
      </c>
      <c r="AA343" s="3387"/>
      <c r="AB343" s="3387"/>
      <c r="AC343" s="3387"/>
      <c r="AD343" s="1007" t="str">
        <f>'＜入力不要＞報告書'!AD331</f>
        <v>㎡</v>
      </c>
      <c r="AE343" s="3386" t="str">
        <f>'＜入力不要＞報告書'!AE331</f>
        <v/>
      </c>
      <c r="AF343" s="3387"/>
      <c r="AG343" s="3387"/>
      <c r="AH343" s="3387"/>
      <c r="AI343" s="1007" t="str">
        <f>'＜入力不要＞報告書'!AI331</f>
        <v>㎡</v>
      </c>
      <c r="AJ343" s="3386" t="str">
        <f>'＜入力不要＞報告書'!AJ331</f>
        <v/>
      </c>
      <c r="AK343" s="3387"/>
      <c r="AL343" s="3387"/>
      <c r="AM343" s="3387"/>
      <c r="AN343" s="1007" t="str">
        <f>'＜入力不要＞報告書'!AN331</f>
        <v>㎡</v>
      </c>
      <c r="AO343" s="3386" t="str">
        <f>'＜入力不要＞報告書'!AO331</f>
        <v/>
      </c>
      <c r="AP343" s="3387"/>
      <c r="AQ343" s="3387"/>
      <c r="AR343" s="3387"/>
      <c r="AS343" s="1007" t="str">
        <f>'＜入力不要＞報告書'!AS331</f>
        <v>㎡</v>
      </c>
      <c r="AT343" s="946"/>
      <c r="AU343" s="959"/>
      <c r="AV343" s="959"/>
      <c r="AW343" s="939"/>
      <c r="AX343" s="939"/>
      <c r="AY343" s="939"/>
      <c r="AZ343" s="939"/>
      <c r="BA343" s="939"/>
    </row>
    <row r="344" spans="1:55" s="1060" customFormat="1" ht="12.95" customHeight="1" x14ac:dyDescent="0.15">
      <c r="A344" s="939"/>
      <c r="B344" s="1016"/>
      <c r="C344" s="3405">
        <f>'＜入力不要＞報告書'!C332</f>
        <v>5</v>
      </c>
      <c r="D344" s="3406"/>
      <c r="E344" s="1011" t="str">
        <f>'＜入力不要＞報告書'!E332</f>
        <v>階</v>
      </c>
      <c r="F344" s="3397">
        <f>'＜入力不要＞報告書'!F332</f>
        <v>0</v>
      </c>
      <c r="G344" s="3398"/>
      <c r="H344" s="3398"/>
      <c r="I344" s="3398"/>
      <c r="J344" s="1008" t="str">
        <f>'＜入力不要＞報告書'!J332</f>
        <v>㎡</v>
      </c>
      <c r="K344" s="3397" t="str">
        <f>'＜入力不要＞報告書'!K332</f>
        <v/>
      </c>
      <c r="L344" s="3398"/>
      <c r="M344" s="3398"/>
      <c r="N344" s="3398"/>
      <c r="O344" s="1008" t="str">
        <f>'＜入力不要＞報告書'!O332</f>
        <v>㎡</v>
      </c>
      <c r="P344" s="3397" t="str">
        <f>'＜入力不要＞報告書'!P332</f>
        <v/>
      </c>
      <c r="Q344" s="3398"/>
      <c r="R344" s="3398"/>
      <c r="S344" s="3398"/>
      <c r="T344" s="1008" t="str">
        <f>'＜入力不要＞報告書'!T332</f>
        <v>㎡</v>
      </c>
      <c r="U344" s="3397" t="str">
        <f>'＜入力不要＞報告書'!U332</f>
        <v/>
      </c>
      <c r="V344" s="3398"/>
      <c r="W344" s="3398"/>
      <c r="X344" s="3398"/>
      <c r="Y344" s="1008" t="str">
        <f>'＜入力不要＞報告書'!Y332</f>
        <v>㎡</v>
      </c>
      <c r="Z344" s="3397" t="str">
        <f>'＜入力不要＞報告書'!Z332</f>
        <v/>
      </c>
      <c r="AA344" s="3398"/>
      <c r="AB344" s="3398"/>
      <c r="AC344" s="3398"/>
      <c r="AD344" s="1008" t="str">
        <f>'＜入力不要＞報告書'!AD332</f>
        <v>㎡</v>
      </c>
      <c r="AE344" s="3397" t="str">
        <f>'＜入力不要＞報告書'!AE332</f>
        <v/>
      </c>
      <c r="AF344" s="3398"/>
      <c r="AG344" s="3398"/>
      <c r="AH344" s="3398"/>
      <c r="AI344" s="1008" t="str">
        <f>'＜入力不要＞報告書'!AI332</f>
        <v>㎡</v>
      </c>
      <c r="AJ344" s="3397" t="str">
        <f>'＜入力不要＞報告書'!AJ332</f>
        <v/>
      </c>
      <c r="AK344" s="3398"/>
      <c r="AL344" s="3398"/>
      <c r="AM344" s="3398"/>
      <c r="AN344" s="1008" t="str">
        <f>'＜入力不要＞報告書'!AN332</f>
        <v>㎡</v>
      </c>
      <c r="AO344" s="3397" t="str">
        <f>'＜入力不要＞報告書'!AO332</f>
        <v/>
      </c>
      <c r="AP344" s="3398"/>
      <c r="AQ344" s="3398"/>
      <c r="AR344" s="3398"/>
      <c r="AS344" s="1008" t="str">
        <f>'＜入力不要＞報告書'!AS332</f>
        <v>㎡</v>
      </c>
      <c r="AT344" s="946"/>
      <c r="AU344" s="959"/>
      <c r="AV344" s="959"/>
      <c r="AW344" s="939"/>
      <c r="AX344" s="939"/>
      <c r="AY344" s="939"/>
      <c r="AZ344" s="939"/>
      <c r="BA344" s="939"/>
    </row>
    <row r="345" spans="1:55" s="1060" customFormat="1" ht="12.95" customHeight="1" x14ac:dyDescent="0.15">
      <c r="A345" s="939"/>
      <c r="B345" s="1012"/>
      <c r="C345" s="3403">
        <f>'＜入力不要＞報告書'!C333</f>
        <v>6</v>
      </c>
      <c r="D345" s="3404"/>
      <c r="E345" s="1009" t="str">
        <f>'＜入力不要＞報告書'!E333</f>
        <v>階</v>
      </c>
      <c r="F345" s="3399">
        <f>'＜入力不要＞報告書'!F333</f>
        <v>0</v>
      </c>
      <c r="G345" s="3400"/>
      <c r="H345" s="3400"/>
      <c r="I345" s="3400"/>
      <c r="J345" s="1010" t="str">
        <f>'＜入力不要＞報告書'!J333</f>
        <v>㎡</v>
      </c>
      <c r="K345" s="3399" t="str">
        <f>'＜入力不要＞報告書'!K333</f>
        <v/>
      </c>
      <c r="L345" s="3400"/>
      <c r="M345" s="3400"/>
      <c r="N345" s="3400"/>
      <c r="O345" s="1010" t="str">
        <f>'＜入力不要＞報告書'!O333</f>
        <v>㎡</v>
      </c>
      <c r="P345" s="3399" t="str">
        <f>'＜入力不要＞報告書'!P333</f>
        <v/>
      </c>
      <c r="Q345" s="3400"/>
      <c r="R345" s="3400"/>
      <c r="S345" s="3400"/>
      <c r="T345" s="1010" t="str">
        <f>'＜入力不要＞報告書'!T333</f>
        <v>㎡</v>
      </c>
      <c r="U345" s="3399" t="str">
        <f>'＜入力不要＞報告書'!U333</f>
        <v/>
      </c>
      <c r="V345" s="3400"/>
      <c r="W345" s="3400"/>
      <c r="X345" s="3400"/>
      <c r="Y345" s="1010" t="str">
        <f>'＜入力不要＞報告書'!Y333</f>
        <v>㎡</v>
      </c>
      <c r="Z345" s="3399" t="str">
        <f>'＜入力不要＞報告書'!Z333</f>
        <v/>
      </c>
      <c r="AA345" s="3400"/>
      <c r="AB345" s="3400"/>
      <c r="AC345" s="3400"/>
      <c r="AD345" s="1010" t="str">
        <f>'＜入力不要＞報告書'!AD333</f>
        <v>㎡</v>
      </c>
      <c r="AE345" s="3399" t="str">
        <f>'＜入力不要＞報告書'!AE333</f>
        <v/>
      </c>
      <c r="AF345" s="3400"/>
      <c r="AG345" s="3400"/>
      <c r="AH345" s="3400"/>
      <c r="AI345" s="1010" t="str">
        <f>'＜入力不要＞報告書'!AI333</f>
        <v>㎡</v>
      </c>
      <c r="AJ345" s="3399" t="str">
        <f>'＜入力不要＞報告書'!AJ333</f>
        <v/>
      </c>
      <c r="AK345" s="3400"/>
      <c r="AL345" s="3400"/>
      <c r="AM345" s="3400"/>
      <c r="AN345" s="1010" t="str">
        <f>'＜入力不要＞報告書'!AN333</f>
        <v>㎡</v>
      </c>
      <c r="AO345" s="3399" t="str">
        <f>'＜入力不要＞報告書'!AO333</f>
        <v/>
      </c>
      <c r="AP345" s="3400"/>
      <c r="AQ345" s="3400"/>
      <c r="AR345" s="3400"/>
      <c r="AS345" s="1010" t="str">
        <f>'＜入力不要＞報告書'!AS333</f>
        <v>㎡</v>
      </c>
      <c r="AT345" s="946"/>
      <c r="AU345" s="959"/>
      <c r="AV345" s="959"/>
      <c r="AW345" s="939"/>
      <c r="AX345" s="939"/>
      <c r="AY345" s="939"/>
      <c r="AZ345" s="939"/>
      <c r="BA345" s="939"/>
    </row>
    <row r="346" spans="1:55" s="1060" customFormat="1" ht="12.95" customHeight="1" x14ac:dyDescent="0.15">
      <c r="A346" s="939"/>
      <c r="B346" s="1013"/>
      <c r="C346" s="3403">
        <f>'＜入力不要＞報告書'!C334</f>
        <v>7</v>
      </c>
      <c r="D346" s="3404"/>
      <c r="E346" s="1006" t="str">
        <f>'＜入力不要＞報告書'!E334</f>
        <v>階</v>
      </c>
      <c r="F346" s="3386">
        <f>'＜入力不要＞報告書'!F334</f>
        <v>0</v>
      </c>
      <c r="G346" s="3387"/>
      <c r="H346" s="3387"/>
      <c r="I346" s="3387"/>
      <c r="J346" s="1007" t="str">
        <f>'＜入力不要＞報告書'!J334</f>
        <v>㎡</v>
      </c>
      <c r="K346" s="3386" t="str">
        <f>'＜入力不要＞報告書'!K334</f>
        <v/>
      </c>
      <c r="L346" s="3387"/>
      <c r="M346" s="3387"/>
      <c r="N346" s="3387"/>
      <c r="O346" s="1007" t="str">
        <f>'＜入力不要＞報告書'!O334</f>
        <v>㎡</v>
      </c>
      <c r="P346" s="3386" t="str">
        <f>'＜入力不要＞報告書'!P334</f>
        <v/>
      </c>
      <c r="Q346" s="3387"/>
      <c r="R346" s="3387"/>
      <c r="S346" s="3387"/>
      <c r="T346" s="1007" t="str">
        <f>'＜入力不要＞報告書'!T334</f>
        <v>㎡</v>
      </c>
      <c r="U346" s="3386" t="str">
        <f>'＜入力不要＞報告書'!U334</f>
        <v/>
      </c>
      <c r="V346" s="3387"/>
      <c r="W346" s="3387"/>
      <c r="X346" s="3387"/>
      <c r="Y346" s="1007" t="str">
        <f>'＜入力不要＞報告書'!Y334</f>
        <v>㎡</v>
      </c>
      <c r="Z346" s="3386" t="str">
        <f>'＜入力不要＞報告書'!Z334</f>
        <v/>
      </c>
      <c r="AA346" s="3387"/>
      <c r="AB346" s="3387"/>
      <c r="AC346" s="3387"/>
      <c r="AD346" s="1007" t="str">
        <f>'＜入力不要＞報告書'!AD334</f>
        <v>㎡</v>
      </c>
      <c r="AE346" s="3386" t="str">
        <f>'＜入力不要＞報告書'!AE334</f>
        <v/>
      </c>
      <c r="AF346" s="3387"/>
      <c r="AG346" s="3387"/>
      <c r="AH346" s="3387"/>
      <c r="AI346" s="1007" t="str">
        <f>'＜入力不要＞報告書'!AI334</f>
        <v>㎡</v>
      </c>
      <c r="AJ346" s="3386" t="str">
        <f>'＜入力不要＞報告書'!AJ334</f>
        <v/>
      </c>
      <c r="AK346" s="3387"/>
      <c r="AL346" s="3387"/>
      <c r="AM346" s="3387"/>
      <c r="AN346" s="1007" t="str">
        <f>'＜入力不要＞報告書'!AN334</f>
        <v>㎡</v>
      </c>
      <c r="AO346" s="3386" t="str">
        <f>'＜入力不要＞報告書'!AO334</f>
        <v/>
      </c>
      <c r="AP346" s="3387"/>
      <c r="AQ346" s="3387"/>
      <c r="AR346" s="3387"/>
      <c r="AS346" s="1007" t="str">
        <f>'＜入力不要＞報告書'!AS334</f>
        <v>㎡</v>
      </c>
      <c r="AT346" s="1015"/>
      <c r="AU346" s="959"/>
      <c r="AV346" s="959"/>
      <c r="AW346" s="939"/>
      <c r="AX346" s="939"/>
      <c r="AY346" s="939"/>
      <c r="AZ346" s="939"/>
      <c r="BA346" s="939"/>
    </row>
    <row r="347" spans="1:55" s="1060" customFormat="1" ht="12.95" customHeight="1" x14ac:dyDescent="0.15">
      <c r="A347" s="939"/>
      <c r="B347" s="1013"/>
      <c r="C347" s="3403">
        <f>'＜入力不要＞報告書'!C335</f>
        <v>8</v>
      </c>
      <c r="D347" s="3404"/>
      <c r="E347" s="1006" t="str">
        <f>'＜入力不要＞報告書'!E335</f>
        <v>階</v>
      </c>
      <c r="F347" s="3386">
        <f>'＜入力不要＞報告書'!F335</f>
        <v>0</v>
      </c>
      <c r="G347" s="3387"/>
      <c r="H347" s="3387"/>
      <c r="I347" s="3387"/>
      <c r="J347" s="1007" t="str">
        <f>'＜入力不要＞報告書'!J335</f>
        <v>㎡</v>
      </c>
      <c r="K347" s="3386" t="str">
        <f>'＜入力不要＞報告書'!K335</f>
        <v/>
      </c>
      <c r="L347" s="3387"/>
      <c r="M347" s="3387"/>
      <c r="N347" s="3387"/>
      <c r="O347" s="1007" t="str">
        <f>'＜入力不要＞報告書'!O335</f>
        <v>㎡</v>
      </c>
      <c r="P347" s="3386" t="str">
        <f>'＜入力不要＞報告書'!P335</f>
        <v/>
      </c>
      <c r="Q347" s="3387"/>
      <c r="R347" s="3387"/>
      <c r="S347" s="3387"/>
      <c r="T347" s="1007" t="str">
        <f>'＜入力不要＞報告書'!T335</f>
        <v>㎡</v>
      </c>
      <c r="U347" s="3386" t="str">
        <f>'＜入力不要＞報告書'!U335</f>
        <v/>
      </c>
      <c r="V347" s="3387"/>
      <c r="W347" s="3387"/>
      <c r="X347" s="3387"/>
      <c r="Y347" s="1007" t="str">
        <f>'＜入力不要＞報告書'!Y335</f>
        <v>㎡</v>
      </c>
      <c r="Z347" s="3386" t="str">
        <f>'＜入力不要＞報告書'!Z335</f>
        <v/>
      </c>
      <c r="AA347" s="3387"/>
      <c r="AB347" s="3387"/>
      <c r="AC347" s="3387"/>
      <c r="AD347" s="1007" t="str">
        <f>'＜入力不要＞報告書'!AD335</f>
        <v>㎡</v>
      </c>
      <c r="AE347" s="3386" t="str">
        <f>'＜入力不要＞報告書'!AE335</f>
        <v/>
      </c>
      <c r="AF347" s="3387"/>
      <c r="AG347" s="3387"/>
      <c r="AH347" s="3387"/>
      <c r="AI347" s="1007" t="str">
        <f>'＜入力不要＞報告書'!AI335</f>
        <v>㎡</v>
      </c>
      <c r="AJ347" s="3386" t="str">
        <f>'＜入力不要＞報告書'!AJ335</f>
        <v/>
      </c>
      <c r="AK347" s="3387"/>
      <c r="AL347" s="3387"/>
      <c r="AM347" s="3387"/>
      <c r="AN347" s="1007" t="str">
        <f>'＜入力不要＞報告書'!AN335</f>
        <v>㎡</v>
      </c>
      <c r="AO347" s="3386" t="str">
        <f>'＜入力不要＞報告書'!AO335</f>
        <v/>
      </c>
      <c r="AP347" s="3387"/>
      <c r="AQ347" s="3387"/>
      <c r="AR347" s="3387"/>
      <c r="AS347" s="1007" t="str">
        <f>'＜入力不要＞報告書'!AS335</f>
        <v>㎡</v>
      </c>
      <c r="AT347" s="946"/>
      <c r="AU347" s="959"/>
      <c r="AV347" s="959"/>
      <c r="AW347" s="939"/>
      <c r="AX347" s="939"/>
      <c r="AY347" s="939"/>
      <c r="AZ347" s="939"/>
      <c r="BA347" s="939"/>
    </row>
    <row r="348" spans="1:55" s="1060" customFormat="1" ht="12.95" customHeight="1" x14ac:dyDescent="0.15">
      <c r="A348" s="939"/>
      <c r="B348" s="1013"/>
      <c r="C348" s="3403">
        <f>'＜入力不要＞報告書'!C336</f>
        <v>9</v>
      </c>
      <c r="D348" s="3404"/>
      <c r="E348" s="1006" t="str">
        <f>'＜入力不要＞報告書'!E336</f>
        <v>階</v>
      </c>
      <c r="F348" s="3386">
        <f>'＜入力不要＞報告書'!F336</f>
        <v>0</v>
      </c>
      <c r="G348" s="3387"/>
      <c r="H348" s="3387"/>
      <c r="I348" s="3387"/>
      <c r="J348" s="1007" t="str">
        <f>'＜入力不要＞報告書'!J336</f>
        <v>㎡</v>
      </c>
      <c r="K348" s="3386" t="str">
        <f>'＜入力不要＞報告書'!K336</f>
        <v/>
      </c>
      <c r="L348" s="3387"/>
      <c r="M348" s="3387"/>
      <c r="N348" s="3387"/>
      <c r="O348" s="1007" t="str">
        <f>'＜入力不要＞報告書'!O336</f>
        <v>㎡</v>
      </c>
      <c r="P348" s="3386" t="str">
        <f>'＜入力不要＞報告書'!P336</f>
        <v/>
      </c>
      <c r="Q348" s="3387"/>
      <c r="R348" s="3387"/>
      <c r="S348" s="3387"/>
      <c r="T348" s="1007" t="str">
        <f>'＜入力不要＞報告書'!T336</f>
        <v>㎡</v>
      </c>
      <c r="U348" s="3386" t="str">
        <f>'＜入力不要＞報告書'!U336</f>
        <v/>
      </c>
      <c r="V348" s="3387"/>
      <c r="W348" s="3387"/>
      <c r="X348" s="3387"/>
      <c r="Y348" s="1007" t="str">
        <f>'＜入力不要＞報告書'!Y336</f>
        <v>㎡</v>
      </c>
      <c r="Z348" s="3386" t="str">
        <f>'＜入力不要＞報告書'!Z336</f>
        <v/>
      </c>
      <c r="AA348" s="3387"/>
      <c r="AB348" s="3387"/>
      <c r="AC348" s="3387"/>
      <c r="AD348" s="1007" t="str">
        <f>'＜入力不要＞報告書'!AD336</f>
        <v>㎡</v>
      </c>
      <c r="AE348" s="3386" t="str">
        <f>'＜入力不要＞報告書'!AE336</f>
        <v/>
      </c>
      <c r="AF348" s="3387"/>
      <c r="AG348" s="3387"/>
      <c r="AH348" s="3387"/>
      <c r="AI348" s="1007" t="str">
        <f>'＜入力不要＞報告書'!AI336</f>
        <v>㎡</v>
      </c>
      <c r="AJ348" s="3386" t="str">
        <f>'＜入力不要＞報告書'!AJ336</f>
        <v/>
      </c>
      <c r="AK348" s="3387"/>
      <c r="AL348" s="3387"/>
      <c r="AM348" s="3387"/>
      <c r="AN348" s="1007" t="str">
        <f>'＜入力不要＞報告書'!AN336</f>
        <v>㎡</v>
      </c>
      <c r="AO348" s="3386" t="str">
        <f>'＜入力不要＞報告書'!AO336</f>
        <v/>
      </c>
      <c r="AP348" s="3387"/>
      <c r="AQ348" s="3387"/>
      <c r="AR348" s="3387"/>
      <c r="AS348" s="1007" t="str">
        <f>'＜入力不要＞報告書'!AS336</f>
        <v>㎡</v>
      </c>
      <c r="AT348" s="946"/>
      <c r="AU348" s="959"/>
      <c r="AV348" s="959"/>
      <c r="AW348" s="939"/>
      <c r="AX348" s="939"/>
      <c r="AY348" s="939"/>
      <c r="AZ348" s="939"/>
      <c r="BA348" s="939"/>
    </row>
    <row r="349" spans="1:55" s="1060" customFormat="1" ht="12.95" customHeight="1" x14ac:dyDescent="0.15">
      <c r="A349" s="939"/>
      <c r="B349" s="1016"/>
      <c r="C349" s="3405">
        <f>'＜入力不要＞報告書'!C337</f>
        <v>10</v>
      </c>
      <c r="D349" s="3406"/>
      <c r="E349" s="1011" t="str">
        <f>'＜入力不要＞報告書'!E337</f>
        <v>階</v>
      </c>
      <c r="F349" s="3397">
        <f>'＜入力不要＞報告書'!F337</f>
        <v>0</v>
      </c>
      <c r="G349" s="3398"/>
      <c r="H349" s="3398"/>
      <c r="I349" s="3398"/>
      <c r="J349" s="1008" t="str">
        <f>'＜入力不要＞報告書'!J337</f>
        <v>㎡</v>
      </c>
      <c r="K349" s="3397" t="str">
        <f>'＜入力不要＞報告書'!K337</f>
        <v/>
      </c>
      <c r="L349" s="3398"/>
      <c r="M349" s="3398"/>
      <c r="N349" s="3398"/>
      <c r="O349" s="1008" t="str">
        <f>'＜入力不要＞報告書'!O337</f>
        <v>㎡</v>
      </c>
      <c r="P349" s="3397" t="str">
        <f>'＜入力不要＞報告書'!P337</f>
        <v/>
      </c>
      <c r="Q349" s="3398"/>
      <c r="R349" s="3398"/>
      <c r="S349" s="3398"/>
      <c r="T349" s="1008" t="str">
        <f>'＜入力不要＞報告書'!T337</f>
        <v>㎡</v>
      </c>
      <c r="U349" s="3397" t="str">
        <f>'＜入力不要＞報告書'!U337</f>
        <v/>
      </c>
      <c r="V349" s="3398"/>
      <c r="W349" s="3398"/>
      <c r="X349" s="3398"/>
      <c r="Y349" s="1008" t="str">
        <f>'＜入力不要＞報告書'!Y337</f>
        <v>㎡</v>
      </c>
      <c r="Z349" s="3397" t="str">
        <f>'＜入力不要＞報告書'!Z337</f>
        <v/>
      </c>
      <c r="AA349" s="3398"/>
      <c r="AB349" s="3398"/>
      <c r="AC349" s="3398"/>
      <c r="AD349" s="1008" t="str">
        <f>'＜入力不要＞報告書'!AD337</f>
        <v>㎡</v>
      </c>
      <c r="AE349" s="3397" t="str">
        <f>'＜入力不要＞報告書'!AE337</f>
        <v/>
      </c>
      <c r="AF349" s="3398"/>
      <c r="AG349" s="3398"/>
      <c r="AH349" s="3398"/>
      <c r="AI349" s="1008" t="str">
        <f>'＜入力不要＞報告書'!AI337</f>
        <v>㎡</v>
      </c>
      <c r="AJ349" s="3397" t="str">
        <f>'＜入力不要＞報告書'!AJ337</f>
        <v/>
      </c>
      <c r="AK349" s="3398"/>
      <c r="AL349" s="3398"/>
      <c r="AM349" s="3398"/>
      <c r="AN349" s="1008" t="str">
        <f>'＜入力不要＞報告書'!AN337</f>
        <v>㎡</v>
      </c>
      <c r="AO349" s="3397" t="str">
        <f>'＜入力不要＞報告書'!AO337</f>
        <v/>
      </c>
      <c r="AP349" s="3398"/>
      <c r="AQ349" s="3398"/>
      <c r="AR349" s="3398"/>
      <c r="AS349" s="1008" t="str">
        <f>'＜入力不要＞報告書'!AS337</f>
        <v>㎡</v>
      </c>
      <c r="AT349" s="946"/>
      <c r="AU349" s="959"/>
      <c r="AV349" s="959"/>
      <c r="AW349" s="939"/>
      <c r="AX349" s="939"/>
      <c r="AY349" s="939"/>
      <c r="AZ349" s="939"/>
      <c r="BA349" s="939"/>
    </row>
    <row r="350" spans="1:55" s="1060" customFormat="1" ht="12.95" customHeight="1" x14ac:dyDescent="0.15">
      <c r="A350" s="939"/>
      <c r="B350" s="1012"/>
      <c r="C350" s="3403">
        <f>'＜入力不要＞報告書'!C338</f>
        <v>11</v>
      </c>
      <c r="D350" s="3404"/>
      <c r="E350" s="1009" t="str">
        <f>'＜入力不要＞報告書'!E338</f>
        <v>階</v>
      </c>
      <c r="F350" s="3399">
        <f>'＜入力不要＞報告書'!F338</f>
        <v>0</v>
      </c>
      <c r="G350" s="3400"/>
      <c r="H350" s="3400"/>
      <c r="I350" s="3400"/>
      <c r="J350" s="1010" t="str">
        <f>'＜入力不要＞報告書'!J338</f>
        <v>㎡</v>
      </c>
      <c r="K350" s="3399" t="str">
        <f>'＜入力不要＞報告書'!K338</f>
        <v/>
      </c>
      <c r="L350" s="3400"/>
      <c r="M350" s="3400"/>
      <c r="N350" s="3400"/>
      <c r="O350" s="1010" t="str">
        <f>'＜入力不要＞報告書'!O338</f>
        <v>㎡</v>
      </c>
      <c r="P350" s="3399" t="str">
        <f>'＜入力不要＞報告書'!P338</f>
        <v/>
      </c>
      <c r="Q350" s="3400"/>
      <c r="R350" s="3400"/>
      <c r="S350" s="3400"/>
      <c r="T350" s="1010" t="str">
        <f>'＜入力不要＞報告書'!T338</f>
        <v>㎡</v>
      </c>
      <c r="U350" s="3399" t="str">
        <f>'＜入力不要＞報告書'!U338</f>
        <v/>
      </c>
      <c r="V350" s="3400"/>
      <c r="W350" s="3400"/>
      <c r="X350" s="3400"/>
      <c r="Y350" s="1010" t="str">
        <f>'＜入力不要＞報告書'!Y338</f>
        <v>㎡</v>
      </c>
      <c r="Z350" s="3399" t="str">
        <f>'＜入力不要＞報告書'!Z338</f>
        <v/>
      </c>
      <c r="AA350" s="3400"/>
      <c r="AB350" s="3400"/>
      <c r="AC350" s="3400"/>
      <c r="AD350" s="1010" t="str">
        <f>'＜入力不要＞報告書'!AD338</f>
        <v>㎡</v>
      </c>
      <c r="AE350" s="3399" t="str">
        <f>'＜入力不要＞報告書'!AE338</f>
        <v/>
      </c>
      <c r="AF350" s="3400"/>
      <c r="AG350" s="3400"/>
      <c r="AH350" s="3400"/>
      <c r="AI350" s="1010" t="str">
        <f>'＜入力不要＞報告書'!AI338</f>
        <v>㎡</v>
      </c>
      <c r="AJ350" s="3399" t="str">
        <f>'＜入力不要＞報告書'!AJ338</f>
        <v/>
      </c>
      <c r="AK350" s="3400"/>
      <c r="AL350" s="3400"/>
      <c r="AM350" s="3400"/>
      <c r="AN350" s="1010" t="str">
        <f>'＜入力不要＞報告書'!AN338</f>
        <v>㎡</v>
      </c>
      <c r="AO350" s="3399" t="str">
        <f>'＜入力不要＞報告書'!AO338</f>
        <v/>
      </c>
      <c r="AP350" s="3400"/>
      <c r="AQ350" s="3400"/>
      <c r="AR350" s="3400"/>
      <c r="AS350" s="1010" t="str">
        <f>'＜入力不要＞報告書'!AS338</f>
        <v>㎡</v>
      </c>
      <c r="AT350" s="1015"/>
      <c r="AU350" s="959"/>
      <c r="AV350" s="959"/>
      <c r="AW350" s="939"/>
      <c r="AX350" s="939"/>
      <c r="AY350" s="939"/>
      <c r="AZ350" s="939"/>
      <c r="BA350" s="939"/>
    </row>
    <row r="351" spans="1:55" s="1060" customFormat="1" ht="12.95" customHeight="1" x14ac:dyDescent="0.15">
      <c r="A351" s="939"/>
      <c r="B351" s="1013"/>
      <c r="C351" s="3403">
        <f>'＜入力不要＞報告書'!C339</f>
        <v>12</v>
      </c>
      <c r="D351" s="3404"/>
      <c r="E351" s="1006" t="str">
        <f>'＜入力不要＞報告書'!E339</f>
        <v>階</v>
      </c>
      <c r="F351" s="3386">
        <f>'＜入力不要＞報告書'!F339</f>
        <v>0</v>
      </c>
      <c r="G351" s="3387"/>
      <c r="H351" s="3387"/>
      <c r="I351" s="3387"/>
      <c r="J351" s="1007" t="str">
        <f>'＜入力不要＞報告書'!J339</f>
        <v>㎡</v>
      </c>
      <c r="K351" s="3386" t="str">
        <f>'＜入力不要＞報告書'!K339</f>
        <v/>
      </c>
      <c r="L351" s="3387"/>
      <c r="M351" s="3387"/>
      <c r="N351" s="3387"/>
      <c r="O351" s="1007" t="str">
        <f>'＜入力不要＞報告書'!O339</f>
        <v>㎡</v>
      </c>
      <c r="P351" s="3386" t="str">
        <f>'＜入力不要＞報告書'!P339</f>
        <v/>
      </c>
      <c r="Q351" s="3387"/>
      <c r="R351" s="3387"/>
      <c r="S351" s="3387"/>
      <c r="T351" s="1007" t="str">
        <f>'＜入力不要＞報告書'!T339</f>
        <v>㎡</v>
      </c>
      <c r="U351" s="3386" t="str">
        <f>'＜入力不要＞報告書'!U339</f>
        <v/>
      </c>
      <c r="V351" s="3387"/>
      <c r="W351" s="3387"/>
      <c r="X351" s="3387"/>
      <c r="Y351" s="1007" t="str">
        <f>'＜入力不要＞報告書'!Y339</f>
        <v>㎡</v>
      </c>
      <c r="Z351" s="3386" t="str">
        <f>'＜入力不要＞報告書'!Z339</f>
        <v/>
      </c>
      <c r="AA351" s="3387"/>
      <c r="AB351" s="3387"/>
      <c r="AC351" s="3387"/>
      <c r="AD351" s="1007" t="str">
        <f>'＜入力不要＞報告書'!AD339</f>
        <v>㎡</v>
      </c>
      <c r="AE351" s="3386" t="str">
        <f>'＜入力不要＞報告書'!AE339</f>
        <v/>
      </c>
      <c r="AF351" s="3387"/>
      <c r="AG351" s="3387"/>
      <c r="AH351" s="3387"/>
      <c r="AI351" s="1007" t="str">
        <f>'＜入力不要＞報告書'!AI339</f>
        <v>㎡</v>
      </c>
      <c r="AJ351" s="3386" t="str">
        <f>'＜入力不要＞報告書'!AJ339</f>
        <v/>
      </c>
      <c r="AK351" s="3387"/>
      <c r="AL351" s="3387"/>
      <c r="AM351" s="3387"/>
      <c r="AN351" s="1007" t="str">
        <f>'＜入力不要＞報告書'!AN339</f>
        <v>㎡</v>
      </c>
      <c r="AO351" s="3386" t="str">
        <f>'＜入力不要＞報告書'!AO339</f>
        <v/>
      </c>
      <c r="AP351" s="3387"/>
      <c r="AQ351" s="3387"/>
      <c r="AR351" s="3387"/>
      <c r="AS351" s="1007" t="str">
        <f>'＜入力不要＞報告書'!AS339</f>
        <v>㎡</v>
      </c>
      <c r="AT351" s="946"/>
      <c r="AU351" s="959"/>
      <c r="AV351" s="959"/>
      <c r="AW351" s="939"/>
      <c r="AX351" s="939"/>
      <c r="AY351" s="939"/>
      <c r="AZ351" s="939"/>
      <c r="BA351" s="939"/>
    </row>
    <row r="352" spans="1:55" s="1060" customFormat="1" ht="12.95" customHeight="1" x14ac:dyDescent="0.15">
      <c r="A352" s="939"/>
      <c r="B352" s="1013"/>
      <c r="C352" s="3403">
        <f>'＜入力不要＞報告書'!C340</f>
        <v>13</v>
      </c>
      <c r="D352" s="3404"/>
      <c r="E352" s="1006" t="str">
        <f>'＜入力不要＞報告書'!E340</f>
        <v>階</v>
      </c>
      <c r="F352" s="3386">
        <f>'＜入力不要＞報告書'!F340</f>
        <v>0</v>
      </c>
      <c r="G352" s="3387"/>
      <c r="H352" s="3387"/>
      <c r="I352" s="3387"/>
      <c r="J352" s="1007" t="str">
        <f>'＜入力不要＞報告書'!J340</f>
        <v>㎡</v>
      </c>
      <c r="K352" s="3386" t="str">
        <f>'＜入力不要＞報告書'!K340</f>
        <v/>
      </c>
      <c r="L352" s="3387"/>
      <c r="M352" s="3387"/>
      <c r="N352" s="3387"/>
      <c r="O352" s="1007" t="str">
        <f>'＜入力不要＞報告書'!O340</f>
        <v>㎡</v>
      </c>
      <c r="P352" s="3386" t="str">
        <f>'＜入力不要＞報告書'!P340</f>
        <v/>
      </c>
      <c r="Q352" s="3387"/>
      <c r="R352" s="3387"/>
      <c r="S352" s="3387"/>
      <c r="T352" s="1007" t="str">
        <f>'＜入力不要＞報告書'!T340</f>
        <v>㎡</v>
      </c>
      <c r="U352" s="3386" t="str">
        <f>'＜入力不要＞報告書'!U340</f>
        <v/>
      </c>
      <c r="V352" s="3387"/>
      <c r="W352" s="3387"/>
      <c r="X352" s="3387"/>
      <c r="Y352" s="1007" t="str">
        <f>'＜入力不要＞報告書'!Y340</f>
        <v>㎡</v>
      </c>
      <c r="Z352" s="3386" t="str">
        <f>'＜入力不要＞報告書'!Z340</f>
        <v/>
      </c>
      <c r="AA352" s="3387"/>
      <c r="AB352" s="3387"/>
      <c r="AC352" s="3387"/>
      <c r="AD352" s="1007" t="str">
        <f>'＜入力不要＞報告書'!AD340</f>
        <v>㎡</v>
      </c>
      <c r="AE352" s="3386" t="str">
        <f>'＜入力不要＞報告書'!AE340</f>
        <v/>
      </c>
      <c r="AF352" s="3387"/>
      <c r="AG352" s="3387"/>
      <c r="AH352" s="3387"/>
      <c r="AI352" s="1007" t="str">
        <f>'＜入力不要＞報告書'!AI340</f>
        <v>㎡</v>
      </c>
      <c r="AJ352" s="3386" t="str">
        <f>'＜入力不要＞報告書'!AJ340</f>
        <v/>
      </c>
      <c r="AK352" s="3387"/>
      <c r="AL352" s="3387"/>
      <c r="AM352" s="3387"/>
      <c r="AN352" s="1007" t="str">
        <f>'＜入力不要＞報告書'!AN340</f>
        <v>㎡</v>
      </c>
      <c r="AO352" s="3386" t="str">
        <f>'＜入力不要＞報告書'!AO340</f>
        <v/>
      </c>
      <c r="AP352" s="3387"/>
      <c r="AQ352" s="3387"/>
      <c r="AR352" s="3387"/>
      <c r="AS352" s="1007" t="str">
        <f>'＜入力不要＞報告書'!AS340</f>
        <v>㎡</v>
      </c>
      <c r="AT352" s="946"/>
      <c r="AU352" s="959"/>
      <c r="AV352" s="959"/>
      <c r="AW352" s="939"/>
      <c r="AX352" s="939"/>
      <c r="AY352" s="939"/>
      <c r="AZ352" s="939"/>
      <c r="BA352" s="939"/>
    </row>
    <row r="353" spans="1:55" s="1060" customFormat="1" ht="12.95" customHeight="1" x14ac:dyDescent="0.15">
      <c r="A353" s="939"/>
      <c r="B353" s="1013"/>
      <c r="C353" s="3403">
        <f>'＜入力不要＞報告書'!C341</f>
        <v>14</v>
      </c>
      <c r="D353" s="3404"/>
      <c r="E353" s="1006" t="str">
        <f>'＜入力不要＞報告書'!E341</f>
        <v>階</v>
      </c>
      <c r="F353" s="3386">
        <f>'＜入力不要＞報告書'!F341</f>
        <v>0</v>
      </c>
      <c r="G353" s="3387"/>
      <c r="H353" s="3387"/>
      <c r="I353" s="3387"/>
      <c r="J353" s="1007" t="str">
        <f>'＜入力不要＞報告書'!J341</f>
        <v>㎡</v>
      </c>
      <c r="K353" s="3386" t="str">
        <f>'＜入力不要＞報告書'!K341</f>
        <v/>
      </c>
      <c r="L353" s="3387"/>
      <c r="M353" s="3387"/>
      <c r="N353" s="3387"/>
      <c r="O353" s="1007" t="str">
        <f>'＜入力不要＞報告書'!O341</f>
        <v>㎡</v>
      </c>
      <c r="P353" s="3386" t="str">
        <f>'＜入力不要＞報告書'!P341</f>
        <v/>
      </c>
      <c r="Q353" s="3387"/>
      <c r="R353" s="3387"/>
      <c r="S353" s="3387"/>
      <c r="T353" s="1007" t="str">
        <f>'＜入力不要＞報告書'!T341</f>
        <v>㎡</v>
      </c>
      <c r="U353" s="3386" t="str">
        <f>'＜入力不要＞報告書'!U341</f>
        <v/>
      </c>
      <c r="V353" s="3387"/>
      <c r="W353" s="3387"/>
      <c r="X353" s="3387"/>
      <c r="Y353" s="1007" t="str">
        <f>'＜入力不要＞報告書'!Y341</f>
        <v>㎡</v>
      </c>
      <c r="Z353" s="3386" t="str">
        <f>'＜入力不要＞報告書'!Z341</f>
        <v/>
      </c>
      <c r="AA353" s="3387"/>
      <c r="AB353" s="3387"/>
      <c r="AC353" s="3387"/>
      <c r="AD353" s="1007" t="str">
        <f>'＜入力不要＞報告書'!AD341</f>
        <v>㎡</v>
      </c>
      <c r="AE353" s="3386" t="str">
        <f>'＜入力不要＞報告書'!AE341</f>
        <v/>
      </c>
      <c r="AF353" s="3387"/>
      <c r="AG353" s="3387"/>
      <c r="AH353" s="3387"/>
      <c r="AI353" s="1007" t="str">
        <f>'＜入力不要＞報告書'!AI341</f>
        <v>㎡</v>
      </c>
      <c r="AJ353" s="3386" t="str">
        <f>'＜入力不要＞報告書'!AJ341</f>
        <v/>
      </c>
      <c r="AK353" s="3387"/>
      <c r="AL353" s="3387"/>
      <c r="AM353" s="3387"/>
      <c r="AN353" s="1007" t="str">
        <f>'＜入力不要＞報告書'!AN341</f>
        <v>㎡</v>
      </c>
      <c r="AO353" s="3386" t="str">
        <f>'＜入力不要＞報告書'!AO341</f>
        <v/>
      </c>
      <c r="AP353" s="3387"/>
      <c r="AQ353" s="3387"/>
      <c r="AR353" s="3387"/>
      <c r="AS353" s="1007" t="str">
        <f>'＜入力不要＞報告書'!AS341</f>
        <v>㎡</v>
      </c>
      <c r="AT353" s="946"/>
      <c r="AU353" s="959"/>
      <c r="AV353" s="959"/>
      <c r="AW353" s="939"/>
      <c r="AX353" s="939"/>
      <c r="AY353" s="939"/>
      <c r="AZ353" s="939"/>
      <c r="BA353" s="939"/>
    </row>
    <row r="354" spans="1:55" s="1060" customFormat="1" ht="12.95" customHeight="1" x14ac:dyDescent="0.15">
      <c r="A354" s="939"/>
      <c r="B354" s="1016"/>
      <c r="C354" s="3405">
        <f>'＜入力不要＞報告書'!C342</f>
        <v>15</v>
      </c>
      <c r="D354" s="3406"/>
      <c r="E354" s="1011" t="str">
        <f>'＜入力不要＞報告書'!E342</f>
        <v>階</v>
      </c>
      <c r="F354" s="3397">
        <f>'＜入力不要＞報告書'!F342</f>
        <v>0</v>
      </c>
      <c r="G354" s="3398"/>
      <c r="H354" s="3398"/>
      <c r="I354" s="3398"/>
      <c r="J354" s="1008" t="str">
        <f>'＜入力不要＞報告書'!J342</f>
        <v>㎡</v>
      </c>
      <c r="K354" s="3397" t="str">
        <f>'＜入力不要＞報告書'!K342</f>
        <v/>
      </c>
      <c r="L354" s="3398"/>
      <c r="M354" s="3398"/>
      <c r="N354" s="3398"/>
      <c r="O354" s="1008" t="str">
        <f>'＜入力不要＞報告書'!O342</f>
        <v>㎡</v>
      </c>
      <c r="P354" s="3397" t="str">
        <f>'＜入力不要＞報告書'!P342</f>
        <v/>
      </c>
      <c r="Q354" s="3398"/>
      <c r="R354" s="3398"/>
      <c r="S354" s="3398"/>
      <c r="T354" s="1008" t="str">
        <f>'＜入力不要＞報告書'!T342</f>
        <v>㎡</v>
      </c>
      <c r="U354" s="3397" t="str">
        <f>'＜入力不要＞報告書'!U342</f>
        <v/>
      </c>
      <c r="V354" s="3398"/>
      <c r="W354" s="3398"/>
      <c r="X354" s="3398"/>
      <c r="Y354" s="1008" t="str">
        <f>'＜入力不要＞報告書'!Y342</f>
        <v>㎡</v>
      </c>
      <c r="Z354" s="3397" t="str">
        <f>'＜入力不要＞報告書'!Z342</f>
        <v/>
      </c>
      <c r="AA354" s="3398"/>
      <c r="AB354" s="3398"/>
      <c r="AC354" s="3398"/>
      <c r="AD354" s="1008" t="str">
        <f>'＜入力不要＞報告書'!AD342</f>
        <v>㎡</v>
      </c>
      <c r="AE354" s="3397" t="str">
        <f>'＜入力不要＞報告書'!AE342</f>
        <v/>
      </c>
      <c r="AF354" s="3398"/>
      <c r="AG354" s="3398"/>
      <c r="AH354" s="3398"/>
      <c r="AI354" s="1008" t="str">
        <f>'＜入力不要＞報告書'!AI342</f>
        <v>㎡</v>
      </c>
      <c r="AJ354" s="3397" t="str">
        <f>'＜入力不要＞報告書'!AJ342</f>
        <v/>
      </c>
      <c r="AK354" s="3398"/>
      <c r="AL354" s="3398"/>
      <c r="AM354" s="3398"/>
      <c r="AN354" s="1008" t="str">
        <f>'＜入力不要＞報告書'!AN342</f>
        <v>㎡</v>
      </c>
      <c r="AO354" s="3397" t="str">
        <f>'＜入力不要＞報告書'!AO342</f>
        <v/>
      </c>
      <c r="AP354" s="3398"/>
      <c r="AQ354" s="3398"/>
      <c r="AR354" s="3398"/>
      <c r="AS354" s="1008" t="str">
        <f>'＜入力不要＞報告書'!AS342</f>
        <v>㎡</v>
      </c>
      <c r="AT354" s="1015"/>
      <c r="AU354" s="959"/>
      <c r="AV354" s="959"/>
      <c r="AW354" s="939"/>
      <c r="AX354" s="939"/>
      <c r="AY354" s="939"/>
      <c r="AZ354" s="939"/>
      <c r="BA354" s="939"/>
    </row>
    <row r="355" spans="1:55" s="1060" customFormat="1" ht="12.95" customHeight="1" x14ac:dyDescent="0.15">
      <c r="A355" s="939"/>
      <c r="B355" s="1012"/>
      <c r="C355" s="3403">
        <f>'＜入力不要＞報告書'!C343</f>
        <v>16</v>
      </c>
      <c r="D355" s="3404"/>
      <c r="E355" s="1009" t="str">
        <f>'＜入力不要＞報告書'!E343</f>
        <v>階</v>
      </c>
      <c r="F355" s="3399">
        <f>'＜入力不要＞報告書'!F343</f>
        <v>0</v>
      </c>
      <c r="G355" s="3400"/>
      <c r="H355" s="3400"/>
      <c r="I355" s="3400"/>
      <c r="J355" s="1010" t="str">
        <f>'＜入力不要＞報告書'!J343</f>
        <v>㎡</v>
      </c>
      <c r="K355" s="3399" t="str">
        <f>'＜入力不要＞報告書'!K343</f>
        <v/>
      </c>
      <c r="L355" s="3400"/>
      <c r="M355" s="3400"/>
      <c r="N355" s="3400"/>
      <c r="O355" s="1010" t="str">
        <f>'＜入力不要＞報告書'!O343</f>
        <v>㎡</v>
      </c>
      <c r="P355" s="3399" t="str">
        <f>'＜入力不要＞報告書'!P343</f>
        <v/>
      </c>
      <c r="Q355" s="3400"/>
      <c r="R355" s="3400"/>
      <c r="S355" s="3400"/>
      <c r="T355" s="1010" t="str">
        <f>'＜入力不要＞報告書'!T343</f>
        <v>㎡</v>
      </c>
      <c r="U355" s="3399" t="str">
        <f>'＜入力不要＞報告書'!U343</f>
        <v/>
      </c>
      <c r="V355" s="3400"/>
      <c r="W355" s="3400"/>
      <c r="X355" s="3400"/>
      <c r="Y355" s="1010" t="str">
        <f>'＜入力不要＞報告書'!Y343</f>
        <v>㎡</v>
      </c>
      <c r="Z355" s="3399" t="str">
        <f>'＜入力不要＞報告書'!Z343</f>
        <v/>
      </c>
      <c r="AA355" s="3400"/>
      <c r="AB355" s="3400"/>
      <c r="AC355" s="3400"/>
      <c r="AD355" s="1010" t="str">
        <f>'＜入力不要＞報告書'!AD343</f>
        <v>㎡</v>
      </c>
      <c r="AE355" s="3399" t="str">
        <f>'＜入力不要＞報告書'!AE343</f>
        <v/>
      </c>
      <c r="AF355" s="3400"/>
      <c r="AG355" s="3400"/>
      <c r="AH355" s="3400"/>
      <c r="AI355" s="1010" t="str">
        <f>'＜入力不要＞報告書'!AI343</f>
        <v>㎡</v>
      </c>
      <c r="AJ355" s="3399" t="str">
        <f>'＜入力不要＞報告書'!AJ343</f>
        <v/>
      </c>
      <c r="AK355" s="3400"/>
      <c r="AL355" s="3400"/>
      <c r="AM355" s="3400"/>
      <c r="AN355" s="1010" t="str">
        <f>'＜入力不要＞報告書'!AN343</f>
        <v>㎡</v>
      </c>
      <c r="AO355" s="3399" t="str">
        <f>'＜入力不要＞報告書'!AO343</f>
        <v/>
      </c>
      <c r="AP355" s="3400"/>
      <c r="AQ355" s="3400"/>
      <c r="AR355" s="3400"/>
      <c r="AS355" s="1010" t="str">
        <f>'＜入力不要＞報告書'!AS343</f>
        <v>㎡</v>
      </c>
      <c r="AT355" s="946"/>
      <c r="AU355" s="959"/>
      <c r="AV355" s="959"/>
      <c r="AW355" s="939"/>
      <c r="AX355" s="939"/>
      <c r="AY355" s="939"/>
      <c r="AZ355" s="939"/>
      <c r="BA355" s="939"/>
    </row>
    <row r="356" spans="1:55" s="1060" customFormat="1" ht="12.95" customHeight="1" x14ac:dyDescent="0.15">
      <c r="A356" s="939"/>
      <c r="B356" s="1013"/>
      <c r="C356" s="3403">
        <f>'＜入力不要＞報告書'!C344</f>
        <v>17</v>
      </c>
      <c r="D356" s="3404"/>
      <c r="E356" s="1006" t="str">
        <f>'＜入力不要＞報告書'!E344</f>
        <v>階</v>
      </c>
      <c r="F356" s="3386">
        <f>'＜入力不要＞報告書'!F344</f>
        <v>0</v>
      </c>
      <c r="G356" s="3387"/>
      <c r="H356" s="3387"/>
      <c r="I356" s="3387"/>
      <c r="J356" s="1007" t="str">
        <f>'＜入力不要＞報告書'!J344</f>
        <v>㎡</v>
      </c>
      <c r="K356" s="3386" t="str">
        <f>'＜入力不要＞報告書'!K344</f>
        <v/>
      </c>
      <c r="L356" s="3387"/>
      <c r="M356" s="3387"/>
      <c r="N356" s="3387"/>
      <c r="O356" s="1007" t="str">
        <f>'＜入力不要＞報告書'!O344</f>
        <v>㎡</v>
      </c>
      <c r="P356" s="3386" t="str">
        <f>'＜入力不要＞報告書'!P344</f>
        <v/>
      </c>
      <c r="Q356" s="3387"/>
      <c r="R356" s="3387"/>
      <c r="S356" s="3387"/>
      <c r="T356" s="1007" t="str">
        <f>'＜入力不要＞報告書'!T344</f>
        <v>㎡</v>
      </c>
      <c r="U356" s="3386" t="str">
        <f>'＜入力不要＞報告書'!U344</f>
        <v/>
      </c>
      <c r="V356" s="3387"/>
      <c r="W356" s="3387"/>
      <c r="X356" s="3387"/>
      <c r="Y356" s="1007" t="str">
        <f>'＜入力不要＞報告書'!Y344</f>
        <v>㎡</v>
      </c>
      <c r="Z356" s="3386" t="str">
        <f>'＜入力不要＞報告書'!Z344</f>
        <v/>
      </c>
      <c r="AA356" s="3387"/>
      <c r="AB356" s="3387"/>
      <c r="AC356" s="3387"/>
      <c r="AD356" s="1007" t="str">
        <f>'＜入力不要＞報告書'!AD344</f>
        <v>㎡</v>
      </c>
      <c r="AE356" s="3386" t="str">
        <f>'＜入力不要＞報告書'!AE344</f>
        <v/>
      </c>
      <c r="AF356" s="3387"/>
      <c r="AG356" s="3387"/>
      <c r="AH356" s="3387"/>
      <c r="AI356" s="1007" t="str">
        <f>'＜入力不要＞報告書'!AI344</f>
        <v>㎡</v>
      </c>
      <c r="AJ356" s="3386" t="str">
        <f>'＜入力不要＞報告書'!AJ344</f>
        <v/>
      </c>
      <c r="AK356" s="3387"/>
      <c r="AL356" s="3387"/>
      <c r="AM356" s="3387"/>
      <c r="AN356" s="1007" t="str">
        <f>'＜入力不要＞報告書'!AN344</f>
        <v>㎡</v>
      </c>
      <c r="AO356" s="3386" t="str">
        <f>'＜入力不要＞報告書'!AO344</f>
        <v/>
      </c>
      <c r="AP356" s="3387"/>
      <c r="AQ356" s="3387"/>
      <c r="AR356" s="3387"/>
      <c r="AS356" s="1007" t="str">
        <f>'＜入力不要＞報告書'!AS344</f>
        <v>㎡</v>
      </c>
      <c r="AT356" s="946"/>
      <c r="AU356" s="959"/>
      <c r="AV356" s="959"/>
      <c r="AW356" s="939"/>
      <c r="AX356" s="939"/>
      <c r="AY356" s="939"/>
      <c r="AZ356" s="939"/>
      <c r="BA356" s="939"/>
    </row>
    <row r="357" spans="1:55" s="1060" customFormat="1" ht="12.95" customHeight="1" x14ac:dyDescent="0.15">
      <c r="A357" s="939"/>
      <c r="B357" s="1013"/>
      <c r="C357" s="3403">
        <f>'＜入力不要＞報告書'!C345</f>
        <v>18</v>
      </c>
      <c r="D357" s="3404"/>
      <c r="E357" s="1006" t="str">
        <f>'＜入力不要＞報告書'!E345</f>
        <v>階</v>
      </c>
      <c r="F357" s="3386">
        <f>'＜入力不要＞報告書'!F345</f>
        <v>0</v>
      </c>
      <c r="G357" s="3387"/>
      <c r="H357" s="3387"/>
      <c r="I357" s="3387"/>
      <c r="J357" s="1007" t="str">
        <f>'＜入力不要＞報告書'!J345</f>
        <v>㎡</v>
      </c>
      <c r="K357" s="3386" t="str">
        <f>'＜入力不要＞報告書'!K345</f>
        <v/>
      </c>
      <c r="L357" s="3387"/>
      <c r="M357" s="3387"/>
      <c r="N357" s="3387"/>
      <c r="O357" s="1007" t="str">
        <f>'＜入力不要＞報告書'!O345</f>
        <v>㎡</v>
      </c>
      <c r="P357" s="3386" t="str">
        <f>'＜入力不要＞報告書'!P345</f>
        <v/>
      </c>
      <c r="Q357" s="3387"/>
      <c r="R357" s="3387"/>
      <c r="S357" s="3387"/>
      <c r="T357" s="1007" t="str">
        <f>'＜入力不要＞報告書'!T345</f>
        <v>㎡</v>
      </c>
      <c r="U357" s="3386" t="str">
        <f>'＜入力不要＞報告書'!U345</f>
        <v/>
      </c>
      <c r="V357" s="3387"/>
      <c r="W357" s="3387"/>
      <c r="X357" s="3387"/>
      <c r="Y357" s="1007" t="str">
        <f>'＜入力不要＞報告書'!Y345</f>
        <v>㎡</v>
      </c>
      <c r="Z357" s="3386" t="str">
        <f>'＜入力不要＞報告書'!Z345</f>
        <v/>
      </c>
      <c r="AA357" s="3387"/>
      <c r="AB357" s="3387"/>
      <c r="AC357" s="3387"/>
      <c r="AD357" s="1007" t="str">
        <f>'＜入力不要＞報告書'!AD345</f>
        <v>㎡</v>
      </c>
      <c r="AE357" s="3386" t="str">
        <f>'＜入力不要＞報告書'!AE345</f>
        <v/>
      </c>
      <c r="AF357" s="3387"/>
      <c r="AG357" s="3387"/>
      <c r="AH357" s="3387"/>
      <c r="AI357" s="1007" t="str">
        <f>'＜入力不要＞報告書'!AI345</f>
        <v>㎡</v>
      </c>
      <c r="AJ357" s="3386" t="str">
        <f>'＜入力不要＞報告書'!AJ345</f>
        <v/>
      </c>
      <c r="AK357" s="3387"/>
      <c r="AL357" s="3387"/>
      <c r="AM357" s="3387"/>
      <c r="AN357" s="1007" t="str">
        <f>'＜入力不要＞報告書'!AN345</f>
        <v>㎡</v>
      </c>
      <c r="AO357" s="3386" t="str">
        <f>'＜入力不要＞報告書'!AO345</f>
        <v/>
      </c>
      <c r="AP357" s="3387"/>
      <c r="AQ357" s="3387"/>
      <c r="AR357" s="3387"/>
      <c r="AS357" s="1007" t="str">
        <f>'＜入力不要＞報告書'!AS345</f>
        <v>㎡</v>
      </c>
      <c r="AT357" s="946"/>
      <c r="AU357" s="959"/>
      <c r="AV357" s="959"/>
      <c r="AW357" s="939"/>
      <c r="AX357" s="939"/>
      <c r="AY357" s="939"/>
      <c r="AZ357" s="939"/>
      <c r="BA357" s="939"/>
    </row>
    <row r="358" spans="1:55" s="1060" customFormat="1" ht="12.95" customHeight="1" x14ac:dyDescent="0.15">
      <c r="A358" s="939"/>
      <c r="B358" s="1013"/>
      <c r="C358" s="3403">
        <f>'＜入力不要＞報告書'!C346</f>
        <v>19</v>
      </c>
      <c r="D358" s="3404"/>
      <c r="E358" s="1006" t="str">
        <f>'＜入力不要＞報告書'!E346</f>
        <v>階</v>
      </c>
      <c r="F358" s="3386">
        <f>'＜入力不要＞報告書'!F346</f>
        <v>0</v>
      </c>
      <c r="G358" s="3387"/>
      <c r="H358" s="3387"/>
      <c r="I358" s="3387"/>
      <c r="J358" s="1007" t="str">
        <f>'＜入力不要＞報告書'!J346</f>
        <v>㎡</v>
      </c>
      <c r="K358" s="3386" t="str">
        <f>'＜入力不要＞報告書'!K346</f>
        <v/>
      </c>
      <c r="L358" s="3387"/>
      <c r="M358" s="3387"/>
      <c r="N358" s="3387"/>
      <c r="O358" s="1007" t="str">
        <f>'＜入力不要＞報告書'!O346</f>
        <v>㎡</v>
      </c>
      <c r="P358" s="3386" t="str">
        <f>'＜入力不要＞報告書'!P346</f>
        <v/>
      </c>
      <c r="Q358" s="3387"/>
      <c r="R358" s="3387"/>
      <c r="S358" s="3387"/>
      <c r="T358" s="1007" t="str">
        <f>'＜入力不要＞報告書'!T346</f>
        <v>㎡</v>
      </c>
      <c r="U358" s="3386" t="str">
        <f>'＜入力不要＞報告書'!U346</f>
        <v/>
      </c>
      <c r="V358" s="3387"/>
      <c r="W358" s="3387"/>
      <c r="X358" s="3387"/>
      <c r="Y358" s="1007" t="str">
        <f>'＜入力不要＞報告書'!Y346</f>
        <v>㎡</v>
      </c>
      <c r="Z358" s="3386" t="str">
        <f>'＜入力不要＞報告書'!Z346</f>
        <v/>
      </c>
      <c r="AA358" s="3387"/>
      <c r="AB358" s="3387"/>
      <c r="AC358" s="3387"/>
      <c r="AD358" s="1007" t="str">
        <f>'＜入力不要＞報告書'!AD346</f>
        <v>㎡</v>
      </c>
      <c r="AE358" s="3386" t="str">
        <f>'＜入力不要＞報告書'!AE346</f>
        <v/>
      </c>
      <c r="AF358" s="3387"/>
      <c r="AG358" s="3387"/>
      <c r="AH358" s="3387"/>
      <c r="AI358" s="1007" t="str">
        <f>'＜入力不要＞報告書'!AI346</f>
        <v>㎡</v>
      </c>
      <c r="AJ358" s="3386" t="str">
        <f>'＜入力不要＞報告書'!AJ346</f>
        <v/>
      </c>
      <c r="AK358" s="3387"/>
      <c r="AL358" s="3387"/>
      <c r="AM358" s="3387"/>
      <c r="AN358" s="1007" t="str">
        <f>'＜入力不要＞報告書'!AN346</f>
        <v>㎡</v>
      </c>
      <c r="AO358" s="3386" t="str">
        <f>'＜入力不要＞報告書'!AO346</f>
        <v/>
      </c>
      <c r="AP358" s="3387"/>
      <c r="AQ358" s="3387"/>
      <c r="AR358" s="3387"/>
      <c r="AS358" s="1007" t="str">
        <f>'＜入力不要＞報告書'!AS346</f>
        <v>㎡</v>
      </c>
      <c r="AT358" s="1015"/>
      <c r="AU358" s="959"/>
      <c r="AV358" s="959"/>
      <c r="AW358" s="939"/>
      <c r="AX358" s="939"/>
      <c r="AY358" s="939"/>
      <c r="AZ358" s="939"/>
      <c r="BA358" s="939"/>
    </row>
    <row r="359" spans="1:55" s="1060" customFormat="1" ht="12.95" customHeight="1" x14ac:dyDescent="0.15">
      <c r="A359" s="939"/>
      <c r="B359" s="1016"/>
      <c r="C359" s="3405">
        <f>'＜入力不要＞報告書'!C347</f>
        <v>20</v>
      </c>
      <c r="D359" s="3406"/>
      <c r="E359" s="1011" t="str">
        <f>'＜入力不要＞報告書'!E347</f>
        <v>階</v>
      </c>
      <c r="F359" s="3397">
        <f>'＜入力不要＞報告書'!F347</f>
        <v>0</v>
      </c>
      <c r="G359" s="3398"/>
      <c r="H359" s="3398"/>
      <c r="I359" s="3398"/>
      <c r="J359" s="1008" t="str">
        <f>'＜入力不要＞報告書'!J347</f>
        <v>㎡</v>
      </c>
      <c r="K359" s="3397" t="str">
        <f>'＜入力不要＞報告書'!K347</f>
        <v/>
      </c>
      <c r="L359" s="3398"/>
      <c r="M359" s="3398"/>
      <c r="N359" s="3398"/>
      <c r="O359" s="1008" t="str">
        <f>'＜入力不要＞報告書'!O347</f>
        <v>㎡</v>
      </c>
      <c r="P359" s="3397" t="str">
        <f>'＜入力不要＞報告書'!P347</f>
        <v/>
      </c>
      <c r="Q359" s="3398"/>
      <c r="R359" s="3398"/>
      <c r="S359" s="3398"/>
      <c r="T359" s="1008" t="str">
        <f>'＜入力不要＞報告書'!T347</f>
        <v>㎡</v>
      </c>
      <c r="U359" s="3397" t="str">
        <f>'＜入力不要＞報告書'!U347</f>
        <v/>
      </c>
      <c r="V359" s="3398"/>
      <c r="W359" s="3398"/>
      <c r="X359" s="3398"/>
      <c r="Y359" s="1008" t="str">
        <f>'＜入力不要＞報告書'!Y347</f>
        <v>㎡</v>
      </c>
      <c r="Z359" s="3397" t="str">
        <f>'＜入力不要＞報告書'!Z347</f>
        <v/>
      </c>
      <c r="AA359" s="3398"/>
      <c r="AB359" s="3398"/>
      <c r="AC359" s="3398"/>
      <c r="AD359" s="1008" t="str">
        <f>'＜入力不要＞報告書'!AD347</f>
        <v>㎡</v>
      </c>
      <c r="AE359" s="3397" t="str">
        <f>'＜入力不要＞報告書'!AE347</f>
        <v/>
      </c>
      <c r="AF359" s="3398"/>
      <c r="AG359" s="3398"/>
      <c r="AH359" s="3398"/>
      <c r="AI359" s="1008" t="str">
        <f>'＜入力不要＞報告書'!AI347</f>
        <v>㎡</v>
      </c>
      <c r="AJ359" s="3397" t="str">
        <f>'＜入力不要＞報告書'!AJ347</f>
        <v/>
      </c>
      <c r="AK359" s="3398"/>
      <c r="AL359" s="3398"/>
      <c r="AM359" s="3398"/>
      <c r="AN359" s="1008" t="str">
        <f>'＜入力不要＞報告書'!AN347</f>
        <v>㎡</v>
      </c>
      <c r="AO359" s="3397" t="str">
        <f>'＜入力不要＞報告書'!AO347</f>
        <v/>
      </c>
      <c r="AP359" s="3398"/>
      <c r="AQ359" s="3398"/>
      <c r="AR359" s="3398"/>
      <c r="AS359" s="1008" t="str">
        <f>'＜入力不要＞報告書'!AS347</f>
        <v>㎡</v>
      </c>
      <c r="AT359" s="946"/>
      <c r="AU359" s="959"/>
      <c r="AV359" s="959"/>
      <c r="AW359" s="939"/>
      <c r="AX359" s="939"/>
      <c r="AY359" s="939"/>
      <c r="AZ359" s="939"/>
      <c r="BA359" s="939"/>
    </row>
    <row r="360" spans="1:55" s="1060" customFormat="1" ht="12.95" customHeight="1" x14ac:dyDescent="0.15">
      <c r="A360" s="939"/>
      <c r="B360" s="1012"/>
      <c r="C360" s="3403">
        <f>'＜入力不要＞報告書'!C348</f>
        <v>21</v>
      </c>
      <c r="D360" s="3404"/>
      <c r="E360" s="1009" t="str">
        <f>'＜入力不要＞報告書'!E348</f>
        <v>階</v>
      </c>
      <c r="F360" s="3399">
        <f>'＜入力不要＞報告書'!F348</f>
        <v>0</v>
      </c>
      <c r="G360" s="3400"/>
      <c r="H360" s="3400"/>
      <c r="I360" s="3400"/>
      <c r="J360" s="1010" t="str">
        <f>'＜入力不要＞報告書'!J348</f>
        <v>㎡</v>
      </c>
      <c r="K360" s="3399" t="str">
        <f>'＜入力不要＞報告書'!K348</f>
        <v/>
      </c>
      <c r="L360" s="3400"/>
      <c r="M360" s="3400"/>
      <c r="N360" s="3400"/>
      <c r="O360" s="1010" t="str">
        <f>'＜入力不要＞報告書'!O348</f>
        <v>㎡</v>
      </c>
      <c r="P360" s="3399" t="str">
        <f>'＜入力不要＞報告書'!P348</f>
        <v/>
      </c>
      <c r="Q360" s="3400"/>
      <c r="R360" s="3400"/>
      <c r="S360" s="3400"/>
      <c r="T360" s="1010" t="str">
        <f>'＜入力不要＞報告書'!T348</f>
        <v>㎡</v>
      </c>
      <c r="U360" s="3399" t="str">
        <f>'＜入力不要＞報告書'!U348</f>
        <v/>
      </c>
      <c r="V360" s="3400"/>
      <c r="W360" s="3400"/>
      <c r="X360" s="3400"/>
      <c r="Y360" s="1010" t="str">
        <f>'＜入力不要＞報告書'!Y348</f>
        <v>㎡</v>
      </c>
      <c r="Z360" s="3399" t="str">
        <f>'＜入力不要＞報告書'!Z348</f>
        <v/>
      </c>
      <c r="AA360" s="3400"/>
      <c r="AB360" s="3400"/>
      <c r="AC360" s="3400"/>
      <c r="AD360" s="1010" t="str">
        <f>'＜入力不要＞報告書'!AD348</f>
        <v>㎡</v>
      </c>
      <c r="AE360" s="3399" t="str">
        <f>'＜入力不要＞報告書'!AE348</f>
        <v/>
      </c>
      <c r="AF360" s="3400"/>
      <c r="AG360" s="3400"/>
      <c r="AH360" s="3400"/>
      <c r="AI360" s="1010" t="str">
        <f>'＜入力不要＞報告書'!AI348</f>
        <v>㎡</v>
      </c>
      <c r="AJ360" s="3399" t="str">
        <f>'＜入力不要＞報告書'!AJ348</f>
        <v/>
      </c>
      <c r="AK360" s="3400"/>
      <c r="AL360" s="3400"/>
      <c r="AM360" s="3400"/>
      <c r="AN360" s="1010" t="str">
        <f>'＜入力不要＞報告書'!AN348</f>
        <v>㎡</v>
      </c>
      <c r="AO360" s="3399" t="str">
        <f>'＜入力不要＞報告書'!AO348</f>
        <v/>
      </c>
      <c r="AP360" s="3400"/>
      <c r="AQ360" s="3400"/>
      <c r="AR360" s="3400"/>
      <c r="AS360" s="1010" t="str">
        <f>'＜入力不要＞報告書'!AS348</f>
        <v>㎡</v>
      </c>
      <c r="AT360" s="946"/>
      <c r="AU360" s="959"/>
      <c r="AV360" s="959"/>
      <c r="AW360" s="939"/>
      <c r="AX360" s="939"/>
      <c r="AY360" s="939"/>
      <c r="AZ360" s="939"/>
      <c r="BA360" s="939"/>
    </row>
    <row r="361" spans="1:55" s="1060" customFormat="1" ht="12.95" customHeight="1" x14ac:dyDescent="0.15">
      <c r="A361" s="939"/>
      <c r="B361" s="1013"/>
      <c r="C361" s="3403">
        <f>'＜入力不要＞報告書'!C349</f>
        <v>22</v>
      </c>
      <c r="D361" s="3404"/>
      <c r="E361" s="1006" t="str">
        <f>'＜入力不要＞報告書'!E349</f>
        <v>階</v>
      </c>
      <c r="F361" s="3386">
        <f>'＜入力不要＞報告書'!F349</f>
        <v>0</v>
      </c>
      <c r="G361" s="3387"/>
      <c r="H361" s="3387"/>
      <c r="I361" s="3387"/>
      <c r="J361" s="1007" t="str">
        <f>'＜入力不要＞報告書'!J349</f>
        <v>㎡</v>
      </c>
      <c r="K361" s="3386" t="str">
        <f>'＜入力不要＞報告書'!K349</f>
        <v/>
      </c>
      <c r="L361" s="3387"/>
      <c r="M361" s="3387"/>
      <c r="N361" s="3387"/>
      <c r="O361" s="1007" t="str">
        <f>'＜入力不要＞報告書'!O349</f>
        <v>㎡</v>
      </c>
      <c r="P361" s="3386" t="str">
        <f>'＜入力不要＞報告書'!P349</f>
        <v/>
      </c>
      <c r="Q361" s="3387"/>
      <c r="R361" s="3387"/>
      <c r="S361" s="3387"/>
      <c r="T361" s="1007" t="str">
        <f>'＜入力不要＞報告書'!T349</f>
        <v>㎡</v>
      </c>
      <c r="U361" s="3386" t="str">
        <f>'＜入力不要＞報告書'!U349</f>
        <v/>
      </c>
      <c r="V361" s="3387"/>
      <c r="W361" s="3387"/>
      <c r="X361" s="3387"/>
      <c r="Y361" s="1007" t="str">
        <f>'＜入力不要＞報告書'!Y349</f>
        <v>㎡</v>
      </c>
      <c r="Z361" s="3386" t="str">
        <f>'＜入力不要＞報告書'!Z349</f>
        <v/>
      </c>
      <c r="AA361" s="3387"/>
      <c r="AB361" s="3387"/>
      <c r="AC361" s="3387"/>
      <c r="AD361" s="1007" t="str">
        <f>'＜入力不要＞報告書'!AD349</f>
        <v>㎡</v>
      </c>
      <c r="AE361" s="3386" t="str">
        <f>'＜入力不要＞報告書'!AE349</f>
        <v/>
      </c>
      <c r="AF361" s="3387"/>
      <c r="AG361" s="3387"/>
      <c r="AH361" s="3387"/>
      <c r="AI361" s="1007" t="str">
        <f>'＜入力不要＞報告書'!AI349</f>
        <v>㎡</v>
      </c>
      <c r="AJ361" s="3386" t="str">
        <f>'＜入力不要＞報告書'!AJ349</f>
        <v/>
      </c>
      <c r="AK361" s="3387"/>
      <c r="AL361" s="3387"/>
      <c r="AM361" s="3387"/>
      <c r="AN361" s="1007" t="str">
        <f>'＜入力不要＞報告書'!AN349</f>
        <v>㎡</v>
      </c>
      <c r="AO361" s="3386" t="str">
        <f>'＜入力不要＞報告書'!AO349</f>
        <v/>
      </c>
      <c r="AP361" s="3387"/>
      <c r="AQ361" s="3387"/>
      <c r="AR361" s="3387"/>
      <c r="AS361" s="1007" t="str">
        <f>'＜入力不要＞報告書'!AS349</f>
        <v>㎡</v>
      </c>
      <c r="AT361" s="946"/>
      <c r="AU361" s="959"/>
      <c r="AV361" s="959"/>
      <c r="AW361" s="939"/>
      <c r="AX361" s="939"/>
      <c r="AY361" s="939"/>
      <c r="AZ361" s="939"/>
      <c r="BA361" s="939"/>
    </row>
    <row r="362" spans="1:55" s="1060" customFormat="1" ht="12.95" customHeight="1" x14ac:dyDescent="0.15">
      <c r="A362" s="939"/>
      <c r="B362" s="1013"/>
      <c r="C362" s="3403">
        <f>'＜入力不要＞報告書'!C350</f>
        <v>23</v>
      </c>
      <c r="D362" s="3404"/>
      <c r="E362" s="1006" t="str">
        <f>'＜入力不要＞報告書'!E350</f>
        <v>階</v>
      </c>
      <c r="F362" s="3386">
        <f>'＜入力不要＞報告書'!F350</f>
        <v>0</v>
      </c>
      <c r="G362" s="3387"/>
      <c r="H362" s="3387"/>
      <c r="I362" s="3387"/>
      <c r="J362" s="1007" t="str">
        <f>'＜入力不要＞報告書'!J350</f>
        <v>㎡</v>
      </c>
      <c r="K362" s="3386" t="str">
        <f>'＜入力不要＞報告書'!K350</f>
        <v/>
      </c>
      <c r="L362" s="3387"/>
      <c r="M362" s="3387"/>
      <c r="N362" s="3387"/>
      <c r="O362" s="1007" t="str">
        <f>'＜入力不要＞報告書'!O350</f>
        <v>㎡</v>
      </c>
      <c r="P362" s="3386" t="str">
        <f>'＜入力不要＞報告書'!P350</f>
        <v/>
      </c>
      <c r="Q362" s="3387"/>
      <c r="R362" s="3387"/>
      <c r="S362" s="3387"/>
      <c r="T362" s="1007" t="str">
        <f>'＜入力不要＞報告書'!T350</f>
        <v>㎡</v>
      </c>
      <c r="U362" s="3386" t="str">
        <f>'＜入力不要＞報告書'!U350</f>
        <v/>
      </c>
      <c r="V362" s="3387"/>
      <c r="W362" s="3387"/>
      <c r="X362" s="3387"/>
      <c r="Y362" s="1007" t="str">
        <f>'＜入力不要＞報告書'!Y350</f>
        <v>㎡</v>
      </c>
      <c r="Z362" s="3386" t="str">
        <f>'＜入力不要＞報告書'!Z350</f>
        <v/>
      </c>
      <c r="AA362" s="3387"/>
      <c r="AB362" s="3387"/>
      <c r="AC362" s="3387"/>
      <c r="AD362" s="1007" t="str">
        <f>'＜入力不要＞報告書'!AD350</f>
        <v>㎡</v>
      </c>
      <c r="AE362" s="3386" t="str">
        <f>'＜入力不要＞報告書'!AE350</f>
        <v/>
      </c>
      <c r="AF362" s="3387"/>
      <c r="AG362" s="3387"/>
      <c r="AH362" s="3387"/>
      <c r="AI362" s="1007" t="str">
        <f>'＜入力不要＞報告書'!AI350</f>
        <v>㎡</v>
      </c>
      <c r="AJ362" s="3386" t="str">
        <f>'＜入力不要＞報告書'!AJ350</f>
        <v/>
      </c>
      <c r="AK362" s="3387"/>
      <c r="AL362" s="3387"/>
      <c r="AM362" s="3387"/>
      <c r="AN362" s="1007" t="str">
        <f>'＜入力不要＞報告書'!AN350</f>
        <v>㎡</v>
      </c>
      <c r="AO362" s="3386" t="str">
        <f>'＜入力不要＞報告書'!AO350</f>
        <v/>
      </c>
      <c r="AP362" s="3387"/>
      <c r="AQ362" s="3387"/>
      <c r="AR362" s="3387"/>
      <c r="AS362" s="1007" t="str">
        <f>'＜入力不要＞報告書'!AS350</f>
        <v>㎡</v>
      </c>
      <c r="AT362" s="1015"/>
      <c r="AU362" s="959"/>
      <c r="AV362" s="959"/>
      <c r="AW362" s="939"/>
      <c r="AX362" s="939"/>
      <c r="AY362" s="939"/>
      <c r="AZ362" s="939"/>
      <c r="BA362" s="939"/>
    </row>
    <row r="363" spans="1:55" s="1060" customFormat="1" ht="12.95" customHeight="1" x14ac:dyDescent="0.15">
      <c r="A363" s="939"/>
      <c r="B363" s="1013"/>
      <c r="C363" s="3403">
        <f>'＜入力不要＞報告書'!C351</f>
        <v>24</v>
      </c>
      <c r="D363" s="3404"/>
      <c r="E363" s="1006" t="str">
        <f>'＜入力不要＞報告書'!E351</f>
        <v>階</v>
      </c>
      <c r="F363" s="3386">
        <f>'＜入力不要＞報告書'!F351</f>
        <v>0</v>
      </c>
      <c r="G363" s="3387"/>
      <c r="H363" s="3387"/>
      <c r="I363" s="3387"/>
      <c r="J363" s="1007" t="str">
        <f>'＜入力不要＞報告書'!J351</f>
        <v>㎡</v>
      </c>
      <c r="K363" s="3386" t="str">
        <f>'＜入力不要＞報告書'!K351</f>
        <v/>
      </c>
      <c r="L363" s="3387"/>
      <c r="M363" s="3387"/>
      <c r="N363" s="3387"/>
      <c r="O363" s="1007" t="str">
        <f>'＜入力不要＞報告書'!O351</f>
        <v>㎡</v>
      </c>
      <c r="P363" s="3386" t="str">
        <f>'＜入力不要＞報告書'!P351</f>
        <v/>
      </c>
      <c r="Q363" s="3387"/>
      <c r="R363" s="3387"/>
      <c r="S363" s="3387"/>
      <c r="T363" s="1007" t="str">
        <f>'＜入力不要＞報告書'!T351</f>
        <v>㎡</v>
      </c>
      <c r="U363" s="3386" t="str">
        <f>'＜入力不要＞報告書'!U351</f>
        <v/>
      </c>
      <c r="V363" s="3387"/>
      <c r="W363" s="3387"/>
      <c r="X363" s="3387"/>
      <c r="Y363" s="1007" t="str">
        <f>'＜入力不要＞報告書'!Y351</f>
        <v>㎡</v>
      </c>
      <c r="Z363" s="3386" t="str">
        <f>'＜入力不要＞報告書'!Z351</f>
        <v/>
      </c>
      <c r="AA363" s="3387"/>
      <c r="AB363" s="3387"/>
      <c r="AC363" s="3387"/>
      <c r="AD363" s="1007" t="str">
        <f>'＜入力不要＞報告書'!AD351</f>
        <v>㎡</v>
      </c>
      <c r="AE363" s="3386" t="str">
        <f>'＜入力不要＞報告書'!AE351</f>
        <v/>
      </c>
      <c r="AF363" s="3387"/>
      <c r="AG363" s="3387"/>
      <c r="AH363" s="3387"/>
      <c r="AI363" s="1007" t="str">
        <f>'＜入力不要＞報告書'!AI351</f>
        <v>㎡</v>
      </c>
      <c r="AJ363" s="3386" t="str">
        <f>'＜入力不要＞報告書'!AJ351</f>
        <v/>
      </c>
      <c r="AK363" s="3387"/>
      <c r="AL363" s="3387"/>
      <c r="AM363" s="3387"/>
      <c r="AN363" s="1007" t="str">
        <f>'＜入力不要＞報告書'!AN351</f>
        <v>㎡</v>
      </c>
      <c r="AO363" s="3386" t="str">
        <f>'＜入力不要＞報告書'!AO351</f>
        <v/>
      </c>
      <c r="AP363" s="3387"/>
      <c r="AQ363" s="3387"/>
      <c r="AR363" s="3387"/>
      <c r="AS363" s="1007" t="str">
        <f>'＜入力不要＞報告書'!AS351</f>
        <v>㎡</v>
      </c>
      <c r="AT363" s="946"/>
      <c r="AU363" s="959"/>
      <c r="AV363" s="959"/>
      <c r="AW363" s="939"/>
      <c r="AX363" s="939"/>
      <c r="AY363" s="939"/>
      <c r="AZ363" s="939"/>
      <c r="BA363" s="939"/>
    </row>
    <row r="364" spans="1:55" ht="12.95" customHeight="1" x14ac:dyDescent="0.15">
      <c r="B364" s="1016"/>
      <c r="C364" s="3405">
        <f>'＜入力不要＞報告書'!C352</f>
        <v>25</v>
      </c>
      <c r="D364" s="3406"/>
      <c r="E364" s="1011" t="str">
        <f>'＜入力不要＞報告書'!E352</f>
        <v>階</v>
      </c>
      <c r="F364" s="3397">
        <f>'＜入力不要＞報告書'!F352</f>
        <v>0</v>
      </c>
      <c r="G364" s="3398"/>
      <c r="H364" s="3398"/>
      <c r="I364" s="3398"/>
      <c r="J364" s="1008" t="str">
        <f>'＜入力不要＞報告書'!J352</f>
        <v>㎡</v>
      </c>
      <c r="K364" s="3397" t="str">
        <f>'＜入力不要＞報告書'!K352</f>
        <v/>
      </c>
      <c r="L364" s="3398"/>
      <c r="M364" s="3398"/>
      <c r="N364" s="3398"/>
      <c r="O364" s="1008" t="str">
        <f>'＜入力不要＞報告書'!O352</f>
        <v>㎡</v>
      </c>
      <c r="P364" s="3397" t="str">
        <f>'＜入力不要＞報告書'!P352</f>
        <v/>
      </c>
      <c r="Q364" s="3398"/>
      <c r="R364" s="3398"/>
      <c r="S364" s="3398"/>
      <c r="T364" s="1008" t="str">
        <f>'＜入力不要＞報告書'!T352</f>
        <v>㎡</v>
      </c>
      <c r="U364" s="3397" t="str">
        <f>'＜入力不要＞報告書'!U352</f>
        <v/>
      </c>
      <c r="V364" s="3398"/>
      <c r="W364" s="3398"/>
      <c r="X364" s="3398"/>
      <c r="Y364" s="1008" t="str">
        <f>'＜入力不要＞報告書'!Y352</f>
        <v>㎡</v>
      </c>
      <c r="Z364" s="3397" t="str">
        <f>'＜入力不要＞報告書'!Z352</f>
        <v/>
      </c>
      <c r="AA364" s="3398"/>
      <c r="AB364" s="3398"/>
      <c r="AC364" s="3398"/>
      <c r="AD364" s="1008" t="str">
        <f>'＜入力不要＞報告書'!AD352</f>
        <v>㎡</v>
      </c>
      <c r="AE364" s="3397" t="str">
        <f>'＜入力不要＞報告書'!AE352</f>
        <v/>
      </c>
      <c r="AF364" s="3398"/>
      <c r="AG364" s="3398"/>
      <c r="AH364" s="3398"/>
      <c r="AI364" s="1008" t="str">
        <f>'＜入力不要＞報告書'!AI352</f>
        <v>㎡</v>
      </c>
      <c r="AJ364" s="3397" t="str">
        <f>'＜入力不要＞報告書'!AJ352</f>
        <v/>
      </c>
      <c r="AK364" s="3398"/>
      <c r="AL364" s="3398"/>
      <c r="AM364" s="3398"/>
      <c r="AN364" s="1008" t="str">
        <f>'＜入力不要＞報告書'!AN352</f>
        <v>㎡</v>
      </c>
      <c r="AO364" s="3397" t="str">
        <f>'＜入力不要＞報告書'!AO352</f>
        <v/>
      </c>
      <c r="AP364" s="3398"/>
      <c r="AQ364" s="3398"/>
      <c r="AR364" s="3398"/>
      <c r="AS364" s="1008" t="str">
        <f>'＜入力不要＞報告書'!AS352</f>
        <v>㎡</v>
      </c>
      <c r="AT364" s="946"/>
      <c r="AU364" s="959"/>
      <c r="AV364" s="959"/>
      <c r="BB364" s="939"/>
      <c r="BC364" s="939"/>
    </row>
    <row r="365" spans="1:55" ht="12.95" customHeight="1" x14ac:dyDescent="0.15">
      <c r="B365" s="1012"/>
      <c r="C365" s="3403">
        <f>'＜入力不要＞報告書'!C353</f>
        <v>26</v>
      </c>
      <c r="D365" s="3404"/>
      <c r="E365" s="1009" t="str">
        <f>'＜入力不要＞報告書'!E353</f>
        <v>階</v>
      </c>
      <c r="F365" s="3399">
        <f>'＜入力不要＞報告書'!F353</f>
        <v>0</v>
      </c>
      <c r="G365" s="3400"/>
      <c r="H365" s="3400"/>
      <c r="I365" s="3400"/>
      <c r="J365" s="1010" t="str">
        <f>'＜入力不要＞報告書'!J353</f>
        <v>㎡</v>
      </c>
      <c r="K365" s="3399" t="str">
        <f>'＜入力不要＞報告書'!K353</f>
        <v/>
      </c>
      <c r="L365" s="3400"/>
      <c r="M365" s="3400"/>
      <c r="N365" s="3400"/>
      <c r="O365" s="1010" t="str">
        <f>'＜入力不要＞報告書'!O353</f>
        <v>㎡</v>
      </c>
      <c r="P365" s="3399" t="str">
        <f>'＜入力不要＞報告書'!P353</f>
        <v/>
      </c>
      <c r="Q365" s="3400"/>
      <c r="R365" s="3400"/>
      <c r="S365" s="3400"/>
      <c r="T365" s="1010" t="str">
        <f>'＜入力不要＞報告書'!T353</f>
        <v>㎡</v>
      </c>
      <c r="U365" s="3399" t="str">
        <f>'＜入力不要＞報告書'!U353</f>
        <v/>
      </c>
      <c r="V365" s="3400"/>
      <c r="W365" s="3400"/>
      <c r="X365" s="3400"/>
      <c r="Y365" s="1010" t="str">
        <f>'＜入力不要＞報告書'!Y353</f>
        <v>㎡</v>
      </c>
      <c r="Z365" s="3399" t="str">
        <f>'＜入力不要＞報告書'!Z353</f>
        <v/>
      </c>
      <c r="AA365" s="3400"/>
      <c r="AB365" s="3400"/>
      <c r="AC365" s="3400"/>
      <c r="AD365" s="1010" t="str">
        <f>'＜入力不要＞報告書'!AD353</f>
        <v>㎡</v>
      </c>
      <c r="AE365" s="3399" t="str">
        <f>'＜入力不要＞報告書'!AE353</f>
        <v/>
      </c>
      <c r="AF365" s="3400"/>
      <c r="AG365" s="3400"/>
      <c r="AH365" s="3400"/>
      <c r="AI365" s="1010" t="str">
        <f>'＜入力不要＞報告書'!AI353</f>
        <v>㎡</v>
      </c>
      <c r="AJ365" s="3399" t="str">
        <f>'＜入力不要＞報告書'!AJ353</f>
        <v/>
      </c>
      <c r="AK365" s="3400"/>
      <c r="AL365" s="3400"/>
      <c r="AM365" s="3400"/>
      <c r="AN365" s="1010" t="str">
        <f>'＜入力不要＞報告書'!AN353</f>
        <v>㎡</v>
      </c>
      <c r="AO365" s="3399" t="str">
        <f>'＜入力不要＞報告書'!AO353</f>
        <v/>
      </c>
      <c r="AP365" s="3400"/>
      <c r="AQ365" s="3400"/>
      <c r="AR365" s="3400"/>
      <c r="AS365" s="1010" t="str">
        <f>'＜入力不要＞報告書'!AS353</f>
        <v>㎡</v>
      </c>
      <c r="AT365" s="946"/>
      <c r="AU365" s="959"/>
      <c r="AV365" s="959"/>
      <c r="BB365" s="939"/>
      <c r="BC365" s="939"/>
    </row>
    <row r="366" spans="1:55" ht="12.95" customHeight="1" x14ac:dyDescent="0.15">
      <c r="B366" s="1013"/>
      <c r="C366" s="3403">
        <f>'＜入力不要＞報告書'!C354</f>
        <v>27</v>
      </c>
      <c r="D366" s="3404"/>
      <c r="E366" s="1006" t="str">
        <f>'＜入力不要＞報告書'!E354</f>
        <v>階</v>
      </c>
      <c r="F366" s="3386">
        <f>'＜入力不要＞報告書'!F354</f>
        <v>0</v>
      </c>
      <c r="G366" s="3387"/>
      <c r="H366" s="3387"/>
      <c r="I366" s="3387"/>
      <c r="J366" s="1007" t="str">
        <f>'＜入力不要＞報告書'!J354</f>
        <v>㎡</v>
      </c>
      <c r="K366" s="3386" t="str">
        <f>'＜入力不要＞報告書'!K354</f>
        <v/>
      </c>
      <c r="L366" s="3387"/>
      <c r="M366" s="3387"/>
      <c r="N366" s="3387"/>
      <c r="O366" s="1007" t="str">
        <f>'＜入力不要＞報告書'!O354</f>
        <v>㎡</v>
      </c>
      <c r="P366" s="3386" t="str">
        <f>'＜入力不要＞報告書'!P354</f>
        <v/>
      </c>
      <c r="Q366" s="3387"/>
      <c r="R366" s="3387"/>
      <c r="S366" s="3387"/>
      <c r="T366" s="1007" t="str">
        <f>'＜入力不要＞報告書'!T354</f>
        <v>㎡</v>
      </c>
      <c r="U366" s="3386" t="str">
        <f>'＜入力不要＞報告書'!U354</f>
        <v/>
      </c>
      <c r="V366" s="3387"/>
      <c r="W366" s="3387"/>
      <c r="X366" s="3387"/>
      <c r="Y366" s="1007" t="str">
        <f>'＜入力不要＞報告書'!Y354</f>
        <v>㎡</v>
      </c>
      <c r="Z366" s="3386" t="str">
        <f>'＜入力不要＞報告書'!Z354</f>
        <v/>
      </c>
      <c r="AA366" s="3387"/>
      <c r="AB366" s="3387"/>
      <c r="AC366" s="3387"/>
      <c r="AD366" s="1007" t="str">
        <f>'＜入力不要＞報告書'!AD354</f>
        <v>㎡</v>
      </c>
      <c r="AE366" s="3386" t="str">
        <f>'＜入力不要＞報告書'!AE354</f>
        <v/>
      </c>
      <c r="AF366" s="3387"/>
      <c r="AG366" s="3387"/>
      <c r="AH366" s="3387"/>
      <c r="AI366" s="1007" t="str">
        <f>'＜入力不要＞報告書'!AI354</f>
        <v>㎡</v>
      </c>
      <c r="AJ366" s="3386" t="str">
        <f>'＜入力不要＞報告書'!AJ354</f>
        <v/>
      </c>
      <c r="AK366" s="3387"/>
      <c r="AL366" s="3387"/>
      <c r="AM366" s="3387"/>
      <c r="AN366" s="1007" t="str">
        <f>'＜入力不要＞報告書'!AN354</f>
        <v>㎡</v>
      </c>
      <c r="AO366" s="3386" t="str">
        <f>'＜入力不要＞報告書'!AO354</f>
        <v/>
      </c>
      <c r="AP366" s="3387"/>
      <c r="AQ366" s="3387"/>
      <c r="AR366" s="3387"/>
      <c r="AS366" s="1007" t="str">
        <f>'＜入力不要＞報告書'!AS354</f>
        <v>㎡</v>
      </c>
      <c r="AT366" s="946"/>
      <c r="AU366" s="959"/>
      <c r="AV366" s="959"/>
      <c r="BB366" s="939"/>
      <c r="BC366" s="939"/>
    </row>
    <row r="367" spans="1:55" ht="12.95" customHeight="1" x14ac:dyDescent="0.15">
      <c r="B367" s="1013"/>
      <c r="C367" s="3403">
        <f>'＜入力不要＞報告書'!C355</f>
        <v>28</v>
      </c>
      <c r="D367" s="3404"/>
      <c r="E367" s="1006" t="str">
        <f>'＜入力不要＞報告書'!E355</f>
        <v>階</v>
      </c>
      <c r="F367" s="3386">
        <f>'＜入力不要＞報告書'!F355</f>
        <v>0</v>
      </c>
      <c r="G367" s="3387"/>
      <c r="H367" s="3387"/>
      <c r="I367" s="3387"/>
      <c r="J367" s="1007" t="str">
        <f>'＜入力不要＞報告書'!J355</f>
        <v>㎡</v>
      </c>
      <c r="K367" s="3386" t="str">
        <f>'＜入力不要＞報告書'!K355</f>
        <v/>
      </c>
      <c r="L367" s="3387"/>
      <c r="M367" s="3387"/>
      <c r="N367" s="3387"/>
      <c r="O367" s="1007" t="str">
        <f>'＜入力不要＞報告書'!O355</f>
        <v>㎡</v>
      </c>
      <c r="P367" s="3386" t="str">
        <f>'＜入力不要＞報告書'!P355</f>
        <v/>
      </c>
      <c r="Q367" s="3387"/>
      <c r="R367" s="3387"/>
      <c r="S367" s="3387"/>
      <c r="T367" s="1007" t="str">
        <f>'＜入力不要＞報告書'!T355</f>
        <v>㎡</v>
      </c>
      <c r="U367" s="3386" t="str">
        <f>'＜入力不要＞報告書'!U355</f>
        <v/>
      </c>
      <c r="V367" s="3387"/>
      <c r="W367" s="3387"/>
      <c r="X367" s="3387"/>
      <c r="Y367" s="1007" t="str">
        <f>'＜入力不要＞報告書'!Y355</f>
        <v>㎡</v>
      </c>
      <c r="Z367" s="3386" t="str">
        <f>'＜入力不要＞報告書'!Z355</f>
        <v/>
      </c>
      <c r="AA367" s="3387"/>
      <c r="AB367" s="3387"/>
      <c r="AC367" s="3387"/>
      <c r="AD367" s="1007" t="str">
        <f>'＜入力不要＞報告書'!AD355</f>
        <v>㎡</v>
      </c>
      <c r="AE367" s="3386" t="str">
        <f>'＜入力不要＞報告書'!AE355</f>
        <v/>
      </c>
      <c r="AF367" s="3387"/>
      <c r="AG367" s="3387"/>
      <c r="AH367" s="3387"/>
      <c r="AI367" s="1007" t="str">
        <f>'＜入力不要＞報告書'!AI355</f>
        <v>㎡</v>
      </c>
      <c r="AJ367" s="3386" t="str">
        <f>'＜入力不要＞報告書'!AJ355</f>
        <v/>
      </c>
      <c r="AK367" s="3387"/>
      <c r="AL367" s="3387"/>
      <c r="AM367" s="3387"/>
      <c r="AN367" s="1007" t="str">
        <f>'＜入力不要＞報告書'!AN355</f>
        <v>㎡</v>
      </c>
      <c r="AO367" s="3386" t="str">
        <f>'＜入力不要＞報告書'!AO355</f>
        <v/>
      </c>
      <c r="AP367" s="3387"/>
      <c r="AQ367" s="3387"/>
      <c r="AR367" s="3387"/>
      <c r="AS367" s="1007" t="str">
        <f>'＜入力不要＞報告書'!AS355</f>
        <v>㎡</v>
      </c>
      <c r="AT367" s="946"/>
      <c r="AU367" s="959"/>
      <c r="AV367" s="959"/>
      <c r="BB367" s="939"/>
      <c r="BC367" s="939"/>
    </row>
    <row r="368" spans="1:55" ht="12.95" customHeight="1" x14ac:dyDescent="0.15">
      <c r="B368" s="1013"/>
      <c r="C368" s="3403">
        <f>'＜入力不要＞報告書'!C356</f>
        <v>29</v>
      </c>
      <c r="D368" s="3404"/>
      <c r="E368" s="1006" t="str">
        <f>'＜入力不要＞報告書'!E356</f>
        <v>階</v>
      </c>
      <c r="F368" s="3386">
        <f>'＜入力不要＞報告書'!F356</f>
        <v>0</v>
      </c>
      <c r="G368" s="3387"/>
      <c r="H368" s="3387"/>
      <c r="I368" s="3387"/>
      <c r="J368" s="1007" t="str">
        <f>'＜入力不要＞報告書'!J356</f>
        <v>㎡</v>
      </c>
      <c r="K368" s="3386" t="str">
        <f>'＜入力不要＞報告書'!K356</f>
        <v/>
      </c>
      <c r="L368" s="3387"/>
      <c r="M368" s="3387"/>
      <c r="N368" s="3387"/>
      <c r="O368" s="1007" t="str">
        <f>'＜入力不要＞報告書'!O356</f>
        <v>㎡</v>
      </c>
      <c r="P368" s="3386" t="str">
        <f>'＜入力不要＞報告書'!P356</f>
        <v/>
      </c>
      <c r="Q368" s="3387"/>
      <c r="R368" s="3387"/>
      <c r="S368" s="3387"/>
      <c r="T368" s="1007" t="str">
        <f>'＜入力不要＞報告書'!T356</f>
        <v>㎡</v>
      </c>
      <c r="U368" s="3386" t="str">
        <f>'＜入力不要＞報告書'!U356</f>
        <v/>
      </c>
      <c r="V368" s="3387"/>
      <c r="W368" s="3387"/>
      <c r="X368" s="3387"/>
      <c r="Y368" s="1007" t="str">
        <f>'＜入力不要＞報告書'!Y356</f>
        <v>㎡</v>
      </c>
      <c r="Z368" s="3386" t="str">
        <f>'＜入力不要＞報告書'!Z356</f>
        <v/>
      </c>
      <c r="AA368" s="3387"/>
      <c r="AB368" s="3387"/>
      <c r="AC368" s="3387"/>
      <c r="AD368" s="1007" t="str">
        <f>'＜入力不要＞報告書'!AD356</f>
        <v>㎡</v>
      </c>
      <c r="AE368" s="3386" t="str">
        <f>'＜入力不要＞報告書'!AE356</f>
        <v/>
      </c>
      <c r="AF368" s="3387"/>
      <c r="AG368" s="3387"/>
      <c r="AH368" s="3387"/>
      <c r="AI368" s="1007" t="str">
        <f>'＜入力不要＞報告書'!AI356</f>
        <v>㎡</v>
      </c>
      <c r="AJ368" s="3386" t="str">
        <f>'＜入力不要＞報告書'!AJ356</f>
        <v/>
      </c>
      <c r="AK368" s="3387"/>
      <c r="AL368" s="3387"/>
      <c r="AM368" s="3387"/>
      <c r="AN368" s="1007" t="str">
        <f>'＜入力不要＞報告書'!AN356</f>
        <v>㎡</v>
      </c>
      <c r="AO368" s="3386" t="str">
        <f>'＜入力不要＞報告書'!AO356</f>
        <v/>
      </c>
      <c r="AP368" s="3387"/>
      <c r="AQ368" s="3387"/>
      <c r="AR368" s="3387"/>
      <c r="AS368" s="1007" t="str">
        <f>'＜入力不要＞報告書'!AS356</f>
        <v>㎡</v>
      </c>
      <c r="AT368" s="946"/>
      <c r="AU368" s="959"/>
      <c r="AV368" s="959"/>
      <c r="BB368" s="939"/>
      <c r="BC368" s="939"/>
    </row>
    <row r="369" spans="2:55" ht="12.95" customHeight="1" x14ac:dyDescent="0.15">
      <c r="B369" s="1016"/>
      <c r="C369" s="3405">
        <f>'＜入力不要＞報告書'!C357</f>
        <v>30</v>
      </c>
      <c r="D369" s="3406"/>
      <c r="E369" s="1011" t="str">
        <f>'＜入力不要＞報告書'!E357</f>
        <v>階</v>
      </c>
      <c r="F369" s="3397">
        <f>'＜入力不要＞報告書'!F357</f>
        <v>0</v>
      </c>
      <c r="G369" s="3398"/>
      <c r="H369" s="3398"/>
      <c r="I369" s="3398"/>
      <c r="J369" s="1008" t="str">
        <f>'＜入力不要＞報告書'!J357</f>
        <v>㎡</v>
      </c>
      <c r="K369" s="3397" t="str">
        <f>'＜入力不要＞報告書'!K357</f>
        <v/>
      </c>
      <c r="L369" s="3398"/>
      <c r="M369" s="3398"/>
      <c r="N369" s="3398"/>
      <c r="O369" s="1008" t="str">
        <f>'＜入力不要＞報告書'!O357</f>
        <v>㎡</v>
      </c>
      <c r="P369" s="3397" t="str">
        <f>'＜入力不要＞報告書'!P357</f>
        <v/>
      </c>
      <c r="Q369" s="3398"/>
      <c r="R369" s="3398"/>
      <c r="S369" s="3398"/>
      <c r="T369" s="1008" t="str">
        <f>'＜入力不要＞報告書'!T357</f>
        <v>㎡</v>
      </c>
      <c r="U369" s="3397" t="str">
        <f>'＜入力不要＞報告書'!U357</f>
        <v/>
      </c>
      <c r="V369" s="3398"/>
      <c r="W369" s="3398"/>
      <c r="X369" s="3398"/>
      <c r="Y369" s="1008" t="str">
        <f>'＜入力不要＞報告書'!Y357</f>
        <v>㎡</v>
      </c>
      <c r="Z369" s="3397" t="str">
        <f>'＜入力不要＞報告書'!Z357</f>
        <v/>
      </c>
      <c r="AA369" s="3398"/>
      <c r="AB369" s="3398"/>
      <c r="AC369" s="3398"/>
      <c r="AD369" s="1008" t="str">
        <f>'＜入力不要＞報告書'!AD357</f>
        <v>㎡</v>
      </c>
      <c r="AE369" s="3397" t="str">
        <f>'＜入力不要＞報告書'!AE357</f>
        <v/>
      </c>
      <c r="AF369" s="3398"/>
      <c r="AG369" s="3398"/>
      <c r="AH369" s="3398"/>
      <c r="AI369" s="1008" t="str">
        <f>'＜入力不要＞報告書'!AI357</f>
        <v>㎡</v>
      </c>
      <c r="AJ369" s="3397" t="str">
        <f>'＜入力不要＞報告書'!AJ357</f>
        <v/>
      </c>
      <c r="AK369" s="3398"/>
      <c r="AL369" s="3398"/>
      <c r="AM369" s="3398"/>
      <c r="AN369" s="1008" t="str">
        <f>'＜入力不要＞報告書'!AN357</f>
        <v>㎡</v>
      </c>
      <c r="AO369" s="3397" t="str">
        <f>'＜入力不要＞報告書'!AO357</f>
        <v/>
      </c>
      <c r="AP369" s="3398"/>
      <c r="AQ369" s="3398"/>
      <c r="AR369" s="3398"/>
      <c r="AS369" s="1008" t="str">
        <f>'＜入力不要＞報告書'!AS357</f>
        <v>㎡</v>
      </c>
      <c r="AT369" s="946"/>
      <c r="AU369" s="959"/>
      <c r="AV369" s="959"/>
      <c r="BB369" s="939"/>
      <c r="BC369" s="939"/>
    </row>
    <row r="370" spans="2:55" ht="12.95" customHeight="1" x14ac:dyDescent="0.15">
      <c r="B370" s="1012"/>
      <c r="C370" s="3403">
        <f>'＜入力不要＞報告書'!C358</f>
        <v>31</v>
      </c>
      <c r="D370" s="3404"/>
      <c r="E370" s="1009" t="str">
        <f>'＜入力不要＞報告書'!E358</f>
        <v>階</v>
      </c>
      <c r="F370" s="3399">
        <f>'＜入力不要＞報告書'!F358</f>
        <v>0</v>
      </c>
      <c r="G370" s="3400"/>
      <c r="H370" s="3400"/>
      <c r="I370" s="3400"/>
      <c r="J370" s="1010" t="str">
        <f>'＜入力不要＞報告書'!J358</f>
        <v>㎡</v>
      </c>
      <c r="K370" s="3399" t="str">
        <f>'＜入力不要＞報告書'!K358</f>
        <v/>
      </c>
      <c r="L370" s="3400"/>
      <c r="M370" s="3400"/>
      <c r="N370" s="3400"/>
      <c r="O370" s="1010" t="str">
        <f>'＜入力不要＞報告書'!O358</f>
        <v>㎡</v>
      </c>
      <c r="P370" s="3399" t="str">
        <f>'＜入力不要＞報告書'!P358</f>
        <v/>
      </c>
      <c r="Q370" s="3400"/>
      <c r="R370" s="3400"/>
      <c r="S370" s="3400"/>
      <c r="T370" s="1010" t="str">
        <f>'＜入力不要＞報告書'!T358</f>
        <v>㎡</v>
      </c>
      <c r="U370" s="3399" t="str">
        <f>'＜入力不要＞報告書'!U358</f>
        <v/>
      </c>
      <c r="V370" s="3400"/>
      <c r="W370" s="3400"/>
      <c r="X370" s="3400"/>
      <c r="Y370" s="1010" t="str">
        <f>'＜入力不要＞報告書'!Y358</f>
        <v>㎡</v>
      </c>
      <c r="Z370" s="3399" t="str">
        <f>'＜入力不要＞報告書'!Z358</f>
        <v/>
      </c>
      <c r="AA370" s="3400"/>
      <c r="AB370" s="3400"/>
      <c r="AC370" s="3400"/>
      <c r="AD370" s="1010" t="str">
        <f>'＜入力不要＞報告書'!AD358</f>
        <v>㎡</v>
      </c>
      <c r="AE370" s="3399" t="str">
        <f>'＜入力不要＞報告書'!AE358</f>
        <v/>
      </c>
      <c r="AF370" s="3400"/>
      <c r="AG370" s="3400"/>
      <c r="AH370" s="3400"/>
      <c r="AI370" s="1010" t="str">
        <f>'＜入力不要＞報告書'!AI358</f>
        <v>㎡</v>
      </c>
      <c r="AJ370" s="3399" t="str">
        <f>'＜入力不要＞報告書'!AJ358</f>
        <v/>
      </c>
      <c r="AK370" s="3400"/>
      <c r="AL370" s="3400"/>
      <c r="AM370" s="3400"/>
      <c r="AN370" s="1010" t="str">
        <f>'＜入力不要＞報告書'!AN358</f>
        <v>㎡</v>
      </c>
      <c r="AO370" s="3399" t="str">
        <f>'＜入力不要＞報告書'!AO358</f>
        <v/>
      </c>
      <c r="AP370" s="3400"/>
      <c r="AQ370" s="3400"/>
      <c r="AR370" s="3400"/>
      <c r="AS370" s="1010" t="str">
        <f>'＜入力不要＞報告書'!AS358</f>
        <v>㎡</v>
      </c>
      <c r="AT370" s="999"/>
      <c r="AU370" s="959"/>
      <c r="AV370" s="959"/>
      <c r="BB370" s="939"/>
      <c r="BC370" s="939"/>
    </row>
    <row r="371" spans="2:55" ht="12.95" customHeight="1" x14ac:dyDescent="0.15">
      <c r="B371" s="1013"/>
      <c r="C371" s="3403">
        <f>'＜入力不要＞報告書'!C359</f>
        <v>32</v>
      </c>
      <c r="D371" s="3404"/>
      <c r="E371" s="1006" t="str">
        <f>'＜入力不要＞報告書'!E359</f>
        <v>階</v>
      </c>
      <c r="F371" s="3386">
        <f>'＜入力不要＞報告書'!F359</f>
        <v>0</v>
      </c>
      <c r="G371" s="3387"/>
      <c r="H371" s="3387"/>
      <c r="I371" s="3387"/>
      <c r="J371" s="1007" t="str">
        <f>'＜入力不要＞報告書'!J359</f>
        <v>㎡</v>
      </c>
      <c r="K371" s="3386" t="str">
        <f>'＜入力不要＞報告書'!K359</f>
        <v/>
      </c>
      <c r="L371" s="3387"/>
      <c r="M371" s="3387"/>
      <c r="N371" s="3387"/>
      <c r="O371" s="1007" t="str">
        <f>'＜入力不要＞報告書'!O359</f>
        <v>㎡</v>
      </c>
      <c r="P371" s="3386" t="str">
        <f>'＜入力不要＞報告書'!P359</f>
        <v/>
      </c>
      <c r="Q371" s="3387"/>
      <c r="R371" s="3387"/>
      <c r="S371" s="3387"/>
      <c r="T371" s="1007" t="str">
        <f>'＜入力不要＞報告書'!T359</f>
        <v>㎡</v>
      </c>
      <c r="U371" s="3386" t="str">
        <f>'＜入力不要＞報告書'!U359</f>
        <v/>
      </c>
      <c r="V371" s="3387"/>
      <c r="W371" s="3387"/>
      <c r="X371" s="3387"/>
      <c r="Y371" s="1007" t="str">
        <f>'＜入力不要＞報告書'!Y359</f>
        <v>㎡</v>
      </c>
      <c r="Z371" s="3386" t="str">
        <f>'＜入力不要＞報告書'!Z359</f>
        <v/>
      </c>
      <c r="AA371" s="3387"/>
      <c r="AB371" s="3387"/>
      <c r="AC371" s="3387"/>
      <c r="AD371" s="1007" t="str">
        <f>'＜入力不要＞報告書'!AD359</f>
        <v>㎡</v>
      </c>
      <c r="AE371" s="3386" t="str">
        <f>'＜入力不要＞報告書'!AE359</f>
        <v/>
      </c>
      <c r="AF371" s="3387"/>
      <c r="AG371" s="3387"/>
      <c r="AH371" s="3387"/>
      <c r="AI371" s="1007" t="str">
        <f>'＜入力不要＞報告書'!AI359</f>
        <v>㎡</v>
      </c>
      <c r="AJ371" s="3386" t="str">
        <f>'＜入力不要＞報告書'!AJ359</f>
        <v/>
      </c>
      <c r="AK371" s="3387"/>
      <c r="AL371" s="3387"/>
      <c r="AM371" s="3387"/>
      <c r="AN371" s="1007" t="str">
        <f>'＜入力不要＞報告書'!AN359</f>
        <v>㎡</v>
      </c>
      <c r="AO371" s="3386" t="str">
        <f>'＜入力不要＞報告書'!AO359</f>
        <v/>
      </c>
      <c r="AP371" s="3387"/>
      <c r="AQ371" s="3387"/>
      <c r="AR371" s="3387"/>
      <c r="AS371" s="1007" t="str">
        <f>'＜入力不要＞報告書'!AS359</f>
        <v>㎡</v>
      </c>
      <c r="AT371" s="999"/>
      <c r="AU371" s="959"/>
      <c r="AV371" s="959"/>
      <c r="BB371" s="939"/>
      <c r="BC371" s="939"/>
    </row>
    <row r="372" spans="2:55" ht="12.95" customHeight="1" x14ac:dyDescent="0.15">
      <c r="B372" s="1013"/>
      <c r="C372" s="3403">
        <f>'＜入力不要＞報告書'!C360</f>
        <v>33</v>
      </c>
      <c r="D372" s="3404"/>
      <c r="E372" s="1006" t="str">
        <f>'＜入力不要＞報告書'!E360</f>
        <v>階</v>
      </c>
      <c r="F372" s="3386">
        <f>'＜入力不要＞報告書'!F360</f>
        <v>0</v>
      </c>
      <c r="G372" s="3387"/>
      <c r="H372" s="3387"/>
      <c r="I372" s="3387"/>
      <c r="J372" s="1007" t="str">
        <f>'＜入力不要＞報告書'!J360</f>
        <v>㎡</v>
      </c>
      <c r="K372" s="3386" t="str">
        <f>'＜入力不要＞報告書'!K360</f>
        <v/>
      </c>
      <c r="L372" s="3387"/>
      <c r="M372" s="3387"/>
      <c r="N372" s="3387"/>
      <c r="O372" s="1007" t="str">
        <f>'＜入力不要＞報告書'!O360</f>
        <v>㎡</v>
      </c>
      <c r="P372" s="3386" t="str">
        <f>'＜入力不要＞報告書'!P360</f>
        <v/>
      </c>
      <c r="Q372" s="3387"/>
      <c r="R372" s="3387"/>
      <c r="S372" s="3387"/>
      <c r="T372" s="1007" t="str">
        <f>'＜入力不要＞報告書'!T360</f>
        <v>㎡</v>
      </c>
      <c r="U372" s="3386" t="str">
        <f>'＜入力不要＞報告書'!U360</f>
        <v/>
      </c>
      <c r="V372" s="3387"/>
      <c r="W372" s="3387"/>
      <c r="X372" s="3387"/>
      <c r="Y372" s="1007" t="str">
        <f>'＜入力不要＞報告書'!Y360</f>
        <v>㎡</v>
      </c>
      <c r="Z372" s="3386" t="str">
        <f>'＜入力不要＞報告書'!Z360</f>
        <v/>
      </c>
      <c r="AA372" s="3387"/>
      <c r="AB372" s="3387"/>
      <c r="AC372" s="3387"/>
      <c r="AD372" s="1007" t="str">
        <f>'＜入力不要＞報告書'!AD360</f>
        <v>㎡</v>
      </c>
      <c r="AE372" s="3386" t="str">
        <f>'＜入力不要＞報告書'!AE360</f>
        <v/>
      </c>
      <c r="AF372" s="3387"/>
      <c r="AG372" s="3387"/>
      <c r="AH372" s="3387"/>
      <c r="AI372" s="1007" t="str">
        <f>'＜入力不要＞報告書'!AI360</f>
        <v>㎡</v>
      </c>
      <c r="AJ372" s="3386" t="str">
        <f>'＜入力不要＞報告書'!AJ360</f>
        <v/>
      </c>
      <c r="AK372" s="3387"/>
      <c r="AL372" s="3387"/>
      <c r="AM372" s="3387"/>
      <c r="AN372" s="1007" t="str">
        <f>'＜入力不要＞報告書'!AN360</f>
        <v>㎡</v>
      </c>
      <c r="AO372" s="3386" t="str">
        <f>'＜入力不要＞報告書'!AO360</f>
        <v/>
      </c>
      <c r="AP372" s="3387"/>
      <c r="AQ372" s="3387"/>
      <c r="AR372" s="3387"/>
      <c r="AS372" s="1007" t="str">
        <f>'＜入力不要＞報告書'!AS360</f>
        <v>㎡</v>
      </c>
      <c r="AT372" s="946"/>
      <c r="AU372" s="959"/>
      <c r="AV372" s="959"/>
      <c r="BB372" s="939"/>
      <c r="BC372" s="939"/>
    </row>
    <row r="373" spans="2:55" ht="12.95" customHeight="1" x14ac:dyDescent="0.15">
      <c r="B373" s="1013"/>
      <c r="C373" s="3403">
        <f>'＜入力不要＞報告書'!C361</f>
        <v>34</v>
      </c>
      <c r="D373" s="3404"/>
      <c r="E373" s="1006" t="str">
        <f>'＜入力不要＞報告書'!E361</f>
        <v>階</v>
      </c>
      <c r="F373" s="3386">
        <f>'＜入力不要＞報告書'!F361</f>
        <v>0</v>
      </c>
      <c r="G373" s="3387"/>
      <c r="H373" s="3387"/>
      <c r="I373" s="3387"/>
      <c r="J373" s="1007" t="str">
        <f>'＜入力不要＞報告書'!J361</f>
        <v>㎡</v>
      </c>
      <c r="K373" s="3386" t="str">
        <f>'＜入力不要＞報告書'!K361</f>
        <v/>
      </c>
      <c r="L373" s="3387"/>
      <c r="M373" s="3387"/>
      <c r="N373" s="3387"/>
      <c r="O373" s="1007" t="str">
        <f>'＜入力不要＞報告書'!O361</f>
        <v>㎡</v>
      </c>
      <c r="P373" s="3386" t="str">
        <f>'＜入力不要＞報告書'!P361</f>
        <v/>
      </c>
      <c r="Q373" s="3387"/>
      <c r="R373" s="3387"/>
      <c r="S373" s="3387"/>
      <c r="T373" s="1007" t="str">
        <f>'＜入力不要＞報告書'!T361</f>
        <v>㎡</v>
      </c>
      <c r="U373" s="3386" t="str">
        <f>'＜入力不要＞報告書'!U361</f>
        <v/>
      </c>
      <c r="V373" s="3387"/>
      <c r="W373" s="3387"/>
      <c r="X373" s="3387"/>
      <c r="Y373" s="1007" t="str">
        <f>'＜入力不要＞報告書'!Y361</f>
        <v>㎡</v>
      </c>
      <c r="Z373" s="3386" t="str">
        <f>'＜入力不要＞報告書'!Z361</f>
        <v/>
      </c>
      <c r="AA373" s="3387"/>
      <c r="AB373" s="3387"/>
      <c r="AC373" s="3387"/>
      <c r="AD373" s="1007" t="str">
        <f>'＜入力不要＞報告書'!AD361</f>
        <v>㎡</v>
      </c>
      <c r="AE373" s="3386" t="str">
        <f>'＜入力不要＞報告書'!AE361</f>
        <v/>
      </c>
      <c r="AF373" s="3387"/>
      <c r="AG373" s="3387"/>
      <c r="AH373" s="3387"/>
      <c r="AI373" s="1007" t="str">
        <f>'＜入力不要＞報告書'!AI361</f>
        <v>㎡</v>
      </c>
      <c r="AJ373" s="3386" t="str">
        <f>'＜入力不要＞報告書'!AJ361</f>
        <v/>
      </c>
      <c r="AK373" s="3387"/>
      <c r="AL373" s="3387"/>
      <c r="AM373" s="3387"/>
      <c r="AN373" s="1007" t="str">
        <f>'＜入力不要＞報告書'!AN361</f>
        <v>㎡</v>
      </c>
      <c r="AO373" s="3386" t="str">
        <f>'＜入力不要＞報告書'!AO361</f>
        <v/>
      </c>
      <c r="AP373" s="3387"/>
      <c r="AQ373" s="3387"/>
      <c r="AR373" s="3387"/>
      <c r="AS373" s="1007" t="str">
        <f>'＜入力不要＞報告書'!AS361</f>
        <v>㎡</v>
      </c>
      <c r="AT373" s="946"/>
      <c r="AU373" s="959"/>
      <c r="AV373" s="959"/>
      <c r="BB373" s="939"/>
      <c r="BC373" s="939"/>
    </row>
    <row r="374" spans="2:55" ht="12.95" customHeight="1" x14ac:dyDescent="0.15">
      <c r="B374" s="1016"/>
      <c r="C374" s="3405">
        <f>'＜入力不要＞報告書'!C362</f>
        <v>35</v>
      </c>
      <c r="D374" s="3406"/>
      <c r="E374" s="1011" t="str">
        <f>'＜入力不要＞報告書'!E362</f>
        <v>階</v>
      </c>
      <c r="F374" s="3397">
        <f>'＜入力不要＞報告書'!F362</f>
        <v>0</v>
      </c>
      <c r="G374" s="3398"/>
      <c r="H374" s="3398"/>
      <c r="I374" s="3398"/>
      <c r="J374" s="1008" t="str">
        <f>'＜入力不要＞報告書'!J362</f>
        <v>㎡</v>
      </c>
      <c r="K374" s="3397" t="str">
        <f>'＜入力不要＞報告書'!K362</f>
        <v/>
      </c>
      <c r="L374" s="3398"/>
      <c r="M374" s="3398"/>
      <c r="N374" s="3398"/>
      <c r="O374" s="1008" t="str">
        <f>'＜入力不要＞報告書'!O362</f>
        <v>㎡</v>
      </c>
      <c r="P374" s="3397" t="str">
        <f>'＜入力不要＞報告書'!P362</f>
        <v/>
      </c>
      <c r="Q374" s="3398"/>
      <c r="R374" s="3398"/>
      <c r="S374" s="3398"/>
      <c r="T374" s="1008" t="str">
        <f>'＜入力不要＞報告書'!T362</f>
        <v>㎡</v>
      </c>
      <c r="U374" s="3397" t="str">
        <f>'＜入力不要＞報告書'!U362</f>
        <v/>
      </c>
      <c r="V374" s="3398"/>
      <c r="W374" s="3398"/>
      <c r="X374" s="3398"/>
      <c r="Y374" s="1008" t="str">
        <f>'＜入力不要＞報告書'!Y362</f>
        <v>㎡</v>
      </c>
      <c r="Z374" s="3397" t="str">
        <f>'＜入力不要＞報告書'!Z362</f>
        <v/>
      </c>
      <c r="AA374" s="3398"/>
      <c r="AB374" s="3398"/>
      <c r="AC374" s="3398"/>
      <c r="AD374" s="1008" t="str">
        <f>'＜入力不要＞報告書'!AD362</f>
        <v>㎡</v>
      </c>
      <c r="AE374" s="3397" t="str">
        <f>'＜入力不要＞報告書'!AE362</f>
        <v/>
      </c>
      <c r="AF374" s="3398"/>
      <c r="AG374" s="3398"/>
      <c r="AH374" s="3398"/>
      <c r="AI374" s="1008" t="str">
        <f>'＜入力不要＞報告書'!AI362</f>
        <v>㎡</v>
      </c>
      <c r="AJ374" s="3397" t="str">
        <f>'＜入力不要＞報告書'!AJ362</f>
        <v/>
      </c>
      <c r="AK374" s="3398"/>
      <c r="AL374" s="3398"/>
      <c r="AM374" s="3398"/>
      <c r="AN374" s="1008" t="str">
        <f>'＜入力不要＞報告書'!AN362</f>
        <v>㎡</v>
      </c>
      <c r="AO374" s="3397" t="str">
        <f>'＜入力不要＞報告書'!AO362</f>
        <v/>
      </c>
      <c r="AP374" s="3398"/>
      <c r="AQ374" s="3398"/>
      <c r="AR374" s="3398"/>
      <c r="AS374" s="1008" t="str">
        <f>'＜入力不要＞報告書'!AS362</f>
        <v>㎡</v>
      </c>
      <c r="AT374" s="946"/>
      <c r="AU374" s="959"/>
      <c r="AV374" s="959"/>
      <c r="BB374" s="939"/>
      <c r="BC374" s="939"/>
    </row>
    <row r="375" spans="2:55" ht="12.95" customHeight="1" x14ac:dyDescent="0.15">
      <c r="B375" s="1012"/>
      <c r="C375" s="3403">
        <f>'＜入力不要＞報告書'!C363</f>
        <v>36</v>
      </c>
      <c r="D375" s="3404"/>
      <c r="E375" s="1009" t="str">
        <f>'＜入力不要＞報告書'!E363</f>
        <v>階</v>
      </c>
      <c r="F375" s="3399">
        <f>'＜入力不要＞報告書'!F363</f>
        <v>0</v>
      </c>
      <c r="G375" s="3400"/>
      <c r="H375" s="3400"/>
      <c r="I375" s="3400"/>
      <c r="J375" s="1010" t="str">
        <f>'＜入力不要＞報告書'!J363</f>
        <v>㎡</v>
      </c>
      <c r="K375" s="3399" t="str">
        <f>'＜入力不要＞報告書'!K363</f>
        <v/>
      </c>
      <c r="L375" s="3400"/>
      <c r="M375" s="3400"/>
      <c r="N375" s="3400"/>
      <c r="O375" s="1010" t="str">
        <f>'＜入力不要＞報告書'!O363</f>
        <v>㎡</v>
      </c>
      <c r="P375" s="3399" t="str">
        <f>'＜入力不要＞報告書'!P363</f>
        <v/>
      </c>
      <c r="Q375" s="3400"/>
      <c r="R375" s="3400"/>
      <c r="S375" s="3400"/>
      <c r="T375" s="1010" t="str">
        <f>'＜入力不要＞報告書'!T363</f>
        <v>㎡</v>
      </c>
      <c r="U375" s="3399" t="str">
        <f>'＜入力不要＞報告書'!U363</f>
        <v/>
      </c>
      <c r="V375" s="3400"/>
      <c r="W375" s="3400"/>
      <c r="X375" s="3400"/>
      <c r="Y375" s="1010" t="str">
        <f>'＜入力不要＞報告書'!Y363</f>
        <v>㎡</v>
      </c>
      <c r="Z375" s="3399" t="str">
        <f>'＜入力不要＞報告書'!Z363</f>
        <v/>
      </c>
      <c r="AA375" s="3400"/>
      <c r="AB375" s="3400"/>
      <c r="AC375" s="3400"/>
      <c r="AD375" s="1010" t="str">
        <f>'＜入力不要＞報告書'!AD363</f>
        <v>㎡</v>
      </c>
      <c r="AE375" s="3399" t="str">
        <f>'＜入力不要＞報告書'!AE363</f>
        <v/>
      </c>
      <c r="AF375" s="3400"/>
      <c r="AG375" s="3400"/>
      <c r="AH375" s="3400"/>
      <c r="AI375" s="1010" t="str">
        <f>'＜入力不要＞報告書'!AI363</f>
        <v>㎡</v>
      </c>
      <c r="AJ375" s="3399" t="str">
        <f>'＜入力不要＞報告書'!AJ363</f>
        <v/>
      </c>
      <c r="AK375" s="3400"/>
      <c r="AL375" s="3400"/>
      <c r="AM375" s="3400"/>
      <c r="AN375" s="1010" t="str">
        <f>'＜入力不要＞報告書'!AN363</f>
        <v>㎡</v>
      </c>
      <c r="AO375" s="3399" t="str">
        <f>'＜入力不要＞報告書'!AO363</f>
        <v/>
      </c>
      <c r="AP375" s="3400"/>
      <c r="AQ375" s="3400"/>
      <c r="AR375" s="3400"/>
      <c r="AS375" s="1010" t="str">
        <f>'＜入力不要＞報告書'!AS363</f>
        <v>㎡</v>
      </c>
      <c r="AT375" s="946"/>
      <c r="AU375" s="959"/>
      <c r="AV375" s="959"/>
      <c r="BB375" s="939"/>
      <c r="BC375" s="939"/>
    </row>
    <row r="376" spans="2:55" ht="12.95" customHeight="1" x14ac:dyDescent="0.15">
      <c r="B376" s="1013"/>
      <c r="C376" s="3403">
        <f>'＜入力不要＞報告書'!C364</f>
        <v>37</v>
      </c>
      <c r="D376" s="3404"/>
      <c r="E376" s="1006" t="str">
        <f>'＜入力不要＞報告書'!E364</f>
        <v>階</v>
      </c>
      <c r="F376" s="3386">
        <f>'＜入力不要＞報告書'!F364</f>
        <v>0</v>
      </c>
      <c r="G376" s="3387"/>
      <c r="H376" s="3387"/>
      <c r="I376" s="3387"/>
      <c r="J376" s="1007" t="str">
        <f>'＜入力不要＞報告書'!J364</f>
        <v>㎡</v>
      </c>
      <c r="K376" s="3386" t="str">
        <f>'＜入力不要＞報告書'!K364</f>
        <v/>
      </c>
      <c r="L376" s="3387"/>
      <c r="M376" s="3387"/>
      <c r="N376" s="3387"/>
      <c r="O376" s="1007" t="str">
        <f>'＜入力不要＞報告書'!O364</f>
        <v>㎡</v>
      </c>
      <c r="P376" s="3386" t="str">
        <f>'＜入力不要＞報告書'!P364</f>
        <v/>
      </c>
      <c r="Q376" s="3387"/>
      <c r="R376" s="3387"/>
      <c r="S376" s="3387"/>
      <c r="T376" s="1007" t="str">
        <f>'＜入力不要＞報告書'!T364</f>
        <v>㎡</v>
      </c>
      <c r="U376" s="3386" t="str">
        <f>'＜入力不要＞報告書'!U364</f>
        <v/>
      </c>
      <c r="V376" s="3387"/>
      <c r="W376" s="3387"/>
      <c r="X376" s="3387"/>
      <c r="Y376" s="1007" t="str">
        <f>'＜入力不要＞報告書'!Y364</f>
        <v>㎡</v>
      </c>
      <c r="Z376" s="3386" t="str">
        <f>'＜入力不要＞報告書'!Z364</f>
        <v/>
      </c>
      <c r="AA376" s="3387"/>
      <c r="AB376" s="3387"/>
      <c r="AC376" s="3387"/>
      <c r="AD376" s="1007" t="str">
        <f>'＜入力不要＞報告書'!AD364</f>
        <v>㎡</v>
      </c>
      <c r="AE376" s="3386" t="str">
        <f>'＜入力不要＞報告書'!AE364</f>
        <v/>
      </c>
      <c r="AF376" s="3387"/>
      <c r="AG376" s="3387"/>
      <c r="AH376" s="3387"/>
      <c r="AI376" s="1007" t="str">
        <f>'＜入力不要＞報告書'!AI364</f>
        <v>㎡</v>
      </c>
      <c r="AJ376" s="3386" t="str">
        <f>'＜入力不要＞報告書'!AJ364</f>
        <v/>
      </c>
      <c r="AK376" s="3387"/>
      <c r="AL376" s="3387"/>
      <c r="AM376" s="3387"/>
      <c r="AN376" s="1007" t="str">
        <f>'＜入力不要＞報告書'!AN364</f>
        <v>㎡</v>
      </c>
      <c r="AO376" s="3386" t="str">
        <f>'＜入力不要＞報告書'!AO364</f>
        <v/>
      </c>
      <c r="AP376" s="3387"/>
      <c r="AQ376" s="3387"/>
      <c r="AR376" s="3387"/>
      <c r="AS376" s="1007" t="str">
        <f>'＜入力不要＞報告書'!AS364</f>
        <v>㎡</v>
      </c>
      <c r="AT376" s="946"/>
      <c r="AU376" s="959"/>
      <c r="AV376" s="959"/>
      <c r="BB376" s="939"/>
      <c r="BC376" s="939"/>
    </row>
    <row r="377" spans="2:55" ht="12.95" customHeight="1" x14ac:dyDescent="0.15">
      <c r="B377" s="1013"/>
      <c r="C377" s="3403">
        <f>'＜入力不要＞報告書'!C365</f>
        <v>38</v>
      </c>
      <c r="D377" s="3404"/>
      <c r="E377" s="1006" t="str">
        <f>'＜入力不要＞報告書'!E365</f>
        <v>階</v>
      </c>
      <c r="F377" s="3386">
        <f>'＜入力不要＞報告書'!F365</f>
        <v>0</v>
      </c>
      <c r="G377" s="3387"/>
      <c r="H377" s="3387"/>
      <c r="I377" s="3387"/>
      <c r="J377" s="1007" t="str">
        <f>'＜入力不要＞報告書'!J365</f>
        <v>㎡</v>
      </c>
      <c r="K377" s="3386" t="str">
        <f>'＜入力不要＞報告書'!K365</f>
        <v/>
      </c>
      <c r="L377" s="3387"/>
      <c r="M377" s="3387"/>
      <c r="N377" s="3387"/>
      <c r="O377" s="1007" t="str">
        <f>'＜入力不要＞報告書'!O365</f>
        <v>㎡</v>
      </c>
      <c r="P377" s="3386" t="str">
        <f>'＜入力不要＞報告書'!P365</f>
        <v/>
      </c>
      <c r="Q377" s="3387"/>
      <c r="R377" s="3387"/>
      <c r="S377" s="3387"/>
      <c r="T377" s="1007" t="str">
        <f>'＜入力不要＞報告書'!T365</f>
        <v>㎡</v>
      </c>
      <c r="U377" s="3386" t="str">
        <f>'＜入力不要＞報告書'!U365</f>
        <v/>
      </c>
      <c r="V377" s="3387"/>
      <c r="W377" s="3387"/>
      <c r="X377" s="3387"/>
      <c r="Y377" s="1007" t="str">
        <f>'＜入力不要＞報告書'!Y365</f>
        <v>㎡</v>
      </c>
      <c r="Z377" s="3386" t="str">
        <f>'＜入力不要＞報告書'!Z365</f>
        <v/>
      </c>
      <c r="AA377" s="3387"/>
      <c r="AB377" s="3387"/>
      <c r="AC377" s="3387"/>
      <c r="AD377" s="1007" t="str">
        <f>'＜入力不要＞報告書'!AD365</f>
        <v>㎡</v>
      </c>
      <c r="AE377" s="3386" t="str">
        <f>'＜入力不要＞報告書'!AE365</f>
        <v/>
      </c>
      <c r="AF377" s="3387"/>
      <c r="AG377" s="3387"/>
      <c r="AH377" s="3387"/>
      <c r="AI377" s="1007" t="str">
        <f>'＜入力不要＞報告書'!AI365</f>
        <v>㎡</v>
      </c>
      <c r="AJ377" s="3386" t="str">
        <f>'＜入力不要＞報告書'!AJ365</f>
        <v/>
      </c>
      <c r="AK377" s="3387"/>
      <c r="AL377" s="3387"/>
      <c r="AM377" s="3387"/>
      <c r="AN377" s="1007" t="str">
        <f>'＜入力不要＞報告書'!AN365</f>
        <v>㎡</v>
      </c>
      <c r="AO377" s="3386" t="str">
        <f>'＜入力不要＞報告書'!AO365</f>
        <v/>
      </c>
      <c r="AP377" s="3387"/>
      <c r="AQ377" s="3387"/>
      <c r="AR377" s="3387"/>
      <c r="AS377" s="1007" t="str">
        <f>'＜入力不要＞報告書'!AS365</f>
        <v>㎡</v>
      </c>
      <c r="AT377" s="946"/>
      <c r="AU377" s="959"/>
      <c r="AV377" s="959"/>
      <c r="BB377" s="939"/>
      <c r="BC377" s="939"/>
    </row>
    <row r="378" spans="2:55" ht="12.95" customHeight="1" x14ac:dyDescent="0.15">
      <c r="B378" s="1013"/>
      <c r="C378" s="3403">
        <f>'＜入力不要＞報告書'!C366</f>
        <v>39</v>
      </c>
      <c r="D378" s="3404"/>
      <c r="E378" s="1006" t="str">
        <f>'＜入力不要＞報告書'!E366</f>
        <v>階</v>
      </c>
      <c r="F378" s="3386">
        <f>'＜入力不要＞報告書'!F366</f>
        <v>0</v>
      </c>
      <c r="G378" s="3387"/>
      <c r="H378" s="3387"/>
      <c r="I378" s="3387"/>
      <c r="J378" s="1007" t="str">
        <f>'＜入力不要＞報告書'!J366</f>
        <v>㎡</v>
      </c>
      <c r="K378" s="3386" t="str">
        <f>'＜入力不要＞報告書'!K366</f>
        <v/>
      </c>
      <c r="L378" s="3387"/>
      <c r="M378" s="3387"/>
      <c r="N378" s="3387"/>
      <c r="O378" s="1007" t="str">
        <f>'＜入力不要＞報告書'!O366</f>
        <v>㎡</v>
      </c>
      <c r="P378" s="3386" t="str">
        <f>'＜入力不要＞報告書'!P366</f>
        <v/>
      </c>
      <c r="Q378" s="3387"/>
      <c r="R378" s="3387"/>
      <c r="S378" s="3387"/>
      <c r="T378" s="1007" t="str">
        <f>'＜入力不要＞報告書'!T366</f>
        <v>㎡</v>
      </c>
      <c r="U378" s="3386" t="str">
        <f>'＜入力不要＞報告書'!U366</f>
        <v/>
      </c>
      <c r="V378" s="3387"/>
      <c r="W378" s="3387"/>
      <c r="X378" s="3387"/>
      <c r="Y378" s="1007" t="str">
        <f>'＜入力不要＞報告書'!Y366</f>
        <v>㎡</v>
      </c>
      <c r="Z378" s="3386" t="str">
        <f>'＜入力不要＞報告書'!Z366</f>
        <v/>
      </c>
      <c r="AA378" s="3387"/>
      <c r="AB378" s="3387"/>
      <c r="AC378" s="3387"/>
      <c r="AD378" s="1007" t="str">
        <f>'＜入力不要＞報告書'!AD366</f>
        <v>㎡</v>
      </c>
      <c r="AE378" s="3386" t="str">
        <f>'＜入力不要＞報告書'!AE366</f>
        <v/>
      </c>
      <c r="AF378" s="3387"/>
      <c r="AG378" s="3387"/>
      <c r="AH378" s="3387"/>
      <c r="AI378" s="1007" t="str">
        <f>'＜入力不要＞報告書'!AI366</f>
        <v>㎡</v>
      </c>
      <c r="AJ378" s="3386" t="str">
        <f>'＜入力不要＞報告書'!AJ366</f>
        <v/>
      </c>
      <c r="AK378" s="3387"/>
      <c r="AL378" s="3387"/>
      <c r="AM378" s="3387"/>
      <c r="AN378" s="1007" t="str">
        <f>'＜入力不要＞報告書'!AN366</f>
        <v>㎡</v>
      </c>
      <c r="AO378" s="3386" t="str">
        <f>'＜入力不要＞報告書'!AO366</f>
        <v/>
      </c>
      <c r="AP378" s="3387"/>
      <c r="AQ378" s="3387"/>
      <c r="AR378" s="3387"/>
      <c r="AS378" s="1007" t="str">
        <f>'＜入力不要＞報告書'!AS366</f>
        <v>㎡</v>
      </c>
      <c r="AT378" s="949"/>
      <c r="AU378" s="959"/>
      <c r="AV378" s="959"/>
      <c r="BB378" s="939"/>
      <c r="BC378" s="939"/>
    </row>
    <row r="379" spans="2:55" ht="12.95" customHeight="1" x14ac:dyDescent="0.15">
      <c r="B379" s="1016"/>
      <c r="C379" s="3405">
        <f>'＜入力不要＞報告書'!C367</f>
        <v>40</v>
      </c>
      <c r="D379" s="3406"/>
      <c r="E379" s="1011" t="str">
        <f>'＜入力不要＞報告書'!E367</f>
        <v>階</v>
      </c>
      <c r="F379" s="3397">
        <f>'＜入力不要＞報告書'!F367</f>
        <v>0</v>
      </c>
      <c r="G379" s="3398"/>
      <c r="H379" s="3398"/>
      <c r="I379" s="3398"/>
      <c r="J379" s="1008" t="str">
        <f>'＜入力不要＞報告書'!J367</f>
        <v>㎡</v>
      </c>
      <c r="K379" s="3397" t="str">
        <f>'＜入力不要＞報告書'!K367</f>
        <v/>
      </c>
      <c r="L379" s="3398"/>
      <c r="M379" s="3398"/>
      <c r="N379" s="3398"/>
      <c r="O379" s="1008" t="str">
        <f>'＜入力不要＞報告書'!O367</f>
        <v>㎡</v>
      </c>
      <c r="P379" s="3397" t="str">
        <f>'＜入力不要＞報告書'!P367</f>
        <v/>
      </c>
      <c r="Q379" s="3398"/>
      <c r="R379" s="3398"/>
      <c r="S379" s="3398"/>
      <c r="T379" s="1008" t="str">
        <f>'＜入力不要＞報告書'!T367</f>
        <v>㎡</v>
      </c>
      <c r="U379" s="3397" t="str">
        <f>'＜入力不要＞報告書'!U367</f>
        <v/>
      </c>
      <c r="V379" s="3398"/>
      <c r="W379" s="3398"/>
      <c r="X379" s="3398"/>
      <c r="Y379" s="1008" t="str">
        <f>'＜入力不要＞報告書'!Y367</f>
        <v>㎡</v>
      </c>
      <c r="Z379" s="3397" t="str">
        <f>'＜入力不要＞報告書'!Z367</f>
        <v/>
      </c>
      <c r="AA379" s="3398"/>
      <c r="AB379" s="3398"/>
      <c r="AC379" s="3398"/>
      <c r="AD379" s="1008" t="str">
        <f>'＜入力不要＞報告書'!AD367</f>
        <v>㎡</v>
      </c>
      <c r="AE379" s="3397" t="str">
        <f>'＜入力不要＞報告書'!AE367</f>
        <v/>
      </c>
      <c r="AF379" s="3398"/>
      <c r="AG379" s="3398"/>
      <c r="AH379" s="3398"/>
      <c r="AI379" s="1008" t="str">
        <f>'＜入力不要＞報告書'!AI367</f>
        <v>㎡</v>
      </c>
      <c r="AJ379" s="3397" t="str">
        <f>'＜入力不要＞報告書'!AJ367</f>
        <v/>
      </c>
      <c r="AK379" s="3398"/>
      <c r="AL379" s="3398"/>
      <c r="AM379" s="3398"/>
      <c r="AN379" s="1008" t="str">
        <f>'＜入力不要＞報告書'!AN367</f>
        <v>㎡</v>
      </c>
      <c r="AO379" s="3397" t="str">
        <f>'＜入力不要＞報告書'!AO367</f>
        <v/>
      </c>
      <c r="AP379" s="3398"/>
      <c r="AQ379" s="3398"/>
      <c r="AR379" s="3398"/>
      <c r="AS379" s="1008" t="str">
        <f>'＜入力不要＞報告書'!AS367</f>
        <v>㎡</v>
      </c>
      <c r="AT379" s="949"/>
      <c r="AU379" s="959"/>
      <c r="AV379" s="959"/>
      <c r="BB379" s="939"/>
      <c r="BC379" s="939"/>
    </row>
    <row r="380" spans="2:55" ht="12.95" customHeight="1" x14ac:dyDescent="0.15">
      <c r="B380" s="1012"/>
      <c r="C380" s="3403">
        <f>'＜入力不要＞報告書'!C368</f>
        <v>41</v>
      </c>
      <c r="D380" s="3404"/>
      <c r="E380" s="1009" t="str">
        <f>'＜入力不要＞報告書'!E368</f>
        <v>階</v>
      </c>
      <c r="F380" s="3399">
        <f>'＜入力不要＞報告書'!F368</f>
        <v>0</v>
      </c>
      <c r="G380" s="3400"/>
      <c r="H380" s="3400"/>
      <c r="I380" s="3400"/>
      <c r="J380" s="1010" t="str">
        <f>'＜入力不要＞報告書'!J368</f>
        <v>㎡</v>
      </c>
      <c r="K380" s="3399" t="str">
        <f>'＜入力不要＞報告書'!K368</f>
        <v/>
      </c>
      <c r="L380" s="3400"/>
      <c r="M380" s="3400"/>
      <c r="N380" s="3400"/>
      <c r="O380" s="1010" t="str">
        <f>'＜入力不要＞報告書'!O368</f>
        <v>㎡</v>
      </c>
      <c r="P380" s="3399" t="str">
        <f>'＜入力不要＞報告書'!P368</f>
        <v/>
      </c>
      <c r="Q380" s="3400"/>
      <c r="R380" s="3400"/>
      <c r="S380" s="3400"/>
      <c r="T380" s="1010" t="str">
        <f>'＜入力不要＞報告書'!T368</f>
        <v>㎡</v>
      </c>
      <c r="U380" s="3399" t="str">
        <f>'＜入力不要＞報告書'!U368</f>
        <v/>
      </c>
      <c r="V380" s="3400"/>
      <c r="W380" s="3400"/>
      <c r="X380" s="3400"/>
      <c r="Y380" s="1010" t="str">
        <f>'＜入力不要＞報告書'!Y368</f>
        <v>㎡</v>
      </c>
      <c r="Z380" s="3399" t="str">
        <f>'＜入力不要＞報告書'!Z368</f>
        <v/>
      </c>
      <c r="AA380" s="3400"/>
      <c r="AB380" s="3400"/>
      <c r="AC380" s="3400"/>
      <c r="AD380" s="1010" t="str">
        <f>'＜入力不要＞報告書'!AD368</f>
        <v>㎡</v>
      </c>
      <c r="AE380" s="3399" t="str">
        <f>'＜入力不要＞報告書'!AE368</f>
        <v/>
      </c>
      <c r="AF380" s="3400"/>
      <c r="AG380" s="3400"/>
      <c r="AH380" s="3400"/>
      <c r="AI380" s="1010" t="str">
        <f>'＜入力不要＞報告書'!AI368</f>
        <v>㎡</v>
      </c>
      <c r="AJ380" s="3399" t="str">
        <f>'＜入力不要＞報告書'!AJ368</f>
        <v/>
      </c>
      <c r="AK380" s="3400"/>
      <c r="AL380" s="3400"/>
      <c r="AM380" s="3400"/>
      <c r="AN380" s="1010" t="str">
        <f>'＜入力不要＞報告書'!AN368</f>
        <v>㎡</v>
      </c>
      <c r="AO380" s="3399" t="str">
        <f>'＜入力不要＞報告書'!AO368</f>
        <v/>
      </c>
      <c r="AP380" s="3400"/>
      <c r="AQ380" s="3400"/>
      <c r="AR380" s="3400"/>
      <c r="AS380" s="1010" t="str">
        <f>'＜入力不要＞報告書'!AS368</f>
        <v>㎡</v>
      </c>
      <c r="AT380" s="949"/>
      <c r="AU380" s="959"/>
      <c r="AV380" s="959"/>
      <c r="BB380" s="939"/>
      <c r="BC380" s="939"/>
    </row>
    <row r="381" spans="2:55" ht="12.95" customHeight="1" x14ac:dyDescent="0.15">
      <c r="B381" s="1013"/>
      <c r="C381" s="3403">
        <f>'＜入力不要＞報告書'!C369</f>
        <v>42</v>
      </c>
      <c r="D381" s="3404"/>
      <c r="E381" s="1006" t="str">
        <f>'＜入力不要＞報告書'!E369</f>
        <v>階</v>
      </c>
      <c r="F381" s="3386">
        <f>'＜入力不要＞報告書'!F369</f>
        <v>0</v>
      </c>
      <c r="G381" s="3387"/>
      <c r="H381" s="3387"/>
      <c r="I381" s="3387"/>
      <c r="J381" s="1007" t="str">
        <f>'＜入力不要＞報告書'!J369</f>
        <v>㎡</v>
      </c>
      <c r="K381" s="3386" t="str">
        <f>'＜入力不要＞報告書'!K369</f>
        <v/>
      </c>
      <c r="L381" s="3387"/>
      <c r="M381" s="3387"/>
      <c r="N381" s="3387"/>
      <c r="O381" s="1007" t="str">
        <f>'＜入力不要＞報告書'!O369</f>
        <v>㎡</v>
      </c>
      <c r="P381" s="3386" t="str">
        <f>'＜入力不要＞報告書'!P369</f>
        <v/>
      </c>
      <c r="Q381" s="3387"/>
      <c r="R381" s="3387"/>
      <c r="S381" s="3387"/>
      <c r="T381" s="1007" t="str">
        <f>'＜入力不要＞報告書'!T369</f>
        <v>㎡</v>
      </c>
      <c r="U381" s="3386" t="str">
        <f>'＜入力不要＞報告書'!U369</f>
        <v/>
      </c>
      <c r="V381" s="3387"/>
      <c r="W381" s="3387"/>
      <c r="X381" s="3387"/>
      <c r="Y381" s="1007" t="str">
        <f>'＜入力不要＞報告書'!Y369</f>
        <v>㎡</v>
      </c>
      <c r="Z381" s="3386" t="str">
        <f>'＜入力不要＞報告書'!Z369</f>
        <v/>
      </c>
      <c r="AA381" s="3387"/>
      <c r="AB381" s="3387"/>
      <c r="AC381" s="3387"/>
      <c r="AD381" s="1007" t="str">
        <f>'＜入力不要＞報告書'!AD369</f>
        <v>㎡</v>
      </c>
      <c r="AE381" s="3386" t="str">
        <f>'＜入力不要＞報告書'!AE369</f>
        <v/>
      </c>
      <c r="AF381" s="3387"/>
      <c r="AG381" s="3387"/>
      <c r="AH381" s="3387"/>
      <c r="AI381" s="1007" t="str">
        <f>'＜入力不要＞報告書'!AI369</f>
        <v>㎡</v>
      </c>
      <c r="AJ381" s="3386" t="str">
        <f>'＜入力不要＞報告書'!AJ369</f>
        <v/>
      </c>
      <c r="AK381" s="3387"/>
      <c r="AL381" s="3387"/>
      <c r="AM381" s="3387"/>
      <c r="AN381" s="1007" t="str">
        <f>'＜入力不要＞報告書'!AN369</f>
        <v>㎡</v>
      </c>
      <c r="AO381" s="3386" t="str">
        <f>'＜入力不要＞報告書'!AO369</f>
        <v/>
      </c>
      <c r="AP381" s="3387"/>
      <c r="AQ381" s="3387"/>
      <c r="AR381" s="3387"/>
      <c r="AS381" s="1007" t="str">
        <f>'＜入力不要＞報告書'!AS369</f>
        <v>㎡</v>
      </c>
      <c r="AT381" s="946"/>
      <c r="AU381" s="959"/>
      <c r="AV381" s="959"/>
      <c r="BB381" s="939"/>
      <c r="BC381" s="939"/>
    </row>
    <row r="382" spans="2:55" ht="12.95" customHeight="1" x14ac:dyDescent="0.15">
      <c r="B382" s="1013"/>
      <c r="C382" s="3403">
        <f>'＜入力不要＞報告書'!C370</f>
        <v>43</v>
      </c>
      <c r="D382" s="3404"/>
      <c r="E382" s="1006" t="str">
        <f>'＜入力不要＞報告書'!E370</f>
        <v>階</v>
      </c>
      <c r="F382" s="3386">
        <f>'＜入力不要＞報告書'!F370</f>
        <v>0</v>
      </c>
      <c r="G382" s="3387"/>
      <c r="H382" s="3387"/>
      <c r="I382" s="3387"/>
      <c r="J382" s="1007" t="str">
        <f>'＜入力不要＞報告書'!J370</f>
        <v>㎡</v>
      </c>
      <c r="K382" s="3386" t="str">
        <f>'＜入力不要＞報告書'!K370</f>
        <v/>
      </c>
      <c r="L382" s="3387"/>
      <c r="M382" s="3387"/>
      <c r="N382" s="3387"/>
      <c r="O382" s="1007" t="str">
        <f>'＜入力不要＞報告書'!O370</f>
        <v>㎡</v>
      </c>
      <c r="P382" s="3386" t="str">
        <f>'＜入力不要＞報告書'!P370</f>
        <v/>
      </c>
      <c r="Q382" s="3387"/>
      <c r="R382" s="3387"/>
      <c r="S382" s="3387"/>
      <c r="T382" s="1007" t="str">
        <f>'＜入力不要＞報告書'!T370</f>
        <v>㎡</v>
      </c>
      <c r="U382" s="3386" t="str">
        <f>'＜入力不要＞報告書'!U370</f>
        <v/>
      </c>
      <c r="V382" s="3387"/>
      <c r="W382" s="3387"/>
      <c r="X382" s="3387"/>
      <c r="Y382" s="1007" t="str">
        <f>'＜入力不要＞報告書'!Y370</f>
        <v>㎡</v>
      </c>
      <c r="Z382" s="3386" t="str">
        <f>'＜入力不要＞報告書'!Z370</f>
        <v/>
      </c>
      <c r="AA382" s="3387"/>
      <c r="AB382" s="3387"/>
      <c r="AC382" s="3387"/>
      <c r="AD382" s="1007" t="str">
        <f>'＜入力不要＞報告書'!AD370</f>
        <v>㎡</v>
      </c>
      <c r="AE382" s="3386" t="str">
        <f>'＜入力不要＞報告書'!AE370</f>
        <v/>
      </c>
      <c r="AF382" s="3387"/>
      <c r="AG382" s="3387"/>
      <c r="AH382" s="3387"/>
      <c r="AI382" s="1007" t="str">
        <f>'＜入力不要＞報告書'!AI370</f>
        <v>㎡</v>
      </c>
      <c r="AJ382" s="3386" t="str">
        <f>'＜入力不要＞報告書'!AJ370</f>
        <v/>
      </c>
      <c r="AK382" s="3387"/>
      <c r="AL382" s="3387"/>
      <c r="AM382" s="3387"/>
      <c r="AN382" s="1007" t="str">
        <f>'＜入力不要＞報告書'!AN370</f>
        <v>㎡</v>
      </c>
      <c r="AO382" s="3386" t="str">
        <f>'＜入力不要＞報告書'!AO370</f>
        <v/>
      </c>
      <c r="AP382" s="3387"/>
      <c r="AQ382" s="3387"/>
      <c r="AR382" s="3387"/>
      <c r="AS382" s="1007" t="str">
        <f>'＜入力不要＞報告書'!AS370</f>
        <v>㎡</v>
      </c>
      <c r="AT382" s="951"/>
      <c r="AU382" s="959"/>
      <c r="AV382" s="959"/>
      <c r="BB382" s="939"/>
      <c r="BC382" s="939"/>
    </row>
    <row r="383" spans="2:55" ht="12.95" customHeight="1" x14ac:dyDescent="0.15">
      <c r="B383" s="1013"/>
      <c r="C383" s="3403">
        <f>'＜入力不要＞報告書'!C371</f>
        <v>44</v>
      </c>
      <c r="D383" s="3404"/>
      <c r="E383" s="1006" t="str">
        <f>'＜入力不要＞報告書'!E371</f>
        <v>階</v>
      </c>
      <c r="F383" s="3386">
        <f>'＜入力不要＞報告書'!F371</f>
        <v>0</v>
      </c>
      <c r="G383" s="3387"/>
      <c r="H383" s="3387"/>
      <c r="I383" s="3387"/>
      <c r="J383" s="1007" t="str">
        <f>'＜入力不要＞報告書'!J371</f>
        <v>㎡</v>
      </c>
      <c r="K383" s="3386" t="str">
        <f>'＜入力不要＞報告書'!K371</f>
        <v/>
      </c>
      <c r="L383" s="3387"/>
      <c r="M383" s="3387"/>
      <c r="N383" s="3387"/>
      <c r="O383" s="1007" t="str">
        <f>'＜入力不要＞報告書'!O371</f>
        <v>㎡</v>
      </c>
      <c r="P383" s="3386" t="str">
        <f>'＜入力不要＞報告書'!P371</f>
        <v/>
      </c>
      <c r="Q383" s="3387"/>
      <c r="R383" s="3387"/>
      <c r="S383" s="3387"/>
      <c r="T383" s="1007" t="str">
        <f>'＜入力不要＞報告書'!T371</f>
        <v>㎡</v>
      </c>
      <c r="U383" s="3386" t="str">
        <f>'＜入力不要＞報告書'!U371</f>
        <v/>
      </c>
      <c r="V383" s="3387"/>
      <c r="W383" s="3387"/>
      <c r="X383" s="3387"/>
      <c r="Y383" s="1007" t="str">
        <f>'＜入力不要＞報告書'!Y371</f>
        <v>㎡</v>
      </c>
      <c r="Z383" s="3386" t="str">
        <f>'＜入力不要＞報告書'!Z371</f>
        <v/>
      </c>
      <c r="AA383" s="3387"/>
      <c r="AB383" s="3387"/>
      <c r="AC383" s="3387"/>
      <c r="AD383" s="1007" t="str">
        <f>'＜入力不要＞報告書'!AD371</f>
        <v>㎡</v>
      </c>
      <c r="AE383" s="3386" t="str">
        <f>'＜入力不要＞報告書'!AE371</f>
        <v/>
      </c>
      <c r="AF383" s="3387"/>
      <c r="AG383" s="3387"/>
      <c r="AH383" s="3387"/>
      <c r="AI383" s="1007" t="str">
        <f>'＜入力不要＞報告書'!AI371</f>
        <v>㎡</v>
      </c>
      <c r="AJ383" s="3386" t="str">
        <f>'＜入力不要＞報告書'!AJ371</f>
        <v/>
      </c>
      <c r="AK383" s="3387"/>
      <c r="AL383" s="3387"/>
      <c r="AM383" s="3387"/>
      <c r="AN383" s="1007" t="str">
        <f>'＜入力不要＞報告書'!AN371</f>
        <v>㎡</v>
      </c>
      <c r="AO383" s="3386" t="str">
        <f>'＜入力不要＞報告書'!AO371</f>
        <v/>
      </c>
      <c r="AP383" s="3387"/>
      <c r="AQ383" s="3387"/>
      <c r="AR383" s="3387"/>
      <c r="AS383" s="1007" t="str">
        <f>'＜入力不要＞報告書'!AS371</f>
        <v>㎡</v>
      </c>
      <c r="AT383" s="949"/>
      <c r="AU383" s="959"/>
      <c r="AV383" s="959"/>
      <c r="BB383" s="939"/>
      <c r="BC383" s="939"/>
    </row>
    <row r="384" spans="2:55" ht="12.95" customHeight="1" x14ac:dyDescent="0.15">
      <c r="B384" s="1016"/>
      <c r="C384" s="3405">
        <f>'＜入力不要＞報告書'!C372</f>
        <v>45</v>
      </c>
      <c r="D384" s="3406"/>
      <c r="E384" s="1011" t="str">
        <f>'＜入力不要＞報告書'!E372</f>
        <v>階</v>
      </c>
      <c r="F384" s="3397">
        <f>'＜入力不要＞報告書'!F372</f>
        <v>0</v>
      </c>
      <c r="G384" s="3398"/>
      <c r="H384" s="3398"/>
      <c r="I384" s="3398"/>
      <c r="J384" s="1008" t="str">
        <f>'＜入力不要＞報告書'!J372</f>
        <v>㎡</v>
      </c>
      <c r="K384" s="3397" t="str">
        <f>'＜入力不要＞報告書'!K372</f>
        <v/>
      </c>
      <c r="L384" s="3398"/>
      <c r="M384" s="3398"/>
      <c r="N384" s="3398"/>
      <c r="O384" s="1008" t="str">
        <f>'＜入力不要＞報告書'!O372</f>
        <v>㎡</v>
      </c>
      <c r="P384" s="3397" t="str">
        <f>'＜入力不要＞報告書'!P372</f>
        <v/>
      </c>
      <c r="Q384" s="3398"/>
      <c r="R384" s="3398"/>
      <c r="S384" s="3398"/>
      <c r="T384" s="1008" t="str">
        <f>'＜入力不要＞報告書'!T372</f>
        <v>㎡</v>
      </c>
      <c r="U384" s="3397" t="str">
        <f>'＜入力不要＞報告書'!U372</f>
        <v/>
      </c>
      <c r="V384" s="3398"/>
      <c r="W384" s="3398"/>
      <c r="X384" s="3398"/>
      <c r="Y384" s="1008" t="str">
        <f>'＜入力不要＞報告書'!Y372</f>
        <v>㎡</v>
      </c>
      <c r="Z384" s="3397" t="str">
        <f>'＜入力不要＞報告書'!Z372</f>
        <v/>
      </c>
      <c r="AA384" s="3398"/>
      <c r="AB384" s="3398"/>
      <c r="AC384" s="3398"/>
      <c r="AD384" s="1008" t="str">
        <f>'＜入力不要＞報告書'!AD372</f>
        <v>㎡</v>
      </c>
      <c r="AE384" s="3397" t="str">
        <f>'＜入力不要＞報告書'!AE372</f>
        <v/>
      </c>
      <c r="AF384" s="3398"/>
      <c r="AG384" s="3398"/>
      <c r="AH384" s="3398"/>
      <c r="AI384" s="1008" t="str">
        <f>'＜入力不要＞報告書'!AI372</f>
        <v>㎡</v>
      </c>
      <c r="AJ384" s="3397" t="str">
        <f>'＜入力不要＞報告書'!AJ372</f>
        <v/>
      </c>
      <c r="AK384" s="3398"/>
      <c r="AL384" s="3398"/>
      <c r="AM384" s="3398"/>
      <c r="AN384" s="1008" t="str">
        <f>'＜入力不要＞報告書'!AN372</f>
        <v>㎡</v>
      </c>
      <c r="AO384" s="3397" t="str">
        <f>'＜入力不要＞報告書'!AO372</f>
        <v/>
      </c>
      <c r="AP384" s="3398"/>
      <c r="AQ384" s="3398"/>
      <c r="AR384" s="3398"/>
      <c r="AS384" s="1008" t="str">
        <f>'＜入力不要＞報告書'!AS372</f>
        <v>㎡</v>
      </c>
      <c r="AT384" s="1002"/>
      <c r="AU384" s="959"/>
      <c r="AV384" s="959"/>
      <c r="BB384" s="939"/>
      <c r="BC384" s="939"/>
    </row>
    <row r="385" spans="2:55" ht="12.95" customHeight="1" x14ac:dyDescent="0.15">
      <c r="B385" s="1012"/>
      <c r="C385" s="3403">
        <f>'＜入力不要＞報告書'!C373</f>
        <v>46</v>
      </c>
      <c r="D385" s="3404"/>
      <c r="E385" s="1009" t="str">
        <f>'＜入力不要＞報告書'!E373</f>
        <v>階</v>
      </c>
      <c r="F385" s="3399">
        <f>'＜入力不要＞報告書'!F373</f>
        <v>0</v>
      </c>
      <c r="G385" s="3400"/>
      <c r="H385" s="3400"/>
      <c r="I385" s="3400"/>
      <c r="J385" s="1010" t="str">
        <f>'＜入力不要＞報告書'!J373</f>
        <v>㎡</v>
      </c>
      <c r="K385" s="3399" t="str">
        <f>'＜入力不要＞報告書'!K373</f>
        <v/>
      </c>
      <c r="L385" s="3400"/>
      <c r="M385" s="3400"/>
      <c r="N385" s="3400"/>
      <c r="O385" s="1010" t="str">
        <f>'＜入力不要＞報告書'!O373</f>
        <v>㎡</v>
      </c>
      <c r="P385" s="3399" t="str">
        <f>'＜入力不要＞報告書'!P373</f>
        <v/>
      </c>
      <c r="Q385" s="3400"/>
      <c r="R385" s="3400"/>
      <c r="S385" s="3400"/>
      <c r="T385" s="1010" t="str">
        <f>'＜入力不要＞報告書'!T373</f>
        <v>㎡</v>
      </c>
      <c r="U385" s="3399" t="str">
        <f>'＜入力不要＞報告書'!U373</f>
        <v/>
      </c>
      <c r="V385" s="3400"/>
      <c r="W385" s="3400"/>
      <c r="X385" s="3400"/>
      <c r="Y385" s="1010" t="str">
        <f>'＜入力不要＞報告書'!Y373</f>
        <v>㎡</v>
      </c>
      <c r="Z385" s="3399" t="str">
        <f>'＜入力不要＞報告書'!Z373</f>
        <v/>
      </c>
      <c r="AA385" s="3400"/>
      <c r="AB385" s="3400"/>
      <c r="AC385" s="3400"/>
      <c r="AD385" s="1010" t="str">
        <f>'＜入力不要＞報告書'!AD373</f>
        <v>㎡</v>
      </c>
      <c r="AE385" s="3399" t="str">
        <f>'＜入力不要＞報告書'!AE373</f>
        <v/>
      </c>
      <c r="AF385" s="3400"/>
      <c r="AG385" s="3400"/>
      <c r="AH385" s="3400"/>
      <c r="AI385" s="1010" t="str">
        <f>'＜入力不要＞報告書'!AI373</f>
        <v>㎡</v>
      </c>
      <c r="AJ385" s="3399" t="str">
        <f>'＜入力不要＞報告書'!AJ373</f>
        <v/>
      </c>
      <c r="AK385" s="3400"/>
      <c r="AL385" s="3400"/>
      <c r="AM385" s="3400"/>
      <c r="AN385" s="1010" t="str">
        <f>'＜入力不要＞報告書'!AN373</f>
        <v>㎡</v>
      </c>
      <c r="AO385" s="3399" t="str">
        <f>'＜入力不要＞報告書'!AO373</f>
        <v/>
      </c>
      <c r="AP385" s="3400"/>
      <c r="AQ385" s="3400"/>
      <c r="AR385" s="3400"/>
      <c r="AS385" s="1010" t="str">
        <f>'＜入力不要＞報告書'!AS373</f>
        <v>㎡</v>
      </c>
      <c r="AT385" s="946"/>
      <c r="AU385" s="959"/>
      <c r="AV385" s="959"/>
      <c r="BB385" s="939"/>
      <c r="BC385" s="939"/>
    </row>
    <row r="386" spans="2:55" ht="12.95" customHeight="1" x14ac:dyDescent="0.15">
      <c r="B386" s="1013"/>
      <c r="C386" s="3403">
        <f>'＜入力不要＞報告書'!C374</f>
        <v>47</v>
      </c>
      <c r="D386" s="3404"/>
      <c r="E386" s="1006" t="str">
        <f>'＜入力不要＞報告書'!E374</f>
        <v>階</v>
      </c>
      <c r="F386" s="3386">
        <f>'＜入力不要＞報告書'!F374</f>
        <v>0</v>
      </c>
      <c r="G386" s="3387"/>
      <c r="H386" s="3387"/>
      <c r="I386" s="3387"/>
      <c r="J386" s="1007" t="str">
        <f>'＜入力不要＞報告書'!J374</f>
        <v>㎡</v>
      </c>
      <c r="K386" s="3386" t="str">
        <f>'＜入力不要＞報告書'!K374</f>
        <v/>
      </c>
      <c r="L386" s="3387"/>
      <c r="M386" s="3387"/>
      <c r="N386" s="3387"/>
      <c r="O386" s="1007" t="str">
        <f>'＜入力不要＞報告書'!O374</f>
        <v>㎡</v>
      </c>
      <c r="P386" s="3386" t="str">
        <f>'＜入力不要＞報告書'!P374</f>
        <v/>
      </c>
      <c r="Q386" s="3387"/>
      <c r="R386" s="3387"/>
      <c r="S386" s="3387"/>
      <c r="T386" s="1007" t="str">
        <f>'＜入力不要＞報告書'!T374</f>
        <v>㎡</v>
      </c>
      <c r="U386" s="3386" t="str">
        <f>'＜入力不要＞報告書'!U374</f>
        <v/>
      </c>
      <c r="V386" s="3387"/>
      <c r="W386" s="3387"/>
      <c r="X386" s="3387"/>
      <c r="Y386" s="1007" t="str">
        <f>'＜入力不要＞報告書'!Y374</f>
        <v>㎡</v>
      </c>
      <c r="Z386" s="3386" t="str">
        <f>'＜入力不要＞報告書'!Z374</f>
        <v/>
      </c>
      <c r="AA386" s="3387"/>
      <c r="AB386" s="3387"/>
      <c r="AC386" s="3387"/>
      <c r="AD386" s="1007" t="str">
        <f>'＜入力不要＞報告書'!AD374</f>
        <v>㎡</v>
      </c>
      <c r="AE386" s="3386" t="str">
        <f>'＜入力不要＞報告書'!AE374</f>
        <v/>
      </c>
      <c r="AF386" s="3387"/>
      <c r="AG386" s="3387"/>
      <c r="AH386" s="3387"/>
      <c r="AI386" s="1007" t="str">
        <f>'＜入力不要＞報告書'!AI374</f>
        <v>㎡</v>
      </c>
      <c r="AJ386" s="3386" t="str">
        <f>'＜入力不要＞報告書'!AJ374</f>
        <v/>
      </c>
      <c r="AK386" s="3387"/>
      <c r="AL386" s="3387"/>
      <c r="AM386" s="3387"/>
      <c r="AN386" s="1007" t="str">
        <f>'＜入力不要＞報告書'!AN374</f>
        <v>㎡</v>
      </c>
      <c r="AO386" s="3386" t="str">
        <f>'＜入力不要＞報告書'!AO374</f>
        <v/>
      </c>
      <c r="AP386" s="3387"/>
      <c r="AQ386" s="3387"/>
      <c r="AR386" s="3387"/>
      <c r="AS386" s="1007" t="str">
        <f>'＜入力不要＞報告書'!AS374</f>
        <v>㎡</v>
      </c>
      <c r="AT386" s="946"/>
      <c r="AU386" s="959"/>
      <c r="AV386" s="959"/>
      <c r="BB386" s="939"/>
      <c r="BC386" s="939"/>
    </row>
    <row r="387" spans="2:55" ht="12.95" customHeight="1" x14ac:dyDescent="0.15">
      <c r="B387" s="1013"/>
      <c r="C387" s="3403">
        <f>'＜入力不要＞報告書'!C375</f>
        <v>48</v>
      </c>
      <c r="D387" s="3404"/>
      <c r="E387" s="1006" t="str">
        <f>'＜入力不要＞報告書'!E375</f>
        <v>階</v>
      </c>
      <c r="F387" s="3386">
        <f>'＜入力不要＞報告書'!F375</f>
        <v>0</v>
      </c>
      <c r="G387" s="3387"/>
      <c r="H387" s="3387"/>
      <c r="I387" s="3387"/>
      <c r="J387" s="1007" t="str">
        <f>'＜入力不要＞報告書'!J375</f>
        <v>㎡</v>
      </c>
      <c r="K387" s="3386" t="str">
        <f>'＜入力不要＞報告書'!K375</f>
        <v/>
      </c>
      <c r="L387" s="3387"/>
      <c r="M387" s="3387"/>
      <c r="N387" s="3387"/>
      <c r="O387" s="1007" t="str">
        <f>'＜入力不要＞報告書'!O375</f>
        <v>㎡</v>
      </c>
      <c r="P387" s="3386" t="str">
        <f>'＜入力不要＞報告書'!P375</f>
        <v/>
      </c>
      <c r="Q387" s="3387"/>
      <c r="R387" s="3387"/>
      <c r="S387" s="3387"/>
      <c r="T387" s="1007" t="str">
        <f>'＜入力不要＞報告書'!T375</f>
        <v>㎡</v>
      </c>
      <c r="U387" s="3386" t="str">
        <f>'＜入力不要＞報告書'!U375</f>
        <v/>
      </c>
      <c r="V387" s="3387"/>
      <c r="W387" s="3387"/>
      <c r="X387" s="3387"/>
      <c r="Y387" s="1007" t="str">
        <f>'＜入力不要＞報告書'!Y375</f>
        <v>㎡</v>
      </c>
      <c r="Z387" s="3386" t="str">
        <f>'＜入力不要＞報告書'!Z375</f>
        <v/>
      </c>
      <c r="AA387" s="3387"/>
      <c r="AB387" s="3387"/>
      <c r="AC387" s="3387"/>
      <c r="AD387" s="1007" t="str">
        <f>'＜入力不要＞報告書'!AD375</f>
        <v>㎡</v>
      </c>
      <c r="AE387" s="3386" t="str">
        <f>'＜入力不要＞報告書'!AE375</f>
        <v/>
      </c>
      <c r="AF387" s="3387"/>
      <c r="AG387" s="3387"/>
      <c r="AH387" s="3387"/>
      <c r="AI387" s="1007" t="str">
        <f>'＜入力不要＞報告書'!AI375</f>
        <v>㎡</v>
      </c>
      <c r="AJ387" s="3386" t="str">
        <f>'＜入力不要＞報告書'!AJ375</f>
        <v/>
      </c>
      <c r="AK387" s="3387"/>
      <c r="AL387" s="3387"/>
      <c r="AM387" s="3387"/>
      <c r="AN387" s="1007" t="str">
        <f>'＜入力不要＞報告書'!AN375</f>
        <v>㎡</v>
      </c>
      <c r="AO387" s="3386" t="str">
        <f>'＜入力不要＞報告書'!AO375</f>
        <v/>
      </c>
      <c r="AP387" s="3387"/>
      <c r="AQ387" s="3387"/>
      <c r="AR387" s="3387"/>
      <c r="AS387" s="1007" t="str">
        <f>'＜入力不要＞報告書'!AS375</f>
        <v>㎡</v>
      </c>
      <c r="AT387" s="946"/>
      <c r="AU387" s="959"/>
      <c r="AV387" s="959"/>
      <c r="BB387" s="939"/>
      <c r="BC387" s="939"/>
    </row>
    <row r="388" spans="2:55" ht="12.95" customHeight="1" x14ac:dyDescent="0.15">
      <c r="B388" s="1013"/>
      <c r="C388" s="3403">
        <f>'＜入力不要＞報告書'!C376</f>
        <v>49</v>
      </c>
      <c r="D388" s="3404"/>
      <c r="E388" s="1006" t="str">
        <f>'＜入力不要＞報告書'!E376</f>
        <v>階</v>
      </c>
      <c r="F388" s="3386">
        <f>'＜入力不要＞報告書'!F376</f>
        <v>0</v>
      </c>
      <c r="G388" s="3387"/>
      <c r="H388" s="3387"/>
      <c r="I388" s="3387"/>
      <c r="J388" s="1007" t="str">
        <f>'＜入力不要＞報告書'!J376</f>
        <v>㎡</v>
      </c>
      <c r="K388" s="3386" t="str">
        <f>'＜入力不要＞報告書'!K376</f>
        <v/>
      </c>
      <c r="L388" s="3387"/>
      <c r="M388" s="3387"/>
      <c r="N388" s="3387"/>
      <c r="O388" s="1007" t="str">
        <f>'＜入力不要＞報告書'!O376</f>
        <v>㎡</v>
      </c>
      <c r="P388" s="3386" t="str">
        <f>'＜入力不要＞報告書'!P376</f>
        <v/>
      </c>
      <c r="Q388" s="3387"/>
      <c r="R388" s="3387"/>
      <c r="S388" s="3387"/>
      <c r="T388" s="1007" t="str">
        <f>'＜入力不要＞報告書'!T376</f>
        <v>㎡</v>
      </c>
      <c r="U388" s="3386" t="str">
        <f>'＜入力不要＞報告書'!U376</f>
        <v/>
      </c>
      <c r="V388" s="3387"/>
      <c r="W388" s="3387"/>
      <c r="X388" s="3387"/>
      <c r="Y388" s="1007" t="str">
        <f>'＜入力不要＞報告書'!Y376</f>
        <v>㎡</v>
      </c>
      <c r="Z388" s="3386" t="str">
        <f>'＜入力不要＞報告書'!Z376</f>
        <v/>
      </c>
      <c r="AA388" s="3387"/>
      <c r="AB388" s="3387"/>
      <c r="AC388" s="3387"/>
      <c r="AD388" s="1007" t="str">
        <f>'＜入力不要＞報告書'!AD376</f>
        <v>㎡</v>
      </c>
      <c r="AE388" s="3386" t="str">
        <f>'＜入力不要＞報告書'!AE376</f>
        <v/>
      </c>
      <c r="AF388" s="3387"/>
      <c r="AG388" s="3387"/>
      <c r="AH388" s="3387"/>
      <c r="AI388" s="1007" t="str">
        <f>'＜入力不要＞報告書'!AI376</f>
        <v>㎡</v>
      </c>
      <c r="AJ388" s="3386" t="str">
        <f>'＜入力不要＞報告書'!AJ376</f>
        <v/>
      </c>
      <c r="AK388" s="3387"/>
      <c r="AL388" s="3387"/>
      <c r="AM388" s="3387"/>
      <c r="AN388" s="1007" t="str">
        <f>'＜入力不要＞報告書'!AN376</f>
        <v>㎡</v>
      </c>
      <c r="AO388" s="3386" t="str">
        <f>'＜入力不要＞報告書'!AO376</f>
        <v/>
      </c>
      <c r="AP388" s="3387"/>
      <c r="AQ388" s="3387"/>
      <c r="AR388" s="3387"/>
      <c r="AS388" s="1007" t="str">
        <f>'＜入力不要＞報告書'!AS376</f>
        <v>㎡</v>
      </c>
      <c r="AT388" s="946"/>
      <c r="AU388" s="959"/>
      <c r="AV388" s="959"/>
      <c r="BB388" s="939"/>
      <c r="BC388" s="939"/>
    </row>
    <row r="389" spans="2:55" ht="12.95" customHeight="1" x14ac:dyDescent="0.15">
      <c r="B389" s="1016"/>
      <c r="C389" s="3405">
        <f>'＜入力不要＞報告書'!C377</f>
        <v>50</v>
      </c>
      <c r="D389" s="3406"/>
      <c r="E389" s="1011" t="str">
        <f>'＜入力不要＞報告書'!E377</f>
        <v>階</v>
      </c>
      <c r="F389" s="3397">
        <f>'＜入力不要＞報告書'!F377</f>
        <v>0</v>
      </c>
      <c r="G389" s="3398"/>
      <c r="H389" s="3398"/>
      <c r="I389" s="3398"/>
      <c r="J389" s="1008" t="str">
        <f>'＜入力不要＞報告書'!J377</f>
        <v>㎡</v>
      </c>
      <c r="K389" s="3397" t="str">
        <f>'＜入力不要＞報告書'!K377</f>
        <v/>
      </c>
      <c r="L389" s="3398"/>
      <c r="M389" s="3398"/>
      <c r="N389" s="3398"/>
      <c r="O389" s="1008" t="str">
        <f>'＜入力不要＞報告書'!O377</f>
        <v>㎡</v>
      </c>
      <c r="P389" s="3397" t="str">
        <f>'＜入力不要＞報告書'!P377</f>
        <v/>
      </c>
      <c r="Q389" s="3398"/>
      <c r="R389" s="3398"/>
      <c r="S389" s="3398"/>
      <c r="T389" s="1008" t="str">
        <f>'＜入力不要＞報告書'!T377</f>
        <v>㎡</v>
      </c>
      <c r="U389" s="3397" t="str">
        <f>'＜入力不要＞報告書'!U377</f>
        <v/>
      </c>
      <c r="V389" s="3398"/>
      <c r="W389" s="3398"/>
      <c r="X389" s="3398"/>
      <c r="Y389" s="1008" t="str">
        <f>'＜入力不要＞報告書'!Y377</f>
        <v>㎡</v>
      </c>
      <c r="Z389" s="3397" t="str">
        <f>'＜入力不要＞報告書'!Z377</f>
        <v/>
      </c>
      <c r="AA389" s="3398"/>
      <c r="AB389" s="3398"/>
      <c r="AC389" s="3398"/>
      <c r="AD389" s="1008" t="str">
        <f>'＜入力不要＞報告書'!AD377</f>
        <v>㎡</v>
      </c>
      <c r="AE389" s="3397" t="str">
        <f>'＜入力不要＞報告書'!AE377</f>
        <v/>
      </c>
      <c r="AF389" s="3398"/>
      <c r="AG389" s="3398"/>
      <c r="AH389" s="3398"/>
      <c r="AI389" s="1008" t="str">
        <f>'＜入力不要＞報告書'!AI377</f>
        <v>㎡</v>
      </c>
      <c r="AJ389" s="3397" t="str">
        <f>'＜入力不要＞報告書'!AJ377</f>
        <v/>
      </c>
      <c r="AK389" s="3398"/>
      <c r="AL389" s="3398"/>
      <c r="AM389" s="3398"/>
      <c r="AN389" s="1008" t="str">
        <f>'＜入力不要＞報告書'!AN377</f>
        <v>㎡</v>
      </c>
      <c r="AO389" s="3397" t="str">
        <f>'＜入力不要＞報告書'!AO377</f>
        <v/>
      </c>
      <c r="AP389" s="3398"/>
      <c r="AQ389" s="3398"/>
      <c r="AR389" s="3398"/>
      <c r="AS389" s="1008" t="str">
        <f>'＜入力不要＞報告書'!AS377</f>
        <v>㎡</v>
      </c>
      <c r="AT389" s="946"/>
      <c r="AU389" s="959"/>
      <c r="AV389" s="959"/>
      <c r="BB389" s="939"/>
      <c r="BC389" s="939"/>
    </row>
    <row r="390" spans="2:55" ht="15" customHeight="1" x14ac:dyDescent="0.15"/>
    <row r="391" spans="2:55" ht="15" customHeight="1" x14ac:dyDescent="0.15"/>
    <row r="392" spans="2:55" ht="15" customHeight="1" x14ac:dyDescent="0.15"/>
    <row r="393" spans="2:55" ht="15" customHeight="1" x14ac:dyDescent="0.15"/>
    <row r="394" spans="2:55" ht="15" customHeight="1" x14ac:dyDescent="0.15"/>
    <row r="395" spans="2:55" ht="15" customHeight="1" x14ac:dyDescent="0.15"/>
  </sheetData>
  <sheetProtection algorithmName="SHA-512" hashValue="8R1fmdVzONWsbZKKYTcyJV0OXvYW6dDb5ojVvjxtsV+71WYcYUhiCaOwZ1IRfy8gvQz/Gsjygs3LTeHlZKbiYA==" saltValue="m2aESNjx/TiokarIJVQIdg==" spinCount="100000" sheet="1"/>
  <protectedRanges>
    <protectedRange sqref="N47:AL47" name="範囲2_1"/>
    <protectedRange sqref="AH284:AJ284 AH288:AJ288" name="範囲1_3_2"/>
    <protectedRange sqref="N246 V246:AP246 P246:T246" name="範囲1_3_4"/>
    <protectedRange sqref="N296 V296:AP296 P296:T296" name="範囲1_3_1_2"/>
    <protectedRange sqref="O31:O32" name="範囲1_3_1_1_3"/>
    <protectedRange sqref="O42" name="範囲1_3_1_1_4"/>
    <protectedRange sqref="O43" name="範囲2_1_1_4"/>
    <protectedRange sqref="O57 O68 O174" name="範囲1_3_3_4"/>
    <protectedRange sqref="O82" name="範囲1_3_2_1"/>
    <protectedRange sqref="AT378" name="範囲1_3_4_2"/>
    <protectedRange sqref="O161:O162" name="範囲1_3_1_1_3_2"/>
  </protectedRanges>
  <sortState xmlns:xlrd2="http://schemas.microsoft.com/office/spreadsheetml/2017/richdata2" ref="AA267:AS270">
    <sortCondition ref="AA267"/>
  </sortState>
  <mergeCells count="775">
    <mergeCell ref="AN1:AS1"/>
    <mergeCell ref="C389:D389"/>
    <mergeCell ref="F389:I389"/>
    <mergeCell ref="K389:N389"/>
    <mergeCell ref="P389:S389"/>
    <mergeCell ref="U389:X389"/>
    <mergeCell ref="Z389:AC389"/>
    <mergeCell ref="AE389:AH389"/>
    <mergeCell ref="AJ389:AM389"/>
    <mergeCell ref="AO389:AR389"/>
    <mergeCell ref="C388:D388"/>
    <mergeCell ref="F388:I388"/>
    <mergeCell ref="K388:N388"/>
    <mergeCell ref="P388:S388"/>
    <mergeCell ref="U388:X388"/>
    <mergeCell ref="Z388:AC388"/>
    <mergeCell ref="AE388:AH388"/>
    <mergeCell ref="AJ388:AM388"/>
    <mergeCell ref="AO388:AR388"/>
    <mergeCell ref="C387:D387"/>
    <mergeCell ref="F387:I387"/>
    <mergeCell ref="K387:N387"/>
    <mergeCell ref="P387:S387"/>
    <mergeCell ref="U387:X387"/>
    <mergeCell ref="Z387:AC387"/>
    <mergeCell ref="AE387:AH387"/>
    <mergeCell ref="AJ387:AM387"/>
    <mergeCell ref="AO387:AR387"/>
    <mergeCell ref="C386:D386"/>
    <mergeCell ref="F386:I386"/>
    <mergeCell ref="K386:N386"/>
    <mergeCell ref="P386:S386"/>
    <mergeCell ref="U386:X386"/>
    <mergeCell ref="Z386:AC386"/>
    <mergeCell ref="AE386:AH386"/>
    <mergeCell ref="AJ386:AM386"/>
    <mergeCell ref="AO386:AR386"/>
    <mergeCell ref="C385:D385"/>
    <mergeCell ref="F385:I385"/>
    <mergeCell ref="K385:N385"/>
    <mergeCell ref="P385:S385"/>
    <mergeCell ref="U385:X385"/>
    <mergeCell ref="Z385:AC385"/>
    <mergeCell ref="AE385:AH385"/>
    <mergeCell ref="AJ385:AM385"/>
    <mergeCell ref="AO385:AR385"/>
    <mergeCell ref="C380:D380"/>
    <mergeCell ref="C381:D381"/>
    <mergeCell ref="C382:D382"/>
    <mergeCell ref="C383:D383"/>
    <mergeCell ref="C384:D384"/>
    <mergeCell ref="B320:AT320"/>
    <mergeCell ref="B324:E329"/>
    <mergeCell ref="F324:J329"/>
    <mergeCell ref="K324:O325"/>
    <mergeCell ref="P324:T325"/>
    <mergeCell ref="U324:Y325"/>
    <mergeCell ref="Z324:AD325"/>
    <mergeCell ref="AE324:AI325"/>
    <mergeCell ref="AJ324:AN325"/>
    <mergeCell ref="AO324:AS325"/>
    <mergeCell ref="K326:O329"/>
    <mergeCell ref="P326:T329"/>
    <mergeCell ref="U326:Y329"/>
    <mergeCell ref="Z326:AD329"/>
    <mergeCell ref="AE326:AI329"/>
    <mergeCell ref="AJ326:AN329"/>
    <mergeCell ref="AO326:AS329"/>
    <mergeCell ref="B335:D335"/>
    <mergeCell ref="B336:D336"/>
    <mergeCell ref="C371:D371"/>
    <mergeCell ref="C372:D372"/>
    <mergeCell ref="C373:D373"/>
    <mergeCell ref="C374:D374"/>
    <mergeCell ref="C375:D375"/>
    <mergeCell ref="C376:D376"/>
    <mergeCell ref="C377:D377"/>
    <mergeCell ref="C378:D378"/>
    <mergeCell ref="C379:D379"/>
    <mergeCell ref="C362:D362"/>
    <mergeCell ref="C363:D363"/>
    <mergeCell ref="C364:D364"/>
    <mergeCell ref="C365:D365"/>
    <mergeCell ref="C366:D366"/>
    <mergeCell ref="C367:D367"/>
    <mergeCell ref="C368:D368"/>
    <mergeCell ref="C369:D369"/>
    <mergeCell ref="C370:D370"/>
    <mergeCell ref="C353:D353"/>
    <mergeCell ref="C354:D354"/>
    <mergeCell ref="C355:D355"/>
    <mergeCell ref="C356:D356"/>
    <mergeCell ref="C357:D357"/>
    <mergeCell ref="C358:D358"/>
    <mergeCell ref="C359:D359"/>
    <mergeCell ref="C360:D360"/>
    <mergeCell ref="C361:D361"/>
    <mergeCell ref="C344:D344"/>
    <mergeCell ref="C345:D345"/>
    <mergeCell ref="C346:D346"/>
    <mergeCell ref="C347:D347"/>
    <mergeCell ref="C348:D348"/>
    <mergeCell ref="C349:D349"/>
    <mergeCell ref="C350:D350"/>
    <mergeCell ref="C351:D351"/>
    <mergeCell ref="C352:D352"/>
    <mergeCell ref="C340:D340"/>
    <mergeCell ref="C341:D341"/>
    <mergeCell ref="C342:D342"/>
    <mergeCell ref="C343:D343"/>
    <mergeCell ref="B337:D337"/>
    <mergeCell ref="B338:D338"/>
    <mergeCell ref="B339:D339"/>
    <mergeCell ref="F383:I383"/>
    <mergeCell ref="K383:N383"/>
    <mergeCell ref="F381:I381"/>
    <mergeCell ref="K381:N381"/>
    <mergeCell ref="F379:I379"/>
    <mergeCell ref="K379:N379"/>
    <mergeCell ref="F377:I377"/>
    <mergeCell ref="K377:N377"/>
    <mergeCell ref="F375:I375"/>
    <mergeCell ref="K375:N375"/>
    <mergeCell ref="F373:I373"/>
    <mergeCell ref="K373:N373"/>
    <mergeCell ref="F371:I371"/>
    <mergeCell ref="K371:N371"/>
    <mergeCell ref="F369:I369"/>
    <mergeCell ref="K369:N369"/>
    <mergeCell ref="F367:I367"/>
    <mergeCell ref="P383:S383"/>
    <mergeCell ref="U383:X383"/>
    <mergeCell ref="Z383:AC383"/>
    <mergeCell ref="AE383:AH383"/>
    <mergeCell ref="AJ383:AM383"/>
    <mergeCell ref="AO383:AR383"/>
    <mergeCell ref="F384:I384"/>
    <mergeCell ref="K384:N384"/>
    <mergeCell ref="P384:S384"/>
    <mergeCell ref="U384:X384"/>
    <mergeCell ref="Z384:AC384"/>
    <mergeCell ref="AE384:AH384"/>
    <mergeCell ref="AJ384:AM384"/>
    <mergeCell ref="AO384:AR384"/>
    <mergeCell ref="P381:S381"/>
    <mergeCell ref="U381:X381"/>
    <mergeCell ref="Z381:AC381"/>
    <mergeCell ref="AE381:AH381"/>
    <mergeCell ref="AJ381:AM381"/>
    <mergeCell ref="AO381:AR381"/>
    <mergeCell ref="F382:I382"/>
    <mergeCell ref="K382:N382"/>
    <mergeCell ref="P382:S382"/>
    <mergeCell ref="U382:X382"/>
    <mergeCell ref="Z382:AC382"/>
    <mergeCell ref="AE382:AH382"/>
    <mergeCell ref="AJ382:AM382"/>
    <mergeCell ref="AO382:AR382"/>
    <mergeCell ref="P379:S379"/>
    <mergeCell ref="U379:X379"/>
    <mergeCell ref="Z379:AC379"/>
    <mergeCell ref="AE379:AH379"/>
    <mergeCell ref="AJ379:AM379"/>
    <mergeCell ref="AO379:AR379"/>
    <mergeCell ref="F380:I380"/>
    <mergeCell ref="K380:N380"/>
    <mergeCell ref="P380:S380"/>
    <mergeCell ref="U380:X380"/>
    <mergeCell ref="Z380:AC380"/>
    <mergeCell ref="AE380:AH380"/>
    <mergeCell ref="AJ380:AM380"/>
    <mergeCell ref="AO380:AR380"/>
    <mergeCell ref="P377:S377"/>
    <mergeCell ref="U377:X377"/>
    <mergeCell ref="Z377:AC377"/>
    <mergeCell ref="AE377:AH377"/>
    <mergeCell ref="AJ377:AM377"/>
    <mergeCell ref="AO377:AR377"/>
    <mergeCell ref="F378:I378"/>
    <mergeCell ref="K378:N378"/>
    <mergeCell ref="P378:S378"/>
    <mergeCell ref="U378:X378"/>
    <mergeCell ref="Z378:AC378"/>
    <mergeCell ref="AE378:AH378"/>
    <mergeCell ref="AJ378:AM378"/>
    <mergeCell ref="AO378:AR378"/>
    <mergeCell ref="P375:S375"/>
    <mergeCell ref="U375:X375"/>
    <mergeCell ref="Z375:AC375"/>
    <mergeCell ref="AE375:AH375"/>
    <mergeCell ref="AJ375:AM375"/>
    <mergeCell ref="AO375:AR375"/>
    <mergeCell ref="F376:I376"/>
    <mergeCell ref="K376:N376"/>
    <mergeCell ref="P376:S376"/>
    <mergeCell ref="U376:X376"/>
    <mergeCell ref="Z376:AC376"/>
    <mergeCell ref="AE376:AH376"/>
    <mergeCell ref="AJ376:AM376"/>
    <mergeCell ref="AO376:AR376"/>
    <mergeCell ref="P373:S373"/>
    <mergeCell ref="U373:X373"/>
    <mergeCell ref="Z373:AC373"/>
    <mergeCell ref="AE373:AH373"/>
    <mergeCell ref="AJ373:AM373"/>
    <mergeCell ref="AO373:AR373"/>
    <mergeCell ref="F374:I374"/>
    <mergeCell ref="K374:N374"/>
    <mergeCell ref="P374:S374"/>
    <mergeCell ref="U374:X374"/>
    <mergeCell ref="Z374:AC374"/>
    <mergeCell ref="AE374:AH374"/>
    <mergeCell ref="AJ374:AM374"/>
    <mergeCell ref="AO374:AR374"/>
    <mergeCell ref="P371:S371"/>
    <mergeCell ref="U371:X371"/>
    <mergeCell ref="Z371:AC371"/>
    <mergeCell ref="AE371:AH371"/>
    <mergeCell ref="AJ371:AM371"/>
    <mergeCell ref="AO371:AR371"/>
    <mergeCell ref="F372:I372"/>
    <mergeCell ref="K372:N372"/>
    <mergeCell ref="P372:S372"/>
    <mergeCell ref="U372:X372"/>
    <mergeCell ref="Z372:AC372"/>
    <mergeCell ref="AE372:AH372"/>
    <mergeCell ref="AJ372:AM372"/>
    <mergeCell ref="AO372:AR372"/>
    <mergeCell ref="P369:S369"/>
    <mergeCell ref="U369:X369"/>
    <mergeCell ref="Z369:AC369"/>
    <mergeCell ref="AE369:AH369"/>
    <mergeCell ref="AJ369:AM369"/>
    <mergeCell ref="AO369:AR369"/>
    <mergeCell ref="F370:I370"/>
    <mergeCell ref="K370:N370"/>
    <mergeCell ref="P370:S370"/>
    <mergeCell ref="U370:X370"/>
    <mergeCell ref="Z370:AC370"/>
    <mergeCell ref="AE370:AH370"/>
    <mergeCell ref="AJ370:AM370"/>
    <mergeCell ref="AO370:AR370"/>
    <mergeCell ref="K367:N367"/>
    <mergeCell ref="P367:S367"/>
    <mergeCell ref="U367:X367"/>
    <mergeCell ref="Z367:AC367"/>
    <mergeCell ref="AE367:AH367"/>
    <mergeCell ref="AJ367:AM367"/>
    <mergeCell ref="AO367:AR367"/>
    <mergeCell ref="F368:I368"/>
    <mergeCell ref="K368:N368"/>
    <mergeCell ref="P368:S368"/>
    <mergeCell ref="U368:X368"/>
    <mergeCell ref="Z368:AC368"/>
    <mergeCell ref="AE368:AH368"/>
    <mergeCell ref="AJ368:AM368"/>
    <mergeCell ref="AO368:AR368"/>
    <mergeCell ref="F365:I365"/>
    <mergeCell ref="K365:N365"/>
    <mergeCell ref="P365:S365"/>
    <mergeCell ref="U365:X365"/>
    <mergeCell ref="Z365:AC365"/>
    <mergeCell ref="AE365:AH365"/>
    <mergeCell ref="AJ365:AM365"/>
    <mergeCell ref="AO365:AR365"/>
    <mergeCell ref="F366:I366"/>
    <mergeCell ref="K366:N366"/>
    <mergeCell ref="P366:S366"/>
    <mergeCell ref="U366:X366"/>
    <mergeCell ref="Z366:AC366"/>
    <mergeCell ref="AE366:AH366"/>
    <mergeCell ref="AJ366:AM366"/>
    <mergeCell ref="AO366:AR366"/>
    <mergeCell ref="F363:I363"/>
    <mergeCell ref="K363:N363"/>
    <mergeCell ref="P363:S363"/>
    <mergeCell ref="U363:X363"/>
    <mergeCell ref="Z363:AC363"/>
    <mergeCell ref="AE363:AH363"/>
    <mergeCell ref="AJ363:AM363"/>
    <mergeCell ref="AO363:AR363"/>
    <mergeCell ref="F364:I364"/>
    <mergeCell ref="K364:N364"/>
    <mergeCell ref="P364:S364"/>
    <mergeCell ref="U364:X364"/>
    <mergeCell ref="Z364:AC364"/>
    <mergeCell ref="AE364:AH364"/>
    <mergeCell ref="AJ364:AM364"/>
    <mergeCell ref="AO364:AR364"/>
    <mergeCell ref="F361:I361"/>
    <mergeCell ref="K361:N361"/>
    <mergeCell ref="P361:S361"/>
    <mergeCell ref="U361:X361"/>
    <mergeCell ref="Z361:AC361"/>
    <mergeCell ref="AE361:AH361"/>
    <mergeCell ref="AJ361:AM361"/>
    <mergeCell ref="AO361:AR361"/>
    <mergeCell ref="F362:I362"/>
    <mergeCell ref="K362:N362"/>
    <mergeCell ref="P362:S362"/>
    <mergeCell ref="U362:X362"/>
    <mergeCell ref="Z362:AC362"/>
    <mergeCell ref="AE362:AH362"/>
    <mergeCell ref="AJ362:AM362"/>
    <mergeCell ref="AO362:AR362"/>
    <mergeCell ref="F359:I359"/>
    <mergeCell ref="K359:N359"/>
    <mergeCell ref="P359:S359"/>
    <mergeCell ref="U359:X359"/>
    <mergeCell ref="Z359:AC359"/>
    <mergeCell ref="AE359:AH359"/>
    <mergeCell ref="AJ359:AM359"/>
    <mergeCell ref="AO359:AR359"/>
    <mergeCell ref="F360:I360"/>
    <mergeCell ref="K360:N360"/>
    <mergeCell ref="P360:S360"/>
    <mergeCell ref="U360:X360"/>
    <mergeCell ref="Z360:AC360"/>
    <mergeCell ref="AE360:AH360"/>
    <mergeCell ref="AJ360:AM360"/>
    <mergeCell ref="AO360:AR360"/>
    <mergeCell ref="F357:I357"/>
    <mergeCell ref="K357:N357"/>
    <mergeCell ref="P357:S357"/>
    <mergeCell ref="U357:X357"/>
    <mergeCell ref="Z357:AC357"/>
    <mergeCell ref="AE357:AH357"/>
    <mergeCell ref="AJ357:AM357"/>
    <mergeCell ref="AO357:AR357"/>
    <mergeCell ref="F358:I358"/>
    <mergeCell ref="K358:N358"/>
    <mergeCell ref="P358:S358"/>
    <mergeCell ref="U358:X358"/>
    <mergeCell ref="Z358:AC358"/>
    <mergeCell ref="AE358:AH358"/>
    <mergeCell ref="AJ358:AM358"/>
    <mergeCell ref="AO358:AR358"/>
    <mergeCell ref="F355:I355"/>
    <mergeCell ref="K355:N355"/>
    <mergeCell ref="P355:S355"/>
    <mergeCell ref="U355:X355"/>
    <mergeCell ref="Z355:AC355"/>
    <mergeCell ref="AE355:AH355"/>
    <mergeCell ref="AJ355:AM355"/>
    <mergeCell ref="AO355:AR355"/>
    <mergeCell ref="F356:I356"/>
    <mergeCell ref="K356:N356"/>
    <mergeCell ref="P356:S356"/>
    <mergeCell ref="U356:X356"/>
    <mergeCell ref="Z356:AC356"/>
    <mergeCell ref="AE356:AH356"/>
    <mergeCell ref="AJ356:AM356"/>
    <mergeCell ref="AO356:AR356"/>
    <mergeCell ref="F353:I353"/>
    <mergeCell ref="K353:N353"/>
    <mergeCell ref="P353:S353"/>
    <mergeCell ref="U353:X353"/>
    <mergeCell ref="Z353:AC353"/>
    <mergeCell ref="AE353:AH353"/>
    <mergeCell ref="AJ353:AM353"/>
    <mergeCell ref="AO353:AR353"/>
    <mergeCell ref="F354:I354"/>
    <mergeCell ref="K354:N354"/>
    <mergeCell ref="P354:S354"/>
    <mergeCell ref="U354:X354"/>
    <mergeCell ref="Z354:AC354"/>
    <mergeCell ref="AE354:AH354"/>
    <mergeCell ref="AJ354:AM354"/>
    <mergeCell ref="AO354:AR354"/>
    <mergeCell ref="F351:I351"/>
    <mergeCell ref="K351:N351"/>
    <mergeCell ref="P351:S351"/>
    <mergeCell ref="U351:X351"/>
    <mergeCell ref="Z351:AC351"/>
    <mergeCell ref="AE351:AH351"/>
    <mergeCell ref="AJ351:AM351"/>
    <mergeCell ref="AO351:AR351"/>
    <mergeCell ref="F352:I352"/>
    <mergeCell ref="K352:N352"/>
    <mergeCell ref="P352:S352"/>
    <mergeCell ref="U352:X352"/>
    <mergeCell ref="Z352:AC352"/>
    <mergeCell ref="AE352:AH352"/>
    <mergeCell ref="AJ352:AM352"/>
    <mergeCell ref="AO352:AR352"/>
    <mergeCell ref="F349:I349"/>
    <mergeCell ref="K349:N349"/>
    <mergeCell ref="P349:S349"/>
    <mergeCell ref="U349:X349"/>
    <mergeCell ref="Z349:AC349"/>
    <mergeCell ref="AE349:AH349"/>
    <mergeCell ref="AJ349:AM349"/>
    <mergeCell ref="AO349:AR349"/>
    <mergeCell ref="F350:I350"/>
    <mergeCell ref="K350:N350"/>
    <mergeCell ref="P350:S350"/>
    <mergeCell ref="U350:X350"/>
    <mergeCell ref="Z350:AC350"/>
    <mergeCell ref="AE350:AH350"/>
    <mergeCell ref="AJ350:AM350"/>
    <mergeCell ref="AO350:AR350"/>
    <mergeCell ref="F347:I347"/>
    <mergeCell ref="K347:N347"/>
    <mergeCell ref="P347:S347"/>
    <mergeCell ref="U347:X347"/>
    <mergeCell ref="Z347:AC347"/>
    <mergeCell ref="AE347:AH347"/>
    <mergeCell ref="AJ347:AM347"/>
    <mergeCell ref="AO347:AR347"/>
    <mergeCell ref="F348:I348"/>
    <mergeCell ref="K348:N348"/>
    <mergeCell ref="P348:S348"/>
    <mergeCell ref="U348:X348"/>
    <mergeCell ref="Z348:AC348"/>
    <mergeCell ref="AE348:AH348"/>
    <mergeCell ref="AJ348:AM348"/>
    <mergeCell ref="AO348:AR348"/>
    <mergeCell ref="F345:I345"/>
    <mergeCell ref="K345:N345"/>
    <mergeCell ref="P345:S345"/>
    <mergeCell ref="U345:X345"/>
    <mergeCell ref="Z345:AC345"/>
    <mergeCell ref="AE345:AH345"/>
    <mergeCell ref="AJ345:AM345"/>
    <mergeCell ref="AO345:AR345"/>
    <mergeCell ref="F346:I346"/>
    <mergeCell ref="K346:N346"/>
    <mergeCell ref="P346:S346"/>
    <mergeCell ref="U346:X346"/>
    <mergeCell ref="Z346:AC346"/>
    <mergeCell ref="AE346:AH346"/>
    <mergeCell ref="AJ346:AM346"/>
    <mergeCell ref="AO346:AR346"/>
    <mergeCell ref="F343:I343"/>
    <mergeCell ref="K343:N343"/>
    <mergeCell ref="P343:S343"/>
    <mergeCell ref="U343:X343"/>
    <mergeCell ref="Z343:AC343"/>
    <mergeCell ref="AE343:AH343"/>
    <mergeCell ref="AJ343:AM343"/>
    <mergeCell ref="AO343:AR343"/>
    <mergeCell ref="F344:I344"/>
    <mergeCell ref="K344:N344"/>
    <mergeCell ref="P344:S344"/>
    <mergeCell ref="U344:X344"/>
    <mergeCell ref="Z344:AC344"/>
    <mergeCell ref="AE344:AH344"/>
    <mergeCell ref="AJ344:AM344"/>
    <mergeCell ref="AO344:AR344"/>
    <mergeCell ref="F341:I341"/>
    <mergeCell ref="K341:N341"/>
    <mergeCell ref="P341:S341"/>
    <mergeCell ref="U341:X341"/>
    <mergeCell ref="Z341:AC341"/>
    <mergeCell ref="AE341:AH341"/>
    <mergeCell ref="AJ341:AM341"/>
    <mergeCell ref="AO341:AR341"/>
    <mergeCell ref="F342:I342"/>
    <mergeCell ref="K342:N342"/>
    <mergeCell ref="P342:S342"/>
    <mergeCell ref="U342:X342"/>
    <mergeCell ref="Z342:AC342"/>
    <mergeCell ref="AE342:AH342"/>
    <mergeCell ref="AJ342:AM342"/>
    <mergeCell ref="AO342:AR342"/>
    <mergeCell ref="F339:I339"/>
    <mergeCell ref="K339:N339"/>
    <mergeCell ref="P339:S339"/>
    <mergeCell ref="U339:X339"/>
    <mergeCell ref="Z339:AC339"/>
    <mergeCell ref="AE339:AH339"/>
    <mergeCell ref="AJ339:AM339"/>
    <mergeCell ref="AO339:AR339"/>
    <mergeCell ref="F340:I340"/>
    <mergeCell ref="K340:N340"/>
    <mergeCell ref="P340:S340"/>
    <mergeCell ref="U340:X340"/>
    <mergeCell ref="Z340:AC340"/>
    <mergeCell ref="AE340:AH340"/>
    <mergeCell ref="AJ340:AM340"/>
    <mergeCell ref="AO340:AR340"/>
    <mergeCell ref="F337:I337"/>
    <mergeCell ref="K337:N337"/>
    <mergeCell ref="P337:S337"/>
    <mergeCell ref="U337:X337"/>
    <mergeCell ref="Z337:AC337"/>
    <mergeCell ref="AE337:AH337"/>
    <mergeCell ref="AJ337:AM337"/>
    <mergeCell ref="AO337:AR337"/>
    <mergeCell ref="F338:I338"/>
    <mergeCell ref="K338:N338"/>
    <mergeCell ref="P338:S338"/>
    <mergeCell ref="U338:X338"/>
    <mergeCell ref="Z338:AC338"/>
    <mergeCell ref="AE338:AH338"/>
    <mergeCell ref="AJ338:AM338"/>
    <mergeCell ref="AO338:AR338"/>
    <mergeCell ref="F335:I335"/>
    <mergeCell ref="K335:N335"/>
    <mergeCell ref="P335:S335"/>
    <mergeCell ref="U335:X335"/>
    <mergeCell ref="Z335:AC335"/>
    <mergeCell ref="AE335:AH335"/>
    <mergeCell ref="AJ335:AM335"/>
    <mergeCell ref="AO335:AR335"/>
    <mergeCell ref="F336:I336"/>
    <mergeCell ref="K336:N336"/>
    <mergeCell ref="P336:S336"/>
    <mergeCell ref="U336:X336"/>
    <mergeCell ref="Z336:AC336"/>
    <mergeCell ref="AE336:AH336"/>
    <mergeCell ref="AJ336:AM336"/>
    <mergeCell ref="AO336:AR336"/>
    <mergeCell ref="B334:D334"/>
    <mergeCell ref="F334:I334"/>
    <mergeCell ref="K334:N334"/>
    <mergeCell ref="P334:S334"/>
    <mergeCell ref="U334:X334"/>
    <mergeCell ref="Z334:AC334"/>
    <mergeCell ref="AE334:AH334"/>
    <mergeCell ref="AJ334:AM334"/>
    <mergeCell ref="AO334:AR334"/>
    <mergeCell ref="B333:D333"/>
    <mergeCell ref="F333:I333"/>
    <mergeCell ref="K333:N333"/>
    <mergeCell ref="P333:S333"/>
    <mergeCell ref="U333:X333"/>
    <mergeCell ref="Z333:AC333"/>
    <mergeCell ref="AE333:AH333"/>
    <mergeCell ref="AJ333:AM333"/>
    <mergeCell ref="AO333:AR333"/>
    <mergeCell ref="B332:D332"/>
    <mergeCell ref="F332:I332"/>
    <mergeCell ref="K332:N332"/>
    <mergeCell ref="P332:S332"/>
    <mergeCell ref="U332:X332"/>
    <mergeCell ref="Z332:AC332"/>
    <mergeCell ref="AE332:AH332"/>
    <mergeCell ref="AJ332:AM332"/>
    <mergeCell ref="AO332:AR332"/>
    <mergeCell ref="C307:AS313"/>
    <mergeCell ref="B331:D331"/>
    <mergeCell ref="F331:I331"/>
    <mergeCell ref="K331:N331"/>
    <mergeCell ref="P331:S331"/>
    <mergeCell ref="U331:X331"/>
    <mergeCell ref="Z331:AC331"/>
    <mergeCell ref="AE331:AH331"/>
    <mergeCell ref="AJ331:AM331"/>
    <mergeCell ref="AO331:AR331"/>
    <mergeCell ref="F330:I330"/>
    <mergeCell ref="K330:N330"/>
    <mergeCell ref="P330:S330"/>
    <mergeCell ref="U330:X330"/>
    <mergeCell ref="Z330:AC330"/>
    <mergeCell ref="AE330:AH330"/>
    <mergeCell ref="AJ330:AM330"/>
    <mergeCell ref="AO330:AR330"/>
    <mergeCell ref="B330:E330"/>
    <mergeCell ref="AK285:AS285"/>
    <mergeCell ref="AK289:AS289"/>
    <mergeCell ref="N300:V300"/>
    <mergeCell ref="N301:AT301"/>
    <mergeCell ref="N302:AD302"/>
    <mergeCell ref="N296:AT296"/>
    <mergeCell ref="N297:AT297"/>
    <mergeCell ref="N298:AT298"/>
    <mergeCell ref="K299:L299"/>
    <mergeCell ref="X299:AA299"/>
    <mergeCell ref="AH299:AN299"/>
    <mergeCell ref="K293:L293"/>
    <mergeCell ref="X293:AC293"/>
    <mergeCell ref="AH293:AN293"/>
    <mergeCell ref="AH294:AN294"/>
    <mergeCell ref="AH295:AN295"/>
    <mergeCell ref="U288:V288"/>
    <mergeCell ref="W288:X288"/>
    <mergeCell ref="Z288:AA288"/>
    <mergeCell ref="AC288:AD288"/>
    <mergeCell ref="AH288:AR288"/>
    <mergeCell ref="K270:L270"/>
    <mergeCell ref="M270:N270"/>
    <mergeCell ref="P270:Q270"/>
    <mergeCell ref="S270:T270"/>
    <mergeCell ref="U284:V284"/>
    <mergeCell ref="W284:X284"/>
    <mergeCell ref="Z284:AA284"/>
    <mergeCell ref="AC284:AD284"/>
    <mergeCell ref="AH284:AR284"/>
    <mergeCell ref="AA270:AS270"/>
    <mergeCell ref="K268:L268"/>
    <mergeCell ref="M268:N268"/>
    <mergeCell ref="P268:Q268"/>
    <mergeCell ref="S268:T268"/>
    <mergeCell ref="K269:L269"/>
    <mergeCell ref="M269:N269"/>
    <mergeCell ref="P269:Q269"/>
    <mergeCell ref="S269:T269"/>
    <mergeCell ref="AA268:AS268"/>
    <mergeCell ref="AA269:AS269"/>
    <mergeCell ref="Z259:AB259"/>
    <mergeCell ref="AP259:AR259"/>
    <mergeCell ref="T261:AO261"/>
    <mergeCell ref="K267:L267"/>
    <mergeCell ref="M267:N267"/>
    <mergeCell ref="P267:Q267"/>
    <mergeCell ref="S267:T267"/>
    <mergeCell ref="K249:L249"/>
    <mergeCell ref="X249:AA249"/>
    <mergeCell ref="AH249:AN249"/>
    <mergeCell ref="N250:V250"/>
    <mergeCell ref="N251:AT251"/>
    <mergeCell ref="N252:AD252"/>
    <mergeCell ref="AA267:AS267"/>
    <mergeCell ref="AH243:AN243"/>
    <mergeCell ref="AH244:AN244"/>
    <mergeCell ref="AH245:AN245"/>
    <mergeCell ref="N246:AT246"/>
    <mergeCell ref="N247:AT247"/>
    <mergeCell ref="N248:AT248"/>
    <mergeCell ref="V240:Z240"/>
    <mergeCell ref="AD240:AG240"/>
    <mergeCell ref="V241:Z241"/>
    <mergeCell ref="AD241:AG241"/>
    <mergeCell ref="K243:L243"/>
    <mergeCell ref="X243:AC243"/>
    <mergeCell ref="V237:Z237"/>
    <mergeCell ref="AD237:AG237"/>
    <mergeCell ref="V238:Z238"/>
    <mergeCell ref="AD238:AG238"/>
    <mergeCell ref="V239:Z239"/>
    <mergeCell ref="AD239:AG239"/>
    <mergeCell ref="V234:Z234"/>
    <mergeCell ref="AD234:AG234"/>
    <mergeCell ref="V235:Z235"/>
    <mergeCell ref="AD235:AG235"/>
    <mergeCell ref="O236:Q236"/>
    <mergeCell ref="V236:Z236"/>
    <mergeCell ref="AD236:AG236"/>
    <mergeCell ref="V231:Z231"/>
    <mergeCell ref="AD231:AG231"/>
    <mergeCell ref="V232:Z232"/>
    <mergeCell ref="AD232:AG232"/>
    <mergeCell ref="O233:Q233"/>
    <mergeCell ref="V233:Z233"/>
    <mergeCell ref="AD233:AG233"/>
    <mergeCell ref="V228:Z228"/>
    <mergeCell ref="AD228:AG228"/>
    <mergeCell ref="V229:Z229"/>
    <mergeCell ref="AD229:AG229"/>
    <mergeCell ref="O230:Q230"/>
    <mergeCell ref="V230:Z230"/>
    <mergeCell ref="AD230:AG230"/>
    <mergeCell ref="V226:Z226"/>
    <mergeCell ref="AD226:AG226"/>
    <mergeCell ref="O227:Q227"/>
    <mergeCell ref="V227:Z227"/>
    <mergeCell ref="AD227:AG227"/>
    <mergeCell ref="O216:V216"/>
    <mergeCell ref="O217:V217"/>
    <mergeCell ref="W223:Y223"/>
    <mergeCell ref="AE223:AG223"/>
    <mergeCell ref="O224:Q224"/>
    <mergeCell ref="V224:Z224"/>
    <mergeCell ref="AD224:AG224"/>
    <mergeCell ref="R214:T214"/>
    <mergeCell ref="Z214:AB214"/>
    <mergeCell ref="O215:V215"/>
    <mergeCell ref="Z118:AA118"/>
    <mergeCell ref="AB118:AC118"/>
    <mergeCell ref="AE118:AF118"/>
    <mergeCell ref="X119:AR119"/>
    <mergeCell ref="B198:AT198"/>
    <mergeCell ref="V225:Z225"/>
    <mergeCell ref="AD225:AG225"/>
    <mergeCell ref="AK223:AR223"/>
    <mergeCell ref="T204:AE204"/>
    <mergeCell ref="O205:AS205"/>
    <mergeCell ref="AF213:AQ213"/>
    <mergeCell ref="O162:AS162"/>
    <mergeCell ref="O161:AS161"/>
    <mergeCell ref="O163:U163"/>
    <mergeCell ref="O164:AS164"/>
    <mergeCell ref="S110:T110"/>
    <mergeCell ref="U110:V110"/>
    <mergeCell ref="X110:Y110"/>
    <mergeCell ref="AA110:AB110"/>
    <mergeCell ref="S111:T111"/>
    <mergeCell ref="U111:V111"/>
    <mergeCell ref="X111:Y111"/>
    <mergeCell ref="AA111:AB111"/>
    <mergeCell ref="S108:T108"/>
    <mergeCell ref="U108:V108"/>
    <mergeCell ref="X108:Y108"/>
    <mergeCell ref="AA108:AB108"/>
    <mergeCell ref="S109:T109"/>
    <mergeCell ref="U109:V109"/>
    <mergeCell ref="X109:Y109"/>
    <mergeCell ref="AA109:AB109"/>
    <mergeCell ref="R101:S101"/>
    <mergeCell ref="T101:U101"/>
    <mergeCell ref="W101:X101"/>
    <mergeCell ref="O102:AS102"/>
    <mergeCell ref="S107:T107"/>
    <mergeCell ref="U107:V107"/>
    <mergeCell ref="X107:Y107"/>
    <mergeCell ref="AA107:AB107"/>
    <mergeCell ref="O84:AS84"/>
    <mergeCell ref="N85:AT85"/>
    <mergeCell ref="N86:AT86"/>
    <mergeCell ref="N87:AT87"/>
    <mergeCell ref="N88:AT88"/>
    <mergeCell ref="Y94:AJ94"/>
    <mergeCell ref="O96:Z96"/>
    <mergeCell ref="O72:U72"/>
    <mergeCell ref="O73:AS73"/>
    <mergeCell ref="O74:AB74"/>
    <mergeCell ref="O81:AS81"/>
    <mergeCell ref="O82:AS82"/>
    <mergeCell ref="O83:AS83"/>
    <mergeCell ref="AM67:AR67"/>
    <mergeCell ref="O68:AS68"/>
    <mergeCell ref="O69:AS69"/>
    <mergeCell ref="O70:AS70"/>
    <mergeCell ref="P71:Q71"/>
    <mergeCell ref="Z71:AE71"/>
    <mergeCell ref="AM71:AR71"/>
    <mergeCell ref="O61:U61"/>
    <mergeCell ref="O62:AS62"/>
    <mergeCell ref="O63:AB63"/>
    <mergeCell ref="P66:Q66"/>
    <mergeCell ref="Z66:AG66"/>
    <mergeCell ref="AM66:AR66"/>
    <mergeCell ref="AM56:AR56"/>
    <mergeCell ref="O57:AS57"/>
    <mergeCell ref="O58:AS58"/>
    <mergeCell ref="O59:AS59"/>
    <mergeCell ref="P60:Q60"/>
    <mergeCell ref="Z60:AE60"/>
    <mergeCell ref="AM60:AR60"/>
    <mergeCell ref="O45:AS45"/>
    <mergeCell ref="N47:AT47"/>
    <mergeCell ref="P55:Q55"/>
    <mergeCell ref="Z55:AG55"/>
    <mergeCell ref="AM55:AR55"/>
    <mergeCell ref="B6:AS6"/>
    <mergeCell ref="B9:AS9"/>
    <mergeCell ref="O31:AS31"/>
    <mergeCell ref="O32:AS32"/>
    <mergeCell ref="O33:U33"/>
    <mergeCell ref="O34:AS34"/>
    <mergeCell ref="AP4:AS4"/>
    <mergeCell ref="Y114:AJ114"/>
    <mergeCell ref="B128:AT128"/>
    <mergeCell ref="C135:I135"/>
    <mergeCell ref="C187:I187"/>
    <mergeCell ref="J135:AS154"/>
    <mergeCell ref="J187:AS196"/>
    <mergeCell ref="P172:Q172"/>
    <mergeCell ref="Z172:AG172"/>
    <mergeCell ref="AM172:AR172"/>
    <mergeCell ref="AM173:AR173"/>
    <mergeCell ref="O174:AS174"/>
    <mergeCell ref="O175:AS175"/>
    <mergeCell ref="O176:AS176"/>
    <mergeCell ref="P177:Q177"/>
    <mergeCell ref="Z177:AE177"/>
    <mergeCell ref="AM177:AR177"/>
    <mergeCell ref="O178:U178"/>
    <mergeCell ref="O179:AS179"/>
    <mergeCell ref="O180:AB180"/>
    <mergeCell ref="O117:Z117"/>
    <mergeCell ref="O42:AS42"/>
    <mergeCell ref="O43:AS43"/>
    <mergeCell ref="O44:U44"/>
  </mergeCells>
  <phoneticPr fontId="3"/>
  <dataValidations xWindow="896" yWindow="579" count="6">
    <dataValidation imeMode="fullAlpha" allowBlank="1" showInputMessage="1" showErrorMessage="1" sqref="AH299 N48:N49 O33 N300 X107:X111 AM66:AR67 AK285 U107:U111 O230 O236 T261 AH293:AH295 O44 N252 W288 W101 N250 N36:N38 O224 O227 T101 O205 R214 Z214 O215:O217 T204 AF213 AH243:AH245 AH249 N302 AK223 AP259 W284 O72 O74 O61 M267:M270 AM71:AR71 O233 Z259 AM55:AR56 O63 AM60:AR60 AK289 AM172:AR173 O178 O180 AM177:AR177 V224:V241 AD224:AD241 O163" xr:uid="{00000000-0002-0000-0500-000001000000}"/>
    <dataValidation imeMode="hiragana" allowBlank="1" showInputMessage="1" showErrorMessage="1" sqref="C47:C49 AE36:AL38 AE48:AL49 N75:N77 BB36:BB38 X299 N251 N248 B258 B266 X249 O97:O100 C271:C273 C260:C261 B277:B281 O102 O70 O45 N206:N208 B211 B223 B80 D212:D217 C53 N298 B306 N85:N91 B202 AH199 N218:N220 C240:C241 X243 C243:C252 W250:AP250 B242 AE252:AP252 C64 Z60 C36:C38 B94 AH184:AH185 C75:C77 D203:D205 N301 AA107:AA111 C293:C302 W300:AP300 B292 AE302:AP302 P267:P270 D239 X293 C225:C238 B41 B30 D31:D34 O34 B52 C307 D282:D291 D54 O62 Z55 Z288 Z66 O84 O81 D95:D102 D107:D111 B106 O73 Z71 N236 N233 N230 N224 N227 D81:D84 C85:C91 O59 D42:D45 D224 S267:S270 Z284 AC284 AA267:AA270 AC288 AH321 AH130:AH131 B132 O176 C170 Z172 O179 Z177 AH167:AH168 U223:U241 AC223:AC241 X119:AR119 D161:D164 O164 C160" xr:uid="{00000000-0002-0000-0500-000002000000}"/>
    <dataValidation imeMode="halfKatakana" allowBlank="1" showErrorMessage="1" sqref="O68 AS288 N246:AT246 O57 O31:O32 N296:AT296 O42 AS284 AH284 O82 AH288 O174 O161:O162" xr:uid="{00000000-0002-0000-0500-000003000000}"/>
    <dataValidation imeMode="hiragana" allowBlank="1" showErrorMessage="1" sqref="AU65:AY65 N81:N84 N65:AS65 N247:AT247 O83 O43 N297:AT297 AU59 O58 O69 AU171:AY171 N171:AS171 O175" xr:uid="{00000000-0002-0000-0500-000004000000}"/>
    <dataValidation imeMode="hiragana" allowBlank="1" showInputMessage="1" showErrorMessage="1" promptTitle="直接入力してください。" prompt="直接入力しないと、イ．氏名のフリガナが正確に表示されません。" sqref="N47:AT47" xr:uid="{00000000-0002-0000-0500-000005000000}"/>
    <dataValidation type="list" imeMode="hiragana" allowBlank="1" showInputMessage="1" showErrorMessage="1" sqref="K299:L299 K243:L243 K293:L293 K249:L249" xr:uid="{00000000-0002-0000-0500-000006000000}">
      <formula1>"　,1級,2級"</formula1>
    </dataValidation>
  </dataValidations>
  <hyperlinks>
    <hyperlink ref="O96" location="報告書!A432:A486" display="別紙参照" xr:uid="{00000000-0004-0000-0500-000000000000}"/>
    <hyperlink ref="O96:W96" location="【入力不要】_報告概要書!A1" display="指摘の概要は「別紙による」" xr:uid="{00000000-0004-0000-0500-000001000000}"/>
    <hyperlink ref="O117" location="報告書!A432:A486" display="別紙参照" xr:uid="{00000000-0004-0000-0500-000002000000}"/>
    <hyperlink ref="O117:W117" location="【入力不要】_報告概要書!A1" display="指摘の概要は「別紙による」" xr:uid="{00000000-0004-0000-0500-000003000000}"/>
    <hyperlink ref="O96:Z96" location="'＜入力不要＞概要書'!A128:A187" display="第一面別紙参照" xr:uid="{00000000-0004-0000-0500-000004000000}"/>
    <hyperlink ref="O117:Z117" location="'＜入力不要＞概要書'!A174:A220" display="第一面別紙参照" xr:uid="{00000000-0004-0000-0500-000005000000}"/>
    <hyperlink ref="AK223:AO223" location="'＜入力不要＞概要書'!A310:A380" display="第二面別紙参照" xr:uid="{00000000-0004-0000-0500-000006000000}"/>
    <hyperlink ref="AN1" location="使用方法!F26:F34" display="シート一覧へ" xr:uid="{A97C3282-CF51-4B10-BAEF-015BC41E1F17}"/>
    <hyperlink ref="AN1:AS1" location="使用方法!F29:F37" display="シート一覧へ" xr:uid="{39B62228-A8D4-462D-8A52-0DDF7E6A4B86}"/>
  </hyperlinks>
  <printOptions horizontalCentered="1"/>
  <pageMargins left="0.19685039370078741" right="0.19685039370078741" top="0.78740157480314965" bottom="0.19685039370078741" header="0" footer="0"/>
  <pageSetup paperSize="9" scale="90" orientation="portrait" blackAndWhite="1" horizontalDpi="300" verticalDpi="300" r:id="rId1"/>
  <headerFooter scaleWithDoc="0" alignWithMargins="0">
    <oddHeader>&amp;R&amp;P/&amp;N</oddHeader>
  </headerFooter>
  <rowBreaks count="3" manualBreakCount="3">
    <brk id="121" max="45" man="1"/>
    <brk id="197" max="16383" man="1"/>
    <brk id="319" max="45" man="1"/>
  </rowBreaks>
  <colBreaks count="1" manualBreakCount="1">
    <brk id="51" max="646"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Z Z z l V H k x 3 j + l A A A A 9 Q A A A B I A H A B D b 2 5 m a W c v U G F j a 2 F n Z S 5 4 b W w g o h g A K K A U A A A A A A A A A A A A A A A A A A A A A A A A A A A A h Y + x D o I w G I R f h X S n r T U m S H 7 K 4 G Y k I T E x r k 2 p U I V i a L G 8 m 4 O P 5 C u I U d T N 8 b 6 7 S + 7 u 1 x u k Q 1 M H F 9 V Z 3 Z o E z T B F g T K y L b Q p E 9 S 7 Q x i h l E M u 5 E m U K h j D x s a D 1 Q m q n D v H h H j v s Z / j t i s J o 3 R G 9 t l m K y v V i F A b 6 4 S R C n 1 a x f 8 W 4 r B 7 j e E M L y l e R A x T I B O D T J u v z 8 a 5 T / c H w q q v X d 8 p f h T h O g c y S S D v C / w B U E s D B B Q A A g A I A G W c 5 V 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l n O V U K I p H u A 4 A A A A R A A A A E w A c A E Z v c m 1 1 b G F z L 1 N l Y 3 R p b 2 4 x L m 0 g o h g A K K A U A A A A A A A A A A A A A A A A A A A A A A A A A A A A K 0 5 N L s n M z 1 M I h t C G 1 g B Q S w E C L Q A U A A I A C A B l n O V U e T H e P 6 U A A A D 1 A A A A E g A A A A A A A A A A A A A A A A A A A A A A Q 2 9 u Z m l n L 1 B h Y 2 t h Z 2 U u e G 1 s U E s B A i 0 A F A A C A A g A Z Z z l V A / K 6 a u k A A A A 6 Q A A A B M A A A A A A A A A A A A A A A A A 8 Q A A A F t D b 2 5 0 Z W 5 0 X 1 R 5 c G V z X S 5 4 b W x Q S w E C L Q A U A A I A C A B l n O V U 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u F i h X D + 6 U k e Z 6 3 4 c q n r 4 N g A A A A A C A A A A A A A D Z g A A w A A A A B A A A A B l I c z y 7 4 6 s U A O l 1 e t 6 i x P Y A A A A A A S A A A C g A A A A E A A A A C J L f Q l W z a H x 7 p i C n d a O G n Z Q A A A A p J v E R A l s l F 1 4 T 2 U 8 n L n L k v j l v H 7 2 4 5 U A h 2 y O o l p c Q q f u o a r / M J f / D x s U u X M 8 A E M Q p w X 3 S x Y B l 1 N p e U a i c G 3 u b N k V B 6 / k I R B S Z S N + B R E 5 P W 4 U A A A A v U H p B I 6 c B K Y M 1 P R V G n G R V E R d Z I k = < / D a t a M a s h u p > 
</file>

<file path=customXml/itemProps1.xml><?xml version="1.0" encoding="utf-8"?>
<ds:datastoreItem xmlns:ds="http://schemas.openxmlformats.org/officeDocument/2006/customXml" ds:itemID="{51C11D93-1BDB-4C1A-B4D6-5E058D2AEF4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32</vt:i4>
      </vt:variant>
    </vt:vector>
  </HeadingPairs>
  <TitlesOfParts>
    <vt:vector size="50" baseType="lpstr">
      <vt:lpstr>使用方法</vt:lpstr>
      <vt:lpstr>チェックシート</vt:lpstr>
      <vt:lpstr>1_入力シート【基本情報】</vt:lpstr>
      <vt:lpstr>2_入力シート【用途面積】</vt:lpstr>
      <vt:lpstr>3_入力シート【写真】</vt:lpstr>
      <vt:lpstr>＜別途添付要＞図面</vt:lpstr>
      <vt:lpstr>＜入力不要＞受付管理票</vt:lpstr>
      <vt:lpstr>＜入力不要＞報告書</vt:lpstr>
      <vt:lpstr>＜入力不要＞概要書</vt:lpstr>
      <vt:lpstr>＜入力不要＞調査結果表</vt:lpstr>
      <vt:lpstr>★CSVシート_台帳取込用</vt:lpstr>
      <vt:lpstr>リンクシート_台帳取込用</vt:lpstr>
      <vt:lpstr>リンクシート_全て_調査結果以外</vt:lpstr>
      <vt:lpstr>リンクシート_全て_調査結果のみ</vt:lpstr>
      <vt:lpstr>CSVシート_全て_調査結果以外</vt:lpstr>
      <vt:lpstr>CSVシート_全て_調査結果のみ</vt:lpstr>
      <vt:lpstr>改善項目管理用</vt:lpstr>
      <vt:lpstr>プルダウン選択肢</vt:lpstr>
      <vt:lpstr>'＜入力不要＞概要書'!Print_Area</vt:lpstr>
      <vt:lpstr>'＜入力不要＞受付管理票'!Print_Area</vt:lpstr>
      <vt:lpstr>'＜入力不要＞調査結果表'!Print_Area</vt:lpstr>
      <vt:lpstr>'＜入力不要＞報告書'!Print_Area</vt:lpstr>
      <vt:lpstr>'＜別途添付要＞図面'!Print_Area</vt:lpstr>
      <vt:lpstr>'1_入力シート【基本情報】'!Print_Area</vt:lpstr>
      <vt:lpstr>'2_入力シート【用途面積】'!Print_Area</vt:lpstr>
      <vt:lpstr>'3_入力シート【写真】'!Print_Area</vt:lpstr>
      <vt:lpstr>チェックシート!Print_Area</vt:lpstr>
      <vt:lpstr>'＜入力不要＞概要書'!Print_Titles</vt:lpstr>
      <vt:lpstr>'＜入力不要＞調査結果表'!Print_Titles</vt:lpstr>
      <vt:lpstr>'＜入力不要＞報告書'!Print_Titles</vt:lpstr>
      <vt:lpstr>スポーツ練習場等</vt:lpstr>
      <vt:lpstr>飲食等</vt:lpstr>
      <vt:lpstr>学校_体育館_学校付属</vt:lpstr>
      <vt:lpstr>劇場_映画館等</vt:lpstr>
      <vt:lpstr>事務所_サービス店舗等</vt:lpstr>
      <vt:lpstr>児童福祉施設等_1_市指定</vt:lpstr>
      <vt:lpstr>児童福祉施設等_2_国指定</vt:lpstr>
      <vt:lpstr>自動車車庫等</vt:lpstr>
      <vt:lpstr>集会場等</vt:lpstr>
      <vt:lpstr>住居系施設_高齢者_障害者等</vt:lpstr>
      <vt:lpstr>住居系施設_高齢者_障害者等以外</vt:lpstr>
      <vt:lpstr>宿泊施設</vt:lpstr>
      <vt:lpstr>体育館_学校付属以外</vt:lpstr>
      <vt:lpstr>定報対象以外の用途_倉庫</vt:lpstr>
      <vt:lpstr>定報対象以外の用途_倉庫以外</vt:lpstr>
      <vt:lpstr>展示場等</vt:lpstr>
      <vt:lpstr>美術館等</vt:lpstr>
      <vt:lpstr>病院系施設</vt:lpstr>
      <vt:lpstr>物販店等</vt:lpstr>
      <vt:lpstr>遊技場等</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Printed>2025-06-24T05:18:28Z</cp:lastPrinted>
  <dcterms:created xsi:type="dcterms:W3CDTF">2022-03-10T13:15:08Z</dcterms:created>
  <dcterms:modified xsi:type="dcterms:W3CDTF">2025-06-25T04:59:03Z</dcterms:modified>
</cp:coreProperties>
</file>